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chiettecatte\Documents\EX-ACT 2016\EX-ACT tool\"/>
    </mc:Choice>
  </mc:AlternateContent>
  <workbookProtection workbookAlgorithmName="SHA-512" workbookHashValue="rBaL6tB4kInRaI3+wnGknd9kmOlRVsgZuny1duOHR6knWoEoo/sENHQvVY81um6OoMf+/BLowp0swoIXmO91yw==" workbookSaltValue="XnmSgXJKiz5MZWg/BIKtdw==" workbookSpinCount="100000" lockStructure="1"/>
  <bookViews>
    <workbookView xWindow="0" yWindow="0" windowWidth="19200" windowHeight="11760" tabRatio="815" activeTab="1"/>
  </bookViews>
  <sheets>
    <sheet name="0.Start" sheetId="20" r:id="rId1"/>
    <sheet name="1.Description" sheetId="1" r:id="rId2"/>
    <sheet name="2.LUC" sheetId="30" r:id="rId3"/>
    <sheet name="3.Cropland" sheetId="31" r:id="rId4"/>
    <sheet name="A-R" sheetId="19" state="hidden" r:id="rId5"/>
    <sheet name="non Forest LUC" sheetId="25" state="hidden" r:id="rId6"/>
    <sheet name="Deforestation" sheetId="4" state="hidden" r:id="rId7"/>
    <sheet name="Annual" sheetId="9" state="hidden" r:id="rId8"/>
    <sheet name="Perennial" sheetId="24" state="hidden" r:id="rId9"/>
    <sheet name="Irrigated Rice" sheetId="15" state="hidden" r:id="rId10"/>
    <sheet name="Matrix" sheetId="22" state="hidden" r:id="rId11"/>
    <sheet name="Grass" sheetId="10" state="hidden" r:id="rId12"/>
    <sheet name="4.Grassland" sheetId="35" r:id="rId13"/>
    <sheet name="Forest Degradation" sheetId="27" state="hidden" r:id="rId14"/>
    <sheet name="Organic Soils NEW" sheetId="45" state="hidden" r:id="rId15"/>
    <sheet name="Organic Soils" sheetId="29" state="hidden" r:id="rId16"/>
    <sheet name="Livestock" sheetId="5" state="hidden" r:id="rId17"/>
    <sheet name="5. Management" sheetId="37" r:id="rId18"/>
    <sheet name="Inputs" sheetId="16" state="hidden" r:id="rId19"/>
    <sheet name="Other investments" sheetId="17" state="hidden" r:id="rId20"/>
    <sheet name="6. Coastal" sheetId="49" r:id="rId21"/>
    <sheet name="Wetlands" sheetId="46" state="hidden" r:id="rId22"/>
    <sheet name="7. Inputs" sheetId="36" r:id="rId23"/>
    <sheet name="8. Fish" sheetId="47" r:id="rId24"/>
    <sheet name="Fishery" sheetId="44" state="hidden" r:id="rId25"/>
    <sheet name="9. Results" sheetId="38" r:id="rId26"/>
    <sheet name="Gross Results" sheetId="28" state="hidden" r:id="rId27"/>
    <sheet name="BALANCE" sheetId="26" state="hidden" r:id="rId28"/>
    <sheet name="Help" sheetId="2" r:id="rId29"/>
    <sheet name="Yield" sheetId="32" r:id="rId30"/>
    <sheet name="Calculations" sheetId="50" r:id="rId31"/>
    <sheet name="Stats_yield" sheetId="33" state="hidden" r:id="rId32"/>
    <sheet name="List_Yield" sheetId="34" state="hidden" r:id="rId33"/>
    <sheet name="List" sheetId="3" state="hidden" r:id="rId34"/>
    <sheet name=" IPCC" sheetId="7" state="hidden" r:id="rId35"/>
    <sheet name="Elec_EF" sheetId="18" state="hidden" r:id="rId36"/>
    <sheet name="translations" sheetId="39" state="hidden" r:id="rId37"/>
    <sheet name="Name translation" sheetId="41" state="hidden" r:id="rId38"/>
    <sheet name="Other Translations" sheetId="40" state="hidden" r:id="rId39"/>
    <sheet name="Other translations2" sheetId="43" state="hidden" r:id="rId40"/>
  </sheets>
  <definedNames>
    <definedName name="_xlnm._FilterDatabase" localSheetId="31" hidden="1">Stats_yield!$A$1:$BC$1292</definedName>
    <definedName name="c_type">Livestock!$F$25</definedName>
    <definedName name="clim_full">Help!$L$92</definedName>
    <definedName name="clim_simple">Help!$M$92</definedName>
    <definedName name="clim_zone">List!$C$20:$C$25</definedName>
    <definedName name="climate">'1.Description'!$C$11</definedName>
    <definedName name="construct">' IPCC'!$A$707:$A$722</definedName>
    <definedName name="cont_fish">Fishery!$B$16</definedName>
    <definedName name="continent">List!$A$6:$A$17</definedName>
    <definedName name="continent_selected">'1.Description'!$C$9</definedName>
    <definedName name="country">Elec_EF!$A$6:$A$143</definedName>
    <definedName name="country_type">List!$A$30:$A$32</definedName>
    <definedName name="crop_major">List!$A$154:$A$164</definedName>
    <definedName name="crop_minor">List!$A$153:$A$164</definedName>
    <definedName name="deg_evol">List!$F$51:$F$53</definedName>
    <definedName name="deg_list">List!$C$51:$C$57</definedName>
    <definedName name="dyn_simple">List!$D$35:$D$37</definedName>
    <definedName name="finaluse">List!$A$62:$A$70</definedName>
    <definedName name="fishCategory">Fishery!$F$4:$F$11</definedName>
    <definedName name="forest1" localSheetId="4">'A-R'!$D$10</definedName>
    <definedName name="forest1" localSheetId="13">'Forest Degradation'!$D$10</definedName>
    <definedName name="forest1" localSheetId="5">'non Forest LUC'!$F$11</definedName>
    <definedName name="forest1" localSheetId="8">Perennial!#REF!</definedName>
    <definedName name="forest1">Deforestation!$D$10</definedName>
    <definedName name="forest2" localSheetId="4">'A-R'!$D$11</definedName>
    <definedName name="forest2" localSheetId="13">'Forest Degradation'!$D$11</definedName>
    <definedName name="forest2" localSheetId="5">'non Forest LUC'!$F$12</definedName>
    <definedName name="forest2" localSheetId="8">Perennial!#REF!</definedName>
    <definedName name="forest2">Deforestation!$D$11</definedName>
    <definedName name="forest3" localSheetId="4">'A-R'!$D$12</definedName>
    <definedName name="forest3" localSheetId="13">'Forest Degradation'!$D$12</definedName>
    <definedName name="forest3" localSheetId="5">'non Forest LUC'!$F$13</definedName>
    <definedName name="forest3" localSheetId="8">Perennial!#REF!</definedName>
    <definedName name="forest3">Deforestation!$D$12</definedName>
    <definedName name="forest4" localSheetId="4">'A-R'!$D$13</definedName>
    <definedName name="forest4" localSheetId="13">'Forest Degradation'!$D$13</definedName>
    <definedName name="forest4" localSheetId="5">'non Forest LUC'!$F$14</definedName>
    <definedName name="forest4" localSheetId="8">Perennial!#REF!</definedName>
    <definedName name="forest4">Deforestation!$D$13</definedName>
    <definedName name="forest5" localSheetId="4">'A-R'!#REF!</definedName>
    <definedName name="forest5" localSheetId="5">'non Forest LUC'!#REF!</definedName>
    <definedName name="forest5" localSheetId="8">Perennial!#REF!</definedName>
    <definedName name="gearlist">Fishery!$A$93:$A$100</definedName>
    <definedName name="grassland_type">Grass!$Y$8:$Y$13</definedName>
    <definedName name="GWP">List!$B$40:$D$40</definedName>
    <definedName name="input">List!$A$102:$A$106</definedName>
    <definedName name="irrig_sys">' IPCC'!$A$694:$A$703</definedName>
    <definedName name="Item">List_Yield!$C$2:$C$63</definedName>
    <definedName name="Langs">'Other Translations'!$A$1:$L$1</definedName>
    <definedName name="Livestocks">' IPCC'!$A$336:$A$343</definedName>
    <definedName name="LUC_fin">List!$A$131:$A$139</definedName>
    <definedName name="LUC_ini">List!$A$119:$A$128</definedName>
    <definedName name="mangrove">Deforestation!$D$18</definedName>
    <definedName name="MAT">Livestock!$N$26</definedName>
    <definedName name="methane">'9. Results'!$W$4</definedName>
    <definedName name="moist_type">'1.Description'!$C$12</definedName>
    <definedName name="moisture">List!$F$20:$F$23</definedName>
    <definedName name="N2O_N_conversion">List!$A$176</definedName>
    <definedName name="Nitrous">'9. Results'!$W$5</definedName>
    <definedName name="Nlang">List!$D$15</definedName>
    <definedName name="Non_UN">translations!$H$1</definedName>
    <definedName name="plantation1" localSheetId="4">'A-R'!$D$14</definedName>
    <definedName name="plantation1" localSheetId="13">'Forest Degradation'!$D$14</definedName>
    <definedName name="plantation1" localSheetId="5">'non Forest LUC'!$F$15</definedName>
    <definedName name="plantation1" localSheetId="8">Perennial!#REF!</definedName>
    <definedName name="plantation1">Deforestation!$D$14</definedName>
    <definedName name="plantation2" localSheetId="4">'A-R'!$D$15</definedName>
    <definedName name="plantation2" localSheetId="13">'Forest Degradation'!$D$15</definedName>
    <definedName name="plantation2" localSheetId="5">'non Forest LUC'!$F$16</definedName>
    <definedName name="plantation2" localSheetId="8">Perennial!#REF!</definedName>
    <definedName name="plantation2">Deforestation!$D$15</definedName>
    <definedName name="plantation3" localSheetId="4">'A-R'!$D$16</definedName>
    <definedName name="plantation3" localSheetId="13">'Forest Degradation'!$D$16</definedName>
    <definedName name="plantation3" localSheetId="5">'non Forest LUC'!$F$17</definedName>
    <definedName name="plantation3" localSheetId="8">Perennial!#REF!</definedName>
    <definedName name="plantation3">Deforestation!$D$16</definedName>
    <definedName name="plantation4" localSheetId="4">'A-R'!$D$17</definedName>
    <definedName name="plantation4" localSheetId="13">'Forest Degradation'!$D$17</definedName>
    <definedName name="plantation4" localSheetId="5">'non Forest LUC'!$F$18</definedName>
    <definedName name="plantation4" localSheetId="8">Perennial!#REF!</definedName>
    <definedName name="plantation4">Deforestation!$D$17</definedName>
    <definedName name="plantation5" localSheetId="4">'A-R'!#REF!</definedName>
    <definedName name="plantation5" localSheetId="5">'non Forest LUC'!#REF!</definedName>
    <definedName name="plantation5" localSheetId="8">Perennial!#REF!</definedName>
    <definedName name="precedent">List!$A$113:$A$116</definedName>
    <definedName name="prevuse">List!$A$85:$A$93</definedName>
    <definedName name="_xlnm.Print_Area" localSheetId="1">'1.Description'!$B$7:$L$41</definedName>
    <definedName name="_xlnm.Print_Area" localSheetId="2">'2.LUC'!$B$6:$N$31</definedName>
    <definedName name="_xlnm.Print_Area" localSheetId="3">'3.Cropland'!$B$6:$S$9</definedName>
    <definedName name="_xlnm.Print_Area" localSheetId="12">'4.Grassland'!$B$6:$S$9</definedName>
    <definedName name="_xlnm.Print_Area" localSheetId="17">'5. Management'!$B$6:$G$8</definedName>
    <definedName name="_xlnm.Print_Area" localSheetId="22">'7. Inputs'!$B$6:$G$8</definedName>
    <definedName name="_xlnm.Print_Area" localSheetId="7">Annual!$A$5:$Y$54</definedName>
    <definedName name="_xlnm.Print_Area" localSheetId="4">'A-R'!$A$5:$V$60</definedName>
    <definedName name="_xlnm.Print_Area" localSheetId="11">Grass!$A$5:$AG$45</definedName>
    <definedName name="_xlnm.Print_Area" localSheetId="28">Help!$A$5:$S$101</definedName>
    <definedName name="_xlnm.Print_Area" localSheetId="18">Inputs!$A$5:$T$52</definedName>
    <definedName name="_xlnm.Print_Area" localSheetId="9">'Irrigated Rice'!$A$5:$AB$48</definedName>
    <definedName name="_xlnm.Print_Area" localSheetId="16">Livestock!$A$5:$T$105</definedName>
    <definedName name="_xlnm.Print_Area" localSheetId="10">Matrix!$B$5:$M$46</definedName>
    <definedName name="_xlnm.Print_Area" localSheetId="5">'non Forest LUC'!$A$5:$V$54</definedName>
    <definedName name="_xlnm.Print_Area" localSheetId="19">'Other investments'!$A$5:$M$86</definedName>
    <definedName name="_xlnm.Print_Area" localSheetId="8">Perennial!$A$5:$T$49</definedName>
    <definedName name="Rate">List!$A$35:$A$37</definedName>
    <definedName name="region">'1.Description'!$C$9</definedName>
    <definedName name="Region_y">List_Yield!$A$2:$A$31</definedName>
    <definedName name="Residue_mgmt">List!$A$147:$A$150</definedName>
    <definedName name="Rice_org">' IPCC'!$A$622:$A$629</definedName>
    <definedName name="Rice_pre">' IPCC'!$A$615:$A$618</definedName>
    <definedName name="rice_type">'Irrigated Rice'!$B$15:$B$24</definedName>
    <definedName name="Rice_water">' IPCC'!$A$608:$A$611</definedName>
    <definedName name="select">'0.Start'!$R$14</definedName>
    <definedName name="Select_c">Yield!$P$8</definedName>
    <definedName name="Select_lang">List!$I$7:$I$13</definedName>
    <definedName name="Select_p">Yield!$P$9</definedName>
    <definedName name="select_t">'0.Start'!$R$13</definedName>
    <definedName name="soil">'1.Description'!$C$15</definedName>
    <definedName name="Soil_Native">'non Forest LUC'!$N$25</definedName>
    <definedName name="soil_type">List!$A$20:$A$26</definedName>
    <definedName name="Tech_methane">' IPCC'!$B$553:$E$553</definedName>
    <definedName name="till_?">List!$E$149:$E$152</definedName>
    <definedName name="till_conv">List!$D$149:$D$151</definedName>
    <definedName name="till_impr">List!$C$149:$C$150</definedName>
    <definedName name="tillage">List!$A$97:$A$99</definedName>
    <definedName name="time">'1.Description'!$E$18</definedName>
    <definedName name="time_tot">'1.Description'!$E$20</definedName>
    <definedName name="time2">'1.Description'!$E$19</definedName>
    <definedName name="title">'1.Description'!$C$7</definedName>
    <definedName name="veg_type" localSheetId="4">List!$A$50:$A$59</definedName>
    <definedName name="veg_type" localSheetId="5">'non Forest LUC'!$E$11:$E$18</definedName>
    <definedName name="veg_type" localSheetId="8">Perennial!#REF!</definedName>
    <definedName name="veg_type">List!$A$50:$A$59</definedName>
    <definedName name="veg_type2">List!$A$73:$A$81</definedName>
    <definedName name="water">List!$A$109:$A$110</definedName>
    <definedName name="YES_NO">List!$A$46:$A$47</definedName>
    <definedName name="Yes_No_Annual">List!$C$46:$C$48</definedName>
  </definedNames>
  <calcPr calcId="152511"/>
</workbook>
</file>

<file path=xl/calcChain.xml><?xml version="1.0" encoding="utf-8"?>
<calcChain xmlns="http://schemas.openxmlformats.org/spreadsheetml/2006/main">
  <c r="B84" i="38" l="1"/>
  <c r="E84" i="38"/>
  <c r="H622" i="39"/>
  <c r="D622" i="40"/>
  <c r="C622" i="39"/>
  <c r="B7" i="39"/>
  <c r="M20" i="22"/>
  <c r="B690" i="7" l="1"/>
  <c r="B682" i="7" l="1"/>
  <c r="H72" i="5" l="1"/>
  <c r="C41" i="36" l="1"/>
  <c r="K28" i="17" l="1"/>
  <c r="K27" i="17"/>
  <c r="K11" i="17"/>
  <c r="F28" i="17"/>
  <c r="E28" i="17"/>
  <c r="D28" i="17"/>
  <c r="C28" i="17"/>
  <c r="B28" i="17"/>
  <c r="O13" i="28"/>
  <c r="Q28" i="17" l="1"/>
  <c r="V161" i="45"/>
  <c r="N143" i="49" l="1"/>
  <c r="J38" i="46" s="1"/>
  <c r="R143" i="49"/>
  <c r="Y26" i="47" l="1"/>
  <c r="U26" i="47"/>
  <c r="W26" i="47"/>
  <c r="Y22" i="47" l="1"/>
  <c r="W22" i="47"/>
  <c r="U22" i="47"/>
  <c r="L39" i="46"/>
  <c r="L38" i="46"/>
  <c r="J39" i="46"/>
  <c r="F39" i="46"/>
  <c r="F38" i="46"/>
  <c r="A649" i="40" l="1"/>
  <c r="R14" i="20"/>
  <c r="I208" i="36" l="1"/>
  <c r="D208" i="36"/>
  <c r="I207" i="36"/>
  <c r="K91" i="35"/>
  <c r="D11" i="20"/>
  <c r="B51" i="20"/>
  <c r="A648" i="40"/>
  <c r="G644" i="39" l="1"/>
  <c r="F644" i="39"/>
  <c r="E644" i="39"/>
  <c r="D644" i="39"/>
  <c r="C644" i="39"/>
  <c r="A219" i="43"/>
  <c r="Q13" i="26" l="1"/>
  <c r="S13" i="28"/>
  <c r="S13" i="26" s="1"/>
  <c r="G69" i="39"/>
  <c r="F69" i="39"/>
  <c r="F47" i="46" l="1"/>
  <c r="F48" i="46"/>
  <c r="F46" i="46"/>
  <c r="E1" i="41" l="1"/>
  <c r="E624" i="39"/>
  <c r="E521" i="39"/>
  <c r="E511" i="39"/>
  <c r="E491" i="39"/>
  <c r="E582" i="39"/>
  <c r="E445" i="39"/>
  <c r="E436" i="39"/>
  <c r="E341" i="39"/>
  <c r="E251" i="39"/>
  <c r="E209" i="39"/>
  <c r="E145" i="39"/>
  <c r="E76" i="39"/>
  <c r="E20" i="39"/>
  <c r="E7" i="39"/>
  <c r="A632" i="40"/>
  <c r="A631" i="40"/>
  <c r="A630" i="40"/>
  <c r="A629" i="40"/>
  <c r="A628" i="40"/>
  <c r="A627" i="40"/>
  <c r="A626" i="40"/>
  <c r="A625" i="40"/>
  <c r="A624" i="40"/>
  <c r="A623" i="40"/>
  <c r="A622" i="40"/>
  <c r="A621" i="40"/>
  <c r="A620" i="40"/>
  <c r="A619" i="40"/>
  <c r="A618" i="40"/>
  <c r="A617" i="40"/>
  <c r="A616" i="40"/>
  <c r="A615" i="40"/>
  <c r="A614" i="40"/>
  <c r="A613" i="40"/>
  <c r="A612" i="40"/>
  <c r="A611" i="40"/>
  <c r="A610" i="40"/>
  <c r="A609" i="40"/>
  <c r="A608" i="40"/>
  <c r="A607" i="40"/>
  <c r="A606" i="40"/>
  <c r="A605" i="40"/>
  <c r="A604" i="40"/>
  <c r="A603" i="40"/>
  <c r="A602" i="40"/>
  <c r="A601" i="40"/>
  <c r="A600" i="40"/>
  <c r="A599" i="40"/>
  <c r="A598" i="40"/>
  <c r="A597" i="40"/>
  <c r="A596" i="40"/>
  <c r="A595" i="40"/>
  <c r="A594" i="40"/>
  <c r="A593" i="40"/>
  <c r="A592" i="40"/>
  <c r="A591" i="40"/>
  <c r="A590" i="40"/>
  <c r="A589" i="40"/>
  <c r="A588" i="40"/>
  <c r="A587" i="40"/>
  <c r="A586" i="40"/>
  <c r="A585" i="40"/>
  <c r="A584" i="40"/>
  <c r="A583" i="40"/>
  <c r="A581" i="40"/>
  <c r="A580" i="40"/>
  <c r="A579" i="40"/>
  <c r="A578" i="40"/>
  <c r="A577" i="40"/>
  <c r="A576" i="40"/>
  <c r="A575" i="40"/>
  <c r="A574" i="40"/>
  <c r="A573" i="40"/>
  <c r="A572" i="40"/>
  <c r="A571" i="40"/>
  <c r="A570" i="40"/>
  <c r="A569" i="40"/>
  <c r="A568" i="40"/>
  <c r="A567" i="40"/>
  <c r="A566" i="40"/>
  <c r="A565" i="40"/>
  <c r="A564" i="40"/>
  <c r="A563" i="40"/>
  <c r="A562" i="40"/>
  <c r="A561" i="40"/>
  <c r="A560" i="40"/>
  <c r="A559" i="40"/>
  <c r="A558" i="40"/>
  <c r="A557" i="40"/>
  <c r="A556" i="40"/>
  <c r="A555" i="40"/>
  <c r="A554" i="40"/>
  <c r="A553" i="40"/>
  <c r="A552" i="40"/>
  <c r="A551" i="40"/>
  <c r="A550" i="40"/>
  <c r="A549" i="40"/>
  <c r="A548" i="40"/>
  <c r="A547" i="40"/>
  <c r="A546" i="40"/>
  <c r="A545" i="40"/>
  <c r="A544" i="40"/>
  <c r="A543" i="40"/>
  <c r="A542" i="40"/>
  <c r="A541" i="40"/>
  <c r="A540" i="40"/>
  <c r="A539" i="40"/>
  <c r="A538" i="40"/>
  <c r="A537" i="40"/>
  <c r="A536" i="40"/>
  <c r="A535" i="40"/>
  <c r="A534" i="40"/>
  <c r="A533" i="40"/>
  <c r="A532" i="40"/>
  <c r="A531" i="40"/>
  <c r="A530" i="40"/>
  <c r="A529" i="40"/>
  <c r="A528" i="40"/>
  <c r="A527" i="40"/>
  <c r="A526" i="40"/>
  <c r="A525" i="40"/>
  <c r="A524" i="40"/>
  <c r="A523" i="40"/>
  <c r="A522" i="40"/>
  <c r="D521" i="40"/>
  <c r="A520" i="40"/>
  <c r="A519" i="40"/>
  <c r="A518" i="40"/>
  <c r="A517" i="40"/>
  <c r="A516" i="40"/>
  <c r="A515" i="40"/>
  <c r="A514" i="40"/>
  <c r="A513" i="40"/>
  <c r="A512" i="40"/>
  <c r="C511" i="40"/>
  <c r="C521" i="40" s="1"/>
  <c r="B511" i="40"/>
  <c r="B521" i="40" s="1"/>
  <c r="B582" i="40" s="1"/>
  <c r="A511" i="40"/>
  <c r="A510" i="40"/>
  <c r="A509" i="40"/>
  <c r="A508" i="40"/>
  <c r="A507" i="40"/>
  <c r="A506" i="40"/>
  <c r="A505" i="40"/>
  <c r="A504" i="40"/>
  <c r="A503" i="40"/>
  <c r="A502" i="40"/>
  <c r="A501" i="40"/>
  <c r="A500" i="40"/>
  <c r="A499" i="40"/>
  <c r="A498" i="40"/>
  <c r="A497" i="40"/>
  <c r="A496" i="40"/>
  <c r="A495" i="40"/>
  <c r="A494" i="40"/>
  <c r="A493" i="40"/>
  <c r="A492" i="40"/>
  <c r="L491" i="40"/>
  <c r="L511" i="40" s="1"/>
  <c r="L521" i="40" s="1"/>
  <c r="L582" i="40" s="1"/>
  <c r="K491" i="40"/>
  <c r="K511" i="40" s="1"/>
  <c r="K521" i="40" s="1"/>
  <c r="K582" i="40" s="1"/>
  <c r="J491" i="40"/>
  <c r="J511" i="40" s="1"/>
  <c r="J521" i="40" s="1"/>
  <c r="J582" i="40" s="1"/>
  <c r="I491" i="40"/>
  <c r="I511" i="40" s="1"/>
  <c r="I521" i="40" s="1"/>
  <c r="I582" i="40" s="1"/>
  <c r="H491" i="40"/>
  <c r="H511" i="40" s="1"/>
  <c r="H521" i="40" s="1"/>
  <c r="H582" i="40" s="1"/>
  <c r="G491" i="40"/>
  <c r="G511" i="40" s="1"/>
  <c r="G521" i="40" s="1"/>
  <c r="G582" i="40" s="1"/>
  <c r="F491" i="40"/>
  <c r="F511" i="40" s="1"/>
  <c r="F521" i="40" s="1"/>
  <c r="F582" i="40" s="1"/>
  <c r="B491"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L436" i="40"/>
  <c r="K436" i="40"/>
  <c r="J436" i="40"/>
  <c r="I436" i="40"/>
  <c r="H436" i="40"/>
  <c r="G436" i="40"/>
  <c r="F436" i="40"/>
  <c r="B436"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L341" i="40"/>
  <c r="K341" i="40"/>
  <c r="J341" i="40"/>
  <c r="I341" i="40"/>
  <c r="H341" i="40"/>
  <c r="G341" i="40"/>
  <c r="F341" i="40"/>
  <c r="B341"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L251" i="40"/>
  <c r="K251" i="40"/>
  <c r="J251" i="40"/>
  <c r="I251" i="40"/>
  <c r="H251" i="40"/>
  <c r="G251" i="40"/>
  <c r="F251" i="40"/>
  <c r="B251"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L209" i="40"/>
  <c r="K209" i="40"/>
  <c r="J209" i="40"/>
  <c r="I209" i="40"/>
  <c r="H209" i="40"/>
  <c r="G209" i="40"/>
  <c r="F209" i="40"/>
  <c r="B209"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B145"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L76" i="40"/>
  <c r="K76" i="40"/>
  <c r="J76" i="40"/>
  <c r="I76" i="40"/>
  <c r="H76" i="40"/>
  <c r="G76" i="40"/>
  <c r="F76" i="40"/>
  <c r="C76" i="40"/>
  <c r="B76"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19" i="40"/>
  <c r="A18" i="40"/>
  <c r="A17" i="40"/>
  <c r="A16" i="40"/>
  <c r="A15" i="40"/>
  <c r="A14" i="40"/>
  <c r="A13" i="40"/>
  <c r="A12" i="40"/>
  <c r="A11" i="40"/>
  <c r="A10" i="40"/>
  <c r="A9" i="40"/>
  <c r="A8" i="40"/>
  <c r="L7" i="40"/>
  <c r="L20" i="40" s="1"/>
  <c r="K7" i="40"/>
  <c r="K20" i="40" s="1"/>
  <c r="J7" i="40"/>
  <c r="J20" i="40" s="1"/>
  <c r="I7" i="40"/>
  <c r="I20" i="40" s="1"/>
  <c r="H7" i="40"/>
  <c r="H20" i="40" s="1"/>
  <c r="G7" i="40"/>
  <c r="G20" i="40" s="1"/>
  <c r="F7" i="40"/>
  <c r="F20" i="40" s="1"/>
  <c r="B7" i="40"/>
  <c r="B20" i="40" s="1"/>
  <c r="A6" i="40"/>
  <c r="A5" i="40"/>
  <c r="A4" i="40"/>
  <c r="A3" i="40"/>
  <c r="A2" i="40"/>
  <c r="A268" i="41"/>
  <c r="C74" i="41"/>
  <c r="C72" i="41"/>
  <c r="A30" i="41"/>
  <c r="C14" i="41"/>
  <c r="A14" i="41"/>
  <c r="G642" i="39" l="1"/>
  <c r="F639" i="39"/>
  <c r="F643" i="39"/>
  <c r="E640" i="39"/>
  <c r="D641" i="39"/>
  <c r="D638" i="39"/>
  <c r="C641" i="39"/>
  <c r="G641" i="39"/>
  <c r="G638" i="39"/>
  <c r="F642" i="39"/>
  <c r="E639" i="39"/>
  <c r="E643" i="39"/>
  <c r="D640" i="39"/>
  <c r="C640" i="39"/>
  <c r="C638" i="39"/>
  <c r="D643" i="39"/>
  <c r="C643" i="39"/>
  <c r="G640" i="39"/>
  <c r="F641" i="39"/>
  <c r="F638" i="39"/>
  <c r="E642" i="39"/>
  <c r="D639" i="39"/>
  <c r="C639" i="39"/>
  <c r="C642" i="39"/>
  <c r="G639" i="39"/>
  <c r="G643" i="39"/>
  <c r="F640" i="39"/>
  <c r="E641" i="39"/>
  <c r="E638" i="39"/>
  <c r="D642" i="39"/>
  <c r="D239" i="40"/>
  <c r="C239" i="40"/>
  <c r="C523" i="40"/>
  <c r="D523" i="40"/>
  <c r="C531" i="40"/>
  <c r="D531" i="40"/>
  <c r="C539" i="40"/>
  <c r="D539" i="40"/>
  <c r="C547" i="40"/>
  <c r="D547" i="40"/>
  <c r="C555" i="40"/>
  <c r="D555" i="40"/>
  <c r="C563" i="40"/>
  <c r="D563" i="40"/>
  <c r="C571" i="40"/>
  <c r="D571" i="40"/>
  <c r="C579" i="40"/>
  <c r="D579" i="40"/>
  <c r="C588" i="40"/>
  <c r="D588" i="40"/>
  <c r="C596" i="40"/>
  <c r="D596" i="40"/>
  <c r="C604" i="40"/>
  <c r="D604" i="40"/>
  <c r="C612" i="40"/>
  <c r="D612" i="40"/>
  <c r="C620" i="40"/>
  <c r="D620" i="40"/>
  <c r="D628" i="40"/>
  <c r="C628" i="40"/>
  <c r="C524" i="40"/>
  <c r="D524" i="40"/>
  <c r="C532" i="40"/>
  <c r="D532" i="40"/>
  <c r="C540" i="40"/>
  <c r="D540" i="40"/>
  <c r="C548" i="40"/>
  <c r="D548" i="40"/>
  <c r="C556" i="40"/>
  <c r="D556" i="40"/>
  <c r="C564" i="40"/>
  <c r="D564" i="40"/>
  <c r="C572" i="40"/>
  <c r="D572" i="40"/>
  <c r="C580" i="40"/>
  <c r="D580" i="40"/>
  <c r="C589" i="40"/>
  <c r="D589" i="40"/>
  <c r="C597" i="40"/>
  <c r="D597" i="40"/>
  <c r="D605" i="40"/>
  <c r="C605" i="40"/>
  <c r="C613" i="40"/>
  <c r="D613" i="40"/>
  <c r="D621" i="40"/>
  <c r="C621" i="40"/>
  <c r="B629" i="40"/>
  <c r="C629" i="40"/>
  <c r="D629" i="40"/>
  <c r="D525" i="40"/>
  <c r="C525" i="40"/>
  <c r="D533" i="40"/>
  <c r="C533" i="40"/>
  <c r="C541" i="40"/>
  <c r="D541" i="40"/>
  <c r="D549" i="40"/>
  <c r="C549" i="40"/>
  <c r="C557" i="40"/>
  <c r="D557" i="40"/>
  <c r="D565" i="40"/>
  <c r="C565" i="40"/>
  <c r="C573" i="40"/>
  <c r="D573" i="40"/>
  <c r="C581" i="40"/>
  <c r="D581" i="40"/>
  <c r="D590" i="40"/>
  <c r="C590" i="40"/>
  <c r="D598" i="40"/>
  <c r="C598" i="40"/>
  <c r="D606" i="40"/>
  <c r="C606" i="40"/>
  <c r="D614" i="40"/>
  <c r="C614" i="40"/>
  <c r="D630" i="40"/>
  <c r="C630" i="40"/>
  <c r="D526" i="40"/>
  <c r="C526" i="40"/>
  <c r="D534" i="40"/>
  <c r="C534" i="40"/>
  <c r="D542" i="40"/>
  <c r="C542" i="40"/>
  <c r="D550" i="40"/>
  <c r="C550" i="40"/>
  <c r="D558" i="40"/>
  <c r="C558" i="40"/>
  <c r="D566" i="40"/>
  <c r="C566" i="40"/>
  <c r="D574" i="40"/>
  <c r="C574" i="40"/>
  <c r="D583" i="40"/>
  <c r="C583" i="40"/>
  <c r="D591" i="40"/>
  <c r="C591" i="40"/>
  <c r="D599" i="40"/>
  <c r="C599" i="40"/>
  <c r="C607" i="40"/>
  <c r="D607" i="40"/>
  <c r="C615" i="40"/>
  <c r="D615" i="40"/>
  <c r="D631" i="40"/>
  <c r="C631" i="40"/>
  <c r="D69" i="40"/>
  <c r="C69" i="40"/>
  <c r="C527" i="40"/>
  <c r="D527" i="40"/>
  <c r="C535" i="40"/>
  <c r="D535" i="40"/>
  <c r="C543" i="40"/>
  <c r="D543" i="40"/>
  <c r="C551" i="40"/>
  <c r="D551" i="40"/>
  <c r="C559" i="40"/>
  <c r="D559" i="40"/>
  <c r="C567" i="40"/>
  <c r="D567" i="40"/>
  <c r="D575" i="40"/>
  <c r="C575" i="40"/>
  <c r="C584" i="40"/>
  <c r="D584" i="40"/>
  <c r="C592" i="40"/>
  <c r="D592" i="40"/>
  <c r="C600" i="40"/>
  <c r="D600" i="40"/>
  <c r="C608" i="40"/>
  <c r="D608" i="40"/>
  <c r="C616" i="40"/>
  <c r="D616" i="40"/>
  <c r="D632" i="40"/>
  <c r="C632" i="40"/>
  <c r="C528" i="40"/>
  <c r="D528" i="40"/>
  <c r="C536" i="40"/>
  <c r="D536" i="40"/>
  <c r="C544" i="40"/>
  <c r="D544" i="40"/>
  <c r="C552" i="40"/>
  <c r="D552" i="40"/>
  <c r="C560" i="40"/>
  <c r="D560" i="40"/>
  <c r="C568" i="40"/>
  <c r="D568" i="40"/>
  <c r="C576" i="40"/>
  <c r="D576" i="40"/>
  <c r="D585" i="40"/>
  <c r="C585" i="40"/>
  <c r="D593" i="40"/>
  <c r="C593" i="40"/>
  <c r="D601" i="40"/>
  <c r="C601" i="40"/>
  <c r="C609" i="40"/>
  <c r="D609" i="40"/>
  <c r="D617" i="40"/>
  <c r="C617" i="40"/>
  <c r="D625" i="40"/>
  <c r="C625" i="40"/>
  <c r="D529" i="40"/>
  <c r="C529" i="40"/>
  <c r="C537" i="40"/>
  <c r="D537" i="40"/>
  <c r="D545" i="40"/>
  <c r="C545" i="40"/>
  <c r="C553" i="40"/>
  <c r="D553" i="40"/>
  <c r="D561" i="40"/>
  <c r="C561" i="40"/>
  <c r="C569" i="40"/>
  <c r="D569" i="40"/>
  <c r="D577" i="40"/>
  <c r="C577" i="40"/>
  <c r="D586" i="40"/>
  <c r="C586" i="40"/>
  <c r="D594" i="40"/>
  <c r="C594" i="40"/>
  <c r="D602" i="40"/>
  <c r="C602" i="40"/>
  <c r="D610" i="40"/>
  <c r="C610" i="40"/>
  <c r="D618" i="40"/>
  <c r="C618" i="40"/>
  <c r="D626" i="40"/>
  <c r="C626" i="40"/>
  <c r="C522" i="40"/>
  <c r="D522" i="40"/>
  <c r="D530" i="40"/>
  <c r="C530" i="40"/>
  <c r="D538" i="40"/>
  <c r="C538" i="40"/>
  <c r="D546" i="40"/>
  <c r="C546" i="40"/>
  <c r="D554" i="40"/>
  <c r="C554" i="40"/>
  <c r="D562" i="40"/>
  <c r="C562" i="40"/>
  <c r="D570" i="40"/>
  <c r="C570" i="40"/>
  <c r="D578" i="40"/>
  <c r="C578" i="40"/>
  <c r="C587" i="40"/>
  <c r="D587" i="40"/>
  <c r="C595" i="40"/>
  <c r="D595" i="40"/>
  <c r="C603" i="40"/>
  <c r="D603" i="40"/>
  <c r="D611" i="40"/>
  <c r="C611" i="40"/>
  <c r="D619" i="40"/>
  <c r="C619" i="40"/>
  <c r="D627" i="40"/>
  <c r="C627" i="40"/>
  <c r="C521" i="39"/>
  <c r="C582" i="39" s="1"/>
  <c r="B521" i="39"/>
  <c r="A521" i="39"/>
  <c r="C20" i="39"/>
  <c r="C7" i="39"/>
  <c r="H1" i="39"/>
  <c r="H649" i="39" s="1"/>
  <c r="A582" i="39" l="1"/>
  <c r="H648" i="39"/>
  <c r="H646" i="39"/>
  <c r="H637" i="39"/>
  <c r="H633" i="39"/>
  <c r="H645" i="39"/>
  <c r="H636" i="39"/>
  <c r="H632" i="39"/>
  <c r="H647" i="39"/>
  <c r="H634" i="39"/>
  <c r="H644" i="39"/>
  <c r="H635" i="39"/>
  <c r="H631" i="39"/>
  <c r="B20" i="39"/>
  <c r="A20" i="40" s="1"/>
  <c r="A7" i="40"/>
  <c r="B582" i="39"/>
  <c r="A582" i="40" s="1"/>
  <c r="A521" i="40"/>
  <c r="H630" i="39"/>
  <c r="H629" i="39"/>
  <c r="H521" i="39"/>
  <c r="O146" i="49" s="1"/>
  <c r="H626" i="39"/>
  <c r="H627" i="39"/>
  <c r="H1" i="41"/>
  <c r="H628" i="39"/>
  <c r="H625" i="39"/>
  <c r="H620" i="39"/>
  <c r="H616" i="39"/>
  <c r="H612" i="39"/>
  <c r="H608" i="39"/>
  <c r="H604" i="39"/>
  <c r="H600" i="39"/>
  <c r="H596" i="39"/>
  <c r="H592" i="39"/>
  <c r="H588" i="39"/>
  <c r="H584" i="39"/>
  <c r="H580" i="39"/>
  <c r="H576" i="39"/>
  <c r="H572" i="39"/>
  <c r="H568" i="39"/>
  <c r="H564" i="39"/>
  <c r="H560" i="39"/>
  <c r="H556" i="39"/>
  <c r="H552" i="39"/>
  <c r="H548" i="39"/>
  <c r="H544" i="39"/>
  <c r="H540" i="39"/>
  <c r="H536" i="39"/>
  <c r="H532" i="39"/>
  <c r="H528" i="39"/>
  <c r="H524" i="39"/>
  <c r="H520" i="39"/>
  <c r="H517" i="39"/>
  <c r="H515" i="39"/>
  <c r="H513" i="39"/>
  <c r="H511" i="39"/>
  <c r="H508" i="39"/>
  <c r="H504" i="39"/>
  <c r="H500" i="39"/>
  <c r="H496" i="39"/>
  <c r="H492" i="39"/>
  <c r="H489" i="39"/>
  <c r="H485" i="39"/>
  <c r="H481" i="39"/>
  <c r="H477" i="39"/>
  <c r="H473" i="39"/>
  <c r="H469" i="39"/>
  <c r="H465" i="39"/>
  <c r="H461" i="39"/>
  <c r="H457" i="39"/>
  <c r="H453" i="39"/>
  <c r="H449" i="39"/>
  <c r="H442" i="39"/>
  <c r="H438" i="39"/>
  <c r="H435" i="39"/>
  <c r="H431" i="39"/>
  <c r="H427" i="39"/>
  <c r="H423" i="39"/>
  <c r="H419" i="39"/>
  <c r="H415" i="39"/>
  <c r="H411" i="39"/>
  <c r="H407" i="39"/>
  <c r="H403" i="39"/>
  <c r="H399" i="39"/>
  <c r="H395" i="39"/>
  <c r="H391" i="39"/>
  <c r="H387" i="39"/>
  <c r="H383" i="39"/>
  <c r="H379" i="39"/>
  <c r="H375" i="39"/>
  <c r="H371" i="39"/>
  <c r="H367" i="39"/>
  <c r="H363" i="39"/>
  <c r="H359" i="39"/>
  <c r="H355" i="39"/>
  <c r="H351" i="39"/>
  <c r="H347" i="39"/>
  <c r="H343" i="39"/>
  <c r="H340" i="39"/>
  <c r="H336" i="39"/>
  <c r="H332" i="39"/>
  <c r="H328" i="39"/>
  <c r="H324" i="39"/>
  <c r="H320" i="39"/>
  <c r="H316" i="39"/>
  <c r="H312" i="39"/>
  <c r="H308" i="39"/>
  <c r="H304" i="39"/>
  <c r="H624" i="39"/>
  <c r="H617" i="39"/>
  <c r="H611" i="39"/>
  <c r="H606" i="39"/>
  <c r="H601" i="39"/>
  <c r="H595" i="39"/>
  <c r="H590" i="39"/>
  <c r="H585" i="39"/>
  <c r="H578" i="39"/>
  <c r="H573" i="39"/>
  <c r="H567" i="39"/>
  <c r="H562" i="39"/>
  <c r="H557" i="39"/>
  <c r="H551" i="39"/>
  <c r="H546" i="39"/>
  <c r="H541" i="39"/>
  <c r="H535" i="39"/>
  <c r="H530" i="39"/>
  <c r="H525" i="39"/>
  <c r="H518" i="39"/>
  <c r="H510" i="39"/>
  <c r="H505" i="39"/>
  <c r="H499" i="39"/>
  <c r="H494" i="39"/>
  <c r="H490" i="39"/>
  <c r="H484" i="39"/>
  <c r="H479" i="39"/>
  <c r="H474" i="39"/>
  <c r="H468" i="39"/>
  <c r="H463" i="39"/>
  <c r="H458" i="39"/>
  <c r="H452" i="39"/>
  <c r="H447" i="39"/>
  <c r="H443" i="39"/>
  <c r="H437" i="39"/>
  <c r="H433" i="39"/>
  <c r="H428" i="39"/>
  <c r="H422" i="39"/>
  <c r="H417" i="39"/>
  <c r="H412" i="39"/>
  <c r="H406" i="39"/>
  <c r="H401" i="39"/>
  <c r="H396" i="39"/>
  <c r="H390" i="39"/>
  <c r="H385" i="39"/>
  <c r="H380" i="39"/>
  <c r="H374" i="39"/>
  <c r="H369" i="39"/>
  <c r="H364" i="39"/>
  <c r="H358" i="39"/>
  <c r="H353" i="39"/>
  <c r="H348" i="39"/>
  <c r="H342" i="39"/>
  <c r="H338" i="39"/>
  <c r="H333" i="39"/>
  <c r="H327" i="39"/>
  <c r="H322" i="39"/>
  <c r="H317" i="39"/>
  <c r="H311" i="39"/>
  <c r="H306" i="39"/>
  <c r="H301" i="39"/>
  <c r="H297" i="39"/>
  <c r="H293" i="39"/>
  <c r="H289" i="39"/>
  <c r="H285" i="39"/>
  <c r="H281" i="39"/>
  <c r="H277" i="39"/>
  <c r="H273" i="39"/>
  <c r="H269" i="39"/>
  <c r="H265" i="39"/>
  <c r="H261" i="39"/>
  <c r="H257" i="39"/>
  <c r="H253" i="39"/>
  <c r="H250" i="39"/>
  <c r="H246" i="39"/>
  <c r="H242" i="39"/>
  <c r="H238" i="39"/>
  <c r="H234" i="39"/>
  <c r="H230" i="39"/>
  <c r="H226" i="39"/>
  <c r="H222" i="39"/>
  <c r="H218" i="39"/>
  <c r="H214" i="39"/>
  <c r="H210" i="39"/>
  <c r="H621" i="39"/>
  <c r="H614" i="39"/>
  <c r="H607" i="39"/>
  <c r="H599" i="39"/>
  <c r="H593" i="39"/>
  <c r="H586" i="39"/>
  <c r="H575" i="39"/>
  <c r="H569" i="39"/>
  <c r="H561" i="39"/>
  <c r="H554" i="39"/>
  <c r="H547" i="39"/>
  <c r="H539" i="39"/>
  <c r="H533" i="39"/>
  <c r="H526" i="39"/>
  <c r="H512" i="39"/>
  <c r="H507" i="39"/>
  <c r="H501" i="39"/>
  <c r="H493" i="39"/>
  <c r="H487" i="39"/>
  <c r="H480" i="39"/>
  <c r="H472" i="39"/>
  <c r="H466" i="39"/>
  <c r="H459" i="39"/>
  <c r="H451" i="39"/>
  <c r="H439" i="39"/>
  <c r="H432" i="39"/>
  <c r="H425" i="39"/>
  <c r="H418" i="39"/>
  <c r="H410" i="39"/>
  <c r="H404" i="39"/>
  <c r="H397" i="39"/>
  <c r="H389" i="39"/>
  <c r="H382" i="39"/>
  <c r="H376" i="39"/>
  <c r="H368" i="39"/>
  <c r="H361" i="39"/>
  <c r="H354" i="39"/>
  <c r="H346" i="39"/>
  <c r="H334" i="39"/>
  <c r="H326" i="39"/>
  <c r="H319" i="39"/>
  <c r="H313" i="39"/>
  <c r="H305" i="39"/>
  <c r="H299" i="39"/>
  <c r="H294" i="39"/>
  <c r="H288" i="39"/>
  <c r="H283" i="39"/>
  <c r="H278" i="39"/>
  <c r="H272" i="39"/>
  <c r="H267" i="39"/>
  <c r="H262" i="39"/>
  <c r="H256" i="39"/>
  <c r="H251" i="39"/>
  <c r="H247" i="39"/>
  <c r="H241" i="39"/>
  <c r="H236" i="39"/>
  <c r="H231" i="39"/>
  <c r="H225" i="39"/>
  <c r="H220" i="39"/>
  <c r="H215" i="39"/>
  <c r="H209" i="39"/>
  <c r="H206" i="39"/>
  <c r="H202" i="39"/>
  <c r="H198" i="39"/>
  <c r="H194" i="39"/>
  <c r="H190" i="39"/>
  <c r="H186" i="39"/>
  <c r="H182" i="39"/>
  <c r="H178" i="39"/>
  <c r="H174" i="39"/>
  <c r="H170" i="39"/>
  <c r="H166" i="39"/>
  <c r="H162" i="39"/>
  <c r="H158" i="39"/>
  <c r="H154" i="39"/>
  <c r="H150" i="39"/>
  <c r="H146" i="39"/>
  <c r="H143" i="39"/>
  <c r="H139" i="39"/>
  <c r="H135" i="39"/>
  <c r="H131" i="39"/>
  <c r="H127" i="39"/>
  <c r="H123" i="39"/>
  <c r="H119" i="39"/>
  <c r="H115" i="39"/>
  <c r="H111" i="39"/>
  <c r="H107" i="39"/>
  <c r="H103" i="39"/>
  <c r="H99" i="39"/>
  <c r="H95" i="39"/>
  <c r="H91" i="39"/>
  <c r="H87" i="39"/>
  <c r="H83" i="39"/>
  <c r="H79" i="39"/>
  <c r="H72" i="39"/>
  <c r="H68" i="39"/>
  <c r="H64" i="39"/>
  <c r="H60" i="39"/>
  <c r="H56" i="39"/>
  <c r="H52" i="39"/>
  <c r="H48" i="39"/>
  <c r="H44" i="39"/>
  <c r="H40" i="39"/>
  <c r="H36" i="39"/>
  <c r="H32" i="39"/>
  <c r="H28" i="39"/>
  <c r="H24" i="39"/>
  <c r="H20" i="39"/>
  <c r="H19" i="39"/>
  <c r="H15" i="39"/>
  <c r="H11" i="39"/>
  <c r="H7" i="39"/>
  <c r="H6" i="39"/>
  <c r="H2" i="39"/>
  <c r="H619" i="39"/>
  <c r="H613" i="39"/>
  <c r="H605" i="39"/>
  <c r="H598" i="39"/>
  <c r="H591" i="39"/>
  <c r="H583" i="39"/>
  <c r="H581" i="39"/>
  <c r="H574" i="39"/>
  <c r="H566" i="39"/>
  <c r="H559" i="39"/>
  <c r="H553" i="39"/>
  <c r="H545" i="39"/>
  <c r="H538" i="39"/>
  <c r="H531" i="39"/>
  <c r="H523" i="39"/>
  <c r="H514" i="39"/>
  <c r="H506" i="39"/>
  <c r="H498" i="39"/>
  <c r="H491" i="39"/>
  <c r="H486" i="39"/>
  <c r="H478" i="39"/>
  <c r="H471" i="39"/>
  <c r="H464" i="39"/>
  <c r="H456" i="39"/>
  <c r="H450" i="39"/>
  <c r="H444" i="39"/>
  <c r="H436" i="39"/>
  <c r="H445" i="39" s="1"/>
  <c r="H430" i="39"/>
  <c r="H424" i="39"/>
  <c r="H416" i="39"/>
  <c r="H409" i="39"/>
  <c r="H402" i="39"/>
  <c r="H394" i="39"/>
  <c r="H388" i="39"/>
  <c r="H381" i="39"/>
  <c r="H373" i="39"/>
  <c r="H366" i="39"/>
  <c r="H360" i="39"/>
  <c r="H352" i="39"/>
  <c r="H345" i="39"/>
  <c r="H339" i="39"/>
  <c r="H331" i="39"/>
  <c r="H325" i="39"/>
  <c r="H318" i="39"/>
  <c r="H310" i="39"/>
  <c r="H303" i="39"/>
  <c r="H298" i="39"/>
  <c r="H292" i="39"/>
  <c r="H287" i="39"/>
  <c r="H282" i="39"/>
  <c r="H276" i="39"/>
  <c r="H271" i="39"/>
  <c r="H266" i="39"/>
  <c r="H260" i="39"/>
  <c r="H255" i="39"/>
  <c r="H9" i="39"/>
  <c r="H14" i="39"/>
  <c r="H22" i="39"/>
  <c r="H27" i="39"/>
  <c r="H33" i="39"/>
  <c r="H38" i="39"/>
  <c r="H43" i="39"/>
  <c r="H49" i="39"/>
  <c r="H54" i="39"/>
  <c r="H59" i="39"/>
  <c r="H65" i="39"/>
  <c r="H70" i="39"/>
  <c r="H75" i="39"/>
  <c r="H78" i="39"/>
  <c r="H84" i="39"/>
  <c r="H89" i="39"/>
  <c r="H94" i="39"/>
  <c r="H100" i="39"/>
  <c r="H105" i="39"/>
  <c r="H110" i="39"/>
  <c r="H116" i="39"/>
  <c r="H121" i="39"/>
  <c r="H126" i="39"/>
  <c r="H132" i="39"/>
  <c r="H137" i="39"/>
  <c r="H142" i="39"/>
  <c r="H147" i="39"/>
  <c r="H152" i="39"/>
  <c r="H157" i="39"/>
  <c r="H163" i="39"/>
  <c r="H168" i="39"/>
  <c r="H173" i="39"/>
  <c r="H179" i="39"/>
  <c r="H184" i="39"/>
  <c r="H189" i="39"/>
  <c r="H195" i="39"/>
  <c r="H200" i="39"/>
  <c r="H205" i="39"/>
  <c r="H211" i="39"/>
  <c r="H217" i="39"/>
  <c r="H224" i="39"/>
  <c r="H232" i="39"/>
  <c r="H239" i="39"/>
  <c r="H245" i="39"/>
  <c r="H252" i="39"/>
  <c r="H263" i="39"/>
  <c r="H274" i="39"/>
  <c r="H284" i="39"/>
  <c r="H295" i="39"/>
  <c r="H307" i="39"/>
  <c r="H321" i="39"/>
  <c r="H335" i="39"/>
  <c r="H344" i="39"/>
  <c r="H357" i="39"/>
  <c r="H372" i="39"/>
  <c r="H386" i="39"/>
  <c r="H400" i="39"/>
  <c r="H414" i="39"/>
  <c r="H429" i="39"/>
  <c r="H441" i="39"/>
  <c r="H454" i="39"/>
  <c r="H467" i="39"/>
  <c r="H482" i="39"/>
  <c r="H495" i="39"/>
  <c r="H509" i="39"/>
  <c r="H527" i="39"/>
  <c r="H542" i="39"/>
  <c r="H555" i="39"/>
  <c r="H570" i="39"/>
  <c r="H594" i="39"/>
  <c r="H609" i="39"/>
  <c r="H3" i="39"/>
  <c r="H10" i="39"/>
  <c r="H16" i="39"/>
  <c r="H23" i="39"/>
  <c r="H29" i="39"/>
  <c r="H34" i="39"/>
  <c r="H39" i="39"/>
  <c r="H45" i="39"/>
  <c r="H50" i="39"/>
  <c r="H55" i="39"/>
  <c r="H61" i="39"/>
  <c r="H66" i="39"/>
  <c r="H71" i="39"/>
  <c r="H80" i="39"/>
  <c r="H85" i="39"/>
  <c r="H90" i="39"/>
  <c r="H96" i="39"/>
  <c r="H101" i="39"/>
  <c r="H106" i="39"/>
  <c r="H112" i="39"/>
  <c r="H117" i="39"/>
  <c r="H122" i="39"/>
  <c r="H128" i="39"/>
  <c r="H133" i="39"/>
  <c r="H138" i="39"/>
  <c r="H144" i="39"/>
  <c r="H148" i="39"/>
  <c r="H153" i="39"/>
  <c r="H159" i="39"/>
  <c r="H164" i="39"/>
  <c r="H169" i="39"/>
  <c r="H175" i="39"/>
  <c r="H180" i="39"/>
  <c r="H185" i="39"/>
  <c r="H191" i="39"/>
  <c r="H196" i="39"/>
  <c r="H201" i="39"/>
  <c r="H207" i="39"/>
  <c r="H212" i="39"/>
  <c r="H219" i="39"/>
  <c r="H227" i="39"/>
  <c r="H233" i="39"/>
  <c r="H240" i="39"/>
  <c r="H248" i="39"/>
  <c r="H254" i="39"/>
  <c r="H264" i="39"/>
  <c r="H275" i="39"/>
  <c r="H286" i="39"/>
  <c r="H296" i="39"/>
  <c r="H309" i="39"/>
  <c r="H323" i="39"/>
  <c r="H337" i="39"/>
  <c r="H349" i="39"/>
  <c r="H362" i="39"/>
  <c r="H377" i="39"/>
  <c r="H392" i="39"/>
  <c r="H405" i="39"/>
  <c r="H420" i="39"/>
  <c r="H434" i="39"/>
  <c r="H455" i="39"/>
  <c r="H470" i="39"/>
  <c r="H483" i="39"/>
  <c r="H497" i="39"/>
  <c r="H529" i="39"/>
  <c r="H543" i="39"/>
  <c r="H558" i="39"/>
  <c r="H571" i="39"/>
  <c r="H582" i="39"/>
  <c r="H597" i="39"/>
  <c r="H610" i="39"/>
  <c r="H4" i="39"/>
  <c r="H12" i="39"/>
  <c r="H17" i="39"/>
  <c r="H25" i="39"/>
  <c r="H30" i="39"/>
  <c r="H35" i="39"/>
  <c r="H41" i="39"/>
  <c r="H46" i="39"/>
  <c r="H51" i="39"/>
  <c r="H57" i="39"/>
  <c r="H62" i="39"/>
  <c r="H67" i="39"/>
  <c r="H73" i="39"/>
  <c r="H76" i="39"/>
  <c r="H81" i="39"/>
  <c r="H86" i="39"/>
  <c r="H92" i="39"/>
  <c r="H97" i="39"/>
  <c r="H102" i="39"/>
  <c r="H108" i="39"/>
  <c r="H113" i="39"/>
  <c r="H118" i="39"/>
  <c r="H124" i="39"/>
  <c r="H129" i="39"/>
  <c r="H134" i="39"/>
  <c r="H140" i="39"/>
  <c r="H149" i="39"/>
  <c r="H155" i="39"/>
  <c r="H160" i="39"/>
  <c r="H165" i="39"/>
  <c r="H171" i="39"/>
  <c r="H176" i="39"/>
  <c r="H181" i="39"/>
  <c r="H187" i="39"/>
  <c r="H192" i="39"/>
  <c r="H197" i="39"/>
  <c r="H203" i="39"/>
  <c r="H208" i="39"/>
  <c r="H213" i="39"/>
  <c r="H221" i="39"/>
  <c r="H228" i="39"/>
  <c r="H235" i="39"/>
  <c r="H243" i="39"/>
  <c r="H249" i="39"/>
  <c r="H258" i="39"/>
  <c r="H268" i="39"/>
  <c r="H279" i="39"/>
  <c r="H290" i="39"/>
  <c r="H300" i="39"/>
  <c r="H314" i="39"/>
  <c r="H329" i="39"/>
  <c r="H350" i="39"/>
  <c r="H365" i="39"/>
  <c r="H378" i="39"/>
  <c r="H393" i="39"/>
  <c r="H408" i="39"/>
  <c r="H421" i="39"/>
  <c r="H446" i="39"/>
  <c r="H460" i="39"/>
  <c r="H475" i="39"/>
  <c r="H488" i="39"/>
  <c r="H502" i="39"/>
  <c r="H519" i="39"/>
  <c r="H534" i="39"/>
  <c r="H549" i="39"/>
  <c r="H563" i="39"/>
  <c r="H577" i="39"/>
  <c r="H587" i="39"/>
  <c r="H602" i="39"/>
  <c r="H615" i="39"/>
  <c r="H5" i="39"/>
  <c r="H8" i="39"/>
  <c r="H13" i="39"/>
  <c r="H18" i="39"/>
  <c r="H21" i="39"/>
  <c r="H26" i="39"/>
  <c r="H31" i="39"/>
  <c r="H37" i="39"/>
  <c r="H42" i="39"/>
  <c r="H47" i="39"/>
  <c r="H53" i="39"/>
  <c r="H58" i="39"/>
  <c r="H63" i="39"/>
  <c r="H69" i="39"/>
  <c r="H74" i="39"/>
  <c r="H77" i="39"/>
  <c r="H82" i="39"/>
  <c r="H88" i="39"/>
  <c r="H93" i="39"/>
  <c r="H98" i="39"/>
  <c r="H104" i="39"/>
  <c r="H109" i="39"/>
  <c r="H114" i="39"/>
  <c r="H120" i="39"/>
  <c r="H125" i="39"/>
  <c r="H130" i="39"/>
  <c r="H136" i="39"/>
  <c r="H141" i="39"/>
  <c r="H145" i="39"/>
  <c r="H151" i="39"/>
  <c r="H156" i="39"/>
  <c r="H161" i="39"/>
  <c r="H167" i="39"/>
  <c r="H172" i="39"/>
  <c r="H177" i="39"/>
  <c r="H183" i="39"/>
  <c r="H188" i="39"/>
  <c r="H193" i="39"/>
  <c r="H199" i="39"/>
  <c r="H204" i="39"/>
  <c r="H216" i="39"/>
  <c r="H223" i="39"/>
  <c r="H229" i="39"/>
  <c r="H237" i="39"/>
  <c r="H244" i="39"/>
  <c r="H259" i="39"/>
  <c r="H270" i="39"/>
  <c r="H280" i="39"/>
  <c r="H291" i="39"/>
  <c r="H302" i="39"/>
  <c r="H315" i="39"/>
  <c r="H330" i="39"/>
  <c r="H341" i="39"/>
  <c r="H356" i="39"/>
  <c r="H370" i="39"/>
  <c r="H384" i="39"/>
  <c r="H398" i="39"/>
  <c r="H413" i="39"/>
  <c r="H426" i="39"/>
  <c r="H440" i="39"/>
  <c r="H448" i="39"/>
  <c r="H462" i="39"/>
  <c r="H476" i="39"/>
  <c r="H503" i="39"/>
  <c r="H516" i="39"/>
  <c r="H522" i="39"/>
  <c r="H537" i="39"/>
  <c r="H550" i="39"/>
  <c r="H565" i="39"/>
  <c r="H579" i="39"/>
  <c r="H589" i="39"/>
  <c r="H603" i="39"/>
  <c r="H618" i="39"/>
  <c r="A176" i="3"/>
  <c r="L14" i="9"/>
  <c r="L15" i="9"/>
  <c r="L16" i="9"/>
  <c r="L17" i="9"/>
  <c r="L18" i="9"/>
  <c r="L19" i="9"/>
  <c r="L20" i="9"/>
  <c r="L21" i="9"/>
  <c r="L22" i="9"/>
  <c r="L13" i="9"/>
  <c r="L10" i="9"/>
  <c r="L11" i="9"/>
  <c r="L12" i="9"/>
  <c r="L9" i="9"/>
  <c r="AB23" i="31"/>
  <c r="AB24" i="31"/>
  <c r="AB25" i="31"/>
  <c r="AB26" i="31"/>
  <c r="AB27" i="31"/>
  <c r="AB28" i="31"/>
  <c r="AB29" i="31"/>
  <c r="AB30" i="31"/>
  <c r="AB31" i="31"/>
  <c r="AB22" i="31"/>
  <c r="AB14" i="31"/>
  <c r="AB15" i="31"/>
  <c r="AB16" i="31"/>
  <c r="AB13" i="31"/>
  <c r="O147" i="49" l="1"/>
  <c r="D582" i="40"/>
  <c r="C582" i="40"/>
  <c r="M68" i="9"/>
  <c r="M69" i="9"/>
  <c r="M70" i="9"/>
  <c r="N70" i="9" s="1"/>
  <c r="M71" i="9"/>
  <c r="M72" i="9"/>
  <c r="N72" i="9" s="1"/>
  <c r="M73" i="9"/>
  <c r="M74" i="9"/>
  <c r="M75" i="9"/>
  <c r="N75" i="9" s="1"/>
  <c r="M76" i="9"/>
  <c r="N76" i="9" s="1"/>
  <c r="M67" i="9"/>
  <c r="M64" i="9"/>
  <c r="M65" i="9"/>
  <c r="N65" i="9" s="1"/>
  <c r="M66" i="9"/>
  <c r="N66" i="9" s="1"/>
  <c r="M63" i="9"/>
  <c r="N69" i="9" l="1"/>
  <c r="N63" i="9"/>
  <c r="R68" i="9"/>
  <c r="N68" i="9"/>
  <c r="R67" i="9"/>
  <c r="N67" i="9"/>
  <c r="N73" i="9"/>
  <c r="R64" i="9"/>
  <c r="N64" i="9"/>
  <c r="N74" i="9"/>
  <c r="R71" i="9"/>
  <c r="N71" i="9"/>
  <c r="X17" i="9"/>
  <c r="T66" i="9"/>
  <c r="X12" i="9"/>
  <c r="T72" i="9"/>
  <c r="S65" i="9"/>
  <c r="X11" i="9"/>
  <c r="R75" i="9"/>
  <c r="R76" i="9"/>
  <c r="S73" i="9"/>
  <c r="S69" i="9"/>
  <c r="S74" i="9"/>
  <c r="T63" i="9"/>
  <c r="R65" i="9"/>
  <c r="S66" i="9"/>
  <c r="T67" i="9"/>
  <c r="R69" i="9"/>
  <c r="S70" i="9"/>
  <c r="T71" i="9"/>
  <c r="R73" i="9"/>
  <c r="T75" i="9"/>
  <c r="R63" i="9"/>
  <c r="S63" i="9"/>
  <c r="T64" i="9"/>
  <c r="R66" i="9"/>
  <c r="S67" i="9"/>
  <c r="T68" i="9"/>
  <c r="R70" i="9"/>
  <c r="S71" i="9"/>
  <c r="R74" i="9"/>
  <c r="S75" i="9"/>
  <c r="T76" i="9"/>
  <c r="S64" i="9"/>
  <c r="T65" i="9"/>
  <c r="S68" i="9"/>
  <c r="T69" i="9"/>
  <c r="S72" i="9"/>
  <c r="T73" i="9"/>
  <c r="S76" i="9"/>
  <c r="T70" i="9"/>
  <c r="R72" i="9"/>
  <c r="T74" i="9"/>
  <c r="D1646" i="33" l="1"/>
  <c r="E1646" i="33" s="1"/>
  <c r="D1293" i="33"/>
  <c r="E1293" i="33" s="1"/>
  <c r="D1294" i="33"/>
  <c r="E1294" i="33" s="1"/>
  <c r="D1295" i="33"/>
  <c r="E1295" i="33" s="1"/>
  <c r="D1296" i="33"/>
  <c r="E1296" i="33" s="1"/>
  <c r="D1297" i="33"/>
  <c r="E1297" i="33" s="1"/>
  <c r="D1298" i="33"/>
  <c r="E1298" i="33" s="1"/>
  <c r="D1299" i="33"/>
  <c r="E1299" i="33" s="1"/>
  <c r="D1300" i="33"/>
  <c r="E1300" i="33" s="1"/>
  <c r="D1301" i="33"/>
  <c r="E1301" i="33" s="1"/>
  <c r="D1302" i="33"/>
  <c r="E1302" i="33" s="1"/>
  <c r="D1303" i="33"/>
  <c r="E1303" i="33" s="1"/>
  <c r="D1304" i="33"/>
  <c r="E1304" i="33" s="1"/>
  <c r="D1305" i="33"/>
  <c r="E1305" i="33" s="1"/>
  <c r="D1306" i="33"/>
  <c r="E1306" i="33" s="1"/>
  <c r="D1307" i="33"/>
  <c r="E1307" i="33" s="1"/>
  <c r="D1308" i="33"/>
  <c r="E1308" i="33" s="1"/>
  <c r="D1309" i="33"/>
  <c r="E1309" i="33" s="1"/>
  <c r="D1310" i="33"/>
  <c r="E1310" i="33" s="1"/>
  <c r="D1311" i="33"/>
  <c r="E1311" i="33" s="1"/>
  <c r="D1312" i="33"/>
  <c r="E1312" i="33" s="1"/>
  <c r="D1313" i="33"/>
  <c r="E1313" i="33" s="1"/>
  <c r="D1314" i="33"/>
  <c r="E1314" i="33" s="1"/>
  <c r="D1315" i="33"/>
  <c r="E1315" i="33" s="1"/>
  <c r="D1316" i="33"/>
  <c r="E1316" i="33" s="1"/>
  <c r="D1317" i="33"/>
  <c r="E1317" i="33" s="1"/>
  <c r="D1318" i="33"/>
  <c r="E1318" i="33" s="1"/>
  <c r="D1319" i="33"/>
  <c r="E1319" i="33" s="1"/>
  <c r="D1320" i="33"/>
  <c r="E1320" i="33" s="1"/>
  <c r="D1321" i="33"/>
  <c r="E1321" i="33" s="1"/>
  <c r="D1322" i="33"/>
  <c r="E1322" i="33" s="1"/>
  <c r="D1323" i="33"/>
  <c r="E1323" i="33" s="1"/>
  <c r="D1324" i="33"/>
  <c r="E1324" i="33" s="1"/>
  <c r="D1325" i="33"/>
  <c r="E1325" i="33" s="1"/>
  <c r="D1326" i="33"/>
  <c r="E1326" i="33" s="1"/>
  <c r="D1327" i="33"/>
  <c r="E1327" i="33" s="1"/>
  <c r="D1328" i="33"/>
  <c r="E1328" i="33" s="1"/>
  <c r="D1329" i="33"/>
  <c r="E1329" i="33" s="1"/>
  <c r="D1330" i="33"/>
  <c r="E1330" i="33" s="1"/>
  <c r="D1331" i="33"/>
  <c r="E1331" i="33" s="1"/>
  <c r="D1332" i="33"/>
  <c r="E1332" i="33" s="1"/>
  <c r="D1333" i="33"/>
  <c r="E1333" i="33" s="1"/>
  <c r="D1334" i="33"/>
  <c r="E1334" i="33" s="1"/>
  <c r="D1335" i="33"/>
  <c r="E1335" i="33" s="1"/>
  <c r="D1336" i="33"/>
  <c r="E1336" i="33" s="1"/>
  <c r="D1337" i="33"/>
  <c r="E1337" i="33" s="1"/>
  <c r="D1338" i="33"/>
  <c r="E1338" i="33" s="1"/>
  <c r="D1339" i="33"/>
  <c r="E1339" i="33" s="1"/>
  <c r="D1340" i="33"/>
  <c r="E1340" i="33" s="1"/>
  <c r="D1341" i="33"/>
  <c r="E1341" i="33" s="1"/>
  <c r="D1342" i="33"/>
  <c r="E1342" i="33" s="1"/>
  <c r="D1343" i="33"/>
  <c r="E1343" i="33" s="1"/>
  <c r="D1344" i="33"/>
  <c r="E1344" i="33" s="1"/>
  <c r="D1345" i="33"/>
  <c r="E1345" i="33" s="1"/>
  <c r="D1346" i="33"/>
  <c r="E1346" i="33" s="1"/>
  <c r="D1347" i="33"/>
  <c r="E1347" i="33" s="1"/>
  <c r="D1348" i="33"/>
  <c r="E1348" i="33" s="1"/>
  <c r="D1349" i="33"/>
  <c r="E1349" i="33" s="1"/>
  <c r="D1350" i="33"/>
  <c r="E1350" i="33" s="1"/>
  <c r="D1351" i="33"/>
  <c r="E1351" i="33" s="1"/>
  <c r="D1352" i="33"/>
  <c r="E1352" i="33" s="1"/>
  <c r="D1353" i="33"/>
  <c r="E1353" i="33" s="1"/>
  <c r="D1354" i="33"/>
  <c r="E1354" i="33" s="1"/>
  <c r="D1355" i="33"/>
  <c r="E1355" i="33" s="1"/>
  <c r="D1356" i="33"/>
  <c r="E1356" i="33" s="1"/>
  <c r="D1357" i="33"/>
  <c r="E1357" i="33" s="1"/>
  <c r="D1358" i="33"/>
  <c r="E1358" i="33" s="1"/>
  <c r="D1359" i="33"/>
  <c r="E1359" i="33" s="1"/>
  <c r="D1360" i="33"/>
  <c r="E1360" i="33" s="1"/>
  <c r="D1361" i="33"/>
  <c r="E1361" i="33" s="1"/>
  <c r="D1362" i="33"/>
  <c r="E1362" i="33" s="1"/>
  <c r="D1363" i="33"/>
  <c r="E1363" i="33" s="1"/>
  <c r="D1364" i="33"/>
  <c r="E1364" i="33" s="1"/>
  <c r="D1365" i="33"/>
  <c r="E1365" i="33" s="1"/>
  <c r="D1366" i="33"/>
  <c r="E1366" i="33" s="1"/>
  <c r="D1367" i="33"/>
  <c r="E1367" i="33" s="1"/>
  <c r="D1368" i="33"/>
  <c r="E1368" i="33" s="1"/>
  <c r="D1369" i="33"/>
  <c r="E1369" i="33" s="1"/>
  <c r="D1370" i="33"/>
  <c r="E1370" i="33" s="1"/>
  <c r="D1371" i="33"/>
  <c r="E1371" i="33" s="1"/>
  <c r="D1372" i="33"/>
  <c r="E1372" i="33" s="1"/>
  <c r="D1373" i="33"/>
  <c r="E1373" i="33" s="1"/>
  <c r="D1374" i="33"/>
  <c r="E1374" i="33" s="1"/>
  <c r="D1375" i="33"/>
  <c r="E1375" i="33" s="1"/>
  <c r="D1376" i="33"/>
  <c r="E1376" i="33" s="1"/>
  <c r="D1377" i="33"/>
  <c r="E1377" i="33" s="1"/>
  <c r="D1378" i="33"/>
  <c r="E1378" i="33" s="1"/>
  <c r="D1379" i="33"/>
  <c r="E1379" i="33" s="1"/>
  <c r="D1380" i="33"/>
  <c r="E1380" i="33" s="1"/>
  <c r="D1381" i="33"/>
  <c r="E1381" i="33" s="1"/>
  <c r="D1382" i="33"/>
  <c r="E1382" i="33" s="1"/>
  <c r="D1383" i="33"/>
  <c r="E1383" i="33" s="1"/>
  <c r="D1384" i="33"/>
  <c r="E1384" i="33" s="1"/>
  <c r="D1385" i="33"/>
  <c r="E1385" i="33" s="1"/>
  <c r="D1386" i="33"/>
  <c r="E1386" i="33" s="1"/>
  <c r="D1387" i="33"/>
  <c r="E1387" i="33" s="1"/>
  <c r="D1388" i="33"/>
  <c r="E1388" i="33" s="1"/>
  <c r="D1389" i="33"/>
  <c r="E1389" i="33" s="1"/>
  <c r="D1390" i="33"/>
  <c r="E1390" i="33" s="1"/>
  <c r="D1391" i="33"/>
  <c r="E1391" i="33" s="1"/>
  <c r="D1392" i="33"/>
  <c r="E1392" i="33" s="1"/>
  <c r="D1393" i="33"/>
  <c r="E1393" i="33" s="1"/>
  <c r="D1394" i="33"/>
  <c r="E1394" i="33" s="1"/>
  <c r="D1395" i="33"/>
  <c r="E1395" i="33" s="1"/>
  <c r="D1396" i="33"/>
  <c r="E1396" i="33" s="1"/>
  <c r="D1397" i="33"/>
  <c r="E1397" i="33" s="1"/>
  <c r="D1398" i="33"/>
  <c r="E1398" i="33" s="1"/>
  <c r="D1399" i="33"/>
  <c r="E1399" i="33" s="1"/>
  <c r="D1400" i="33"/>
  <c r="E1400" i="33" s="1"/>
  <c r="D1401" i="33"/>
  <c r="E1401" i="33" s="1"/>
  <c r="D1402" i="33"/>
  <c r="E1402" i="33" s="1"/>
  <c r="D1403" i="33"/>
  <c r="E1403" i="33" s="1"/>
  <c r="D1404" i="33"/>
  <c r="E1404" i="33" s="1"/>
  <c r="D1405" i="33"/>
  <c r="E1405" i="33" s="1"/>
  <c r="D1406" i="33"/>
  <c r="E1406" i="33" s="1"/>
  <c r="D1407" i="33"/>
  <c r="E1407" i="33" s="1"/>
  <c r="D1408" i="33"/>
  <c r="E1408" i="33" s="1"/>
  <c r="D1409" i="33"/>
  <c r="E1409" i="33" s="1"/>
  <c r="D1410" i="33"/>
  <c r="E1410" i="33" s="1"/>
  <c r="D1411" i="33"/>
  <c r="E1411" i="33" s="1"/>
  <c r="D1412" i="33"/>
  <c r="E1412" i="33" s="1"/>
  <c r="D1413" i="33"/>
  <c r="E1413" i="33" s="1"/>
  <c r="D1414" i="33"/>
  <c r="E1414" i="33" s="1"/>
  <c r="D1415" i="33"/>
  <c r="E1415" i="33" s="1"/>
  <c r="D1416" i="33"/>
  <c r="E1416" i="33" s="1"/>
  <c r="D1417" i="33"/>
  <c r="E1417" i="33" s="1"/>
  <c r="D1418" i="33"/>
  <c r="E1418" i="33" s="1"/>
  <c r="D1419" i="33"/>
  <c r="E1419" i="33" s="1"/>
  <c r="D1420" i="33"/>
  <c r="E1420" i="33" s="1"/>
  <c r="D1421" i="33"/>
  <c r="E1421" i="33" s="1"/>
  <c r="D1422" i="33"/>
  <c r="E1422" i="33" s="1"/>
  <c r="D1423" i="33"/>
  <c r="E1423" i="33" s="1"/>
  <c r="D1424" i="33"/>
  <c r="E1424" i="33" s="1"/>
  <c r="D1425" i="33"/>
  <c r="E1425" i="33" s="1"/>
  <c r="D1426" i="33"/>
  <c r="E1426" i="33" s="1"/>
  <c r="D1427" i="33"/>
  <c r="E1427" i="33" s="1"/>
  <c r="D1428" i="33"/>
  <c r="E1428" i="33" s="1"/>
  <c r="D1429" i="33"/>
  <c r="E1429" i="33" s="1"/>
  <c r="D1430" i="33"/>
  <c r="E1430" i="33" s="1"/>
  <c r="D1431" i="33"/>
  <c r="E1431" i="33" s="1"/>
  <c r="D1432" i="33"/>
  <c r="E1432" i="33" s="1"/>
  <c r="D1433" i="33"/>
  <c r="E1433" i="33" s="1"/>
  <c r="D1434" i="33"/>
  <c r="E1434" i="33" s="1"/>
  <c r="D1435" i="33"/>
  <c r="E1435" i="33" s="1"/>
  <c r="D1436" i="33"/>
  <c r="E1436" i="33" s="1"/>
  <c r="D1437" i="33"/>
  <c r="E1437" i="33" s="1"/>
  <c r="D1438" i="33"/>
  <c r="E1438" i="33" s="1"/>
  <c r="D1439" i="33"/>
  <c r="E1439" i="33" s="1"/>
  <c r="D1440" i="33"/>
  <c r="E1440" i="33" s="1"/>
  <c r="D1441" i="33"/>
  <c r="E1441" i="33" s="1"/>
  <c r="D1442" i="33"/>
  <c r="E1442" i="33" s="1"/>
  <c r="D1443" i="33"/>
  <c r="E1443" i="33" s="1"/>
  <c r="D1444" i="33"/>
  <c r="E1444" i="33" s="1"/>
  <c r="D1445" i="33"/>
  <c r="E1445" i="33" s="1"/>
  <c r="D1446" i="33"/>
  <c r="E1446" i="33" s="1"/>
  <c r="D1447" i="33"/>
  <c r="E1447" i="33" s="1"/>
  <c r="D1448" i="33"/>
  <c r="E1448" i="33" s="1"/>
  <c r="D1449" i="33"/>
  <c r="E1449" i="33" s="1"/>
  <c r="D1450" i="33"/>
  <c r="E1450" i="33" s="1"/>
  <c r="D1451" i="33"/>
  <c r="E1451" i="33" s="1"/>
  <c r="D1452" i="33"/>
  <c r="E1452" i="33" s="1"/>
  <c r="D1453" i="33"/>
  <c r="E1453" i="33" s="1"/>
  <c r="D1454" i="33"/>
  <c r="E1454" i="33" s="1"/>
  <c r="D1455" i="33"/>
  <c r="E1455" i="33" s="1"/>
  <c r="D1456" i="33"/>
  <c r="E1456" i="33" s="1"/>
  <c r="D1457" i="33"/>
  <c r="E1457" i="33" s="1"/>
  <c r="D1458" i="33"/>
  <c r="E1458" i="33" s="1"/>
  <c r="D1459" i="33"/>
  <c r="E1459" i="33" s="1"/>
  <c r="D1460" i="33"/>
  <c r="E1460" i="33" s="1"/>
  <c r="D1461" i="33"/>
  <c r="E1461" i="33" s="1"/>
  <c r="D1462" i="33"/>
  <c r="E1462" i="33" s="1"/>
  <c r="D1463" i="33"/>
  <c r="E1463" i="33" s="1"/>
  <c r="D1464" i="33"/>
  <c r="E1464" i="33" s="1"/>
  <c r="D1465" i="33"/>
  <c r="E1465" i="33" s="1"/>
  <c r="D1466" i="33"/>
  <c r="E1466" i="33" s="1"/>
  <c r="D1467" i="33"/>
  <c r="E1467" i="33" s="1"/>
  <c r="D1468" i="33"/>
  <c r="E1468" i="33" s="1"/>
  <c r="D1469" i="33"/>
  <c r="E1469" i="33" s="1"/>
  <c r="D1470" i="33"/>
  <c r="E1470" i="33" s="1"/>
  <c r="D1471" i="33"/>
  <c r="E1471" i="33" s="1"/>
  <c r="D1472" i="33"/>
  <c r="E1472" i="33" s="1"/>
  <c r="D1473" i="33"/>
  <c r="E1473" i="33" s="1"/>
  <c r="D1474" i="33"/>
  <c r="E1474" i="33" s="1"/>
  <c r="D1475" i="33"/>
  <c r="E1475" i="33" s="1"/>
  <c r="D1476" i="33"/>
  <c r="E1476" i="33" s="1"/>
  <c r="D1477" i="33"/>
  <c r="E1477" i="33" s="1"/>
  <c r="D1478" i="33"/>
  <c r="E1478" i="33" s="1"/>
  <c r="D1479" i="33"/>
  <c r="E1479" i="33" s="1"/>
  <c r="D1480" i="33"/>
  <c r="E1480" i="33" s="1"/>
  <c r="D1481" i="33"/>
  <c r="E1481" i="33" s="1"/>
  <c r="D1482" i="33"/>
  <c r="E1482" i="33" s="1"/>
  <c r="D1483" i="33"/>
  <c r="E1483" i="33" s="1"/>
  <c r="D1484" i="33"/>
  <c r="E1484" i="33" s="1"/>
  <c r="D1485" i="33"/>
  <c r="E1485" i="33" s="1"/>
  <c r="D1486" i="33"/>
  <c r="E1486" i="33" s="1"/>
  <c r="D1487" i="33"/>
  <c r="E1487" i="33" s="1"/>
  <c r="D1488" i="33"/>
  <c r="E1488" i="33" s="1"/>
  <c r="D1489" i="33"/>
  <c r="E1489" i="33" s="1"/>
  <c r="D1490" i="33"/>
  <c r="E1490" i="33" s="1"/>
  <c r="D1491" i="33"/>
  <c r="E1491" i="33" s="1"/>
  <c r="D1492" i="33"/>
  <c r="E1492" i="33" s="1"/>
  <c r="D1493" i="33"/>
  <c r="E1493" i="33" s="1"/>
  <c r="D1494" i="33"/>
  <c r="E1494" i="33" s="1"/>
  <c r="D1495" i="33"/>
  <c r="E1495" i="33" s="1"/>
  <c r="D1496" i="33"/>
  <c r="E1496" i="33" s="1"/>
  <c r="D1497" i="33"/>
  <c r="E1497" i="33" s="1"/>
  <c r="D1498" i="33"/>
  <c r="E1498" i="33" s="1"/>
  <c r="D1499" i="33"/>
  <c r="E1499" i="33" s="1"/>
  <c r="D1500" i="33"/>
  <c r="E1500" i="33" s="1"/>
  <c r="D1501" i="33"/>
  <c r="E1501" i="33" s="1"/>
  <c r="D1502" i="33"/>
  <c r="E1502" i="33" s="1"/>
  <c r="D1503" i="33"/>
  <c r="E1503" i="33" s="1"/>
  <c r="D1504" i="33"/>
  <c r="E1504" i="33" s="1"/>
  <c r="D1505" i="33"/>
  <c r="E1505" i="33" s="1"/>
  <c r="D1506" i="33"/>
  <c r="E1506" i="33" s="1"/>
  <c r="D1507" i="33"/>
  <c r="E1507" i="33" s="1"/>
  <c r="D1508" i="33"/>
  <c r="E1508" i="33" s="1"/>
  <c r="D1509" i="33"/>
  <c r="E1509" i="33" s="1"/>
  <c r="D1510" i="33"/>
  <c r="E1510" i="33" s="1"/>
  <c r="D1511" i="33"/>
  <c r="E1511" i="33" s="1"/>
  <c r="D1512" i="33"/>
  <c r="E1512" i="33" s="1"/>
  <c r="D1513" i="33"/>
  <c r="E1513" i="33" s="1"/>
  <c r="D1514" i="33"/>
  <c r="E1514" i="33" s="1"/>
  <c r="D1515" i="33"/>
  <c r="E1515" i="33" s="1"/>
  <c r="D1516" i="33"/>
  <c r="E1516" i="33" s="1"/>
  <c r="D1517" i="33"/>
  <c r="E1517" i="33" s="1"/>
  <c r="D1518" i="33"/>
  <c r="E1518" i="33" s="1"/>
  <c r="D1519" i="33"/>
  <c r="E1519" i="33" s="1"/>
  <c r="D1520" i="33"/>
  <c r="E1520" i="33" s="1"/>
  <c r="D1521" i="33"/>
  <c r="E1521" i="33" s="1"/>
  <c r="D1522" i="33"/>
  <c r="E1522" i="33" s="1"/>
  <c r="D1523" i="33"/>
  <c r="E1523" i="33" s="1"/>
  <c r="D1524" i="33"/>
  <c r="E1524" i="33" s="1"/>
  <c r="D1525" i="33"/>
  <c r="E1525" i="33" s="1"/>
  <c r="D1526" i="33"/>
  <c r="E1526" i="33" s="1"/>
  <c r="D1527" i="33"/>
  <c r="E1527" i="33" s="1"/>
  <c r="D1528" i="33"/>
  <c r="E1528" i="33" s="1"/>
  <c r="D1529" i="33"/>
  <c r="E1529" i="33" s="1"/>
  <c r="D1530" i="33"/>
  <c r="E1530" i="33" s="1"/>
  <c r="D1531" i="33"/>
  <c r="E1531" i="33" s="1"/>
  <c r="D1532" i="33"/>
  <c r="E1532" i="33" s="1"/>
  <c r="D1533" i="33"/>
  <c r="E1533" i="33" s="1"/>
  <c r="D1534" i="33"/>
  <c r="E1534" i="33" s="1"/>
  <c r="D1535" i="33"/>
  <c r="E1535" i="33" s="1"/>
  <c r="D1536" i="33"/>
  <c r="E1536" i="33" s="1"/>
  <c r="D1537" i="33"/>
  <c r="E1537" i="33" s="1"/>
  <c r="D1538" i="33"/>
  <c r="E1538" i="33" s="1"/>
  <c r="D1539" i="33"/>
  <c r="E1539" i="33" s="1"/>
  <c r="D1540" i="33"/>
  <c r="E1540" i="33" s="1"/>
  <c r="D1541" i="33"/>
  <c r="E1541" i="33" s="1"/>
  <c r="D1542" i="33"/>
  <c r="E1542" i="33" s="1"/>
  <c r="D1543" i="33"/>
  <c r="E1543" i="33" s="1"/>
  <c r="D1544" i="33"/>
  <c r="E1544" i="33" s="1"/>
  <c r="D1545" i="33"/>
  <c r="E1545" i="33" s="1"/>
  <c r="D1546" i="33"/>
  <c r="E1546" i="33" s="1"/>
  <c r="D1547" i="33"/>
  <c r="E1547" i="33" s="1"/>
  <c r="D1548" i="33"/>
  <c r="E1548" i="33" s="1"/>
  <c r="D1549" i="33"/>
  <c r="E1549" i="33" s="1"/>
  <c r="D1550" i="33"/>
  <c r="E1550" i="33" s="1"/>
  <c r="D1551" i="33"/>
  <c r="E1551" i="33" s="1"/>
  <c r="D1552" i="33"/>
  <c r="E1552" i="33" s="1"/>
  <c r="D1553" i="33"/>
  <c r="E1553" i="33" s="1"/>
  <c r="D1554" i="33"/>
  <c r="E1554" i="33" s="1"/>
  <c r="D1555" i="33"/>
  <c r="E1555" i="33" s="1"/>
  <c r="D1556" i="33"/>
  <c r="E1556" i="33" s="1"/>
  <c r="D1557" i="33"/>
  <c r="E1557" i="33" s="1"/>
  <c r="D1558" i="33"/>
  <c r="E1558" i="33" s="1"/>
  <c r="D1559" i="33"/>
  <c r="E1559" i="33" s="1"/>
  <c r="D1560" i="33"/>
  <c r="E1560" i="33" s="1"/>
  <c r="D1561" i="33"/>
  <c r="E1561" i="33" s="1"/>
  <c r="D1562" i="33"/>
  <c r="E1562" i="33" s="1"/>
  <c r="D1563" i="33"/>
  <c r="E1563" i="33" s="1"/>
  <c r="D1564" i="33"/>
  <c r="E1564" i="33" s="1"/>
  <c r="D1565" i="33"/>
  <c r="E1565" i="33" s="1"/>
  <c r="D1566" i="33"/>
  <c r="E1566" i="33" s="1"/>
  <c r="D1567" i="33"/>
  <c r="E1567" i="33" s="1"/>
  <c r="D1568" i="33"/>
  <c r="E1568" i="33" s="1"/>
  <c r="D1569" i="33"/>
  <c r="E1569" i="33" s="1"/>
  <c r="D1570" i="33"/>
  <c r="E1570" i="33" s="1"/>
  <c r="D1571" i="33"/>
  <c r="E1571" i="33" s="1"/>
  <c r="D1572" i="33"/>
  <c r="E1572" i="33" s="1"/>
  <c r="D1573" i="33"/>
  <c r="E1573" i="33" s="1"/>
  <c r="D1574" i="33"/>
  <c r="E1574" i="33" s="1"/>
  <c r="D1575" i="33"/>
  <c r="E1575" i="33" s="1"/>
  <c r="D1576" i="33"/>
  <c r="E1576" i="33" s="1"/>
  <c r="D1577" i="33"/>
  <c r="E1577" i="33" s="1"/>
  <c r="D1578" i="33"/>
  <c r="E1578" i="33" s="1"/>
  <c r="D1579" i="33"/>
  <c r="E1579" i="33" s="1"/>
  <c r="D1580" i="33"/>
  <c r="E1580" i="33" s="1"/>
  <c r="D1581" i="33"/>
  <c r="E1581" i="33" s="1"/>
  <c r="D1582" i="33"/>
  <c r="E1582" i="33" s="1"/>
  <c r="D1583" i="33"/>
  <c r="E1583" i="33" s="1"/>
  <c r="D1584" i="33"/>
  <c r="E1584" i="33" s="1"/>
  <c r="D1585" i="33"/>
  <c r="E1585" i="33" s="1"/>
  <c r="D1586" i="33"/>
  <c r="E1586" i="33" s="1"/>
  <c r="D1587" i="33"/>
  <c r="E1587" i="33" s="1"/>
  <c r="D1588" i="33"/>
  <c r="E1588" i="33" s="1"/>
  <c r="D1589" i="33"/>
  <c r="E1589" i="33" s="1"/>
  <c r="D1590" i="33"/>
  <c r="E1590" i="33" s="1"/>
  <c r="D1591" i="33"/>
  <c r="E1591" i="33" s="1"/>
  <c r="D1592" i="33"/>
  <c r="E1592" i="33" s="1"/>
  <c r="D1593" i="33"/>
  <c r="E1593" i="33" s="1"/>
  <c r="D1594" i="33"/>
  <c r="E1594" i="33" s="1"/>
  <c r="D1595" i="33"/>
  <c r="E1595" i="33" s="1"/>
  <c r="D1596" i="33"/>
  <c r="E1596" i="33" s="1"/>
  <c r="D1597" i="33"/>
  <c r="E1597" i="33" s="1"/>
  <c r="D1598" i="33"/>
  <c r="E1598" i="33" s="1"/>
  <c r="D1599" i="33"/>
  <c r="E1599" i="33" s="1"/>
  <c r="D1600" i="33"/>
  <c r="E1600" i="33" s="1"/>
  <c r="D1601" i="33"/>
  <c r="E1601" i="33" s="1"/>
  <c r="D1602" i="33"/>
  <c r="E1602" i="33" s="1"/>
  <c r="D1603" i="33"/>
  <c r="E1603" i="33" s="1"/>
  <c r="D1604" i="33"/>
  <c r="E1604" i="33" s="1"/>
  <c r="D1605" i="33"/>
  <c r="E1605" i="33" s="1"/>
  <c r="D1606" i="33"/>
  <c r="E1606" i="33" s="1"/>
  <c r="D1607" i="33"/>
  <c r="E1607" i="33" s="1"/>
  <c r="D1608" i="33"/>
  <c r="E1608" i="33" s="1"/>
  <c r="D1609" i="33"/>
  <c r="E1609" i="33" s="1"/>
  <c r="D1610" i="33"/>
  <c r="E1610" i="33" s="1"/>
  <c r="D1611" i="33"/>
  <c r="E1611" i="33" s="1"/>
  <c r="D1612" i="33"/>
  <c r="E1612" i="33" s="1"/>
  <c r="D1613" i="33"/>
  <c r="E1613" i="33" s="1"/>
  <c r="D1614" i="33"/>
  <c r="E1614" i="33" s="1"/>
  <c r="D1615" i="33"/>
  <c r="E1615" i="33" s="1"/>
  <c r="D1616" i="33"/>
  <c r="E1616" i="33" s="1"/>
  <c r="D1617" i="33"/>
  <c r="E1617" i="33" s="1"/>
  <c r="D1618" i="33"/>
  <c r="E1618" i="33" s="1"/>
  <c r="D1619" i="33"/>
  <c r="E1619" i="33" s="1"/>
  <c r="D1620" i="33"/>
  <c r="E1620" i="33" s="1"/>
  <c r="D1621" i="33"/>
  <c r="E1621" i="33" s="1"/>
  <c r="D1622" i="33"/>
  <c r="E1622" i="33" s="1"/>
  <c r="D1623" i="33"/>
  <c r="E1623" i="33" s="1"/>
  <c r="D1624" i="33"/>
  <c r="E1624" i="33" s="1"/>
  <c r="D1625" i="33"/>
  <c r="E1625" i="33" s="1"/>
  <c r="D1626" i="33"/>
  <c r="E1626" i="33" s="1"/>
  <c r="D1627" i="33"/>
  <c r="E1627" i="33" s="1"/>
  <c r="D1628" i="33"/>
  <c r="E1628" i="33" s="1"/>
  <c r="D1629" i="33"/>
  <c r="E1629" i="33" s="1"/>
  <c r="D1630" i="33"/>
  <c r="E1630" i="33" s="1"/>
  <c r="D1631" i="33"/>
  <c r="E1631" i="33" s="1"/>
  <c r="D1632" i="33"/>
  <c r="E1632" i="33" s="1"/>
  <c r="D1633" i="33"/>
  <c r="E1633" i="33" s="1"/>
  <c r="D1634" i="33"/>
  <c r="E1634" i="33" s="1"/>
  <c r="D1635" i="33"/>
  <c r="E1635" i="33" s="1"/>
  <c r="D1636" i="33"/>
  <c r="E1636" i="33" s="1"/>
  <c r="D1637" i="33"/>
  <c r="E1637" i="33" s="1"/>
  <c r="D1638" i="33"/>
  <c r="E1638" i="33" s="1"/>
  <c r="D1639" i="33"/>
  <c r="E1639" i="33" s="1"/>
  <c r="D1640" i="33"/>
  <c r="E1640" i="33" s="1"/>
  <c r="D1641" i="33"/>
  <c r="E1641" i="33" s="1"/>
  <c r="D1642" i="33"/>
  <c r="E1642" i="33" s="1"/>
  <c r="D1643" i="33"/>
  <c r="E1643" i="33" s="1"/>
  <c r="D1644" i="33"/>
  <c r="E1644" i="33" s="1"/>
  <c r="D1645" i="33"/>
  <c r="E1645" i="33" s="1"/>
  <c r="D1647" i="33"/>
  <c r="E1647" i="33" s="1"/>
  <c r="D1648" i="33"/>
  <c r="E1648" i="33" s="1"/>
  <c r="D1649" i="33"/>
  <c r="E1649" i="33" s="1"/>
  <c r="D1650" i="33"/>
  <c r="E1650" i="33" s="1"/>
  <c r="D1651" i="33"/>
  <c r="E1651" i="33" s="1"/>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D3" i="33"/>
  <c r="E3" i="33" s="1"/>
  <c r="D4" i="33"/>
  <c r="E4" i="33" s="1"/>
  <c r="D5" i="33"/>
  <c r="E5" i="33" s="1"/>
  <c r="D6" i="33"/>
  <c r="E6" i="33" s="1"/>
  <c r="D7" i="33"/>
  <c r="E7" i="33" s="1"/>
  <c r="D8" i="33"/>
  <c r="E8" i="33" s="1"/>
  <c r="D9" i="33"/>
  <c r="E9" i="33" s="1"/>
  <c r="D10" i="33"/>
  <c r="E10" i="33" s="1"/>
  <c r="D11" i="33"/>
  <c r="E11" i="33" s="1"/>
  <c r="D12" i="33"/>
  <c r="E12" i="33" s="1"/>
  <c r="D13" i="33"/>
  <c r="E13" i="33" s="1"/>
  <c r="D14" i="33"/>
  <c r="E14" i="33" s="1"/>
  <c r="D15" i="33"/>
  <c r="E15" i="33" s="1"/>
  <c r="D16" i="33"/>
  <c r="E16" i="33" s="1"/>
  <c r="D17" i="33"/>
  <c r="E17" i="33" s="1"/>
  <c r="D18" i="33"/>
  <c r="E18" i="33" s="1"/>
  <c r="D19" i="33"/>
  <c r="E19" i="33" s="1"/>
  <c r="D20" i="33"/>
  <c r="E20" i="33" s="1"/>
  <c r="D21" i="33"/>
  <c r="E21" i="33" s="1"/>
  <c r="D22" i="33"/>
  <c r="E22" i="33" s="1"/>
  <c r="D23" i="33"/>
  <c r="E23" i="33" s="1"/>
  <c r="D24" i="33"/>
  <c r="E24" i="33" s="1"/>
  <c r="D25" i="33"/>
  <c r="E25" i="33" s="1"/>
  <c r="D26" i="33"/>
  <c r="E26" i="33" s="1"/>
  <c r="D27" i="33"/>
  <c r="E27" i="33" s="1"/>
  <c r="D28" i="33"/>
  <c r="E28" i="33" s="1"/>
  <c r="D29" i="33"/>
  <c r="E29" i="33" s="1"/>
  <c r="D30" i="33"/>
  <c r="E30" i="33" s="1"/>
  <c r="D31" i="33"/>
  <c r="E31" i="33" s="1"/>
  <c r="D32" i="33"/>
  <c r="E32" i="33" s="1"/>
  <c r="D33" i="33"/>
  <c r="E33" i="33" s="1"/>
  <c r="D34" i="33"/>
  <c r="E34" i="33" s="1"/>
  <c r="D35" i="33"/>
  <c r="E35" i="33" s="1"/>
  <c r="D36" i="33"/>
  <c r="E36" i="33" s="1"/>
  <c r="D37" i="33"/>
  <c r="E37" i="33" s="1"/>
  <c r="D38" i="33"/>
  <c r="E38" i="33" s="1"/>
  <c r="D39" i="33"/>
  <c r="E39" i="33" s="1"/>
  <c r="D40" i="33"/>
  <c r="E40" i="33" s="1"/>
  <c r="D41" i="33"/>
  <c r="E41" i="33" s="1"/>
  <c r="D42" i="33"/>
  <c r="E42" i="33" s="1"/>
  <c r="D43" i="33"/>
  <c r="E43" i="33" s="1"/>
  <c r="D44" i="33"/>
  <c r="E44" i="33" s="1"/>
  <c r="D45" i="33"/>
  <c r="E45" i="33" s="1"/>
  <c r="D46" i="33"/>
  <c r="E46" i="33" s="1"/>
  <c r="D47" i="33"/>
  <c r="E47" i="33" s="1"/>
  <c r="D48" i="33"/>
  <c r="E48" i="33" s="1"/>
  <c r="D49" i="33"/>
  <c r="E49" i="33" s="1"/>
  <c r="D50" i="33"/>
  <c r="E50" i="33" s="1"/>
  <c r="D51" i="33"/>
  <c r="E51" i="33" s="1"/>
  <c r="D52" i="33"/>
  <c r="E52" i="33" s="1"/>
  <c r="D53" i="33"/>
  <c r="E53" i="33" s="1"/>
  <c r="D54" i="33"/>
  <c r="E54" i="33" s="1"/>
  <c r="D55" i="33"/>
  <c r="E55" i="33" s="1"/>
  <c r="D56" i="33"/>
  <c r="E56" i="33" s="1"/>
  <c r="D57" i="33"/>
  <c r="E57" i="33" s="1"/>
  <c r="D58" i="33"/>
  <c r="E58" i="33" s="1"/>
  <c r="D59" i="33"/>
  <c r="E59" i="33" s="1"/>
  <c r="D60" i="33"/>
  <c r="E60" i="33" s="1"/>
  <c r="D61" i="33"/>
  <c r="E61" i="33" s="1"/>
  <c r="D62" i="33"/>
  <c r="E62" i="33" s="1"/>
  <c r="D63" i="33"/>
  <c r="E63" i="33" s="1"/>
  <c r="D64" i="33"/>
  <c r="E64" i="33" s="1"/>
  <c r="D65" i="33"/>
  <c r="E65" i="33" s="1"/>
  <c r="D66" i="33"/>
  <c r="E66" i="33" s="1"/>
  <c r="D67" i="33"/>
  <c r="E67" i="33" s="1"/>
  <c r="D68" i="33"/>
  <c r="E68" i="33" s="1"/>
  <c r="D69" i="33"/>
  <c r="E69" i="33" s="1"/>
  <c r="D70" i="33"/>
  <c r="E70" i="33" s="1"/>
  <c r="D71" i="33"/>
  <c r="E71" i="33" s="1"/>
  <c r="D72" i="33"/>
  <c r="E72" i="33" s="1"/>
  <c r="D73" i="33"/>
  <c r="E73" i="33" s="1"/>
  <c r="D74" i="33"/>
  <c r="E74" i="33" s="1"/>
  <c r="D75" i="33"/>
  <c r="E75" i="33" s="1"/>
  <c r="D76" i="33"/>
  <c r="E76" i="33" s="1"/>
  <c r="D77" i="33"/>
  <c r="E77" i="33" s="1"/>
  <c r="D78" i="33"/>
  <c r="E78" i="33" s="1"/>
  <c r="D79" i="33"/>
  <c r="E79" i="33" s="1"/>
  <c r="D80" i="33"/>
  <c r="E80" i="33" s="1"/>
  <c r="D81" i="33"/>
  <c r="E81" i="33" s="1"/>
  <c r="D82" i="33"/>
  <c r="E82" i="33" s="1"/>
  <c r="D83" i="33"/>
  <c r="E83" i="33" s="1"/>
  <c r="D84" i="33"/>
  <c r="E84" i="33" s="1"/>
  <c r="D85" i="33"/>
  <c r="E85" i="33" s="1"/>
  <c r="D86" i="33"/>
  <c r="E86" i="33" s="1"/>
  <c r="D87" i="33"/>
  <c r="E87" i="33" s="1"/>
  <c r="D88" i="33"/>
  <c r="E88" i="33" s="1"/>
  <c r="D89" i="33"/>
  <c r="E89" i="33" s="1"/>
  <c r="D90" i="33"/>
  <c r="E90" i="33" s="1"/>
  <c r="D91" i="33"/>
  <c r="E91" i="33" s="1"/>
  <c r="D92" i="33"/>
  <c r="E92" i="33" s="1"/>
  <c r="D93" i="33"/>
  <c r="E93" i="33" s="1"/>
  <c r="D94" i="33"/>
  <c r="E94" i="33" s="1"/>
  <c r="D95" i="33"/>
  <c r="E95" i="33" s="1"/>
  <c r="D96" i="33"/>
  <c r="E96" i="33" s="1"/>
  <c r="D97" i="33"/>
  <c r="E97" i="33" s="1"/>
  <c r="D98" i="33"/>
  <c r="E98" i="33" s="1"/>
  <c r="D99" i="33"/>
  <c r="E99" i="33" s="1"/>
  <c r="D100" i="33"/>
  <c r="E100" i="33" s="1"/>
  <c r="D101" i="33"/>
  <c r="E101" i="33" s="1"/>
  <c r="D102" i="33"/>
  <c r="E102" i="33" s="1"/>
  <c r="D103" i="33"/>
  <c r="E103" i="33" s="1"/>
  <c r="D104" i="33"/>
  <c r="E104" i="33" s="1"/>
  <c r="D105" i="33"/>
  <c r="E105" i="33" s="1"/>
  <c r="D106" i="33"/>
  <c r="E106" i="33" s="1"/>
  <c r="D107" i="33"/>
  <c r="E107" i="33" s="1"/>
  <c r="D108" i="33"/>
  <c r="E108" i="33" s="1"/>
  <c r="D109" i="33"/>
  <c r="E109" i="33" s="1"/>
  <c r="D110" i="33"/>
  <c r="E110" i="33" s="1"/>
  <c r="D111" i="33"/>
  <c r="E111" i="33" s="1"/>
  <c r="D112" i="33"/>
  <c r="E112" i="33" s="1"/>
  <c r="D113" i="33"/>
  <c r="E113" i="33" s="1"/>
  <c r="D114" i="33"/>
  <c r="E114" i="33" s="1"/>
  <c r="D115" i="33"/>
  <c r="E115" i="33" s="1"/>
  <c r="D116" i="33"/>
  <c r="E116" i="33" s="1"/>
  <c r="D117" i="33"/>
  <c r="E117" i="33" s="1"/>
  <c r="D118" i="33"/>
  <c r="E118" i="33" s="1"/>
  <c r="D119" i="33"/>
  <c r="E119" i="33" s="1"/>
  <c r="D120" i="33"/>
  <c r="E120" i="33" s="1"/>
  <c r="D121" i="33"/>
  <c r="E121" i="33" s="1"/>
  <c r="D122" i="33"/>
  <c r="E122" i="33" s="1"/>
  <c r="D123" i="33"/>
  <c r="E123" i="33" s="1"/>
  <c r="D124" i="33"/>
  <c r="E124" i="33" s="1"/>
  <c r="D125" i="33"/>
  <c r="E125" i="33" s="1"/>
  <c r="D126" i="33"/>
  <c r="E126" i="33" s="1"/>
  <c r="D127" i="33"/>
  <c r="E127" i="33" s="1"/>
  <c r="D128" i="33"/>
  <c r="E128" i="33" s="1"/>
  <c r="D129" i="33"/>
  <c r="E129" i="33" s="1"/>
  <c r="D130" i="33"/>
  <c r="E130" i="33" s="1"/>
  <c r="D131" i="33"/>
  <c r="E131" i="33" s="1"/>
  <c r="D132" i="33"/>
  <c r="E132" i="33" s="1"/>
  <c r="D133" i="33"/>
  <c r="E133" i="33" s="1"/>
  <c r="D134" i="33"/>
  <c r="E134" i="33" s="1"/>
  <c r="D135" i="33"/>
  <c r="E135" i="33" s="1"/>
  <c r="D136" i="33"/>
  <c r="E136" i="33" s="1"/>
  <c r="D137" i="33"/>
  <c r="E137" i="33" s="1"/>
  <c r="D138" i="33"/>
  <c r="E138" i="33" s="1"/>
  <c r="D139" i="33"/>
  <c r="E139" i="33" s="1"/>
  <c r="D140" i="33"/>
  <c r="E140" i="33" s="1"/>
  <c r="D141" i="33"/>
  <c r="E141" i="33" s="1"/>
  <c r="D142" i="33"/>
  <c r="E142" i="33" s="1"/>
  <c r="D143" i="33"/>
  <c r="E143" i="33" s="1"/>
  <c r="D144" i="33"/>
  <c r="E144" i="33" s="1"/>
  <c r="D145" i="33"/>
  <c r="E145" i="33" s="1"/>
  <c r="D146" i="33"/>
  <c r="E146" i="33" s="1"/>
  <c r="D147" i="33"/>
  <c r="E147" i="33" s="1"/>
  <c r="D148" i="33"/>
  <c r="E148" i="33" s="1"/>
  <c r="D149" i="33"/>
  <c r="E149" i="33" s="1"/>
  <c r="D150" i="33"/>
  <c r="E150" i="33" s="1"/>
  <c r="D151" i="33"/>
  <c r="E151" i="33" s="1"/>
  <c r="D152" i="33"/>
  <c r="E152" i="33" s="1"/>
  <c r="D153" i="33"/>
  <c r="E153" i="33" s="1"/>
  <c r="D154" i="33"/>
  <c r="E154" i="33" s="1"/>
  <c r="D155" i="33"/>
  <c r="E155" i="33" s="1"/>
  <c r="D156" i="33"/>
  <c r="E156" i="33" s="1"/>
  <c r="D157" i="33"/>
  <c r="E157" i="33" s="1"/>
  <c r="D158" i="33"/>
  <c r="E158" i="33" s="1"/>
  <c r="D159" i="33"/>
  <c r="E159" i="33" s="1"/>
  <c r="D160" i="33"/>
  <c r="E160" i="33" s="1"/>
  <c r="D161" i="33"/>
  <c r="E161" i="33" s="1"/>
  <c r="D162" i="33"/>
  <c r="E162" i="33" s="1"/>
  <c r="D163" i="33"/>
  <c r="E163" i="33" s="1"/>
  <c r="D164" i="33"/>
  <c r="E164" i="33" s="1"/>
  <c r="D165" i="33"/>
  <c r="E165" i="33" s="1"/>
  <c r="D166" i="33"/>
  <c r="E166" i="33" s="1"/>
  <c r="D167" i="33"/>
  <c r="E167" i="33" s="1"/>
  <c r="D168" i="33"/>
  <c r="E168" i="33" s="1"/>
  <c r="D169" i="33"/>
  <c r="E169" i="33" s="1"/>
  <c r="D170" i="33"/>
  <c r="E170" i="33" s="1"/>
  <c r="D171" i="33"/>
  <c r="E171" i="33" s="1"/>
  <c r="D172" i="33"/>
  <c r="E172" i="33" s="1"/>
  <c r="D173" i="33"/>
  <c r="E173" i="33" s="1"/>
  <c r="D174" i="33"/>
  <c r="E174" i="33" s="1"/>
  <c r="D175" i="33"/>
  <c r="E175" i="33" s="1"/>
  <c r="D176" i="33"/>
  <c r="E176" i="33" s="1"/>
  <c r="D177" i="33"/>
  <c r="E177" i="33" s="1"/>
  <c r="D178" i="33"/>
  <c r="E178" i="33" s="1"/>
  <c r="D179" i="33"/>
  <c r="E179" i="33" s="1"/>
  <c r="D180" i="33"/>
  <c r="E180" i="33" s="1"/>
  <c r="D181" i="33"/>
  <c r="E181" i="33" s="1"/>
  <c r="D182" i="33"/>
  <c r="E182" i="33" s="1"/>
  <c r="D183" i="33"/>
  <c r="E183" i="33" s="1"/>
  <c r="D184" i="33"/>
  <c r="E184" i="33" s="1"/>
  <c r="D185" i="33"/>
  <c r="E185" i="33" s="1"/>
  <c r="D186" i="33"/>
  <c r="E186" i="33" s="1"/>
  <c r="D187" i="33"/>
  <c r="E187" i="33" s="1"/>
  <c r="D188" i="33"/>
  <c r="E188" i="33" s="1"/>
  <c r="D189" i="33"/>
  <c r="E189" i="33" s="1"/>
  <c r="D190" i="33"/>
  <c r="E190" i="33" s="1"/>
  <c r="D191" i="33"/>
  <c r="E191" i="33" s="1"/>
  <c r="D192" i="33"/>
  <c r="E192" i="33" s="1"/>
  <c r="D193" i="33"/>
  <c r="E193" i="33" s="1"/>
  <c r="D194" i="33"/>
  <c r="E194" i="33" s="1"/>
  <c r="D195" i="33"/>
  <c r="E195" i="33" s="1"/>
  <c r="D196" i="33"/>
  <c r="E196" i="33" s="1"/>
  <c r="D197" i="33"/>
  <c r="E197" i="33" s="1"/>
  <c r="D198" i="33"/>
  <c r="E198" i="33" s="1"/>
  <c r="D199" i="33"/>
  <c r="E199" i="33" s="1"/>
  <c r="D200" i="33"/>
  <c r="E200" i="33" s="1"/>
  <c r="D201" i="33"/>
  <c r="E201" i="33" s="1"/>
  <c r="D202" i="33"/>
  <c r="E202" i="33" s="1"/>
  <c r="D203" i="33"/>
  <c r="E203" i="33" s="1"/>
  <c r="D204" i="33"/>
  <c r="E204" i="33" s="1"/>
  <c r="D205" i="33"/>
  <c r="E205" i="33" s="1"/>
  <c r="D206" i="33"/>
  <c r="E206" i="33" s="1"/>
  <c r="D207" i="33"/>
  <c r="E207" i="33" s="1"/>
  <c r="D208" i="33"/>
  <c r="E208" i="33" s="1"/>
  <c r="D209" i="33"/>
  <c r="E209" i="33" s="1"/>
  <c r="D210" i="33"/>
  <c r="E210" i="33" s="1"/>
  <c r="D211" i="33"/>
  <c r="E211" i="33" s="1"/>
  <c r="D212" i="33"/>
  <c r="E212" i="33" s="1"/>
  <c r="D213" i="33"/>
  <c r="E213" i="33" s="1"/>
  <c r="D214" i="33"/>
  <c r="E214" i="33" s="1"/>
  <c r="D215" i="33"/>
  <c r="E215" i="33" s="1"/>
  <c r="D216" i="33"/>
  <c r="E216" i="33" s="1"/>
  <c r="D217" i="33"/>
  <c r="E217" i="33" s="1"/>
  <c r="D218" i="33"/>
  <c r="E218" i="33" s="1"/>
  <c r="D219" i="33"/>
  <c r="E219" i="33" s="1"/>
  <c r="D220" i="33"/>
  <c r="E220" i="33" s="1"/>
  <c r="D221" i="33"/>
  <c r="E221" i="33" s="1"/>
  <c r="D222" i="33"/>
  <c r="E222" i="33" s="1"/>
  <c r="D223" i="33"/>
  <c r="E223" i="33" s="1"/>
  <c r="D224" i="33"/>
  <c r="E224" i="33" s="1"/>
  <c r="D225" i="33"/>
  <c r="E225" i="33" s="1"/>
  <c r="D226" i="33"/>
  <c r="E226" i="33" s="1"/>
  <c r="D227" i="33"/>
  <c r="E227" i="33" s="1"/>
  <c r="D228" i="33"/>
  <c r="E228" i="33" s="1"/>
  <c r="D229" i="33"/>
  <c r="E229" i="33" s="1"/>
  <c r="D230" i="33"/>
  <c r="E230" i="33" s="1"/>
  <c r="D231" i="33"/>
  <c r="E231" i="33" s="1"/>
  <c r="D232" i="33"/>
  <c r="E232" i="33" s="1"/>
  <c r="D233" i="33"/>
  <c r="E233" i="33" s="1"/>
  <c r="D234" i="33"/>
  <c r="E234" i="33" s="1"/>
  <c r="D235" i="33"/>
  <c r="E235" i="33" s="1"/>
  <c r="D236" i="33"/>
  <c r="E236" i="33" s="1"/>
  <c r="D237" i="33"/>
  <c r="E237" i="33" s="1"/>
  <c r="D238" i="33"/>
  <c r="E238" i="33" s="1"/>
  <c r="D239" i="33"/>
  <c r="E239" i="33" s="1"/>
  <c r="D240" i="33"/>
  <c r="E240" i="33" s="1"/>
  <c r="D241" i="33"/>
  <c r="E241" i="33" s="1"/>
  <c r="D242" i="33"/>
  <c r="E242" i="33" s="1"/>
  <c r="D243" i="33"/>
  <c r="E243" i="33" s="1"/>
  <c r="D244" i="33"/>
  <c r="E244" i="33" s="1"/>
  <c r="D245" i="33"/>
  <c r="E245" i="33" s="1"/>
  <c r="D246" i="33"/>
  <c r="E246" i="33" s="1"/>
  <c r="D247" i="33"/>
  <c r="E247" i="33" s="1"/>
  <c r="D248" i="33"/>
  <c r="E248" i="33" s="1"/>
  <c r="D249" i="33"/>
  <c r="E249" i="33" s="1"/>
  <c r="D250" i="33"/>
  <c r="E250" i="33" s="1"/>
  <c r="D251" i="33"/>
  <c r="E251" i="33" s="1"/>
  <c r="D252" i="33"/>
  <c r="E252" i="33" s="1"/>
  <c r="D253" i="33"/>
  <c r="E253" i="33" s="1"/>
  <c r="D254" i="33"/>
  <c r="E254" i="33" s="1"/>
  <c r="D255" i="33"/>
  <c r="E255" i="33" s="1"/>
  <c r="D256" i="33"/>
  <c r="E256" i="33" s="1"/>
  <c r="D257" i="33"/>
  <c r="E257" i="33" s="1"/>
  <c r="D258" i="33"/>
  <c r="E258" i="33" s="1"/>
  <c r="D259" i="33"/>
  <c r="E259" i="33" s="1"/>
  <c r="D260" i="33"/>
  <c r="E260" i="33" s="1"/>
  <c r="D261" i="33"/>
  <c r="E261" i="33" s="1"/>
  <c r="D262" i="33"/>
  <c r="E262" i="33" s="1"/>
  <c r="D263" i="33"/>
  <c r="E263" i="33" s="1"/>
  <c r="D264" i="33"/>
  <c r="E264" i="33" s="1"/>
  <c r="D265" i="33"/>
  <c r="E265" i="33" s="1"/>
  <c r="D266" i="33"/>
  <c r="E266" i="33" s="1"/>
  <c r="D267" i="33"/>
  <c r="E267" i="33" s="1"/>
  <c r="D268" i="33"/>
  <c r="E268" i="33" s="1"/>
  <c r="D269" i="33"/>
  <c r="E269" i="33" s="1"/>
  <c r="D270" i="33"/>
  <c r="E270" i="33" s="1"/>
  <c r="D271" i="33"/>
  <c r="E271" i="33" s="1"/>
  <c r="D272" i="33"/>
  <c r="E272" i="33" s="1"/>
  <c r="D273" i="33"/>
  <c r="E273" i="33" s="1"/>
  <c r="D274" i="33"/>
  <c r="E274" i="33" s="1"/>
  <c r="D275" i="33"/>
  <c r="E275" i="33" s="1"/>
  <c r="D276" i="33"/>
  <c r="E276" i="33" s="1"/>
  <c r="D277" i="33"/>
  <c r="E277" i="33" s="1"/>
  <c r="D278" i="33"/>
  <c r="E278" i="33" s="1"/>
  <c r="D279" i="33"/>
  <c r="E279" i="33" s="1"/>
  <c r="D280" i="33"/>
  <c r="E280" i="33" s="1"/>
  <c r="D281" i="33"/>
  <c r="E281" i="33" s="1"/>
  <c r="D282" i="33"/>
  <c r="E282" i="33" s="1"/>
  <c r="D283" i="33"/>
  <c r="E283" i="33" s="1"/>
  <c r="D284" i="33"/>
  <c r="E284" i="33" s="1"/>
  <c r="D285" i="33"/>
  <c r="E285" i="33" s="1"/>
  <c r="D286" i="33"/>
  <c r="E286" i="33" s="1"/>
  <c r="D287" i="33"/>
  <c r="E287" i="33" s="1"/>
  <c r="D288" i="33"/>
  <c r="E288" i="33" s="1"/>
  <c r="D289" i="33"/>
  <c r="E289" i="33" s="1"/>
  <c r="D290" i="33"/>
  <c r="E290" i="33" s="1"/>
  <c r="D291" i="33"/>
  <c r="E291" i="33" s="1"/>
  <c r="D292" i="33"/>
  <c r="E292" i="33" s="1"/>
  <c r="D293" i="33"/>
  <c r="E293" i="33" s="1"/>
  <c r="D294" i="33"/>
  <c r="E294" i="33" s="1"/>
  <c r="D295" i="33"/>
  <c r="E295" i="33" s="1"/>
  <c r="D296" i="33"/>
  <c r="E296" i="33" s="1"/>
  <c r="D297" i="33"/>
  <c r="E297" i="33" s="1"/>
  <c r="D298" i="33"/>
  <c r="E298" i="33" s="1"/>
  <c r="D299" i="33"/>
  <c r="E299" i="33" s="1"/>
  <c r="D300" i="33"/>
  <c r="E300" i="33" s="1"/>
  <c r="D301" i="33"/>
  <c r="E301" i="33" s="1"/>
  <c r="D302" i="33"/>
  <c r="E302" i="33" s="1"/>
  <c r="D303" i="33"/>
  <c r="E303" i="33" s="1"/>
  <c r="D304" i="33"/>
  <c r="E304" i="33" s="1"/>
  <c r="D305" i="33"/>
  <c r="E305" i="33" s="1"/>
  <c r="D306" i="33"/>
  <c r="E306" i="33" s="1"/>
  <c r="D307" i="33"/>
  <c r="E307" i="33" s="1"/>
  <c r="D308" i="33"/>
  <c r="E308" i="33" s="1"/>
  <c r="D309" i="33"/>
  <c r="E309" i="33" s="1"/>
  <c r="D310" i="33"/>
  <c r="E310" i="33" s="1"/>
  <c r="D311" i="33"/>
  <c r="E311" i="33" s="1"/>
  <c r="D312" i="33"/>
  <c r="E312" i="33" s="1"/>
  <c r="D313" i="33"/>
  <c r="E313" i="33" s="1"/>
  <c r="D314" i="33"/>
  <c r="E314" i="33" s="1"/>
  <c r="D315" i="33"/>
  <c r="E315" i="33" s="1"/>
  <c r="D316" i="33"/>
  <c r="E316" i="33" s="1"/>
  <c r="D317" i="33"/>
  <c r="E317" i="33" s="1"/>
  <c r="D318" i="33"/>
  <c r="E318" i="33" s="1"/>
  <c r="D319" i="33"/>
  <c r="E319" i="33" s="1"/>
  <c r="D320" i="33"/>
  <c r="E320" i="33" s="1"/>
  <c r="D321" i="33"/>
  <c r="E321" i="33" s="1"/>
  <c r="D322" i="33"/>
  <c r="E322" i="33" s="1"/>
  <c r="D323" i="33"/>
  <c r="E323" i="33" s="1"/>
  <c r="D324" i="33"/>
  <c r="E324" i="33" s="1"/>
  <c r="D325" i="33"/>
  <c r="E325" i="33" s="1"/>
  <c r="D326" i="33"/>
  <c r="E326" i="33" s="1"/>
  <c r="D327" i="33"/>
  <c r="E327" i="33" s="1"/>
  <c r="D328" i="33"/>
  <c r="E328" i="33" s="1"/>
  <c r="D329" i="33"/>
  <c r="E329" i="33" s="1"/>
  <c r="D330" i="33"/>
  <c r="E330" i="33" s="1"/>
  <c r="D331" i="33"/>
  <c r="E331" i="33" s="1"/>
  <c r="D332" i="33"/>
  <c r="E332" i="33" s="1"/>
  <c r="D333" i="33"/>
  <c r="E333" i="33" s="1"/>
  <c r="D334" i="33"/>
  <c r="E334" i="33" s="1"/>
  <c r="D335" i="33"/>
  <c r="E335" i="33" s="1"/>
  <c r="D336" i="33"/>
  <c r="E336" i="33" s="1"/>
  <c r="D337" i="33"/>
  <c r="E337" i="33" s="1"/>
  <c r="D338" i="33"/>
  <c r="E338" i="33" s="1"/>
  <c r="D339" i="33"/>
  <c r="E339" i="33" s="1"/>
  <c r="D340" i="33"/>
  <c r="E340" i="33" s="1"/>
  <c r="D341" i="33"/>
  <c r="E341" i="33" s="1"/>
  <c r="D342" i="33"/>
  <c r="E342" i="33" s="1"/>
  <c r="D343" i="33"/>
  <c r="E343" i="33" s="1"/>
  <c r="D344" i="33"/>
  <c r="E344" i="33" s="1"/>
  <c r="D345" i="33"/>
  <c r="E345" i="33" s="1"/>
  <c r="D346" i="33"/>
  <c r="E346" i="33" s="1"/>
  <c r="D347" i="33"/>
  <c r="E347" i="33" s="1"/>
  <c r="D348" i="33"/>
  <c r="E348" i="33" s="1"/>
  <c r="D349" i="33"/>
  <c r="E349" i="33" s="1"/>
  <c r="D350" i="33"/>
  <c r="E350" i="33" s="1"/>
  <c r="D351" i="33"/>
  <c r="E351" i="33" s="1"/>
  <c r="D352" i="33"/>
  <c r="E352" i="33" s="1"/>
  <c r="D353" i="33"/>
  <c r="E353" i="33" s="1"/>
  <c r="D354" i="33"/>
  <c r="E354" i="33" s="1"/>
  <c r="D355" i="33"/>
  <c r="E355" i="33" s="1"/>
  <c r="D356" i="33"/>
  <c r="E356" i="33" s="1"/>
  <c r="D357" i="33"/>
  <c r="E357" i="33" s="1"/>
  <c r="D358" i="33"/>
  <c r="E358" i="33" s="1"/>
  <c r="D359" i="33"/>
  <c r="E359" i="33" s="1"/>
  <c r="D360" i="33"/>
  <c r="E360" i="33" s="1"/>
  <c r="D361" i="33"/>
  <c r="E361" i="33" s="1"/>
  <c r="D362" i="33"/>
  <c r="E362" i="33" s="1"/>
  <c r="D363" i="33"/>
  <c r="E363" i="33" s="1"/>
  <c r="D364" i="33"/>
  <c r="E364" i="33" s="1"/>
  <c r="D365" i="33"/>
  <c r="E365" i="33" s="1"/>
  <c r="D366" i="33"/>
  <c r="E366" i="33" s="1"/>
  <c r="D367" i="33"/>
  <c r="E367" i="33" s="1"/>
  <c r="D368" i="33"/>
  <c r="E368" i="33" s="1"/>
  <c r="D369" i="33"/>
  <c r="E369" i="33" s="1"/>
  <c r="D370" i="33"/>
  <c r="E370" i="33" s="1"/>
  <c r="D371" i="33"/>
  <c r="E371" i="33" s="1"/>
  <c r="D372" i="33"/>
  <c r="E372" i="33" s="1"/>
  <c r="D373" i="33"/>
  <c r="E373" i="33" s="1"/>
  <c r="D374" i="33"/>
  <c r="E374" i="33" s="1"/>
  <c r="D375" i="33"/>
  <c r="E375" i="33" s="1"/>
  <c r="D376" i="33"/>
  <c r="E376" i="33" s="1"/>
  <c r="D377" i="33"/>
  <c r="E377" i="33" s="1"/>
  <c r="D378" i="33"/>
  <c r="E378" i="33" s="1"/>
  <c r="D379" i="33"/>
  <c r="E379" i="33" s="1"/>
  <c r="D380" i="33"/>
  <c r="E380" i="33" s="1"/>
  <c r="D381" i="33"/>
  <c r="E381" i="33" s="1"/>
  <c r="D382" i="33"/>
  <c r="E382" i="33" s="1"/>
  <c r="D383" i="33"/>
  <c r="E383" i="33" s="1"/>
  <c r="D384" i="33"/>
  <c r="E384" i="33" s="1"/>
  <c r="D385" i="33"/>
  <c r="E385" i="33" s="1"/>
  <c r="D386" i="33"/>
  <c r="E386" i="33" s="1"/>
  <c r="D387" i="33"/>
  <c r="E387" i="33" s="1"/>
  <c r="D388" i="33"/>
  <c r="E388" i="33" s="1"/>
  <c r="D389" i="33"/>
  <c r="E389" i="33" s="1"/>
  <c r="D390" i="33"/>
  <c r="E390" i="33" s="1"/>
  <c r="D391" i="33"/>
  <c r="E391" i="33" s="1"/>
  <c r="D392" i="33"/>
  <c r="E392" i="33" s="1"/>
  <c r="D393" i="33"/>
  <c r="E393" i="33" s="1"/>
  <c r="D394" i="33"/>
  <c r="E394" i="33" s="1"/>
  <c r="D395" i="33"/>
  <c r="E395" i="33" s="1"/>
  <c r="D396" i="33"/>
  <c r="E396" i="33" s="1"/>
  <c r="D397" i="33"/>
  <c r="E397" i="33" s="1"/>
  <c r="D398" i="33"/>
  <c r="E398" i="33" s="1"/>
  <c r="D399" i="33"/>
  <c r="E399" i="33" s="1"/>
  <c r="D400" i="33"/>
  <c r="E400" i="33" s="1"/>
  <c r="D401" i="33"/>
  <c r="E401" i="33" s="1"/>
  <c r="D402" i="33"/>
  <c r="E402" i="33" s="1"/>
  <c r="D403" i="33"/>
  <c r="E403" i="33" s="1"/>
  <c r="D404" i="33"/>
  <c r="E404" i="33" s="1"/>
  <c r="D405" i="33"/>
  <c r="E405" i="33" s="1"/>
  <c r="D406" i="33"/>
  <c r="E406" i="33" s="1"/>
  <c r="D407" i="33"/>
  <c r="E407" i="33" s="1"/>
  <c r="D408" i="33"/>
  <c r="E408" i="33" s="1"/>
  <c r="D409" i="33"/>
  <c r="E409" i="33" s="1"/>
  <c r="D410" i="33"/>
  <c r="E410" i="33" s="1"/>
  <c r="D411" i="33"/>
  <c r="E411" i="33" s="1"/>
  <c r="D412" i="33"/>
  <c r="E412" i="33" s="1"/>
  <c r="D413" i="33"/>
  <c r="E413" i="33" s="1"/>
  <c r="D414" i="33"/>
  <c r="E414" i="33" s="1"/>
  <c r="D415" i="33"/>
  <c r="E415" i="33" s="1"/>
  <c r="D416" i="33"/>
  <c r="E416" i="33" s="1"/>
  <c r="D417" i="33"/>
  <c r="E417" i="33" s="1"/>
  <c r="D418" i="33"/>
  <c r="E418" i="33" s="1"/>
  <c r="D419" i="33"/>
  <c r="E419" i="33" s="1"/>
  <c r="D420" i="33"/>
  <c r="E420" i="33" s="1"/>
  <c r="D421" i="33"/>
  <c r="E421" i="33" s="1"/>
  <c r="D422" i="33"/>
  <c r="E422" i="33" s="1"/>
  <c r="D423" i="33"/>
  <c r="E423" i="33" s="1"/>
  <c r="D424" i="33"/>
  <c r="E424" i="33" s="1"/>
  <c r="D425" i="33"/>
  <c r="E425" i="33" s="1"/>
  <c r="D426" i="33"/>
  <c r="E426" i="33" s="1"/>
  <c r="D427" i="33"/>
  <c r="E427" i="33" s="1"/>
  <c r="D428" i="33"/>
  <c r="E428" i="33" s="1"/>
  <c r="D429" i="33"/>
  <c r="E429" i="33" s="1"/>
  <c r="D430" i="33"/>
  <c r="E430" i="33" s="1"/>
  <c r="D431" i="33"/>
  <c r="E431" i="33" s="1"/>
  <c r="D432" i="33"/>
  <c r="E432" i="33" s="1"/>
  <c r="D433" i="33"/>
  <c r="E433" i="33" s="1"/>
  <c r="D434" i="33"/>
  <c r="E434" i="33" s="1"/>
  <c r="D435" i="33"/>
  <c r="E435" i="33" s="1"/>
  <c r="D436" i="33"/>
  <c r="E436" i="33" s="1"/>
  <c r="D437" i="33"/>
  <c r="E437" i="33" s="1"/>
  <c r="D438" i="33"/>
  <c r="E438" i="33" s="1"/>
  <c r="D439" i="33"/>
  <c r="E439" i="33" s="1"/>
  <c r="D440" i="33"/>
  <c r="E440" i="33" s="1"/>
  <c r="D441" i="33"/>
  <c r="E441" i="33" s="1"/>
  <c r="D442" i="33"/>
  <c r="E442" i="33" s="1"/>
  <c r="D443" i="33"/>
  <c r="E443" i="33" s="1"/>
  <c r="D444" i="33"/>
  <c r="E444" i="33" s="1"/>
  <c r="D445" i="33"/>
  <c r="E445" i="33" s="1"/>
  <c r="D446" i="33"/>
  <c r="E446" i="33" s="1"/>
  <c r="D447" i="33"/>
  <c r="E447" i="33" s="1"/>
  <c r="D448" i="33"/>
  <c r="E448" i="33" s="1"/>
  <c r="D449" i="33"/>
  <c r="E449" i="33" s="1"/>
  <c r="D450" i="33"/>
  <c r="E450" i="33" s="1"/>
  <c r="D451" i="33"/>
  <c r="E451" i="33" s="1"/>
  <c r="D452" i="33"/>
  <c r="E452" i="33" s="1"/>
  <c r="D453" i="33"/>
  <c r="E453" i="33" s="1"/>
  <c r="D454" i="33"/>
  <c r="E454" i="33" s="1"/>
  <c r="D455" i="33"/>
  <c r="E455" i="33" s="1"/>
  <c r="D456" i="33"/>
  <c r="E456" i="33" s="1"/>
  <c r="D457" i="33"/>
  <c r="E457" i="33" s="1"/>
  <c r="D458" i="33"/>
  <c r="E458" i="33" s="1"/>
  <c r="D459" i="33"/>
  <c r="E459" i="33" s="1"/>
  <c r="D460" i="33"/>
  <c r="E460" i="33" s="1"/>
  <c r="D461" i="33"/>
  <c r="E461" i="33" s="1"/>
  <c r="D462" i="33"/>
  <c r="E462" i="33" s="1"/>
  <c r="D463" i="33"/>
  <c r="E463" i="33" s="1"/>
  <c r="D464" i="33"/>
  <c r="E464" i="33" s="1"/>
  <c r="D465" i="33"/>
  <c r="E465" i="33" s="1"/>
  <c r="D466" i="33"/>
  <c r="E466" i="33" s="1"/>
  <c r="D467" i="33"/>
  <c r="E467" i="33" s="1"/>
  <c r="D468" i="33"/>
  <c r="E468" i="33" s="1"/>
  <c r="D469" i="33"/>
  <c r="E469" i="33" s="1"/>
  <c r="D470" i="33"/>
  <c r="E470" i="33" s="1"/>
  <c r="D471" i="33"/>
  <c r="E471" i="33" s="1"/>
  <c r="D472" i="33"/>
  <c r="E472" i="33" s="1"/>
  <c r="D473" i="33"/>
  <c r="E473" i="33" s="1"/>
  <c r="D474" i="33"/>
  <c r="E474" i="33" s="1"/>
  <c r="D475" i="33"/>
  <c r="E475" i="33" s="1"/>
  <c r="D476" i="33"/>
  <c r="E476" i="33" s="1"/>
  <c r="D477" i="33"/>
  <c r="E477" i="33" s="1"/>
  <c r="D478" i="33"/>
  <c r="E478" i="33" s="1"/>
  <c r="D479" i="33"/>
  <c r="E479" i="33" s="1"/>
  <c r="D480" i="33"/>
  <c r="E480" i="33" s="1"/>
  <c r="D481" i="33"/>
  <c r="E481" i="33" s="1"/>
  <c r="D482" i="33"/>
  <c r="E482" i="33" s="1"/>
  <c r="D483" i="33"/>
  <c r="E483" i="33" s="1"/>
  <c r="D484" i="33"/>
  <c r="E484" i="33" s="1"/>
  <c r="D485" i="33"/>
  <c r="E485" i="33" s="1"/>
  <c r="D486" i="33"/>
  <c r="E486" i="33" s="1"/>
  <c r="D487" i="33"/>
  <c r="E487" i="33" s="1"/>
  <c r="D488" i="33"/>
  <c r="E488" i="33" s="1"/>
  <c r="D489" i="33"/>
  <c r="E489" i="33" s="1"/>
  <c r="D490" i="33"/>
  <c r="E490" i="33" s="1"/>
  <c r="D491" i="33"/>
  <c r="E491" i="33" s="1"/>
  <c r="D492" i="33"/>
  <c r="E492" i="33" s="1"/>
  <c r="D493" i="33"/>
  <c r="E493" i="33" s="1"/>
  <c r="D494" i="33"/>
  <c r="E494" i="33" s="1"/>
  <c r="D495" i="33"/>
  <c r="E495" i="33" s="1"/>
  <c r="D496" i="33"/>
  <c r="E496" i="33" s="1"/>
  <c r="D497" i="33"/>
  <c r="E497" i="33" s="1"/>
  <c r="D498" i="33"/>
  <c r="E498" i="33" s="1"/>
  <c r="D499" i="33"/>
  <c r="E499" i="33" s="1"/>
  <c r="D500" i="33"/>
  <c r="E500" i="33" s="1"/>
  <c r="D501" i="33"/>
  <c r="E501" i="33" s="1"/>
  <c r="D502" i="33"/>
  <c r="E502" i="33" s="1"/>
  <c r="D503" i="33"/>
  <c r="E503" i="33" s="1"/>
  <c r="D504" i="33"/>
  <c r="E504" i="33" s="1"/>
  <c r="D505" i="33"/>
  <c r="E505" i="33" s="1"/>
  <c r="D506" i="33"/>
  <c r="E506" i="33" s="1"/>
  <c r="D507" i="33"/>
  <c r="E507" i="33" s="1"/>
  <c r="D508" i="33"/>
  <c r="E508" i="33" s="1"/>
  <c r="D509" i="33"/>
  <c r="E509" i="33" s="1"/>
  <c r="D510" i="33"/>
  <c r="E510" i="33" s="1"/>
  <c r="D511" i="33"/>
  <c r="E511" i="33" s="1"/>
  <c r="D512" i="33"/>
  <c r="E512" i="33" s="1"/>
  <c r="D513" i="33"/>
  <c r="E513" i="33" s="1"/>
  <c r="D514" i="33"/>
  <c r="E514" i="33" s="1"/>
  <c r="D515" i="33"/>
  <c r="E515" i="33" s="1"/>
  <c r="D516" i="33"/>
  <c r="E516" i="33" s="1"/>
  <c r="D517" i="33"/>
  <c r="E517" i="33" s="1"/>
  <c r="D518" i="33"/>
  <c r="E518" i="33" s="1"/>
  <c r="D519" i="33"/>
  <c r="E519" i="33" s="1"/>
  <c r="D520" i="33"/>
  <c r="E520" i="33" s="1"/>
  <c r="D521" i="33"/>
  <c r="E521" i="33" s="1"/>
  <c r="D522" i="33"/>
  <c r="E522" i="33" s="1"/>
  <c r="D523" i="33"/>
  <c r="E523" i="33" s="1"/>
  <c r="D524" i="33"/>
  <c r="E524" i="33" s="1"/>
  <c r="D525" i="33"/>
  <c r="E525" i="33" s="1"/>
  <c r="D526" i="33"/>
  <c r="E526" i="33" s="1"/>
  <c r="D527" i="33"/>
  <c r="E527" i="33" s="1"/>
  <c r="D528" i="33"/>
  <c r="E528" i="33" s="1"/>
  <c r="D529" i="33"/>
  <c r="E529" i="33" s="1"/>
  <c r="D530" i="33"/>
  <c r="E530" i="33" s="1"/>
  <c r="D531" i="33"/>
  <c r="E531" i="33" s="1"/>
  <c r="D532" i="33"/>
  <c r="E532" i="33" s="1"/>
  <c r="D533" i="33"/>
  <c r="E533" i="33" s="1"/>
  <c r="D534" i="33"/>
  <c r="E534" i="33" s="1"/>
  <c r="D535" i="33"/>
  <c r="E535" i="33" s="1"/>
  <c r="D536" i="33"/>
  <c r="E536" i="33" s="1"/>
  <c r="D537" i="33"/>
  <c r="E537" i="33" s="1"/>
  <c r="D538" i="33"/>
  <c r="E538" i="33" s="1"/>
  <c r="D539" i="33"/>
  <c r="E539" i="33" s="1"/>
  <c r="D540" i="33"/>
  <c r="E540" i="33" s="1"/>
  <c r="D541" i="33"/>
  <c r="E541" i="33" s="1"/>
  <c r="D542" i="33"/>
  <c r="E542" i="33" s="1"/>
  <c r="D543" i="33"/>
  <c r="E543" i="33" s="1"/>
  <c r="D544" i="33"/>
  <c r="E544" i="33" s="1"/>
  <c r="D545" i="33"/>
  <c r="E545" i="33" s="1"/>
  <c r="D546" i="33"/>
  <c r="E546" i="33" s="1"/>
  <c r="D547" i="33"/>
  <c r="E547" i="33" s="1"/>
  <c r="D548" i="33"/>
  <c r="E548" i="33" s="1"/>
  <c r="D549" i="33"/>
  <c r="E549" i="33" s="1"/>
  <c r="D550" i="33"/>
  <c r="E550" i="33" s="1"/>
  <c r="D551" i="33"/>
  <c r="E551" i="33" s="1"/>
  <c r="D552" i="33"/>
  <c r="E552" i="33" s="1"/>
  <c r="D553" i="33"/>
  <c r="E553" i="33" s="1"/>
  <c r="D554" i="33"/>
  <c r="E554" i="33" s="1"/>
  <c r="D555" i="33"/>
  <c r="E555" i="33" s="1"/>
  <c r="D556" i="33"/>
  <c r="E556" i="33" s="1"/>
  <c r="D557" i="33"/>
  <c r="E557" i="33" s="1"/>
  <c r="D558" i="33"/>
  <c r="E558" i="33" s="1"/>
  <c r="D559" i="33"/>
  <c r="E559" i="33" s="1"/>
  <c r="D560" i="33"/>
  <c r="E560" i="33" s="1"/>
  <c r="D561" i="33"/>
  <c r="E561" i="33" s="1"/>
  <c r="D562" i="33"/>
  <c r="E562" i="33" s="1"/>
  <c r="D563" i="33"/>
  <c r="E563" i="33" s="1"/>
  <c r="D564" i="33"/>
  <c r="E564" i="33" s="1"/>
  <c r="D565" i="33"/>
  <c r="E565" i="33" s="1"/>
  <c r="D566" i="33"/>
  <c r="E566" i="33" s="1"/>
  <c r="D567" i="33"/>
  <c r="E567" i="33" s="1"/>
  <c r="D568" i="33"/>
  <c r="E568" i="33" s="1"/>
  <c r="D569" i="33"/>
  <c r="E569" i="33" s="1"/>
  <c r="D570" i="33"/>
  <c r="E570" i="33" s="1"/>
  <c r="D571" i="33"/>
  <c r="E571" i="33" s="1"/>
  <c r="D572" i="33"/>
  <c r="E572" i="33" s="1"/>
  <c r="D573" i="33"/>
  <c r="E573" i="33" s="1"/>
  <c r="D574" i="33"/>
  <c r="E574" i="33" s="1"/>
  <c r="D575" i="33"/>
  <c r="E575" i="33" s="1"/>
  <c r="D576" i="33"/>
  <c r="E576" i="33" s="1"/>
  <c r="D577" i="33"/>
  <c r="E577" i="33" s="1"/>
  <c r="D578" i="33"/>
  <c r="E578" i="33" s="1"/>
  <c r="D579" i="33"/>
  <c r="E579" i="33" s="1"/>
  <c r="D580" i="33"/>
  <c r="E580" i="33" s="1"/>
  <c r="D581" i="33"/>
  <c r="E581" i="33" s="1"/>
  <c r="D582" i="33"/>
  <c r="E582" i="33" s="1"/>
  <c r="D583" i="33"/>
  <c r="E583" i="33" s="1"/>
  <c r="D584" i="33"/>
  <c r="E584" i="33" s="1"/>
  <c r="D585" i="33"/>
  <c r="E585" i="33" s="1"/>
  <c r="D586" i="33"/>
  <c r="E586" i="33" s="1"/>
  <c r="D587" i="33"/>
  <c r="E587" i="33" s="1"/>
  <c r="D588" i="33"/>
  <c r="E588" i="33" s="1"/>
  <c r="D589" i="33"/>
  <c r="E589" i="33" s="1"/>
  <c r="D590" i="33"/>
  <c r="E590" i="33" s="1"/>
  <c r="D591" i="33"/>
  <c r="E591" i="33" s="1"/>
  <c r="D592" i="33"/>
  <c r="E592" i="33" s="1"/>
  <c r="D593" i="33"/>
  <c r="E593" i="33" s="1"/>
  <c r="D594" i="33"/>
  <c r="E594" i="33" s="1"/>
  <c r="D595" i="33"/>
  <c r="E595" i="33" s="1"/>
  <c r="D596" i="33"/>
  <c r="E596" i="33" s="1"/>
  <c r="D597" i="33"/>
  <c r="E597" i="33" s="1"/>
  <c r="D598" i="33"/>
  <c r="E598" i="33" s="1"/>
  <c r="D599" i="33"/>
  <c r="E599" i="33" s="1"/>
  <c r="D600" i="33"/>
  <c r="E600" i="33" s="1"/>
  <c r="D601" i="33"/>
  <c r="E601" i="33" s="1"/>
  <c r="D602" i="33"/>
  <c r="E602" i="33" s="1"/>
  <c r="D603" i="33"/>
  <c r="E603" i="33" s="1"/>
  <c r="D604" i="33"/>
  <c r="E604" i="33" s="1"/>
  <c r="D605" i="33"/>
  <c r="E605" i="33" s="1"/>
  <c r="D606" i="33"/>
  <c r="E606" i="33" s="1"/>
  <c r="D607" i="33"/>
  <c r="E607" i="33" s="1"/>
  <c r="D608" i="33"/>
  <c r="E608" i="33" s="1"/>
  <c r="D609" i="33"/>
  <c r="E609" i="33" s="1"/>
  <c r="D610" i="33"/>
  <c r="E610" i="33" s="1"/>
  <c r="D611" i="33"/>
  <c r="E611" i="33" s="1"/>
  <c r="D612" i="33"/>
  <c r="E612" i="33" s="1"/>
  <c r="D613" i="33"/>
  <c r="E613" i="33" s="1"/>
  <c r="D614" i="33"/>
  <c r="E614" i="33" s="1"/>
  <c r="D615" i="33"/>
  <c r="E615" i="33" s="1"/>
  <c r="D616" i="33"/>
  <c r="E616" i="33" s="1"/>
  <c r="D617" i="33"/>
  <c r="E617" i="33" s="1"/>
  <c r="D618" i="33"/>
  <c r="E618" i="33" s="1"/>
  <c r="D619" i="33"/>
  <c r="E619" i="33" s="1"/>
  <c r="D620" i="33"/>
  <c r="E620" i="33" s="1"/>
  <c r="D621" i="33"/>
  <c r="E621" i="33" s="1"/>
  <c r="D622" i="33"/>
  <c r="E622" i="33" s="1"/>
  <c r="D623" i="33"/>
  <c r="E623" i="33" s="1"/>
  <c r="D624" i="33"/>
  <c r="E624" i="33" s="1"/>
  <c r="D625" i="33"/>
  <c r="E625" i="33" s="1"/>
  <c r="D626" i="33"/>
  <c r="E626" i="33" s="1"/>
  <c r="D627" i="33"/>
  <c r="E627" i="33" s="1"/>
  <c r="D628" i="33"/>
  <c r="E628" i="33" s="1"/>
  <c r="D629" i="33"/>
  <c r="E629" i="33" s="1"/>
  <c r="D630" i="33"/>
  <c r="E630" i="33" s="1"/>
  <c r="D631" i="33"/>
  <c r="E631" i="33" s="1"/>
  <c r="D632" i="33"/>
  <c r="E632" i="33" s="1"/>
  <c r="D633" i="33"/>
  <c r="E633" i="33" s="1"/>
  <c r="D634" i="33"/>
  <c r="E634" i="33" s="1"/>
  <c r="D635" i="33"/>
  <c r="E635" i="33" s="1"/>
  <c r="D636" i="33"/>
  <c r="E636" i="33" s="1"/>
  <c r="D637" i="33"/>
  <c r="E637" i="33" s="1"/>
  <c r="D638" i="33"/>
  <c r="E638" i="33" s="1"/>
  <c r="D639" i="33"/>
  <c r="E639" i="33" s="1"/>
  <c r="D640" i="33"/>
  <c r="E640" i="33" s="1"/>
  <c r="D641" i="33"/>
  <c r="E641" i="33" s="1"/>
  <c r="D642" i="33"/>
  <c r="E642" i="33" s="1"/>
  <c r="D643" i="33"/>
  <c r="E643" i="33" s="1"/>
  <c r="D644" i="33"/>
  <c r="E644" i="33" s="1"/>
  <c r="D645" i="33"/>
  <c r="E645" i="33" s="1"/>
  <c r="D646" i="33"/>
  <c r="E646" i="33" s="1"/>
  <c r="D647" i="33"/>
  <c r="E647" i="33" s="1"/>
  <c r="D648" i="33"/>
  <c r="E648" i="33" s="1"/>
  <c r="D649" i="33"/>
  <c r="E649" i="33" s="1"/>
  <c r="D650" i="33"/>
  <c r="E650" i="33" s="1"/>
  <c r="D651" i="33"/>
  <c r="E651" i="33" s="1"/>
  <c r="D652" i="33"/>
  <c r="E652" i="33" s="1"/>
  <c r="D653" i="33"/>
  <c r="E653" i="33" s="1"/>
  <c r="D654" i="33"/>
  <c r="E654" i="33" s="1"/>
  <c r="D655" i="33"/>
  <c r="E655" i="33" s="1"/>
  <c r="D656" i="33"/>
  <c r="E656" i="33" s="1"/>
  <c r="D657" i="33"/>
  <c r="E657" i="33" s="1"/>
  <c r="D658" i="33"/>
  <c r="E658" i="33" s="1"/>
  <c r="D659" i="33"/>
  <c r="E659" i="33" s="1"/>
  <c r="D660" i="33"/>
  <c r="E660" i="33" s="1"/>
  <c r="D661" i="33"/>
  <c r="E661" i="33" s="1"/>
  <c r="D662" i="33"/>
  <c r="E662" i="33" s="1"/>
  <c r="D663" i="33"/>
  <c r="E663" i="33" s="1"/>
  <c r="D664" i="33"/>
  <c r="E664" i="33" s="1"/>
  <c r="D665" i="33"/>
  <c r="E665" i="33" s="1"/>
  <c r="D666" i="33"/>
  <c r="E666" i="33" s="1"/>
  <c r="D667" i="33"/>
  <c r="E667" i="33" s="1"/>
  <c r="D668" i="33"/>
  <c r="E668" i="33" s="1"/>
  <c r="D669" i="33"/>
  <c r="E669" i="33" s="1"/>
  <c r="D670" i="33"/>
  <c r="E670" i="33" s="1"/>
  <c r="D671" i="33"/>
  <c r="E671" i="33" s="1"/>
  <c r="D672" i="33"/>
  <c r="E672" i="33" s="1"/>
  <c r="D673" i="33"/>
  <c r="E673" i="33" s="1"/>
  <c r="D674" i="33"/>
  <c r="E674" i="33" s="1"/>
  <c r="D675" i="33"/>
  <c r="E675" i="33" s="1"/>
  <c r="D676" i="33"/>
  <c r="E676" i="33" s="1"/>
  <c r="D677" i="33"/>
  <c r="E677" i="33" s="1"/>
  <c r="D678" i="33"/>
  <c r="E678" i="33" s="1"/>
  <c r="D679" i="33"/>
  <c r="E679" i="33" s="1"/>
  <c r="D680" i="33"/>
  <c r="E680" i="33" s="1"/>
  <c r="D681" i="33"/>
  <c r="E681" i="33" s="1"/>
  <c r="D682" i="33"/>
  <c r="E682" i="33" s="1"/>
  <c r="D683" i="33"/>
  <c r="E683" i="33" s="1"/>
  <c r="D684" i="33"/>
  <c r="E684" i="33" s="1"/>
  <c r="D685" i="33"/>
  <c r="E685" i="33" s="1"/>
  <c r="D686" i="33"/>
  <c r="E686" i="33" s="1"/>
  <c r="D687" i="33"/>
  <c r="E687" i="33" s="1"/>
  <c r="D688" i="33"/>
  <c r="E688" i="33" s="1"/>
  <c r="D689" i="33"/>
  <c r="E689" i="33" s="1"/>
  <c r="D690" i="33"/>
  <c r="E690" i="33" s="1"/>
  <c r="D691" i="33"/>
  <c r="E691" i="33" s="1"/>
  <c r="D692" i="33"/>
  <c r="E692" i="33" s="1"/>
  <c r="D693" i="33"/>
  <c r="E693" i="33" s="1"/>
  <c r="D694" i="33"/>
  <c r="E694" i="33" s="1"/>
  <c r="D695" i="33"/>
  <c r="E695" i="33" s="1"/>
  <c r="D696" i="33"/>
  <c r="E696" i="33" s="1"/>
  <c r="D697" i="33"/>
  <c r="E697" i="33" s="1"/>
  <c r="D698" i="33"/>
  <c r="E698" i="33" s="1"/>
  <c r="D699" i="33"/>
  <c r="E699" i="33" s="1"/>
  <c r="D700" i="33"/>
  <c r="E700" i="33" s="1"/>
  <c r="D701" i="33"/>
  <c r="E701" i="33" s="1"/>
  <c r="D702" i="33"/>
  <c r="E702" i="33" s="1"/>
  <c r="D703" i="33"/>
  <c r="E703" i="33" s="1"/>
  <c r="D704" i="33"/>
  <c r="E704" i="33" s="1"/>
  <c r="D705" i="33"/>
  <c r="E705" i="33" s="1"/>
  <c r="D706" i="33"/>
  <c r="E706" i="33" s="1"/>
  <c r="D707" i="33"/>
  <c r="E707" i="33" s="1"/>
  <c r="D708" i="33"/>
  <c r="E708" i="33" s="1"/>
  <c r="D709" i="33"/>
  <c r="E709" i="33" s="1"/>
  <c r="D710" i="33"/>
  <c r="E710" i="33" s="1"/>
  <c r="D711" i="33"/>
  <c r="E711" i="33" s="1"/>
  <c r="D712" i="33"/>
  <c r="E712" i="33" s="1"/>
  <c r="D713" i="33"/>
  <c r="E713" i="33" s="1"/>
  <c r="D714" i="33"/>
  <c r="E714" i="33" s="1"/>
  <c r="D715" i="33"/>
  <c r="E715" i="33" s="1"/>
  <c r="D716" i="33"/>
  <c r="E716" i="33" s="1"/>
  <c r="D717" i="33"/>
  <c r="E717" i="33" s="1"/>
  <c r="D718" i="33"/>
  <c r="E718" i="33" s="1"/>
  <c r="D719" i="33"/>
  <c r="E719" i="33" s="1"/>
  <c r="D720" i="33"/>
  <c r="E720" i="33" s="1"/>
  <c r="D721" i="33"/>
  <c r="E721" i="33" s="1"/>
  <c r="D722" i="33"/>
  <c r="E722" i="33" s="1"/>
  <c r="D723" i="33"/>
  <c r="E723" i="33" s="1"/>
  <c r="D724" i="33"/>
  <c r="E724" i="33" s="1"/>
  <c r="D725" i="33"/>
  <c r="E725" i="33" s="1"/>
  <c r="D726" i="33"/>
  <c r="E726" i="33" s="1"/>
  <c r="D727" i="33"/>
  <c r="E727" i="33" s="1"/>
  <c r="D728" i="33"/>
  <c r="E728" i="33" s="1"/>
  <c r="D729" i="33"/>
  <c r="E729" i="33" s="1"/>
  <c r="D730" i="33"/>
  <c r="E730" i="33" s="1"/>
  <c r="D731" i="33"/>
  <c r="E731" i="33" s="1"/>
  <c r="D732" i="33"/>
  <c r="E732" i="33" s="1"/>
  <c r="D733" i="33"/>
  <c r="E733" i="33" s="1"/>
  <c r="D734" i="33"/>
  <c r="E734" i="33" s="1"/>
  <c r="D735" i="33"/>
  <c r="E735" i="33" s="1"/>
  <c r="D736" i="33"/>
  <c r="E736" i="33" s="1"/>
  <c r="D737" i="33"/>
  <c r="E737" i="33" s="1"/>
  <c r="D738" i="33"/>
  <c r="E738" i="33" s="1"/>
  <c r="D739" i="33"/>
  <c r="E739" i="33" s="1"/>
  <c r="D740" i="33"/>
  <c r="E740" i="33" s="1"/>
  <c r="D741" i="33"/>
  <c r="E741" i="33" s="1"/>
  <c r="D742" i="33"/>
  <c r="E742" i="33" s="1"/>
  <c r="D743" i="33"/>
  <c r="E743" i="33" s="1"/>
  <c r="D744" i="33"/>
  <c r="E744" i="33" s="1"/>
  <c r="D745" i="33"/>
  <c r="E745" i="33" s="1"/>
  <c r="D746" i="33"/>
  <c r="E746" i="33" s="1"/>
  <c r="D747" i="33"/>
  <c r="E747" i="33" s="1"/>
  <c r="D748" i="33"/>
  <c r="E748" i="33" s="1"/>
  <c r="D749" i="33"/>
  <c r="E749" i="33" s="1"/>
  <c r="D750" i="33"/>
  <c r="E750" i="33" s="1"/>
  <c r="D751" i="33"/>
  <c r="E751" i="33" s="1"/>
  <c r="D752" i="33"/>
  <c r="E752" i="33" s="1"/>
  <c r="D753" i="33"/>
  <c r="E753" i="33" s="1"/>
  <c r="D754" i="33"/>
  <c r="E754" i="33" s="1"/>
  <c r="D755" i="33"/>
  <c r="E755" i="33" s="1"/>
  <c r="D756" i="33"/>
  <c r="E756" i="33" s="1"/>
  <c r="D757" i="33"/>
  <c r="E757" i="33" s="1"/>
  <c r="D758" i="33"/>
  <c r="E758" i="33" s="1"/>
  <c r="D759" i="33"/>
  <c r="E759" i="33" s="1"/>
  <c r="D760" i="33"/>
  <c r="E760" i="33" s="1"/>
  <c r="D761" i="33"/>
  <c r="E761" i="33" s="1"/>
  <c r="D762" i="33"/>
  <c r="E762" i="33" s="1"/>
  <c r="D763" i="33"/>
  <c r="E763" i="33" s="1"/>
  <c r="D764" i="33"/>
  <c r="E764" i="33" s="1"/>
  <c r="D765" i="33"/>
  <c r="E765" i="33" s="1"/>
  <c r="D766" i="33"/>
  <c r="E766" i="33" s="1"/>
  <c r="D767" i="33"/>
  <c r="E767" i="33" s="1"/>
  <c r="D768" i="33"/>
  <c r="E768" i="33" s="1"/>
  <c r="D769" i="33"/>
  <c r="E769" i="33" s="1"/>
  <c r="D770" i="33"/>
  <c r="E770" i="33" s="1"/>
  <c r="D771" i="33"/>
  <c r="E771" i="33" s="1"/>
  <c r="D772" i="33"/>
  <c r="E772" i="33" s="1"/>
  <c r="D773" i="33"/>
  <c r="E773" i="33" s="1"/>
  <c r="D774" i="33"/>
  <c r="E774" i="33" s="1"/>
  <c r="D775" i="33"/>
  <c r="E775" i="33" s="1"/>
  <c r="D776" i="33"/>
  <c r="E776" i="33" s="1"/>
  <c r="D777" i="33"/>
  <c r="E777" i="33" s="1"/>
  <c r="D778" i="33"/>
  <c r="E778" i="33" s="1"/>
  <c r="D779" i="33"/>
  <c r="E779" i="33" s="1"/>
  <c r="D780" i="33"/>
  <c r="E780" i="33" s="1"/>
  <c r="D781" i="33"/>
  <c r="E781" i="33" s="1"/>
  <c r="D782" i="33"/>
  <c r="E782" i="33" s="1"/>
  <c r="D783" i="33"/>
  <c r="E783" i="33" s="1"/>
  <c r="D784" i="33"/>
  <c r="E784" i="33" s="1"/>
  <c r="D785" i="33"/>
  <c r="E785" i="33" s="1"/>
  <c r="D786" i="33"/>
  <c r="E786" i="33" s="1"/>
  <c r="D787" i="33"/>
  <c r="E787" i="33" s="1"/>
  <c r="D788" i="33"/>
  <c r="E788" i="33" s="1"/>
  <c r="D789" i="33"/>
  <c r="E789" i="33" s="1"/>
  <c r="D790" i="33"/>
  <c r="E790" i="33" s="1"/>
  <c r="D791" i="33"/>
  <c r="E791" i="33" s="1"/>
  <c r="D792" i="33"/>
  <c r="E792" i="33" s="1"/>
  <c r="D793" i="33"/>
  <c r="E793" i="33" s="1"/>
  <c r="D794" i="33"/>
  <c r="E794" i="33" s="1"/>
  <c r="D795" i="33"/>
  <c r="E795" i="33" s="1"/>
  <c r="D796" i="33"/>
  <c r="E796" i="33" s="1"/>
  <c r="D797" i="33"/>
  <c r="E797" i="33" s="1"/>
  <c r="D798" i="33"/>
  <c r="E798" i="33" s="1"/>
  <c r="D799" i="33"/>
  <c r="E799" i="33" s="1"/>
  <c r="D800" i="33"/>
  <c r="E800" i="33" s="1"/>
  <c r="D801" i="33"/>
  <c r="E801" i="33" s="1"/>
  <c r="D802" i="33"/>
  <c r="E802" i="33" s="1"/>
  <c r="D803" i="33"/>
  <c r="E803" i="33" s="1"/>
  <c r="D804" i="33"/>
  <c r="E804" i="33" s="1"/>
  <c r="D805" i="33"/>
  <c r="E805" i="33" s="1"/>
  <c r="D806" i="33"/>
  <c r="E806" i="33" s="1"/>
  <c r="D807" i="33"/>
  <c r="E807" i="33" s="1"/>
  <c r="D808" i="33"/>
  <c r="E808" i="33" s="1"/>
  <c r="D809" i="33"/>
  <c r="E809" i="33" s="1"/>
  <c r="D810" i="33"/>
  <c r="E810" i="33" s="1"/>
  <c r="D811" i="33"/>
  <c r="E811" i="33" s="1"/>
  <c r="D812" i="33"/>
  <c r="E812" i="33" s="1"/>
  <c r="D813" i="33"/>
  <c r="E813" i="33" s="1"/>
  <c r="D814" i="33"/>
  <c r="E814" i="33" s="1"/>
  <c r="D815" i="33"/>
  <c r="E815" i="33" s="1"/>
  <c r="D816" i="33"/>
  <c r="E816" i="33" s="1"/>
  <c r="D817" i="33"/>
  <c r="E817" i="33" s="1"/>
  <c r="D818" i="33"/>
  <c r="E818" i="33" s="1"/>
  <c r="D819" i="33"/>
  <c r="E819" i="33" s="1"/>
  <c r="D820" i="33"/>
  <c r="E820" i="33" s="1"/>
  <c r="D821" i="33"/>
  <c r="E821" i="33" s="1"/>
  <c r="D822" i="33"/>
  <c r="E822" i="33" s="1"/>
  <c r="D823" i="33"/>
  <c r="E823" i="33" s="1"/>
  <c r="D824" i="33"/>
  <c r="E824" i="33" s="1"/>
  <c r="D825" i="33"/>
  <c r="E825" i="33" s="1"/>
  <c r="D826" i="33"/>
  <c r="E826" i="33" s="1"/>
  <c r="D827" i="33"/>
  <c r="E827" i="33" s="1"/>
  <c r="D828" i="33"/>
  <c r="E828" i="33" s="1"/>
  <c r="D829" i="33"/>
  <c r="E829" i="33" s="1"/>
  <c r="D830" i="33"/>
  <c r="E830" i="33" s="1"/>
  <c r="D831" i="33"/>
  <c r="E831" i="33" s="1"/>
  <c r="D832" i="33"/>
  <c r="E832" i="33" s="1"/>
  <c r="D833" i="33"/>
  <c r="E833" i="33" s="1"/>
  <c r="D834" i="33"/>
  <c r="E834" i="33" s="1"/>
  <c r="D835" i="33"/>
  <c r="E835" i="33" s="1"/>
  <c r="D836" i="33"/>
  <c r="E836" i="33" s="1"/>
  <c r="D837" i="33"/>
  <c r="E837" i="33" s="1"/>
  <c r="D838" i="33"/>
  <c r="E838" i="33" s="1"/>
  <c r="D839" i="33"/>
  <c r="E839" i="33" s="1"/>
  <c r="D840" i="33"/>
  <c r="E840" i="33" s="1"/>
  <c r="D841" i="33"/>
  <c r="E841" i="33" s="1"/>
  <c r="D842" i="33"/>
  <c r="E842" i="33" s="1"/>
  <c r="D843" i="33"/>
  <c r="E843" i="33" s="1"/>
  <c r="D844" i="33"/>
  <c r="E844" i="33" s="1"/>
  <c r="D845" i="33"/>
  <c r="E845" i="33" s="1"/>
  <c r="D846" i="33"/>
  <c r="E846" i="33" s="1"/>
  <c r="D847" i="33"/>
  <c r="E847" i="33" s="1"/>
  <c r="D848" i="33"/>
  <c r="E848" i="33" s="1"/>
  <c r="D849" i="33"/>
  <c r="E849" i="33" s="1"/>
  <c r="D850" i="33"/>
  <c r="E850" i="33" s="1"/>
  <c r="D851" i="33"/>
  <c r="E851" i="33" s="1"/>
  <c r="D852" i="33"/>
  <c r="E852" i="33" s="1"/>
  <c r="D853" i="33"/>
  <c r="E853" i="33" s="1"/>
  <c r="D854" i="33"/>
  <c r="E854" i="33" s="1"/>
  <c r="D855" i="33"/>
  <c r="E855" i="33" s="1"/>
  <c r="D856" i="33"/>
  <c r="E856" i="33" s="1"/>
  <c r="D857" i="33"/>
  <c r="E857" i="33" s="1"/>
  <c r="D858" i="33"/>
  <c r="E858" i="33" s="1"/>
  <c r="D859" i="33"/>
  <c r="E859" i="33" s="1"/>
  <c r="D860" i="33"/>
  <c r="E860" i="33" s="1"/>
  <c r="D861" i="33"/>
  <c r="E861" i="33" s="1"/>
  <c r="D862" i="33"/>
  <c r="E862" i="33" s="1"/>
  <c r="D863" i="33"/>
  <c r="E863" i="33" s="1"/>
  <c r="D864" i="33"/>
  <c r="E864" i="33" s="1"/>
  <c r="D865" i="33"/>
  <c r="E865" i="33" s="1"/>
  <c r="D866" i="33"/>
  <c r="E866" i="33" s="1"/>
  <c r="D867" i="33"/>
  <c r="E867" i="33" s="1"/>
  <c r="D868" i="33"/>
  <c r="E868" i="33" s="1"/>
  <c r="D869" i="33"/>
  <c r="E869" i="33" s="1"/>
  <c r="D870" i="33"/>
  <c r="E870" i="33" s="1"/>
  <c r="D871" i="33"/>
  <c r="E871" i="33" s="1"/>
  <c r="D872" i="33"/>
  <c r="E872" i="33" s="1"/>
  <c r="D873" i="33"/>
  <c r="E873" i="33" s="1"/>
  <c r="D874" i="33"/>
  <c r="E874" i="33" s="1"/>
  <c r="D875" i="33"/>
  <c r="E875" i="33" s="1"/>
  <c r="D876" i="33"/>
  <c r="E876" i="33" s="1"/>
  <c r="D877" i="33"/>
  <c r="E877" i="33" s="1"/>
  <c r="D878" i="33"/>
  <c r="E878" i="33" s="1"/>
  <c r="D879" i="33"/>
  <c r="E879" i="33" s="1"/>
  <c r="D880" i="33"/>
  <c r="E880" i="33" s="1"/>
  <c r="D881" i="33"/>
  <c r="E881" i="33" s="1"/>
  <c r="D882" i="33"/>
  <c r="E882" i="33" s="1"/>
  <c r="D883" i="33"/>
  <c r="E883" i="33" s="1"/>
  <c r="D884" i="33"/>
  <c r="E884" i="33" s="1"/>
  <c r="D885" i="33"/>
  <c r="E885" i="33" s="1"/>
  <c r="D886" i="33"/>
  <c r="E886" i="33" s="1"/>
  <c r="D887" i="33"/>
  <c r="E887" i="33" s="1"/>
  <c r="D888" i="33"/>
  <c r="E888" i="33" s="1"/>
  <c r="D889" i="33"/>
  <c r="E889" i="33" s="1"/>
  <c r="D890" i="33"/>
  <c r="E890" i="33" s="1"/>
  <c r="D891" i="33"/>
  <c r="E891" i="33" s="1"/>
  <c r="D892" i="33"/>
  <c r="E892" i="33" s="1"/>
  <c r="D893" i="33"/>
  <c r="E893" i="33" s="1"/>
  <c r="D894" i="33"/>
  <c r="E894" i="33" s="1"/>
  <c r="D895" i="33"/>
  <c r="E895" i="33" s="1"/>
  <c r="D896" i="33"/>
  <c r="E896" i="33" s="1"/>
  <c r="D897" i="33"/>
  <c r="E897" i="33" s="1"/>
  <c r="D898" i="33"/>
  <c r="E898" i="33" s="1"/>
  <c r="D899" i="33"/>
  <c r="E899" i="33" s="1"/>
  <c r="D900" i="33"/>
  <c r="E900" i="33" s="1"/>
  <c r="D901" i="33"/>
  <c r="E901" i="33" s="1"/>
  <c r="D902" i="33"/>
  <c r="E902" i="33" s="1"/>
  <c r="D903" i="33"/>
  <c r="E903" i="33" s="1"/>
  <c r="D904" i="33"/>
  <c r="E904" i="33" s="1"/>
  <c r="D905" i="33"/>
  <c r="E905" i="33" s="1"/>
  <c r="D906" i="33"/>
  <c r="E906" i="33" s="1"/>
  <c r="D907" i="33"/>
  <c r="E907" i="33" s="1"/>
  <c r="D908" i="33"/>
  <c r="E908" i="33" s="1"/>
  <c r="D909" i="33"/>
  <c r="E909" i="33" s="1"/>
  <c r="D910" i="33"/>
  <c r="E910" i="33" s="1"/>
  <c r="D911" i="33"/>
  <c r="E911" i="33" s="1"/>
  <c r="D912" i="33"/>
  <c r="E912" i="33" s="1"/>
  <c r="D913" i="33"/>
  <c r="E913" i="33" s="1"/>
  <c r="D914" i="33"/>
  <c r="E914" i="33" s="1"/>
  <c r="D915" i="33"/>
  <c r="E915" i="33" s="1"/>
  <c r="D916" i="33"/>
  <c r="E916" i="33" s="1"/>
  <c r="D917" i="33"/>
  <c r="E917" i="33" s="1"/>
  <c r="D918" i="33"/>
  <c r="E918" i="33" s="1"/>
  <c r="D919" i="33"/>
  <c r="E919" i="33" s="1"/>
  <c r="D920" i="33"/>
  <c r="E920" i="33" s="1"/>
  <c r="D921" i="33"/>
  <c r="E921" i="33" s="1"/>
  <c r="D922" i="33"/>
  <c r="E922" i="33" s="1"/>
  <c r="D923" i="33"/>
  <c r="E923" i="33" s="1"/>
  <c r="D924" i="33"/>
  <c r="E924" i="33" s="1"/>
  <c r="D925" i="33"/>
  <c r="E925" i="33" s="1"/>
  <c r="D926" i="33"/>
  <c r="E926" i="33" s="1"/>
  <c r="D927" i="33"/>
  <c r="E927" i="33" s="1"/>
  <c r="D928" i="33"/>
  <c r="E928" i="33" s="1"/>
  <c r="D929" i="33"/>
  <c r="E929" i="33" s="1"/>
  <c r="D930" i="33"/>
  <c r="E930" i="33" s="1"/>
  <c r="D931" i="33"/>
  <c r="E931" i="33" s="1"/>
  <c r="D932" i="33"/>
  <c r="E932" i="33" s="1"/>
  <c r="D933" i="33"/>
  <c r="E933" i="33" s="1"/>
  <c r="D934" i="33"/>
  <c r="E934" i="33" s="1"/>
  <c r="D935" i="33"/>
  <c r="E935" i="33" s="1"/>
  <c r="D936" i="33"/>
  <c r="E936" i="33" s="1"/>
  <c r="D937" i="33"/>
  <c r="E937" i="33" s="1"/>
  <c r="D938" i="33"/>
  <c r="E938" i="33" s="1"/>
  <c r="D939" i="33"/>
  <c r="E939" i="33" s="1"/>
  <c r="D940" i="33"/>
  <c r="E940" i="33" s="1"/>
  <c r="D941" i="33"/>
  <c r="E941" i="33" s="1"/>
  <c r="D942" i="33"/>
  <c r="E942" i="33" s="1"/>
  <c r="D943" i="33"/>
  <c r="E943" i="33" s="1"/>
  <c r="D944" i="33"/>
  <c r="E944" i="33" s="1"/>
  <c r="D945" i="33"/>
  <c r="E945" i="33" s="1"/>
  <c r="D946" i="33"/>
  <c r="E946" i="33" s="1"/>
  <c r="D947" i="33"/>
  <c r="E947" i="33" s="1"/>
  <c r="D948" i="33"/>
  <c r="E948" i="33" s="1"/>
  <c r="D949" i="33"/>
  <c r="E949" i="33" s="1"/>
  <c r="D950" i="33"/>
  <c r="E950" i="33" s="1"/>
  <c r="D951" i="33"/>
  <c r="E951" i="33" s="1"/>
  <c r="D952" i="33"/>
  <c r="E952" i="33" s="1"/>
  <c r="D953" i="33"/>
  <c r="E953" i="33" s="1"/>
  <c r="D954" i="33"/>
  <c r="E954" i="33" s="1"/>
  <c r="D955" i="33"/>
  <c r="E955" i="33" s="1"/>
  <c r="D956" i="33"/>
  <c r="E956" i="33" s="1"/>
  <c r="D957" i="33"/>
  <c r="E957" i="33" s="1"/>
  <c r="D958" i="33"/>
  <c r="E958" i="33" s="1"/>
  <c r="D959" i="33"/>
  <c r="E959" i="33" s="1"/>
  <c r="D960" i="33"/>
  <c r="E960" i="33" s="1"/>
  <c r="D961" i="33"/>
  <c r="E961" i="33" s="1"/>
  <c r="D962" i="33"/>
  <c r="E962" i="33" s="1"/>
  <c r="D963" i="33"/>
  <c r="E963" i="33" s="1"/>
  <c r="D964" i="33"/>
  <c r="E964" i="33" s="1"/>
  <c r="D965" i="33"/>
  <c r="E965" i="33" s="1"/>
  <c r="D966" i="33"/>
  <c r="E966" i="33" s="1"/>
  <c r="D967" i="33"/>
  <c r="E967" i="33" s="1"/>
  <c r="D968" i="33"/>
  <c r="E968" i="33" s="1"/>
  <c r="D969" i="33"/>
  <c r="E969" i="33" s="1"/>
  <c r="D970" i="33"/>
  <c r="E970" i="33" s="1"/>
  <c r="D971" i="33"/>
  <c r="E971" i="33" s="1"/>
  <c r="D972" i="33"/>
  <c r="E972" i="33" s="1"/>
  <c r="D973" i="33"/>
  <c r="E973" i="33" s="1"/>
  <c r="D974" i="33"/>
  <c r="E974" i="33" s="1"/>
  <c r="D975" i="33"/>
  <c r="E975" i="33" s="1"/>
  <c r="D976" i="33"/>
  <c r="E976" i="33" s="1"/>
  <c r="D977" i="33"/>
  <c r="E977" i="33" s="1"/>
  <c r="D978" i="33"/>
  <c r="E978" i="33" s="1"/>
  <c r="D979" i="33"/>
  <c r="E979" i="33" s="1"/>
  <c r="D980" i="33"/>
  <c r="E980" i="33" s="1"/>
  <c r="D981" i="33"/>
  <c r="E981" i="33" s="1"/>
  <c r="D982" i="33"/>
  <c r="E982" i="33" s="1"/>
  <c r="D983" i="33"/>
  <c r="E983" i="33" s="1"/>
  <c r="D984" i="33"/>
  <c r="E984" i="33" s="1"/>
  <c r="D985" i="33"/>
  <c r="E985" i="33" s="1"/>
  <c r="D986" i="33"/>
  <c r="E986" i="33" s="1"/>
  <c r="D987" i="33"/>
  <c r="E987" i="33" s="1"/>
  <c r="D988" i="33"/>
  <c r="E988" i="33" s="1"/>
  <c r="D989" i="33"/>
  <c r="E989" i="33" s="1"/>
  <c r="D990" i="33"/>
  <c r="E990" i="33" s="1"/>
  <c r="D991" i="33"/>
  <c r="E991" i="33" s="1"/>
  <c r="D992" i="33"/>
  <c r="E992" i="33" s="1"/>
  <c r="D993" i="33"/>
  <c r="E993" i="33" s="1"/>
  <c r="D994" i="33"/>
  <c r="E994" i="33" s="1"/>
  <c r="D995" i="33"/>
  <c r="E995" i="33" s="1"/>
  <c r="D996" i="33"/>
  <c r="E996" i="33" s="1"/>
  <c r="D997" i="33"/>
  <c r="E997" i="33" s="1"/>
  <c r="D998" i="33"/>
  <c r="E998" i="33" s="1"/>
  <c r="D999" i="33"/>
  <c r="E999" i="33" s="1"/>
  <c r="D1000" i="33"/>
  <c r="E1000" i="33" s="1"/>
  <c r="D1001" i="33"/>
  <c r="E1001" i="33" s="1"/>
  <c r="D1002" i="33"/>
  <c r="E1002" i="33" s="1"/>
  <c r="D1003" i="33"/>
  <c r="E1003" i="33" s="1"/>
  <c r="D1004" i="33"/>
  <c r="E1004" i="33" s="1"/>
  <c r="D1005" i="33"/>
  <c r="E1005" i="33" s="1"/>
  <c r="D1006" i="33"/>
  <c r="E1006" i="33" s="1"/>
  <c r="D1007" i="33"/>
  <c r="E1007" i="33" s="1"/>
  <c r="D1008" i="33"/>
  <c r="E1008" i="33" s="1"/>
  <c r="D1009" i="33"/>
  <c r="E1009" i="33" s="1"/>
  <c r="D1010" i="33"/>
  <c r="E1010" i="33" s="1"/>
  <c r="D1011" i="33"/>
  <c r="E1011" i="33" s="1"/>
  <c r="D1012" i="33"/>
  <c r="E1012" i="33" s="1"/>
  <c r="D1013" i="33"/>
  <c r="E1013" i="33" s="1"/>
  <c r="D1014" i="33"/>
  <c r="E1014" i="33" s="1"/>
  <c r="D1015" i="33"/>
  <c r="E1015" i="33" s="1"/>
  <c r="D1016" i="33"/>
  <c r="E1016" i="33" s="1"/>
  <c r="D1017" i="33"/>
  <c r="E1017" i="33" s="1"/>
  <c r="D1018" i="33"/>
  <c r="E1018" i="33" s="1"/>
  <c r="D1019" i="33"/>
  <c r="E1019" i="33" s="1"/>
  <c r="D1020" i="33"/>
  <c r="E1020" i="33" s="1"/>
  <c r="D1021" i="33"/>
  <c r="E1021" i="33" s="1"/>
  <c r="D1022" i="33"/>
  <c r="E1022" i="33" s="1"/>
  <c r="D1023" i="33"/>
  <c r="E1023" i="33" s="1"/>
  <c r="D1024" i="33"/>
  <c r="E1024" i="33" s="1"/>
  <c r="D1025" i="33"/>
  <c r="E1025" i="33" s="1"/>
  <c r="D1026" i="33"/>
  <c r="E1026" i="33" s="1"/>
  <c r="D1027" i="33"/>
  <c r="E1027" i="33" s="1"/>
  <c r="D1028" i="33"/>
  <c r="E1028" i="33" s="1"/>
  <c r="D1029" i="33"/>
  <c r="E1029" i="33" s="1"/>
  <c r="D1030" i="33"/>
  <c r="E1030" i="33" s="1"/>
  <c r="D1031" i="33"/>
  <c r="E1031" i="33" s="1"/>
  <c r="D1032" i="33"/>
  <c r="E1032" i="33" s="1"/>
  <c r="D1033" i="33"/>
  <c r="E1033" i="33" s="1"/>
  <c r="D1034" i="33"/>
  <c r="E1034" i="33" s="1"/>
  <c r="D1035" i="33"/>
  <c r="E1035" i="33" s="1"/>
  <c r="D1036" i="33"/>
  <c r="E1036" i="33" s="1"/>
  <c r="D1037" i="33"/>
  <c r="E1037" i="33" s="1"/>
  <c r="D1038" i="33"/>
  <c r="E1038" i="33" s="1"/>
  <c r="D1039" i="33"/>
  <c r="E1039" i="33" s="1"/>
  <c r="D1040" i="33"/>
  <c r="E1040" i="33" s="1"/>
  <c r="D1041" i="33"/>
  <c r="E1041" i="33" s="1"/>
  <c r="D1042" i="33"/>
  <c r="E1042" i="33" s="1"/>
  <c r="D1043" i="33"/>
  <c r="E1043" i="33" s="1"/>
  <c r="D1044" i="33"/>
  <c r="E1044" i="33" s="1"/>
  <c r="D1045" i="33"/>
  <c r="E1045" i="33" s="1"/>
  <c r="D1046" i="33"/>
  <c r="E1046" i="33" s="1"/>
  <c r="D1047" i="33"/>
  <c r="E1047" i="33" s="1"/>
  <c r="D1048" i="33"/>
  <c r="E1048" i="33" s="1"/>
  <c r="D1049" i="33"/>
  <c r="E1049" i="33" s="1"/>
  <c r="D1050" i="33"/>
  <c r="E1050" i="33" s="1"/>
  <c r="D1051" i="33"/>
  <c r="E1051" i="33" s="1"/>
  <c r="D1052" i="33"/>
  <c r="E1052" i="33" s="1"/>
  <c r="D1053" i="33"/>
  <c r="E1053" i="33" s="1"/>
  <c r="D1054" i="33"/>
  <c r="E1054" i="33" s="1"/>
  <c r="D1055" i="33"/>
  <c r="E1055" i="33" s="1"/>
  <c r="D1056" i="33"/>
  <c r="E1056" i="33" s="1"/>
  <c r="D1057" i="33"/>
  <c r="E1057" i="33" s="1"/>
  <c r="D1058" i="33"/>
  <c r="E1058" i="33" s="1"/>
  <c r="D1059" i="33"/>
  <c r="E1059" i="33" s="1"/>
  <c r="D1060" i="33"/>
  <c r="E1060" i="33" s="1"/>
  <c r="D1061" i="33"/>
  <c r="E1061" i="33" s="1"/>
  <c r="D1062" i="33"/>
  <c r="E1062" i="33" s="1"/>
  <c r="D1063" i="33"/>
  <c r="E1063" i="33" s="1"/>
  <c r="D1064" i="33"/>
  <c r="E1064" i="33" s="1"/>
  <c r="D1065" i="33"/>
  <c r="E1065" i="33" s="1"/>
  <c r="D1066" i="33"/>
  <c r="E1066" i="33" s="1"/>
  <c r="D1067" i="33"/>
  <c r="E1067" i="33" s="1"/>
  <c r="D1068" i="33"/>
  <c r="E1068" i="33" s="1"/>
  <c r="D1069" i="33"/>
  <c r="E1069" i="33" s="1"/>
  <c r="D1070" i="33"/>
  <c r="E1070" i="33" s="1"/>
  <c r="D1071" i="33"/>
  <c r="E1071" i="33" s="1"/>
  <c r="D1072" i="33"/>
  <c r="E1072" i="33" s="1"/>
  <c r="D1073" i="33"/>
  <c r="E1073" i="33" s="1"/>
  <c r="D1074" i="33"/>
  <c r="E1074" i="33" s="1"/>
  <c r="D1075" i="33"/>
  <c r="E1075" i="33" s="1"/>
  <c r="D1076" i="33"/>
  <c r="E1076" i="33" s="1"/>
  <c r="D1077" i="33"/>
  <c r="E1077" i="33" s="1"/>
  <c r="D1078" i="33"/>
  <c r="E1078" i="33" s="1"/>
  <c r="D1079" i="33"/>
  <c r="E1079" i="33" s="1"/>
  <c r="D1080" i="33"/>
  <c r="E1080" i="33" s="1"/>
  <c r="D1081" i="33"/>
  <c r="E1081" i="33" s="1"/>
  <c r="D1082" i="33"/>
  <c r="E1082" i="33" s="1"/>
  <c r="D1083" i="33"/>
  <c r="E1083" i="33" s="1"/>
  <c r="D1084" i="33"/>
  <c r="E1084" i="33" s="1"/>
  <c r="D1085" i="33"/>
  <c r="E1085" i="33" s="1"/>
  <c r="D1086" i="33"/>
  <c r="E1086" i="33" s="1"/>
  <c r="D1087" i="33"/>
  <c r="E1087" i="33" s="1"/>
  <c r="D1088" i="33"/>
  <c r="E1088" i="33" s="1"/>
  <c r="D1089" i="33"/>
  <c r="E1089" i="33" s="1"/>
  <c r="D1090" i="33"/>
  <c r="E1090" i="33" s="1"/>
  <c r="D1091" i="33"/>
  <c r="E1091" i="33" s="1"/>
  <c r="D1092" i="33"/>
  <c r="E1092" i="33" s="1"/>
  <c r="D1093" i="33"/>
  <c r="E1093" i="33" s="1"/>
  <c r="D1094" i="33"/>
  <c r="E1094" i="33" s="1"/>
  <c r="D1095" i="33"/>
  <c r="E1095" i="33" s="1"/>
  <c r="D1096" i="33"/>
  <c r="E1096" i="33" s="1"/>
  <c r="D1097" i="33"/>
  <c r="E1097" i="33" s="1"/>
  <c r="D1098" i="33"/>
  <c r="E1098" i="33" s="1"/>
  <c r="D1099" i="33"/>
  <c r="E1099" i="33" s="1"/>
  <c r="D1100" i="33"/>
  <c r="E1100" i="33" s="1"/>
  <c r="D1101" i="33"/>
  <c r="E1101" i="33" s="1"/>
  <c r="D1102" i="33"/>
  <c r="E1102" i="33" s="1"/>
  <c r="D1103" i="33"/>
  <c r="E1103" i="33" s="1"/>
  <c r="D1104" i="33"/>
  <c r="E1104" i="33" s="1"/>
  <c r="D1105" i="33"/>
  <c r="E1105" i="33" s="1"/>
  <c r="D1106" i="33"/>
  <c r="E1106" i="33" s="1"/>
  <c r="D1107" i="33"/>
  <c r="E1107" i="33" s="1"/>
  <c r="D1108" i="33"/>
  <c r="E1108" i="33" s="1"/>
  <c r="D1109" i="33"/>
  <c r="E1109" i="33" s="1"/>
  <c r="D1110" i="33"/>
  <c r="E1110" i="33" s="1"/>
  <c r="D1111" i="33"/>
  <c r="E1111" i="33" s="1"/>
  <c r="D1112" i="33"/>
  <c r="E1112" i="33" s="1"/>
  <c r="D1113" i="33"/>
  <c r="E1113" i="33" s="1"/>
  <c r="D1114" i="33"/>
  <c r="E1114" i="33" s="1"/>
  <c r="D1115" i="33"/>
  <c r="E1115" i="33" s="1"/>
  <c r="D1116" i="33"/>
  <c r="E1116" i="33" s="1"/>
  <c r="D1117" i="33"/>
  <c r="E1117" i="33" s="1"/>
  <c r="D1118" i="33"/>
  <c r="E1118" i="33" s="1"/>
  <c r="D1119" i="33"/>
  <c r="E1119" i="33" s="1"/>
  <c r="D1120" i="33"/>
  <c r="E1120" i="33" s="1"/>
  <c r="D1121" i="33"/>
  <c r="E1121" i="33" s="1"/>
  <c r="D1122" i="33"/>
  <c r="E1122" i="33" s="1"/>
  <c r="D1123" i="33"/>
  <c r="E1123" i="33" s="1"/>
  <c r="D1124" i="33"/>
  <c r="E1124" i="33" s="1"/>
  <c r="D1125" i="33"/>
  <c r="E1125" i="33" s="1"/>
  <c r="D1126" i="33"/>
  <c r="E1126" i="33" s="1"/>
  <c r="D1127" i="33"/>
  <c r="E1127" i="33" s="1"/>
  <c r="D1128" i="33"/>
  <c r="E1128" i="33" s="1"/>
  <c r="D1129" i="33"/>
  <c r="E1129" i="33" s="1"/>
  <c r="D1130" i="33"/>
  <c r="E1130" i="33" s="1"/>
  <c r="D1131" i="33"/>
  <c r="E1131" i="33" s="1"/>
  <c r="D1132" i="33"/>
  <c r="E1132" i="33" s="1"/>
  <c r="D1133" i="33"/>
  <c r="E1133" i="33" s="1"/>
  <c r="D1134" i="33"/>
  <c r="E1134" i="33" s="1"/>
  <c r="D1135" i="33"/>
  <c r="E1135" i="33" s="1"/>
  <c r="D1136" i="33"/>
  <c r="E1136" i="33" s="1"/>
  <c r="D1137" i="33"/>
  <c r="E1137" i="33" s="1"/>
  <c r="D1138" i="33"/>
  <c r="E1138" i="33" s="1"/>
  <c r="D1139" i="33"/>
  <c r="E1139" i="33" s="1"/>
  <c r="D1140" i="33"/>
  <c r="E1140" i="33" s="1"/>
  <c r="D1141" i="33"/>
  <c r="E1141" i="33" s="1"/>
  <c r="D1142" i="33"/>
  <c r="E1142" i="33" s="1"/>
  <c r="D1143" i="33"/>
  <c r="E1143" i="33" s="1"/>
  <c r="D1144" i="33"/>
  <c r="E1144" i="33" s="1"/>
  <c r="D1145" i="33"/>
  <c r="E1145" i="33" s="1"/>
  <c r="D1146" i="33"/>
  <c r="E1146" i="33" s="1"/>
  <c r="D1147" i="33"/>
  <c r="E1147" i="33" s="1"/>
  <c r="D1148" i="33"/>
  <c r="E1148" i="33" s="1"/>
  <c r="D1149" i="33"/>
  <c r="E1149" i="33" s="1"/>
  <c r="D1150" i="33"/>
  <c r="E1150" i="33" s="1"/>
  <c r="D1151" i="33"/>
  <c r="E1151" i="33" s="1"/>
  <c r="D1152" i="33"/>
  <c r="E1152" i="33" s="1"/>
  <c r="D1153" i="33"/>
  <c r="E1153" i="33" s="1"/>
  <c r="D1154" i="33"/>
  <c r="E1154" i="33" s="1"/>
  <c r="D1155" i="33"/>
  <c r="E1155" i="33" s="1"/>
  <c r="D1156" i="33"/>
  <c r="E1156" i="33" s="1"/>
  <c r="D1157" i="33"/>
  <c r="E1157" i="33" s="1"/>
  <c r="D1158" i="33"/>
  <c r="E1158" i="33" s="1"/>
  <c r="D1159" i="33"/>
  <c r="E1159" i="33" s="1"/>
  <c r="D1160" i="33"/>
  <c r="E1160" i="33" s="1"/>
  <c r="D1161" i="33"/>
  <c r="E1161" i="33" s="1"/>
  <c r="D1162" i="33"/>
  <c r="E1162" i="33" s="1"/>
  <c r="D1163" i="33"/>
  <c r="E1163" i="33" s="1"/>
  <c r="D1164" i="33"/>
  <c r="E1164" i="33" s="1"/>
  <c r="D1165" i="33"/>
  <c r="E1165" i="33" s="1"/>
  <c r="D1166" i="33"/>
  <c r="E1166" i="33" s="1"/>
  <c r="D1167" i="33"/>
  <c r="E1167" i="33" s="1"/>
  <c r="D1168" i="33"/>
  <c r="E1168" i="33" s="1"/>
  <c r="D1169" i="33"/>
  <c r="E1169" i="33" s="1"/>
  <c r="D1170" i="33"/>
  <c r="E1170" i="33" s="1"/>
  <c r="D1171" i="33"/>
  <c r="E1171" i="33" s="1"/>
  <c r="D1172" i="33"/>
  <c r="E1172" i="33" s="1"/>
  <c r="D1173" i="33"/>
  <c r="E1173" i="33" s="1"/>
  <c r="D1174" i="33"/>
  <c r="E1174" i="33" s="1"/>
  <c r="D1175" i="33"/>
  <c r="E1175" i="33" s="1"/>
  <c r="D1176" i="33"/>
  <c r="E1176" i="33" s="1"/>
  <c r="D1177" i="33"/>
  <c r="E1177" i="33" s="1"/>
  <c r="D1178" i="33"/>
  <c r="E1178" i="33" s="1"/>
  <c r="D1179" i="33"/>
  <c r="E1179" i="33" s="1"/>
  <c r="D1180" i="33"/>
  <c r="E1180" i="33" s="1"/>
  <c r="D1181" i="33"/>
  <c r="E1181" i="33" s="1"/>
  <c r="D1182" i="33"/>
  <c r="E1182" i="33" s="1"/>
  <c r="D1183" i="33"/>
  <c r="E1183" i="33" s="1"/>
  <c r="D1184" i="33"/>
  <c r="E1184" i="33" s="1"/>
  <c r="D1185" i="33"/>
  <c r="E1185" i="33" s="1"/>
  <c r="D1186" i="33"/>
  <c r="E1186" i="33" s="1"/>
  <c r="D1187" i="33"/>
  <c r="E1187" i="33" s="1"/>
  <c r="D1188" i="33"/>
  <c r="E1188" i="33" s="1"/>
  <c r="D1189" i="33"/>
  <c r="E1189" i="33" s="1"/>
  <c r="D1190" i="33"/>
  <c r="E1190" i="33" s="1"/>
  <c r="D1191" i="33"/>
  <c r="E1191" i="33" s="1"/>
  <c r="D1192" i="33"/>
  <c r="E1192" i="33" s="1"/>
  <c r="D1193" i="33"/>
  <c r="E1193" i="33" s="1"/>
  <c r="D1194" i="33"/>
  <c r="E1194" i="33" s="1"/>
  <c r="D1195" i="33"/>
  <c r="E1195" i="33" s="1"/>
  <c r="D1196" i="33"/>
  <c r="E1196" i="33" s="1"/>
  <c r="D1197" i="33"/>
  <c r="E1197" i="33" s="1"/>
  <c r="D1198" i="33"/>
  <c r="E1198" i="33" s="1"/>
  <c r="D1199" i="33"/>
  <c r="E1199" i="33" s="1"/>
  <c r="D1200" i="33"/>
  <c r="E1200" i="33" s="1"/>
  <c r="D1201" i="33"/>
  <c r="E1201" i="33" s="1"/>
  <c r="D1202" i="33"/>
  <c r="E1202" i="33" s="1"/>
  <c r="D1203" i="33"/>
  <c r="E1203" i="33" s="1"/>
  <c r="D1204" i="33"/>
  <c r="E1204" i="33" s="1"/>
  <c r="D1205" i="33"/>
  <c r="E1205" i="33" s="1"/>
  <c r="D1206" i="33"/>
  <c r="E1206" i="33" s="1"/>
  <c r="D1207" i="33"/>
  <c r="E1207" i="33" s="1"/>
  <c r="D1208" i="33"/>
  <c r="E1208" i="33" s="1"/>
  <c r="D1209" i="33"/>
  <c r="E1209" i="33" s="1"/>
  <c r="D1210" i="33"/>
  <c r="E1210" i="33" s="1"/>
  <c r="D1211" i="33"/>
  <c r="E1211" i="33" s="1"/>
  <c r="D1212" i="33"/>
  <c r="E1212" i="33" s="1"/>
  <c r="D1213" i="33"/>
  <c r="E1213" i="33" s="1"/>
  <c r="D1214" i="33"/>
  <c r="E1214" i="33" s="1"/>
  <c r="D1215" i="33"/>
  <c r="E1215" i="33" s="1"/>
  <c r="D1216" i="33"/>
  <c r="E1216" i="33" s="1"/>
  <c r="D1217" i="33"/>
  <c r="E1217" i="33" s="1"/>
  <c r="D1218" i="33"/>
  <c r="E1218" i="33" s="1"/>
  <c r="D1219" i="33"/>
  <c r="E1219" i="33" s="1"/>
  <c r="D1220" i="33"/>
  <c r="E1220" i="33" s="1"/>
  <c r="D1221" i="33"/>
  <c r="E1221" i="33" s="1"/>
  <c r="D1222" i="33"/>
  <c r="E1222" i="33" s="1"/>
  <c r="D1223" i="33"/>
  <c r="E1223" i="33" s="1"/>
  <c r="D1224" i="33"/>
  <c r="E1224" i="33" s="1"/>
  <c r="D1225" i="33"/>
  <c r="E1225" i="33" s="1"/>
  <c r="D1226" i="33"/>
  <c r="E1226" i="33" s="1"/>
  <c r="D1227" i="33"/>
  <c r="E1227" i="33" s="1"/>
  <c r="D1228" i="33"/>
  <c r="E1228" i="33" s="1"/>
  <c r="D1229" i="33"/>
  <c r="E1229" i="33" s="1"/>
  <c r="D1230" i="33"/>
  <c r="E1230" i="33" s="1"/>
  <c r="D1231" i="33"/>
  <c r="E1231" i="33" s="1"/>
  <c r="D1232" i="33"/>
  <c r="E1232" i="33" s="1"/>
  <c r="D1233" i="33"/>
  <c r="E1233" i="33" s="1"/>
  <c r="D1234" i="33"/>
  <c r="E1234" i="33" s="1"/>
  <c r="D1235" i="33"/>
  <c r="E1235" i="33" s="1"/>
  <c r="D1236" i="33"/>
  <c r="E1236" i="33" s="1"/>
  <c r="D1237" i="33"/>
  <c r="E1237" i="33" s="1"/>
  <c r="D1238" i="33"/>
  <c r="E1238" i="33" s="1"/>
  <c r="D1239" i="33"/>
  <c r="E1239" i="33" s="1"/>
  <c r="D1240" i="33"/>
  <c r="E1240" i="33" s="1"/>
  <c r="D1241" i="33"/>
  <c r="E1241" i="33" s="1"/>
  <c r="D1242" i="33"/>
  <c r="E1242" i="33" s="1"/>
  <c r="D1243" i="33"/>
  <c r="E1243" i="33" s="1"/>
  <c r="D1244" i="33"/>
  <c r="E1244" i="33" s="1"/>
  <c r="D1245" i="33"/>
  <c r="E1245" i="33" s="1"/>
  <c r="D1246" i="33"/>
  <c r="E1246" i="33" s="1"/>
  <c r="D1247" i="33"/>
  <c r="E1247" i="33" s="1"/>
  <c r="D1248" i="33"/>
  <c r="E1248" i="33" s="1"/>
  <c r="D1249" i="33"/>
  <c r="E1249" i="33" s="1"/>
  <c r="D1250" i="33"/>
  <c r="E1250" i="33" s="1"/>
  <c r="D1251" i="33"/>
  <c r="E1251" i="33" s="1"/>
  <c r="D1252" i="33"/>
  <c r="E1252" i="33" s="1"/>
  <c r="D1253" i="33"/>
  <c r="E1253" i="33" s="1"/>
  <c r="D1254" i="33"/>
  <c r="E1254" i="33" s="1"/>
  <c r="D1255" i="33"/>
  <c r="E1255" i="33" s="1"/>
  <c r="D1256" i="33"/>
  <c r="E1256" i="33" s="1"/>
  <c r="D1257" i="33"/>
  <c r="E1257" i="33" s="1"/>
  <c r="D1258" i="33"/>
  <c r="E1258" i="33" s="1"/>
  <c r="D1259" i="33"/>
  <c r="E1259" i="33" s="1"/>
  <c r="D1260" i="33"/>
  <c r="E1260" i="33" s="1"/>
  <c r="D1261" i="33"/>
  <c r="E1261" i="33" s="1"/>
  <c r="D1262" i="33"/>
  <c r="E1262" i="33" s="1"/>
  <c r="D1263" i="33"/>
  <c r="E1263" i="33" s="1"/>
  <c r="D1264" i="33"/>
  <c r="E1264" i="33" s="1"/>
  <c r="D1265" i="33"/>
  <c r="E1265" i="33" s="1"/>
  <c r="D1266" i="33"/>
  <c r="E1266" i="33" s="1"/>
  <c r="D1267" i="33"/>
  <c r="E1267" i="33" s="1"/>
  <c r="D1268" i="33"/>
  <c r="E1268" i="33" s="1"/>
  <c r="D1269" i="33"/>
  <c r="E1269" i="33" s="1"/>
  <c r="D1270" i="33"/>
  <c r="E1270" i="33" s="1"/>
  <c r="D1271" i="33"/>
  <c r="E1271" i="33" s="1"/>
  <c r="D1272" i="33"/>
  <c r="E1272" i="33" s="1"/>
  <c r="D1273" i="33"/>
  <c r="E1273" i="33" s="1"/>
  <c r="D1274" i="33"/>
  <c r="E1274" i="33" s="1"/>
  <c r="D1275" i="33"/>
  <c r="E1275" i="33" s="1"/>
  <c r="D1276" i="33"/>
  <c r="E1276" i="33" s="1"/>
  <c r="D1277" i="33"/>
  <c r="E1277" i="33" s="1"/>
  <c r="D1278" i="33"/>
  <c r="E1278" i="33" s="1"/>
  <c r="D1279" i="33"/>
  <c r="E1279" i="33" s="1"/>
  <c r="D1280" i="33"/>
  <c r="E1280" i="33" s="1"/>
  <c r="D1281" i="33"/>
  <c r="E1281" i="33" s="1"/>
  <c r="D1282" i="33"/>
  <c r="E1282" i="33" s="1"/>
  <c r="D1283" i="33"/>
  <c r="E1283" i="33" s="1"/>
  <c r="D1284" i="33"/>
  <c r="E1284" i="33" s="1"/>
  <c r="D1285" i="33"/>
  <c r="E1285" i="33" s="1"/>
  <c r="D1286" i="33"/>
  <c r="E1286" i="33" s="1"/>
  <c r="D1287" i="33"/>
  <c r="E1287" i="33" s="1"/>
  <c r="D1288" i="33"/>
  <c r="E1288" i="33" s="1"/>
  <c r="D1289" i="33"/>
  <c r="E1289" i="33" s="1"/>
  <c r="D1290" i="33"/>
  <c r="E1290" i="33" s="1"/>
  <c r="D1291" i="33"/>
  <c r="E1291" i="33" s="1"/>
  <c r="D1292" i="33"/>
  <c r="E1292" i="33" s="1"/>
  <c r="C68" i="9"/>
  <c r="C69" i="9"/>
  <c r="D69" i="9" s="1"/>
  <c r="C70" i="9"/>
  <c r="D70" i="9" s="1"/>
  <c r="C71" i="9"/>
  <c r="D71" i="9" s="1"/>
  <c r="C72" i="9"/>
  <c r="D72" i="9" s="1"/>
  <c r="C73" i="9"/>
  <c r="D73" i="9" s="1"/>
  <c r="C74" i="9"/>
  <c r="D74" i="9" s="1"/>
  <c r="C75" i="9"/>
  <c r="D75" i="9" s="1"/>
  <c r="C76" i="9"/>
  <c r="D76" i="9" s="1"/>
  <c r="C67" i="9"/>
  <c r="C64" i="9"/>
  <c r="D64" i="9" s="1"/>
  <c r="C65" i="9"/>
  <c r="D65" i="9" s="1"/>
  <c r="C66" i="9"/>
  <c r="D66" i="9" s="1"/>
  <c r="C63" i="9"/>
  <c r="D63" i="9" s="1"/>
  <c r="D67" i="9" l="1"/>
  <c r="I68" i="9"/>
  <c r="D68" i="9"/>
  <c r="J64" i="9"/>
  <c r="H64" i="9"/>
  <c r="I64" i="9"/>
  <c r="I74" i="9"/>
  <c r="J74" i="9"/>
  <c r="H74" i="9"/>
  <c r="I70" i="9"/>
  <c r="J70" i="9"/>
  <c r="H70" i="9"/>
  <c r="I65" i="9"/>
  <c r="J65" i="9"/>
  <c r="H65" i="9"/>
  <c r="J71" i="9"/>
  <c r="H71" i="9"/>
  <c r="I71" i="9"/>
  <c r="I66" i="9"/>
  <c r="J66" i="9"/>
  <c r="H66" i="9"/>
  <c r="J76" i="9"/>
  <c r="H76" i="9"/>
  <c r="I76" i="9"/>
  <c r="J72" i="9"/>
  <c r="H72" i="9"/>
  <c r="I72" i="9"/>
  <c r="J68" i="9"/>
  <c r="H68" i="9"/>
  <c r="I63" i="9"/>
  <c r="J63" i="9"/>
  <c r="H63" i="9"/>
  <c r="J67" i="9"/>
  <c r="H67" i="9"/>
  <c r="I67" i="9"/>
  <c r="I73" i="9"/>
  <c r="J73" i="9"/>
  <c r="H73" i="9"/>
  <c r="I69" i="9"/>
  <c r="J69" i="9"/>
  <c r="H69" i="9"/>
  <c r="J75" i="9"/>
  <c r="H75" i="9"/>
  <c r="I75" i="9"/>
  <c r="A100" i="44" l="1"/>
  <c r="A99" i="44"/>
  <c r="A98" i="44"/>
  <c r="A97" i="44"/>
  <c r="A96" i="44"/>
  <c r="A95" i="44"/>
  <c r="A94" i="44"/>
  <c r="A93" i="44"/>
  <c r="L89" i="44"/>
  <c r="M89" i="44" s="1"/>
  <c r="N89" i="44"/>
  <c r="O89" i="44" s="1"/>
  <c r="J89" i="44"/>
  <c r="K89" i="44" s="1"/>
  <c r="H89" i="44"/>
  <c r="I89" i="44" s="1"/>
  <c r="F89" i="44"/>
  <c r="G89" i="44" s="1"/>
  <c r="D89" i="44"/>
  <c r="E89" i="44" s="1"/>
  <c r="B89" i="44"/>
  <c r="C89" i="44" s="1"/>
  <c r="P88" i="44"/>
  <c r="Q88" i="44" s="1"/>
  <c r="P87" i="44"/>
  <c r="Q87" i="44" s="1"/>
  <c r="P86" i="44"/>
  <c r="Q86" i="44" s="1"/>
  <c r="P85" i="44"/>
  <c r="Q85" i="44" s="1"/>
  <c r="P84" i="44"/>
  <c r="Q84" i="44" s="1"/>
  <c r="P83" i="44"/>
  <c r="Q83" i="44" s="1"/>
  <c r="P82" i="44"/>
  <c r="Q82" i="44" s="1"/>
  <c r="P89" i="44" l="1"/>
  <c r="Q89" i="44" s="1"/>
  <c r="E67" i="17" l="1"/>
  <c r="F64" i="17"/>
  <c r="F67" i="17" s="1"/>
  <c r="E64" i="17"/>
  <c r="D244" i="36"/>
  <c r="I244" i="36" s="1"/>
  <c r="D64" i="17" s="1"/>
  <c r="D67" i="17" s="1"/>
  <c r="E83" i="26"/>
  <c r="R159" i="49"/>
  <c r="R160" i="49"/>
  <c r="N159" i="49"/>
  <c r="N160" i="49"/>
  <c r="F159" i="49"/>
  <c r="F160" i="49"/>
  <c r="T16" i="49"/>
  <c r="N27" i="49" s="1"/>
  <c r="T15" i="49"/>
  <c r="N26" i="49" s="1"/>
  <c r="T14" i="49"/>
  <c r="N25" i="49" s="1"/>
  <c r="R15" i="49"/>
  <c r="M26" i="49" s="1"/>
  <c r="R16" i="49"/>
  <c r="M27" i="49" s="1"/>
  <c r="R14" i="49"/>
  <c r="M25" i="49" s="1"/>
  <c r="Q15" i="49"/>
  <c r="L26" i="49" s="1"/>
  <c r="Q16" i="49"/>
  <c r="L27" i="49" s="1"/>
  <c r="Q14" i="49"/>
  <c r="L25" i="49" s="1"/>
  <c r="M15" i="49"/>
  <c r="M16" i="49"/>
  <c r="N15" i="49"/>
  <c r="N16" i="49"/>
  <c r="N14" i="49"/>
  <c r="M14" i="49"/>
  <c r="H18" i="46" s="1"/>
  <c r="G67" i="17" l="1"/>
  <c r="X69" i="36" s="1"/>
  <c r="G64" i="17"/>
  <c r="W69" i="36" s="1"/>
  <c r="B32" i="28"/>
  <c r="I120" i="26"/>
  <c r="I100" i="26"/>
  <c r="K105" i="26"/>
  <c r="I27" i="26"/>
  <c r="N78" i="26" s="1"/>
  <c r="L83" i="26"/>
  <c r="E82" i="26"/>
  <c r="C83" i="26"/>
  <c r="C105" i="26" s="1"/>
  <c r="C125" i="26" s="1"/>
  <c r="E78" i="26"/>
  <c r="J78" i="26" s="1"/>
  <c r="L78" i="46"/>
  <c r="L79" i="46"/>
  <c r="J78" i="46"/>
  <c r="J79" i="46"/>
  <c r="F78" i="46"/>
  <c r="F79" i="46"/>
  <c r="K60" i="46"/>
  <c r="K61" i="46"/>
  <c r="K59" i="46"/>
  <c r="I60" i="46"/>
  <c r="I61" i="46"/>
  <c r="I59" i="46"/>
  <c r="J60" i="46"/>
  <c r="J87" i="46" s="1"/>
  <c r="J61" i="46"/>
  <c r="J88" i="46" s="1"/>
  <c r="J59" i="46"/>
  <c r="J86" i="46" s="1"/>
  <c r="H60" i="46"/>
  <c r="H87" i="46" s="1"/>
  <c r="H61" i="46"/>
  <c r="H88" i="46" s="1"/>
  <c r="H59" i="46"/>
  <c r="H86" i="46" s="1"/>
  <c r="F87" i="46"/>
  <c r="F88" i="46"/>
  <c r="F86" i="46"/>
  <c r="K47" i="46"/>
  <c r="K48" i="46"/>
  <c r="K46" i="46"/>
  <c r="I47" i="46"/>
  <c r="I48" i="46"/>
  <c r="I46" i="46"/>
  <c r="J19" i="46"/>
  <c r="J20" i="46"/>
  <c r="J18" i="46"/>
  <c r="H19" i="46"/>
  <c r="H20" i="46"/>
  <c r="J47" i="46"/>
  <c r="J48" i="46"/>
  <c r="J46" i="46"/>
  <c r="H47" i="46"/>
  <c r="H48" i="46"/>
  <c r="H46" i="46"/>
  <c r="Y69" i="36" l="1"/>
  <c r="F26" i="46"/>
  <c r="F25" i="46"/>
  <c r="L46" i="46"/>
  <c r="M46" i="46" s="1"/>
  <c r="L59" i="46"/>
  <c r="L60" i="46"/>
  <c r="L48" i="46"/>
  <c r="L47" i="46"/>
  <c r="I83" i="26"/>
  <c r="E105" i="26"/>
  <c r="E125" i="26" s="1"/>
  <c r="L61" i="46"/>
  <c r="F27" i="46"/>
  <c r="H25" i="46" l="1"/>
  <c r="F31" i="46"/>
  <c r="L10" i="46"/>
  <c r="L11" i="46"/>
  <c r="J10" i="46"/>
  <c r="J11" i="46"/>
  <c r="F10" i="46"/>
  <c r="F11" i="46"/>
  <c r="C1100" i="7"/>
  <c r="C1099" i="7"/>
  <c r="B1101" i="7"/>
  <c r="B1102" i="7" s="1"/>
  <c r="B1099" i="7"/>
  <c r="B1100" i="7" s="1"/>
  <c r="S23" i="49"/>
  <c r="B1103" i="7" l="1"/>
  <c r="C43" i="4" l="1"/>
  <c r="G69" i="46" l="1"/>
  <c r="G70" i="46"/>
  <c r="G71" i="46"/>
  <c r="J85" i="46"/>
  <c r="H85" i="46"/>
  <c r="F85" i="46"/>
  <c r="B75" i="46"/>
  <c r="T28" i="38"/>
  <c r="H167" i="38"/>
  <c r="Q167" i="38" s="1"/>
  <c r="B167" i="38"/>
  <c r="I167" i="38" l="1"/>
  <c r="S167" i="38" s="1"/>
  <c r="X50" i="46"/>
  <c r="D140" i="18" l="1"/>
  <c r="B6" i="18" s="1"/>
  <c r="Y107" i="47" s="1"/>
  <c r="C162" i="47" l="1"/>
  <c r="C163" i="47"/>
  <c r="C164" i="47"/>
  <c r="C165" i="47"/>
  <c r="C161" i="47"/>
  <c r="S68" i="38" l="1"/>
  <c r="S67" i="38"/>
  <c r="S66" i="38"/>
  <c r="P23" i="44" l="1"/>
  <c r="E84" i="26"/>
  <c r="K84" i="26" s="1"/>
  <c r="I84" i="26" l="1"/>
  <c r="E106" i="26"/>
  <c r="E126" i="26" s="1"/>
  <c r="S33" i="26"/>
  <c r="B33" i="26"/>
  <c r="B84" i="26" s="1"/>
  <c r="F65" i="44"/>
  <c r="F66" i="44"/>
  <c r="F67" i="44"/>
  <c r="F68" i="44"/>
  <c r="F64" i="44"/>
  <c r="D64" i="44"/>
  <c r="G68" i="44"/>
  <c r="G67" i="44"/>
  <c r="G66" i="44"/>
  <c r="G65" i="44"/>
  <c r="G64" i="44"/>
  <c r="E64" i="44"/>
  <c r="E68" i="44"/>
  <c r="E67" i="44"/>
  <c r="E66" i="44"/>
  <c r="E65" i="44"/>
  <c r="D65" i="44"/>
  <c r="D66" i="44"/>
  <c r="D67" i="44"/>
  <c r="D68" i="44"/>
  <c r="C65" i="44"/>
  <c r="C66" i="44"/>
  <c r="C67" i="44"/>
  <c r="C68" i="44"/>
  <c r="C64" i="44"/>
  <c r="G57" i="44"/>
  <c r="G58" i="44"/>
  <c r="G59" i="44"/>
  <c r="G60" i="44"/>
  <c r="G56" i="44"/>
  <c r="E57" i="44"/>
  <c r="E58" i="44"/>
  <c r="E59" i="44"/>
  <c r="E60" i="44"/>
  <c r="E56" i="44"/>
  <c r="B106" i="26" l="1"/>
  <c r="B126" i="26"/>
  <c r="L66" i="44"/>
  <c r="L68" i="44"/>
  <c r="L67" i="44"/>
  <c r="M68" i="44"/>
  <c r="M67" i="44"/>
  <c r="M66" i="44"/>
  <c r="M65" i="44"/>
  <c r="M64" i="44"/>
  <c r="L64" i="44"/>
  <c r="C154" i="47"/>
  <c r="A57" i="44" s="1"/>
  <c r="A65" i="44" s="1"/>
  <c r="C155" i="47"/>
  <c r="A58" i="44" s="1"/>
  <c r="A66" i="44" s="1"/>
  <c r="C156" i="47"/>
  <c r="A59" i="44" s="1"/>
  <c r="A67" i="44" s="1"/>
  <c r="C157" i="47"/>
  <c r="A60" i="44" s="1"/>
  <c r="A68" i="44" s="1"/>
  <c r="C153" i="47"/>
  <c r="A56" i="44" s="1"/>
  <c r="A64" i="44" s="1"/>
  <c r="G38" i="44" l="1"/>
  <c r="G39" i="44"/>
  <c r="G40" i="44"/>
  <c r="G41" i="44"/>
  <c r="G37" i="44"/>
  <c r="G46" i="44" s="1"/>
  <c r="G51" i="44" s="1"/>
  <c r="E38" i="44"/>
  <c r="E39" i="44"/>
  <c r="E40" i="44"/>
  <c r="E41" i="44"/>
  <c r="E37" i="44"/>
  <c r="E46" i="44" s="1"/>
  <c r="E51" i="44" s="1"/>
  <c r="A38" i="44"/>
  <c r="A39" i="44"/>
  <c r="A40" i="44"/>
  <c r="A41" i="44"/>
  <c r="A37" i="44"/>
  <c r="I136" i="36" l="1"/>
  <c r="I137" i="36"/>
  <c r="I138" i="36"/>
  <c r="I140" i="36"/>
  <c r="P140" i="36"/>
  <c r="P141" i="36"/>
  <c r="P142" i="36"/>
  <c r="P143" i="36"/>
  <c r="P144" i="36"/>
  <c r="D242" i="36"/>
  <c r="I242" i="36" s="1"/>
  <c r="D243" i="36"/>
  <c r="I243" i="36" s="1"/>
  <c r="D247" i="36"/>
  <c r="D248" i="36"/>
  <c r="D249" i="36"/>
  <c r="D250" i="36"/>
  <c r="D251" i="36"/>
  <c r="D252" i="36"/>
  <c r="D253" i="36"/>
  <c r="X13" i="47"/>
  <c r="Z13" i="47" s="1"/>
  <c r="Y102" i="47"/>
  <c r="C46" i="44" l="1"/>
  <c r="D46" i="44"/>
  <c r="F46" i="44"/>
  <c r="F51" i="44"/>
  <c r="D51" i="44"/>
  <c r="C51" i="44"/>
  <c r="C1158" i="7" l="1"/>
  <c r="C1159" i="7" s="1"/>
  <c r="C1160" i="7" s="1"/>
  <c r="C1161" i="7" s="1"/>
  <c r="C1162" i="7" s="1"/>
  <c r="C1163" i="7" s="1"/>
  <c r="C1164" i="7" s="1"/>
  <c r="C1165" i="7" s="1"/>
  <c r="C1166" i="7" s="1"/>
  <c r="C1167" i="7" s="1"/>
  <c r="B1158" i="7"/>
  <c r="B1159" i="7" s="1"/>
  <c r="B1160" i="7" s="1"/>
  <c r="B1161" i="7" s="1"/>
  <c r="B1162" i="7" s="1"/>
  <c r="B1163" i="7" s="1"/>
  <c r="B1164" i="7" s="1"/>
  <c r="B1165" i="7" s="1"/>
  <c r="B1166" i="7" s="1"/>
  <c r="B1167" i="7" s="1"/>
  <c r="K71" i="46"/>
  <c r="K69" i="46"/>
  <c r="I70" i="46"/>
  <c r="I71" i="46"/>
  <c r="I69" i="46"/>
  <c r="M56" i="46"/>
  <c r="C1141" i="7"/>
  <c r="C1142" i="7" s="1"/>
  <c r="C1143" i="7" s="1"/>
  <c r="C1144" i="7" s="1"/>
  <c r="C1145" i="7" s="1"/>
  <c r="C1146" i="7" s="1"/>
  <c r="C1147" i="7" s="1"/>
  <c r="C1148" i="7" s="1"/>
  <c r="C1149" i="7" s="1"/>
  <c r="C1150" i="7" s="1"/>
  <c r="C1151" i="7" s="1"/>
  <c r="G1143" i="7"/>
  <c r="G1144" i="7" s="1"/>
  <c r="G1145" i="7" s="1"/>
  <c r="G1146" i="7" s="1"/>
  <c r="G1147" i="7" s="1"/>
  <c r="G1148" i="7" s="1"/>
  <c r="G1149" i="7" s="1"/>
  <c r="G1150" i="7" s="1"/>
  <c r="G1151" i="7" s="1"/>
  <c r="B1142" i="7"/>
  <c r="B1143" i="7" s="1"/>
  <c r="B1144" i="7" s="1"/>
  <c r="B1145" i="7" s="1"/>
  <c r="B1146" i="7" s="1"/>
  <c r="B1147" i="7" s="1"/>
  <c r="B1148" i="7" s="1"/>
  <c r="B1149" i="7" s="1"/>
  <c r="B1150" i="7" s="1"/>
  <c r="B1151" i="7" s="1"/>
  <c r="E1138" i="7"/>
  <c r="G1138" i="7" s="1"/>
  <c r="D1138" i="7"/>
  <c r="F1138" i="7" s="1"/>
  <c r="P51" i="46"/>
  <c r="C38" i="9"/>
  <c r="D38" i="9"/>
  <c r="F38" i="9"/>
  <c r="E44" i="27"/>
  <c r="M43" i="46"/>
  <c r="G1127" i="7"/>
  <c r="G1128" i="7" s="1"/>
  <c r="G1129" i="7" s="1"/>
  <c r="G1130" i="7" s="1"/>
  <c r="G1131" i="7" s="1"/>
  <c r="G1132" i="7" s="1"/>
  <c r="G1133" i="7" s="1"/>
  <c r="G1134" i="7" s="1"/>
  <c r="G1135" i="7" s="1"/>
  <c r="B1126" i="7"/>
  <c r="B1127" i="7" s="1"/>
  <c r="B1128" i="7" s="1"/>
  <c r="B1129" i="7" s="1"/>
  <c r="B1130" i="7" s="1"/>
  <c r="B1131" i="7" s="1"/>
  <c r="B1132" i="7" s="1"/>
  <c r="B1133" i="7" s="1"/>
  <c r="B1134" i="7" s="1"/>
  <c r="B1135" i="7" s="1"/>
  <c r="C1126" i="7"/>
  <c r="C1127" i="7" s="1"/>
  <c r="C1128" i="7" s="1"/>
  <c r="C1129" i="7" s="1"/>
  <c r="C1130" i="7" s="1"/>
  <c r="E1122" i="7"/>
  <c r="G1122" i="7" s="1"/>
  <c r="D1122" i="7"/>
  <c r="F1122" i="7" s="1"/>
  <c r="H71" i="46" l="1"/>
  <c r="F69" i="46"/>
  <c r="F71" i="46"/>
  <c r="J71" i="46"/>
  <c r="H70" i="46"/>
  <c r="F70" i="46"/>
  <c r="J69" i="46"/>
  <c r="J70" i="46"/>
  <c r="K70" i="46"/>
  <c r="H69" i="46"/>
  <c r="M60" i="46"/>
  <c r="M61" i="46"/>
  <c r="M59" i="46"/>
  <c r="M48" i="46"/>
  <c r="M47" i="46"/>
  <c r="C1131" i="7"/>
  <c r="C1132" i="7" s="1"/>
  <c r="C1133" i="7" s="1"/>
  <c r="C1134" i="7" s="1"/>
  <c r="C1135" i="7" s="1"/>
  <c r="D1125" i="7"/>
  <c r="E100" i="26"/>
  <c r="E120" i="26" s="1"/>
  <c r="R30" i="46"/>
  <c r="R36" i="46" s="1"/>
  <c r="R76" i="46" s="1"/>
  <c r="Q30" i="46"/>
  <c r="Q36" i="46" s="1"/>
  <c r="P30" i="46"/>
  <c r="P36" i="46" s="1"/>
  <c r="E1106" i="7"/>
  <c r="G1106" i="7" s="1"/>
  <c r="D1106" i="7"/>
  <c r="F1106" i="7" s="1"/>
  <c r="AN51" i="27"/>
  <c r="AO51" i="27"/>
  <c r="AN52" i="27"/>
  <c r="AO52" i="27"/>
  <c r="AL51" i="27"/>
  <c r="AL52" i="27"/>
  <c r="AK51" i="27"/>
  <c r="AK52" i="27"/>
  <c r="C50" i="27"/>
  <c r="D50" i="27" s="1"/>
  <c r="E50" i="27"/>
  <c r="G50" i="27"/>
  <c r="C51" i="27"/>
  <c r="F51" i="27" s="1"/>
  <c r="E51" i="27"/>
  <c r="G51" i="27"/>
  <c r="N29" i="27"/>
  <c r="O29" i="27"/>
  <c r="P29" i="27"/>
  <c r="N30" i="27"/>
  <c r="O30" i="27"/>
  <c r="P30" i="27"/>
  <c r="N31" i="27"/>
  <c r="O31" i="27"/>
  <c r="P31" i="27"/>
  <c r="N32" i="27"/>
  <c r="O32" i="27"/>
  <c r="P32" i="27"/>
  <c r="N33" i="27"/>
  <c r="O33" i="27"/>
  <c r="P33" i="27"/>
  <c r="N34" i="27"/>
  <c r="O34" i="27"/>
  <c r="P34" i="27"/>
  <c r="N35" i="27"/>
  <c r="O35" i="27"/>
  <c r="P35" i="27"/>
  <c r="I29" i="27"/>
  <c r="J29" i="27"/>
  <c r="K29" i="27"/>
  <c r="I30" i="27"/>
  <c r="J30" i="27"/>
  <c r="K30" i="27"/>
  <c r="I31" i="27"/>
  <c r="J31" i="27"/>
  <c r="K31" i="27"/>
  <c r="I32" i="27"/>
  <c r="J32" i="27"/>
  <c r="K32" i="27"/>
  <c r="I33" i="27"/>
  <c r="J33" i="27"/>
  <c r="K33" i="27"/>
  <c r="I34" i="27"/>
  <c r="J34" i="27"/>
  <c r="K34" i="27"/>
  <c r="I35" i="27"/>
  <c r="J35" i="27"/>
  <c r="K35" i="27"/>
  <c r="L29" i="27"/>
  <c r="L30" i="27"/>
  <c r="L31" i="27"/>
  <c r="L32" i="27"/>
  <c r="L33" i="27"/>
  <c r="L34" i="27"/>
  <c r="L35" i="27"/>
  <c r="L28" i="27"/>
  <c r="G29" i="27"/>
  <c r="H29" i="27" s="1"/>
  <c r="G30" i="27"/>
  <c r="H30" i="27" s="1"/>
  <c r="G31" i="27"/>
  <c r="G32" i="27"/>
  <c r="G33" i="27"/>
  <c r="G34" i="27"/>
  <c r="H34" i="27" s="1"/>
  <c r="G35" i="27"/>
  <c r="G28" i="27"/>
  <c r="E30" i="27"/>
  <c r="E31" i="27"/>
  <c r="E32" i="27"/>
  <c r="E33" i="27"/>
  <c r="E34" i="27"/>
  <c r="E35" i="27"/>
  <c r="C29" i="27"/>
  <c r="C30" i="27"/>
  <c r="T30" i="27" s="1"/>
  <c r="C31" i="27"/>
  <c r="C32" i="27"/>
  <c r="C33" i="27"/>
  <c r="AC33" i="27" s="1"/>
  <c r="C34" i="27"/>
  <c r="C35" i="27"/>
  <c r="C28" i="27"/>
  <c r="U19" i="37"/>
  <c r="W19" i="37"/>
  <c r="U20" i="37"/>
  <c r="W20" i="37"/>
  <c r="Q76" i="46" l="1"/>
  <c r="W36" i="46"/>
  <c r="P76" i="46"/>
  <c r="V36" i="46"/>
  <c r="H26" i="46"/>
  <c r="H31" i="46" s="1"/>
  <c r="L64" i="46"/>
  <c r="M64" i="46"/>
  <c r="E1141" i="7"/>
  <c r="D1142" i="7"/>
  <c r="D1143" i="7" s="1"/>
  <c r="D1144" i="7" s="1"/>
  <c r="D1145" i="7" s="1"/>
  <c r="D1146" i="7" s="1"/>
  <c r="D1147" i="7" s="1"/>
  <c r="D1148" i="7" s="1"/>
  <c r="D1149" i="7" s="1"/>
  <c r="D1150" i="7" s="1"/>
  <c r="D1151" i="7" s="1"/>
  <c r="L51" i="46"/>
  <c r="M51" i="46"/>
  <c r="D1126" i="7"/>
  <c r="D1127" i="7" s="1"/>
  <c r="D1128" i="7" s="1"/>
  <c r="D1129" i="7" s="1"/>
  <c r="D1130" i="7" s="1"/>
  <c r="D1131" i="7" s="1"/>
  <c r="D1132" i="7" s="1"/>
  <c r="D1133" i="7" s="1"/>
  <c r="D1134" i="7" s="1"/>
  <c r="D1135" i="7" s="1"/>
  <c r="E1125" i="7"/>
  <c r="AA33" i="27"/>
  <c r="AL45" i="27"/>
  <c r="Z33" i="27"/>
  <c r="AK45" i="27"/>
  <c r="AA30" i="27"/>
  <c r="AD30" i="27"/>
  <c r="F50" i="27"/>
  <c r="AO45" i="27"/>
  <c r="V33" i="27"/>
  <c r="U30" i="27"/>
  <c r="Z30" i="27"/>
  <c r="AC30" i="27"/>
  <c r="S33" i="27"/>
  <c r="AN45" i="27"/>
  <c r="U33" i="27"/>
  <c r="R33" i="27"/>
  <c r="AO48" i="27"/>
  <c r="R30" i="27"/>
  <c r="T33" i="27"/>
  <c r="AD33" i="27"/>
  <c r="Q33" i="27"/>
  <c r="AK48" i="27"/>
  <c r="AL48" i="27"/>
  <c r="AN48" i="27"/>
  <c r="Z39" i="27"/>
  <c r="D51" i="27"/>
  <c r="Q30" i="27"/>
  <c r="V30" i="27"/>
  <c r="S30" i="27"/>
  <c r="E58" i="19"/>
  <c r="E44" i="19"/>
  <c r="F44" i="19"/>
  <c r="G44" i="19"/>
  <c r="H44" i="19"/>
  <c r="E45" i="19"/>
  <c r="F45" i="19"/>
  <c r="G45" i="19"/>
  <c r="H45" i="19"/>
  <c r="E46" i="19"/>
  <c r="F46" i="19"/>
  <c r="G46" i="19"/>
  <c r="H46" i="19"/>
  <c r="E47" i="19"/>
  <c r="F47" i="19"/>
  <c r="G47" i="19"/>
  <c r="H47" i="19"/>
  <c r="E48" i="19"/>
  <c r="F48" i="19"/>
  <c r="G48" i="19"/>
  <c r="H48" i="19"/>
  <c r="E49" i="19"/>
  <c r="F49" i="19"/>
  <c r="G49" i="19"/>
  <c r="H49" i="19"/>
  <c r="E50" i="19"/>
  <c r="F50" i="19"/>
  <c r="G50" i="19"/>
  <c r="H50" i="19"/>
  <c r="G34" i="19"/>
  <c r="G35" i="19"/>
  <c r="E34" i="19"/>
  <c r="E35" i="19"/>
  <c r="C34" i="19"/>
  <c r="C35" i="19"/>
  <c r="Q35" i="19" s="1"/>
  <c r="P18" i="19"/>
  <c r="N18" i="19"/>
  <c r="E1082" i="7"/>
  <c r="E1085" i="7"/>
  <c r="E1086" i="7"/>
  <c r="E1087" i="7"/>
  <c r="E1081" i="7"/>
  <c r="C1082" i="7"/>
  <c r="C1085" i="7"/>
  <c r="C1086" i="7"/>
  <c r="C1087" i="7"/>
  <c r="C1081" i="7"/>
  <c r="C17" i="19"/>
  <c r="AA17" i="19"/>
  <c r="A82" i="3"/>
  <c r="C18" i="19" s="1"/>
  <c r="G33" i="4"/>
  <c r="C44" i="4"/>
  <c r="D44" i="4"/>
  <c r="E44" i="4"/>
  <c r="F44" i="4"/>
  <c r="G44" i="4"/>
  <c r="C45" i="4"/>
  <c r="D45" i="4"/>
  <c r="E45" i="4"/>
  <c r="F45" i="4"/>
  <c r="G45" i="4"/>
  <c r="C46" i="4"/>
  <c r="D46" i="4"/>
  <c r="E46" i="4"/>
  <c r="F46" i="4"/>
  <c r="G46" i="4"/>
  <c r="C47" i="4"/>
  <c r="D47" i="4"/>
  <c r="E47" i="4"/>
  <c r="F47" i="4"/>
  <c r="G47" i="4"/>
  <c r="C48" i="4"/>
  <c r="D48" i="4"/>
  <c r="E48" i="4"/>
  <c r="F48" i="4"/>
  <c r="G48" i="4"/>
  <c r="C49" i="4"/>
  <c r="D49" i="4"/>
  <c r="E49" i="4"/>
  <c r="F49" i="4"/>
  <c r="G49" i="4"/>
  <c r="C50" i="4"/>
  <c r="D50" i="4"/>
  <c r="E50" i="4"/>
  <c r="F50" i="4"/>
  <c r="G50" i="4"/>
  <c r="I46" i="4" l="1"/>
  <c r="Q15" i="30" s="1"/>
  <c r="H45" i="4"/>
  <c r="O14" i="30" s="1"/>
  <c r="H47" i="4"/>
  <c r="F1142" i="7"/>
  <c r="F1143" i="7" s="1"/>
  <c r="F1144" i="7" s="1"/>
  <c r="F1145" i="7" s="1"/>
  <c r="F1146" i="7" s="1"/>
  <c r="F1147" i="7" s="1"/>
  <c r="F1148" i="7" s="1"/>
  <c r="F1149" i="7" s="1"/>
  <c r="F1150" i="7" s="1"/>
  <c r="F1151" i="7" s="1"/>
  <c r="E1142" i="7"/>
  <c r="E1143" i="7" s="1"/>
  <c r="E1144" i="7" s="1"/>
  <c r="E1145" i="7" s="1"/>
  <c r="E1146" i="7" s="1"/>
  <c r="E1147" i="7" s="1"/>
  <c r="E1148" i="7" s="1"/>
  <c r="E1149" i="7" s="1"/>
  <c r="E1150" i="7" s="1"/>
  <c r="E1151" i="7" s="1"/>
  <c r="F1125" i="7"/>
  <c r="F1126" i="7" s="1"/>
  <c r="F1127" i="7" s="1"/>
  <c r="F1128" i="7" s="1"/>
  <c r="F1129" i="7" s="1"/>
  <c r="F1130" i="7" s="1"/>
  <c r="F1131" i="7" s="1"/>
  <c r="F1132" i="7" s="1"/>
  <c r="F1133" i="7" s="1"/>
  <c r="F1134" i="7" s="1"/>
  <c r="F1135" i="7" s="1"/>
  <c r="E1126" i="7"/>
  <c r="E1127" i="7" s="1"/>
  <c r="E1128" i="7" s="1"/>
  <c r="E1129" i="7" s="1"/>
  <c r="E1130" i="7" s="1"/>
  <c r="E1131" i="7" s="1"/>
  <c r="E1132" i="7" s="1"/>
  <c r="E1133" i="7" s="1"/>
  <c r="E1134" i="7" s="1"/>
  <c r="E1135" i="7" s="1"/>
  <c r="I45" i="4"/>
  <c r="Q14" i="30" s="1"/>
  <c r="H46" i="4"/>
  <c r="O15" i="30" s="1"/>
  <c r="I47" i="4"/>
  <c r="H50" i="4"/>
  <c r="O19" i="30" s="1"/>
  <c r="H49" i="4"/>
  <c r="O18" i="30" s="1"/>
  <c r="I49" i="4"/>
  <c r="Q18" i="30" s="1"/>
  <c r="H48" i="4"/>
  <c r="O17" i="30" s="1"/>
  <c r="I50" i="4"/>
  <c r="Q19" i="30" s="1"/>
  <c r="I48" i="4"/>
  <c r="I29" i="4"/>
  <c r="I30" i="4"/>
  <c r="I31" i="4"/>
  <c r="I32" i="4"/>
  <c r="I33" i="4"/>
  <c r="I34" i="4"/>
  <c r="I35" i="4"/>
  <c r="G29" i="4"/>
  <c r="G30" i="4"/>
  <c r="G31" i="4"/>
  <c r="G32" i="4"/>
  <c r="G34" i="4"/>
  <c r="G35" i="4"/>
  <c r="E29" i="4"/>
  <c r="E30" i="4"/>
  <c r="E31" i="4"/>
  <c r="E32" i="4"/>
  <c r="E33" i="4"/>
  <c r="E34" i="4"/>
  <c r="E35" i="4"/>
  <c r="C29" i="4"/>
  <c r="C30" i="4"/>
  <c r="C31" i="4"/>
  <c r="C32" i="4"/>
  <c r="C33" i="4"/>
  <c r="C34" i="4"/>
  <c r="C35" i="4"/>
  <c r="F55" i="17"/>
  <c r="G55" i="17"/>
  <c r="H55" i="17"/>
  <c r="H54" i="17" s="1"/>
  <c r="I55" i="17"/>
  <c r="J55" i="17"/>
  <c r="J54" i="17" s="1"/>
  <c r="H31" i="4" l="1"/>
  <c r="H30" i="4"/>
  <c r="H29" i="4"/>
  <c r="H32" i="4"/>
  <c r="Q17" i="30"/>
  <c r="H34" i="4"/>
  <c r="H33" i="4"/>
  <c r="F184" i="45"/>
  <c r="U13" i="37" l="1"/>
  <c r="I184" i="45"/>
  <c r="F185" i="45"/>
  <c r="F186" i="45"/>
  <c r="H160" i="45" l="1"/>
  <c r="J185" i="45"/>
  <c r="J186" i="45"/>
  <c r="J184" i="45"/>
  <c r="I185" i="45"/>
  <c r="I186" i="45"/>
  <c r="G185" i="45"/>
  <c r="G186" i="45"/>
  <c r="G184" i="45"/>
  <c r="F165" i="45"/>
  <c r="F173" i="45" s="1"/>
  <c r="I69" i="37"/>
  <c r="K69" i="37"/>
  <c r="H161" i="45"/>
  <c r="J161" i="45"/>
  <c r="J169" i="45" s="1"/>
  <c r="J177" i="45" s="1"/>
  <c r="H162" i="45"/>
  <c r="J162" i="45"/>
  <c r="J170" i="45" s="1"/>
  <c r="J178" i="45" s="1"/>
  <c r="J160" i="45"/>
  <c r="J168" i="45" s="1"/>
  <c r="J176" i="45" s="1"/>
  <c r="D1031" i="7"/>
  <c r="D1032" i="7" s="1"/>
  <c r="D1033" i="7" s="1"/>
  <c r="D1034" i="7" s="1"/>
  <c r="D1035" i="7" s="1"/>
  <c r="C1031" i="7"/>
  <c r="C1032" i="7" s="1"/>
  <c r="C1033" i="7" s="1"/>
  <c r="C1034" i="7" s="1"/>
  <c r="C1035" i="7" s="1"/>
  <c r="B1037" i="7"/>
  <c r="B1038" i="7"/>
  <c r="B1039" i="7"/>
  <c r="B1040" i="7"/>
  <c r="B1036" i="7"/>
  <c r="B1030" i="7"/>
  <c r="B1031" i="7" s="1"/>
  <c r="B1032" i="7" s="1"/>
  <c r="B1033" i="7" s="1"/>
  <c r="B1034" i="7" s="1"/>
  <c r="B1035" i="7" s="1"/>
  <c r="H170" i="45" l="1"/>
  <c r="H178" i="45" s="1"/>
  <c r="H169" i="45"/>
  <c r="H177" i="45" s="1"/>
  <c r="H168" i="45"/>
  <c r="H176" i="45" s="1"/>
  <c r="U129" i="45"/>
  <c r="U128" i="45"/>
  <c r="C1016" i="7"/>
  <c r="C1017" i="7"/>
  <c r="C1018" i="7"/>
  <c r="C1019" i="7"/>
  <c r="C1020" i="7"/>
  <c r="C1015" i="7"/>
  <c r="C1025" i="7"/>
  <c r="C1024" i="7"/>
  <c r="C1023" i="7"/>
  <c r="C1022" i="7"/>
  <c r="C1021" i="7"/>
  <c r="C1010" i="7"/>
  <c r="C1009" i="7"/>
  <c r="C1008" i="7"/>
  <c r="C1007" i="7"/>
  <c r="C1006" i="7"/>
  <c r="C986" i="7"/>
  <c r="C987" i="7"/>
  <c r="C988" i="7"/>
  <c r="C989" i="7"/>
  <c r="C990" i="7"/>
  <c r="C991" i="7"/>
  <c r="C992" i="7"/>
  <c r="C993" i="7"/>
  <c r="C994" i="7"/>
  <c r="C995" i="7"/>
  <c r="C985" i="7"/>
  <c r="F129" i="45"/>
  <c r="F137" i="45" s="1"/>
  <c r="F128" i="45"/>
  <c r="F136" i="45" s="1"/>
  <c r="F144" i="45" s="1"/>
  <c r="F152" i="45" s="1"/>
  <c r="G129" i="45"/>
  <c r="G137" i="45" s="1"/>
  <c r="H129" i="45"/>
  <c r="H137" i="45" s="1"/>
  <c r="H145" i="45" s="1"/>
  <c r="H153" i="45" s="1"/>
  <c r="I129" i="45"/>
  <c r="I137" i="45" s="1"/>
  <c r="I145" i="45" s="1"/>
  <c r="I153" i="45" s="1"/>
  <c r="J129" i="45"/>
  <c r="J137" i="45" s="1"/>
  <c r="J145" i="45" s="1"/>
  <c r="J153" i="45" s="1"/>
  <c r="J128" i="45"/>
  <c r="J136" i="45" s="1"/>
  <c r="J144" i="45" s="1"/>
  <c r="J152" i="45" s="1"/>
  <c r="H128" i="45"/>
  <c r="H136" i="45" s="1"/>
  <c r="H144" i="45" s="1"/>
  <c r="H152" i="45" s="1"/>
  <c r="I128" i="45"/>
  <c r="I136" i="45" s="1"/>
  <c r="G128" i="45"/>
  <c r="G136" i="45" s="1"/>
  <c r="G144" i="45" s="1"/>
  <c r="N95" i="45"/>
  <c r="N96" i="45" s="1"/>
  <c r="G152" i="45" l="1"/>
  <c r="F145" i="45"/>
  <c r="F153" i="45" s="1"/>
  <c r="G145" i="45"/>
  <c r="V128" i="45"/>
  <c r="V129" i="45"/>
  <c r="I144" i="45"/>
  <c r="E104" i="26"/>
  <c r="E124" i="26" s="1"/>
  <c r="E81" i="26"/>
  <c r="E103" i="26" s="1"/>
  <c r="E123" i="26" s="1"/>
  <c r="E80" i="26"/>
  <c r="E102" i="26" s="1"/>
  <c r="E122" i="26" s="1"/>
  <c r="E77" i="26"/>
  <c r="E99" i="26" s="1"/>
  <c r="E119" i="26" s="1"/>
  <c r="E76" i="26"/>
  <c r="E98" i="26" s="1"/>
  <c r="E118" i="26" s="1"/>
  <c r="E75" i="26"/>
  <c r="E97" i="26" s="1"/>
  <c r="E117" i="26" s="1"/>
  <c r="E74" i="26"/>
  <c r="E96" i="26" s="1"/>
  <c r="E116" i="26" s="1"/>
  <c r="G153" i="45" l="1"/>
  <c r="I152" i="45"/>
  <c r="E72" i="26"/>
  <c r="E94" i="26" s="1"/>
  <c r="E114" i="26" s="1"/>
  <c r="E71" i="26"/>
  <c r="E93" i="26" s="1"/>
  <c r="E113" i="26" s="1"/>
  <c r="D59" i="4"/>
  <c r="E69" i="26" s="1"/>
  <c r="E91" i="26" s="1"/>
  <c r="E111" i="26" s="1"/>
  <c r="H942" i="7" l="1"/>
  <c r="H943" i="7" s="1"/>
  <c r="H940" i="7"/>
  <c r="H941" i="7" s="1"/>
  <c r="C945" i="7"/>
  <c r="C946" i="7"/>
  <c r="C947" i="7"/>
  <c r="C948" i="7"/>
  <c r="C949" i="7"/>
  <c r="C950" i="7"/>
  <c r="C944" i="7"/>
  <c r="C941" i="7"/>
  <c r="C942" i="7"/>
  <c r="C943" i="7"/>
  <c r="C940" i="7"/>
  <c r="E950" i="7"/>
  <c r="E949" i="7"/>
  <c r="E948" i="7"/>
  <c r="E947" i="7"/>
  <c r="E946" i="7"/>
  <c r="E945" i="7"/>
  <c r="E944" i="7"/>
  <c r="E943" i="7"/>
  <c r="E942" i="7"/>
  <c r="E941" i="7"/>
  <c r="E940" i="7"/>
  <c r="C84" i="45"/>
  <c r="S64" i="45"/>
  <c r="N64" i="45"/>
  <c r="I757" i="7"/>
  <c r="I758" i="7"/>
  <c r="I759" i="7"/>
  <c r="I756" i="7"/>
  <c r="I727" i="7"/>
  <c r="I726" i="7"/>
  <c r="C727" i="7"/>
  <c r="C726" i="7"/>
  <c r="N65" i="45" l="1"/>
  <c r="M71" i="45"/>
  <c r="Q63" i="45" l="1"/>
  <c r="P63" i="45"/>
  <c r="B47" i="45"/>
  <c r="N99" i="45" s="1"/>
  <c r="V47" i="45"/>
  <c r="V52" i="45" s="1"/>
  <c r="W47" i="45"/>
  <c r="W52" i="45" s="1"/>
  <c r="U47" i="45"/>
  <c r="U52" i="45" s="1"/>
  <c r="G64" i="45"/>
  <c r="I64" i="45"/>
  <c r="G65" i="45"/>
  <c r="I65" i="45"/>
  <c r="G66" i="45"/>
  <c r="I66" i="45"/>
  <c r="G67" i="45"/>
  <c r="I67" i="45"/>
  <c r="G68" i="45"/>
  <c r="I68" i="45"/>
  <c r="F65" i="45"/>
  <c r="F66" i="45"/>
  <c r="F67" i="45"/>
  <c r="F68" i="45"/>
  <c r="F64" i="45"/>
  <c r="E896" i="7"/>
  <c r="E897" i="7"/>
  <c r="E898" i="7"/>
  <c r="E899" i="7"/>
  <c r="E900" i="7"/>
  <c r="E901" i="7"/>
  <c r="E902" i="7"/>
  <c r="E903" i="7"/>
  <c r="E904" i="7"/>
  <c r="E905" i="7"/>
  <c r="E895" i="7"/>
  <c r="E911" i="7"/>
  <c r="E912" i="7"/>
  <c r="E913" i="7"/>
  <c r="E914" i="7"/>
  <c r="E915" i="7"/>
  <c r="E910" i="7"/>
  <c r="D911" i="7"/>
  <c r="D912" i="7"/>
  <c r="D913" i="7"/>
  <c r="D914" i="7"/>
  <c r="D915" i="7"/>
  <c r="D910" i="7"/>
  <c r="C915" i="7"/>
  <c r="C914" i="7"/>
  <c r="H913" i="7"/>
  <c r="C913" i="7"/>
  <c r="H912" i="7"/>
  <c r="C912" i="7"/>
  <c r="H911" i="7"/>
  <c r="C911" i="7"/>
  <c r="H910" i="7"/>
  <c r="C910" i="7"/>
  <c r="H898" i="7"/>
  <c r="H896" i="7"/>
  <c r="H897" i="7"/>
  <c r="C896" i="7"/>
  <c r="C897" i="7"/>
  <c r="C898" i="7"/>
  <c r="C895" i="7"/>
  <c r="H895" i="7"/>
  <c r="U13" i="45"/>
  <c r="F13" i="45"/>
  <c r="F108" i="45" s="1"/>
  <c r="G13" i="45"/>
  <c r="H13" i="45"/>
  <c r="I13" i="45"/>
  <c r="J13" i="45"/>
  <c r="F14" i="45"/>
  <c r="G14" i="45"/>
  <c r="H14" i="45"/>
  <c r="I14" i="45"/>
  <c r="J14" i="45"/>
  <c r="F15" i="45"/>
  <c r="F110" i="45" s="1"/>
  <c r="G15" i="45"/>
  <c r="H15" i="45"/>
  <c r="I15" i="45"/>
  <c r="J15" i="45"/>
  <c r="F16" i="45"/>
  <c r="F111" i="45" s="1"/>
  <c r="G16" i="45"/>
  <c r="H16" i="45"/>
  <c r="I16" i="45"/>
  <c r="J16" i="45"/>
  <c r="J12" i="45"/>
  <c r="I12" i="45"/>
  <c r="G12" i="45"/>
  <c r="F12" i="45"/>
  <c r="H12" i="45"/>
  <c r="C887" i="7"/>
  <c r="C888" i="7"/>
  <c r="C889" i="7"/>
  <c r="C890" i="7"/>
  <c r="C886" i="7"/>
  <c r="C881" i="7"/>
  <c r="C882" i="7"/>
  <c r="C883" i="7"/>
  <c r="C884" i="7"/>
  <c r="C885" i="7"/>
  <c r="C880" i="7"/>
  <c r="U24" i="45"/>
  <c r="J24" i="45"/>
  <c r="I24" i="45"/>
  <c r="H24" i="45"/>
  <c r="G24" i="45"/>
  <c r="F24" i="45"/>
  <c r="U23" i="45"/>
  <c r="J23" i="45"/>
  <c r="I23" i="45"/>
  <c r="H23" i="45"/>
  <c r="G23" i="45"/>
  <c r="F23" i="45"/>
  <c r="U16" i="45"/>
  <c r="U15" i="45"/>
  <c r="U14" i="45"/>
  <c r="U12" i="45"/>
  <c r="F119" i="45" l="1"/>
  <c r="I119" i="45"/>
  <c r="J41" i="45"/>
  <c r="J79" i="45" s="1"/>
  <c r="J119" i="45"/>
  <c r="H40" i="45"/>
  <c r="H78" i="45" s="1"/>
  <c r="H118" i="45"/>
  <c r="J40" i="45"/>
  <c r="J78" i="45" s="1"/>
  <c r="J118" i="45"/>
  <c r="G41" i="45"/>
  <c r="G79" i="45" s="1"/>
  <c r="G119" i="45"/>
  <c r="F40" i="45"/>
  <c r="F78" i="45" s="1"/>
  <c r="F118" i="45"/>
  <c r="H41" i="45"/>
  <c r="H79" i="45" s="1"/>
  <c r="H119" i="45"/>
  <c r="I40" i="45"/>
  <c r="I78" i="45" s="1"/>
  <c r="I118" i="45"/>
  <c r="G40" i="45"/>
  <c r="G78" i="45" s="1"/>
  <c r="G118" i="45"/>
  <c r="I58" i="45"/>
  <c r="I91" i="45" s="1"/>
  <c r="I111" i="45"/>
  <c r="H54" i="45"/>
  <c r="H87" i="45" s="1"/>
  <c r="H107" i="45"/>
  <c r="G58" i="45"/>
  <c r="G91" i="45" s="1"/>
  <c r="G111" i="45"/>
  <c r="I56" i="45"/>
  <c r="I89" i="45" s="1"/>
  <c r="I109" i="45"/>
  <c r="H56" i="45"/>
  <c r="H89" i="45" s="1"/>
  <c r="H109" i="45"/>
  <c r="F54" i="45"/>
  <c r="F87" i="45" s="1"/>
  <c r="F107" i="45"/>
  <c r="G54" i="45"/>
  <c r="G87" i="45" s="1"/>
  <c r="G107" i="45"/>
  <c r="J57" i="45"/>
  <c r="J90" i="45" s="1"/>
  <c r="J110" i="45"/>
  <c r="I54" i="45"/>
  <c r="I87" i="45" s="1"/>
  <c r="I107" i="45"/>
  <c r="I57" i="45"/>
  <c r="I90" i="45" s="1"/>
  <c r="I110" i="45"/>
  <c r="J54" i="45"/>
  <c r="J87" i="45" s="1"/>
  <c r="J107" i="45"/>
  <c r="H57" i="45"/>
  <c r="H90" i="45" s="1"/>
  <c r="H110" i="45"/>
  <c r="J55" i="45"/>
  <c r="J88" i="45" s="1"/>
  <c r="J108" i="45"/>
  <c r="J58" i="45"/>
  <c r="J91" i="45" s="1"/>
  <c r="J111" i="45"/>
  <c r="G57" i="45"/>
  <c r="G90" i="45" s="1"/>
  <c r="G110" i="45"/>
  <c r="I55" i="45"/>
  <c r="I88" i="45" s="1"/>
  <c r="I108" i="45"/>
  <c r="H55" i="45"/>
  <c r="H88" i="45" s="1"/>
  <c r="H108" i="45"/>
  <c r="H58" i="45"/>
  <c r="H91" i="45" s="1"/>
  <c r="H111" i="45"/>
  <c r="J56" i="45"/>
  <c r="J89" i="45" s="1"/>
  <c r="J109" i="45"/>
  <c r="G55" i="45"/>
  <c r="G88" i="45" s="1"/>
  <c r="G108" i="45"/>
  <c r="G56" i="45"/>
  <c r="G89" i="45" s="1"/>
  <c r="G109" i="45"/>
  <c r="F56" i="45"/>
  <c r="F89" i="45" s="1"/>
  <c r="F109" i="45"/>
  <c r="V13" i="45"/>
  <c r="S68" i="45"/>
  <c r="N68" i="45"/>
  <c r="V15" i="45"/>
  <c r="V16" i="45"/>
  <c r="V14" i="45"/>
  <c r="F55" i="45"/>
  <c r="F88" i="45" s="1"/>
  <c r="F58" i="45"/>
  <c r="F91" i="45" s="1"/>
  <c r="F57" i="45"/>
  <c r="F90" i="45" s="1"/>
  <c r="V12" i="45"/>
  <c r="V23" i="45"/>
  <c r="S46" i="45" s="1"/>
  <c r="F41" i="45"/>
  <c r="F79" i="45" s="1"/>
  <c r="V24" i="45"/>
  <c r="I41" i="45"/>
  <c r="I79" i="45" s="1"/>
  <c r="H45" i="17"/>
  <c r="P20" i="44"/>
  <c r="A24" i="44"/>
  <c r="A84" i="44" s="1"/>
  <c r="A25" i="44"/>
  <c r="A85" i="44" s="1"/>
  <c r="A26" i="44"/>
  <c r="A86" i="44" s="1"/>
  <c r="A27" i="44"/>
  <c r="A87" i="44" s="1"/>
  <c r="A28" i="44"/>
  <c r="A88" i="44" s="1"/>
  <c r="A29" i="44"/>
  <c r="A89" i="44" s="1"/>
  <c r="A23" i="44"/>
  <c r="A83" i="44" s="1"/>
  <c r="A22" i="44"/>
  <c r="A82" i="44" s="1"/>
  <c r="M29" i="44"/>
  <c r="K29" i="44"/>
  <c r="G29" i="44"/>
  <c r="E29" i="44"/>
  <c r="C29" i="44"/>
  <c r="P28" i="44"/>
  <c r="P27" i="44"/>
  <c r="P26" i="44"/>
  <c r="P25" i="44"/>
  <c r="P24" i="44"/>
  <c r="P22" i="44"/>
  <c r="A16" i="44"/>
  <c r="A5" i="44"/>
  <c r="A6" i="44"/>
  <c r="A7" i="44"/>
  <c r="A8" i="44"/>
  <c r="A9" i="44"/>
  <c r="A10" i="44"/>
  <c r="A11" i="44"/>
  <c r="A12" i="44"/>
  <c r="A13" i="44"/>
  <c r="A14" i="44"/>
  <c r="A4" i="44"/>
  <c r="M37" i="22" l="1"/>
  <c r="K94" i="47"/>
  <c r="J97" i="47"/>
  <c r="K95" i="47"/>
  <c r="J93" i="47"/>
  <c r="K97" i="47"/>
  <c r="K96" i="47"/>
  <c r="K93" i="47"/>
  <c r="J94" i="47"/>
  <c r="J95" i="47"/>
  <c r="J96" i="47"/>
  <c r="P29" i="44"/>
  <c r="B16" i="44"/>
  <c r="C16" i="44" s="1"/>
  <c r="M51" i="44"/>
  <c r="M46" i="44"/>
  <c r="L46" i="44"/>
  <c r="O13" i="26" l="1"/>
  <c r="L51" i="44"/>
  <c r="C528" i="7" l="1"/>
  <c r="D528" i="7"/>
  <c r="E528" i="7"/>
  <c r="F528" i="7"/>
  <c r="G528" i="7"/>
  <c r="B528" i="7"/>
  <c r="L79" i="2" l="1"/>
  <c r="L92" i="2"/>
  <c r="M92" i="2" l="1"/>
  <c r="K35" i="4"/>
  <c r="N35" i="4"/>
  <c r="G37" i="24"/>
  <c r="G38" i="24"/>
  <c r="G39" i="24"/>
  <c r="G40" i="24"/>
  <c r="G41" i="24"/>
  <c r="G42" i="24"/>
  <c r="G43" i="24"/>
  <c r="G44" i="24"/>
  <c r="G45" i="24"/>
  <c r="E37" i="24"/>
  <c r="E38" i="24"/>
  <c r="E39" i="24"/>
  <c r="E40" i="24"/>
  <c r="E41" i="24"/>
  <c r="E42" i="24"/>
  <c r="E43" i="24"/>
  <c r="E44" i="24"/>
  <c r="E45" i="24"/>
  <c r="R35" i="19" l="1"/>
  <c r="T32" i="30"/>
  <c r="T34" i="30"/>
  <c r="T35" i="30"/>
  <c r="T36" i="30"/>
  <c r="S32" i="30"/>
  <c r="S34" i="30"/>
  <c r="S35" i="30"/>
  <c r="S36" i="30"/>
  <c r="R32" i="30"/>
  <c r="R34" i="30"/>
  <c r="R35" i="30"/>
  <c r="R36" i="30"/>
  <c r="P35" i="19" l="1"/>
  <c r="O254" i="31"/>
  <c r="J254" i="31" l="1"/>
  <c r="O260" i="31"/>
  <c r="O261" i="31"/>
  <c r="O262" i="31"/>
  <c r="O263" i="31"/>
  <c r="O264" i="31"/>
  <c r="O265" i="31"/>
  <c r="O266" i="31"/>
  <c r="O267" i="31"/>
  <c r="O268" i="31"/>
  <c r="O259" i="31"/>
  <c r="O255" i="31"/>
  <c r="O256" i="31"/>
  <c r="O257" i="31"/>
  <c r="J260" i="31"/>
  <c r="J261" i="31"/>
  <c r="J262" i="31"/>
  <c r="J263" i="31"/>
  <c r="J264" i="31"/>
  <c r="J265" i="31"/>
  <c r="J266" i="31"/>
  <c r="J267" i="31"/>
  <c r="J268" i="31"/>
  <c r="J259" i="31"/>
  <c r="J255" i="31"/>
  <c r="J256" i="31"/>
  <c r="J257" i="31"/>
  <c r="G260" i="31"/>
  <c r="G261" i="31"/>
  <c r="G262" i="31"/>
  <c r="G263" i="31"/>
  <c r="G264" i="31"/>
  <c r="G265" i="31"/>
  <c r="G266" i="31"/>
  <c r="G267" i="31"/>
  <c r="G268" i="31"/>
  <c r="G259" i="31"/>
  <c r="G255" i="31"/>
  <c r="G256" i="31"/>
  <c r="G257" i="31"/>
  <c r="G254" i="31"/>
  <c r="E255" i="31"/>
  <c r="E256" i="31" s="1"/>
  <c r="T254" i="31" l="1"/>
  <c r="S11" i="15" s="1"/>
  <c r="T256" i="31"/>
  <c r="S13" i="15" s="1"/>
  <c r="E257" i="31"/>
  <c r="T255" i="31"/>
  <c r="S12" i="15" s="1"/>
  <c r="H301" i="7"/>
  <c r="H302" i="7" s="1"/>
  <c r="H300" i="7"/>
  <c r="H299" i="7"/>
  <c r="H298" i="7"/>
  <c r="H297" i="7"/>
  <c r="H296" i="7"/>
  <c r="H295" i="7"/>
  <c r="H294" i="7"/>
  <c r="H292" i="7"/>
  <c r="L202" i="30"/>
  <c r="L203" i="30"/>
  <c r="L204" i="30"/>
  <c r="L205" i="30"/>
  <c r="L206" i="30"/>
  <c r="L207" i="30"/>
  <c r="L208" i="30"/>
  <c r="Q208" i="30" s="1"/>
  <c r="L16" i="25" s="1"/>
  <c r="L209" i="30"/>
  <c r="S209" i="30" s="1"/>
  <c r="N17" i="25" s="1"/>
  <c r="L210" i="30"/>
  <c r="Q210" i="30" s="1"/>
  <c r="L18" i="25" s="1"/>
  <c r="L201" i="30"/>
  <c r="D202" i="30"/>
  <c r="D203" i="30"/>
  <c r="D204" i="30"/>
  <c r="D205" i="30"/>
  <c r="D206" i="30"/>
  <c r="D207" i="30"/>
  <c r="D208" i="30"/>
  <c r="I208" i="30" s="1"/>
  <c r="M16" i="25" s="1"/>
  <c r="D209" i="30"/>
  <c r="D210" i="30"/>
  <c r="D201" i="30"/>
  <c r="B202" i="30"/>
  <c r="B203" i="30"/>
  <c r="B204" i="30"/>
  <c r="B205" i="30"/>
  <c r="B206" i="30"/>
  <c r="B207" i="30"/>
  <c r="B208" i="30"/>
  <c r="B209" i="30"/>
  <c r="B210" i="30"/>
  <c r="B211" i="30"/>
  <c r="B201" i="30"/>
  <c r="T257" i="31" l="1"/>
  <c r="S14" i="15" s="1"/>
  <c r="E259" i="31"/>
  <c r="T259" i="31" s="1"/>
  <c r="S15" i="15" s="1"/>
  <c r="Q209" i="30"/>
  <c r="L17" i="25" s="1"/>
  <c r="S210" i="30"/>
  <c r="N18" i="25" s="1"/>
  <c r="S208" i="30"/>
  <c r="N16" i="25" s="1"/>
  <c r="G208" i="30"/>
  <c r="K16" i="25" s="1"/>
  <c r="C1" i="43"/>
  <c r="H266" i="41" l="1"/>
  <c r="H234" i="41"/>
  <c r="H202" i="41"/>
  <c r="H170" i="41"/>
  <c r="H138" i="41"/>
  <c r="H106" i="41"/>
  <c r="H68" i="41"/>
  <c r="H247" i="41"/>
  <c r="H215" i="41"/>
  <c r="H183" i="41"/>
  <c r="H151" i="41"/>
  <c r="H115" i="41"/>
  <c r="H83" i="41"/>
  <c r="H53" i="41"/>
  <c r="H18" i="41"/>
  <c r="H46" i="41"/>
  <c r="H244" i="41"/>
  <c r="H212" i="41"/>
  <c r="H180" i="41"/>
  <c r="H148" i="41"/>
  <c r="H116" i="41"/>
  <c r="H84" i="41"/>
  <c r="H34" i="41"/>
  <c r="H261" i="41"/>
  <c r="H229" i="41"/>
  <c r="H197" i="41"/>
  <c r="H165" i="41"/>
  <c r="H129" i="41"/>
  <c r="H97" i="41"/>
  <c r="H63" i="41"/>
  <c r="H31" i="41"/>
  <c r="H25" i="41"/>
  <c r="H262" i="41"/>
  <c r="H230" i="41"/>
  <c r="H198" i="41"/>
  <c r="H166" i="41"/>
  <c r="H134" i="41"/>
  <c r="H102" i="41"/>
  <c r="H60" i="41"/>
  <c r="H274" i="41"/>
  <c r="H243" i="41"/>
  <c r="H211" i="41"/>
  <c r="H179" i="41"/>
  <c r="H147" i="41"/>
  <c r="H111" i="41"/>
  <c r="H79" i="41"/>
  <c r="H49" i="41"/>
  <c r="H12" i="41"/>
  <c r="H38" i="41"/>
  <c r="H275" i="41"/>
  <c r="H240" i="41"/>
  <c r="H208" i="41"/>
  <c r="H176" i="41"/>
  <c r="H144" i="41"/>
  <c r="H112" i="41"/>
  <c r="H80" i="41"/>
  <c r="H23" i="41"/>
  <c r="H257" i="41"/>
  <c r="H225" i="41"/>
  <c r="H193" i="41"/>
  <c r="H161" i="41"/>
  <c r="H125" i="41"/>
  <c r="H93" i="41"/>
  <c r="H59" i="41"/>
  <c r="H28" i="41"/>
  <c r="H17" i="41"/>
  <c r="H56" i="41"/>
  <c r="H258" i="41"/>
  <c r="H226" i="41"/>
  <c r="H194" i="41"/>
  <c r="H162" i="41"/>
  <c r="H130" i="41"/>
  <c r="H98" i="41"/>
  <c r="H52" i="41"/>
  <c r="H270" i="41"/>
  <c r="H239" i="41"/>
  <c r="H207" i="41"/>
  <c r="H175" i="41"/>
  <c r="H143" i="41"/>
  <c r="H107" i="41"/>
  <c r="H75" i="41"/>
  <c r="H45" i="41"/>
  <c r="H8" i="41"/>
  <c r="H30" i="41"/>
  <c r="H271" i="41"/>
  <c r="H236" i="41"/>
  <c r="H204" i="41"/>
  <c r="H172" i="41"/>
  <c r="H140" i="41"/>
  <c r="H108" i="41"/>
  <c r="H76" i="41"/>
  <c r="H15" i="41"/>
  <c r="H253" i="41"/>
  <c r="H221" i="41"/>
  <c r="H189" i="41"/>
  <c r="H157" i="41"/>
  <c r="H121" i="41"/>
  <c r="H89" i="41"/>
  <c r="H55" i="41"/>
  <c r="H24" i="41"/>
  <c r="H74" i="41"/>
  <c r="H11" i="41"/>
  <c r="H47" i="41"/>
  <c r="H254" i="41"/>
  <c r="H222" i="41"/>
  <c r="H190" i="41"/>
  <c r="H158" i="41"/>
  <c r="H126" i="41"/>
  <c r="H94" i="41"/>
  <c r="H48" i="41"/>
  <c r="H267" i="41"/>
  <c r="H235" i="41"/>
  <c r="H203" i="41"/>
  <c r="H171" i="41"/>
  <c r="H139" i="41"/>
  <c r="H103" i="41"/>
  <c r="H72" i="41"/>
  <c r="H41" i="41"/>
  <c r="H4" i="41"/>
  <c r="H27" i="41"/>
  <c r="H264" i="41"/>
  <c r="H232" i="41"/>
  <c r="H200" i="41"/>
  <c r="H168" i="41"/>
  <c r="H136" i="41"/>
  <c r="H104" i="41"/>
  <c r="H70" i="41"/>
  <c r="H9" i="41"/>
  <c r="H249" i="41"/>
  <c r="H217" i="41"/>
  <c r="H185" i="41"/>
  <c r="H153" i="41"/>
  <c r="H117" i="41"/>
  <c r="H85" i="41"/>
  <c r="H51" i="41"/>
  <c r="H20" i="41"/>
  <c r="H64" i="41"/>
  <c r="H3" i="41"/>
  <c r="H16" i="41"/>
  <c r="H250" i="41"/>
  <c r="H218" i="41"/>
  <c r="H186" i="41"/>
  <c r="H154" i="41"/>
  <c r="H122" i="41"/>
  <c r="H90" i="41"/>
  <c r="H40" i="41"/>
  <c r="H263" i="41"/>
  <c r="H231" i="41"/>
  <c r="H199" i="41"/>
  <c r="H167" i="41"/>
  <c r="H131" i="41"/>
  <c r="H99" i="41"/>
  <c r="H69" i="41"/>
  <c r="H37" i="41"/>
  <c r="H19" i="41"/>
  <c r="H260" i="41"/>
  <c r="H228" i="41"/>
  <c r="H196" i="41"/>
  <c r="H164" i="41"/>
  <c r="H132" i="41"/>
  <c r="H100" i="41"/>
  <c r="H66" i="41"/>
  <c r="H245" i="41"/>
  <c r="H213" i="41"/>
  <c r="H181" i="41"/>
  <c r="H149" i="41"/>
  <c r="H113" i="41"/>
  <c r="H81" i="41"/>
  <c r="H246" i="41"/>
  <c r="H214" i="41"/>
  <c r="H182" i="41"/>
  <c r="H150" i="41"/>
  <c r="H118" i="41"/>
  <c r="H86" i="41"/>
  <c r="H29" i="41"/>
  <c r="H259" i="41"/>
  <c r="H227" i="41"/>
  <c r="H195" i="41"/>
  <c r="H163" i="41"/>
  <c r="H127" i="41"/>
  <c r="H95" i="41"/>
  <c r="H65" i="41"/>
  <c r="H33" i="41"/>
  <c r="H73" i="41"/>
  <c r="H13" i="41"/>
  <c r="H256" i="41"/>
  <c r="H224" i="41"/>
  <c r="H192" i="41"/>
  <c r="H160" i="41"/>
  <c r="H128" i="41"/>
  <c r="H96" i="41"/>
  <c r="H58" i="41"/>
  <c r="H272" i="41"/>
  <c r="H241" i="41"/>
  <c r="H209" i="41"/>
  <c r="H177" i="41"/>
  <c r="H141" i="41"/>
  <c r="H109" i="41"/>
  <c r="H77" i="41"/>
  <c r="H43" i="41"/>
  <c r="H10" i="41"/>
  <c r="H44" i="41"/>
  <c r="H273" i="41"/>
  <c r="H242" i="41"/>
  <c r="H210" i="41"/>
  <c r="H178" i="41"/>
  <c r="H146" i="41"/>
  <c r="H114" i="41"/>
  <c r="H82" i="41"/>
  <c r="H21" i="41"/>
  <c r="H255" i="41"/>
  <c r="H223" i="41"/>
  <c r="H191" i="41"/>
  <c r="H159" i="41"/>
  <c r="H123" i="41"/>
  <c r="H91" i="41"/>
  <c r="H61" i="41"/>
  <c r="H26" i="41"/>
  <c r="H62" i="41"/>
  <c r="H5" i="41"/>
  <c r="H252" i="41"/>
  <c r="H220" i="41"/>
  <c r="H188" i="41"/>
  <c r="H156" i="41"/>
  <c r="H124" i="41"/>
  <c r="H92" i="41"/>
  <c r="H50" i="41"/>
  <c r="H268" i="41"/>
  <c r="H237" i="41"/>
  <c r="H205" i="41"/>
  <c r="H173" i="41"/>
  <c r="H137" i="41"/>
  <c r="H105" i="41"/>
  <c r="H71" i="41"/>
  <c r="H39" i="41"/>
  <c r="H6" i="41"/>
  <c r="H36" i="41"/>
  <c r="H269" i="41"/>
  <c r="H238" i="41"/>
  <c r="H206" i="41"/>
  <c r="H174" i="41"/>
  <c r="H142" i="41"/>
  <c r="H110" i="41"/>
  <c r="H78" i="41"/>
  <c r="H7" i="41"/>
  <c r="H251" i="41"/>
  <c r="H219" i="41"/>
  <c r="H187" i="41"/>
  <c r="H155" i="41"/>
  <c r="H119" i="41"/>
  <c r="H87" i="41"/>
  <c r="H57" i="41"/>
  <c r="H22" i="41"/>
  <c r="H54" i="41"/>
  <c r="H248" i="41"/>
  <c r="H216" i="41"/>
  <c r="H184" i="41"/>
  <c r="H152" i="41"/>
  <c r="H120" i="41"/>
  <c r="H88" i="41"/>
  <c r="H42" i="41"/>
  <c r="H265" i="41"/>
  <c r="H233" i="41"/>
  <c r="H201" i="41"/>
  <c r="H169" i="41"/>
  <c r="H133" i="41"/>
  <c r="H101" i="41"/>
  <c r="H67" i="41"/>
  <c r="H35" i="41"/>
  <c r="H2" i="41"/>
  <c r="H32" i="41"/>
  <c r="E260" i="31"/>
  <c r="Q34" i="5"/>
  <c r="E71" i="5" s="1"/>
  <c r="Q33" i="5"/>
  <c r="E70" i="5" s="1"/>
  <c r="Q32" i="5"/>
  <c r="E69" i="5" s="1"/>
  <c r="K31" i="5"/>
  <c r="J31" i="5"/>
  <c r="E261" i="31" l="1"/>
  <c r="T260" i="31"/>
  <c r="S16" i="15" s="1"/>
  <c r="H15" i="24"/>
  <c r="F39" i="24"/>
  <c r="F40" i="24"/>
  <c r="F41" i="24"/>
  <c r="F42" i="24"/>
  <c r="F43" i="24"/>
  <c r="F44" i="24"/>
  <c r="F45" i="24"/>
  <c r="D39" i="24"/>
  <c r="D40" i="24"/>
  <c r="D41" i="24"/>
  <c r="D42" i="24"/>
  <c r="D43" i="24"/>
  <c r="D44" i="24"/>
  <c r="D45" i="24"/>
  <c r="C39" i="24"/>
  <c r="C40" i="24"/>
  <c r="C41" i="24"/>
  <c r="C42" i="24"/>
  <c r="C43" i="24"/>
  <c r="C44" i="24"/>
  <c r="C45" i="24"/>
  <c r="B39" i="24"/>
  <c r="B40" i="24"/>
  <c r="B41" i="24"/>
  <c r="B42" i="24"/>
  <c r="B43" i="24"/>
  <c r="B44" i="24"/>
  <c r="B45" i="24"/>
  <c r="Q16" i="24"/>
  <c r="Q17" i="24"/>
  <c r="Q18" i="24"/>
  <c r="Q19" i="24"/>
  <c r="Q20" i="24"/>
  <c r="Q21" i="24"/>
  <c r="Q22" i="24"/>
  <c r="Q23" i="24"/>
  <c r="J17" i="24"/>
  <c r="J18" i="24"/>
  <c r="J19" i="24"/>
  <c r="J20" i="24"/>
  <c r="J21" i="24"/>
  <c r="J22" i="24"/>
  <c r="J23" i="24"/>
  <c r="H17" i="24"/>
  <c r="H18" i="24"/>
  <c r="H19" i="24"/>
  <c r="H20" i="24"/>
  <c r="H21" i="24"/>
  <c r="H22" i="24"/>
  <c r="H23" i="24"/>
  <c r="I180" i="31"/>
  <c r="I181" i="31"/>
  <c r="I182" i="31"/>
  <c r="I183" i="31"/>
  <c r="I184" i="31"/>
  <c r="I185" i="31"/>
  <c r="I186" i="31"/>
  <c r="I187" i="31"/>
  <c r="E16" i="24"/>
  <c r="F16" i="24"/>
  <c r="E17" i="24"/>
  <c r="F17" i="24"/>
  <c r="E18" i="24"/>
  <c r="F18" i="24"/>
  <c r="E19" i="24"/>
  <c r="F19" i="24"/>
  <c r="E20" i="24"/>
  <c r="F20" i="24"/>
  <c r="E21" i="24"/>
  <c r="F21" i="24"/>
  <c r="E22" i="24"/>
  <c r="F22" i="24"/>
  <c r="E23" i="24"/>
  <c r="F23" i="24"/>
  <c r="F181" i="31"/>
  <c r="F182" i="31"/>
  <c r="F183" i="31"/>
  <c r="F184" i="31"/>
  <c r="F185" i="31"/>
  <c r="F186" i="31"/>
  <c r="F187" i="31"/>
  <c r="B180" i="31"/>
  <c r="B181" i="31"/>
  <c r="B182" i="31"/>
  <c r="B183" i="31"/>
  <c r="B184" i="31"/>
  <c r="B185" i="31"/>
  <c r="B186" i="31"/>
  <c r="B187" i="31"/>
  <c r="B179" i="31"/>
  <c r="D17" i="24"/>
  <c r="D18" i="24"/>
  <c r="D19" i="24"/>
  <c r="D20" i="24"/>
  <c r="D21" i="24"/>
  <c r="D22" i="24"/>
  <c r="D23" i="24"/>
  <c r="N23" i="24" s="1"/>
  <c r="E262" i="31" l="1"/>
  <c r="T261" i="31"/>
  <c r="S17" i="15" s="1"/>
  <c r="R42" i="24"/>
  <c r="N20" i="24"/>
  <c r="R39" i="24"/>
  <c r="S44" i="24"/>
  <c r="R41" i="24"/>
  <c r="R43" i="24"/>
  <c r="AE17" i="24"/>
  <c r="S41" i="24"/>
  <c r="S39" i="24"/>
  <c r="AD21" i="24"/>
  <c r="AD19" i="24"/>
  <c r="AD17" i="24"/>
  <c r="AD22" i="24"/>
  <c r="R45" i="24"/>
  <c r="AD20" i="24"/>
  <c r="S40" i="24"/>
  <c r="R44" i="24"/>
  <c r="AE23" i="24"/>
  <c r="AD23" i="24"/>
  <c r="S45" i="24"/>
  <c r="S43" i="24"/>
  <c r="AE20" i="24"/>
  <c r="AE19" i="24"/>
  <c r="AD18" i="24"/>
  <c r="AE22" i="24"/>
  <c r="AE21" i="24"/>
  <c r="S42" i="24"/>
  <c r="R40" i="24"/>
  <c r="AE18" i="24"/>
  <c r="O19" i="24"/>
  <c r="N18" i="24"/>
  <c r="N21" i="24"/>
  <c r="N22" i="24"/>
  <c r="O18" i="24"/>
  <c r="N17" i="24"/>
  <c r="N19" i="24"/>
  <c r="O20" i="24"/>
  <c r="O23" i="24"/>
  <c r="O22" i="24"/>
  <c r="O21" i="24"/>
  <c r="O17" i="24"/>
  <c r="F178" i="31"/>
  <c r="F179" i="31"/>
  <c r="F180" i="31"/>
  <c r="B178" i="31"/>
  <c r="T42" i="24" l="1"/>
  <c r="E263" i="31"/>
  <c r="T262" i="31"/>
  <c r="S18" i="15" s="1"/>
  <c r="T44" i="24"/>
  <c r="T39" i="24"/>
  <c r="T41" i="24"/>
  <c r="T43" i="24"/>
  <c r="T45" i="24"/>
  <c r="T40" i="24"/>
  <c r="G7" i="7"/>
  <c r="D10" i="27" s="1"/>
  <c r="C28" i="4"/>
  <c r="K36" i="4"/>
  <c r="K37" i="4"/>
  <c r="I28" i="4"/>
  <c r="E20" i="1"/>
  <c r="N36" i="4"/>
  <c r="O36" i="4" s="1"/>
  <c r="S36" i="4" s="1"/>
  <c r="N37" i="4"/>
  <c r="O37" i="4" s="1"/>
  <c r="S37" i="4" s="1"/>
  <c r="G28" i="4"/>
  <c r="AG14" i="4"/>
  <c r="AG16" i="4"/>
  <c r="AG17" i="4"/>
  <c r="H34" i="19"/>
  <c r="H35" i="19"/>
  <c r="H36" i="19"/>
  <c r="L51" i="19" s="1"/>
  <c r="AI34" i="19" s="1"/>
  <c r="H37" i="19"/>
  <c r="J34" i="19"/>
  <c r="J35" i="19"/>
  <c r="J36" i="19"/>
  <c r="K36" i="19" s="1"/>
  <c r="L36" i="19" s="1"/>
  <c r="AK34" i="19" s="1"/>
  <c r="J37" i="19"/>
  <c r="K37" i="19" s="1"/>
  <c r="L37" i="19" s="1"/>
  <c r="AJ35" i="19" s="1"/>
  <c r="AD16" i="19"/>
  <c r="AD17" i="19"/>
  <c r="AB16" i="19"/>
  <c r="AB17" i="19"/>
  <c r="D9" i="25"/>
  <c r="F9" i="25"/>
  <c r="F31" i="25"/>
  <c r="J84" i="5"/>
  <c r="J92" i="5"/>
  <c r="D43" i="4"/>
  <c r="AF14" i="4"/>
  <c r="AF16" i="4"/>
  <c r="AF17" i="4"/>
  <c r="AC16" i="19"/>
  <c r="AC17" i="19"/>
  <c r="AA16" i="19"/>
  <c r="W5" i="38"/>
  <c r="W4" i="38"/>
  <c r="E29" i="27"/>
  <c r="C45" i="27"/>
  <c r="E28" i="19"/>
  <c r="G28" i="19"/>
  <c r="F43" i="4"/>
  <c r="D10" i="25"/>
  <c r="F39" i="9"/>
  <c r="F40" i="9"/>
  <c r="D39" i="9"/>
  <c r="D14" i="24"/>
  <c r="C36" i="24"/>
  <c r="F37" i="24"/>
  <c r="F38" i="24"/>
  <c r="D36" i="24"/>
  <c r="D37" i="24"/>
  <c r="L12" i="15"/>
  <c r="L15" i="15"/>
  <c r="U15" i="15" s="1"/>
  <c r="C36" i="15"/>
  <c r="F36" i="15"/>
  <c r="L16" i="15"/>
  <c r="F37" i="15"/>
  <c r="L21" i="15"/>
  <c r="U21" i="15" s="1"/>
  <c r="D37" i="15"/>
  <c r="E11" i="15"/>
  <c r="E15" i="15"/>
  <c r="H15" i="15"/>
  <c r="E16" i="15"/>
  <c r="H16" i="15"/>
  <c r="O15" i="10"/>
  <c r="M15" i="10"/>
  <c r="F22" i="29"/>
  <c r="F39" i="29" s="1"/>
  <c r="F23" i="29"/>
  <c r="F40" i="29" s="1"/>
  <c r="I23" i="29"/>
  <c r="I40" i="29" s="1"/>
  <c r="F12" i="29"/>
  <c r="I12" i="29"/>
  <c r="G12" i="29"/>
  <c r="F12" i="5"/>
  <c r="F40" i="5" s="1"/>
  <c r="J12" i="5"/>
  <c r="J40" i="5" s="1"/>
  <c r="G14" i="5"/>
  <c r="B18" i="5"/>
  <c r="B46" i="5" s="1"/>
  <c r="B69" i="5" s="1"/>
  <c r="J18" i="5"/>
  <c r="J46" i="5" s="1"/>
  <c r="B19" i="5"/>
  <c r="B47" i="5" s="1"/>
  <c r="B70" i="5" s="1"/>
  <c r="F21" i="16"/>
  <c r="F28" i="16" s="1"/>
  <c r="J21" i="16"/>
  <c r="J28" i="16" s="1"/>
  <c r="G21" i="16"/>
  <c r="G28" i="16" s="1"/>
  <c r="B76" i="17"/>
  <c r="D76" i="17" s="1"/>
  <c r="I249" i="36" s="1"/>
  <c r="B74" i="17"/>
  <c r="D74" i="17" s="1"/>
  <c r="I247" i="36" s="1"/>
  <c r="D63" i="17"/>
  <c r="D66" i="17" s="1"/>
  <c r="E65" i="17"/>
  <c r="D62" i="17"/>
  <c r="C28" i="19"/>
  <c r="G43" i="19"/>
  <c r="C31" i="19"/>
  <c r="E43" i="19"/>
  <c r="F10" i="25"/>
  <c r="F32" i="25"/>
  <c r="D31" i="25"/>
  <c r="D32" i="25"/>
  <c r="I9" i="9"/>
  <c r="R9" i="9" s="1"/>
  <c r="J11" i="9"/>
  <c r="S11" i="9" s="1"/>
  <c r="H13" i="9"/>
  <c r="I14" i="9"/>
  <c r="J15" i="9"/>
  <c r="S15" i="9" s="1"/>
  <c r="A633" i="7"/>
  <c r="D12" i="10"/>
  <c r="Q12" i="10" s="1"/>
  <c r="J15" i="10"/>
  <c r="S15" i="10" s="1"/>
  <c r="D15" i="10"/>
  <c r="Q15" i="10" s="1"/>
  <c r="D33" i="10"/>
  <c r="G33" i="10" s="1"/>
  <c r="J16" i="10"/>
  <c r="S16" i="10" s="1"/>
  <c r="D16" i="10"/>
  <c r="Q16" i="10" s="1"/>
  <c r="D34" i="10"/>
  <c r="G34" i="10" s="1"/>
  <c r="G11" i="10"/>
  <c r="R11" i="10" s="1"/>
  <c r="G12" i="10"/>
  <c r="R12" i="10" s="1"/>
  <c r="G13" i="10"/>
  <c r="R13" i="10" s="1"/>
  <c r="G14" i="10"/>
  <c r="R14" i="10" s="1"/>
  <c r="G15" i="10"/>
  <c r="R15" i="10" s="1"/>
  <c r="G16" i="10"/>
  <c r="R16" i="10" s="1"/>
  <c r="G19" i="10"/>
  <c r="R19" i="10" s="1"/>
  <c r="AH49" i="4"/>
  <c r="H36" i="4"/>
  <c r="AH51" i="4" s="1"/>
  <c r="H37" i="4"/>
  <c r="AH52" i="4" s="1"/>
  <c r="P51" i="19"/>
  <c r="P52" i="19"/>
  <c r="J9" i="25"/>
  <c r="J10" i="25"/>
  <c r="Q19" i="25"/>
  <c r="R19" i="25"/>
  <c r="Q20" i="25"/>
  <c r="R20" i="25"/>
  <c r="Q21" i="25"/>
  <c r="R21" i="25"/>
  <c r="Q22" i="25"/>
  <c r="R22" i="25"/>
  <c r="Q23" i="25"/>
  <c r="R23" i="25"/>
  <c r="Q24" i="25"/>
  <c r="R24" i="25"/>
  <c r="R15" i="15"/>
  <c r="F12" i="16"/>
  <c r="F44" i="16" s="1"/>
  <c r="J12" i="16"/>
  <c r="J44" i="16" s="1"/>
  <c r="F47" i="16"/>
  <c r="O51" i="19"/>
  <c r="O52" i="19"/>
  <c r="G12" i="16"/>
  <c r="G44" i="16" s="1"/>
  <c r="B135" i="43"/>
  <c r="C7" i="3"/>
  <c r="C8" i="3"/>
  <c r="C9" i="3"/>
  <c r="H17" i="15"/>
  <c r="I118" i="26"/>
  <c r="U118" i="26" s="1"/>
  <c r="I98" i="26"/>
  <c r="U98" i="26" s="1"/>
  <c r="I119" i="26"/>
  <c r="U119" i="26" s="1"/>
  <c r="I99" i="26"/>
  <c r="U99" i="26" s="1"/>
  <c r="D38" i="24"/>
  <c r="C37" i="24"/>
  <c r="C38" i="24"/>
  <c r="Q121" i="26"/>
  <c r="R121" i="26"/>
  <c r="U76" i="26"/>
  <c r="U77" i="26"/>
  <c r="X79" i="26"/>
  <c r="Y79" i="26"/>
  <c r="I116" i="26"/>
  <c r="U116" i="26" s="1"/>
  <c r="I96" i="26"/>
  <c r="U96" i="26" s="1"/>
  <c r="I10" i="3"/>
  <c r="C12" i="3"/>
  <c r="I12" i="3" s="1"/>
  <c r="I11" i="3"/>
  <c r="C10" i="3"/>
  <c r="AQ18" i="22"/>
  <c r="AQ19" i="22"/>
  <c r="AQ20" i="22"/>
  <c r="AQ21" i="22"/>
  <c r="AR18" i="22"/>
  <c r="AR19" i="22"/>
  <c r="AR20" i="22"/>
  <c r="AR21" i="22"/>
  <c r="AS18" i="22"/>
  <c r="AS19" i="22"/>
  <c r="AS20" i="22"/>
  <c r="AS21" i="22"/>
  <c r="AT18" i="22"/>
  <c r="AT19" i="22"/>
  <c r="AT20" i="22"/>
  <c r="AT21" i="22"/>
  <c r="AU18" i="22"/>
  <c r="AU19" i="22"/>
  <c r="AU20" i="22"/>
  <c r="AU21" i="22"/>
  <c r="AV18" i="22"/>
  <c r="AV19" i="22"/>
  <c r="AV20" i="22"/>
  <c r="AV21" i="22"/>
  <c r="AQ35" i="22"/>
  <c r="AQ36" i="22"/>
  <c r="AQ37" i="22"/>
  <c r="AR35" i="22"/>
  <c r="AR36" i="22"/>
  <c r="AR37" i="22"/>
  <c r="AS35" i="22"/>
  <c r="AS36" i="22"/>
  <c r="AS37" i="22"/>
  <c r="AT35" i="22"/>
  <c r="AT36" i="22"/>
  <c r="AT37" i="22"/>
  <c r="AU35" i="22"/>
  <c r="AU36" i="22"/>
  <c r="AU37" i="22"/>
  <c r="AV35" i="22"/>
  <c r="AV36" i="22"/>
  <c r="AV37" i="22"/>
  <c r="R13" i="20"/>
  <c r="B14" i="43"/>
  <c r="H14" i="41" s="1"/>
  <c r="A245" i="43"/>
  <c r="A246" i="43"/>
  <c r="A247" i="43"/>
  <c r="A248" i="43"/>
  <c r="A249" i="43"/>
  <c r="A250" i="43"/>
  <c r="A251" i="43"/>
  <c r="A252" i="43"/>
  <c r="A253" i="43"/>
  <c r="A254" i="43"/>
  <c r="A255" i="43"/>
  <c r="A256" i="43"/>
  <c r="A257" i="43"/>
  <c r="A258" i="43"/>
  <c r="A259" i="43"/>
  <c r="A260" i="43"/>
  <c r="A261" i="43"/>
  <c r="A262" i="43"/>
  <c r="A263" i="43"/>
  <c r="A264" i="43"/>
  <c r="A265" i="43"/>
  <c r="A266" i="43"/>
  <c r="A267" i="43"/>
  <c r="A268" i="43"/>
  <c r="A269" i="43"/>
  <c r="A270" i="43"/>
  <c r="A271" i="43"/>
  <c r="A272" i="43"/>
  <c r="A273" i="43"/>
  <c r="A274" i="43"/>
  <c r="A275" i="43"/>
  <c r="A276" i="43"/>
  <c r="A277" i="43"/>
  <c r="A278" i="43"/>
  <c r="A279" i="43"/>
  <c r="A280" i="43"/>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2"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2" i="34"/>
  <c r="A178" i="43"/>
  <c r="A179" i="43"/>
  <c r="A180" i="43"/>
  <c r="A181" i="43"/>
  <c r="A182" i="43"/>
  <c r="A183" i="43"/>
  <c r="A184" i="43"/>
  <c r="A185" i="43"/>
  <c r="A186" i="43"/>
  <c r="A187" i="43"/>
  <c r="A188" i="43"/>
  <c r="A189" i="43"/>
  <c r="A190" i="43"/>
  <c r="A191" i="43"/>
  <c r="A192" i="43"/>
  <c r="A193" i="43"/>
  <c r="A194"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166" i="43"/>
  <c r="A167" i="43"/>
  <c r="A168" i="43"/>
  <c r="A169" i="43"/>
  <c r="A170" i="43"/>
  <c r="A171" i="43"/>
  <c r="A172" i="43"/>
  <c r="A173" i="43"/>
  <c r="A174" i="43"/>
  <c r="A175" i="43"/>
  <c r="A176" i="43"/>
  <c r="A177" i="43"/>
  <c r="C20" i="3"/>
  <c r="A3" i="43"/>
  <c r="A4" i="43"/>
  <c r="A5" i="43"/>
  <c r="A6" i="43"/>
  <c r="A7" i="43"/>
  <c r="A8" i="43"/>
  <c r="A9" i="43"/>
  <c r="A10" i="43"/>
  <c r="A11" i="43"/>
  <c r="A12" i="43"/>
  <c r="A13" i="43"/>
  <c r="A15" i="43"/>
  <c r="A16" i="43"/>
  <c r="A17" i="43"/>
  <c r="A18" i="43"/>
  <c r="A19" i="43"/>
  <c r="A20" i="43"/>
  <c r="A21" i="43"/>
  <c r="A22" i="43"/>
  <c r="A23" i="43"/>
  <c r="A24" i="43"/>
  <c r="A25" i="43"/>
  <c r="A26" i="43"/>
  <c r="A27" i="43"/>
  <c r="A28" i="43"/>
  <c r="A29" i="43"/>
  <c r="A31" i="43"/>
  <c r="A32" i="43"/>
  <c r="A33" i="43"/>
  <c r="A34" i="43"/>
  <c r="A35" i="43"/>
  <c r="A36" i="43"/>
  <c r="A37" i="43"/>
  <c r="A38" i="43"/>
  <c r="A39" i="43"/>
  <c r="A40" i="43"/>
  <c r="A41" i="43"/>
  <c r="A42" i="43"/>
  <c r="A43" i="43"/>
  <c r="A44" i="43"/>
  <c r="A45" i="43"/>
  <c r="A46" i="43"/>
  <c r="A47" i="43"/>
  <c r="A48" i="43"/>
  <c r="A49" i="43"/>
  <c r="A50" i="43"/>
  <c r="A51" i="43"/>
  <c r="A52" i="43"/>
  <c r="A53"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144" i="43"/>
  <c r="A145" i="43"/>
  <c r="A146" i="43"/>
  <c r="A147" i="43"/>
  <c r="A148" i="43"/>
  <c r="A149" i="43"/>
  <c r="A150" i="43"/>
  <c r="A151" i="43"/>
  <c r="A152" i="43"/>
  <c r="A153" i="43"/>
  <c r="A154" i="43"/>
  <c r="A155" i="43"/>
  <c r="A156" i="43"/>
  <c r="A157" i="43"/>
  <c r="A158" i="43"/>
  <c r="A159" i="43"/>
  <c r="A160" i="43"/>
  <c r="A161" i="43"/>
  <c r="A162" i="43"/>
  <c r="A163" i="43"/>
  <c r="A164" i="43"/>
  <c r="A165" i="43"/>
  <c r="A2" i="43"/>
  <c r="D7" i="38"/>
  <c r="D152" i="38" s="1"/>
  <c r="E10" i="37"/>
  <c r="A30" i="43"/>
  <c r="A14" i="43"/>
  <c r="B848" i="7"/>
  <c r="B847" i="7"/>
  <c r="B846" i="7"/>
  <c r="B845" i="7"/>
  <c r="B844" i="7"/>
  <c r="B843" i="7"/>
  <c r="B842" i="7"/>
  <c r="B841" i="7"/>
  <c r="B840" i="7"/>
  <c r="B839" i="7"/>
  <c r="B838" i="7"/>
  <c r="B834" i="7"/>
  <c r="B833" i="7"/>
  <c r="B832" i="7"/>
  <c r="B831" i="7"/>
  <c r="B830" i="7"/>
  <c r="B829" i="7"/>
  <c r="B828" i="7"/>
  <c r="B827" i="7"/>
  <c r="B826" i="7"/>
  <c r="B825" i="7"/>
  <c r="B824" i="7"/>
  <c r="A736" i="7"/>
  <c r="A750" i="7" s="1"/>
  <c r="A764" i="7" s="1"/>
  <c r="A778" i="7" s="1"/>
  <c r="A792" i="7" s="1"/>
  <c r="A806" i="7" s="1"/>
  <c r="A820" i="7" s="1"/>
  <c r="A834" i="7" s="1"/>
  <c r="A848" i="7" s="1"/>
  <c r="A862" i="7" s="1"/>
  <c r="A890" i="7" s="1"/>
  <c r="A905" i="7" s="1"/>
  <c r="A920" i="7" s="1"/>
  <c r="A935" i="7" s="1"/>
  <c r="A950" i="7" s="1"/>
  <c r="A965" i="7" s="1"/>
  <c r="A980" i="7" s="1"/>
  <c r="A995" i="7" s="1"/>
  <c r="A1010" i="7" s="1"/>
  <c r="A1025" i="7" s="1"/>
  <c r="A1040" i="7" s="1"/>
  <c r="A1055" i="7" s="1"/>
  <c r="A735" i="7"/>
  <c r="A749" i="7" s="1"/>
  <c r="A763" i="7" s="1"/>
  <c r="A777" i="7" s="1"/>
  <c r="A791" i="7" s="1"/>
  <c r="A805" i="7" s="1"/>
  <c r="A819" i="7" s="1"/>
  <c r="A833" i="7" s="1"/>
  <c r="A847" i="7" s="1"/>
  <c r="A861" i="7" s="1"/>
  <c r="A889" i="7" s="1"/>
  <c r="A904" i="7" s="1"/>
  <c r="A919" i="7" s="1"/>
  <c r="A934" i="7" s="1"/>
  <c r="A949" i="7" s="1"/>
  <c r="A964" i="7" s="1"/>
  <c r="A979" i="7" s="1"/>
  <c r="A994" i="7" s="1"/>
  <c r="A1009" i="7" s="1"/>
  <c r="A1024" i="7" s="1"/>
  <c r="A1039" i="7" s="1"/>
  <c r="A1054" i="7" s="1"/>
  <c r="A734" i="7"/>
  <c r="A748" i="7" s="1"/>
  <c r="A762" i="7" s="1"/>
  <c r="A776" i="7" s="1"/>
  <c r="A790" i="7" s="1"/>
  <c r="A804" i="7" s="1"/>
  <c r="A818" i="7" s="1"/>
  <c r="A832" i="7" s="1"/>
  <c r="A846" i="7" s="1"/>
  <c r="A860" i="7" s="1"/>
  <c r="A888" i="7" s="1"/>
  <c r="A903" i="7" s="1"/>
  <c r="A918" i="7" s="1"/>
  <c r="A933" i="7" s="1"/>
  <c r="A948" i="7" s="1"/>
  <c r="A963" i="7" s="1"/>
  <c r="A978" i="7" s="1"/>
  <c r="A993" i="7" s="1"/>
  <c r="A1008" i="7" s="1"/>
  <c r="A1023" i="7" s="1"/>
  <c r="A1038" i="7" s="1"/>
  <c r="A1053" i="7" s="1"/>
  <c r="A733" i="7"/>
  <c r="A747" i="7" s="1"/>
  <c r="A761" i="7" s="1"/>
  <c r="A775" i="7" s="1"/>
  <c r="A789" i="7" s="1"/>
  <c r="A803" i="7" s="1"/>
  <c r="A817" i="7" s="1"/>
  <c r="A831" i="7" s="1"/>
  <c r="A845" i="7" s="1"/>
  <c r="A859" i="7" s="1"/>
  <c r="A887" i="7" s="1"/>
  <c r="A902" i="7" s="1"/>
  <c r="A917" i="7" s="1"/>
  <c r="A932" i="7" s="1"/>
  <c r="A947" i="7" s="1"/>
  <c r="A962" i="7" s="1"/>
  <c r="A977" i="7" s="1"/>
  <c r="A992" i="7" s="1"/>
  <c r="A1007" i="7" s="1"/>
  <c r="A1022" i="7" s="1"/>
  <c r="A1037" i="7" s="1"/>
  <c r="A1052" i="7" s="1"/>
  <c r="A732" i="7"/>
  <c r="A746" i="7" s="1"/>
  <c r="A760" i="7" s="1"/>
  <c r="A774" i="7" s="1"/>
  <c r="A788" i="7" s="1"/>
  <c r="A802" i="7" s="1"/>
  <c r="A816" i="7" s="1"/>
  <c r="A830" i="7" s="1"/>
  <c r="A844" i="7" s="1"/>
  <c r="A858" i="7" s="1"/>
  <c r="A886" i="7" s="1"/>
  <c r="A901" i="7" s="1"/>
  <c r="A916" i="7" s="1"/>
  <c r="A931" i="7" s="1"/>
  <c r="A946" i="7" s="1"/>
  <c r="A961" i="7" s="1"/>
  <c r="A976" i="7" s="1"/>
  <c r="A991" i="7" s="1"/>
  <c r="A1006" i="7" s="1"/>
  <c r="A1021" i="7" s="1"/>
  <c r="A1036" i="7" s="1"/>
  <c r="A1051" i="7" s="1"/>
  <c r="A731" i="7"/>
  <c r="A745" i="7" s="1"/>
  <c r="A759" i="7" s="1"/>
  <c r="A773" i="7" s="1"/>
  <c r="A787" i="7" s="1"/>
  <c r="A801" i="7" s="1"/>
  <c r="A815" i="7" s="1"/>
  <c r="A829" i="7" s="1"/>
  <c r="A843" i="7" s="1"/>
  <c r="A857" i="7" s="1"/>
  <c r="A885" i="7" s="1"/>
  <c r="A900" i="7" s="1"/>
  <c r="A915" i="7" s="1"/>
  <c r="A930" i="7" s="1"/>
  <c r="A945" i="7" s="1"/>
  <c r="A960" i="7" s="1"/>
  <c r="A975" i="7" s="1"/>
  <c r="A990" i="7" s="1"/>
  <c r="A1005" i="7" s="1"/>
  <c r="A1020" i="7" s="1"/>
  <c r="A1035" i="7" s="1"/>
  <c r="A1050" i="7" s="1"/>
  <c r="A730" i="7"/>
  <c r="A744" i="7" s="1"/>
  <c r="A758" i="7" s="1"/>
  <c r="A772" i="7" s="1"/>
  <c r="A786" i="7" s="1"/>
  <c r="A800" i="7" s="1"/>
  <c r="A814" i="7" s="1"/>
  <c r="A828" i="7" s="1"/>
  <c r="A842" i="7" s="1"/>
  <c r="A856" i="7" s="1"/>
  <c r="A884" i="7" s="1"/>
  <c r="A899" i="7" s="1"/>
  <c r="A914" i="7" s="1"/>
  <c r="A929" i="7" s="1"/>
  <c r="A944" i="7" s="1"/>
  <c r="A959" i="7" s="1"/>
  <c r="A974" i="7" s="1"/>
  <c r="A989" i="7" s="1"/>
  <c r="A1004" i="7" s="1"/>
  <c r="A1019" i="7" s="1"/>
  <c r="A1034" i="7" s="1"/>
  <c r="A1049" i="7" s="1"/>
  <c r="A729" i="7"/>
  <c r="A743" i="7" s="1"/>
  <c r="A757" i="7" s="1"/>
  <c r="A771" i="7" s="1"/>
  <c r="A785" i="7" s="1"/>
  <c r="A799" i="7" s="1"/>
  <c r="A813" i="7" s="1"/>
  <c r="A827" i="7" s="1"/>
  <c r="A841" i="7" s="1"/>
  <c r="A855" i="7" s="1"/>
  <c r="A883" i="7" s="1"/>
  <c r="A898" i="7" s="1"/>
  <c r="A913" i="7" s="1"/>
  <c r="A928" i="7" s="1"/>
  <c r="A943" i="7" s="1"/>
  <c r="A958" i="7" s="1"/>
  <c r="A973" i="7" s="1"/>
  <c r="A988" i="7" s="1"/>
  <c r="A1003" i="7" s="1"/>
  <c r="A1018" i="7" s="1"/>
  <c r="A1033" i="7" s="1"/>
  <c r="A1048" i="7" s="1"/>
  <c r="A728" i="7"/>
  <c r="A742" i="7" s="1"/>
  <c r="A756" i="7" s="1"/>
  <c r="A770" i="7" s="1"/>
  <c r="A784" i="7" s="1"/>
  <c r="A798" i="7" s="1"/>
  <c r="A812" i="7" s="1"/>
  <c r="A826" i="7" s="1"/>
  <c r="A840" i="7" s="1"/>
  <c r="A854" i="7" s="1"/>
  <c r="A882" i="7" s="1"/>
  <c r="A897" i="7" s="1"/>
  <c r="A912" i="7" s="1"/>
  <c r="A927" i="7" s="1"/>
  <c r="A942" i="7" s="1"/>
  <c r="A957" i="7" s="1"/>
  <c r="A972" i="7" s="1"/>
  <c r="A987" i="7" s="1"/>
  <c r="A1002" i="7" s="1"/>
  <c r="A1017" i="7" s="1"/>
  <c r="A1032" i="7" s="1"/>
  <c r="A1047" i="7" s="1"/>
  <c r="A727" i="7"/>
  <c r="A741" i="7" s="1"/>
  <c r="A755" i="7" s="1"/>
  <c r="A769" i="7" s="1"/>
  <c r="A783" i="7" s="1"/>
  <c r="A797" i="7" s="1"/>
  <c r="A811" i="7" s="1"/>
  <c r="A825" i="7" s="1"/>
  <c r="A839" i="7" s="1"/>
  <c r="A853" i="7" s="1"/>
  <c r="A881" i="7" s="1"/>
  <c r="A896" i="7" s="1"/>
  <c r="A911" i="7" s="1"/>
  <c r="A926" i="7" s="1"/>
  <c r="A941" i="7" s="1"/>
  <c r="A956" i="7" s="1"/>
  <c r="A971" i="7" s="1"/>
  <c r="A986" i="7" s="1"/>
  <c r="A1001" i="7" s="1"/>
  <c r="A1016" i="7" s="1"/>
  <c r="A1031" i="7" s="1"/>
  <c r="A1046" i="7" s="1"/>
  <c r="A726" i="7"/>
  <c r="A725" i="7"/>
  <c r="B722" i="7"/>
  <c r="B721" i="7"/>
  <c r="B720" i="7"/>
  <c r="B719" i="7"/>
  <c r="D690" i="7"/>
  <c r="C690" i="7"/>
  <c r="I679" i="7"/>
  <c r="H679" i="7"/>
  <c r="B610" i="7"/>
  <c r="G578" i="7"/>
  <c r="E578" i="7"/>
  <c r="D578" i="7"/>
  <c r="C578" i="7"/>
  <c r="G577" i="7"/>
  <c r="E577" i="7"/>
  <c r="D577" i="7"/>
  <c r="C577" i="7"/>
  <c r="G572" i="7"/>
  <c r="F572" i="7"/>
  <c r="E572" i="7"/>
  <c r="C572" i="7"/>
  <c r="B569" i="7"/>
  <c r="Q563" i="7"/>
  <c r="P563" i="7"/>
  <c r="O563" i="7"/>
  <c r="M563" i="7"/>
  <c r="L563" i="7"/>
  <c r="I563" i="7"/>
  <c r="G563" i="7"/>
  <c r="E563" i="7"/>
  <c r="D563" i="7"/>
  <c r="C563" i="7"/>
  <c r="A554" i="7"/>
  <c r="I528" i="7"/>
  <c r="H528" i="7"/>
  <c r="A528" i="7"/>
  <c r="A512" i="7"/>
  <c r="A496" i="7"/>
  <c r="A480" i="7"/>
  <c r="A440" i="7"/>
  <c r="A424" i="7"/>
  <c r="T415" i="7"/>
  <c r="S415" i="7"/>
  <c r="R415" i="7"/>
  <c r="Q415" i="7"/>
  <c r="P415" i="7"/>
  <c r="O415" i="7"/>
  <c r="N415" i="7"/>
  <c r="M415" i="7"/>
  <c r="L415" i="7"/>
  <c r="K415" i="7"/>
  <c r="J415" i="7"/>
  <c r="I415" i="7"/>
  <c r="H415" i="7"/>
  <c r="G415" i="7"/>
  <c r="F415" i="7"/>
  <c r="E415" i="7"/>
  <c r="D415" i="7"/>
  <c r="C415" i="7"/>
  <c r="B415" i="7"/>
  <c r="T412" i="7"/>
  <c r="S412" i="7"/>
  <c r="R412" i="7"/>
  <c r="Q412" i="7"/>
  <c r="P412" i="7"/>
  <c r="O412" i="7"/>
  <c r="N412" i="7"/>
  <c r="M412" i="7"/>
  <c r="L412" i="7"/>
  <c r="K412" i="7"/>
  <c r="J412" i="7"/>
  <c r="I412" i="7"/>
  <c r="H412" i="7"/>
  <c r="G412" i="7"/>
  <c r="F412" i="7"/>
  <c r="E412" i="7"/>
  <c r="D412" i="7"/>
  <c r="C412" i="7"/>
  <c r="B412" i="7"/>
  <c r="T409" i="7"/>
  <c r="S409" i="7"/>
  <c r="R409" i="7"/>
  <c r="Q409" i="7"/>
  <c r="P409" i="7"/>
  <c r="O409" i="7"/>
  <c r="N409" i="7"/>
  <c r="M409" i="7"/>
  <c r="L409" i="7"/>
  <c r="K409" i="7"/>
  <c r="J409" i="7"/>
  <c r="I409" i="7"/>
  <c r="H409" i="7"/>
  <c r="G409" i="7"/>
  <c r="F409" i="7"/>
  <c r="E409" i="7"/>
  <c r="D409" i="7"/>
  <c r="C409" i="7"/>
  <c r="B409" i="7"/>
  <c r="A408" i="7"/>
  <c r="A392" i="7"/>
  <c r="A376" i="7"/>
  <c r="A360" i="7"/>
  <c r="C12" i="5" s="1"/>
  <c r="D130" i="35" s="1"/>
  <c r="B348" i="7"/>
  <c r="A348" i="7"/>
  <c r="A331" i="7"/>
  <c r="B308" i="7"/>
  <c r="E302" i="7"/>
  <c r="D301" i="7"/>
  <c r="C298" i="7"/>
  <c r="C297" i="7"/>
  <c r="D297" i="7" s="1"/>
  <c r="C296" i="7"/>
  <c r="D296" i="7" s="1"/>
  <c r="C295" i="7"/>
  <c r="E295" i="7" s="1"/>
  <c r="C294" i="7"/>
  <c r="H293" i="7"/>
  <c r="C293" i="7"/>
  <c r="D293" i="7" s="1"/>
  <c r="E293" i="7" s="1"/>
  <c r="C292" i="7"/>
  <c r="D292" i="7" s="1"/>
  <c r="E292" i="7" s="1"/>
  <c r="F290" i="7"/>
  <c r="F306" i="7" s="1"/>
  <c r="A276" i="7"/>
  <c r="A291" i="7" s="1"/>
  <c r="M275" i="7"/>
  <c r="L275" i="7"/>
  <c r="F275" i="7"/>
  <c r="E275" i="7"/>
  <c r="A261" i="7"/>
  <c r="H261" i="7" s="1"/>
  <c r="M260" i="7"/>
  <c r="F260" i="7"/>
  <c r="A246" i="7"/>
  <c r="H246" i="7" s="1"/>
  <c r="M245" i="7"/>
  <c r="F245" i="7"/>
  <c r="D241" i="7"/>
  <c r="B240" i="7"/>
  <c r="A231" i="7"/>
  <c r="H231" i="7" s="1"/>
  <c r="A216" i="7"/>
  <c r="H216" i="7" s="1"/>
  <c r="M215" i="7"/>
  <c r="L215" i="7"/>
  <c r="F215" i="7"/>
  <c r="E215" i="7"/>
  <c r="A201" i="7"/>
  <c r="H201" i="7" s="1"/>
  <c r="M200" i="7"/>
  <c r="F200" i="7"/>
  <c r="A186" i="7"/>
  <c r="H186" i="7" s="1"/>
  <c r="M185" i="7"/>
  <c r="F185" i="7"/>
  <c r="D181" i="7"/>
  <c r="B180" i="7"/>
  <c r="A171" i="7"/>
  <c r="H171" i="7" s="1"/>
  <c r="G170" i="7"/>
  <c r="G185" i="7" s="1"/>
  <c r="G200" i="7" s="1"/>
  <c r="G215" i="7" s="1"/>
  <c r="G230" i="7" s="1"/>
  <c r="G245" i="7" s="1"/>
  <c r="G260" i="7" s="1"/>
  <c r="G275" i="7" s="1"/>
  <c r="G167" i="7"/>
  <c r="I167" i="7" s="1"/>
  <c r="G166" i="7"/>
  <c r="I166" i="7" s="1"/>
  <c r="G165" i="7"/>
  <c r="I165" i="7" s="1"/>
  <c r="G164" i="7"/>
  <c r="I164" i="7" s="1"/>
  <c r="G163" i="7"/>
  <c r="I163" i="7" s="1"/>
  <c r="G162" i="7"/>
  <c r="I162" i="7" s="1"/>
  <c r="G161" i="7"/>
  <c r="I161" i="7" s="1"/>
  <c r="G160" i="7"/>
  <c r="I160" i="7" s="1"/>
  <c r="G159" i="7"/>
  <c r="I159" i="7" s="1"/>
  <c r="G158" i="7"/>
  <c r="I158" i="7" s="1"/>
  <c r="B157" i="7"/>
  <c r="G157" i="7" s="1"/>
  <c r="I157" i="7" s="1"/>
  <c r="F136" i="7"/>
  <c r="F137" i="7" s="1"/>
  <c r="F135" i="7"/>
  <c r="F134" i="7"/>
  <c r="F133" i="7"/>
  <c r="F132" i="7"/>
  <c r="F131" i="7"/>
  <c r="F130" i="7"/>
  <c r="F129" i="7"/>
  <c r="F127" i="7"/>
  <c r="F128" i="7" s="1"/>
  <c r="D125" i="7"/>
  <c r="A107" i="7"/>
  <c r="F103" i="7"/>
  <c r="E103" i="7"/>
  <c r="D103" i="7"/>
  <c r="C103" i="7"/>
  <c r="B103" i="7"/>
  <c r="F102" i="7"/>
  <c r="E102" i="7"/>
  <c r="D102" i="7"/>
  <c r="C102" i="7"/>
  <c r="B102" i="7"/>
  <c r="F99" i="7"/>
  <c r="F100" i="7" s="1"/>
  <c r="E99" i="7"/>
  <c r="E100" i="7" s="1"/>
  <c r="D99" i="7"/>
  <c r="D100" i="7" s="1"/>
  <c r="C99" i="7"/>
  <c r="C100" i="7" s="1"/>
  <c r="B99" i="7"/>
  <c r="B100" i="7" s="1"/>
  <c r="B97" i="7"/>
  <c r="C97" i="7" s="1"/>
  <c r="D97" i="7" s="1"/>
  <c r="E97" i="7" s="1"/>
  <c r="F97" i="7" s="1"/>
  <c r="C96" i="7"/>
  <c r="D96" i="7" s="1"/>
  <c r="E96" i="7" s="1"/>
  <c r="F96" i="7" s="1"/>
  <c r="D95" i="7"/>
  <c r="E95" i="7" s="1"/>
  <c r="F95" i="7" s="1"/>
  <c r="C94" i="7"/>
  <c r="D94" i="7" s="1"/>
  <c r="E94" i="7" s="1"/>
  <c r="C93" i="7"/>
  <c r="D93" i="7" s="1"/>
  <c r="E93" i="7" s="1"/>
  <c r="F93" i="7" s="1"/>
  <c r="C92" i="7"/>
  <c r="D92" i="7" s="1"/>
  <c r="E92" i="7" s="1"/>
  <c r="F92" i="7" s="1"/>
  <c r="D91" i="7"/>
  <c r="E91" i="7" s="1"/>
  <c r="F91" i="7" s="1"/>
  <c r="C90" i="7"/>
  <c r="D90" i="7" s="1"/>
  <c r="E90" i="7" s="1"/>
  <c r="C89" i="7"/>
  <c r="D89" i="7" s="1"/>
  <c r="E89" i="7" s="1"/>
  <c r="F89" i="7" s="1"/>
  <c r="B83" i="7"/>
  <c r="A60" i="7"/>
  <c r="H60" i="7" s="1"/>
  <c r="M59" i="7"/>
  <c r="L59" i="7"/>
  <c r="F59" i="7"/>
  <c r="E59" i="7"/>
  <c r="A45" i="7"/>
  <c r="M44" i="7"/>
  <c r="F44" i="7"/>
  <c r="A30" i="7"/>
  <c r="H30" i="7" s="1"/>
  <c r="N29" i="7"/>
  <c r="N44" i="7" s="1"/>
  <c r="N59" i="7" s="1"/>
  <c r="M29" i="7"/>
  <c r="G29" i="7"/>
  <c r="G44" i="7" s="1"/>
  <c r="G59" i="7" s="1"/>
  <c r="F29" i="7"/>
  <c r="A15" i="7"/>
  <c r="G14" i="7"/>
  <c r="N14" i="7" s="1"/>
  <c r="F11" i="7"/>
  <c r="E11" i="7"/>
  <c r="D11" i="7"/>
  <c r="F10" i="7"/>
  <c r="G9" i="7"/>
  <c r="G10" i="7" s="1"/>
  <c r="G11" i="7" s="1"/>
  <c r="D17" i="27" s="1"/>
  <c r="F9" i="7"/>
  <c r="A70" i="3"/>
  <c r="AE8" i="22" s="1"/>
  <c r="AE24" i="22" s="1"/>
  <c r="A69" i="3"/>
  <c r="AD8" i="22" s="1"/>
  <c r="D57" i="3"/>
  <c r="D56" i="3"/>
  <c r="D55" i="3"/>
  <c r="H28" i="27" s="1"/>
  <c r="D54" i="3"/>
  <c r="D53" i="3"/>
  <c r="D52" i="3"/>
  <c r="C11" i="3"/>
  <c r="A1292" i="33"/>
  <c r="A1291" i="33"/>
  <c r="A1290" i="33"/>
  <c r="A1289" i="33"/>
  <c r="A1288" i="33"/>
  <c r="A1287" i="33"/>
  <c r="A1286" i="33"/>
  <c r="A1285" i="33"/>
  <c r="A1284" i="33"/>
  <c r="A1283" i="33"/>
  <c r="A1282" i="33"/>
  <c r="A1281" i="33"/>
  <c r="A1280" i="33"/>
  <c r="A1279" i="33"/>
  <c r="A1278" i="33"/>
  <c r="A1277" i="33"/>
  <c r="A1276" i="33"/>
  <c r="A1275" i="33"/>
  <c r="A1274" i="33"/>
  <c r="A1273" i="33"/>
  <c r="A1272" i="33"/>
  <c r="A1271" i="33"/>
  <c r="A1270" i="33"/>
  <c r="A1269" i="33"/>
  <c r="A1268" i="33"/>
  <c r="A1267" i="33"/>
  <c r="A1266" i="33"/>
  <c r="A1265" i="33"/>
  <c r="A1264" i="33"/>
  <c r="A1263" i="33"/>
  <c r="A1262" i="33"/>
  <c r="A1261" i="33"/>
  <c r="A1260" i="33"/>
  <c r="A1259" i="33"/>
  <c r="A1258" i="33"/>
  <c r="A1257" i="33"/>
  <c r="A1256" i="33"/>
  <c r="A1255" i="33"/>
  <c r="A1254" i="33"/>
  <c r="A1253" i="33"/>
  <c r="A1252" i="33"/>
  <c r="A1251" i="33"/>
  <c r="A1250" i="33"/>
  <c r="A1249" i="33"/>
  <c r="A1248" i="33"/>
  <c r="A1247" i="33"/>
  <c r="A1246" i="33"/>
  <c r="A1245" i="33"/>
  <c r="A1244" i="33"/>
  <c r="A1243" i="33"/>
  <c r="A1242" i="33"/>
  <c r="A1241" i="33"/>
  <c r="A1240" i="33"/>
  <c r="A1239" i="33"/>
  <c r="A1238" i="33"/>
  <c r="A1237" i="33"/>
  <c r="A1236" i="33"/>
  <c r="A1235" i="33"/>
  <c r="A1234" i="33"/>
  <c r="A1233" i="33"/>
  <c r="A1232" i="33"/>
  <c r="A1231" i="33"/>
  <c r="A1230" i="33"/>
  <c r="A1229" i="33"/>
  <c r="A1228" i="33"/>
  <c r="A1227" i="33"/>
  <c r="A1226" i="33"/>
  <c r="A1225" i="33"/>
  <c r="A1224" i="33"/>
  <c r="A1223" i="33"/>
  <c r="A1222" i="33"/>
  <c r="A1221" i="33"/>
  <c r="A1220" i="33"/>
  <c r="A1219" i="33"/>
  <c r="A1218" i="33"/>
  <c r="A1217" i="33"/>
  <c r="A1216" i="33"/>
  <c r="A1215" i="33"/>
  <c r="A1214" i="33"/>
  <c r="A1213" i="33"/>
  <c r="A1212" i="33"/>
  <c r="A1211" i="33"/>
  <c r="A1210" i="33"/>
  <c r="A1209" i="33"/>
  <c r="A1208" i="33"/>
  <c r="A1207" i="33"/>
  <c r="A1206" i="33"/>
  <c r="A1205" i="33"/>
  <c r="A1204" i="33"/>
  <c r="A1203" i="33"/>
  <c r="A1202" i="33"/>
  <c r="A1201" i="33"/>
  <c r="A1200" i="33"/>
  <c r="A1199" i="33"/>
  <c r="A1198" i="33"/>
  <c r="A1197" i="33"/>
  <c r="A1196" i="33"/>
  <c r="A1195" i="33"/>
  <c r="A1194" i="33"/>
  <c r="A1193" i="33"/>
  <c r="A1192" i="33"/>
  <c r="A1191" i="33"/>
  <c r="A1190" i="33"/>
  <c r="A1189" i="33"/>
  <c r="A1188" i="33"/>
  <c r="A1187" i="33"/>
  <c r="A1186" i="33"/>
  <c r="A1185" i="33"/>
  <c r="A1184" i="33"/>
  <c r="A1183" i="33"/>
  <c r="A1182" i="33"/>
  <c r="A1181" i="33"/>
  <c r="A1180" i="33"/>
  <c r="A1179" i="33"/>
  <c r="A1178" i="33"/>
  <c r="A1177" i="33"/>
  <c r="A1176" i="33"/>
  <c r="A1175" i="33"/>
  <c r="A1174" i="33"/>
  <c r="A1173" i="33"/>
  <c r="A1172" i="33"/>
  <c r="A1171" i="33"/>
  <c r="A1170" i="33"/>
  <c r="A1169" i="33"/>
  <c r="A1168" i="33"/>
  <c r="A1167" i="33"/>
  <c r="A1166" i="33"/>
  <c r="A1165" i="33"/>
  <c r="A1164" i="33"/>
  <c r="A1163" i="33"/>
  <c r="A1162" i="33"/>
  <c r="A1161" i="33"/>
  <c r="A1160" i="33"/>
  <c r="A1159" i="33"/>
  <c r="A1158" i="33"/>
  <c r="A1157" i="33"/>
  <c r="A1156" i="33"/>
  <c r="A1155" i="33"/>
  <c r="A1154" i="33"/>
  <c r="A1153"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1"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7"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2" i="33"/>
  <c r="O61" i="2"/>
  <c r="O60" i="2"/>
  <c r="O58" i="2"/>
  <c r="O57" i="2"/>
  <c r="N51" i="2"/>
  <c r="L77" i="26"/>
  <c r="K77" i="26"/>
  <c r="J77" i="26"/>
  <c r="I77" i="26"/>
  <c r="L76" i="26"/>
  <c r="K76" i="26"/>
  <c r="I76" i="26"/>
  <c r="L74" i="26"/>
  <c r="L72" i="26"/>
  <c r="K72" i="26"/>
  <c r="J72" i="26"/>
  <c r="I72" i="26"/>
  <c r="K71" i="26"/>
  <c r="L69" i="26"/>
  <c r="F28" i="26"/>
  <c r="I23" i="26"/>
  <c r="F22" i="26"/>
  <c r="C13" i="26"/>
  <c r="O9" i="26"/>
  <c r="C9" i="26"/>
  <c r="O8" i="26"/>
  <c r="C7" i="26"/>
  <c r="J28" i="28"/>
  <c r="F28" i="28"/>
  <c r="J22" i="28"/>
  <c r="F22" i="28"/>
  <c r="C13" i="28"/>
  <c r="O9" i="28"/>
  <c r="C9" i="28"/>
  <c r="O8" i="28"/>
  <c r="C7" i="28"/>
  <c r="L203" i="38"/>
  <c r="K203" i="38"/>
  <c r="L202" i="38"/>
  <c r="K202" i="38"/>
  <c r="L201" i="38"/>
  <c r="K201" i="38"/>
  <c r="L196" i="38"/>
  <c r="K196" i="38"/>
  <c r="L195" i="38"/>
  <c r="K195" i="38"/>
  <c r="L194" i="38"/>
  <c r="K194" i="38"/>
  <c r="L189" i="38"/>
  <c r="K189" i="38"/>
  <c r="L188" i="38"/>
  <c r="K188" i="38"/>
  <c r="L187" i="38"/>
  <c r="K187" i="38"/>
  <c r="L182" i="38"/>
  <c r="K182" i="38"/>
  <c r="L181" i="38"/>
  <c r="K181" i="38"/>
  <c r="L180" i="38"/>
  <c r="K180" i="38"/>
  <c r="L179" i="38"/>
  <c r="K179" i="38"/>
  <c r="H23" i="38"/>
  <c r="H21" i="38"/>
  <c r="W3" i="38"/>
  <c r="H80" i="17"/>
  <c r="G80" i="17"/>
  <c r="B80" i="17"/>
  <c r="D80" i="17" s="1"/>
  <c r="I253" i="36" s="1"/>
  <c r="H79" i="17"/>
  <c r="G79" i="17"/>
  <c r="B79" i="17"/>
  <c r="D79" i="17" s="1"/>
  <c r="I252" i="36" s="1"/>
  <c r="H78" i="17"/>
  <c r="G78" i="17"/>
  <c r="B78" i="17"/>
  <c r="D78" i="17" s="1"/>
  <c r="I251" i="36" s="1"/>
  <c r="H77" i="17"/>
  <c r="G77" i="17"/>
  <c r="B77" i="17"/>
  <c r="D77" i="17" s="1"/>
  <c r="I250" i="36" s="1"/>
  <c r="H76" i="17"/>
  <c r="G76" i="17"/>
  <c r="H75" i="17"/>
  <c r="G75" i="17"/>
  <c r="B75" i="17"/>
  <c r="D75" i="17" s="1"/>
  <c r="I248" i="36" s="1"/>
  <c r="H74" i="17"/>
  <c r="G74" i="17"/>
  <c r="E66" i="17"/>
  <c r="F63" i="17"/>
  <c r="F66" i="17" s="1"/>
  <c r="E63" i="17"/>
  <c r="F62" i="17"/>
  <c r="F65" i="17" s="1"/>
  <c r="E62" i="17"/>
  <c r="J53" i="17"/>
  <c r="I53" i="17"/>
  <c r="H53" i="17"/>
  <c r="G53" i="17"/>
  <c r="F53" i="17"/>
  <c r="J51" i="17"/>
  <c r="I51" i="17"/>
  <c r="H51" i="17"/>
  <c r="G51" i="17"/>
  <c r="F51" i="17"/>
  <c r="D51" i="17"/>
  <c r="J50" i="17"/>
  <c r="I50" i="17"/>
  <c r="H50" i="17"/>
  <c r="G50" i="17"/>
  <c r="F50" i="17"/>
  <c r="D50" i="17"/>
  <c r="J49" i="17"/>
  <c r="I49" i="17"/>
  <c r="H49" i="17"/>
  <c r="G49" i="17"/>
  <c r="F49" i="17"/>
  <c r="C49" i="17"/>
  <c r="J48" i="17"/>
  <c r="I48" i="17"/>
  <c r="H48" i="17"/>
  <c r="G48" i="17"/>
  <c r="F48" i="17"/>
  <c r="C48" i="17"/>
  <c r="J47" i="17"/>
  <c r="I47" i="17"/>
  <c r="H47" i="17"/>
  <c r="G47" i="17"/>
  <c r="F47" i="17"/>
  <c r="J46" i="17"/>
  <c r="I46" i="17"/>
  <c r="H46" i="17"/>
  <c r="G46" i="17"/>
  <c r="F46" i="17"/>
  <c r="J45" i="17"/>
  <c r="I45" i="17"/>
  <c r="G45" i="17"/>
  <c r="F45" i="17"/>
  <c r="F22" i="17"/>
  <c r="E22" i="17"/>
  <c r="D22" i="17"/>
  <c r="C22" i="17"/>
  <c r="B22" i="17"/>
  <c r="R28" i="17" s="1"/>
  <c r="S29" i="17" s="1"/>
  <c r="F11" i="17"/>
  <c r="D10" i="17"/>
  <c r="K49" i="16"/>
  <c r="J49" i="16"/>
  <c r="H49" i="16"/>
  <c r="G49" i="16"/>
  <c r="F49" i="16"/>
  <c r="C49" i="16"/>
  <c r="W150" i="36" s="1"/>
  <c r="D49" i="16" s="1"/>
  <c r="K48" i="16"/>
  <c r="J48" i="16"/>
  <c r="H48" i="16"/>
  <c r="G48" i="16"/>
  <c r="F48" i="16"/>
  <c r="C48" i="16"/>
  <c r="W149" i="36" s="1"/>
  <c r="D48" i="16" s="1"/>
  <c r="K47" i="16"/>
  <c r="J47" i="16"/>
  <c r="H47" i="16"/>
  <c r="G47" i="16"/>
  <c r="C47" i="16"/>
  <c r="W148" i="36" s="1"/>
  <c r="D47" i="16" s="1"/>
  <c r="C46" i="16"/>
  <c r="W138" i="36" s="1"/>
  <c r="D46" i="16" s="1"/>
  <c r="C45" i="16"/>
  <c r="C44" i="16"/>
  <c r="W136" i="36" s="1"/>
  <c r="D44" i="16" s="1"/>
  <c r="K43" i="16"/>
  <c r="J43" i="16"/>
  <c r="H43" i="16"/>
  <c r="G43" i="16"/>
  <c r="F43" i="16"/>
  <c r="C43" i="16"/>
  <c r="W146" i="36" s="1"/>
  <c r="D43" i="16" s="1"/>
  <c r="K42" i="16"/>
  <c r="J42" i="16"/>
  <c r="H42" i="16"/>
  <c r="G42" i="16"/>
  <c r="F42" i="16"/>
  <c r="C42" i="16"/>
  <c r="B41" i="16"/>
  <c r="B40" i="16"/>
  <c r="C39" i="16"/>
  <c r="B39" i="16"/>
  <c r="K32" i="16"/>
  <c r="J32" i="16"/>
  <c r="H32" i="16"/>
  <c r="G32" i="16"/>
  <c r="F32" i="16"/>
  <c r="K31" i="16"/>
  <c r="J31" i="16"/>
  <c r="H31" i="16"/>
  <c r="G31" i="16"/>
  <c r="F31" i="16"/>
  <c r="K30" i="16"/>
  <c r="K41" i="16" s="1"/>
  <c r="J30" i="16"/>
  <c r="H30" i="16"/>
  <c r="H41" i="16" s="1"/>
  <c r="G30" i="16"/>
  <c r="F30" i="16"/>
  <c r="K29" i="16"/>
  <c r="K40" i="16" s="1"/>
  <c r="J29" i="16"/>
  <c r="H29" i="16"/>
  <c r="H40" i="16" s="1"/>
  <c r="G29" i="16"/>
  <c r="F29" i="16"/>
  <c r="K21" i="16"/>
  <c r="K28" i="16" s="1"/>
  <c r="K39" i="16" s="1"/>
  <c r="H21" i="16"/>
  <c r="H28" i="16" s="1"/>
  <c r="H39" i="16" s="1"/>
  <c r="K14" i="16"/>
  <c r="K46" i="16" s="1"/>
  <c r="J14" i="16"/>
  <c r="J46" i="16" s="1"/>
  <c r="H14" i="16"/>
  <c r="H46" i="16" s="1"/>
  <c r="G14" i="16"/>
  <c r="G46" i="16" s="1"/>
  <c r="F14" i="16"/>
  <c r="F46" i="16" s="1"/>
  <c r="K13" i="16"/>
  <c r="K45" i="16" s="1"/>
  <c r="J13" i="16"/>
  <c r="J45" i="16" s="1"/>
  <c r="H13" i="16"/>
  <c r="H45" i="16" s="1"/>
  <c r="G13" i="16"/>
  <c r="G45" i="16" s="1"/>
  <c r="F13" i="16"/>
  <c r="F45" i="16" s="1"/>
  <c r="K12" i="16"/>
  <c r="K44" i="16" s="1"/>
  <c r="H12" i="16"/>
  <c r="H44" i="16" s="1"/>
  <c r="D32" i="16"/>
  <c r="D31" i="16"/>
  <c r="D30" i="16"/>
  <c r="D29" i="16"/>
  <c r="D28" i="16"/>
  <c r="D21" i="16"/>
  <c r="D14" i="16"/>
  <c r="D13" i="16"/>
  <c r="D12" i="16"/>
  <c r="V16" i="36"/>
  <c r="T16" i="36"/>
  <c r="X15" i="36"/>
  <c r="W15" i="36"/>
  <c r="U23" i="29"/>
  <c r="J23" i="29"/>
  <c r="J40" i="29" s="1"/>
  <c r="H23" i="29"/>
  <c r="H40" i="29" s="1"/>
  <c r="G23" i="29"/>
  <c r="G40" i="29" s="1"/>
  <c r="U22" i="29"/>
  <c r="J22" i="29"/>
  <c r="J39" i="29" s="1"/>
  <c r="I22" i="29"/>
  <c r="I39" i="29" s="1"/>
  <c r="H22" i="29"/>
  <c r="H39" i="29" s="1"/>
  <c r="G22" i="29"/>
  <c r="G39" i="29" s="1"/>
  <c r="U15" i="29"/>
  <c r="J15" i="29"/>
  <c r="I15" i="29"/>
  <c r="H15" i="29"/>
  <c r="G15" i="29"/>
  <c r="F15" i="29"/>
  <c r="U14" i="29"/>
  <c r="J14" i="29"/>
  <c r="I14" i="29"/>
  <c r="H14" i="29"/>
  <c r="G14" i="29"/>
  <c r="F14" i="29"/>
  <c r="U13" i="29"/>
  <c r="J13" i="29"/>
  <c r="I13" i="29"/>
  <c r="H13" i="29"/>
  <c r="G13" i="29"/>
  <c r="F13" i="29"/>
  <c r="U12" i="29"/>
  <c r="J12" i="29"/>
  <c r="H12" i="29"/>
  <c r="F53" i="27"/>
  <c r="D53" i="27"/>
  <c r="B53" i="27"/>
  <c r="F52" i="27"/>
  <c r="D52" i="27"/>
  <c r="B52" i="27"/>
  <c r="B51" i="27"/>
  <c r="B50" i="27"/>
  <c r="G49" i="27"/>
  <c r="E49" i="27"/>
  <c r="C49" i="27"/>
  <c r="B49" i="27"/>
  <c r="G48" i="27"/>
  <c r="E48" i="27"/>
  <c r="C48" i="27"/>
  <c r="B48" i="27"/>
  <c r="G47" i="27"/>
  <c r="E47" i="27"/>
  <c r="C47" i="27"/>
  <c r="B47" i="27"/>
  <c r="G46" i="27"/>
  <c r="E46" i="27"/>
  <c r="C46" i="27"/>
  <c r="D46" i="27" s="1"/>
  <c r="AT45" i="27" s="1"/>
  <c r="B46" i="27"/>
  <c r="G45" i="27"/>
  <c r="E45" i="27"/>
  <c r="B45" i="27"/>
  <c r="G44" i="27"/>
  <c r="C44" i="27"/>
  <c r="B44" i="27"/>
  <c r="M37" i="27"/>
  <c r="H37" i="27"/>
  <c r="F37" i="27"/>
  <c r="M36" i="27"/>
  <c r="H36" i="27"/>
  <c r="F36" i="27"/>
  <c r="AS51" i="27" s="1"/>
  <c r="AI35" i="27"/>
  <c r="AI34" i="27"/>
  <c r="AI33" i="27"/>
  <c r="P28" i="27"/>
  <c r="O28" i="27"/>
  <c r="N28" i="27"/>
  <c r="K28" i="27"/>
  <c r="J28" i="27"/>
  <c r="I28" i="27"/>
  <c r="E28" i="27"/>
  <c r="M23" i="27"/>
  <c r="J23" i="27"/>
  <c r="M22" i="27"/>
  <c r="J22" i="27"/>
  <c r="M21" i="27"/>
  <c r="J21" i="27"/>
  <c r="M20" i="27"/>
  <c r="J20" i="27"/>
  <c r="W18" i="37"/>
  <c r="U18" i="37"/>
  <c r="W17" i="37"/>
  <c r="U17" i="37"/>
  <c r="W16" i="37"/>
  <c r="U16" i="37"/>
  <c r="W15" i="37"/>
  <c r="U15" i="37"/>
  <c r="W14" i="37"/>
  <c r="U14" i="37"/>
  <c r="W13" i="37"/>
  <c r="J98" i="5"/>
  <c r="G98" i="5"/>
  <c r="F98" i="5"/>
  <c r="J97" i="5"/>
  <c r="G97" i="5"/>
  <c r="F97" i="5"/>
  <c r="J96" i="5"/>
  <c r="G96" i="5"/>
  <c r="F96" i="5"/>
  <c r="J94" i="5"/>
  <c r="G94" i="5"/>
  <c r="F94" i="5"/>
  <c r="J93" i="5"/>
  <c r="G93" i="5"/>
  <c r="F93" i="5"/>
  <c r="K92" i="5"/>
  <c r="K95" i="5" s="1"/>
  <c r="H92" i="5"/>
  <c r="H95" i="5" s="1"/>
  <c r="G92" i="5"/>
  <c r="F92" i="5"/>
  <c r="J90" i="5"/>
  <c r="G90" i="5"/>
  <c r="F90" i="5"/>
  <c r="J89" i="5"/>
  <c r="G89" i="5"/>
  <c r="F89" i="5"/>
  <c r="J88" i="5"/>
  <c r="G88" i="5"/>
  <c r="F88" i="5"/>
  <c r="J86" i="5"/>
  <c r="G86" i="5"/>
  <c r="F86" i="5"/>
  <c r="J85" i="5"/>
  <c r="G85" i="5"/>
  <c r="F85" i="5"/>
  <c r="G84" i="5"/>
  <c r="F84" i="5"/>
  <c r="C60" i="5"/>
  <c r="C62" i="5" s="1"/>
  <c r="C64" i="5" s="1"/>
  <c r="C66" i="5" s="1"/>
  <c r="C68" i="5" s="1"/>
  <c r="C59" i="5"/>
  <c r="C61" i="5" s="1"/>
  <c r="C63" i="5" s="1"/>
  <c r="C65" i="5" s="1"/>
  <c r="C67" i="5" s="1"/>
  <c r="K50" i="5"/>
  <c r="K73" i="5" s="1"/>
  <c r="J50" i="5"/>
  <c r="H50" i="5"/>
  <c r="H73" i="5" s="1"/>
  <c r="B50" i="5"/>
  <c r="B73" i="5" s="1"/>
  <c r="K49" i="5"/>
  <c r="K72" i="5" s="1"/>
  <c r="J49" i="5"/>
  <c r="H49" i="5"/>
  <c r="G49" i="5"/>
  <c r="F49" i="5"/>
  <c r="B49" i="5"/>
  <c r="B72" i="5" s="1"/>
  <c r="O34" i="5"/>
  <c r="D71" i="5" s="1"/>
  <c r="O33" i="5"/>
  <c r="D70" i="5" s="1"/>
  <c r="O32" i="5"/>
  <c r="D69" i="5" s="1"/>
  <c r="F25" i="5"/>
  <c r="F50" i="5"/>
  <c r="X20" i="5"/>
  <c r="W20" i="5"/>
  <c r="V20" i="5"/>
  <c r="K20" i="5"/>
  <c r="K48" i="5" s="1"/>
  <c r="K71" i="5" s="1"/>
  <c r="J20" i="5"/>
  <c r="J48" i="5" s="1"/>
  <c r="H20" i="5"/>
  <c r="H48" i="5" s="1"/>
  <c r="H71" i="5" s="1"/>
  <c r="G20" i="5"/>
  <c r="G48" i="5" s="1"/>
  <c r="F20" i="5"/>
  <c r="F48" i="5" s="1"/>
  <c r="B20" i="5"/>
  <c r="B48" i="5" s="1"/>
  <c r="B71" i="5" s="1"/>
  <c r="X19" i="5"/>
  <c r="W19" i="5"/>
  <c r="V19" i="5"/>
  <c r="K19" i="5"/>
  <c r="K47" i="5" s="1"/>
  <c r="K70" i="5" s="1"/>
  <c r="J19" i="5"/>
  <c r="J47" i="5" s="1"/>
  <c r="H19" i="5"/>
  <c r="H47" i="5" s="1"/>
  <c r="H70" i="5" s="1"/>
  <c r="G19" i="5"/>
  <c r="G47" i="5" s="1"/>
  <c r="F19" i="5"/>
  <c r="F47" i="5" s="1"/>
  <c r="X18" i="5"/>
  <c r="W18" i="5"/>
  <c r="V18" i="5"/>
  <c r="K18" i="5"/>
  <c r="K46" i="5" s="1"/>
  <c r="K69" i="5" s="1"/>
  <c r="H18" i="5"/>
  <c r="H46" i="5" s="1"/>
  <c r="H69" i="5" s="1"/>
  <c r="G18" i="5"/>
  <c r="G46" i="5" s="1"/>
  <c r="F18" i="5"/>
  <c r="X17" i="5"/>
  <c r="W17" i="5"/>
  <c r="V17" i="5"/>
  <c r="K17" i="5"/>
  <c r="K45" i="5" s="1"/>
  <c r="J17" i="5"/>
  <c r="J45" i="5" s="1"/>
  <c r="H17" i="5"/>
  <c r="H45" i="5" s="1"/>
  <c r="G17" i="5"/>
  <c r="F17" i="5"/>
  <c r="F45" i="5" s="1"/>
  <c r="X16" i="5"/>
  <c r="W16" i="5"/>
  <c r="V16" i="5"/>
  <c r="K16" i="5"/>
  <c r="K44" i="5" s="1"/>
  <c r="J16" i="5"/>
  <c r="H16" i="5"/>
  <c r="H88" i="5" s="1"/>
  <c r="G16" i="5"/>
  <c r="F16" i="5"/>
  <c r="X15" i="5"/>
  <c r="W15" i="5"/>
  <c r="V15" i="5"/>
  <c r="K15" i="5"/>
  <c r="K43" i="5" s="1"/>
  <c r="J15" i="5"/>
  <c r="J43" i="5" s="1"/>
  <c r="H15" i="5"/>
  <c r="H43" i="5" s="1"/>
  <c r="G15" i="5"/>
  <c r="G43" i="5" s="1"/>
  <c r="F15" i="5"/>
  <c r="F43" i="5" s="1"/>
  <c r="X14" i="5"/>
  <c r="W14" i="5"/>
  <c r="V14" i="5"/>
  <c r="K14" i="5"/>
  <c r="K42" i="5" s="1"/>
  <c r="J14" i="5"/>
  <c r="H14" i="5"/>
  <c r="H42" i="5" s="1"/>
  <c r="F14" i="5"/>
  <c r="F42" i="5" s="1"/>
  <c r="X13" i="5"/>
  <c r="W13" i="5"/>
  <c r="V13" i="5"/>
  <c r="K13" i="5"/>
  <c r="K41" i="5" s="1"/>
  <c r="J13" i="5"/>
  <c r="J41" i="5" s="1"/>
  <c r="H13" i="5"/>
  <c r="H41" i="5" s="1"/>
  <c r="G13" i="5"/>
  <c r="G41" i="5" s="1"/>
  <c r="F13" i="5"/>
  <c r="X12" i="5"/>
  <c r="W12" i="5"/>
  <c r="V12" i="5"/>
  <c r="K12" i="5"/>
  <c r="K84" i="5" s="1"/>
  <c r="H12" i="5"/>
  <c r="H40" i="5" s="1"/>
  <c r="G12" i="5"/>
  <c r="C43" i="10"/>
  <c r="H42" i="10"/>
  <c r="F42" i="10"/>
  <c r="D42" i="10"/>
  <c r="C42" i="10"/>
  <c r="H41" i="10"/>
  <c r="F41" i="10"/>
  <c r="D41" i="10"/>
  <c r="C41" i="10"/>
  <c r="H40" i="10"/>
  <c r="F40" i="10"/>
  <c r="D40" i="10"/>
  <c r="G40" i="10" s="1"/>
  <c r="C40" i="10"/>
  <c r="H39" i="10"/>
  <c r="F39" i="10"/>
  <c r="D39" i="10"/>
  <c r="G39" i="10" s="1"/>
  <c r="C39" i="10"/>
  <c r="H38" i="10"/>
  <c r="F38" i="10"/>
  <c r="D38" i="10"/>
  <c r="G38" i="10" s="1"/>
  <c r="C38" i="10"/>
  <c r="H37" i="10"/>
  <c r="F37" i="10"/>
  <c r="D37" i="10"/>
  <c r="C37" i="10"/>
  <c r="H36" i="10"/>
  <c r="F36" i="10"/>
  <c r="D36" i="10"/>
  <c r="G36" i="10" s="1"/>
  <c r="C36" i="10"/>
  <c r="H35" i="10"/>
  <c r="F35" i="10"/>
  <c r="D35" i="10"/>
  <c r="G35" i="10" s="1"/>
  <c r="C35" i="10"/>
  <c r="H34" i="10"/>
  <c r="F34" i="10"/>
  <c r="C34" i="10"/>
  <c r="H33" i="10"/>
  <c r="F33" i="10"/>
  <c r="C33" i="10"/>
  <c r="C32" i="10"/>
  <c r="C31" i="10"/>
  <c r="C30" i="10"/>
  <c r="C29" i="10"/>
  <c r="X24" i="10"/>
  <c r="W24" i="10"/>
  <c r="V24" i="10"/>
  <c r="P24" i="10"/>
  <c r="O24" i="10"/>
  <c r="N24" i="10"/>
  <c r="M24" i="10"/>
  <c r="J24" i="10"/>
  <c r="S24" i="10" s="1"/>
  <c r="G24" i="10"/>
  <c r="R24" i="10" s="1"/>
  <c r="D24" i="10"/>
  <c r="Q24" i="10" s="1"/>
  <c r="X23" i="10"/>
  <c r="W23" i="10"/>
  <c r="V23" i="10"/>
  <c r="P23" i="10"/>
  <c r="O23" i="10"/>
  <c r="N23" i="10"/>
  <c r="M23" i="10"/>
  <c r="J23" i="10"/>
  <c r="S23" i="10" s="1"/>
  <c r="G23" i="10"/>
  <c r="R23" i="10" s="1"/>
  <c r="D23" i="10"/>
  <c r="Q23" i="10" s="1"/>
  <c r="X22" i="10"/>
  <c r="W22" i="10"/>
  <c r="V22" i="10"/>
  <c r="P22" i="10"/>
  <c r="O22" i="10"/>
  <c r="N22" i="10"/>
  <c r="M22" i="10"/>
  <c r="J22" i="10"/>
  <c r="S22" i="10" s="1"/>
  <c r="G22" i="10"/>
  <c r="R22" i="10" s="1"/>
  <c r="D22" i="10"/>
  <c r="Q22" i="10" s="1"/>
  <c r="X21" i="10"/>
  <c r="W21" i="10"/>
  <c r="V21" i="10"/>
  <c r="P21" i="10"/>
  <c r="O21" i="10"/>
  <c r="N21" i="10"/>
  <c r="M21" i="10"/>
  <c r="J21" i="10"/>
  <c r="S21" i="10" s="1"/>
  <c r="G21" i="10"/>
  <c r="R21" i="10" s="1"/>
  <c r="D21" i="10"/>
  <c r="Q21" i="10" s="1"/>
  <c r="X20" i="10"/>
  <c r="W20" i="10"/>
  <c r="V20" i="10"/>
  <c r="P20" i="10"/>
  <c r="O20" i="10"/>
  <c r="N20" i="10"/>
  <c r="M20" i="10"/>
  <c r="J20" i="10"/>
  <c r="S20" i="10" s="1"/>
  <c r="G20" i="10"/>
  <c r="R20" i="10" s="1"/>
  <c r="D20" i="10"/>
  <c r="Q20" i="10" s="1"/>
  <c r="X19" i="10"/>
  <c r="W19" i="10"/>
  <c r="V19" i="10"/>
  <c r="P19" i="10"/>
  <c r="O19" i="10"/>
  <c r="N19" i="10"/>
  <c r="M19" i="10"/>
  <c r="J19" i="10"/>
  <c r="S19" i="10" s="1"/>
  <c r="D19" i="10"/>
  <c r="Q19" i="10" s="1"/>
  <c r="Z18" i="10"/>
  <c r="X18" i="10"/>
  <c r="W18" i="10"/>
  <c r="V18" i="10"/>
  <c r="P18" i="10"/>
  <c r="O18" i="10"/>
  <c r="N18" i="10"/>
  <c r="M18" i="10"/>
  <c r="J18" i="10"/>
  <c r="S18" i="10" s="1"/>
  <c r="G18" i="10"/>
  <c r="R18" i="10" s="1"/>
  <c r="D18" i="10"/>
  <c r="Q18" i="10" s="1"/>
  <c r="X17" i="10"/>
  <c r="W17" i="10"/>
  <c r="V17" i="10"/>
  <c r="P17" i="10"/>
  <c r="O17" i="10"/>
  <c r="N17" i="10"/>
  <c r="M17" i="10"/>
  <c r="J17" i="10"/>
  <c r="S17" i="10" s="1"/>
  <c r="G17" i="10"/>
  <c r="R17" i="10" s="1"/>
  <c r="D17" i="10"/>
  <c r="Q17" i="10" s="1"/>
  <c r="X16" i="10"/>
  <c r="W16" i="10"/>
  <c r="V16" i="10"/>
  <c r="P16" i="10"/>
  <c r="O16" i="10"/>
  <c r="N16" i="10"/>
  <c r="M16" i="10"/>
  <c r="X15" i="10"/>
  <c r="W15" i="10"/>
  <c r="V15" i="10"/>
  <c r="P15" i="10"/>
  <c r="N15" i="10"/>
  <c r="X14" i="10"/>
  <c r="W14" i="10"/>
  <c r="V14" i="10"/>
  <c r="P14" i="10"/>
  <c r="O14" i="10"/>
  <c r="N14" i="10"/>
  <c r="M14" i="10"/>
  <c r="J14" i="10"/>
  <c r="S14" i="10" s="1"/>
  <c r="D14" i="10"/>
  <c r="Q14" i="10" s="1"/>
  <c r="X13" i="10"/>
  <c r="W13" i="10"/>
  <c r="V13" i="10"/>
  <c r="Q31" i="10" s="1"/>
  <c r="P13" i="10"/>
  <c r="O13" i="10"/>
  <c r="N13" i="10"/>
  <c r="M13" i="10"/>
  <c r="J13" i="10"/>
  <c r="S13" i="10" s="1"/>
  <c r="D13" i="10"/>
  <c r="Q13" i="10" s="1"/>
  <c r="X12" i="10"/>
  <c r="W12" i="10"/>
  <c r="V12" i="10"/>
  <c r="P12" i="10"/>
  <c r="O12" i="10"/>
  <c r="N12" i="10"/>
  <c r="M12" i="10"/>
  <c r="J12" i="10"/>
  <c r="S12" i="10" s="1"/>
  <c r="X11" i="10"/>
  <c r="W11" i="10"/>
  <c r="V11" i="10"/>
  <c r="Q29" i="10" s="1"/>
  <c r="P11" i="10"/>
  <c r="O11" i="10"/>
  <c r="N11" i="10"/>
  <c r="M11" i="10"/>
  <c r="J11" i="10"/>
  <c r="S11" i="10" s="1"/>
  <c r="D11" i="10"/>
  <c r="Q11" i="10" s="1"/>
  <c r="K133" i="35"/>
  <c r="D132" i="35"/>
  <c r="R124" i="35"/>
  <c r="D58" i="5" s="1"/>
  <c r="R123" i="35"/>
  <c r="D57" i="5" s="1"/>
  <c r="AB31" i="35"/>
  <c r="AD31" i="35" s="1"/>
  <c r="AB30" i="35"/>
  <c r="AD30" i="35" s="1"/>
  <c r="AB29" i="35"/>
  <c r="AD29" i="35" s="1"/>
  <c r="AB28" i="35"/>
  <c r="AD28" i="35" s="1"/>
  <c r="AB27" i="35"/>
  <c r="AD27" i="35" s="1"/>
  <c r="AB26" i="35"/>
  <c r="AD26" i="35" s="1"/>
  <c r="AB25" i="35"/>
  <c r="AD25" i="35" s="1"/>
  <c r="AB24" i="35"/>
  <c r="AD24" i="35" s="1"/>
  <c r="AB23" i="35"/>
  <c r="AD23" i="35" s="1"/>
  <c r="AB22" i="35"/>
  <c r="AD22" i="35" s="1"/>
  <c r="AA15" i="35"/>
  <c r="AA13" i="35"/>
  <c r="AN34" i="22"/>
  <c r="AM34" i="22"/>
  <c r="AL34" i="22"/>
  <c r="AK34" i="22"/>
  <c r="AJ34" i="22"/>
  <c r="AI34" i="22"/>
  <c r="AH34" i="22"/>
  <c r="AG34" i="22"/>
  <c r="AN33" i="22"/>
  <c r="AM33" i="22"/>
  <c r="AL33" i="22"/>
  <c r="AK33" i="22"/>
  <c r="AJ33" i="22"/>
  <c r="AI33" i="22"/>
  <c r="AH33" i="22"/>
  <c r="AG33" i="22"/>
  <c r="AN32" i="22"/>
  <c r="AM32" i="22"/>
  <c r="AL32" i="22"/>
  <c r="AK32" i="22"/>
  <c r="AJ32" i="22"/>
  <c r="AI32" i="22"/>
  <c r="AH32" i="22"/>
  <c r="AG32" i="22"/>
  <c r="AN31" i="22"/>
  <c r="AM31" i="22"/>
  <c r="AL31" i="22"/>
  <c r="AK31" i="22"/>
  <c r="AJ31" i="22"/>
  <c r="AI31" i="22"/>
  <c r="AH31" i="22"/>
  <c r="AG31" i="22"/>
  <c r="AV24" i="22"/>
  <c r="AU24" i="22"/>
  <c r="AT24" i="22"/>
  <c r="AS24" i="22"/>
  <c r="AR24" i="22"/>
  <c r="AQ24" i="22"/>
  <c r="AN18" i="22"/>
  <c r="AM18" i="22"/>
  <c r="AL18" i="22"/>
  <c r="AK18" i="22"/>
  <c r="AJ18" i="22"/>
  <c r="AI18" i="22"/>
  <c r="AH18" i="22"/>
  <c r="AG18" i="22"/>
  <c r="AN17" i="22"/>
  <c r="AM17" i="22"/>
  <c r="AL17" i="22"/>
  <c r="AK17" i="22"/>
  <c r="AJ17" i="22"/>
  <c r="AI17" i="22"/>
  <c r="AH17" i="22"/>
  <c r="AG17" i="22"/>
  <c r="AN16" i="22"/>
  <c r="AM16" i="22"/>
  <c r="AL16" i="22"/>
  <c r="AK16" i="22"/>
  <c r="AJ16" i="22"/>
  <c r="AI16" i="22"/>
  <c r="AH16" i="22"/>
  <c r="AG16" i="22"/>
  <c r="AN15" i="22"/>
  <c r="AM15" i="22"/>
  <c r="AL15" i="22"/>
  <c r="AK15" i="22"/>
  <c r="AJ15" i="22"/>
  <c r="AI15" i="22"/>
  <c r="AH15" i="22"/>
  <c r="AG15" i="22"/>
  <c r="AC8" i="22"/>
  <c r="AC24" i="22" s="1"/>
  <c r="AB8" i="22"/>
  <c r="AA8" i="22"/>
  <c r="AA24" i="22" s="1"/>
  <c r="Z8" i="22"/>
  <c r="Y8" i="22"/>
  <c r="Y24" i="22" s="1"/>
  <c r="X8" i="22"/>
  <c r="BC7" i="22"/>
  <c r="BJ7" i="22" s="1"/>
  <c r="BB7" i="22"/>
  <c r="BI7" i="22" s="1"/>
  <c r="BA7" i="22"/>
  <c r="BA24" i="22" s="1"/>
  <c r="AZ7" i="22"/>
  <c r="AZ24" i="22" s="1"/>
  <c r="AY7" i="22"/>
  <c r="BD7" i="22" s="1"/>
  <c r="BF21" i="22" s="1"/>
  <c r="AX7" i="22"/>
  <c r="AX24" i="22" s="1"/>
  <c r="AW7" i="22"/>
  <c r="BA21" i="22" s="1"/>
  <c r="D5" i="22"/>
  <c r="G45" i="15"/>
  <c r="F45" i="15"/>
  <c r="E45" i="15"/>
  <c r="D45" i="15"/>
  <c r="C45" i="15"/>
  <c r="B45" i="15"/>
  <c r="G44" i="15"/>
  <c r="F44" i="15"/>
  <c r="E44" i="15"/>
  <c r="D44" i="15"/>
  <c r="C44" i="15"/>
  <c r="B44" i="15"/>
  <c r="G43" i="15"/>
  <c r="F43" i="15"/>
  <c r="E43" i="15"/>
  <c r="D43" i="15"/>
  <c r="C43" i="15"/>
  <c r="B43" i="15"/>
  <c r="G42" i="15"/>
  <c r="F42" i="15"/>
  <c r="E42" i="15"/>
  <c r="D42" i="15"/>
  <c r="C42" i="15"/>
  <c r="B42" i="15"/>
  <c r="G41" i="15"/>
  <c r="F41" i="15"/>
  <c r="E41" i="15"/>
  <c r="D41" i="15"/>
  <c r="C41" i="15"/>
  <c r="B41" i="15"/>
  <c r="G40" i="15"/>
  <c r="F40" i="15"/>
  <c r="E40" i="15"/>
  <c r="D40" i="15"/>
  <c r="C40" i="15"/>
  <c r="B40" i="15"/>
  <c r="G39" i="15"/>
  <c r="F39" i="15"/>
  <c r="E39" i="15"/>
  <c r="D39" i="15"/>
  <c r="C39" i="15"/>
  <c r="B39" i="15"/>
  <c r="G38" i="15"/>
  <c r="F38" i="15"/>
  <c r="E38" i="15"/>
  <c r="D38" i="15"/>
  <c r="C38" i="15"/>
  <c r="B38" i="15"/>
  <c r="G37" i="15"/>
  <c r="E37" i="15"/>
  <c r="C37" i="15"/>
  <c r="B37" i="15"/>
  <c r="G36" i="15"/>
  <c r="E36" i="15"/>
  <c r="D36" i="15"/>
  <c r="B36" i="15"/>
  <c r="V24" i="15"/>
  <c r="R24" i="15"/>
  <c r="Q24" i="15"/>
  <c r="L24" i="15"/>
  <c r="U24" i="15" s="1"/>
  <c r="H24" i="15"/>
  <c r="E24" i="15"/>
  <c r="D24" i="15"/>
  <c r="V23" i="15"/>
  <c r="R23" i="15"/>
  <c r="Q23" i="15"/>
  <c r="L23" i="15"/>
  <c r="U23" i="15" s="1"/>
  <c r="H23" i="15"/>
  <c r="E23" i="15"/>
  <c r="D23" i="15"/>
  <c r="V22" i="15"/>
  <c r="R22" i="15"/>
  <c r="Q22" i="15"/>
  <c r="L22" i="15"/>
  <c r="U22" i="15" s="1"/>
  <c r="H22" i="15"/>
  <c r="E22" i="15"/>
  <c r="D22" i="15"/>
  <c r="V21" i="15"/>
  <c r="R21" i="15"/>
  <c r="Q21" i="15"/>
  <c r="H21" i="15"/>
  <c r="E21" i="15"/>
  <c r="D21" i="15"/>
  <c r="V20" i="15"/>
  <c r="R20" i="15"/>
  <c r="Q20" i="15"/>
  <c r="L20" i="15"/>
  <c r="U20" i="15" s="1"/>
  <c r="H20" i="15"/>
  <c r="E20" i="15"/>
  <c r="D20" i="15"/>
  <c r="V19" i="15"/>
  <c r="R19" i="15"/>
  <c r="Q19" i="15"/>
  <c r="L19" i="15"/>
  <c r="H19" i="15"/>
  <c r="E19" i="15"/>
  <c r="D19" i="15"/>
  <c r="V18" i="15"/>
  <c r="R18" i="15"/>
  <c r="Q18" i="15"/>
  <c r="L18" i="15"/>
  <c r="U18" i="15" s="1"/>
  <c r="H18" i="15"/>
  <c r="E18" i="15"/>
  <c r="D18" i="15"/>
  <c r="V17" i="15"/>
  <c r="R17" i="15"/>
  <c r="Q17" i="15"/>
  <c r="L17" i="15"/>
  <c r="U17" i="15" s="1"/>
  <c r="E17" i="15"/>
  <c r="D17" i="15"/>
  <c r="V16" i="15"/>
  <c r="R16" i="15"/>
  <c r="Q16" i="15"/>
  <c r="D16" i="15"/>
  <c r="V15" i="15"/>
  <c r="Q15" i="15"/>
  <c r="D15" i="15"/>
  <c r="T15" i="15" s="1"/>
  <c r="V14" i="15"/>
  <c r="R14" i="15"/>
  <c r="Q14" i="15"/>
  <c r="L14" i="15"/>
  <c r="H14" i="15"/>
  <c r="E14" i="15"/>
  <c r="D14" i="15"/>
  <c r="V13" i="15"/>
  <c r="R13" i="15"/>
  <c r="Q13" i="15"/>
  <c r="L13" i="15"/>
  <c r="H13" i="15"/>
  <c r="E13" i="15"/>
  <c r="D13" i="15"/>
  <c r="V12" i="15"/>
  <c r="R12" i="15"/>
  <c r="Q12" i="15"/>
  <c r="H12" i="15"/>
  <c r="E12" i="15"/>
  <c r="D12" i="15"/>
  <c r="V11" i="15"/>
  <c r="R11" i="15"/>
  <c r="Q11" i="15"/>
  <c r="L11" i="15"/>
  <c r="U11" i="15" s="1"/>
  <c r="H11" i="15"/>
  <c r="D11" i="15"/>
  <c r="B38" i="24"/>
  <c r="B37" i="24"/>
  <c r="G36" i="24"/>
  <c r="F36" i="24"/>
  <c r="E36" i="24"/>
  <c r="B36" i="24"/>
  <c r="J16" i="24"/>
  <c r="H16" i="24"/>
  <c r="D16" i="24"/>
  <c r="Q15" i="24"/>
  <c r="J15" i="24"/>
  <c r="F15" i="24"/>
  <c r="E15" i="24"/>
  <c r="D15" i="24"/>
  <c r="Q14" i="24"/>
  <c r="J14" i="24"/>
  <c r="H14" i="24"/>
  <c r="F14" i="24"/>
  <c r="E14" i="24"/>
  <c r="Q13" i="24"/>
  <c r="J13" i="24"/>
  <c r="H13" i="24"/>
  <c r="F13" i="24"/>
  <c r="E13" i="24"/>
  <c r="D13" i="24"/>
  <c r="Q12" i="24"/>
  <c r="J12" i="24"/>
  <c r="F12" i="24"/>
  <c r="E12" i="24"/>
  <c r="D12" i="24"/>
  <c r="Q11" i="24"/>
  <c r="J11" i="24"/>
  <c r="H11" i="24"/>
  <c r="F11" i="24"/>
  <c r="E11" i="24"/>
  <c r="D11" i="24"/>
  <c r="Q10" i="24"/>
  <c r="J10" i="24"/>
  <c r="F10" i="24"/>
  <c r="E10" i="24"/>
  <c r="D10" i="24"/>
  <c r="G47" i="9"/>
  <c r="F47" i="9"/>
  <c r="E47" i="9"/>
  <c r="D47" i="9"/>
  <c r="C47" i="9"/>
  <c r="B47" i="9"/>
  <c r="B76" i="9" s="1"/>
  <c r="G46" i="9"/>
  <c r="F46" i="9"/>
  <c r="E46" i="9"/>
  <c r="D46" i="9"/>
  <c r="C46" i="9"/>
  <c r="B46" i="9"/>
  <c r="B75" i="9" s="1"/>
  <c r="G45" i="9"/>
  <c r="F45" i="9"/>
  <c r="E45" i="9"/>
  <c r="D45" i="9"/>
  <c r="C45" i="9"/>
  <c r="B45" i="9"/>
  <c r="B74" i="9" s="1"/>
  <c r="G44" i="9"/>
  <c r="F44" i="9"/>
  <c r="E44" i="9"/>
  <c r="D44" i="9"/>
  <c r="C44" i="9"/>
  <c r="B44" i="9"/>
  <c r="B73" i="9" s="1"/>
  <c r="G43" i="9"/>
  <c r="F43" i="9"/>
  <c r="E43" i="9"/>
  <c r="D43" i="9"/>
  <c r="C43" i="9"/>
  <c r="B43" i="9"/>
  <c r="B72" i="9" s="1"/>
  <c r="G42" i="9"/>
  <c r="F42" i="9"/>
  <c r="E42" i="9"/>
  <c r="D42" i="9"/>
  <c r="C42" i="9"/>
  <c r="B42" i="9"/>
  <c r="B71" i="9" s="1"/>
  <c r="G41" i="9"/>
  <c r="F41" i="9"/>
  <c r="E41" i="9"/>
  <c r="D41" i="9"/>
  <c r="C41" i="9"/>
  <c r="B41" i="9"/>
  <c r="B70" i="9" s="1"/>
  <c r="G40" i="9"/>
  <c r="E40" i="9"/>
  <c r="D40" i="9"/>
  <c r="C40" i="9"/>
  <c r="B40" i="9"/>
  <c r="B69" i="9" s="1"/>
  <c r="G39" i="9"/>
  <c r="E39" i="9"/>
  <c r="C39" i="9"/>
  <c r="B39" i="9"/>
  <c r="B68" i="9" s="1"/>
  <c r="G38" i="9"/>
  <c r="E38" i="9"/>
  <c r="B38" i="9"/>
  <c r="B67" i="9" s="1"/>
  <c r="AQ33" i="9"/>
  <c r="AW33" i="9" s="1"/>
  <c r="AP33" i="9"/>
  <c r="AV33" i="9" s="1"/>
  <c r="AO33" i="9"/>
  <c r="AU33" i="9" s="1"/>
  <c r="AN33" i="9"/>
  <c r="AT33" i="9" s="1"/>
  <c r="AM33" i="9"/>
  <c r="AS33" i="9" s="1"/>
  <c r="AL33" i="9"/>
  <c r="AR33" i="9" s="1"/>
  <c r="AQ32" i="9"/>
  <c r="AW32" i="9" s="1"/>
  <c r="AP32" i="9"/>
  <c r="AV32" i="9" s="1"/>
  <c r="AO32" i="9"/>
  <c r="AU32" i="9" s="1"/>
  <c r="AN32" i="9"/>
  <c r="AT32" i="9" s="1"/>
  <c r="AM32" i="9"/>
  <c r="AS32" i="9" s="1"/>
  <c r="AL32" i="9"/>
  <c r="AR32" i="9" s="1"/>
  <c r="AL31" i="9"/>
  <c r="AR31" i="9" s="1"/>
  <c r="U22" i="9"/>
  <c r="N22" i="9"/>
  <c r="K22" i="9"/>
  <c r="T22" i="9" s="1"/>
  <c r="J22" i="9"/>
  <c r="AU47" i="9" s="1"/>
  <c r="I22" i="9"/>
  <c r="H22" i="9"/>
  <c r="Q22" i="9" s="1"/>
  <c r="G22" i="9"/>
  <c r="P22" i="9" s="1"/>
  <c r="U21" i="9"/>
  <c r="N21" i="9"/>
  <c r="K21" i="9"/>
  <c r="AJ46" i="9" s="1"/>
  <c r="J21" i="9"/>
  <c r="AU46" i="9" s="1"/>
  <c r="I21" i="9"/>
  <c r="R21" i="9" s="1"/>
  <c r="H21" i="9"/>
  <c r="AG46" i="9" s="1"/>
  <c r="G21" i="9"/>
  <c r="U20" i="9"/>
  <c r="N20" i="9"/>
  <c r="K20" i="9"/>
  <c r="AP45" i="9" s="1"/>
  <c r="J20" i="9"/>
  <c r="AO45" i="9" s="1"/>
  <c r="I20" i="9"/>
  <c r="AT45" i="9" s="1"/>
  <c r="H20" i="9"/>
  <c r="AM45" i="9" s="1"/>
  <c r="G20" i="9"/>
  <c r="AL45" i="9" s="1"/>
  <c r="U19" i="9"/>
  <c r="N19" i="9"/>
  <c r="K19" i="9"/>
  <c r="T19" i="9" s="1"/>
  <c r="J19" i="9"/>
  <c r="I19" i="9"/>
  <c r="R19" i="9" s="1"/>
  <c r="H19" i="9"/>
  <c r="Q19" i="9" s="1"/>
  <c r="G19" i="9"/>
  <c r="P19" i="9" s="1"/>
  <c r="U18" i="9"/>
  <c r="N18" i="9"/>
  <c r="K18" i="9"/>
  <c r="T18" i="9" s="1"/>
  <c r="J18" i="9"/>
  <c r="AU43" i="9" s="1"/>
  <c r="I18" i="9"/>
  <c r="AH43" i="9" s="1"/>
  <c r="H18" i="9"/>
  <c r="AM43" i="9" s="1"/>
  <c r="G18" i="9"/>
  <c r="AF43" i="9" s="1"/>
  <c r="U17" i="9"/>
  <c r="N17" i="9"/>
  <c r="K17" i="9"/>
  <c r="T17" i="9" s="1"/>
  <c r="J17" i="9"/>
  <c r="S17" i="9" s="1"/>
  <c r="I17" i="9"/>
  <c r="H17" i="9"/>
  <c r="Q17" i="9" s="1"/>
  <c r="G17" i="9"/>
  <c r="AL42" i="9" s="1"/>
  <c r="U16" i="9"/>
  <c r="N16" i="9"/>
  <c r="K16" i="9"/>
  <c r="T16" i="9" s="1"/>
  <c r="J16" i="9"/>
  <c r="S16" i="9" s="1"/>
  <c r="I16" i="9"/>
  <c r="H16" i="9"/>
  <c r="AS41" i="9" s="1"/>
  <c r="G16" i="9"/>
  <c r="AR41" i="9" s="1"/>
  <c r="U15" i="9"/>
  <c r="N15" i="9"/>
  <c r="K15" i="9"/>
  <c r="AV40" i="9" s="1"/>
  <c r="I15" i="9"/>
  <c r="R15" i="9" s="1"/>
  <c r="H15" i="9"/>
  <c r="Q15" i="9" s="1"/>
  <c r="G15" i="9"/>
  <c r="P15" i="9" s="1"/>
  <c r="U14" i="9"/>
  <c r="N14" i="9"/>
  <c r="K14" i="9"/>
  <c r="T14" i="9" s="1"/>
  <c r="J14" i="9"/>
  <c r="S14" i="9" s="1"/>
  <c r="H14" i="9"/>
  <c r="AS39" i="9" s="1"/>
  <c r="G14" i="9"/>
  <c r="AR39" i="9" s="1"/>
  <c r="U13" i="9"/>
  <c r="N13" i="9"/>
  <c r="K13" i="9"/>
  <c r="T13" i="9" s="1"/>
  <c r="J13" i="9"/>
  <c r="AO38" i="9" s="1"/>
  <c r="I13" i="9"/>
  <c r="R13" i="9" s="1"/>
  <c r="G13" i="9"/>
  <c r="AL38" i="9" s="1"/>
  <c r="AT12" i="9"/>
  <c r="U12" i="9"/>
  <c r="N12" i="9"/>
  <c r="K12" i="9"/>
  <c r="AP37" i="9" s="1"/>
  <c r="J12" i="9"/>
  <c r="AU37" i="9" s="1"/>
  <c r="I12" i="9"/>
  <c r="R12" i="9" s="1"/>
  <c r="H12" i="9"/>
  <c r="Q12" i="9" s="1"/>
  <c r="G12" i="9"/>
  <c r="P12" i="9" s="1"/>
  <c r="U11" i="9"/>
  <c r="N11" i="9"/>
  <c r="K11" i="9"/>
  <c r="AJ36" i="9" s="1"/>
  <c r="I11" i="9"/>
  <c r="R11" i="9" s="1"/>
  <c r="H11" i="9"/>
  <c r="AG36" i="9" s="1"/>
  <c r="G11" i="9"/>
  <c r="AF36" i="9" s="1"/>
  <c r="U10" i="9"/>
  <c r="N10" i="9"/>
  <c r="K10" i="9"/>
  <c r="T10" i="9" s="1"/>
  <c r="J10" i="9"/>
  <c r="AI35" i="9" s="1"/>
  <c r="I10" i="9"/>
  <c r="H10" i="9"/>
  <c r="Q10" i="9" s="1"/>
  <c r="G10" i="9"/>
  <c r="U9" i="9"/>
  <c r="N9" i="9"/>
  <c r="K9" i="9"/>
  <c r="AJ34" i="9" s="1"/>
  <c r="J9" i="9"/>
  <c r="S9" i="9" s="1"/>
  <c r="H9" i="9"/>
  <c r="Q9" i="9" s="1"/>
  <c r="G9" i="9"/>
  <c r="P9" i="9" s="1"/>
  <c r="B248" i="31"/>
  <c r="B268" i="31" s="1"/>
  <c r="B247" i="31"/>
  <c r="B267" i="31" s="1"/>
  <c r="B246" i="31"/>
  <c r="B266" i="31" s="1"/>
  <c r="B245" i="31"/>
  <c r="B265" i="31" s="1"/>
  <c r="B244" i="31"/>
  <c r="B264" i="31" s="1"/>
  <c r="B243" i="31"/>
  <c r="B263" i="31" s="1"/>
  <c r="B242" i="31"/>
  <c r="B262" i="31" s="1"/>
  <c r="B241" i="31"/>
  <c r="B261" i="31" s="1"/>
  <c r="B240" i="31"/>
  <c r="B260" i="31" s="1"/>
  <c r="B239" i="31"/>
  <c r="B259" i="31" s="1"/>
  <c r="I179" i="31"/>
  <c r="I178" i="31"/>
  <c r="I176" i="31"/>
  <c r="F176" i="31"/>
  <c r="I175" i="31"/>
  <c r="I174" i="31"/>
  <c r="F174" i="31"/>
  <c r="I173" i="31"/>
  <c r="B143" i="31"/>
  <c r="B142" i="31"/>
  <c r="B141" i="31"/>
  <c r="B140" i="31"/>
  <c r="B139" i="31"/>
  <c r="B138" i="31"/>
  <c r="B137" i="31"/>
  <c r="B136" i="31"/>
  <c r="B135" i="31"/>
  <c r="B134" i="31"/>
  <c r="W77" i="31"/>
  <c r="W75" i="31"/>
  <c r="P46" i="31"/>
  <c r="P44" i="31"/>
  <c r="P15" i="31"/>
  <c r="P13" i="31"/>
  <c r="AF52" i="4"/>
  <c r="I52" i="4"/>
  <c r="H52" i="4"/>
  <c r="B52" i="4"/>
  <c r="AF51" i="4"/>
  <c r="I51" i="4"/>
  <c r="H51" i="4"/>
  <c r="B51" i="4"/>
  <c r="B50" i="4"/>
  <c r="B49" i="4"/>
  <c r="B48" i="4"/>
  <c r="B47" i="4"/>
  <c r="B46" i="4"/>
  <c r="B45" i="4"/>
  <c r="B44" i="4"/>
  <c r="G43" i="4"/>
  <c r="E43" i="4"/>
  <c r="B43" i="4"/>
  <c r="C37" i="4"/>
  <c r="C36" i="4"/>
  <c r="AI35" i="4"/>
  <c r="AI34" i="4"/>
  <c r="AG12" i="4"/>
  <c r="AF11" i="4"/>
  <c r="E28" i="4"/>
  <c r="M23" i="4"/>
  <c r="J23" i="4"/>
  <c r="F37" i="4" s="1"/>
  <c r="M22" i="4"/>
  <c r="J22" i="4"/>
  <c r="F36" i="4" s="1"/>
  <c r="M21" i="4"/>
  <c r="J21" i="4"/>
  <c r="M20" i="4"/>
  <c r="J20" i="4"/>
  <c r="C46" i="25"/>
  <c r="B46" i="25"/>
  <c r="C45" i="25"/>
  <c r="B45" i="25"/>
  <c r="C44" i="25"/>
  <c r="B44" i="25"/>
  <c r="C43" i="25"/>
  <c r="B43" i="25"/>
  <c r="C42" i="25"/>
  <c r="B42" i="25"/>
  <c r="C41" i="25"/>
  <c r="B41" i="25"/>
  <c r="G40" i="25"/>
  <c r="F40" i="25"/>
  <c r="E40" i="25"/>
  <c r="D40" i="25"/>
  <c r="C40" i="25"/>
  <c r="B40" i="25"/>
  <c r="G39" i="25"/>
  <c r="F39" i="25"/>
  <c r="E39" i="25"/>
  <c r="D39" i="25"/>
  <c r="C39" i="25"/>
  <c r="B39" i="25"/>
  <c r="G38" i="25"/>
  <c r="F38" i="25"/>
  <c r="E38" i="25"/>
  <c r="D38" i="25"/>
  <c r="C38" i="25"/>
  <c r="B38" i="25"/>
  <c r="G37" i="25"/>
  <c r="F37" i="25"/>
  <c r="E37" i="25"/>
  <c r="D37" i="25"/>
  <c r="C37" i="25"/>
  <c r="B37" i="25"/>
  <c r="G36" i="25"/>
  <c r="F36" i="25"/>
  <c r="E36" i="25"/>
  <c r="D36" i="25"/>
  <c r="C36" i="25"/>
  <c r="B36" i="25"/>
  <c r="G35" i="25"/>
  <c r="F35" i="25"/>
  <c r="E35" i="25"/>
  <c r="D35" i="25"/>
  <c r="C35" i="25"/>
  <c r="B35" i="25"/>
  <c r="G34" i="25"/>
  <c r="F34" i="25"/>
  <c r="E34" i="25"/>
  <c r="D34" i="25"/>
  <c r="C34" i="25"/>
  <c r="B34" i="25"/>
  <c r="G33" i="25"/>
  <c r="F33" i="25"/>
  <c r="E33" i="25"/>
  <c r="D33" i="25"/>
  <c r="C33" i="25"/>
  <c r="B33" i="25"/>
  <c r="G32" i="25"/>
  <c r="E32" i="25"/>
  <c r="C32" i="25"/>
  <c r="B32" i="25"/>
  <c r="G31" i="25"/>
  <c r="E31" i="25"/>
  <c r="C31" i="25"/>
  <c r="B31" i="25"/>
  <c r="N24" i="25"/>
  <c r="M24" i="25"/>
  <c r="L24" i="25"/>
  <c r="K24" i="25"/>
  <c r="H24" i="25"/>
  <c r="N23" i="25"/>
  <c r="M23" i="25"/>
  <c r="L23" i="25"/>
  <c r="K23" i="25"/>
  <c r="H23" i="25"/>
  <c r="O23" i="25" s="1"/>
  <c r="N22" i="25"/>
  <c r="M22" i="25"/>
  <c r="L22" i="25"/>
  <c r="K22" i="25"/>
  <c r="H22" i="25"/>
  <c r="I44" i="25" s="1"/>
  <c r="N21" i="25"/>
  <c r="M21" i="25"/>
  <c r="L21" i="25"/>
  <c r="K21" i="25"/>
  <c r="H21" i="25"/>
  <c r="P21" i="25" s="1"/>
  <c r="N20" i="25"/>
  <c r="M20" i="25"/>
  <c r="L20" i="25"/>
  <c r="K20" i="25"/>
  <c r="H20" i="25"/>
  <c r="I42" i="25" s="1"/>
  <c r="N19" i="25"/>
  <c r="M19" i="25"/>
  <c r="L19" i="25"/>
  <c r="K19" i="25"/>
  <c r="H19" i="25"/>
  <c r="J18" i="25"/>
  <c r="Q18" i="25" s="1"/>
  <c r="F18" i="25"/>
  <c r="D18" i="25"/>
  <c r="J17" i="25"/>
  <c r="F17" i="25"/>
  <c r="D17" i="25"/>
  <c r="J16" i="25"/>
  <c r="R16" i="25" s="1"/>
  <c r="F16" i="25"/>
  <c r="D16" i="25"/>
  <c r="J15" i="25"/>
  <c r="F15" i="25"/>
  <c r="D15" i="25"/>
  <c r="J14" i="25"/>
  <c r="F14" i="25"/>
  <c r="D14" i="25"/>
  <c r="J13" i="25"/>
  <c r="Q13" i="25" s="1"/>
  <c r="F13" i="25"/>
  <c r="D13" i="25"/>
  <c r="AU29" i="22" s="1"/>
  <c r="J12" i="25"/>
  <c r="F12" i="25"/>
  <c r="D12" i="25"/>
  <c r="J11" i="25"/>
  <c r="F11" i="25"/>
  <c r="D11" i="25"/>
  <c r="AT27" i="22" s="1"/>
  <c r="B52" i="19"/>
  <c r="B51" i="19"/>
  <c r="B50" i="19"/>
  <c r="B49" i="19"/>
  <c r="B48" i="19"/>
  <c r="B47" i="19"/>
  <c r="B46" i="19"/>
  <c r="B45" i="19"/>
  <c r="B44" i="19"/>
  <c r="H43" i="19"/>
  <c r="F43" i="19"/>
  <c r="B43" i="19"/>
  <c r="AD37" i="19"/>
  <c r="R37" i="19"/>
  <c r="N37" i="19"/>
  <c r="M37" i="19"/>
  <c r="C37" i="19"/>
  <c r="AD36" i="19"/>
  <c r="R36" i="19"/>
  <c r="N36" i="19"/>
  <c r="M36" i="19"/>
  <c r="C36" i="19"/>
  <c r="G33" i="19"/>
  <c r="E33" i="19"/>
  <c r="C33" i="19"/>
  <c r="G32" i="19"/>
  <c r="AC12" i="19" s="1"/>
  <c r="E32" i="19"/>
  <c r="C32" i="19"/>
  <c r="G31" i="19"/>
  <c r="AC11" i="19" s="1"/>
  <c r="E31" i="19"/>
  <c r="G30" i="19"/>
  <c r="AD10" i="19" s="1"/>
  <c r="E30" i="19"/>
  <c r="C30" i="19"/>
  <c r="G29" i="19"/>
  <c r="AB9" i="19" s="1"/>
  <c r="E29" i="19"/>
  <c r="C29" i="19"/>
  <c r="P23" i="19"/>
  <c r="N23" i="19"/>
  <c r="K23" i="19"/>
  <c r="L23" i="19" s="1"/>
  <c r="J23" i="19"/>
  <c r="P22" i="19"/>
  <c r="N22" i="19"/>
  <c r="K22" i="19"/>
  <c r="L22" i="19" s="1"/>
  <c r="J22" i="19"/>
  <c r="P21" i="19"/>
  <c r="N21" i="19"/>
  <c r="K21" i="19"/>
  <c r="L21" i="19" s="1"/>
  <c r="J21" i="19"/>
  <c r="P20" i="19"/>
  <c r="N20" i="19"/>
  <c r="K20" i="19"/>
  <c r="L20" i="19" s="1"/>
  <c r="J20" i="19"/>
  <c r="C16" i="19"/>
  <c r="C15" i="19"/>
  <c r="D14" i="19"/>
  <c r="C14" i="19"/>
  <c r="C13" i="19"/>
  <c r="C12" i="19"/>
  <c r="C11" i="19"/>
  <c r="C10" i="19"/>
  <c r="J144" i="30"/>
  <c r="I58" i="30"/>
  <c r="I57" i="30"/>
  <c r="I56" i="30"/>
  <c r="I55" i="30"/>
  <c r="I54" i="30"/>
  <c r="I53" i="30"/>
  <c r="I52" i="30"/>
  <c r="I51" i="30"/>
  <c r="I50" i="30"/>
  <c r="I49" i="30"/>
  <c r="K69" i="26"/>
  <c r="I69" i="26"/>
  <c r="J69" i="26"/>
  <c r="AW46" i="9"/>
  <c r="V37" i="27"/>
  <c r="V36" i="27"/>
  <c r="G50" i="5"/>
  <c r="O143" i="30"/>
  <c r="K60" i="5" l="1"/>
  <c r="K59" i="5"/>
  <c r="H64" i="5"/>
  <c r="H63" i="5"/>
  <c r="H68" i="5"/>
  <c r="H67" i="5"/>
  <c r="H58" i="5"/>
  <c r="H57" i="5"/>
  <c r="K63" i="5"/>
  <c r="K64" i="5"/>
  <c r="K66" i="5"/>
  <c r="K65" i="5"/>
  <c r="K68" i="5"/>
  <c r="K67" i="5"/>
  <c r="H60" i="5"/>
  <c r="H59" i="5"/>
  <c r="K62" i="5"/>
  <c r="K61" i="5"/>
  <c r="H62" i="5"/>
  <c r="H61" i="5"/>
  <c r="E11" i="17"/>
  <c r="K204" i="36" s="1"/>
  <c r="G11" i="17" s="1"/>
  <c r="G28" i="17"/>
  <c r="E31" i="17" s="1"/>
  <c r="H28" i="17"/>
  <c r="G31" i="17" s="1"/>
  <c r="T21" i="27"/>
  <c r="D10" i="4"/>
  <c r="W10" i="4" s="1"/>
  <c r="E643" i="40"/>
  <c r="H643" i="39" s="1"/>
  <c r="C639" i="40"/>
  <c r="B641" i="40"/>
  <c r="D639" i="40"/>
  <c r="B643" i="40"/>
  <c r="E640" i="40"/>
  <c r="H640" i="39" s="1"/>
  <c r="B639" i="40"/>
  <c r="D638" i="40"/>
  <c r="E638" i="40"/>
  <c r="H638" i="39" s="1"/>
  <c r="C640" i="40"/>
  <c r="B642" i="40"/>
  <c r="C641" i="40"/>
  <c r="C638" i="40"/>
  <c r="E641" i="40"/>
  <c r="H641" i="39" s="1"/>
  <c r="E642" i="40"/>
  <c r="H642" i="39" s="1"/>
  <c r="B640" i="40"/>
  <c r="B638" i="40"/>
  <c r="D640" i="40"/>
  <c r="C642" i="40"/>
  <c r="E639" i="40"/>
  <c r="H639" i="39" s="1"/>
  <c r="D641" i="40"/>
  <c r="C643" i="40"/>
  <c r="D642" i="40"/>
  <c r="D643" i="40"/>
  <c r="B47" i="47"/>
  <c r="L127" i="31"/>
  <c r="O11" i="31"/>
  <c r="W10" i="35" s="1"/>
  <c r="W19" i="35" s="1"/>
  <c r="D12" i="19"/>
  <c r="I12" i="19" s="1"/>
  <c r="J12" i="19" s="1"/>
  <c r="C271" i="43"/>
  <c r="D271" i="43"/>
  <c r="C263" i="43"/>
  <c r="D263" i="43"/>
  <c r="D13" i="27"/>
  <c r="V13" i="27" s="1"/>
  <c r="D270" i="43"/>
  <c r="C270" i="43"/>
  <c r="C262" i="43"/>
  <c r="D262" i="43"/>
  <c r="D264" i="43"/>
  <c r="C264" i="43"/>
  <c r="D16" i="19"/>
  <c r="C269" i="43"/>
  <c r="D269" i="43"/>
  <c r="D261" i="43"/>
  <c r="C261" i="43"/>
  <c r="C260" i="43"/>
  <c r="D260" i="43"/>
  <c r="D11" i="4"/>
  <c r="E103" i="30" s="1"/>
  <c r="J11" i="4" s="1"/>
  <c r="I11" i="4" s="1"/>
  <c r="D11" i="19"/>
  <c r="M11" i="19" s="1"/>
  <c r="H154" i="30" s="1"/>
  <c r="C275" i="43"/>
  <c r="D275" i="43"/>
  <c r="C267" i="43"/>
  <c r="D267" i="43"/>
  <c r="C259" i="43"/>
  <c r="D259" i="43"/>
  <c r="D12" i="4"/>
  <c r="U12" i="4" s="1"/>
  <c r="C272" i="43"/>
  <c r="D272" i="43"/>
  <c r="D15" i="27"/>
  <c r="X15" i="27" s="1"/>
  <c r="D13" i="19"/>
  <c r="I13" i="19" s="1"/>
  <c r="C274" i="43"/>
  <c r="D274" i="43"/>
  <c r="D266" i="43"/>
  <c r="C266" i="43"/>
  <c r="D258" i="43"/>
  <c r="C258" i="43"/>
  <c r="D16" i="27"/>
  <c r="X16" i="27" s="1"/>
  <c r="Q12" i="25"/>
  <c r="U34" i="25" s="1"/>
  <c r="R12" i="25"/>
  <c r="D273" i="43"/>
  <c r="C273" i="43"/>
  <c r="C265" i="43"/>
  <c r="D265" i="43"/>
  <c r="D16" i="4"/>
  <c r="X16" i="4" s="1"/>
  <c r="C268" i="43"/>
  <c r="D268" i="43"/>
  <c r="V45" i="25"/>
  <c r="S21" i="25"/>
  <c r="T21" i="25" s="1"/>
  <c r="U46" i="25"/>
  <c r="U44" i="25"/>
  <c r="V40" i="25"/>
  <c r="V43" i="25"/>
  <c r="U35" i="25"/>
  <c r="B145" i="43"/>
  <c r="H145" i="41" s="1"/>
  <c r="H135" i="41"/>
  <c r="Q36" i="19"/>
  <c r="R42" i="49"/>
  <c r="F22" i="49"/>
  <c r="Q11" i="49"/>
  <c r="H11" i="49"/>
  <c r="I8" i="20"/>
  <c r="P36" i="19"/>
  <c r="A570" i="7"/>
  <c r="A326" i="7"/>
  <c r="N28" i="19" s="1"/>
  <c r="AD8" i="19" s="1"/>
  <c r="A307" i="7"/>
  <c r="G206" i="30"/>
  <c r="K14" i="25" s="1"/>
  <c r="G207" i="30"/>
  <c r="K15" i="25" s="1"/>
  <c r="P36" i="4"/>
  <c r="N51" i="4" s="1"/>
  <c r="T36" i="4"/>
  <c r="P37" i="4"/>
  <c r="N52" i="4" s="1"/>
  <c r="T37" i="4"/>
  <c r="AN41" i="9"/>
  <c r="AT42" i="9"/>
  <c r="AK36" i="9"/>
  <c r="W11" i="9"/>
  <c r="AW42" i="9"/>
  <c r="W17" i="9"/>
  <c r="W22" i="9"/>
  <c r="AM24" i="9" s="1"/>
  <c r="AQ37" i="9"/>
  <c r="W12" i="9"/>
  <c r="C20" i="31"/>
  <c r="C11" i="31"/>
  <c r="Q21" i="32"/>
  <c r="AK39" i="9"/>
  <c r="AK34" i="9"/>
  <c r="W9" i="9"/>
  <c r="AK40" i="9"/>
  <c r="W15" i="9"/>
  <c r="AM17" i="9" s="1"/>
  <c r="AK46" i="9"/>
  <c r="AK38" i="9"/>
  <c r="O127" i="31"/>
  <c r="J127" i="31"/>
  <c r="Q127" i="31"/>
  <c r="L128" i="31"/>
  <c r="U126" i="31"/>
  <c r="L11" i="31"/>
  <c r="J126" i="31"/>
  <c r="V127" i="31" s="1"/>
  <c r="O12" i="31"/>
  <c r="N14" i="24"/>
  <c r="AA14" i="24" s="1"/>
  <c r="K42" i="31"/>
  <c r="K50" i="31" s="1"/>
  <c r="E251" i="31"/>
  <c r="AT52" i="27"/>
  <c r="K197" i="38"/>
  <c r="K212" i="38" s="1"/>
  <c r="H28" i="19"/>
  <c r="M28" i="19" s="1"/>
  <c r="P37" i="19"/>
  <c r="E297" i="7"/>
  <c r="AY19" i="22"/>
  <c r="Q37" i="19"/>
  <c r="D17" i="19"/>
  <c r="T20" i="27"/>
  <c r="D10" i="19"/>
  <c r="M10" i="19" s="1"/>
  <c r="N10" i="19" s="1"/>
  <c r="D12" i="27"/>
  <c r="W12" i="27" s="1"/>
  <c r="D17" i="4"/>
  <c r="E109" i="30" s="1"/>
  <c r="AY24" i="22"/>
  <c r="AU51" i="27"/>
  <c r="BG20" i="22"/>
  <c r="D15" i="4"/>
  <c r="C158" i="37" s="1"/>
  <c r="O14" i="16"/>
  <c r="L36" i="4"/>
  <c r="M36" i="4" s="1"/>
  <c r="J51" i="4" s="1"/>
  <c r="BE7" i="22"/>
  <c r="BL7" i="22" s="1"/>
  <c r="BS7" i="22" s="1"/>
  <c r="BS24" i="22" s="1"/>
  <c r="B76" i="5"/>
  <c r="K93" i="5"/>
  <c r="T22" i="27"/>
  <c r="Q36" i="27" s="1"/>
  <c r="BF18" i="22"/>
  <c r="D15" i="19"/>
  <c r="D14" i="27"/>
  <c r="X14" i="27" s="1"/>
  <c r="A648" i="7"/>
  <c r="D13" i="4"/>
  <c r="B156" i="30" s="1"/>
  <c r="AF54" i="4"/>
  <c r="X18" i="22"/>
  <c r="D14" i="4"/>
  <c r="C157" i="37" s="1"/>
  <c r="D11" i="27"/>
  <c r="X11" i="27" s="1"/>
  <c r="A126" i="7"/>
  <c r="BI24" i="22"/>
  <c r="BP7" i="22"/>
  <c r="BP24" i="22" s="1"/>
  <c r="W145" i="36"/>
  <c r="D42" i="16" s="1"/>
  <c r="F20" i="3"/>
  <c r="D18" i="4"/>
  <c r="D18" i="27"/>
  <c r="Q29" i="19"/>
  <c r="O44" i="19"/>
  <c r="R29" i="19"/>
  <c r="P44" i="19"/>
  <c r="K29" i="19"/>
  <c r="L29" i="19" s="1"/>
  <c r="M44" i="19" s="1"/>
  <c r="P29" i="19"/>
  <c r="BH7" i="22"/>
  <c r="L183" i="38"/>
  <c r="L210" i="38" s="1"/>
  <c r="N99" i="26"/>
  <c r="E86" i="5"/>
  <c r="BB24" i="22"/>
  <c r="K215" i="36"/>
  <c r="D49" i="17" s="1"/>
  <c r="O22" i="25"/>
  <c r="BN7" i="22"/>
  <c r="M13" i="16"/>
  <c r="W140" i="36"/>
  <c r="D39" i="16" s="1"/>
  <c r="W137" i="36"/>
  <c r="D45" i="16" s="1"/>
  <c r="L197" i="38"/>
  <c r="L212" i="38" s="1"/>
  <c r="BH21" i="22"/>
  <c r="AX20" i="22"/>
  <c r="H44" i="25"/>
  <c r="AT51" i="27"/>
  <c r="K214" i="36"/>
  <c r="D48" i="17" s="1"/>
  <c r="K48" i="17" s="1"/>
  <c r="BH18" i="22"/>
  <c r="H43" i="25"/>
  <c r="I43" i="25"/>
  <c r="BC24" i="22"/>
  <c r="T23" i="27"/>
  <c r="Q37" i="27" s="1"/>
  <c r="O21" i="25"/>
  <c r="AD18" i="22"/>
  <c r="L190" i="38"/>
  <c r="L211" i="38" s="1"/>
  <c r="N170" i="7"/>
  <c r="N185" i="7" s="1"/>
  <c r="N200" i="7" s="1"/>
  <c r="N215" i="7" s="1"/>
  <c r="N230" i="7" s="1"/>
  <c r="N245" i="7" s="1"/>
  <c r="N260" i="7" s="1"/>
  <c r="N275" i="7" s="1"/>
  <c r="H42" i="25"/>
  <c r="C53" i="17"/>
  <c r="K219" i="36" s="1"/>
  <c r="D53" i="17" s="1"/>
  <c r="V12" i="29"/>
  <c r="Q9" i="49"/>
  <c r="N24" i="47"/>
  <c r="I66" i="44"/>
  <c r="AC50" i="47" s="1"/>
  <c r="H66" i="44"/>
  <c r="AB50" i="47" s="1"/>
  <c r="I65" i="44"/>
  <c r="AC49" i="47" s="1"/>
  <c r="I67" i="44"/>
  <c r="AC51" i="47" s="1"/>
  <c r="H67" i="44"/>
  <c r="AB51" i="47" s="1"/>
  <c r="H65" i="44"/>
  <c r="AB49" i="47" s="1"/>
  <c r="I68" i="44"/>
  <c r="AC52" i="47" s="1"/>
  <c r="I64" i="44"/>
  <c r="AC48" i="47" s="1"/>
  <c r="H68" i="44"/>
  <c r="AB52" i="47" s="1"/>
  <c r="H64" i="44"/>
  <c r="AB48" i="47" s="1"/>
  <c r="P153" i="47"/>
  <c r="P154" i="47"/>
  <c r="P155" i="47"/>
  <c r="P156" i="47"/>
  <c r="P157" i="47"/>
  <c r="E80" i="17"/>
  <c r="J80" i="17" s="1"/>
  <c r="X79" i="36" s="1"/>
  <c r="E74" i="17"/>
  <c r="J74" i="17" s="1"/>
  <c r="E76" i="17"/>
  <c r="J76" i="17" s="1"/>
  <c r="X75" i="36" s="1"/>
  <c r="E75" i="17"/>
  <c r="I75" i="17" s="1"/>
  <c r="W74" i="36" s="1"/>
  <c r="E78" i="17"/>
  <c r="J78" i="17" s="1"/>
  <c r="X77" i="36" s="1"/>
  <c r="E79" i="17"/>
  <c r="J79" i="17" s="1"/>
  <c r="X78" i="36" s="1"/>
  <c r="E77" i="17"/>
  <c r="J77" i="17" s="1"/>
  <c r="X76" i="36" s="1"/>
  <c r="AB33" i="27"/>
  <c r="AB30" i="27"/>
  <c r="AI29" i="22"/>
  <c r="M32" i="19"/>
  <c r="N32" i="19"/>
  <c r="AJ26" i="22"/>
  <c r="N29" i="19"/>
  <c r="M29" i="19"/>
  <c r="AB44" i="19" s="1"/>
  <c r="N33" i="19"/>
  <c r="M33" i="19"/>
  <c r="AA48" i="19" s="1"/>
  <c r="M30" i="19"/>
  <c r="AA45" i="19" s="1"/>
  <c r="N30" i="19"/>
  <c r="AL12" i="22"/>
  <c r="M31" i="19"/>
  <c r="N31" i="19"/>
  <c r="O45" i="19"/>
  <c r="P45" i="19"/>
  <c r="Q30" i="19"/>
  <c r="R30" i="19"/>
  <c r="P30" i="19"/>
  <c r="R31" i="19"/>
  <c r="P46" i="19"/>
  <c r="O46" i="19"/>
  <c r="K31" i="19"/>
  <c r="L31" i="19" s="1"/>
  <c r="AJ29" i="19" s="1"/>
  <c r="P31" i="19"/>
  <c r="Q31" i="19"/>
  <c r="F28" i="27"/>
  <c r="AS43" i="27" s="1"/>
  <c r="F46" i="27"/>
  <c r="V14" i="29"/>
  <c r="V15" i="29"/>
  <c r="M33" i="27"/>
  <c r="M34" i="27"/>
  <c r="M29" i="27"/>
  <c r="M31" i="27"/>
  <c r="M35" i="27"/>
  <c r="AU50" i="27" s="1"/>
  <c r="M30" i="27"/>
  <c r="AU45" i="27" s="1"/>
  <c r="M32" i="27"/>
  <c r="D45" i="27"/>
  <c r="AT44" i="27" s="1"/>
  <c r="F44" i="27"/>
  <c r="F29" i="27"/>
  <c r="AS44" i="27" s="1"/>
  <c r="H31" i="27"/>
  <c r="H35" i="27"/>
  <c r="H33" i="27"/>
  <c r="H32" i="27"/>
  <c r="D47" i="27"/>
  <c r="F32" i="27"/>
  <c r="AS47" i="27" s="1"/>
  <c r="F31" i="27"/>
  <c r="AS46" i="27" s="1"/>
  <c r="F30" i="27"/>
  <c r="AS45" i="27" s="1"/>
  <c r="F35" i="27"/>
  <c r="F34" i="27"/>
  <c r="F33" i="27"/>
  <c r="AS48" i="27" s="1"/>
  <c r="D48" i="27"/>
  <c r="O48" i="19"/>
  <c r="P48" i="19"/>
  <c r="P47" i="19"/>
  <c r="O47" i="19"/>
  <c r="M35" i="19"/>
  <c r="AB15" i="19" s="1"/>
  <c r="N35" i="19"/>
  <c r="AD15" i="19" s="1"/>
  <c r="M34" i="19"/>
  <c r="AA49" i="19" s="1"/>
  <c r="N34" i="19"/>
  <c r="AC14" i="19" s="1"/>
  <c r="H15" i="7"/>
  <c r="A1060" i="7"/>
  <c r="E296" i="7"/>
  <c r="J684" i="7"/>
  <c r="B684" i="7" s="1"/>
  <c r="C55" i="17" s="1"/>
  <c r="K220" i="36" s="1"/>
  <c r="A739" i="7"/>
  <c r="A753" i="7" s="1"/>
  <c r="C12" i="45"/>
  <c r="T36" i="27"/>
  <c r="X36" i="27" s="1"/>
  <c r="M28" i="27"/>
  <c r="AK20" i="24"/>
  <c r="M21" i="5"/>
  <c r="N73" i="5"/>
  <c r="O73" i="5"/>
  <c r="N72" i="5"/>
  <c r="F45" i="27"/>
  <c r="F47" i="27"/>
  <c r="F48" i="27"/>
  <c r="V13" i="29"/>
  <c r="N119" i="26"/>
  <c r="N77" i="26"/>
  <c r="A740" i="7"/>
  <c r="U37" i="27"/>
  <c r="V23" i="29"/>
  <c r="I46" i="44"/>
  <c r="H46" i="44"/>
  <c r="AB22" i="47" s="1"/>
  <c r="H51" i="44"/>
  <c r="I51" i="44"/>
  <c r="Y15" i="36"/>
  <c r="N43" i="16"/>
  <c r="N13" i="16"/>
  <c r="O48" i="16"/>
  <c r="R51" i="17"/>
  <c r="N14" i="16"/>
  <c r="Q51" i="17"/>
  <c r="M47" i="16"/>
  <c r="N32" i="16"/>
  <c r="N47" i="16"/>
  <c r="R50" i="17"/>
  <c r="O47" i="16"/>
  <c r="O46" i="16"/>
  <c r="G63" i="17"/>
  <c r="W68" i="36" s="1"/>
  <c r="E264" i="31"/>
  <c r="T263" i="31"/>
  <c r="AS42" i="9"/>
  <c r="AU40" i="9"/>
  <c r="AM36" i="9"/>
  <c r="P19" i="25"/>
  <c r="S19" i="25" s="1"/>
  <c r="H41" i="25"/>
  <c r="I41" i="25"/>
  <c r="V22" i="29"/>
  <c r="BG7" i="22"/>
  <c r="AS52" i="27"/>
  <c r="T37" i="27"/>
  <c r="N28" i="16"/>
  <c r="G39" i="16"/>
  <c r="L37" i="4"/>
  <c r="M37" i="4" s="1"/>
  <c r="BF19" i="22"/>
  <c r="BH19" i="22"/>
  <c r="BG18" i="22"/>
  <c r="BJ18" i="22"/>
  <c r="BF20" i="22"/>
  <c r="BH20" i="22"/>
  <c r="BG19" i="22"/>
  <c r="BJ19" i="22"/>
  <c r="BE19" i="22"/>
  <c r="BG21" i="22"/>
  <c r="BJ21" i="22"/>
  <c r="BE20" i="22"/>
  <c r="BI18" i="22"/>
  <c r="BI20" i="22"/>
  <c r="BI21" i="22"/>
  <c r="BE18" i="22"/>
  <c r="BJ20" i="22"/>
  <c r="BE21" i="22"/>
  <c r="BD24" i="22"/>
  <c r="BJ26" i="22" s="1"/>
  <c r="E294" i="7"/>
  <c r="D294" i="7"/>
  <c r="BC19" i="22"/>
  <c r="M50" i="5"/>
  <c r="K51" i="4"/>
  <c r="D49" i="27"/>
  <c r="F49" i="27"/>
  <c r="BA17" i="22"/>
  <c r="P24" i="25"/>
  <c r="S24" i="25" s="1"/>
  <c r="H46" i="25"/>
  <c r="I46" i="25"/>
  <c r="O24" i="25"/>
  <c r="B84" i="7"/>
  <c r="B85" i="7" s="1"/>
  <c r="B81" i="7"/>
  <c r="B82" i="7" s="1"/>
  <c r="BB20" i="22"/>
  <c r="P20" i="25"/>
  <c r="S20" i="25" s="1"/>
  <c r="O20" i="25"/>
  <c r="Q50" i="17"/>
  <c r="D295" i="7"/>
  <c r="M28" i="16"/>
  <c r="F39" i="16"/>
  <c r="BQ7" i="22"/>
  <c r="BJ24" i="22"/>
  <c r="M14" i="16"/>
  <c r="AX18" i="22"/>
  <c r="AZ18" i="22"/>
  <c r="BB18" i="22"/>
  <c r="AX19" i="22"/>
  <c r="AZ19" i="22"/>
  <c r="BB19" i="22"/>
  <c r="AX21" i="22"/>
  <c r="AZ21" i="22"/>
  <c r="BB21" i="22"/>
  <c r="AY18" i="22"/>
  <c r="BA18" i="22"/>
  <c r="BC18" i="22"/>
  <c r="AY20" i="22"/>
  <c r="BC20" i="22"/>
  <c r="AY21" i="22"/>
  <c r="BC21" i="22"/>
  <c r="BA19" i="22"/>
  <c r="AZ20" i="22"/>
  <c r="BF7" i="22"/>
  <c r="O19" i="25"/>
  <c r="U36" i="27"/>
  <c r="H45" i="25"/>
  <c r="I45" i="25"/>
  <c r="P23" i="25"/>
  <c r="S23" i="25" s="1"/>
  <c r="AW24" i="22"/>
  <c r="AX26" i="22" s="1"/>
  <c r="K183" i="38"/>
  <c r="K210" i="38" s="1"/>
  <c r="K204" i="38"/>
  <c r="K213" i="38" s="1"/>
  <c r="I71" i="26"/>
  <c r="BI19" i="22"/>
  <c r="BA20" i="22"/>
  <c r="D44" i="27"/>
  <c r="AT43" i="27" s="1"/>
  <c r="B681" i="7"/>
  <c r="M21" i="16"/>
  <c r="M22" i="16" s="1"/>
  <c r="P22" i="25"/>
  <c r="S22" i="25" s="1"/>
  <c r="Z18" i="22"/>
  <c r="U74" i="26"/>
  <c r="H19" i="38"/>
  <c r="AH17" i="24"/>
  <c r="N21" i="5"/>
  <c r="M22" i="5"/>
  <c r="N22" i="5"/>
  <c r="B680" i="7"/>
  <c r="C45" i="17" s="1"/>
  <c r="K211" i="36" s="1"/>
  <c r="AE91" i="47" s="1"/>
  <c r="M49" i="5"/>
  <c r="AB18" i="22"/>
  <c r="C40" i="16"/>
  <c r="W141" i="36" s="1"/>
  <c r="B679" i="7"/>
  <c r="C46" i="17" s="1"/>
  <c r="K212" i="36" s="1"/>
  <c r="B683" i="7"/>
  <c r="O22" i="5"/>
  <c r="BC14" i="22"/>
  <c r="K190" i="38"/>
  <c r="K211" i="38" s="1"/>
  <c r="L204" i="38"/>
  <c r="L213" i="38" s="1"/>
  <c r="N98" i="26"/>
  <c r="N76" i="26"/>
  <c r="O21" i="5"/>
  <c r="M29" i="16"/>
  <c r="G66" i="17"/>
  <c r="N29" i="16"/>
  <c r="N118" i="26"/>
  <c r="M73" i="5"/>
  <c r="K94" i="5"/>
  <c r="O13" i="16"/>
  <c r="O29" i="16"/>
  <c r="O72" i="5"/>
  <c r="X10" i="27"/>
  <c r="AT49" i="27"/>
  <c r="AU52" i="27"/>
  <c r="M72" i="5"/>
  <c r="Y34" i="22"/>
  <c r="Y33" i="22"/>
  <c r="Y32" i="22"/>
  <c r="Y31" i="22"/>
  <c r="AA34" i="22"/>
  <c r="AA33" i="22"/>
  <c r="AA32" i="22"/>
  <c r="AA31" i="22"/>
  <c r="AC34" i="22"/>
  <c r="AC33" i="22"/>
  <c r="AC32" i="22"/>
  <c r="AC31" i="22"/>
  <c r="AE34" i="22"/>
  <c r="AE33" i="22"/>
  <c r="AE32" i="22"/>
  <c r="AE31" i="22"/>
  <c r="M12" i="16"/>
  <c r="O12" i="16"/>
  <c r="N12" i="16"/>
  <c r="M43" i="16"/>
  <c r="O43" i="16"/>
  <c r="N48" i="16"/>
  <c r="M48" i="16"/>
  <c r="N46" i="16"/>
  <c r="M30" i="16"/>
  <c r="N31" i="16"/>
  <c r="O31" i="16"/>
  <c r="M32" i="16"/>
  <c r="M44" i="16"/>
  <c r="O44" i="16"/>
  <c r="M49" i="16"/>
  <c r="N49" i="16"/>
  <c r="O49" i="16"/>
  <c r="O28" i="16"/>
  <c r="J39" i="16"/>
  <c r="M46" i="16"/>
  <c r="R46" i="16" s="1"/>
  <c r="N30" i="16"/>
  <c r="O30" i="16"/>
  <c r="M31" i="16"/>
  <c r="O32" i="16"/>
  <c r="N44" i="16"/>
  <c r="I14" i="19"/>
  <c r="D157" i="30" s="1"/>
  <c r="Y15" i="22"/>
  <c r="AA15" i="22"/>
  <c r="AC15" i="22"/>
  <c r="AE15" i="22"/>
  <c r="Y16" i="22"/>
  <c r="AA16" i="22"/>
  <c r="AC16" i="22"/>
  <c r="AE16" i="22"/>
  <c r="Y17" i="22"/>
  <c r="AA17" i="22"/>
  <c r="AC17" i="22"/>
  <c r="AE17" i="22"/>
  <c r="Y18" i="22"/>
  <c r="AA18" i="22"/>
  <c r="AC18" i="22"/>
  <c r="AE18" i="22"/>
  <c r="X24" i="22"/>
  <c r="Z24" i="22"/>
  <c r="AB24" i="22"/>
  <c r="AD24" i="22"/>
  <c r="F40" i="16"/>
  <c r="G40" i="16"/>
  <c r="J40" i="16"/>
  <c r="F41" i="16"/>
  <c r="G41" i="16"/>
  <c r="J41" i="16"/>
  <c r="J71" i="26"/>
  <c r="L71" i="26"/>
  <c r="I74" i="26"/>
  <c r="K74" i="26"/>
  <c r="H45" i="7"/>
  <c r="H276" i="7"/>
  <c r="N21" i="16"/>
  <c r="O21" i="16"/>
  <c r="O22" i="16" s="1"/>
  <c r="E98" i="5"/>
  <c r="E96" i="5"/>
  <c r="E94" i="5"/>
  <c r="E91" i="5"/>
  <c r="E89" i="5"/>
  <c r="E87" i="5"/>
  <c r="E85" i="5"/>
  <c r="E84" i="5"/>
  <c r="C13" i="5"/>
  <c r="D131" i="35" s="1"/>
  <c r="D13" i="5" s="1"/>
  <c r="N13" i="5" s="1"/>
  <c r="P21" i="24"/>
  <c r="M43" i="24" s="1"/>
  <c r="P18" i="24"/>
  <c r="M40" i="24" s="1"/>
  <c r="AJ20" i="24"/>
  <c r="AJ18" i="24"/>
  <c r="P20" i="24"/>
  <c r="L42" i="24" s="1"/>
  <c r="AI19" i="24"/>
  <c r="AA22" i="24"/>
  <c r="AA17" i="24"/>
  <c r="AK23" i="24"/>
  <c r="AK19" i="24"/>
  <c r="AA21" i="24"/>
  <c r="AK17" i="24"/>
  <c r="P23" i="24"/>
  <c r="L45" i="24" s="1"/>
  <c r="AH21" i="24"/>
  <c r="AJ21" i="24"/>
  <c r="AH18" i="24"/>
  <c r="AJ22" i="24"/>
  <c r="O49" i="5"/>
  <c r="N49" i="5"/>
  <c r="N50" i="5"/>
  <c r="O50" i="5"/>
  <c r="AI23" i="24"/>
  <c r="AI20" i="24"/>
  <c r="AH23" i="24"/>
  <c r="AA20" i="24"/>
  <c r="AH20" i="24"/>
  <c r="AA23" i="24"/>
  <c r="X15" i="22"/>
  <c r="Z15" i="22"/>
  <c r="AB15" i="22"/>
  <c r="AD15" i="22"/>
  <c r="X16" i="22"/>
  <c r="Z16" i="22"/>
  <c r="AB16" i="22"/>
  <c r="AD16" i="22"/>
  <c r="X17" i="22"/>
  <c r="Z17" i="22"/>
  <c r="AB17" i="22"/>
  <c r="AD17" i="22"/>
  <c r="J74" i="26"/>
  <c r="G70" i="5"/>
  <c r="N70" i="5" s="1"/>
  <c r="E99" i="5"/>
  <c r="E97" i="5"/>
  <c r="E95" i="5"/>
  <c r="E93" i="5"/>
  <c r="E92" i="5"/>
  <c r="E90" i="5"/>
  <c r="E88" i="5"/>
  <c r="P17" i="24"/>
  <c r="P22" i="24"/>
  <c r="L44" i="24" s="1"/>
  <c r="AJ23" i="24"/>
  <c r="AI21" i="24"/>
  <c r="AA18" i="24"/>
  <c r="AA19" i="24"/>
  <c r="AI17" i="24"/>
  <c r="AH19" i="24"/>
  <c r="AI22" i="24"/>
  <c r="AK21" i="24"/>
  <c r="AK22" i="24"/>
  <c r="AI18" i="24"/>
  <c r="P19" i="24"/>
  <c r="L41" i="24" s="1"/>
  <c r="AJ19" i="24"/>
  <c r="AK18" i="24"/>
  <c r="AJ17" i="24"/>
  <c r="AH22" i="24"/>
  <c r="I10" i="27"/>
  <c r="L10" i="27" s="1"/>
  <c r="AG46" i="4"/>
  <c r="AE28" i="22"/>
  <c r="AH44" i="4"/>
  <c r="AQ15" i="22"/>
  <c r="AI25" i="22"/>
  <c r="H16" i="25"/>
  <c r="O16" i="25" s="1"/>
  <c r="AQ16" i="22"/>
  <c r="H13" i="25"/>
  <c r="BA9" i="22"/>
  <c r="AR26" i="22"/>
  <c r="AU9" i="22"/>
  <c r="AZ9" i="22"/>
  <c r="H10" i="25"/>
  <c r="BJ9" i="22"/>
  <c r="AT9" i="22"/>
  <c r="BH26" i="22"/>
  <c r="AV9" i="22"/>
  <c r="BC26" i="22"/>
  <c r="AS9" i="22"/>
  <c r="AV26" i="22"/>
  <c r="H43" i="4"/>
  <c r="I44" i="4"/>
  <c r="AU25" i="22"/>
  <c r="BE25" i="22"/>
  <c r="BG9" i="22"/>
  <c r="AY9" i="22"/>
  <c r="AS26" i="22"/>
  <c r="BA12" i="22"/>
  <c r="BH8" i="22"/>
  <c r="AL11" i="22"/>
  <c r="BE12" i="22"/>
  <c r="BG8" i="22"/>
  <c r="AN25" i="22"/>
  <c r="AN9" i="22"/>
  <c r="BJ14" i="22"/>
  <c r="AM9" i="22"/>
  <c r="J28" i="19"/>
  <c r="Y14" i="22"/>
  <c r="BG13" i="22"/>
  <c r="J30" i="19"/>
  <c r="AT12" i="22"/>
  <c r="AL25" i="22"/>
  <c r="BI9" i="22"/>
  <c r="BC9" i="22"/>
  <c r="BE9" i="22"/>
  <c r="AU26" i="22"/>
  <c r="AR9" i="22"/>
  <c r="AL9" i="22"/>
  <c r="AM11" i="22"/>
  <c r="Q16" i="25"/>
  <c r="AN27" i="22"/>
  <c r="BH9" i="22"/>
  <c r="BB9" i="22"/>
  <c r="AI9" i="22"/>
  <c r="AX9" i="22"/>
  <c r="AT26" i="22"/>
  <c r="AQ9" i="22"/>
  <c r="AI10" i="22"/>
  <c r="AM10" i="22"/>
  <c r="AL28" i="22"/>
  <c r="H29" i="19"/>
  <c r="AM28" i="22"/>
  <c r="BG14" i="22"/>
  <c r="AR30" i="22"/>
  <c r="AV14" i="22"/>
  <c r="AY13" i="22"/>
  <c r="R18" i="25"/>
  <c r="BG25" i="22"/>
  <c r="BE8" i="22"/>
  <c r="AI26" i="22"/>
  <c r="H44" i="4"/>
  <c r="AL26" i="22"/>
  <c r="H31" i="19"/>
  <c r="AH12" i="22"/>
  <c r="AM26" i="22"/>
  <c r="BI14" i="22"/>
  <c r="BH17" i="22"/>
  <c r="AZ14" i="22"/>
  <c r="J29" i="19"/>
  <c r="H15" i="25"/>
  <c r="AI12" i="22"/>
  <c r="BH15" i="22"/>
  <c r="AU31" i="22"/>
  <c r="AS30" i="22"/>
  <c r="AN28" i="22"/>
  <c r="H14" i="25"/>
  <c r="H18" i="25"/>
  <c r="O18" i="25" s="1"/>
  <c r="AH10" i="22"/>
  <c r="AI27" i="22"/>
  <c r="BJ16" i="22"/>
  <c r="AX14" i="22"/>
  <c r="BF8" i="22"/>
  <c r="AK30" i="22"/>
  <c r="AN14" i="22"/>
  <c r="AH30" i="22"/>
  <c r="AK14" i="22"/>
  <c r="AG30" i="22"/>
  <c r="AJ14" i="22"/>
  <c r="AM14" i="22"/>
  <c r="AN30" i="22"/>
  <c r="AL14" i="22"/>
  <c r="AM30" i="22"/>
  <c r="AI14" i="22"/>
  <c r="AL30" i="22"/>
  <c r="AH14" i="22"/>
  <c r="AJ30" i="22"/>
  <c r="AG14" i="22"/>
  <c r="J33" i="19"/>
  <c r="AI30" i="22"/>
  <c r="H33" i="19"/>
  <c r="AR27" i="22"/>
  <c r="BE10" i="22"/>
  <c r="AR10" i="22"/>
  <c r="AT10" i="22"/>
  <c r="AV10" i="22"/>
  <c r="AU27" i="22"/>
  <c r="AV27" i="22"/>
  <c r="BC10" i="22"/>
  <c r="AS10" i="22"/>
  <c r="AY10" i="22"/>
  <c r="AQ27" i="22"/>
  <c r="BB10" i="22"/>
  <c r="BA10" i="22"/>
  <c r="AS27" i="22"/>
  <c r="BH10" i="22"/>
  <c r="BG10" i="22"/>
  <c r="BI10" i="22"/>
  <c r="BJ10" i="22"/>
  <c r="AX10" i="22"/>
  <c r="BE27" i="22"/>
  <c r="AU10" i="22"/>
  <c r="AQ10" i="22"/>
  <c r="BF10" i="22"/>
  <c r="H11" i="25"/>
  <c r="AZ10" i="22"/>
  <c r="AH48" i="4"/>
  <c r="AG10" i="4"/>
  <c r="AF10" i="4"/>
  <c r="AG47" i="4"/>
  <c r="AK29" i="22"/>
  <c r="AN13" i="22"/>
  <c r="AH29" i="22"/>
  <c r="AK13" i="22"/>
  <c r="AG29" i="22"/>
  <c r="AJ13" i="22"/>
  <c r="AC13" i="19"/>
  <c r="AB13" i="19"/>
  <c r="AD13" i="19"/>
  <c r="AX11" i="22"/>
  <c r="AZ11" i="22"/>
  <c r="BB11" i="22"/>
  <c r="BA28" i="22"/>
  <c r="AR28" i="22"/>
  <c r="AY11" i="22"/>
  <c r="BA11" i="22"/>
  <c r="BC11" i="22"/>
  <c r="AS28" i="22"/>
  <c r="AQ11" i="22"/>
  <c r="AR11" i="22"/>
  <c r="BG11" i="22"/>
  <c r="BJ11" i="22"/>
  <c r="AU11" i="22"/>
  <c r="AV11" i="22"/>
  <c r="BI11" i="22"/>
  <c r="BE11" i="22"/>
  <c r="AU28" i="22"/>
  <c r="BJ28" i="22"/>
  <c r="AT28" i="22"/>
  <c r="BF11" i="22"/>
  <c r="BH11" i="22"/>
  <c r="AG13" i="22"/>
  <c r="AJ29" i="22"/>
  <c r="AT11" i="22"/>
  <c r="BC28" i="22"/>
  <c r="AD12" i="19"/>
  <c r="AB12" i="19"/>
  <c r="AA12" i="19"/>
  <c r="AT29" i="22"/>
  <c r="BF12" i="22"/>
  <c r="AX12" i="22"/>
  <c r="AZ12" i="22"/>
  <c r="BB12" i="22"/>
  <c r="BH12" i="22"/>
  <c r="BC12" i="22"/>
  <c r="AQ12" i="22"/>
  <c r="AR12" i="22"/>
  <c r="BG12" i="22"/>
  <c r="BJ12" i="22"/>
  <c r="AS12" i="22"/>
  <c r="BE17" i="22"/>
  <c r="AR17" i="22"/>
  <c r="AT17" i="22"/>
  <c r="AV17" i="22"/>
  <c r="AU34" i="22"/>
  <c r="AQ17" i="22"/>
  <c r="AS17" i="22"/>
  <c r="AU17" i="22"/>
  <c r="AQ34" i="22"/>
  <c r="AY17" i="22"/>
  <c r="AZ17" i="22"/>
  <c r="AR34" i="22"/>
  <c r="AS34" i="22"/>
  <c r="AT34" i="22"/>
  <c r="AV34" i="22"/>
  <c r="BF34" i="22"/>
  <c r="BF17" i="22"/>
  <c r="BC17" i="22"/>
  <c r="BJ17" i="22"/>
  <c r="AH13" i="22"/>
  <c r="AL29" i="22"/>
  <c r="AR29" i="22"/>
  <c r="AU12" i="22"/>
  <c r="AK28" i="22"/>
  <c r="AN12" i="22"/>
  <c r="AH28" i="22"/>
  <c r="AK12" i="22"/>
  <c r="J31" i="19"/>
  <c r="AG28" i="22"/>
  <c r="AJ12" i="22"/>
  <c r="H32" i="19"/>
  <c r="Q11" i="25"/>
  <c r="V33" i="25" s="1"/>
  <c r="R11" i="25"/>
  <c r="H12" i="25"/>
  <c r="AQ13" i="22"/>
  <c r="AS13" i="22"/>
  <c r="AU13" i="22"/>
  <c r="AQ30" i="22"/>
  <c r="AT30" i="22"/>
  <c r="BF13" i="22"/>
  <c r="BE13" i="22"/>
  <c r="AR13" i="22"/>
  <c r="AT13" i="22"/>
  <c r="AV13" i="22"/>
  <c r="AU30" i="22"/>
  <c r="BA13" i="22"/>
  <c r="BB13" i="22"/>
  <c r="BH13" i="22"/>
  <c r="AX13" i="22"/>
  <c r="AX30" i="22"/>
  <c r="AV30" i="22"/>
  <c r="BI13" i="22"/>
  <c r="BJ13" i="22"/>
  <c r="AY15" i="22"/>
  <c r="BA15" i="22"/>
  <c r="BC15" i="22"/>
  <c r="AS32" i="22"/>
  <c r="AV32" i="22"/>
  <c r="AX15" i="22"/>
  <c r="AZ15" i="22"/>
  <c r="BB15" i="22"/>
  <c r="AQ32" i="22"/>
  <c r="AT32" i="22"/>
  <c r="AU32" i="22"/>
  <c r="BF15" i="22"/>
  <c r="BH32" i="22"/>
  <c r="BI15" i="22"/>
  <c r="BG32" i="22"/>
  <c r="AS15" i="22"/>
  <c r="BG15" i="22"/>
  <c r="BJ15" i="22"/>
  <c r="AR32" i="22"/>
  <c r="BE32" i="22"/>
  <c r="AT15" i="22"/>
  <c r="AU15" i="22"/>
  <c r="AV15" i="22"/>
  <c r="AY16" i="22"/>
  <c r="BA16" i="22"/>
  <c r="BC16" i="22"/>
  <c r="AS33" i="22"/>
  <c r="BF33" i="22"/>
  <c r="BE33" i="22"/>
  <c r="AT33" i="22"/>
  <c r="BF16" i="22"/>
  <c r="AZ16" i="22"/>
  <c r="AV16" i="22"/>
  <c r="AR33" i="22"/>
  <c r="AV33" i="22"/>
  <c r="AQ33" i="22"/>
  <c r="AU33" i="22"/>
  <c r="BH33" i="22"/>
  <c r="BI16" i="22"/>
  <c r="AR16" i="22"/>
  <c r="BH16" i="22"/>
  <c r="AX16" i="22"/>
  <c r="BG16" i="22"/>
  <c r="BE16" i="22"/>
  <c r="BB16" i="22"/>
  <c r="AS16" i="22"/>
  <c r="AT16" i="22"/>
  <c r="AU16" i="22"/>
  <c r="H17" i="25"/>
  <c r="AF12" i="4"/>
  <c r="AG13" i="4"/>
  <c r="AF13" i="4"/>
  <c r="AG10" i="22"/>
  <c r="AM12" i="22"/>
  <c r="AI13" i="22"/>
  <c r="AM29" i="22"/>
  <c r="BI17" i="22"/>
  <c r="BG17" i="22"/>
  <c r="AR15" i="22"/>
  <c r="BB17" i="22"/>
  <c r="AX17" i="22"/>
  <c r="R13" i="25"/>
  <c r="AA11" i="19"/>
  <c r="AD11" i="19"/>
  <c r="AB11" i="19"/>
  <c r="J32" i="19"/>
  <c r="AL13" i="22"/>
  <c r="AN29" i="22"/>
  <c r="AK27" i="22"/>
  <c r="AN11" i="22"/>
  <c r="AH27" i="22"/>
  <c r="AK11" i="22"/>
  <c r="AG27" i="22"/>
  <c r="AJ11" i="22"/>
  <c r="AG11" i="22"/>
  <c r="AM13" i="22"/>
  <c r="AJ27" i="22"/>
  <c r="BI12" i="22"/>
  <c r="AV12" i="22"/>
  <c r="R10" i="25"/>
  <c r="Q10" i="25"/>
  <c r="AK26" i="22"/>
  <c r="AN10" i="22"/>
  <c r="AH26" i="22"/>
  <c r="AK10" i="22"/>
  <c r="AG26" i="22"/>
  <c r="AJ10" i="22"/>
  <c r="AC10" i="19"/>
  <c r="AB10" i="19"/>
  <c r="AA10" i="19"/>
  <c r="Q14" i="25"/>
  <c r="R14" i="25"/>
  <c r="AL10" i="22"/>
  <c r="AH11" i="22"/>
  <c r="AD12" i="22"/>
  <c r="AN26" i="22"/>
  <c r="AL27" i="22"/>
  <c r="AI28" i="22"/>
  <c r="BG30" i="22"/>
  <c r="AV29" i="22"/>
  <c r="AQ29" i="22"/>
  <c r="AS11" i="22"/>
  <c r="BC13" i="22"/>
  <c r="AY12" i="22"/>
  <c r="AQ8" i="22"/>
  <c r="AZ25" i="22"/>
  <c r="BB8" i="22"/>
  <c r="BA8" i="22"/>
  <c r="H9" i="25"/>
  <c r="AA13" i="19"/>
  <c r="Q17" i="25"/>
  <c r="R17" i="25"/>
  <c r="AS29" i="22"/>
  <c r="AC9" i="19"/>
  <c r="AD9" i="19"/>
  <c r="AA9" i="19"/>
  <c r="H30" i="19"/>
  <c r="Q15" i="25"/>
  <c r="R15" i="25"/>
  <c r="AI11" i="22"/>
  <c r="AG12" i="22"/>
  <c r="AM27" i="22"/>
  <c r="AJ28" i="22"/>
  <c r="BF29" i="22"/>
  <c r="AV28" i="22"/>
  <c r="AQ28" i="22"/>
  <c r="BE15" i="22"/>
  <c r="AZ13" i="22"/>
  <c r="BH14" i="22"/>
  <c r="BF14" i="22"/>
  <c r="AT31" i="22"/>
  <c r="AR14" i="22"/>
  <c r="Y30" i="22"/>
  <c r="AJ9" i="22"/>
  <c r="AM25" i="22"/>
  <c r="AJ25" i="22"/>
  <c r="AG25" i="22"/>
  <c r="AH9" i="22"/>
  <c r="AK25" i="22"/>
  <c r="AA8" i="19"/>
  <c r="AK9" i="22"/>
  <c r="AG9" i="22"/>
  <c r="AH25" i="22"/>
  <c r="AV31" i="22"/>
  <c r="AQ14" i="22"/>
  <c r="AS14" i="22"/>
  <c r="AU14" i="22"/>
  <c r="AQ31" i="22"/>
  <c r="AR31" i="22"/>
  <c r="AS31" i="22"/>
  <c r="BA14" i="22"/>
  <c r="BB14" i="22"/>
  <c r="BE14" i="22"/>
  <c r="AT14" i="22"/>
  <c r="AY14" i="22"/>
  <c r="AG11" i="4"/>
  <c r="I43" i="4"/>
  <c r="BF9" i="22"/>
  <c r="BA26" i="22"/>
  <c r="BF26" i="22"/>
  <c r="AQ26" i="22"/>
  <c r="AZ8" i="22"/>
  <c r="BJ8" i="22"/>
  <c r="AV8" i="22"/>
  <c r="AY8" i="22"/>
  <c r="AR25" i="22"/>
  <c r="BI8" i="22"/>
  <c r="BC8" i="22"/>
  <c r="AX8" i="22"/>
  <c r="AS8" i="22"/>
  <c r="H37" i="24"/>
  <c r="W10" i="27"/>
  <c r="AG49" i="4"/>
  <c r="B16" i="20"/>
  <c r="B41" i="20"/>
  <c r="B31" i="20"/>
  <c r="H244" i="36"/>
  <c r="C13" i="3"/>
  <c r="D15" i="3" s="1"/>
  <c r="B14" i="49"/>
  <c r="K155" i="38"/>
  <c r="B25" i="20"/>
  <c r="B26" i="20"/>
  <c r="Q199" i="30"/>
  <c r="G69" i="5"/>
  <c r="N69" i="5" s="1"/>
  <c r="J69" i="5"/>
  <c r="O69" i="5" s="1"/>
  <c r="J32" i="5"/>
  <c r="K32" i="5"/>
  <c r="J64" i="5" s="1"/>
  <c r="D14" i="5"/>
  <c r="N14" i="5" s="1"/>
  <c r="E14" i="5"/>
  <c r="O14" i="5" s="1"/>
  <c r="D12" i="5"/>
  <c r="N12" i="5" s="1"/>
  <c r="E12" i="5"/>
  <c r="J42" i="5"/>
  <c r="D60" i="5"/>
  <c r="Q34" i="10"/>
  <c r="AA12" i="5"/>
  <c r="AB18" i="5"/>
  <c r="Q38" i="10"/>
  <c r="Q40" i="10"/>
  <c r="D59" i="5"/>
  <c r="E34" i="10"/>
  <c r="R34" i="10" s="1"/>
  <c r="G40" i="5"/>
  <c r="D65" i="17"/>
  <c r="G65" i="17" s="1"/>
  <c r="G62" i="17"/>
  <c r="E36" i="10"/>
  <c r="R36" i="10" s="1"/>
  <c r="F95" i="5"/>
  <c r="S40" i="10"/>
  <c r="Z19" i="5"/>
  <c r="G95" i="5"/>
  <c r="E40" i="10"/>
  <c r="R40" i="10" s="1"/>
  <c r="Q37" i="10"/>
  <c r="Q41" i="10"/>
  <c r="AA16" i="5"/>
  <c r="J87" i="5"/>
  <c r="Q39" i="10"/>
  <c r="F91" i="5"/>
  <c r="Q42" i="10"/>
  <c r="Z14" i="5"/>
  <c r="Q35" i="10"/>
  <c r="AA14" i="5"/>
  <c r="F41" i="5"/>
  <c r="H84" i="5"/>
  <c r="H87" i="5" s="1"/>
  <c r="G91" i="5"/>
  <c r="Z15" i="5"/>
  <c r="Z16" i="5"/>
  <c r="Q36" i="10"/>
  <c r="E39" i="10"/>
  <c r="R39" i="10" s="1"/>
  <c r="AA13" i="5"/>
  <c r="AB14" i="5"/>
  <c r="AB15" i="5"/>
  <c r="J91" i="5"/>
  <c r="J99" i="5"/>
  <c r="H94" i="5"/>
  <c r="J95" i="5"/>
  <c r="H90" i="5"/>
  <c r="H89" i="5"/>
  <c r="S34" i="10"/>
  <c r="Z12" i="5"/>
  <c r="F87" i="5"/>
  <c r="F99" i="5"/>
  <c r="S39" i="10"/>
  <c r="E41" i="10"/>
  <c r="R41" i="10" s="1"/>
  <c r="G87" i="5"/>
  <c r="G99" i="5"/>
  <c r="AA17" i="5"/>
  <c r="AA19" i="5"/>
  <c r="H44" i="5"/>
  <c r="G41" i="10"/>
  <c r="S41" i="10" s="1"/>
  <c r="G44" i="5"/>
  <c r="S36" i="10"/>
  <c r="S38" i="10"/>
  <c r="S35" i="10"/>
  <c r="AB16" i="5"/>
  <c r="AB17" i="5"/>
  <c r="AB19" i="5"/>
  <c r="AA20" i="5"/>
  <c r="H93" i="5"/>
  <c r="AB13" i="5"/>
  <c r="AA18" i="5"/>
  <c r="Z18" i="5"/>
  <c r="AB20" i="5"/>
  <c r="K40" i="5"/>
  <c r="F46" i="5"/>
  <c r="K85" i="5"/>
  <c r="K86" i="5"/>
  <c r="K87" i="5"/>
  <c r="E42" i="10"/>
  <c r="R42" i="10" s="1"/>
  <c r="Z17" i="5"/>
  <c r="Z20" i="5"/>
  <c r="H96" i="5"/>
  <c r="E37" i="10"/>
  <c r="R37" i="10" s="1"/>
  <c r="J44" i="5"/>
  <c r="H91" i="5"/>
  <c r="E33" i="10"/>
  <c r="R33" i="10" s="1"/>
  <c r="G42" i="5"/>
  <c r="AA15" i="5"/>
  <c r="G42" i="10"/>
  <c r="S42" i="10" s="1"/>
  <c r="K96" i="5"/>
  <c r="E35" i="10"/>
  <c r="R35" i="10" s="1"/>
  <c r="G37" i="10"/>
  <c r="S37" i="10" s="1"/>
  <c r="E38" i="10"/>
  <c r="R38" i="10" s="1"/>
  <c r="Z13" i="5"/>
  <c r="G45" i="5"/>
  <c r="K88" i="5"/>
  <c r="M33" i="5"/>
  <c r="M34" i="5"/>
  <c r="F44" i="5"/>
  <c r="M32" i="5"/>
  <c r="C15" i="5"/>
  <c r="D133" i="35" s="1"/>
  <c r="J70" i="5"/>
  <c r="O70" i="5" s="1"/>
  <c r="C20" i="5"/>
  <c r="D138" i="35" s="1"/>
  <c r="F70" i="5"/>
  <c r="M70" i="5" s="1"/>
  <c r="C17" i="5"/>
  <c r="D135" i="35" s="1"/>
  <c r="G71" i="5"/>
  <c r="N71" i="5" s="1"/>
  <c r="F69" i="5"/>
  <c r="M69" i="5" s="1"/>
  <c r="C19" i="5"/>
  <c r="D137" i="35" s="1"/>
  <c r="C16" i="5"/>
  <c r="D134" i="35" s="1"/>
  <c r="J71" i="5"/>
  <c r="O71" i="5" s="1"/>
  <c r="C18" i="5"/>
  <c r="D136" i="35" s="1"/>
  <c r="F71" i="5"/>
  <c r="M71" i="5" s="1"/>
  <c r="AG52" i="4"/>
  <c r="AB12" i="5"/>
  <c r="U45" i="25"/>
  <c r="K51" i="19"/>
  <c r="AH34" i="19" s="1"/>
  <c r="U43" i="25"/>
  <c r="V46" i="25"/>
  <c r="U40" i="25"/>
  <c r="O37" i="19"/>
  <c r="T18" i="10"/>
  <c r="AK36" i="10" s="1"/>
  <c r="T22" i="10"/>
  <c r="I40" i="10" s="1"/>
  <c r="U20" i="10"/>
  <c r="J38" i="10" s="1"/>
  <c r="T20" i="10"/>
  <c r="I38" i="10" s="1"/>
  <c r="T11" i="10"/>
  <c r="H44" i="24"/>
  <c r="I44" i="24"/>
  <c r="AC18" i="24"/>
  <c r="Z21" i="24"/>
  <c r="H41" i="24"/>
  <c r="Z19" i="24"/>
  <c r="AB21" i="24"/>
  <c r="Z17" i="24"/>
  <c r="AB19" i="24"/>
  <c r="H43" i="24"/>
  <c r="I39" i="24"/>
  <c r="AC19" i="24"/>
  <c r="Z22" i="24"/>
  <c r="I41" i="24"/>
  <c r="AC22" i="24"/>
  <c r="H42" i="24"/>
  <c r="H45" i="24"/>
  <c r="I45" i="24"/>
  <c r="AB17" i="24"/>
  <c r="Z18" i="24"/>
  <c r="AC21" i="24"/>
  <c r="AC23" i="24"/>
  <c r="AB23" i="24"/>
  <c r="I43" i="24"/>
  <c r="AB18" i="24"/>
  <c r="AC17" i="24"/>
  <c r="H40" i="24"/>
  <c r="H39" i="24"/>
  <c r="Z20" i="24"/>
  <c r="I40" i="24"/>
  <c r="I42" i="24"/>
  <c r="AB22" i="24"/>
  <c r="AC20" i="24"/>
  <c r="AB20" i="24"/>
  <c r="Z23" i="24"/>
  <c r="AU8" i="22"/>
  <c r="AT25" i="22"/>
  <c r="AT8" i="22"/>
  <c r="AS25" i="22"/>
  <c r="AV25" i="22"/>
  <c r="AQ25" i="22"/>
  <c r="AR8" i="22"/>
  <c r="S33" i="10"/>
  <c r="D43" i="10"/>
  <c r="Q33" i="10"/>
  <c r="U42" i="25"/>
  <c r="V42" i="25"/>
  <c r="T21" i="10"/>
  <c r="AK39" i="10" s="1"/>
  <c r="U23" i="10"/>
  <c r="AL41" i="10" s="1"/>
  <c r="AO46" i="9"/>
  <c r="AK37" i="9"/>
  <c r="AR47" i="9"/>
  <c r="AJ45" i="9"/>
  <c r="AO36" i="9"/>
  <c r="S13" i="9"/>
  <c r="AW36" i="9"/>
  <c r="AO37" i="9"/>
  <c r="AG42" i="9"/>
  <c r="AF42" i="15"/>
  <c r="AS37" i="9"/>
  <c r="O12" i="24"/>
  <c r="O15" i="24"/>
  <c r="AQ46" i="9"/>
  <c r="AI38" i="9"/>
  <c r="AI46" i="9"/>
  <c r="AU38" i="9"/>
  <c r="AM42" i="9"/>
  <c r="Q11" i="9"/>
  <c r="AG35" i="9"/>
  <c r="AF44" i="9"/>
  <c r="AI40" i="9"/>
  <c r="AS36" i="9"/>
  <c r="AV37" i="9"/>
  <c r="AP46" i="9"/>
  <c r="AJ37" i="9"/>
  <c r="AS35" i="9"/>
  <c r="Q47" i="9"/>
  <c r="AP34" i="9"/>
  <c r="AG41" i="15"/>
  <c r="AK44" i="9"/>
  <c r="AJ38" i="9"/>
  <c r="AR37" i="9"/>
  <c r="AF38" i="9"/>
  <c r="AF44" i="15"/>
  <c r="AM34" i="9"/>
  <c r="AP41" i="9"/>
  <c r="AP40" i="9"/>
  <c r="AJ39" i="9"/>
  <c r="AS34" i="9"/>
  <c r="AJ41" i="9"/>
  <c r="AV42" i="9"/>
  <c r="AV41" i="9"/>
  <c r="AS43" i="9"/>
  <c r="S44" i="15"/>
  <c r="S40" i="15"/>
  <c r="AN25" i="15"/>
  <c r="AQ44" i="9"/>
  <c r="AQ45" i="9"/>
  <c r="AF47" i="9"/>
  <c r="AW44" i="9"/>
  <c r="AK45" i="9"/>
  <c r="AJ47" i="9"/>
  <c r="S38" i="15"/>
  <c r="AJ25" i="15"/>
  <c r="S37" i="15"/>
  <c r="AM20" i="15"/>
  <c r="R43" i="15"/>
  <c r="AN46" i="9"/>
  <c r="AT46" i="9"/>
  <c r="AK41" i="9"/>
  <c r="AF38" i="15"/>
  <c r="AS47" i="9"/>
  <c r="AP47" i="9"/>
  <c r="AH46" i="9"/>
  <c r="AH38" i="9"/>
  <c r="AI17" i="15"/>
  <c r="S21" i="9"/>
  <c r="AF45" i="9"/>
  <c r="AP42" i="9"/>
  <c r="AI42" i="9"/>
  <c r="AS44" i="9"/>
  <c r="AF36" i="15"/>
  <c r="P20" i="9"/>
  <c r="AM41" i="9"/>
  <c r="AJ42" i="9"/>
  <c r="AQ35" i="9"/>
  <c r="AF34" i="15"/>
  <c r="AW47" i="9"/>
  <c r="AM44" i="9"/>
  <c r="AR42" i="9"/>
  <c r="AL47" i="9"/>
  <c r="S18" i="9"/>
  <c r="Q46" i="9"/>
  <c r="AG41" i="9"/>
  <c r="AV39" i="9"/>
  <c r="AN37" i="9"/>
  <c r="AL39" i="9"/>
  <c r="AP35" i="9"/>
  <c r="AI41" i="9"/>
  <c r="AJ17" i="15"/>
  <c r="AF41" i="15"/>
  <c r="R42" i="15"/>
  <c r="AF45" i="15"/>
  <c r="U13" i="15"/>
  <c r="R18" i="9"/>
  <c r="AG44" i="9"/>
  <c r="AV35" i="9"/>
  <c r="AH44" i="15"/>
  <c r="AW35" i="9"/>
  <c r="AT44" i="9"/>
  <c r="AG37" i="9"/>
  <c r="AW45" i="9"/>
  <c r="R36" i="15"/>
  <c r="AI20" i="15"/>
  <c r="R40" i="15"/>
  <c r="AO21" i="15"/>
  <c r="AO25" i="15"/>
  <c r="Q16" i="9"/>
  <c r="AH34" i="9"/>
  <c r="AR45" i="9"/>
  <c r="AP38" i="9"/>
  <c r="AH44" i="9"/>
  <c r="AM37" i="9"/>
  <c r="AR38" i="9"/>
  <c r="AJ35" i="9"/>
  <c r="P45" i="9"/>
  <c r="O10" i="24"/>
  <c r="O13" i="24"/>
  <c r="AG40" i="15"/>
  <c r="AH41" i="15"/>
  <c r="AG44" i="15"/>
  <c r="AP43" i="9"/>
  <c r="R44" i="15"/>
  <c r="AF40" i="9"/>
  <c r="AH43" i="15"/>
  <c r="Q39" i="9"/>
  <c r="P13" i="9"/>
  <c r="AF42" i="9"/>
  <c r="AV47" i="9"/>
  <c r="AU41" i="9"/>
  <c r="AN44" i="9"/>
  <c r="AP44" i="9"/>
  <c r="AI37" i="9"/>
  <c r="AT40" i="9"/>
  <c r="AF37" i="9"/>
  <c r="AM35" i="9"/>
  <c r="AM39" i="9"/>
  <c r="Q44" i="9"/>
  <c r="AQ38" i="9"/>
  <c r="AW37" i="9"/>
  <c r="P44" i="9"/>
  <c r="T12" i="15"/>
  <c r="AM17" i="15"/>
  <c r="T9" i="9"/>
  <c r="F129" i="31" s="1"/>
  <c r="V9" i="9" s="1"/>
  <c r="AG43" i="9"/>
  <c r="AV44" i="9"/>
  <c r="AK35" i="9"/>
  <c r="AV43" i="9"/>
  <c r="AG43" i="15"/>
  <c r="AI24" i="15"/>
  <c r="AN21" i="15"/>
  <c r="AL40" i="9"/>
  <c r="AH36" i="15"/>
  <c r="AG40" i="9"/>
  <c r="AH37" i="9"/>
  <c r="AV46" i="9"/>
  <c r="AO41" i="9"/>
  <c r="AJ44" i="9"/>
  <c r="AW39" i="9"/>
  <c r="AQ39" i="9"/>
  <c r="AH40" i="9"/>
  <c r="AL37" i="9"/>
  <c r="P39" i="9"/>
  <c r="AU36" i="9"/>
  <c r="AF32" i="15"/>
  <c r="AF34" i="9"/>
  <c r="AH36" i="9"/>
  <c r="AV38" i="9"/>
  <c r="AR40" i="9"/>
  <c r="AG47" i="9"/>
  <c r="AO17" i="15"/>
  <c r="AM19" i="15"/>
  <c r="R20" i="9"/>
  <c r="T11" i="9"/>
  <c r="AF43" i="15"/>
  <c r="AQ36" i="9"/>
  <c r="AJ22" i="15"/>
  <c r="S39" i="15"/>
  <c r="AP24" i="15"/>
  <c r="AO24" i="15"/>
  <c r="AI25" i="15"/>
  <c r="AO18" i="15"/>
  <c r="T12" i="9"/>
  <c r="AM47" i="9"/>
  <c r="AH45" i="9"/>
  <c r="AW38" i="9"/>
  <c r="AR34" i="9"/>
  <c r="AV34" i="9"/>
  <c r="AP39" i="9"/>
  <c r="AT38" i="9"/>
  <c r="AO42" i="9"/>
  <c r="AN40" i="9"/>
  <c r="AM40" i="9"/>
  <c r="AG34" i="9"/>
  <c r="AI36" i="9"/>
  <c r="AS40" i="9"/>
  <c r="D48" i="9"/>
  <c r="Q43" i="9"/>
  <c r="O11" i="24"/>
  <c r="J36" i="15"/>
  <c r="AJ21" i="15"/>
  <c r="R41" i="15"/>
  <c r="AH45" i="15"/>
  <c r="AP19" i="15"/>
  <c r="AM26" i="15"/>
  <c r="S12" i="9"/>
  <c r="AS45" i="9"/>
  <c r="AJ43" i="9"/>
  <c r="AL34" i="9"/>
  <c r="AN38" i="9"/>
  <c r="AU42" i="9"/>
  <c r="AO40" i="9"/>
  <c r="AN45" i="9"/>
  <c r="Q41" i="9"/>
  <c r="T14" i="15"/>
  <c r="AO44" i="9"/>
  <c r="S19" i="9"/>
  <c r="F140" i="31" s="1"/>
  <c r="V19" i="9" s="1"/>
  <c r="AI44" i="9"/>
  <c r="AU44" i="9"/>
  <c r="AF37" i="15"/>
  <c r="AH37" i="15"/>
  <c r="P46" i="9"/>
  <c r="T18" i="15"/>
  <c r="K39" i="15" s="1"/>
  <c r="AM22" i="15"/>
  <c r="AO22" i="15"/>
  <c r="AP23" i="15"/>
  <c r="AH42" i="15"/>
  <c r="AM38" i="9"/>
  <c r="Q13" i="9"/>
  <c r="AL44" i="9"/>
  <c r="P43" i="9"/>
  <c r="R17" i="9"/>
  <c r="AH42" i="9"/>
  <c r="S20" i="9"/>
  <c r="AI45" i="9"/>
  <c r="T13" i="15"/>
  <c r="AJ19" i="15"/>
  <c r="AM23" i="15"/>
  <c r="AJ20" i="15"/>
  <c r="AQ47" i="9"/>
  <c r="S36" i="15"/>
  <c r="AF39" i="9"/>
  <c r="AT37" i="9"/>
  <c r="Q14" i="9"/>
  <c r="AG39" i="9"/>
  <c r="P16" i="9"/>
  <c r="AF41" i="9"/>
  <c r="AL41" i="9"/>
  <c r="AM46" i="9"/>
  <c r="AS46" i="9"/>
  <c r="Q21" i="9"/>
  <c r="AJ26" i="15"/>
  <c r="AM21" i="15"/>
  <c r="AP22" i="15"/>
  <c r="AM25" i="15"/>
  <c r="AI22" i="15"/>
  <c r="AN17" i="15"/>
  <c r="AG36" i="15"/>
  <c r="AP17" i="15"/>
  <c r="L36" i="15"/>
  <c r="P14" i="9"/>
  <c r="S10" i="9"/>
  <c r="AJ24" i="15"/>
  <c r="T17" i="15"/>
  <c r="AG37" i="15"/>
  <c r="R37" i="15"/>
  <c r="U12" i="15"/>
  <c r="P42" i="9"/>
  <c r="AL46" i="9"/>
  <c r="P21" i="9"/>
  <c r="S41" i="15"/>
  <c r="AN19" i="15"/>
  <c r="F46" i="15"/>
  <c r="Z93" i="31" s="1"/>
  <c r="AH38" i="15"/>
  <c r="AJ23" i="15"/>
  <c r="AG39" i="15"/>
  <c r="AQ34" i="9"/>
  <c r="AF39" i="15"/>
  <c r="AS38" i="9"/>
  <c r="AI34" i="9"/>
  <c r="AU34" i="9"/>
  <c r="AO34" i="9"/>
  <c r="AW41" i="9"/>
  <c r="AQ41" i="9"/>
  <c r="P18" i="9"/>
  <c r="AL43" i="9"/>
  <c r="AR43" i="9"/>
  <c r="S22" i="9"/>
  <c r="AI47" i="9"/>
  <c r="P41" i="9"/>
  <c r="Q42" i="9"/>
  <c r="AN18" i="15"/>
  <c r="AF46" i="9"/>
  <c r="AO43" i="9"/>
  <c r="AN42" i="9"/>
  <c r="S42" i="15"/>
  <c r="R45" i="15"/>
  <c r="S43" i="15"/>
  <c r="AR46" i="9"/>
  <c r="AP36" i="9"/>
  <c r="AV36" i="9"/>
  <c r="AI39" i="9"/>
  <c r="AU39" i="9"/>
  <c r="AO39" i="9"/>
  <c r="AR44" i="9"/>
  <c r="T20" i="9"/>
  <c r="AV45" i="9"/>
  <c r="AJ18" i="15"/>
  <c r="AI18" i="15"/>
  <c r="S45" i="15"/>
  <c r="R39" i="15"/>
  <c r="C46" i="15"/>
  <c r="AI21" i="15"/>
  <c r="Q20" i="9"/>
  <c r="P17" i="9"/>
  <c r="R10" i="9"/>
  <c r="AQ43" i="9"/>
  <c r="AK43" i="9"/>
  <c r="AW43" i="9"/>
  <c r="AN47" i="9"/>
  <c r="AH47" i="9"/>
  <c r="AP20" i="15"/>
  <c r="AN22" i="15"/>
  <c r="AG45" i="9"/>
  <c r="AW34" i="9"/>
  <c r="P11" i="9"/>
  <c r="AL36" i="9"/>
  <c r="AR36" i="9"/>
  <c r="AN43" i="9"/>
  <c r="AT43" i="9"/>
  <c r="AK47" i="9"/>
  <c r="F48" i="9"/>
  <c r="S32" i="31" s="1"/>
  <c r="AG45" i="15"/>
  <c r="AH41" i="9"/>
  <c r="R16" i="9"/>
  <c r="AQ42" i="9"/>
  <c r="AK42" i="9"/>
  <c r="T11" i="15"/>
  <c r="AI23" i="15"/>
  <c r="AN26" i="15"/>
  <c r="T16" i="15"/>
  <c r="AK18" i="15" s="1"/>
  <c r="R22" i="9"/>
  <c r="R14" i="9"/>
  <c r="AH39" i="9"/>
  <c r="AN39" i="9"/>
  <c r="AR35" i="9"/>
  <c r="AF35" i="9"/>
  <c r="P10" i="9"/>
  <c r="Q40" i="9"/>
  <c r="P40" i="9"/>
  <c r="AO35" i="9"/>
  <c r="AU35" i="9"/>
  <c r="AO20" i="15"/>
  <c r="AM18" i="15"/>
  <c r="U16" i="15"/>
  <c r="M37" i="15" s="1"/>
  <c r="AW40" i="9"/>
  <c r="AU45" i="9"/>
  <c r="AT39" i="9"/>
  <c r="AT47" i="9"/>
  <c r="AL35" i="9"/>
  <c r="P47" i="9"/>
  <c r="AT41" i="9"/>
  <c r="AQ40" i="9"/>
  <c r="AI43" i="9"/>
  <c r="AO47" i="9"/>
  <c r="D46" i="15"/>
  <c r="X93" i="31" s="1"/>
  <c r="C48" i="9"/>
  <c r="AG38" i="9"/>
  <c r="Q38" i="9"/>
  <c r="P38" i="9"/>
  <c r="T15" i="9"/>
  <c r="F136" i="31" s="1"/>
  <c r="V15" i="9" s="1"/>
  <c r="H40" i="9" s="1"/>
  <c r="AJ40" i="9"/>
  <c r="Q45" i="9"/>
  <c r="AH39" i="15"/>
  <c r="AF40" i="15"/>
  <c r="U19" i="15"/>
  <c r="M40" i="15" s="1"/>
  <c r="AH40" i="15"/>
  <c r="AO19" i="15"/>
  <c r="AG38" i="15"/>
  <c r="R38" i="15"/>
  <c r="AN20" i="15"/>
  <c r="AG42" i="15"/>
  <c r="AO23" i="15"/>
  <c r="AN24" i="15"/>
  <c r="AO26" i="15"/>
  <c r="AP21" i="15"/>
  <c r="AN23" i="15"/>
  <c r="T21" i="9"/>
  <c r="AP26" i="15"/>
  <c r="AP18" i="15"/>
  <c r="AI19" i="15"/>
  <c r="Q18" i="9"/>
  <c r="AP25" i="15"/>
  <c r="AM24" i="15"/>
  <c r="AI26" i="15"/>
  <c r="U14" i="15"/>
  <c r="R36" i="24"/>
  <c r="O16" i="24"/>
  <c r="AJ16" i="24" s="1"/>
  <c r="D46" i="24"/>
  <c r="N11" i="24"/>
  <c r="AE15" i="24"/>
  <c r="AD16" i="24"/>
  <c r="O14" i="24"/>
  <c r="AJ14" i="24" s="1"/>
  <c r="N16" i="24"/>
  <c r="AH16" i="24" s="1"/>
  <c r="AD14" i="24"/>
  <c r="S37" i="24"/>
  <c r="AD15" i="24"/>
  <c r="N10" i="24"/>
  <c r="N13" i="24"/>
  <c r="R38" i="24"/>
  <c r="N12" i="24"/>
  <c r="C46" i="24"/>
  <c r="P62" i="31" s="1"/>
  <c r="N15" i="24"/>
  <c r="AA15" i="24" s="1"/>
  <c r="R37" i="24"/>
  <c r="AE14" i="24"/>
  <c r="AH45" i="4"/>
  <c r="U16" i="10"/>
  <c r="AL34" i="10" s="1"/>
  <c r="AB51" i="19"/>
  <c r="AA51" i="19"/>
  <c r="AB52" i="19"/>
  <c r="AA52" i="19"/>
  <c r="M52" i="4"/>
  <c r="L52" i="4"/>
  <c r="L52" i="19"/>
  <c r="AI35" i="19" s="1"/>
  <c r="K52" i="19"/>
  <c r="AH35" i="19" s="1"/>
  <c r="O36" i="19"/>
  <c r="T16" i="10"/>
  <c r="AK34" i="10" s="1"/>
  <c r="T13" i="10"/>
  <c r="T14" i="10"/>
  <c r="S38" i="24"/>
  <c r="AE16" i="24"/>
  <c r="S36" i="24"/>
  <c r="F46" i="24"/>
  <c r="O7" i="38"/>
  <c r="O152" i="38" s="1"/>
  <c r="AG20" i="15"/>
  <c r="AF26" i="15"/>
  <c r="AH19" i="15"/>
  <c r="I50" i="19"/>
  <c r="K50" i="19" s="1"/>
  <c r="AH33" i="19" s="1"/>
  <c r="AG21" i="15"/>
  <c r="AH17" i="15"/>
  <c r="AF23" i="15"/>
  <c r="AE17" i="15"/>
  <c r="AE25" i="15"/>
  <c r="M39" i="15"/>
  <c r="M41" i="15"/>
  <c r="M43" i="15"/>
  <c r="M45" i="15"/>
  <c r="H36" i="15"/>
  <c r="L39" i="15"/>
  <c r="H44" i="15"/>
  <c r="AG22" i="15"/>
  <c r="AH23" i="15"/>
  <c r="AF24" i="15"/>
  <c r="AE18" i="15"/>
  <c r="AE26" i="15"/>
  <c r="I37" i="15"/>
  <c r="I39" i="15"/>
  <c r="I41" i="15"/>
  <c r="I43" i="15"/>
  <c r="I45" i="15"/>
  <c r="H39" i="15"/>
  <c r="L42" i="15"/>
  <c r="AG23" i="15"/>
  <c r="AH24" i="15"/>
  <c r="AF17" i="15"/>
  <c r="AF25" i="15"/>
  <c r="AE19" i="15"/>
  <c r="H42" i="15"/>
  <c r="L45" i="15"/>
  <c r="I38" i="24"/>
  <c r="AH21" i="15"/>
  <c r="AF18" i="15"/>
  <c r="L51" i="17"/>
  <c r="M42" i="15"/>
  <c r="H41" i="15"/>
  <c r="AD35" i="19"/>
  <c r="AG17" i="15"/>
  <c r="AH22" i="15"/>
  <c r="AF19" i="15"/>
  <c r="I42" i="15"/>
  <c r="L38" i="15"/>
  <c r="J50" i="19"/>
  <c r="L50" i="19" s="1"/>
  <c r="AI33" i="19" s="1"/>
  <c r="N52" i="19"/>
  <c r="H36" i="24"/>
  <c r="AG18" i="15"/>
  <c r="AF20" i="15"/>
  <c r="AE20" i="15"/>
  <c r="K50" i="17"/>
  <c r="I36" i="15"/>
  <c r="H38" i="15"/>
  <c r="L43" i="15"/>
  <c r="AF33" i="19"/>
  <c r="O10" i="28"/>
  <c r="O10" i="26"/>
  <c r="AH26" i="15"/>
  <c r="I44" i="15"/>
  <c r="H37" i="15"/>
  <c r="L44" i="15"/>
  <c r="AE21" i="15"/>
  <c r="I40" i="15"/>
  <c r="H45" i="15"/>
  <c r="H38" i="24"/>
  <c r="AE22" i="15"/>
  <c r="AI33" i="4"/>
  <c r="AG19" i="15"/>
  <c r="AH18" i="15"/>
  <c r="AE23" i="15"/>
  <c r="H40" i="15"/>
  <c r="AH20" i="15"/>
  <c r="L41" i="15"/>
  <c r="I36" i="24"/>
  <c r="K51" i="17"/>
  <c r="H43" i="15"/>
  <c r="I37" i="24"/>
  <c r="AH25" i="15"/>
  <c r="AF21" i="15"/>
  <c r="M38" i="15"/>
  <c r="M44" i="15"/>
  <c r="AF22" i="15"/>
  <c r="I38" i="15"/>
  <c r="AG33" i="19"/>
  <c r="AG26" i="15"/>
  <c r="L50" i="17"/>
  <c r="AE24" i="15"/>
  <c r="AG25" i="15"/>
  <c r="AG24" i="15"/>
  <c r="K43" i="25"/>
  <c r="M52" i="19"/>
  <c r="V35" i="25"/>
  <c r="U22" i="10"/>
  <c r="J40" i="10" s="1"/>
  <c r="U15" i="10"/>
  <c r="AL33" i="10" s="1"/>
  <c r="U14" i="10"/>
  <c r="U24" i="10"/>
  <c r="J42" i="10" s="1"/>
  <c r="T12" i="10"/>
  <c r="V44" i="25"/>
  <c r="AK35" i="19"/>
  <c r="T24" i="10"/>
  <c r="I42" i="10" s="1"/>
  <c r="AA22" i="25"/>
  <c r="U19" i="10"/>
  <c r="U21" i="10"/>
  <c r="U11" i="10"/>
  <c r="J43" i="25"/>
  <c r="U13" i="10"/>
  <c r="AB22" i="25"/>
  <c r="U18" i="10"/>
  <c r="U41" i="25"/>
  <c r="V41" i="25"/>
  <c r="AG51" i="4"/>
  <c r="M51" i="19"/>
  <c r="N51" i="19"/>
  <c r="AJ34" i="19"/>
  <c r="U17" i="10"/>
  <c r="T17" i="10"/>
  <c r="X17" i="27"/>
  <c r="W17" i="27"/>
  <c r="I17" i="27"/>
  <c r="L17" i="27" s="1"/>
  <c r="V17" i="27"/>
  <c r="U12" i="10"/>
  <c r="M51" i="4"/>
  <c r="L51" i="4"/>
  <c r="T23" i="10"/>
  <c r="T19" i="10"/>
  <c r="T15" i="10"/>
  <c r="V10" i="27"/>
  <c r="K57" i="5" l="1"/>
  <c r="K58" i="5"/>
  <c r="H66" i="5"/>
  <c r="H65" i="5"/>
  <c r="X10" i="4"/>
  <c r="G22" i="17"/>
  <c r="R22" i="17"/>
  <c r="Q22" i="17"/>
  <c r="J31" i="17"/>
  <c r="F15" i="17"/>
  <c r="W41" i="36"/>
  <c r="H22" i="17"/>
  <c r="X41" i="36"/>
  <c r="AF34" i="19"/>
  <c r="B153" i="30"/>
  <c r="U10" i="4"/>
  <c r="U20" i="4" s="1"/>
  <c r="U21" i="4" s="1"/>
  <c r="U22" i="4" s="1"/>
  <c r="U23" i="4" s="1"/>
  <c r="E102" i="30"/>
  <c r="J10" i="4" s="1"/>
  <c r="I10" i="4" s="1"/>
  <c r="R29" i="4" s="1"/>
  <c r="C153" i="37"/>
  <c r="F153" i="37"/>
  <c r="Q153" i="37" s="1"/>
  <c r="J51" i="19"/>
  <c r="R51" i="19" s="1"/>
  <c r="BZ7" i="22"/>
  <c r="BZ24" i="22" s="1"/>
  <c r="S19" i="15"/>
  <c r="T19" i="15" s="1"/>
  <c r="AK21" i="15" s="1"/>
  <c r="AG21" i="5"/>
  <c r="AG34" i="19"/>
  <c r="F161" i="37"/>
  <c r="E110" i="30"/>
  <c r="E108" i="30"/>
  <c r="J16" i="4" s="1"/>
  <c r="I16" i="4" s="1"/>
  <c r="M12" i="19"/>
  <c r="O12" i="19" s="1"/>
  <c r="P12" i="19" s="1"/>
  <c r="I11" i="19"/>
  <c r="K11" i="19" s="1"/>
  <c r="L11" i="19" s="1"/>
  <c r="W13" i="27"/>
  <c r="B110" i="30"/>
  <c r="C161" i="37"/>
  <c r="I13" i="27"/>
  <c r="L13" i="27" s="1"/>
  <c r="J156" i="37" s="1"/>
  <c r="M13" i="27" s="1"/>
  <c r="U16" i="4"/>
  <c r="C159" i="37"/>
  <c r="X13" i="27"/>
  <c r="AD127" i="31"/>
  <c r="AD130" i="31"/>
  <c r="AD135" i="31"/>
  <c r="AD139" i="31"/>
  <c r="AD143" i="31"/>
  <c r="AB131" i="31"/>
  <c r="AB136" i="31"/>
  <c r="AB140" i="31"/>
  <c r="AB129" i="31"/>
  <c r="AD131" i="31"/>
  <c r="AD136" i="31"/>
  <c r="AD140" i="31"/>
  <c r="AD129" i="31"/>
  <c r="AB132" i="31"/>
  <c r="AB137" i="31"/>
  <c r="AB141" i="31"/>
  <c r="AD132" i="31"/>
  <c r="AD137" i="31"/>
  <c r="AD141" i="31"/>
  <c r="AE22" i="31"/>
  <c r="AB134" i="31"/>
  <c r="AB138" i="31"/>
  <c r="AB142" i="31"/>
  <c r="AD134" i="31"/>
  <c r="AD138" i="31"/>
  <c r="AD142" i="31"/>
  <c r="AB130" i="31"/>
  <c r="AB135" i="31"/>
  <c r="AB139" i="31"/>
  <c r="AB143" i="31"/>
  <c r="AC13" i="31"/>
  <c r="AC21" i="31"/>
  <c r="AB127" i="31"/>
  <c r="AE24" i="31"/>
  <c r="AE28" i="31"/>
  <c r="AE13" i="31"/>
  <c r="AC29" i="31"/>
  <c r="AC25" i="31"/>
  <c r="AC16" i="31"/>
  <c r="AE25" i="31"/>
  <c r="AE29" i="31"/>
  <c r="AE14" i="31"/>
  <c r="AC28" i="31"/>
  <c r="AC24" i="31"/>
  <c r="AC15" i="31"/>
  <c r="AC12" i="31"/>
  <c r="AE26" i="31"/>
  <c r="AE30" i="31"/>
  <c r="AE15" i="31"/>
  <c r="AC31" i="31"/>
  <c r="AC27" i="31"/>
  <c r="AC23" i="31"/>
  <c r="AC14" i="31"/>
  <c r="AE23" i="31"/>
  <c r="AE27" i="31"/>
  <c r="AE31" i="31"/>
  <c r="AE16" i="31"/>
  <c r="AC30" i="31"/>
  <c r="AC26" i="31"/>
  <c r="AC22" i="31"/>
  <c r="AE12" i="31"/>
  <c r="AF75" i="31"/>
  <c r="V16" i="27"/>
  <c r="B155" i="30"/>
  <c r="W15" i="27"/>
  <c r="B154" i="30"/>
  <c r="X12" i="4"/>
  <c r="W16" i="27"/>
  <c r="B159" i="30"/>
  <c r="W16" i="4"/>
  <c r="C155" i="37"/>
  <c r="U11" i="4"/>
  <c r="W11" i="4"/>
  <c r="M13" i="19"/>
  <c r="N13" i="19" s="1"/>
  <c r="E104" i="30"/>
  <c r="J12" i="4" s="1"/>
  <c r="I12" i="4" s="1"/>
  <c r="V34" i="25"/>
  <c r="I15" i="27"/>
  <c r="L15" i="27" s="1"/>
  <c r="G107" i="30" s="1"/>
  <c r="M15" i="4" s="1"/>
  <c r="L15" i="4" s="1"/>
  <c r="F154" i="37"/>
  <c r="J11" i="27" s="1"/>
  <c r="X11" i="4"/>
  <c r="C154" i="37"/>
  <c r="W12" i="4"/>
  <c r="F155" i="37"/>
  <c r="J12" i="27" s="1"/>
  <c r="V15" i="27"/>
  <c r="V12" i="30"/>
  <c r="J92" i="30" s="1"/>
  <c r="I15" i="19"/>
  <c r="J15" i="19" s="1"/>
  <c r="W14" i="4"/>
  <c r="L43" i="25"/>
  <c r="N43" i="25" s="1"/>
  <c r="M43" i="25"/>
  <c r="O43" i="25" s="1"/>
  <c r="O52" i="4"/>
  <c r="V38" i="25"/>
  <c r="F160" i="37"/>
  <c r="J17" i="27" s="1"/>
  <c r="U39" i="25"/>
  <c r="U32" i="25"/>
  <c r="V36" i="25"/>
  <c r="V37" i="25"/>
  <c r="Y13" i="16"/>
  <c r="I51" i="19"/>
  <c r="Q51" i="19" s="1"/>
  <c r="Z14" i="16"/>
  <c r="W14" i="27"/>
  <c r="AN44" i="27" s="1"/>
  <c r="W17" i="4"/>
  <c r="O51" i="4"/>
  <c r="V12" i="27"/>
  <c r="X12" i="27"/>
  <c r="I10" i="19"/>
  <c r="J10" i="19" s="1"/>
  <c r="H28" i="4"/>
  <c r="AH43" i="4" s="1"/>
  <c r="AG24" i="9"/>
  <c r="AN24" i="9"/>
  <c r="AF24" i="9"/>
  <c r="W15" i="4"/>
  <c r="X15" i="4"/>
  <c r="J45" i="25"/>
  <c r="T23" i="25"/>
  <c r="AB21" i="25"/>
  <c r="T20" i="25"/>
  <c r="K31" i="4"/>
  <c r="Q207" i="30"/>
  <c r="L15" i="25" s="1"/>
  <c r="O15" i="25" s="1"/>
  <c r="I37" i="25" s="1"/>
  <c r="Q205" i="30"/>
  <c r="L13" i="25" s="1"/>
  <c r="Q206" i="30"/>
  <c r="L14" i="25" s="1"/>
  <c r="O14" i="25" s="1"/>
  <c r="AA25" i="25"/>
  <c r="T24" i="25"/>
  <c r="K41" i="25"/>
  <c r="T19" i="25"/>
  <c r="AB23" i="25"/>
  <c r="T22" i="25"/>
  <c r="K32" i="4"/>
  <c r="K34" i="4"/>
  <c r="A156" i="7"/>
  <c r="K29" i="4"/>
  <c r="K33" i="4"/>
  <c r="K30" i="4"/>
  <c r="F32" i="4"/>
  <c r="E107" i="30"/>
  <c r="J15" i="4" s="1"/>
  <c r="I15" i="4" s="1"/>
  <c r="I12" i="27"/>
  <c r="L12" i="27" s="1"/>
  <c r="G104" i="30" s="1"/>
  <c r="M12" i="4" s="1"/>
  <c r="L12" i="4" s="1"/>
  <c r="I80" i="17"/>
  <c r="W79" i="36" s="1"/>
  <c r="Y79" i="36" s="1"/>
  <c r="B158" i="30"/>
  <c r="F158" i="37"/>
  <c r="J15" i="27" s="1"/>
  <c r="AF35" i="19"/>
  <c r="V9" i="30"/>
  <c r="F159" i="37"/>
  <c r="J16" i="27" s="1"/>
  <c r="E105" i="30"/>
  <c r="J13" i="4" s="1"/>
  <c r="I13" i="4" s="1"/>
  <c r="F16" i="17"/>
  <c r="E138" i="37"/>
  <c r="F156" i="37"/>
  <c r="J13" i="27" s="1"/>
  <c r="T217" i="37"/>
  <c r="I78" i="17"/>
  <c r="W77" i="36" s="1"/>
  <c r="Y77" i="36" s="1"/>
  <c r="B46" i="31"/>
  <c r="B175" i="31" s="1"/>
  <c r="I16" i="27"/>
  <c r="L16" i="27" s="1"/>
  <c r="G109" i="30" s="1"/>
  <c r="M17" i="4" s="1"/>
  <c r="L17" i="4" s="1"/>
  <c r="F12" i="47"/>
  <c r="E91" i="47" s="1"/>
  <c r="C12" i="47"/>
  <c r="AF12" i="47" s="1"/>
  <c r="H91" i="47"/>
  <c r="B9" i="49"/>
  <c r="C121" i="49" s="1"/>
  <c r="B15" i="49"/>
  <c r="C127" i="49" s="1"/>
  <c r="M11" i="49"/>
  <c r="F16" i="46" s="1"/>
  <c r="F130" i="49"/>
  <c r="F146" i="49" s="1"/>
  <c r="B20" i="49"/>
  <c r="C137" i="49" s="1"/>
  <c r="H132" i="49"/>
  <c r="H148" i="49" s="1"/>
  <c r="F34" i="49"/>
  <c r="E83" i="46" s="1"/>
  <c r="B32" i="49"/>
  <c r="O164" i="49"/>
  <c r="B16" i="49"/>
  <c r="C128" i="49" s="1"/>
  <c r="K131" i="49"/>
  <c r="K147" i="49" s="1"/>
  <c r="AF11" i="47"/>
  <c r="K164" i="49"/>
  <c r="F163" i="49"/>
  <c r="M34" i="49"/>
  <c r="R22" i="49"/>
  <c r="F164" i="49"/>
  <c r="B7" i="49"/>
  <c r="C114" i="49" s="1"/>
  <c r="N131" i="49"/>
  <c r="L22" i="49"/>
  <c r="R18" i="49"/>
  <c r="A5" i="49"/>
  <c r="H93" i="47"/>
  <c r="H94" i="47" s="1"/>
  <c r="H95" i="47" s="1"/>
  <c r="H96" i="47" s="1"/>
  <c r="H97" i="47" s="1"/>
  <c r="J52" i="19"/>
  <c r="R52" i="19" s="1"/>
  <c r="X13" i="4"/>
  <c r="I52" i="19"/>
  <c r="Q52" i="19" s="1"/>
  <c r="U13" i="4"/>
  <c r="U15" i="4"/>
  <c r="BF31" i="22"/>
  <c r="BB25" i="22"/>
  <c r="BF30" i="22"/>
  <c r="BJ30" i="22"/>
  <c r="AZ30" i="22"/>
  <c r="BG34" i="22"/>
  <c r="AZ34" i="22"/>
  <c r="BJ27" i="22"/>
  <c r="BI31" i="22"/>
  <c r="BC31" i="22"/>
  <c r="BE26" i="22"/>
  <c r="AG35" i="19"/>
  <c r="C156" i="37"/>
  <c r="BJ34" i="22"/>
  <c r="BE29" i="22"/>
  <c r="BF27" i="22"/>
  <c r="BA27" i="22"/>
  <c r="BI25" i="22"/>
  <c r="BW7" i="22"/>
  <c r="BW24" i="22" s="1"/>
  <c r="F126" i="49"/>
  <c r="J126" i="49" s="1"/>
  <c r="W13" i="4"/>
  <c r="J68" i="17"/>
  <c r="S68" i="17" s="1"/>
  <c r="BJ32" i="22"/>
  <c r="BH30" i="22"/>
  <c r="R37" i="27"/>
  <c r="H53" i="27" s="1"/>
  <c r="BL24" i="22"/>
  <c r="BE24" i="22"/>
  <c r="E94" i="47"/>
  <c r="E95" i="47"/>
  <c r="E96" i="47"/>
  <c r="E97" i="47"/>
  <c r="C94" i="47"/>
  <c r="E93" i="47"/>
  <c r="C95" i="47"/>
  <c r="C93" i="47"/>
  <c r="C96" i="47"/>
  <c r="C97" i="47"/>
  <c r="B109" i="30"/>
  <c r="B108" i="30"/>
  <c r="B107" i="30"/>
  <c r="B106" i="30"/>
  <c r="B105" i="30"/>
  <c r="B104" i="30"/>
  <c r="B103" i="30"/>
  <c r="B102" i="30"/>
  <c r="V17" i="30"/>
  <c r="M94" i="30" s="1"/>
  <c r="V16" i="30"/>
  <c r="M93" i="30" s="1"/>
  <c r="V15" i="30"/>
  <c r="M92" i="30" s="1"/>
  <c r="AF14" i="47"/>
  <c r="AF15" i="47"/>
  <c r="AI14" i="47"/>
  <c r="AI15" i="47"/>
  <c r="AF16" i="47"/>
  <c r="AI16" i="47"/>
  <c r="AF17" i="47"/>
  <c r="AF18" i="47"/>
  <c r="AI17" i="47"/>
  <c r="AI18" i="47"/>
  <c r="Y94" i="47"/>
  <c r="U93" i="47"/>
  <c r="C37" i="44" s="1"/>
  <c r="U94" i="47"/>
  <c r="W93" i="47"/>
  <c r="D37" i="44" s="1"/>
  <c r="U97" i="47"/>
  <c r="Y93" i="47"/>
  <c r="F37" i="44" s="1"/>
  <c r="Y97" i="47"/>
  <c r="Y95" i="47"/>
  <c r="U95" i="47"/>
  <c r="U96" i="47"/>
  <c r="Y96" i="47"/>
  <c r="C126" i="49"/>
  <c r="B25" i="49"/>
  <c r="B37" i="49" s="1"/>
  <c r="C158" i="49" s="1"/>
  <c r="C166" i="49" s="1"/>
  <c r="B9" i="46"/>
  <c r="B18" i="46" s="1"/>
  <c r="R14" i="16"/>
  <c r="N14" i="36" s="1"/>
  <c r="Q12" i="16"/>
  <c r="M12" i="36" s="1"/>
  <c r="C160" i="37"/>
  <c r="B157" i="30"/>
  <c r="J153" i="37"/>
  <c r="M10" i="27" s="1"/>
  <c r="F224" i="37"/>
  <c r="D12" i="45" s="1"/>
  <c r="L12" i="45" s="1"/>
  <c r="I15" i="1"/>
  <c r="H8" i="38" s="1"/>
  <c r="H153" i="38" s="1"/>
  <c r="Q49" i="17"/>
  <c r="R49" i="17"/>
  <c r="K49" i="17"/>
  <c r="W48" i="36" s="1"/>
  <c r="I11" i="27"/>
  <c r="L11" i="27" s="1"/>
  <c r="W11" i="27"/>
  <c r="S36" i="27"/>
  <c r="I52" i="27" s="1"/>
  <c r="I14" i="27"/>
  <c r="L14" i="27" s="1"/>
  <c r="G106" i="30" s="1"/>
  <c r="M14" i="4" s="1"/>
  <c r="L14" i="4" s="1"/>
  <c r="U14" i="4"/>
  <c r="R36" i="27"/>
  <c r="H52" i="27" s="1"/>
  <c r="U17" i="4"/>
  <c r="X17" i="4"/>
  <c r="X14" i="4"/>
  <c r="E106" i="30"/>
  <c r="J14" i="4" s="1"/>
  <c r="Q47" i="16"/>
  <c r="S24" i="36" s="1"/>
  <c r="W24" i="36" s="1"/>
  <c r="V14" i="27"/>
  <c r="S37" i="27"/>
  <c r="I53" i="27" s="1"/>
  <c r="F157" i="37"/>
  <c r="J14" i="27" s="1"/>
  <c r="V11" i="27"/>
  <c r="I74" i="17"/>
  <c r="W73" i="36" s="1"/>
  <c r="I79" i="17"/>
  <c r="W78" i="36" s="1"/>
  <c r="Y78" i="36" s="1"/>
  <c r="B160" i="30"/>
  <c r="I16" i="19"/>
  <c r="Q14" i="16"/>
  <c r="M14" i="36" s="1"/>
  <c r="I17" i="19"/>
  <c r="M42" i="24"/>
  <c r="R53" i="17"/>
  <c r="K53" i="17"/>
  <c r="W52" i="36" s="1"/>
  <c r="L53" i="17"/>
  <c r="X52" i="36" s="1"/>
  <c r="M45" i="24"/>
  <c r="Q72" i="5"/>
  <c r="AH49" i="5"/>
  <c r="R72" i="5"/>
  <c r="Q31" i="16"/>
  <c r="P19" i="36" s="1"/>
  <c r="W19" i="36" s="1"/>
  <c r="C108" i="47"/>
  <c r="B61" i="37"/>
  <c r="N42" i="16"/>
  <c r="M42" i="16"/>
  <c r="O42" i="16"/>
  <c r="N45" i="16"/>
  <c r="O45" i="16"/>
  <c r="M45" i="16"/>
  <c r="BB30" i="22"/>
  <c r="AX32" i="22"/>
  <c r="BC34" i="22"/>
  <c r="BB29" i="22"/>
  <c r="BA29" i="22"/>
  <c r="AX27" i="22"/>
  <c r="BB26" i="22"/>
  <c r="Q43" i="16"/>
  <c r="S22" i="36" s="1"/>
  <c r="W22" i="36" s="1"/>
  <c r="J75" i="17"/>
  <c r="X74" i="36" s="1"/>
  <c r="Y74" i="36" s="1"/>
  <c r="AX25" i="22"/>
  <c r="AY28" i="22"/>
  <c r="BB33" i="22"/>
  <c r="AZ28" i="22"/>
  <c r="AX34" i="22"/>
  <c r="O39" i="16"/>
  <c r="N15" i="16"/>
  <c r="R50" i="5"/>
  <c r="R48" i="17"/>
  <c r="BH24" i="22"/>
  <c r="BO7" i="22"/>
  <c r="BA25" i="22"/>
  <c r="Q48" i="17"/>
  <c r="L49" i="17"/>
  <c r="X48" i="36" s="1"/>
  <c r="O12" i="5"/>
  <c r="O86" i="5" s="1"/>
  <c r="M12" i="5"/>
  <c r="Q12" i="5" s="1"/>
  <c r="AY25" i="22"/>
  <c r="AY31" i="22"/>
  <c r="BB34" i="22"/>
  <c r="AX33" i="22"/>
  <c r="AY33" i="22"/>
  <c r="BA32" i="22"/>
  <c r="BC32" i="22"/>
  <c r="BC30" i="22"/>
  <c r="BB28" i="22"/>
  <c r="BB27" i="22"/>
  <c r="Z13" i="16"/>
  <c r="N39" i="16"/>
  <c r="BN24" i="22"/>
  <c r="BU7" i="22"/>
  <c r="Q13" i="16"/>
  <c r="M13" i="36" s="1"/>
  <c r="BB31" i="22"/>
  <c r="AX28" i="22"/>
  <c r="BA31" i="22"/>
  <c r="AY30" i="22"/>
  <c r="BC33" i="22"/>
  <c r="AZ32" i="22"/>
  <c r="BB32" i="22"/>
  <c r="BA34" i="22"/>
  <c r="AY29" i="22"/>
  <c r="AZ27" i="22"/>
  <c r="BC25" i="22"/>
  <c r="AZ26" i="22"/>
  <c r="BA30" i="22"/>
  <c r="A1076" i="7"/>
  <c r="A1092" i="7"/>
  <c r="R18" i="19"/>
  <c r="Q18" i="19"/>
  <c r="S18" i="19"/>
  <c r="K35" i="19" s="1"/>
  <c r="L35" i="19" s="1"/>
  <c r="L48" i="17"/>
  <c r="X47" i="36" s="1"/>
  <c r="AZ31" i="22"/>
  <c r="AZ29" i="22"/>
  <c r="BA33" i="22"/>
  <c r="AY34" i="22"/>
  <c r="BC27" i="22"/>
  <c r="AX31" i="22"/>
  <c r="AY26" i="22"/>
  <c r="AZ33" i="22"/>
  <c r="AY32" i="22"/>
  <c r="AX29" i="22"/>
  <c r="BC29" i="22"/>
  <c r="AY27" i="22"/>
  <c r="M39" i="16"/>
  <c r="AH50" i="5"/>
  <c r="Q50" i="5"/>
  <c r="F64" i="5"/>
  <c r="F63" i="5"/>
  <c r="AU48" i="27"/>
  <c r="N94" i="5"/>
  <c r="J12" i="47"/>
  <c r="AA55" i="47"/>
  <c r="AC94" i="47"/>
  <c r="C159" i="47"/>
  <c r="P46" i="47"/>
  <c r="B33" i="47"/>
  <c r="B142" i="47" s="1"/>
  <c r="P38" i="47"/>
  <c r="P19" i="47"/>
  <c r="B24" i="47"/>
  <c r="C104" i="47" s="1"/>
  <c r="H133" i="36"/>
  <c r="B21" i="47"/>
  <c r="C99" i="47" s="1"/>
  <c r="U12" i="47"/>
  <c r="J100" i="47"/>
  <c r="U91" i="47"/>
  <c r="X101" i="47" s="1"/>
  <c r="X106" i="47" s="1"/>
  <c r="P152" i="47" s="1"/>
  <c r="C150" i="47"/>
  <c r="U100" i="47"/>
  <c r="C22" i="47"/>
  <c r="B7" i="47"/>
  <c r="B81" i="47" s="1"/>
  <c r="E90" i="47"/>
  <c r="C9" i="47"/>
  <c r="C35" i="47" s="1"/>
  <c r="U90" i="47"/>
  <c r="X100" i="47" s="1"/>
  <c r="X105" i="47" s="1"/>
  <c r="P151" i="47" s="1"/>
  <c r="J105" i="47"/>
  <c r="AA30" i="47"/>
  <c r="P12" i="47"/>
  <c r="C26" i="47"/>
  <c r="B37" i="47"/>
  <c r="B11" i="47"/>
  <c r="C89" i="47" s="1"/>
  <c r="C102" i="47"/>
  <c r="C107" i="47"/>
  <c r="J245" i="37"/>
  <c r="N141" i="36"/>
  <c r="D217" i="36"/>
  <c r="E50" i="36" s="1"/>
  <c r="N134" i="36"/>
  <c r="H134" i="36"/>
  <c r="N144" i="36"/>
  <c r="H248" i="36"/>
  <c r="U138" i="36"/>
  <c r="I212" i="36"/>
  <c r="I211" i="36"/>
  <c r="AC91" i="47" s="1"/>
  <c r="H247" i="36"/>
  <c r="H252" i="36"/>
  <c r="A5" i="47"/>
  <c r="U141" i="36"/>
  <c r="H243" i="36"/>
  <c r="U136" i="36"/>
  <c r="D152" i="36"/>
  <c r="C152" i="36"/>
  <c r="H135" i="36"/>
  <c r="U135" i="36" s="1"/>
  <c r="D205" i="36"/>
  <c r="H140" i="36"/>
  <c r="N148" i="37"/>
  <c r="I219" i="36"/>
  <c r="C133" i="36"/>
  <c r="C240" i="36" s="1"/>
  <c r="H251" i="36"/>
  <c r="U146" i="36"/>
  <c r="U150" i="36"/>
  <c r="H137" i="36"/>
  <c r="I213" i="36"/>
  <c r="U142" i="36"/>
  <c r="H242" i="36"/>
  <c r="U145" i="36"/>
  <c r="H249" i="36"/>
  <c r="S133" i="36"/>
  <c r="I214" i="36"/>
  <c r="D153" i="36"/>
  <c r="U140" i="36"/>
  <c r="I216" i="36"/>
  <c r="N142" i="36"/>
  <c r="C246" i="36"/>
  <c r="C241" i="36"/>
  <c r="W153" i="36"/>
  <c r="U148" i="36"/>
  <c r="H138" i="36"/>
  <c r="I205" i="36"/>
  <c r="N140" i="36"/>
  <c r="I215" i="36"/>
  <c r="D204" i="36"/>
  <c r="I220" i="36"/>
  <c r="N143" i="36"/>
  <c r="H253" i="36"/>
  <c r="H250" i="36"/>
  <c r="H136" i="36"/>
  <c r="U137" i="36"/>
  <c r="I204" i="36"/>
  <c r="U149" i="36"/>
  <c r="AD51" i="47"/>
  <c r="C54" i="17"/>
  <c r="R49" i="5"/>
  <c r="Q21" i="5"/>
  <c r="AD48" i="47"/>
  <c r="AD52" i="47"/>
  <c r="AD49" i="47"/>
  <c r="AD50" i="47"/>
  <c r="D60" i="44"/>
  <c r="C60" i="44"/>
  <c r="F60" i="44"/>
  <c r="F59" i="44"/>
  <c r="C59" i="44"/>
  <c r="D59" i="44"/>
  <c r="F58" i="44"/>
  <c r="C58" i="44"/>
  <c r="D58" i="44"/>
  <c r="Q29" i="16"/>
  <c r="P17" i="36" s="1"/>
  <c r="F57" i="44"/>
  <c r="C57" i="44"/>
  <c r="D57" i="44"/>
  <c r="F56" i="44"/>
  <c r="C56" i="44"/>
  <c r="D56" i="44"/>
  <c r="R22" i="5"/>
  <c r="I76" i="17"/>
  <c r="W75" i="36" s="1"/>
  <c r="Y75" i="36" s="1"/>
  <c r="I77" i="17"/>
  <c r="W76" i="36" s="1"/>
  <c r="Y76" i="36" s="1"/>
  <c r="AH22" i="5"/>
  <c r="Q53" i="17"/>
  <c r="AB26" i="47"/>
  <c r="D46" i="17"/>
  <c r="K46" i="17" s="1"/>
  <c r="AC22" i="47"/>
  <c r="X49" i="36"/>
  <c r="W50" i="36"/>
  <c r="X50" i="36"/>
  <c r="D55" i="17"/>
  <c r="D54" i="17" s="1"/>
  <c r="W49" i="36"/>
  <c r="W47" i="36"/>
  <c r="AC26" i="47"/>
  <c r="AB50" i="19"/>
  <c r="O31" i="19"/>
  <c r="O32" i="19"/>
  <c r="O29" i="19"/>
  <c r="AB46" i="19"/>
  <c r="O33" i="19"/>
  <c r="AT46" i="27"/>
  <c r="T218" i="37"/>
  <c r="I9" i="1"/>
  <c r="D8" i="38" s="1"/>
  <c r="D153" i="38" s="1"/>
  <c r="J220" i="37"/>
  <c r="AG232" i="37"/>
  <c r="C244" i="37"/>
  <c r="AC230" i="37"/>
  <c r="Y219" i="37"/>
  <c r="Y230" i="37" s="1"/>
  <c r="Y237" i="37" s="1"/>
  <c r="J221" i="37"/>
  <c r="F220" i="37"/>
  <c r="F245" i="37"/>
  <c r="L162" i="49" s="1"/>
  <c r="S245" i="37"/>
  <c r="AC232" i="37"/>
  <c r="R220" i="37"/>
  <c r="K232" i="37"/>
  <c r="K239" i="37" s="1"/>
  <c r="C237" i="37"/>
  <c r="C218" i="37"/>
  <c r="N245" i="37"/>
  <c r="P162" i="49" s="1"/>
  <c r="Y220" i="37"/>
  <c r="Y231" i="37" s="1"/>
  <c r="Y238" i="37" s="1"/>
  <c r="N221" i="37"/>
  <c r="J222" i="37"/>
  <c r="B36" i="37"/>
  <c r="C225" i="37" s="1"/>
  <c r="F57" i="37"/>
  <c r="R64" i="37"/>
  <c r="R77" i="37"/>
  <c r="R46" i="37"/>
  <c r="B30" i="37"/>
  <c r="B68" i="37"/>
  <c r="C245" i="37" s="1"/>
  <c r="B66" i="37"/>
  <c r="M46" i="37"/>
  <c r="B55" i="37"/>
  <c r="M32" i="37"/>
  <c r="B74" i="37"/>
  <c r="C249" i="37" s="1"/>
  <c r="B162" i="45" s="1"/>
  <c r="B170" i="45" s="1"/>
  <c r="B178" i="45" s="1"/>
  <c r="B186" i="45" s="1"/>
  <c r="B35" i="37"/>
  <c r="C224" i="37" s="1"/>
  <c r="B72" i="37"/>
  <c r="C247" i="37" s="1"/>
  <c r="B160" i="45" s="1"/>
  <c r="U160" i="45" s="1"/>
  <c r="B28" i="37"/>
  <c r="C210" i="37" s="1"/>
  <c r="F46" i="37"/>
  <c r="F68" i="37"/>
  <c r="B73" i="37"/>
  <c r="C248" i="37" s="1"/>
  <c r="B161" i="45" s="1"/>
  <c r="U161" i="45" s="1"/>
  <c r="E252" i="31"/>
  <c r="T252" i="31"/>
  <c r="X61" i="30"/>
  <c r="X63" i="30"/>
  <c r="X62" i="30"/>
  <c r="J252" i="31"/>
  <c r="O252" i="31"/>
  <c r="V31" i="30"/>
  <c r="J143" i="30" s="1"/>
  <c r="V18" i="30"/>
  <c r="Q92" i="30" s="1"/>
  <c r="X37" i="30"/>
  <c r="X18" i="30"/>
  <c r="V19" i="30"/>
  <c r="Q93" i="30" s="1"/>
  <c r="X38" i="30"/>
  <c r="X19" i="30"/>
  <c r="V38" i="30"/>
  <c r="X16" i="30"/>
  <c r="X31" i="30"/>
  <c r="X17" i="30"/>
  <c r="V37" i="30"/>
  <c r="R232" i="37"/>
  <c r="R222" i="37" s="1"/>
  <c r="B57" i="37"/>
  <c r="B60" i="37"/>
  <c r="G252" i="31"/>
  <c r="O30" i="19"/>
  <c r="AU47" i="27"/>
  <c r="S144" i="30"/>
  <c r="S143" i="30"/>
  <c r="AT48" i="27"/>
  <c r="AU44" i="27"/>
  <c r="AK46" i="27"/>
  <c r="AB49" i="19"/>
  <c r="AL46" i="27"/>
  <c r="G102" i="30"/>
  <c r="M10" i="4" s="1"/>
  <c r="L10" i="4" s="1"/>
  <c r="Z34" i="27"/>
  <c r="AC34" i="27"/>
  <c r="AN49" i="27"/>
  <c r="AK49" i="27"/>
  <c r="AK44" i="27"/>
  <c r="AA29" i="27"/>
  <c r="AD29" i="27"/>
  <c r="AO46" i="27"/>
  <c r="AL44" i="27"/>
  <c r="AA34" i="27"/>
  <c r="AM34" i="27" s="1"/>
  <c r="AD34" i="27"/>
  <c r="AO34" i="27" s="1"/>
  <c r="AO49" i="27"/>
  <c r="AL49" i="27"/>
  <c r="AO44" i="27"/>
  <c r="W20" i="27"/>
  <c r="W21" i="27" s="1"/>
  <c r="W22" i="27" s="1"/>
  <c r="W23" i="27" s="1"/>
  <c r="W18" i="27"/>
  <c r="AN46" i="27"/>
  <c r="V20" i="27"/>
  <c r="V21" i="27" s="1"/>
  <c r="V18" i="27"/>
  <c r="AN43" i="27" s="1"/>
  <c r="Z31" i="27"/>
  <c r="AC31" i="27"/>
  <c r="AC29" i="27"/>
  <c r="Z29" i="27"/>
  <c r="AA31" i="27"/>
  <c r="AD31" i="27"/>
  <c r="X20" i="27"/>
  <c r="X21" i="27" s="1"/>
  <c r="X22" i="27" s="1"/>
  <c r="X23" i="27" s="1"/>
  <c r="X18" i="27"/>
  <c r="AD28" i="27" s="1"/>
  <c r="AT47" i="27"/>
  <c r="AU46" i="27"/>
  <c r="W36" i="27"/>
  <c r="T32" i="27"/>
  <c r="Q32" i="27"/>
  <c r="AU49" i="27"/>
  <c r="AU43" i="27"/>
  <c r="U32" i="27"/>
  <c r="R32" i="27"/>
  <c r="V32" i="27"/>
  <c r="S32" i="27"/>
  <c r="AS49" i="27"/>
  <c r="U35" i="27"/>
  <c r="R35" i="27"/>
  <c r="AT50" i="27"/>
  <c r="T35" i="27"/>
  <c r="Q35" i="27"/>
  <c r="AS50" i="27"/>
  <c r="V35" i="27"/>
  <c r="S35" i="27"/>
  <c r="AA14" i="19"/>
  <c r="AB14" i="19"/>
  <c r="AC15" i="19"/>
  <c r="O35" i="19"/>
  <c r="AA50" i="19"/>
  <c r="AA15" i="19"/>
  <c r="O34" i="19"/>
  <c r="AD14" i="19"/>
  <c r="V31" i="19" s="1"/>
  <c r="K113" i="26" s="1"/>
  <c r="Q113" i="26" s="1"/>
  <c r="AB8" i="19"/>
  <c r="AC8" i="19"/>
  <c r="W20" i="4"/>
  <c r="W21" i="4" s="1"/>
  <c r="W22" i="4" s="1"/>
  <c r="W18" i="4"/>
  <c r="X20" i="4"/>
  <c r="X21" i="4" s="1"/>
  <c r="X22" i="4" s="1"/>
  <c r="X23" i="4" s="1"/>
  <c r="R37" i="4" s="1"/>
  <c r="X18" i="4"/>
  <c r="AH72" i="5"/>
  <c r="O109" i="30"/>
  <c r="S17" i="4" s="1"/>
  <c r="J17" i="4"/>
  <c r="I17" i="4" s="1"/>
  <c r="F28" i="4"/>
  <c r="AE26" i="22"/>
  <c r="Q13" i="30"/>
  <c r="X10" i="22"/>
  <c r="O13" i="30"/>
  <c r="AD13" i="22"/>
  <c r="O16" i="30"/>
  <c r="X29" i="22"/>
  <c r="Q16" i="30"/>
  <c r="A767" i="7"/>
  <c r="A781" i="7" s="1"/>
  <c r="A795" i="7" s="1"/>
  <c r="A809" i="7" s="1"/>
  <c r="A823" i="7" s="1"/>
  <c r="F29" i="4"/>
  <c r="F34" i="4"/>
  <c r="F30" i="4"/>
  <c r="I109" i="30"/>
  <c r="O17" i="4" s="1"/>
  <c r="K109" i="30"/>
  <c r="Q17" i="4" s="1"/>
  <c r="AI51" i="27"/>
  <c r="M52" i="27"/>
  <c r="Z26" i="22"/>
  <c r="AC14" i="22"/>
  <c r="Y28" i="16"/>
  <c r="AG50" i="5"/>
  <c r="R12" i="16"/>
  <c r="N12" i="36" s="1"/>
  <c r="S45" i="29"/>
  <c r="V256" i="38" s="1"/>
  <c r="A754" i="7"/>
  <c r="C16" i="45" s="1"/>
  <c r="C14" i="45"/>
  <c r="AG72" i="5"/>
  <c r="Q49" i="5"/>
  <c r="C47" i="17"/>
  <c r="K213" i="36" s="1"/>
  <c r="Q32" i="16"/>
  <c r="R44" i="16"/>
  <c r="U12" i="36" s="1"/>
  <c r="R48" i="16"/>
  <c r="U25" i="36" s="1"/>
  <c r="X25" i="36" s="1"/>
  <c r="D45" i="17"/>
  <c r="L45" i="17" s="1"/>
  <c r="Y47" i="16"/>
  <c r="Z47" i="16"/>
  <c r="R30" i="16"/>
  <c r="Q18" i="36" s="1"/>
  <c r="Q49" i="16"/>
  <c r="R21" i="16"/>
  <c r="R47" i="16"/>
  <c r="Q30" i="16"/>
  <c r="Z29" i="16"/>
  <c r="R29" i="16"/>
  <c r="Q17" i="36" s="1"/>
  <c r="Q44" i="16"/>
  <c r="Q46" i="16"/>
  <c r="T46" i="16" s="1"/>
  <c r="Q48" i="16"/>
  <c r="R13" i="16"/>
  <c r="N13" i="36" s="1"/>
  <c r="Y14" i="16"/>
  <c r="R31" i="16"/>
  <c r="R43" i="16"/>
  <c r="R49" i="16"/>
  <c r="Q28" i="16"/>
  <c r="Y29" i="16"/>
  <c r="X68" i="36"/>
  <c r="Y68" i="36" s="1"/>
  <c r="W67" i="36"/>
  <c r="AC9" i="22"/>
  <c r="O12" i="30"/>
  <c r="D250" i="31"/>
  <c r="B233" i="31"/>
  <c r="B253" i="31" s="1"/>
  <c r="E265" i="31"/>
  <c r="T264" i="31"/>
  <c r="M44" i="24"/>
  <c r="L43" i="24"/>
  <c r="L40" i="24"/>
  <c r="M41" i="24"/>
  <c r="H153" i="30"/>
  <c r="O10" i="19"/>
  <c r="P10" i="19" s="1"/>
  <c r="O94" i="5"/>
  <c r="K14" i="19"/>
  <c r="F157" i="30" s="1"/>
  <c r="M14" i="19"/>
  <c r="H157" i="30" s="1"/>
  <c r="J14" i="19"/>
  <c r="S12" i="35"/>
  <c r="B140" i="30"/>
  <c r="B26" i="30"/>
  <c r="Z9" i="22"/>
  <c r="C26" i="36"/>
  <c r="D150" i="36" s="1"/>
  <c r="B13" i="35"/>
  <c r="B47" i="35"/>
  <c r="B132" i="35" s="1"/>
  <c r="B14" i="35"/>
  <c r="W43" i="35"/>
  <c r="B16" i="35"/>
  <c r="B15" i="35"/>
  <c r="K42" i="25"/>
  <c r="AA21" i="25"/>
  <c r="J42" i="25"/>
  <c r="B80" i="31"/>
  <c r="E299" i="31"/>
  <c r="E73" i="31"/>
  <c r="E81" i="31" s="1"/>
  <c r="M9" i="36"/>
  <c r="R65" i="31"/>
  <c r="A5" i="30"/>
  <c r="C49" i="36"/>
  <c r="D216" i="36" s="1"/>
  <c r="B49" i="31"/>
  <c r="J99" i="30"/>
  <c r="B15" i="36"/>
  <c r="C139" i="36" s="1"/>
  <c r="H9" i="36"/>
  <c r="A5" i="20"/>
  <c r="C18" i="1"/>
  <c r="B43" i="36"/>
  <c r="C210" i="36" s="1"/>
  <c r="C19" i="36"/>
  <c r="D143" i="36" s="1"/>
  <c r="L74" i="2"/>
  <c r="B7" i="36"/>
  <c r="C125" i="36" s="1"/>
  <c r="L59" i="2"/>
  <c r="C14" i="36"/>
  <c r="D138" i="36" s="1"/>
  <c r="S9" i="36"/>
  <c r="C52" i="2"/>
  <c r="B12" i="1"/>
  <c r="B96" i="2"/>
  <c r="O56" i="2"/>
  <c r="B92" i="35"/>
  <c r="AF10" i="35"/>
  <c r="W42" i="35"/>
  <c r="B50" i="35"/>
  <c r="B135" i="35" s="1"/>
  <c r="J42" i="35"/>
  <c r="N122" i="35"/>
  <c r="N49" i="35"/>
  <c r="B122" i="35"/>
  <c r="B93" i="35"/>
  <c r="AF11" i="35"/>
  <c r="B45" i="35"/>
  <c r="B130" i="35" s="1"/>
  <c r="B40" i="35"/>
  <c r="B113" i="35" s="1"/>
  <c r="AA23" i="25"/>
  <c r="L50" i="2"/>
  <c r="E177" i="38"/>
  <c r="E185" i="38" s="1"/>
  <c r="E192" i="38" s="1"/>
  <c r="E199" i="38" s="1"/>
  <c r="B72" i="31"/>
  <c r="J11" i="31"/>
  <c r="J20" i="31" s="1"/>
  <c r="Q224" i="31"/>
  <c r="E287" i="31"/>
  <c r="F126" i="31"/>
  <c r="K170" i="31" s="1"/>
  <c r="F231" i="31" s="1"/>
  <c r="B41" i="31"/>
  <c r="B24" i="38"/>
  <c r="B164" i="38" s="1"/>
  <c r="O40" i="31"/>
  <c r="O73" i="31"/>
  <c r="O81" i="31" s="1"/>
  <c r="AK81" i="31" s="1"/>
  <c r="I10" i="31"/>
  <c r="B70" i="31"/>
  <c r="B222" i="31" s="1"/>
  <c r="B77" i="31"/>
  <c r="B236" i="31" s="1"/>
  <c r="B256" i="31" s="1"/>
  <c r="O32" i="31"/>
  <c r="O62" i="31" s="1"/>
  <c r="B11" i="31"/>
  <c r="B10" i="35" s="1"/>
  <c r="B44" i="31"/>
  <c r="B173" i="31" s="1"/>
  <c r="Q126" i="31"/>
  <c r="B14" i="31"/>
  <c r="B130" i="31" s="1"/>
  <c r="Q236" i="31"/>
  <c r="L20" i="31"/>
  <c r="AE21" i="31" s="1"/>
  <c r="B13" i="31"/>
  <c r="B129" i="31" s="1"/>
  <c r="F73" i="31"/>
  <c r="F81" i="31" s="1"/>
  <c r="AF81" i="31" s="1"/>
  <c r="G11" i="31"/>
  <c r="B294" i="31" s="1"/>
  <c r="I11" i="31"/>
  <c r="I20" i="31" s="1"/>
  <c r="B47" i="31"/>
  <c r="B176" i="31" s="1"/>
  <c r="E297" i="31"/>
  <c r="J46" i="25"/>
  <c r="K46" i="25"/>
  <c r="AB25" i="25"/>
  <c r="AB24" i="25"/>
  <c r="J44" i="25"/>
  <c r="K44" i="25"/>
  <c r="AA24" i="25"/>
  <c r="O100" i="30"/>
  <c r="R21" i="5"/>
  <c r="AH21" i="5"/>
  <c r="N22" i="16"/>
  <c r="Q21" i="16"/>
  <c r="Q73" i="5"/>
  <c r="R73" i="5"/>
  <c r="AG73" i="5"/>
  <c r="AH73" i="5"/>
  <c r="M39" i="24"/>
  <c r="L39" i="24"/>
  <c r="R32" i="16"/>
  <c r="R28" i="16"/>
  <c r="AG22" i="5"/>
  <c r="Q22" i="5"/>
  <c r="AB20" i="25"/>
  <c r="J41" i="25"/>
  <c r="AA20" i="25"/>
  <c r="E13" i="5"/>
  <c r="O13" i="5" s="1"/>
  <c r="O90" i="5" s="1"/>
  <c r="B18" i="38"/>
  <c r="B79" i="38" s="1"/>
  <c r="E247" i="38" s="1"/>
  <c r="I243" i="38" s="1"/>
  <c r="I257" i="38" s="1"/>
  <c r="B82" i="38"/>
  <c r="E250" i="38" s="1"/>
  <c r="N243" i="38" s="1"/>
  <c r="X12" i="22"/>
  <c r="AA12" i="22"/>
  <c r="C230" i="37"/>
  <c r="L10" i="37"/>
  <c r="M68" i="37" s="1"/>
  <c r="C32" i="32"/>
  <c r="BK7" i="22"/>
  <c r="BG24" i="22"/>
  <c r="AB15" i="24"/>
  <c r="AJ15" i="24"/>
  <c r="D242" i="38"/>
  <c r="N11" i="37"/>
  <c r="Y11" i="22"/>
  <c r="AA11" i="22"/>
  <c r="AD30" i="22"/>
  <c r="AG49" i="5"/>
  <c r="N33" i="16"/>
  <c r="K14" i="26"/>
  <c r="Q23" i="32"/>
  <c r="BG31" i="22"/>
  <c r="BG33" i="22"/>
  <c r="BH34" i="22"/>
  <c r="BI34" i="22"/>
  <c r="BI29" i="22"/>
  <c r="BF28" i="22"/>
  <c r="K14" i="28"/>
  <c r="BF24" i="22"/>
  <c r="BM7" i="22"/>
  <c r="J52" i="4"/>
  <c r="K52" i="4"/>
  <c r="BQ24" i="22"/>
  <c r="BX7" i="22"/>
  <c r="BE36" i="22"/>
  <c r="BI36" i="22"/>
  <c r="BE37" i="22"/>
  <c r="BI37" i="22"/>
  <c r="BJ36" i="22"/>
  <c r="BF35" i="22"/>
  <c r="BH35" i="22"/>
  <c r="BG35" i="22"/>
  <c r="BJ37" i="22"/>
  <c r="BE35" i="22"/>
  <c r="BH36" i="22"/>
  <c r="BF36" i="22"/>
  <c r="BG36" i="22"/>
  <c r="BH25" i="22"/>
  <c r="BG37" i="22"/>
  <c r="BI35" i="22"/>
  <c r="BH37" i="22"/>
  <c r="BJ35" i="22"/>
  <c r="BF37" i="22"/>
  <c r="BJ25" i="22"/>
  <c r="BG29" i="22"/>
  <c r="BE30" i="22"/>
  <c r="BI28" i="22"/>
  <c r="BE34" i="22"/>
  <c r="BH29" i="22"/>
  <c r="BG28" i="22"/>
  <c r="BH31" i="22"/>
  <c r="BJ31" i="22"/>
  <c r="AX35" i="22"/>
  <c r="AZ37" i="22"/>
  <c r="BC36" i="22"/>
  <c r="AX36" i="22"/>
  <c r="BA35" i="22"/>
  <c r="BC37" i="22"/>
  <c r="AY35" i="22"/>
  <c r="BA37" i="22"/>
  <c r="AY36" i="22"/>
  <c r="BB35" i="22"/>
  <c r="BB37" i="22"/>
  <c r="BC35" i="22"/>
  <c r="AX37" i="22"/>
  <c r="AY37" i="22"/>
  <c r="BB36" i="22"/>
  <c r="AZ35" i="22"/>
  <c r="AZ36" i="22"/>
  <c r="BA36" i="22"/>
  <c r="BH27" i="22"/>
  <c r="K45" i="25"/>
  <c r="BE31" i="22"/>
  <c r="BI33" i="22"/>
  <c r="BI32" i="22"/>
  <c r="BF32" i="22"/>
  <c r="BI30" i="22"/>
  <c r="BI27" i="22"/>
  <c r="BF25" i="22"/>
  <c r="C41" i="16"/>
  <c r="D40" i="16"/>
  <c r="M40" i="16" s="1"/>
  <c r="CG7" i="22"/>
  <c r="CG24" i="22" s="1"/>
  <c r="W37" i="27"/>
  <c r="X37" i="27"/>
  <c r="M14" i="5"/>
  <c r="M93" i="5" s="1"/>
  <c r="BE28" i="22"/>
  <c r="BJ29" i="22"/>
  <c r="BJ33" i="22"/>
  <c r="BH28" i="22"/>
  <c r="BG27" i="22"/>
  <c r="Z27" i="22"/>
  <c r="BG26" i="22"/>
  <c r="BI26" i="22"/>
  <c r="O15" i="16"/>
  <c r="AA44" i="24"/>
  <c r="AB44" i="24"/>
  <c r="AA40" i="24"/>
  <c r="AB40" i="24"/>
  <c r="AB34" i="22"/>
  <c r="AB33" i="22"/>
  <c r="AB32" i="22"/>
  <c r="AB31" i="22"/>
  <c r="X34" i="22"/>
  <c r="X33" i="22"/>
  <c r="X32" i="22"/>
  <c r="X31" i="22"/>
  <c r="Z46" i="16"/>
  <c r="Y46" i="16"/>
  <c r="X73" i="36"/>
  <c r="Y32" i="16"/>
  <c r="Z32" i="16"/>
  <c r="Z48" i="16"/>
  <c r="Y48" i="16"/>
  <c r="J63" i="5"/>
  <c r="O33" i="16"/>
  <c r="Y21" i="16"/>
  <c r="AA41" i="24"/>
  <c r="AB41" i="24"/>
  <c r="AA39" i="24"/>
  <c r="AB39" i="24"/>
  <c r="AA45" i="24"/>
  <c r="AB45" i="24"/>
  <c r="AA42" i="24"/>
  <c r="AB42" i="24"/>
  <c r="AA43" i="24"/>
  <c r="AB43" i="24"/>
  <c r="N116" i="26"/>
  <c r="N96" i="26"/>
  <c r="N74" i="26"/>
  <c r="AD34" i="22"/>
  <c r="AD33" i="22"/>
  <c r="AD32" i="22"/>
  <c r="AD31" i="22"/>
  <c r="Z34" i="22"/>
  <c r="Z33" i="22"/>
  <c r="Z32" i="22"/>
  <c r="Z31" i="22"/>
  <c r="Z31" i="16"/>
  <c r="Y31" i="16"/>
  <c r="Y49" i="16"/>
  <c r="Z49" i="16"/>
  <c r="Z44" i="16"/>
  <c r="Y44" i="16"/>
  <c r="Y30" i="16"/>
  <c r="Z30" i="16"/>
  <c r="M33" i="16"/>
  <c r="Y43" i="16"/>
  <c r="Z43" i="16"/>
  <c r="Y12" i="16"/>
  <c r="Z12" i="16"/>
  <c r="M15" i="16"/>
  <c r="B121" i="35"/>
  <c r="Z28" i="16"/>
  <c r="Z21" i="16"/>
  <c r="B133" i="31"/>
  <c r="B51" i="2"/>
  <c r="M59" i="2" s="1"/>
  <c r="I19" i="31"/>
  <c r="L49" i="2"/>
  <c r="F127" i="31"/>
  <c r="L171" i="31" s="1"/>
  <c r="F232" i="31" s="1"/>
  <c r="B238" i="31"/>
  <c r="B258" i="31" s="1"/>
  <c r="T72" i="31"/>
  <c r="P11" i="31"/>
  <c r="H122" i="35"/>
  <c r="J49" i="35"/>
  <c r="B190" i="30"/>
  <c r="B94" i="35"/>
  <c r="N124" i="35"/>
  <c r="K94" i="35"/>
  <c r="B49" i="35"/>
  <c r="B134" i="35" s="1"/>
  <c r="N123" i="35"/>
  <c r="J43" i="35"/>
  <c r="N11" i="35"/>
  <c r="B9" i="35"/>
  <c r="J231" i="31"/>
  <c r="P126" i="35"/>
  <c r="B15" i="31"/>
  <c r="B131" i="31" s="1"/>
  <c r="C96" i="38"/>
  <c r="B126" i="31"/>
  <c r="B170" i="31" s="1"/>
  <c r="B231" i="31" s="1"/>
  <c r="B250" i="31" s="1"/>
  <c r="AH46" i="4"/>
  <c r="AA30" i="22"/>
  <c r="AA29" i="22"/>
  <c r="AE27" i="22"/>
  <c r="X27" i="22"/>
  <c r="Z30" i="22"/>
  <c r="AB29" i="22"/>
  <c r="AD27" i="22"/>
  <c r="AE30" i="22"/>
  <c r="Z14" i="22"/>
  <c r="AC29" i="22"/>
  <c r="AB27" i="22"/>
  <c r="H38" i="25"/>
  <c r="AB14" i="22"/>
  <c r="AA14" i="22"/>
  <c r="Z12" i="22"/>
  <c r="AE14" i="22"/>
  <c r="X14" i="22"/>
  <c r="U38" i="25"/>
  <c r="Y27" i="22"/>
  <c r="X30" i="22"/>
  <c r="AB30" i="22"/>
  <c r="AC27" i="22"/>
  <c r="AC12" i="22"/>
  <c r="AC30" i="22"/>
  <c r="AB9" i="22"/>
  <c r="AA9" i="22"/>
  <c r="AD14" i="22"/>
  <c r="AD29" i="22"/>
  <c r="AC28" i="22"/>
  <c r="Y28" i="22"/>
  <c r="AD28" i="22"/>
  <c r="Z29" i="22"/>
  <c r="AE29" i="22"/>
  <c r="X28" i="22"/>
  <c r="U37" i="25"/>
  <c r="AB28" i="22"/>
  <c r="Z28" i="22"/>
  <c r="Y29" i="22"/>
  <c r="Y9" i="22"/>
  <c r="AA28" i="22"/>
  <c r="AA44" i="19"/>
  <c r="P16" i="25"/>
  <c r="S16" i="25" s="1"/>
  <c r="I38" i="25"/>
  <c r="P18" i="25"/>
  <c r="S18" i="25" s="1"/>
  <c r="I40" i="25"/>
  <c r="AG44" i="4"/>
  <c r="U33" i="25"/>
  <c r="V39" i="25"/>
  <c r="D155" i="30"/>
  <c r="Z11" i="22"/>
  <c r="AJ27" i="19"/>
  <c r="M46" i="19"/>
  <c r="AH35" i="22"/>
  <c r="AB26" i="22"/>
  <c r="BG22" i="22"/>
  <c r="AD11" i="22"/>
  <c r="AA27" i="22"/>
  <c r="Y26" i="22"/>
  <c r="AC11" i="22"/>
  <c r="N44" i="19"/>
  <c r="AB11" i="22"/>
  <c r="AL35" i="22"/>
  <c r="E33" i="22" s="1"/>
  <c r="H265" i="38" s="1"/>
  <c r="AD9" i="22"/>
  <c r="X11" i="22"/>
  <c r="AB45" i="19"/>
  <c r="AE9" i="22"/>
  <c r="AA26" i="22"/>
  <c r="AD26" i="22"/>
  <c r="AE11" i="22"/>
  <c r="AC26" i="22"/>
  <c r="AK27" i="19"/>
  <c r="X26" i="22"/>
  <c r="X9" i="22"/>
  <c r="Z13" i="22"/>
  <c r="AB48" i="19"/>
  <c r="AA46" i="19"/>
  <c r="AB12" i="22"/>
  <c r="AM35" i="22"/>
  <c r="E31" i="22" s="1"/>
  <c r="H263" i="38" s="1"/>
  <c r="J44" i="19"/>
  <c r="AX22" i="22"/>
  <c r="F12" i="22" s="1"/>
  <c r="I247" i="38" s="1"/>
  <c r="BF22" i="22"/>
  <c r="G13" i="22" s="1"/>
  <c r="J248" i="38" s="1"/>
  <c r="AU38" i="22"/>
  <c r="J28" i="22" s="1"/>
  <c r="N260" i="38" s="1"/>
  <c r="AI35" i="22"/>
  <c r="AE12" i="22"/>
  <c r="H40" i="25"/>
  <c r="AM19" i="22"/>
  <c r="E14" i="22" s="1"/>
  <c r="H249" i="38" s="1"/>
  <c r="Y12" i="22"/>
  <c r="BC22" i="22"/>
  <c r="AA10" i="22"/>
  <c r="AN35" i="22"/>
  <c r="E32" i="22" s="1"/>
  <c r="H264" i="38" s="1"/>
  <c r="Y13" i="22"/>
  <c r="BH22" i="22"/>
  <c r="I13" i="22" s="1"/>
  <c r="L248" i="38" s="1"/>
  <c r="AH47" i="4"/>
  <c r="AE13" i="22"/>
  <c r="AJ19" i="22"/>
  <c r="AB13" i="22"/>
  <c r="AI19" i="22"/>
  <c r="AC13" i="22"/>
  <c r="AD10" i="22"/>
  <c r="E10" i="22"/>
  <c r="H245" i="38" s="1"/>
  <c r="U36" i="25"/>
  <c r="AH19" i="22"/>
  <c r="AA13" i="22"/>
  <c r="AC10" i="22"/>
  <c r="AB10" i="22"/>
  <c r="AE10" i="22"/>
  <c r="AL19" i="22"/>
  <c r="E16" i="22" s="1"/>
  <c r="BE22" i="22"/>
  <c r="F13" i="22" s="1"/>
  <c r="I248" i="38" s="1"/>
  <c r="Z10" i="22"/>
  <c r="AB47" i="19"/>
  <c r="AR22" i="22"/>
  <c r="H11" i="22" s="1"/>
  <c r="K246" i="38" s="1"/>
  <c r="O28" i="19"/>
  <c r="Y10" i="22"/>
  <c r="J46" i="19"/>
  <c r="L46" i="19" s="1"/>
  <c r="AG27" i="19"/>
  <c r="AT22" i="22"/>
  <c r="I11" i="22" s="1"/>
  <c r="L246" i="38" s="1"/>
  <c r="AS22" i="22"/>
  <c r="AF27" i="19"/>
  <c r="BA22" i="22"/>
  <c r="I12" i="22" s="1"/>
  <c r="L247" i="38" s="1"/>
  <c r="X13" i="22"/>
  <c r="AF29" i="19"/>
  <c r="AB43" i="19"/>
  <c r="O11" i="19"/>
  <c r="J154" i="30" s="1"/>
  <c r="V32" i="25"/>
  <c r="AG29" i="19"/>
  <c r="N46" i="19"/>
  <c r="AA47" i="19"/>
  <c r="AA43" i="19"/>
  <c r="AG35" i="22"/>
  <c r="E28" i="22" s="1"/>
  <c r="AQ22" i="22"/>
  <c r="G11" i="22" s="1"/>
  <c r="J246" i="38" s="1"/>
  <c r="I44" i="19"/>
  <c r="AV38" i="22"/>
  <c r="I46" i="19"/>
  <c r="K46" i="19" s="1"/>
  <c r="AS38" i="22"/>
  <c r="AG48" i="4"/>
  <c r="AR38" i="22"/>
  <c r="H28" i="22" s="1"/>
  <c r="K260" i="38" s="1"/>
  <c r="AZ22" i="22"/>
  <c r="AJ35" i="22"/>
  <c r="P17" i="25"/>
  <c r="H39" i="25"/>
  <c r="I39" i="25"/>
  <c r="O17" i="25"/>
  <c r="AG19" i="22"/>
  <c r="E11" i="22" s="1"/>
  <c r="AQ38" i="22"/>
  <c r="G28" i="22" s="1"/>
  <c r="J260" i="38" s="1"/>
  <c r="AU22" i="22"/>
  <c r="J11" i="22" s="1"/>
  <c r="N246" i="38" s="1"/>
  <c r="AK29" i="19"/>
  <c r="BJ22" i="22"/>
  <c r="AK19" i="22"/>
  <c r="E13" i="22" s="1"/>
  <c r="BB22" i="22"/>
  <c r="J12" i="22" s="1"/>
  <c r="N247" i="38" s="1"/>
  <c r="AN19" i="22"/>
  <c r="E15" i="22" s="1"/>
  <c r="H250" i="38" s="1"/>
  <c r="AT38" i="22"/>
  <c r="I28" i="22" s="1"/>
  <c r="L260" i="38" s="1"/>
  <c r="AY22" i="22"/>
  <c r="H12" i="22" s="1"/>
  <c r="K247" i="38" s="1"/>
  <c r="N11" i="19"/>
  <c r="BI22" i="22"/>
  <c r="J13" i="22" s="1"/>
  <c r="N248" i="38" s="1"/>
  <c r="AV22" i="22"/>
  <c r="Z25" i="22"/>
  <c r="AA25" i="22"/>
  <c r="X25" i="22"/>
  <c r="Y25" i="22"/>
  <c r="AE25" i="22"/>
  <c r="AB25" i="22"/>
  <c r="Q12" i="30"/>
  <c r="AC25" i="22"/>
  <c r="AD25" i="22"/>
  <c r="AK35" i="22"/>
  <c r="E30" i="22" s="1"/>
  <c r="E27" i="22"/>
  <c r="L51" i="2"/>
  <c r="C13" i="36"/>
  <c r="D137" i="36" s="1"/>
  <c r="L63" i="2"/>
  <c r="B78" i="2"/>
  <c r="C22" i="36"/>
  <c r="D146" i="36" s="1"/>
  <c r="B61" i="36"/>
  <c r="C232" i="36" s="1"/>
  <c r="C16" i="36"/>
  <c r="D140" i="36" s="1"/>
  <c r="C21" i="36"/>
  <c r="D145" i="36" s="1"/>
  <c r="C20" i="36"/>
  <c r="D144" i="36" s="1"/>
  <c r="B34" i="36"/>
  <c r="C194" i="36" s="1"/>
  <c r="C52" i="36"/>
  <c r="D219" i="36" s="1"/>
  <c r="P8" i="2"/>
  <c r="C48" i="36"/>
  <c r="D215" i="36" s="1"/>
  <c r="B53" i="2"/>
  <c r="M57" i="2" s="1"/>
  <c r="S82" i="36"/>
  <c r="B44" i="37"/>
  <c r="B46" i="37"/>
  <c r="C232" i="37" s="1"/>
  <c r="C239" i="37" s="1"/>
  <c r="B23" i="36"/>
  <c r="C147" i="36" s="1"/>
  <c r="F101" i="30"/>
  <c r="E110" i="47"/>
  <c r="S30" i="36"/>
  <c r="M10" i="36"/>
  <c r="C45" i="36"/>
  <c r="D212" i="36" s="1"/>
  <c r="B7" i="37"/>
  <c r="C137" i="37" s="1"/>
  <c r="M65" i="2"/>
  <c r="P10" i="36"/>
  <c r="M66" i="2"/>
  <c r="C47" i="36"/>
  <c r="D214" i="36" s="1"/>
  <c r="H36" i="36"/>
  <c r="Q8" i="2"/>
  <c r="B11" i="36"/>
  <c r="C135" i="36" s="1"/>
  <c r="A110" i="2"/>
  <c r="I63" i="36"/>
  <c r="B16" i="31"/>
  <c r="B132" i="31" s="1"/>
  <c r="B39" i="36"/>
  <c r="C203" i="36" s="1"/>
  <c r="M74" i="2"/>
  <c r="A5" i="31"/>
  <c r="C24" i="36"/>
  <c r="D148" i="36" s="1"/>
  <c r="N144" i="37"/>
  <c r="B65" i="2"/>
  <c r="C44" i="2"/>
  <c r="C50" i="36"/>
  <c r="H11" i="37"/>
  <c r="H33" i="37" s="1"/>
  <c r="C51" i="2"/>
  <c r="D92" i="2" s="1"/>
  <c r="L56" i="2"/>
  <c r="O10" i="31"/>
  <c r="C18" i="36"/>
  <c r="D142" i="36" s="1"/>
  <c r="N143" i="37"/>
  <c r="N12" i="37"/>
  <c r="N71" i="37" s="1"/>
  <c r="B52" i="2"/>
  <c r="M58" i="2" s="1"/>
  <c r="B50" i="37"/>
  <c r="C235" i="37" s="1"/>
  <c r="C242" i="37" s="1"/>
  <c r="B72" i="36"/>
  <c r="L60" i="2"/>
  <c r="S57" i="36"/>
  <c r="L52" i="2"/>
  <c r="B66" i="36"/>
  <c r="D47" i="30"/>
  <c r="D199" i="30" s="1"/>
  <c r="B97" i="30"/>
  <c r="P7" i="2"/>
  <c r="A5" i="32"/>
  <c r="L57" i="2"/>
  <c r="F232" i="37"/>
  <c r="B98" i="2"/>
  <c r="R10" i="35"/>
  <c r="R19" i="35" s="1"/>
  <c r="B94" i="2"/>
  <c r="L62" i="2"/>
  <c r="D127" i="35"/>
  <c r="P127" i="35" s="1"/>
  <c r="O54" i="2"/>
  <c r="Q19" i="32"/>
  <c r="L69" i="2"/>
  <c r="B11" i="1"/>
  <c r="F7" i="38" s="1"/>
  <c r="F152" i="38" s="1"/>
  <c r="C7" i="2"/>
  <c r="T80" i="31"/>
  <c r="C44" i="36"/>
  <c r="A5" i="38"/>
  <c r="N147" i="37"/>
  <c r="B99" i="2"/>
  <c r="C12" i="36"/>
  <c r="D136" i="36" s="1"/>
  <c r="B51" i="36"/>
  <c r="C218" i="36" s="1"/>
  <c r="M11" i="37"/>
  <c r="M72" i="2"/>
  <c r="M69" i="2"/>
  <c r="M76" i="2"/>
  <c r="C105" i="2"/>
  <c r="B9" i="36"/>
  <c r="B36" i="36" s="1"/>
  <c r="B63" i="36" s="1"/>
  <c r="C50" i="2"/>
  <c r="C92" i="2" s="1"/>
  <c r="M64" i="2"/>
  <c r="L58" i="2"/>
  <c r="Q24" i="32"/>
  <c r="C46" i="36"/>
  <c r="D213" i="36" s="1"/>
  <c r="C54" i="36"/>
  <c r="D220" i="36" s="1"/>
  <c r="C25" i="36"/>
  <c r="D149" i="36" s="1"/>
  <c r="F10" i="37"/>
  <c r="AE10" i="37" s="1"/>
  <c r="L47" i="2"/>
  <c r="K12" i="19"/>
  <c r="L12" i="19" s="1"/>
  <c r="B10" i="38"/>
  <c r="B155" i="38" s="1"/>
  <c r="B184" i="38"/>
  <c r="B49" i="2"/>
  <c r="I14" i="38"/>
  <c r="A5" i="36"/>
  <c r="A5" i="37"/>
  <c r="N155" i="38"/>
  <c r="H13" i="38"/>
  <c r="G199" i="30" s="1"/>
  <c r="A5" i="2"/>
  <c r="B176" i="38"/>
  <c r="B9" i="1"/>
  <c r="B8" i="38" s="1"/>
  <c r="B153" i="38" s="1"/>
  <c r="B242" i="38"/>
  <c r="B256" i="38" s="1"/>
  <c r="Q76" i="38"/>
  <c r="B17" i="38"/>
  <c r="C99" i="38" s="1"/>
  <c r="N142" i="37"/>
  <c r="H177" i="38"/>
  <c r="H185" i="38" s="1"/>
  <c r="H192" i="38" s="1"/>
  <c r="H199" i="38" s="1"/>
  <c r="B95" i="38"/>
  <c r="B56" i="38"/>
  <c r="B77" i="38"/>
  <c r="E245" i="38" s="1"/>
  <c r="E259" i="38" s="1"/>
  <c r="B14" i="38"/>
  <c r="N85" i="38"/>
  <c r="B210" i="38"/>
  <c r="N146" i="37"/>
  <c r="C17" i="36"/>
  <c r="D141" i="36" s="1"/>
  <c r="B174" i="38"/>
  <c r="B27" i="38"/>
  <c r="B166" i="38" s="1"/>
  <c r="N10" i="38"/>
  <c r="B36" i="38"/>
  <c r="Q243" i="38"/>
  <c r="Q257" i="38" s="1"/>
  <c r="K156" i="38"/>
  <c r="T242" i="38"/>
  <c r="T256" i="38" s="1"/>
  <c r="B150" i="38"/>
  <c r="B216" i="38" s="1"/>
  <c r="B245" i="38" s="1"/>
  <c r="B34" i="38"/>
  <c r="B75" i="38"/>
  <c r="J204" i="38"/>
  <c r="D10" i="38"/>
  <c r="M77" i="38" s="1"/>
  <c r="B90" i="38"/>
  <c r="B198" i="38"/>
  <c r="J13" i="38"/>
  <c r="C97" i="38"/>
  <c r="H155" i="38"/>
  <c r="J14" i="38"/>
  <c r="I56" i="38"/>
  <c r="B21" i="38"/>
  <c r="C80" i="38" s="1"/>
  <c r="F248" i="38" s="1"/>
  <c r="F262" i="38" s="1"/>
  <c r="H14" i="38"/>
  <c r="B20" i="38"/>
  <c r="C101" i="38" s="1"/>
  <c r="B161" i="38" s="1"/>
  <c r="C92" i="38"/>
  <c r="C102" i="38" s="1"/>
  <c r="B162" i="38" s="1"/>
  <c r="I13" i="38"/>
  <c r="B19" i="38"/>
  <c r="C78" i="38" s="1"/>
  <c r="F246" i="38" s="1"/>
  <c r="B209" i="38"/>
  <c r="Q155" i="38"/>
  <c r="G15" i="1"/>
  <c r="B48" i="35"/>
  <c r="B133" i="35" s="1"/>
  <c r="B15" i="1"/>
  <c r="F8" i="38" s="1"/>
  <c r="F153" i="38" s="1"/>
  <c r="H156" i="38"/>
  <c r="B207" i="38"/>
  <c r="B23" i="38"/>
  <c r="C103" i="38" s="1"/>
  <c r="B163" i="38" s="1"/>
  <c r="E249" i="38" s="1"/>
  <c r="B50" i="2"/>
  <c r="M60" i="2" s="1"/>
  <c r="M81" i="38"/>
  <c r="V1" i="38"/>
  <c r="B15" i="38"/>
  <c r="N8" i="38"/>
  <c r="B86" i="38" s="1"/>
  <c r="I36" i="38"/>
  <c r="J183" i="38"/>
  <c r="B159" i="38"/>
  <c r="B171" i="38"/>
  <c r="B191" i="38"/>
  <c r="V31" i="38"/>
  <c r="C93" i="38"/>
  <c r="M75" i="38"/>
  <c r="B173" i="38"/>
  <c r="B178" i="38"/>
  <c r="B186" i="38" s="1"/>
  <c r="B193" i="38" s="1"/>
  <c r="B200" i="38" s="1"/>
  <c r="D13" i="38"/>
  <c r="C82" i="38"/>
  <c r="F250" i="38" s="1"/>
  <c r="N244" i="38" s="1"/>
  <c r="N258" i="38" s="1"/>
  <c r="A5" i="35"/>
  <c r="B32" i="38"/>
  <c r="F253" i="38"/>
  <c r="F267" i="38" s="1"/>
  <c r="B30" i="38"/>
  <c r="D94" i="38" s="1"/>
  <c r="D104" i="38" s="1"/>
  <c r="B169" i="38" s="1"/>
  <c r="J214" i="38" s="1"/>
  <c r="B25" i="38"/>
  <c r="B165" i="38" s="1"/>
  <c r="B213" i="38"/>
  <c r="H242" i="38"/>
  <c r="H256" i="38" s="1"/>
  <c r="H10" i="38"/>
  <c r="S64" i="38" s="1"/>
  <c r="B212" i="38"/>
  <c r="D245" i="38"/>
  <c r="D259" i="38" s="1"/>
  <c r="B18" i="1"/>
  <c r="N7" i="38" s="1"/>
  <c r="N152" i="38" s="1"/>
  <c r="B7" i="1"/>
  <c r="B7" i="38" s="1"/>
  <c r="B152" i="38" s="1"/>
  <c r="B211" i="38"/>
  <c r="J190" i="38"/>
  <c r="A5" i="1"/>
  <c r="J197" i="38"/>
  <c r="C83" i="38"/>
  <c r="F251" i="38" s="1"/>
  <c r="F265" i="38" s="1"/>
  <c r="D12" i="38"/>
  <c r="B91" i="38"/>
  <c r="C19" i="1"/>
  <c r="B22" i="38"/>
  <c r="B54" i="2"/>
  <c r="G67" i="2" s="1"/>
  <c r="B11" i="37"/>
  <c r="C151" i="37" s="1"/>
  <c r="B16" i="38"/>
  <c r="C98" i="38" s="1"/>
  <c r="G12" i="1"/>
  <c r="B177" i="38"/>
  <c r="B185" i="38" s="1"/>
  <c r="B192" i="38" s="1"/>
  <c r="B199" i="38" s="1"/>
  <c r="N145" i="37"/>
  <c r="I8" i="1"/>
  <c r="W19" i="32"/>
  <c r="C20" i="1"/>
  <c r="K171" i="38"/>
  <c r="K207" i="38" s="1"/>
  <c r="O197" i="38" s="1"/>
  <c r="D150" i="30"/>
  <c r="B47" i="30"/>
  <c r="J10" i="30"/>
  <c r="D11" i="30"/>
  <c r="F32" i="37"/>
  <c r="R42" i="37"/>
  <c r="R30" i="49" s="1"/>
  <c r="G171" i="31"/>
  <c r="I171" i="31" s="1"/>
  <c r="G47" i="30"/>
  <c r="G100" i="30"/>
  <c r="N141" i="37"/>
  <c r="B7" i="35"/>
  <c r="B82" i="35" s="1"/>
  <c r="B9" i="31"/>
  <c r="B10" i="30"/>
  <c r="R23" i="37"/>
  <c r="G20" i="30"/>
  <c r="D138" i="37"/>
  <c r="B42" i="35"/>
  <c r="B126" i="35" s="1"/>
  <c r="R35" i="31"/>
  <c r="Q233" i="31"/>
  <c r="R49" i="35"/>
  <c r="N121" i="35"/>
  <c r="E100" i="30"/>
  <c r="E90" i="35"/>
  <c r="B39" i="31"/>
  <c r="B162" i="31" s="1"/>
  <c r="D10" i="30"/>
  <c r="X96" i="31"/>
  <c r="J10" i="35"/>
  <c r="J19" i="35" s="1"/>
  <c r="E101" i="30"/>
  <c r="F11" i="31"/>
  <c r="F20" i="31" s="1"/>
  <c r="I47" i="30"/>
  <c r="X60" i="30" s="1"/>
  <c r="B45" i="30"/>
  <c r="B37" i="37"/>
  <c r="C226" i="37" s="1"/>
  <c r="D20" i="30"/>
  <c r="F10" i="30"/>
  <c r="X10" i="30" s="1"/>
  <c r="N43" i="35"/>
  <c r="B45" i="31"/>
  <c r="B174" i="31" s="1"/>
  <c r="Z55" i="35"/>
  <c r="B96" i="30"/>
  <c r="B38" i="37"/>
  <c r="C227" i="37" s="1"/>
  <c r="B95" i="35"/>
  <c r="O10" i="30"/>
  <c r="O49" i="31"/>
  <c r="E10" i="31"/>
  <c r="E19" i="31" s="1"/>
  <c r="P170" i="31"/>
  <c r="D10" i="35"/>
  <c r="B11" i="30"/>
  <c r="B100" i="30" s="1"/>
  <c r="U19" i="32"/>
  <c r="D126" i="35"/>
  <c r="B7" i="31"/>
  <c r="B117" i="31" s="1"/>
  <c r="B281" i="31" s="1"/>
  <c r="C8" i="37"/>
  <c r="B7" i="30"/>
  <c r="B89" i="30" s="1"/>
  <c r="N22" i="30"/>
  <c r="M11" i="30"/>
  <c r="T12" i="31" s="1"/>
  <c r="X12" i="31" s="1"/>
  <c r="X21" i="31" s="1"/>
  <c r="N61" i="30"/>
  <c r="E11" i="30"/>
  <c r="E30" i="30" s="1"/>
  <c r="K48" i="30" s="1"/>
  <c r="R12" i="35" s="1"/>
  <c r="D92" i="30"/>
  <c r="D143" i="30" s="1"/>
  <c r="B8" i="30"/>
  <c r="B27" i="30" s="1"/>
  <c r="B90" i="30" s="1"/>
  <c r="T10" i="30"/>
  <c r="T29" i="30" s="1"/>
  <c r="T47" i="30" s="1"/>
  <c r="R43" i="35"/>
  <c r="R53" i="37"/>
  <c r="P171" i="31"/>
  <c r="J232" i="31" s="1"/>
  <c r="I100" i="30"/>
  <c r="E294" i="31"/>
  <c r="N41" i="30"/>
  <c r="W12" i="35"/>
  <c r="W21" i="35" s="1"/>
  <c r="B75" i="31"/>
  <c r="B234" i="31" s="1"/>
  <c r="B254" i="31" s="1"/>
  <c r="B177" i="31"/>
  <c r="Q22" i="32"/>
  <c r="E290" i="31"/>
  <c r="B96" i="35"/>
  <c r="I74" i="31"/>
  <c r="I82" i="31" s="1"/>
  <c r="AH82" i="31" s="1"/>
  <c r="B46" i="35"/>
  <c r="B131" i="35" s="1"/>
  <c r="K29" i="30"/>
  <c r="B7" i="32"/>
  <c r="F74" i="31"/>
  <c r="F82" i="31" s="1"/>
  <c r="AF82" i="31" s="1"/>
  <c r="Z35" i="35"/>
  <c r="B18" i="35"/>
  <c r="F222" i="37"/>
  <c r="B33" i="37"/>
  <c r="C223" i="37" s="1"/>
  <c r="H121" i="35"/>
  <c r="E10" i="30"/>
  <c r="E29" i="30" s="1"/>
  <c r="K47" i="30" s="1"/>
  <c r="B30" i="30"/>
  <c r="B151" i="30" s="1"/>
  <c r="B172" i="31"/>
  <c r="K100" i="30"/>
  <c r="B39" i="37"/>
  <c r="C228" i="37" s="1"/>
  <c r="K126" i="35"/>
  <c r="F29" i="30"/>
  <c r="X29" i="30" s="1"/>
  <c r="J11" i="30"/>
  <c r="P12" i="31" s="1"/>
  <c r="P21" i="31" s="1"/>
  <c r="P43" i="31" s="1"/>
  <c r="P51" i="31" s="1"/>
  <c r="R10" i="30"/>
  <c r="R29" i="30" s="1"/>
  <c r="R47" i="30" s="1"/>
  <c r="B18" i="31"/>
  <c r="B76" i="31"/>
  <c r="B235" i="31" s="1"/>
  <c r="B255" i="31" s="1"/>
  <c r="B90" i="35"/>
  <c r="B78" i="31"/>
  <c r="B237" i="31" s="1"/>
  <c r="B257" i="31" s="1"/>
  <c r="O19" i="31"/>
  <c r="K11" i="30"/>
  <c r="O11" i="30" s="1"/>
  <c r="B49" i="37"/>
  <c r="C234" i="37" s="1"/>
  <c r="C241" i="37" s="1"/>
  <c r="B285" i="31"/>
  <c r="D42" i="35"/>
  <c r="E11" i="31"/>
  <c r="B287" i="31" s="1"/>
  <c r="T171" i="31"/>
  <c r="Q229" i="31"/>
  <c r="J11" i="35"/>
  <c r="M47" i="30"/>
  <c r="Z19" i="32"/>
  <c r="H150" i="30"/>
  <c r="B128" i="31"/>
  <c r="G64" i="5"/>
  <c r="G63" i="5"/>
  <c r="AE18" i="5"/>
  <c r="AD13" i="5"/>
  <c r="D19" i="5"/>
  <c r="N19" i="5" s="1"/>
  <c r="E19" i="5"/>
  <c r="O19" i="5" s="1"/>
  <c r="D18" i="5"/>
  <c r="N18" i="5" s="1"/>
  <c r="E18" i="5"/>
  <c r="O18" i="5" s="1"/>
  <c r="D16" i="5"/>
  <c r="N16" i="5" s="1"/>
  <c r="E16" i="5"/>
  <c r="O16" i="5" s="1"/>
  <c r="D17" i="5"/>
  <c r="N17" i="5" s="1"/>
  <c r="E17" i="5"/>
  <c r="O17" i="5" s="1"/>
  <c r="D20" i="5"/>
  <c r="N20" i="5" s="1"/>
  <c r="E20" i="5"/>
  <c r="O20" i="5" s="1"/>
  <c r="D15" i="5"/>
  <c r="N15" i="5" s="1"/>
  <c r="E15" i="5"/>
  <c r="O15" i="5" s="1"/>
  <c r="O93" i="5"/>
  <c r="O92" i="5"/>
  <c r="U34" i="10"/>
  <c r="V34" i="10"/>
  <c r="D61" i="5"/>
  <c r="U33" i="10"/>
  <c r="D62" i="5"/>
  <c r="V42" i="10"/>
  <c r="U42" i="10"/>
  <c r="O95" i="5"/>
  <c r="AD12" i="5"/>
  <c r="AD16" i="5"/>
  <c r="U38" i="10"/>
  <c r="V38" i="10"/>
  <c r="V40" i="10"/>
  <c r="U40" i="10"/>
  <c r="AD20" i="5"/>
  <c r="AE20" i="5"/>
  <c r="AE16" i="5"/>
  <c r="V35" i="10"/>
  <c r="V37" i="10"/>
  <c r="U36" i="10"/>
  <c r="V39" i="10"/>
  <c r="V41" i="10"/>
  <c r="U41" i="10"/>
  <c r="U37" i="10"/>
  <c r="X67" i="36"/>
  <c r="AE13" i="5"/>
  <c r="AE15" i="5"/>
  <c r="AE12" i="5"/>
  <c r="AD19" i="5"/>
  <c r="U39" i="10"/>
  <c r="V36" i="10"/>
  <c r="AD15" i="5"/>
  <c r="AE14" i="5"/>
  <c r="AE19" i="5"/>
  <c r="N93" i="5"/>
  <c r="AD14" i="5"/>
  <c r="H86" i="5"/>
  <c r="N92" i="5"/>
  <c r="H85" i="5"/>
  <c r="U35" i="10"/>
  <c r="R71" i="5"/>
  <c r="N95" i="5"/>
  <c r="AD17" i="5"/>
  <c r="AD18" i="5"/>
  <c r="K98" i="5"/>
  <c r="K99" i="5"/>
  <c r="K97" i="5"/>
  <c r="AE17" i="5"/>
  <c r="H97" i="5"/>
  <c r="H98" i="5"/>
  <c r="H99" i="5"/>
  <c r="G43" i="10"/>
  <c r="K90" i="5"/>
  <c r="K91" i="5"/>
  <c r="K89" i="5"/>
  <c r="E43" i="10"/>
  <c r="AG69" i="5"/>
  <c r="AH69" i="5"/>
  <c r="R69" i="5"/>
  <c r="AH70" i="5"/>
  <c r="Q69" i="5"/>
  <c r="AH71" i="5"/>
  <c r="Q71" i="5"/>
  <c r="AG71" i="5"/>
  <c r="R70" i="5"/>
  <c r="Q70" i="5"/>
  <c r="AG70" i="5"/>
  <c r="J33" i="10"/>
  <c r="AK40" i="10"/>
  <c r="O20" i="31"/>
  <c r="O50" i="31" s="1"/>
  <c r="C63" i="34"/>
  <c r="AH87" i="31"/>
  <c r="A152" i="2"/>
  <c r="C20" i="34"/>
  <c r="AK38" i="10"/>
  <c r="AL40" i="10"/>
  <c r="C6" i="34"/>
  <c r="C59" i="34"/>
  <c r="I36" i="10"/>
  <c r="AJ24" i="35"/>
  <c r="M152" i="2"/>
  <c r="N152" i="2"/>
  <c r="A19" i="34"/>
  <c r="C8" i="34"/>
  <c r="A7" i="34"/>
  <c r="AF78" i="31"/>
  <c r="W52" i="30"/>
  <c r="V54" i="30"/>
  <c r="I12" i="1"/>
  <c r="C61" i="34"/>
  <c r="AL38" i="10"/>
  <c r="J34" i="10"/>
  <c r="I34" i="10"/>
  <c r="J41" i="10"/>
  <c r="V33" i="10"/>
  <c r="E57" i="35"/>
  <c r="C51" i="34"/>
  <c r="C53" i="34"/>
  <c r="AL28" i="35"/>
  <c r="W58" i="30"/>
  <c r="AF88" i="31"/>
  <c r="J153" i="2"/>
  <c r="X32" i="30"/>
  <c r="D8" i="30"/>
  <c r="C19" i="34"/>
  <c r="AE15" i="37"/>
  <c r="B153" i="2"/>
  <c r="C23" i="34"/>
  <c r="AK89" i="31"/>
  <c r="AC14" i="37"/>
  <c r="A15" i="34"/>
  <c r="R8" i="37"/>
  <c r="H139" i="37" s="1"/>
  <c r="Q8" i="30"/>
  <c r="I39" i="10"/>
  <c r="AL15" i="35"/>
  <c r="AC17" i="37"/>
  <c r="A11" i="34"/>
  <c r="E56" i="35"/>
  <c r="AJ14" i="35"/>
  <c r="N67" i="36"/>
  <c r="N242" i="36" s="1"/>
  <c r="AC16" i="37"/>
  <c r="B152" i="2"/>
  <c r="C30" i="34"/>
  <c r="K8" i="30"/>
  <c r="A10" i="34"/>
  <c r="X52" i="30"/>
  <c r="N153" i="2"/>
  <c r="AN27" i="35"/>
  <c r="AH77" i="31"/>
  <c r="A16" i="34"/>
  <c r="W55" i="30"/>
  <c r="I155" i="2"/>
  <c r="C45" i="34"/>
  <c r="C22" i="34"/>
  <c r="AK86" i="31"/>
  <c r="V34" i="30"/>
  <c r="AN29" i="35"/>
  <c r="AN25" i="35"/>
  <c r="AJ28" i="35"/>
  <c r="C36" i="34"/>
  <c r="C43" i="34"/>
  <c r="B156" i="2"/>
  <c r="X50" i="30"/>
  <c r="X15" i="30"/>
  <c r="V32" i="30"/>
  <c r="A20" i="34"/>
  <c r="C24" i="34"/>
  <c r="AN22" i="35"/>
  <c r="AF83" i="31"/>
  <c r="A9" i="34"/>
  <c r="A29" i="34"/>
  <c r="AI14" i="37"/>
  <c r="C12" i="34"/>
  <c r="AK91" i="31"/>
  <c r="C58" i="34"/>
  <c r="F58" i="35"/>
  <c r="B138" i="35" s="1"/>
  <c r="W50" i="30"/>
  <c r="C11" i="32"/>
  <c r="C14" i="32" s="1"/>
  <c r="E151" i="2"/>
  <c r="X12" i="30"/>
  <c r="B35" i="2"/>
  <c r="AJ13" i="35"/>
  <c r="A8" i="34"/>
  <c r="AL14" i="35"/>
  <c r="AJ30" i="35"/>
  <c r="C14" i="34"/>
  <c r="AJ16" i="35"/>
  <c r="A26" i="34"/>
  <c r="A22" i="34"/>
  <c r="C27" i="34"/>
  <c r="A154" i="2"/>
  <c r="E58" i="35"/>
  <c r="B155" i="2"/>
  <c r="V58" i="30"/>
  <c r="C56" i="34"/>
  <c r="C49" i="34"/>
  <c r="A13" i="34"/>
  <c r="V13" i="30"/>
  <c r="AI13" i="37"/>
  <c r="A151" i="2"/>
  <c r="J151" i="2"/>
  <c r="A31" i="34"/>
  <c r="AK90" i="31"/>
  <c r="C50" i="34"/>
  <c r="C55" i="34"/>
  <c r="F56" i="35"/>
  <c r="B136" i="35" s="1"/>
  <c r="W8" i="37"/>
  <c r="O139" i="37" s="1"/>
  <c r="W57" i="30"/>
  <c r="X13" i="30"/>
  <c r="AH88" i="31"/>
  <c r="A155" i="2"/>
  <c r="M153" i="2"/>
  <c r="V51" i="30"/>
  <c r="A4" i="34"/>
  <c r="N79" i="36"/>
  <c r="N253" i="36" s="1"/>
  <c r="AJ15" i="35"/>
  <c r="W49" i="30"/>
  <c r="AK84" i="31"/>
  <c r="C54" i="34"/>
  <c r="AN30" i="35"/>
  <c r="X34" i="30"/>
  <c r="AF90" i="31"/>
  <c r="A23" i="34"/>
  <c r="N151" i="2"/>
  <c r="AK87" i="31"/>
  <c r="AH91" i="31"/>
  <c r="A17" i="34"/>
  <c r="AF87" i="31"/>
  <c r="C52" i="34"/>
  <c r="J152" i="2"/>
  <c r="B31" i="2"/>
  <c r="AG15" i="37"/>
  <c r="AH86" i="31"/>
  <c r="X49" i="30"/>
  <c r="V21" i="30"/>
  <c r="V40" i="30" s="1"/>
  <c r="C4" i="34"/>
  <c r="AG17" i="37"/>
  <c r="C40" i="34"/>
  <c r="C34" i="34"/>
  <c r="N77" i="36"/>
  <c r="N251" i="36" s="1"/>
  <c r="X57" i="30"/>
  <c r="A6" i="34"/>
  <c r="AJ29" i="35"/>
  <c r="AI17" i="37"/>
  <c r="C17" i="34"/>
  <c r="J155" i="2"/>
  <c r="C16" i="34"/>
  <c r="C57" i="34"/>
  <c r="X33" i="30"/>
  <c r="F153" i="2"/>
  <c r="AH83" i="31"/>
  <c r="X35" i="30"/>
  <c r="AL31" i="35"/>
  <c r="AG18" i="37"/>
  <c r="X36" i="30"/>
  <c r="F57" i="35"/>
  <c r="B137" i="35" s="1"/>
  <c r="A18" i="34"/>
  <c r="AF86" i="31"/>
  <c r="X56" i="30"/>
  <c r="L8" i="32"/>
  <c r="C35" i="34"/>
  <c r="C62" i="34"/>
  <c r="C18" i="34"/>
  <c r="AH90" i="31"/>
  <c r="AL30" i="35"/>
  <c r="W56" i="30"/>
  <c r="F151" i="2"/>
  <c r="AH89" i="31"/>
  <c r="C7" i="34"/>
  <c r="X14" i="30"/>
  <c r="AK88" i="31"/>
  <c r="C10" i="34"/>
  <c r="AE17" i="37"/>
  <c r="A25" i="34"/>
  <c r="A156" i="2"/>
  <c r="X51" i="30"/>
  <c r="C28" i="34"/>
  <c r="AL27" i="35"/>
  <c r="C31" i="34"/>
  <c r="J154" i="2"/>
  <c r="V14" i="30"/>
  <c r="J94" i="30" s="1"/>
  <c r="A14" i="34"/>
  <c r="C15" i="34"/>
  <c r="I152" i="2"/>
  <c r="C33" i="34"/>
  <c r="C39" i="34"/>
  <c r="C5" i="34"/>
  <c r="AF85" i="31"/>
  <c r="N73" i="36"/>
  <c r="N247" i="36" s="1"/>
  <c r="N75" i="36"/>
  <c r="N249" i="36" s="1"/>
  <c r="V33" i="30"/>
  <c r="J145" i="30" s="1"/>
  <c r="AN14" i="35"/>
  <c r="C25" i="34"/>
  <c r="C26" i="34"/>
  <c r="N155" i="2"/>
  <c r="C13" i="34"/>
  <c r="X55" i="30"/>
  <c r="C32" i="34"/>
  <c r="A21" i="34"/>
  <c r="AL26" i="35"/>
  <c r="C12" i="32"/>
  <c r="C15" i="32" s="1"/>
  <c r="AK78" i="31"/>
  <c r="G66" i="2"/>
  <c r="AJ23" i="35"/>
  <c r="A2" i="34"/>
  <c r="AG16" i="37"/>
  <c r="AN13" i="35"/>
  <c r="AG13" i="37"/>
  <c r="B154" i="2"/>
  <c r="AH92" i="31"/>
  <c r="AL29" i="35"/>
  <c r="AC15" i="37"/>
  <c r="AK83" i="31"/>
  <c r="N76" i="36"/>
  <c r="N250" i="36" s="1"/>
  <c r="AL25" i="35"/>
  <c r="C47" i="34"/>
  <c r="N70" i="36"/>
  <c r="N245" i="36" s="1"/>
  <c r="N74" i="36"/>
  <c r="N248" i="36" s="1"/>
  <c r="B29" i="2"/>
  <c r="AK77" i="31"/>
  <c r="F155" i="2"/>
  <c r="B39" i="2"/>
  <c r="I151" i="2"/>
  <c r="X58" i="30"/>
  <c r="E153" i="2"/>
  <c r="C29" i="34"/>
  <c r="X53" i="30"/>
  <c r="A12" i="34"/>
  <c r="A27" i="34"/>
  <c r="AH84" i="31"/>
  <c r="AF91" i="31"/>
  <c r="C46" i="34"/>
  <c r="C3" i="34"/>
  <c r="AN15" i="35"/>
  <c r="C60" i="34"/>
  <c r="AH85" i="31"/>
  <c r="I153" i="2"/>
  <c r="C11" i="34"/>
  <c r="AL13" i="35"/>
  <c r="A24" i="34"/>
  <c r="AK85" i="31"/>
  <c r="AJ25" i="35"/>
  <c r="N78" i="36"/>
  <c r="N252" i="36" s="1"/>
  <c r="AE18" i="37"/>
  <c r="C2" i="34"/>
  <c r="V49" i="30"/>
  <c r="AI15" i="37"/>
  <c r="M151" i="2"/>
  <c r="N68" i="36"/>
  <c r="N243" i="36" s="1"/>
  <c r="C9" i="34"/>
  <c r="AE16" i="37"/>
  <c r="L8" i="37"/>
  <c r="M138" i="37" s="1"/>
  <c r="V35" i="30"/>
  <c r="O144" i="30" s="1"/>
  <c r="C44" i="34"/>
  <c r="AL16" i="35"/>
  <c r="A3" i="34"/>
  <c r="A30" i="34"/>
  <c r="AL22" i="35"/>
  <c r="C48" i="34"/>
  <c r="AH76" i="31"/>
  <c r="AN23" i="35"/>
  <c r="AH78" i="31"/>
  <c r="C37" i="34"/>
  <c r="E154" i="2"/>
  <c r="F152" i="2"/>
  <c r="E155" i="2"/>
  <c r="AN24" i="35"/>
  <c r="AJ22" i="35"/>
  <c r="V57" i="30"/>
  <c r="E152" i="2"/>
  <c r="F154" i="2"/>
  <c r="AF92" i="31"/>
  <c r="V55" i="30"/>
  <c r="AE13" i="37"/>
  <c r="AL23" i="35"/>
  <c r="B33" i="2"/>
  <c r="AK75" i="31"/>
  <c r="AF89" i="31"/>
  <c r="I154" i="2"/>
  <c r="AN28" i="35"/>
  <c r="AG14" i="37"/>
  <c r="V52" i="30"/>
  <c r="AJ27" i="35"/>
  <c r="W54" i="30"/>
  <c r="G8" i="32"/>
  <c r="AI18" i="37"/>
  <c r="C41" i="34"/>
  <c r="A153" i="2"/>
  <c r="G9" i="32"/>
  <c r="A5" i="34"/>
  <c r="B25" i="2"/>
  <c r="AJ31" i="35"/>
  <c r="AF76" i="31"/>
  <c r="AI16" i="37"/>
  <c r="X54" i="30"/>
  <c r="AE14" i="37"/>
  <c r="AN16" i="35"/>
  <c r="AN26" i="35"/>
  <c r="V36" i="30"/>
  <c r="O145" i="30" s="1"/>
  <c r="C21" i="34"/>
  <c r="W53" i="30"/>
  <c r="V53" i="30"/>
  <c r="AC18" i="37"/>
  <c r="B37" i="2"/>
  <c r="AL24" i="35"/>
  <c r="W51" i="30"/>
  <c r="B151" i="2"/>
  <c r="AN31" i="35"/>
  <c r="V50" i="30"/>
  <c r="AJ26" i="35"/>
  <c r="C38" i="34"/>
  <c r="A28" i="34"/>
  <c r="F8" i="37"/>
  <c r="F138" i="37" s="1"/>
  <c r="AK92" i="31"/>
  <c r="G8" i="30"/>
  <c r="AK76" i="31"/>
  <c r="AC13" i="37"/>
  <c r="AF77" i="31"/>
  <c r="AF84" i="31"/>
  <c r="C42" i="34"/>
  <c r="I11" i="1"/>
  <c r="M155" i="2"/>
  <c r="V56" i="30"/>
  <c r="AH75" i="31"/>
  <c r="B27" i="2"/>
  <c r="AK15" i="24"/>
  <c r="AC15" i="24"/>
  <c r="R47" i="9"/>
  <c r="AG17" i="9"/>
  <c r="T43" i="15"/>
  <c r="R45" i="9"/>
  <c r="R42" i="9"/>
  <c r="T40" i="15"/>
  <c r="Z16" i="24"/>
  <c r="F139" i="31"/>
  <c r="V18" i="9" s="1"/>
  <c r="H43" i="9" s="1"/>
  <c r="F134" i="31"/>
  <c r="V13" i="9" s="1"/>
  <c r="H38" i="9" s="1"/>
  <c r="M36" i="15"/>
  <c r="AJ36" i="15" s="1"/>
  <c r="T44" i="15"/>
  <c r="F131" i="31"/>
  <c r="V11" i="9" s="1"/>
  <c r="AJ49" i="9"/>
  <c r="P11" i="24"/>
  <c r="AB33" i="24" s="1"/>
  <c r="F137" i="31"/>
  <c r="V16" i="9" s="1"/>
  <c r="I41" i="9" s="1"/>
  <c r="R44" i="9"/>
  <c r="T38" i="15"/>
  <c r="F130" i="31"/>
  <c r="V10" i="9" s="1"/>
  <c r="R39" i="9"/>
  <c r="AG19" i="9"/>
  <c r="AF19" i="9"/>
  <c r="Y11" i="9"/>
  <c r="AL18" i="15"/>
  <c r="AN19" i="9"/>
  <c r="F142" i="31"/>
  <c r="V21" i="9" s="1"/>
  <c r="I46" i="9" s="1"/>
  <c r="T37" i="15"/>
  <c r="T36" i="15"/>
  <c r="R46" i="9"/>
  <c r="J37" i="15"/>
  <c r="AM19" i="9"/>
  <c r="AS49" i="9"/>
  <c r="AM49" i="9"/>
  <c r="T39" i="15"/>
  <c r="T42" i="15"/>
  <c r="Q32" i="31"/>
  <c r="AI16" i="24"/>
  <c r="Q62" i="31"/>
  <c r="T45" i="15"/>
  <c r="R40" i="9"/>
  <c r="T41" i="15"/>
  <c r="F132" i="31"/>
  <c r="V12" i="9" s="1"/>
  <c r="R43" i="9"/>
  <c r="L37" i="15"/>
  <c r="AP49" i="9"/>
  <c r="F135" i="31"/>
  <c r="V14" i="9" s="1"/>
  <c r="AK16" i="9" s="1"/>
  <c r="R41" i="9"/>
  <c r="N36" i="15"/>
  <c r="AB83" i="31" s="1"/>
  <c r="K36" i="15"/>
  <c r="AR49" i="9"/>
  <c r="F141" i="31"/>
  <c r="V20" i="9" s="1"/>
  <c r="AK22" i="9" s="1"/>
  <c r="AL49" i="9"/>
  <c r="AF17" i="9"/>
  <c r="P16" i="24"/>
  <c r="L38" i="24" s="1"/>
  <c r="R38" i="9"/>
  <c r="AV49" i="9"/>
  <c r="AF49" i="9"/>
  <c r="J39" i="15"/>
  <c r="N39" i="15" s="1"/>
  <c r="AB86" i="31" s="1"/>
  <c r="F143" i="31"/>
  <c r="V22" i="9" s="1"/>
  <c r="AL24" i="9" s="1"/>
  <c r="AG49" i="9"/>
  <c r="Y12" i="9"/>
  <c r="AY37" i="9" s="1"/>
  <c r="AK49" i="9"/>
  <c r="AN17" i="9"/>
  <c r="AI14" i="24"/>
  <c r="F138" i="31"/>
  <c r="V17" i="9" s="1"/>
  <c r="I42" i="9" s="1"/>
  <c r="J38" i="15"/>
  <c r="N38" i="15" s="1"/>
  <c r="AB85" i="31" s="1"/>
  <c r="AK19" i="15"/>
  <c r="AL19" i="15"/>
  <c r="K38" i="15"/>
  <c r="O38" i="15" s="1"/>
  <c r="AQ49" i="9"/>
  <c r="AL20" i="15"/>
  <c r="AK20" i="15"/>
  <c r="L40" i="15"/>
  <c r="AI40" i="15" s="1"/>
  <c r="K37" i="15"/>
  <c r="O37" i="15" s="1"/>
  <c r="AL17" i="15"/>
  <c r="AK17" i="15"/>
  <c r="P32" i="31"/>
  <c r="G48" i="9"/>
  <c r="V32" i="31" s="1"/>
  <c r="AC16" i="24"/>
  <c r="AW49" i="9"/>
  <c r="G46" i="15"/>
  <c r="AA93" i="31" s="1"/>
  <c r="W93" i="31"/>
  <c r="AO49" i="9"/>
  <c r="H93" i="38" s="1"/>
  <c r="AU49" i="9"/>
  <c r="J93" i="38" s="1"/>
  <c r="T36" i="24"/>
  <c r="AI49" i="9"/>
  <c r="E93" i="38" s="1"/>
  <c r="AB16" i="24"/>
  <c r="P10" i="24"/>
  <c r="AK16" i="24"/>
  <c r="AH14" i="24"/>
  <c r="Z14" i="24"/>
  <c r="AC14" i="24"/>
  <c r="AA16" i="24"/>
  <c r="AB14" i="24"/>
  <c r="Z15" i="24"/>
  <c r="P14" i="24"/>
  <c r="M36" i="24" s="1"/>
  <c r="AK14" i="24"/>
  <c r="G46" i="24"/>
  <c r="V62" i="31" s="1"/>
  <c r="T37" i="24"/>
  <c r="P15" i="24"/>
  <c r="AI15" i="24"/>
  <c r="AH15" i="24"/>
  <c r="P13" i="24"/>
  <c r="S62" i="31"/>
  <c r="P12" i="24"/>
  <c r="T38" i="24"/>
  <c r="AG45" i="4"/>
  <c r="I40" i="9"/>
  <c r="AI42" i="15"/>
  <c r="AI38" i="15"/>
  <c r="AI45" i="15"/>
  <c r="O39" i="15"/>
  <c r="AJ39" i="15"/>
  <c r="AI41" i="15"/>
  <c r="U14" i="36"/>
  <c r="AJ40" i="15"/>
  <c r="AI39" i="15"/>
  <c r="AI36" i="15"/>
  <c r="AJ44" i="15"/>
  <c r="AJ43" i="15"/>
  <c r="AI43" i="15"/>
  <c r="AJ42" i="15"/>
  <c r="AJ45" i="15"/>
  <c r="AJ38" i="15"/>
  <c r="AJ41" i="15"/>
  <c r="AI44" i="15"/>
  <c r="AJ37" i="15"/>
  <c r="AK17" i="9"/>
  <c r="AL17" i="9"/>
  <c r="AK42" i="10"/>
  <c r="AL42" i="10"/>
  <c r="J39" i="10"/>
  <c r="AL39" i="10"/>
  <c r="J37" i="10"/>
  <c r="AL37" i="10"/>
  <c r="J36" i="10"/>
  <c r="AL36" i="10"/>
  <c r="I41" i="10"/>
  <c r="AK41" i="10"/>
  <c r="I44" i="9"/>
  <c r="AL21" i="9"/>
  <c r="H44" i="9"/>
  <c r="AK21" i="9"/>
  <c r="J35" i="10"/>
  <c r="AL35" i="10"/>
  <c r="I37" i="10"/>
  <c r="AK37" i="10"/>
  <c r="D156" i="30"/>
  <c r="J13" i="19"/>
  <c r="K13" i="19"/>
  <c r="I33" i="10"/>
  <c r="AK33" i="10"/>
  <c r="I35" i="10"/>
  <c r="AK35" i="10"/>
  <c r="J160" i="37"/>
  <c r="M17" i="27" s="1"/>
  <c r="N88" i="5"/>
  <c r="N90" i="5"/>
  <c r="N91" i="5"/>
  <c r="N89" i="5"/>
  <c r="N86" i="5"/>
  <c r="N84" i="5"/>
  <c r="N85" i="5"/>
  <c r="N87" i="5"/>
  <c r="Y41" i="36" l="1"/>
  <c r="J10" i="27"/>
  <c r="S24" i="17"/>
  <c r="T153" i="37"/>
  <c r="G30" i="17"/>
  <c r="E30" i="17"/>
  <c r="S15" i="17"/>
  <c r="U18" i="4"/>
  <c r="H35" i="4" s="1"/>
  <c r="AG50" i="4" s="1"/>
  <c r="J40" i="15"/>
  <c r="N40" i="15" s="1"/>
  <c r="AB87" i="31" s="1"/>
  <c r="K40" i="15"/>
  <c r="O40" i="15" s="1"/>
  <c r="AC87" i="31" s="1"/>
  <c r="AL21" i="15"/>
  <c r="S20" i="15"/>
  <c r="T20" i="15" s="1"/>
  <c r="J128" i="49"/>
  <c r="J127" i="49"/>
  <c r="J143" i="49"/>
  <c r="H38" i="46" s="1"/>
  <c r="M38" i="46" s="1"/>
  <c r="J144" i="49"/>
  <c r="H39" i="46" s="1"/>
  <c r="M39" i="46" s="1"/>
  <c r="J161" i="37"/>
  <c r="Q161" i="37"/>
  <c r="N161" i="37"/>
  <c r="T161" i="37"/>
  <c r="S18" i="27" s="1"/>
  <c r="G110" i="30"/>
  <c r="M18" i="4" s="1"/>
  <c r="L18" i="4" s="1"/>
  <c r="O110" i="30"/>
  <c r="S18" i="4" s="1"/>
  <c r="K110" i="30"/>
  <c r="Q18" i="4" s="1"/>
  <c r="J18" i="4"/>
  <c r="I18" i="4" s="1"/>
  <c r="R28" i="4" s="1"/>
  <c r="I110" i="30"/>
  <c r="O18" i="4" s="1"/>
  <c r="H155" i="30"/>
  <c r="N12" i="19"/>
  <c r="F154" i="30"/>
  <c r="J155" i="30"/>
  <c r="J11" i="19"/>
  <c r="D154" i="30"/>
  <c r="C133" i="49"/>
  <c r="C149" i="49" s="1"/>
  <c r="C142" i="49"/>
  <c r="C135" i="49"/>
  <c r="C151" i="49" s="1"/>
  <c r="C144" i="49"/>
  <c r="C134" i="49"/>
  <c r="C150" i="49" s="1"/>
  <c r="C143" i="49"/>
  <c r="J142" i="49"/>
  <c r="H37" i="46" s="1"/>
  <c r="F142" i="49"/>
  <c r="F37" i="46" s="1"/>
  <c r="B55" i="46"/>
  <c r="T43" i="16"/>
  <c r="H156" i="30"/>
  <c r="G105" i="30"/>
  <c r="M13" i="4" s="1"/>
  <c r="L13" i="4" s="1"/>
  <c r="D158" i="30"/>
  <c r="AC28" i="27"/>
  <c r="AO43" i="27"/>
  <c r="B20" i="31"/>
  <c r="B19" i="35" s="1"/>
  <c r="J158" i="37"/>
  <c r="M15" i="27" s="1"/>
  <c r="O13" i="19"/>
  <c r="J156" i="30" s="1"/>
  <c r="K15" i="19"/>
  <c r="O15" i="19" s="1"/>
  <c r="P15" i="19" s="1"/>
  <c r="M15" i="19"/>
  <c r="N15" i="19" s="1"/>
  <c r="AF73" i="31"/>
  <c r="AH14" i="5"/>
  <c r="Q34" i="4"/>
  <c r="W40" i="36"/>
  <c r="X40" i="36"/>
  <c r="L46" i="25"/>
  <c r="N46" i="25" s="1"/>
  <c r="M46" i="25"/>
  <c r="O46" i="25" s="1"/>
  <c r="L45" i="25"/>
  <c r="N45" i="25" s="1"/>
  <c r="M45" i="25"/>
  <c r="O45" i="25" s="1"/>
  <c r="L44" i="25"/>
  <c r="N44" i="25" s="1"/>
  <c r="M44" i="25"/>
  <c r="O44" i="25" s="1"/>
  <c r="L41" i="25"/>
  <c r="N41" i="25" s="1"/>
  <c r="M41" i="25"/>
  <c r="O41" i="25" s="1"/>
  <c r="L42" i="25"/>
  <c r="N42" i="25" s="1"/>
  <c r="M42" i="25"/>
  <c r="O42" i="25" s="1"/>
  <c r="AI17" i="4"/>
  <c r="AH17" i="4"/>
  <c r="S17" i="25"/>
  <c r="T17" i="25" s="1"/>
  <c r="V93" i="31"/>
  <c r="H46" i="47"/>
  <c r="Z42" i="16"/>
  <c r="BY7" i="22"/>
  <c r="CD19" i="22" s="1"/>
  <c r="T14" i="16"/>
  <c r="K10" i="19"/>
  <c r="L10" i="19" s="1"/>
  <c r="AG43" i="4"/>
  <c r="J155" i="37"/>
  <c r="M12" i="27" s="1"/>
  <c r="C153" i="49"/>
  <c r="AI12" i="47"/>
  <c r="Q29" i="4"/>
  <c r="D153" i="30"/>
  <c r="R34" i="4"/>
  <c r="B11" i="46"/>
  <c r="B20" i="46" s="1"/>
  <c r="B27" i="46" s="1"/>
  <c r="B26" i="49"/>
  <c r="B38" i="49" s="1"/>
  <c r="C159" i="49" s="1"/>
  <c r="C167" i="49" s="1"/>
  <c r="B27" i="49"/>
  <c r="B10" i="46"/>
  <c r="B19" i="46" s="1"/>
  <c r="B26" i="46" s="1"/>
  <c r="O84" i="5"/>
  <c r="J157" i="37"/>
  <c r="M14" i="27" s="1"/>
  <c r="G108" i="30"/>
  <c r="M16" i="4" s="1"/>
  <c r="L16" i="4" s="1"/>
  <c r="J159" i="37"/>
  <c r="M16" i="27" s="1"/>
  <c r="B34" i="46"/>
  <c r="H37" i="25"/>
  <c r="H36" i="25"/>
  <c r="I36" i="25"/>
  <c r="AA19" i="25"/>
  <c r="T18" i="25"/>
  <c r="AB17" i="25"/>
  <c r="T16" i="25"/>
  <c r="N30" i="4"/>
  <c r="N34" i="4"/>
  <c r="N31" i="4"/>
  <c r="N29" i="4"/>
  <c r="N33" i="4"/>
  <c r="N32" i="4"/>
  <c r="AF9" i="4"/>
  <c r="AG9" i="4"/>
  <c r="R32" i="4"/>
  <c r="Q32" i="4"/>
  <c r="BC38" i="22"/>
  <c r="Z45" i="16"/>
  <c r="Q42" i="16"/>
  <c r="S21" i="36" s="1"/>
  <c r="W21" i="36" s="1"/>
  <c r="Q45" i="16"/>
  <c r="S13" i="36" s="1"/>
  <c r="W13" i="36" s="1"/>
  <c r="B6" i="46"/>
  <c r="H82" i="17"/>
  <c r="Q55" i="17"/>
  <c r="Y45" i="16"/>
  <c r="R42" i="16"/>
  <c r="U21" i="36" s="1"/>
  <c r="X21" i="36" s="1"/>
  <c r="R126" i="49"/>
  <c r="R142" i="49" s="1"/>
  <c r="L37" i="46" s="1"/>
  <c r="N126" i="49"/>
  <c r="N142" i="49" s="1"/>
  <c r="J37" i="46" s="1"/>
  <c r="F158" i="49"/>
  <c r="F77" i="46" s="1"/>
  <c r="F9" i="46"/>
  <c r="J93" i="30"/>
  <c r="C91" i="47"/>
  <c r="AA10" i="35"/>
  <c r="T10" i="37" s="1"/>
  <c r="F11" i="49"/>
  <c r="G82" i="17"/>
  <c r="Q39" i="16"/>
  <c r="H12" i="37"/>
  <c r="AG12" i="37" s="1"/>
  <c r="M151" i="30"/>
  <c r="B147" i="30"/>
  <c r="B196" i="30" s="1"/>
  <c r="F170" i="31"/>
  <c r="J33" i="31"/>
  <c r="J63" i="31" s="1"/>
  <c r="P94" i="31" s="1"/>
  <c r="E76" i="38"/>
  <c r="E91" i="38" s="1"/>
  <c r="Q151" i="37"/>
  <c r="S124" i="49" s="1"/>
  <c r="D152" i="30"/>
  <c r="F152" i="30" s="1"/>
  <c r="H152" i="30" s="1"/>
  <c r="J152" i="30" s="1"/>
  <c r="M152" i="30" s="1"/>
  <c r="Q152" i="30" s="1"/>
  <c r="S152" i="30" s="1"/>
  <c r="B11" i="49"/>
  <c r="B7" i="46" s="1"/>
  <c r="Q15" i="16"/>
  <c r="J154" i="37"/>
  <c r="M11" i="27" s="1"/>
  <c r="N20" i="35"/>
  <c r="G43" i="35" s="1"/>
  <c r="F151" i="30"/>
  <c r="J151" i="30" s="1"/>
  <c r="Y11" i="37"/>
  <c r="W10" i="36" s="1"/>
  <c r="AB12" i="47" s="1"/>
  <c r="Y10" i="37"/>
  <c r="W9" i="36" s="1"/>
  <c r="AB11" i="47" s="1"/>
  <c r="U12" i="35"/>
  <c r="U21" i="35" s="1"/>
  <c r="R21" i="35"/>
  <c r="E152" i="30"/>
  <c r="G152" i="30" s="1"/>
  <c r="I152" i="30" s="1"/>
  <c r="K152" i="30" s="1"/>
  <c r="O152" i="30" s="1"/>
  <c r="R152" i="30" s="1"/>
  <c r="T152" i="30" s="1"/>
  <c r="T151" i="37"/>
  <c r="K130" i="49" s="1"/>
  <c r="K146" i="49" s="1"/>
  <c r="Y49" i="36"/>
  <c r="Y39" i="16"/>
  <c r="Y47" i="36"/>
  <c r="R39" i="16"/>
  <c r="Y42" i="16"/>
  <c r="BE38" i="22"/>
  <c r="F30" i="22" s="1"/>
  <c r="I262" i="38" s="1"/>
  <c r="K16" i="19"/>
  <c r="J16" i="19"/>
  <c r="M16" i="19"/>
  <c r="D159" i="30"/>
  <c r="G103" i="30"/>
  <c r="M11" i="4" s="1"/>
  <c r="L11" i="4" s="1"/>
  <c r="BA38" i="22"/>
  <c r="I29" i="22" s="1"/>
  <c r="L261" i="38" s="1"/>
  <c r="T47" i="16"/>
  <c r="M84" i="5"/>
  <c r="AG84" i="5" s="1"/>
  <c r="K17" i="19"/>
  <c r="M17" i="19"/>
  <c r="J17" i="19"/>
  <c r="D160" i="30"/>
  <c r="U22" i="36"/>
  <c r="X22" i="36" s="1"/>
  <c r="Y22" i="36" s="1"/>
  <c r="T72" i="5"/>
  <c r="M95" i="5"/>
  <c r="Q95" i="5" s="1"/>
  <c r="O87" i="5"/>
  <c r="O85" i="5"/>
  <c r="M94" i="5"/>
  <c r="R94" i="5" s="1"/>
  <c r="AG14" i="5"/>
  <c r="R46" i="17"/>
  <c r="M92" i="5"/>
  <c r="AG92" i="5" s="1"/>
  <c r="Q14" i="5"/>
  <c r="R14" i="5"/>
  <c r="A1108" i="7"/>
  <c r="J149" i="49" s="1"/>
  <c r="I18" i="19"/>
  <c r="K18" i="19" s="1"/>
  <c r="AX38" i="22"/>
  <c r="F29" i="22" s="1"/>
  <c r="I261" i="38" s="1"/>
  <c r="R45" i="16"/>
  <c r="J18" i="27"/>
  <c r="BB38" i="22"/>
  <c r="J29" i="22" s="1"/>
  <c r="N261" i="38" s="1"/>
  <c r="Q45" i="17"/>
  <c r="K45" i="17"/>
  <c r="AZ38" i="22"/>
  <c r="BR7" i="22"/>
  <c r="BO24" i="22"/>
  <c r="A1124" i="7"/>
  <c r="N149" i="49" s="1"/>
  <c r="CB7" i="22"/>
  <c r="BU24" i="22"/>
  <c r="AY38" i="22"/>
  <c r="H29" i="22" s="1"/>
  <c r="K261" i="38" s="1"/>
  <c r="Z39" i="16"/>
  <c r="Q46" i="17"/>
  <c r="W142" i="36"/>
  <c r="D41" i="16" s="1"/>
  <c r="T50" i="5"/>
  <c r="T30" i="16"/>
  <c r="L46" i="17"/>
  <c r="X45" i="36" s="1"/>
  <c r="T12" i="16"/>
  <c r="T49" i="5"/>
  <c r="T44" i="16"/>
  <c r="T29" i="16"/>
  <c r="T21" i="5"/>
  <c r="Y48" i="36"/>
  <c r="Y50" i="36"/>
  <c r="I203" i="36"/>
  <c r="H241" i="36" s="1"/>
  <c r="N135" i="36"/>
  <c r="B25" i="46"/>
  <c r="H56" i="44"/>
  <c r="AB40" i="47" s="1"/>
  <c r="D157" i="38"/>
  <c r="H11" i="38"/>
  <c r="T22" i="5"/>
  <c r="Y52" i="36"/>
  <c r="R55" i="17"/>
  <c r="L55" i="17"/>
  <c r="X54" i="36" s="1"/>
  <c r="K55" i="17"/>
  <c r="W54" i="36" s="1"/>
  <c r="L58" i="44"/>
  <c r="H58" i="44"/>
  <c r="AB42" i="47" s="1"/>
  <c r="M58" i="44"/>
  <c r="I58" i="44"/>
  <c r="AC42" i="47" s="1"/>
  <c r="M59" i="44"/>
  <c r="I59" i="44"/>
  <c r="AC43" i="47" s="1"/>
  <c r="H59" i="44"/>
  <c r="AB43" i="47" s="1"/>
  <c r="L59" i="44"/>
  <c r="L57" i="44"/>
  <c r="H57" i="44"/>
  <c r="AB41" i="47" s="1"/>
  <c r="M57" i="44"/>
  <c r="I57" i="44"/>
  <c r="AC41" i="47" s="1"/>
  <c r="M60" i="44"/>
  <c r="L60" i="44"/>
  <c r="H60" i="44"/>
  <c r="AB44" i="47" s="1"/>
  <c r="I60" i="44"/>
  <c r="AC44" i="47" s="1"/>
  <c r="C131" i="36"/>
  <c r="B87" i="47" s="1"/>
  <c r="B148" i="47" s="1"/>
  <c r="C200" i="36"/>
  <c r="C238" i="36" s="1"/>
  <c r="D211" i="36"/>
  <c r="AC90" i="47" s="1"/>
  <c r="AD26" i="47"/>
  <c r="U30" i="19"/>
  <c r="L93" i="26" s="1"/>
  <c r="R93" i="26" s="1"/>
  <c r="P16" i="36"/>
  <c r="S25" i="36"/>
  <c r="W25" i="36" s="1"/>
  <c r="Y25" i="36" s="1"/>
  <c r="S26" i="36"/>
  <c r="W26" i="36" s="1"/>
  <c r="N66" i="36"/>
  <c r="N241" i="36" s="1"/>
  <c r="U26" i="36"/>
  <c r="X26" i="36" s="1"/>
  <c r="S14" i="36"/>
  <c r="W14" i="36" s="1"/>
  <c r="S12" i="36"/>
  <c r="W12" i="36" s="1"/>
  <c r="AD22" i="47"/>
  <c r="Q19" i="36"/>
  <c r="X19" i="36" s="1"/>
  <c r="Y19" i="36" s="1"/>
  <c r="P20" i="36"/>
  <c r="W20" i="36" s="1"/>
  <c r="W45" i="36"/>
  <c r="P18" i="36"/>
  <c r="U24" i="36"/>
  <c r="X24" i="36" s="1"/>
  <c r="Y24" i="36" s="1"/>
  <c r="R15" i="16"/>
  <c r="N16" i="36"/>
  <c r="D47" i="17"/>
  <c r="Q47" i="17" s="1"/>
  <c r="AB30" i="19"/>
  <c r="AC30" i="19" s="1"/>
  <c r="U31" i="19"/>
  <c r="K93" i="26" s="1"/>
  <c r="Q93" i="26" s="1"/>
  <c r="C53" i="36"/>
  <c r="B54" i="17" s="1"/>
  <c r="B168" i="45"/>
  <c r="B176" i="45" s="1"/>
  <c r="B184" i="45" s="1"/>
  <c r="U162" i="45"/>
  <c r="B169" i="45"/>
  <c r="B177" i="45" s="1"/>
  <c r="B185" i="45" s="1"/>
  <c r="R239" i="37"/>
  <c r="V10" i="30"/>
  <c r="M147" i="30"/>
  <c r="M196" i="30" s="1"/>
  <c r="L150" i="37"/>
  <c r="M123" i="49" s="1"/>
  <c r="H251" i="38"/>
  <c r="AT53" i="27"/>
  <c r="V30" i="19"/>
  <c r="L113" i="26" s="1"/>
  <c r="R113" i="26" s="1"/>
  <c r="Y113" i="26" s="1"/>
  <c r="X35" i="27"/>
  <c r="AI50" i="27" s="1"/>
  <c r="AB29" i="27"/>
  <c r="AB29" i="19"/>
  <c r="AC29" i="19" s="1"/>
  <c r="AD29" i="19" s="1"/>
  <c r="R36" i="4"/>
  <c r="AB31" i="27"/>
  <c r="AU53" i="27"/>
  <c r="Z35" i="27"/>
  <c r="AC35" i="27"/>
  <c r="AN50" i="27"/>
  <c r="P32" i="19"/>
  <c r="AD35" i="27"/>
  <c r="AO35" i="27" s="1"/>
  <c r="AO50" i="27"/>
  <c r="AB34" i="27"/>
  <c r="AA35" i="27"/>
  <c r="AM35" i="27" s="1"/>
  <c r="AS53" i="27"/>
  <c r="AH51" i="27"/>
  <c r="L52" i="27"/>
  <c r="W35" i="27"/>
  <c r="L51" i="27" s="1"/>
  <c r="AK50" i="27"/>
  <c r="AL50" i="27"/>
  <c r="I51" i="27"/>
  <c r="H51" i="27"/>
  <c r="AD32" i="27"/>
  <c r="AC32" i="27"/>
  <c r="AN47" i="27"/>
  <c r="AO47" i="27"/>
  <c r="AA32" i="27"/>
  <c r="Z32" i="27"/>
  <c r="AK47" i="27"/>
  <c r="AL47" i="27"/>
  <c r="R30" i="4"/>
  <c r="Q30" i="4"/>
  <c r="K30" i="19"/>
  <c r="L30" i="19" s="1"/>
  <c r="AK33" i="19"/>
  <c r="M50" i="19"/>
  <c r="N50" i="19"/>
  <c r="AJ33" i="19"/>
  <c r="O49" i="19"/>
  <c r="P49" i="19"/>
  <c r="O50" i="19"/>
  <c r="P50" i="19"/>
  <c r="K44" i="19"/>
  <c r="AH27" i="19" s="1"/>
  <c r="L44" i="19"/>
  <c r="AI27" i="19" s="1"/>
  <c r="P43" i="19"/>
  <c r="O43" i="19"/>
  <c r="G39" i="17"/>
  <c r="W23" i="4"/>
  <c r="Q37" i="4" s="1"/>
  <c r="U37" i="4" s="1"/>
  <c r="Q36" i="4"/>
  <c r="F35" i="4"/>
  <c r="F33" i="4"/>
  <c r="I14" i="4"/>
  <c r="F31" i="4"/>
  <c r="A837" i="7"/>
  <c r="B53" i="17"/>
  <c r="B55" i="17"/>
  <c r="BI38" i="22"/>
  <c r="J30" i="22" s="1"/>
  <c r="N262" i="38" s="1"/>
  <c r="BG38" i="22"/>
  <c r="L56" i="44"/>
  <c r="M56" i="44"/>
  <c r="I56" i="44"/>
  <c r="R11" i="37"/>
  <c r="R70" i="37" s="1"/>
  <c r="N70" i="37"/>
  <c r="H84" i="38"/>
  <c r="J84" i="38" s="1"/>
  <c r="Q11" i="37"/>
  <c r="Q70" i="37" s="1"/>
  <c r="M70" i="37"/>
  <c r="F239" i="37"/>
  <c r="Y222" i="37"/>
  <c r="Y232" i="37" s="1"/>
  <c r="Y239" i="37" s="1"/>
  <c r="R12" i="37"/>
  <c r="R71" i="37" s="1"/>
  <c r="F226" i="37"/>
  <c r="D14" i="45" s="1"/>
  <c r="C15" i="45"/>
  <c r="A768" i="7"/>
  <c r="F228" i="37"/>
  <c r="D16" i="45" s="1"/>
  <c r="H47" i="37"/>
  <c r="H58" i="37" s="1"/>
  <c r="N33" i="37"/>
  <c r="N47" i="37" s="1"/>
  <c r="T47" i="37" s="1"/>
  <c r="R22" i="16"/>
  <c r="G38" i="17"/>
  <c r="T21" i="16"/>
  <c r="T22" i="16" s="1"/>
  <c r="T13" i="16"/>
  <c r="R45" i="17"/>
  <c r="T49" i="16"/>
  <c r="Q33" i="16"/>
  <c r="K103" i="26" s="1"/>
  <c r="T48" i="16"/>
  <c r="Y67" i="36"/>
  <c r="T28" i="16"/>
  <c r="T31" i="16"/>
  <c r="I81" i="26"/>
  <c r="AH93" i="5"/>
  <c r="AG93" i="5"/>
  <c r="O14" i="19"/>
  <c r="P14" i="19" s="1"/>
  <c r="AA15" i="16"/>
  <c r="O91" i="5"/>
  <c r="BF38" i="22"/>
  <c r="G30" i="22" s="1"/>
  <c r="J262" i="38" s="1"/>
  <c r="BH38" i="22"/>
  <c r="I30" i="22" s="1"/>
  <c r="L262" i="38" s="1"/>
  <c r="BJ38" i="22"/>
  <c r="O88" i="5"/>
  <c r="J153" i="30"/>
  <c r="O89" i="5"/>
  <c r="S21" i="35"/>
  <c r="M12" i="37"/>
  <c r="E266" i="31"/>
  <c r="T265" i="31"/>
  <c r="R33" i="16"/>
  <c r="K123" i="26" s="1"/>
  <c r="Q20" i="36"/>
  <c r="X20" i="36" s="1"/>
  <c r="Q16" i="36"/>
  <c r="T73" i="5"/>
  <c r="N14" i="19"/>
  <c r="L14" i="19"/>
  <c r="M13" i="5"/>
  <c r="Q13" i="5" s="1"/>
  <c r="AF20" i="35"/>
  <c r="AF43" i="35" s="1"/>
  <c r="S151" i="30"/>
  <c r="I199" i="30" s="1"/>
  <c r="S199" i="30" s="1"/>
  <c r="AF19" i="35"/>
  <c r="AF42" i="35" s="1"/>
  <c r="B299" i="31"/>
  <c r="B42" i="31"/>
  <c r="B73" i="31" s="1"/>
  <c r="AK73" i="31"/>
  <c r="B297" i="31"/>
  <c r="G20" i="31"/>
  <c r="AG11" i="37"/>
  <c r="V47" i="30"/>
  <c r="H101" i="30"/>
  <c r="J101" i="30" s="1"/>
  <c r="AH52" i="27"/>
  <c r="L53" i="27"/>
  <c r="T32" i="16"/>
  <c r="J12" i="37"/>
  <c r="H152" i="37"/>
  <c r="H125" i="49" s="1"/>
  <c r="G128" i="31"/>
  <c r="BL20" i="22"/>
  <c r="BP20" i="22"/>
  <c r="BL21" i="22"/>
  <c r="BP21" i="22"/>
  <c r="BM18" i="22"/>
  <c r="BO18" i="22"/>
  <c r="BM19" i="22"/>
  <c r="BO19" i="22"/>
  <c r="BN18" i="22"/>
  <c r="BM21" i="22"/>
  <c r="BO21" i="22"/>
  <c r="BN20" i="22"/>
  <c r="BK24" i="22"/>
  <c r="BQ21" i="22"/>
  <c r="BN21" i="22"/>
  <c r="BP18" i="22"/>
  <c r="BP19" i="22"/>
  <c r="BM20" i="22"/>
  <c r="BO20" i="22"/>
  <c r="BQ19" i="22"/>
  <c r="BQ20" i="22"/>
  <c r="BL19" i="22"/>
  <c r="BN19" i="22"/>
  <c r="BV7" i="22"/>
  <c r="BL18" i="22"/>
  <c r="BQ18" i="22"/>
  <c r="BM9" i="22"/>
  <c r="BN17" i="22"/>
  <c r="BL17" i="22"/>
  <c r="BP17" i="22"/>
  <c r="BN13" i="22"/>
  <c r="BN8" i="22"/>
  <c r="BQ8" i="22"/>
  <c r="BO14" i="22"/>
  <c r="BQ16" i="22"/>
  <c r="BN11" i="22"/>
  <c r="BO16" i="22"/>
  <c r="BM8" i="22"/>
  <c r="BQ12" i="22"/>
  <c r="BQ10" i="22"/>
  <c r="BP9" i="22"/>
  <c r="BP10" i="22"/>
  <c r="BO10" i="22"/>
  <c r="BL11" i="22"/>
  <c r="BQ11" i="22"/>
  <c r="BL12" i="22"/>
  <c r="BN16" i="22"/>
  <c r="BQ17" i="22"/>
  <c r="BM14" i="22"/>
  <c r="BN9" i="22"/>
  <c r="BM10" i="22"/>
  <c r="BO11" i="22"/>
  <c r="BM12" i="22"/>
  <c r="BP12" i="22"/>
  <c r="BN12" i="22"/>
  <c r="BN15" i="22"/>
  <c r="BM11" i="22"/>
  <c r="BO9" i="22"/>
  <c r="BM13" i="22"/>
  <c r="BM16" i="22"/>
  <c r="BN10" i="22"/>
  <c r="BO12" i="22"/>
  <c r="BL16" i="22"/>
  <c r="BP13" i="22"/>
  <c r="BL9" i="22"/>
  <c r="BQ13" i="22"/>
  <c r="BP11" i="22"/>
  <c r="BO8" i="22"/>
  <c r="BM15" i="22"/>
  <c r="BO13" i="22"/>
  <c r="BO15" i="22"/>
  <c r="BO17" i="22"/>
  <c r="BL15" i="22"/>
  <c r="BP16" i="22"/>
  <c r="BN14" i="22"/>
  <c r="BL13" i="22"/>
  <c r="BQ9" i="22"/>
  <c r="BP8" i="22"/>
  <c r="BL10" i="22"/>
  <c r="BM17" i="22"/>
  <c r="BQ15" i="22"/>
  <c r="BL8" i="22"/>
  <c r="BQ14" i="22"/>
  <c r="BL14" i="22"/>
  <c r="BP14" i="22"/>
  <c r="BP15" i="22"/>
  <c r="BT7" i="22"/>
  <c r="BM24" i="22"/>
  <c r="E264" i="38"/>
  <c r="AN11" i="35"/>
  <c r="BX24" i="22"/>
  <c r="CE7" i="22"/>
  <c r="CE8" i="22" s="1"/>
  <c r="M101" i="30"/>
  <c r="J76" i="38"/>
  <c r="J91" i="38" s="1"/>
  <c r="B257" i="38" s="1"/>
  <c r="AF74" i="31"/>
  <c r="E261" i="38"/>
  <c r="M16" i="36"/>
  <c r="G74" i="2"/>
  <c r="B123" i="31"/>
  <c r="B88" i="35" s="1"/>
  <c r="B119" i="35" s="1"/>
  <c r="AA22" i="16"/>
  <c r="O40" i="16"/>
  <c r="N40" i="16"/>
  <c r="Q101" i="30"/>
  <c r="BZ20" i="22"/>
  <c r="BZ21" i="22"/>
  <c r="CA18" i="22"/>
  <c r="CC19" i="22"/>
  <c r="CD18" i="22"/>
  <c r="BY24" i="22"/>
  <c r="CE19" i="22"/>
  <c r="CB15" i="22"/>
  <c r="CA11" i="22"/>
  <c r="CB16" i="22"/>
  <c r="CB11" i="22"/>
  <c r="BZ11" i="22"/>
  <c r="CE14" i="22"/>
  <c r="CC15" i="22"/>
  <c r="CE11" i="22"/>
  <c r="CC17" i="22"/>
  <c r="CD12" i="22"/>
  <c r="CC11" i="22"/>
  <c r="CD17" i="22"/>
  <c r="Q22" i="16"/>
  <c r="P20" i="31"/>
  <c r="P42" i="31" s="1"/>
  <c r="AA33" i="16"/>
  <c r="AI52" i="27"/>
  <c r="M53" i="27"/>
  <c r="Y73" i="36"/>
  <c r="B199" i="30"/>
  <c r="G70" i="2"/>
  <c r="C146" i="37"/>
  <c r="C215" i="37" s="1"/>
  <c r="C119" i="49" s="1"/>
  <c r="B197" i="30"/>
  <c r="G68" i="2"/>
  <c r="X47" i="30"/>
  <c r="L199" i="30"/>
  <c r="AB19" i="25"/>
  <c r="Y35" i="22"/>
  <c r="G27" i="22" s="1"/>
  <c r="J259" i="38" s="1"/>
  <c r="AE35" i="22"/>
  <c r="X35" i="22"/>
  <c r="F27" i="22" s="1"/>
  <c r="I259" i="38" s="1"/>
  <c r="K12" i="22"/>
  <c r="O247" i="38" s="1"/>
  <c r="K58" i="19"/>
  <c r="J40" i="25"/>
  <c r="K40" i="25"/>
  <c r="Z35" i="22"/>
  <c r="H27" i="22" s="1"/>
  <c r="K259" i="38" s="1"/>
  <c r="AB35" i="22"/>
  <c r="K38" i="25"/>
  <c r="AA19" i="22"/>
  <c r="I10" i="22" s="1"/>
  <c r="E29" i="10" s="1"/>
  <c r="E29" i="22"/>
  <c r="H261" i="38" s="1"/>
  <c r="D30" i="10"/>
  <c r="Q30" i="10" s="1"/>
  <c r="E30" i="10"/>
  <c r="AB14" i="35" s="1"/>
  <c r="J38" i="25"/>
  <c r="Z19" i="22"/>
  <c r="H10" i="22" s="1"/>
  <c r="K245" i="38" s="1"/>
  <c r="AC35" i="22"/>
  <c r="G30" i="10"/>
  <c r="AA17" i="25"/>
  <c r="X113" i="26"/>
  <c r="AD19" i="22"/>
  <c r="Y19" i="22"/>
  <c r="G10" i="22" s="1"/>
  <c r="J245" i="38" s="1"/>
  <c r="AB19" i="22"/>
  <c r="AA54" i="19"/>
  <c r="H98" i="38" s="1"/>
  <c r="AA35" i="22"/>
  <c r="I27" i="22" s="1"/>
  <c r="L259" i="38" s="1"/>
  <c r="F155" i="30"/>
  <c r="AD35" i="22"/>
  <c r="K13" i="22"/>
  <c r="O248" i="38" s="1"/>
  <c r="K28" i="22"/>
  <c r="O260" i="38" s="1"/>
  <c r="X19" i="22"/>
  <c r="D34" i="9" s="1"/>
  <c r="E12" i="22"/>
  <c r="H247" i="38" s="1"/>
  <c r="AC19" i="22"/>
  <c r="AE19" i="22"/>
  <c r="AB54" i="19"/>
  <c r="J98" i="38" s="1"/>
  <c r="P11" i="19"/>
  <c r="K11" i="22"/>
  <c r="O246" i="38" s="1"/>
  <c r="H248" i="38"/>
  <c r="K57" i="19"/>
  <c r="H259" i="38"/>
  <c r="D37" i="9"/>
  <c r="Q16" i="31" s="1"/>
  <c r="C33" i="15"/>
  <c r="H262" i="38"/>
  <c r="H260" i="38"/>
  <c r="C35" i="9"/>
  <c r="F35" i="9"/>
  <c r="AT35" i="9" s="1"/>
  <c r="C37" i="9"/>
  <c r="P16" i="31" s="1"/>
  <c r="F37" i="9"/>
  <c r="T16" i="31" s="1"/>
  <c r="D35" i="9"/>
  <c r="AN35" i="9" s="1"/>
  <c r="K55" i="19"/>
  <c r="H246" i="38"/>
  <c r="AA18" i="25"/>
  <c r="AB18" i="25"/>
  <c r="K39" i="25"/>
  <c r="J39" i="25"/>
  <c r="B148" i="30"/>
  <c r="N49" i="2"/>
  <c r="P49" i="2" s="1"/>
  <c r="G76" i="2"/>
  <c r="G72" i="2"/>
  <c r="G69" i="2"/>
  <c r="G71" i="2"/>
  <c r="G73" i="2"/>
  <c r="G75" i="2"/>
  <c r="N151" i="37"/>
  <c r="O124" i="49" s="1"/>
  <c r="N153" i="38"/>
  <c r="B29" i="30"/>
  <c r="B150" i="30" s="1"/>
  <c r="C79" i="38"/>
  <c r="F247" i="38" s="1"/>
  <c r="J244" i="38" s="1"/>
  <c r="J258" i="38" s="1"/>
  <c r="H7" i="38"/>
  <c r="H152" i="38" s="1"/>
  <c r="B99" i="30"/>
  <c r="D155" i="38"/>
  <c r="G101" i="30"/>
  <c r="C49" i="2"/>
  <c r="K244" i="38"/>
  <c r="K258" i="38" s="1"/>
  <c r="G39" i="30"/>
  <c r="G59" i="30" s="1"/>
  <c r="O244" i="38"/>
  <c r="O258" i="38" s="1"/>
  <c r="F264" i="38"/>
  <c r="O101" i="30"/>
  <c r="I170" i="31"/>
  <c r="J21" i="37"/>
  <c r="I28" i="49" s="1"/>
  <c r="I40" i="49" s="1"/>
  <c r="B10" i="37"/>
  <c r="C150" i="37" s="1"/>
  <c r="K151" i="37"/>
  <c r="K124" i="49" s="1"/>
  <c r="I101" i="30"/>
  <c r="C100" i="38"/>
  <c r="B160" i="38" s="1"/>
  <c r="B81" i="38"/>
  <c r="H243" i="38"/>
  <c r="H257" i="38" s="1"/>
  <c r="F128" i="31"/>
  <c r="F152" i="37"/>
  <c r="F125" i="49" s="1"/>
  <c r="K101" i="30"/>
  <c r="AJ10" i="35"/>
  <c r="AL11" i="35"/>
  <c r="J20" i="35"/>
  <c r="E43" i="35" s="1"/>
  <c r="C144" i="37"/>
  <c r="C130" i="36" s="1"/>
  <c r="F11" i="37"/>
  <c r="D19" i="35"/>
  <c r="O21" i="31"/>
  <c r="T74" i="31" s="1"/>
  <c r="T82" i="31" s="1"/>
  <c r="Q11" i="30"/>
  <c r="K90" i="35"/>
  <c r="S11" i="30"/>
  <c r="V28" i="30"/>
  <c r="V46" i="30" s="1"/>
  <c r="AC9" i="37"/>
  <c r="A150" i="2" s="1"/>
  <c r="B122" i="31"/>
  <c r="B87" i="35" s="1"/>
  <c r="B118" i="35" s="1"/>
  <c r="Y11" i="35"/>
  <c r="B290" i="31"/>
  <c r="W11" i="35"/>
  <c r="AA11" i="35" s="1"/>
  <c r="L12" i="37"/>
  <c r="P12" i="37" s="1"/>
  <c r="S21" i="31"/>
  <c r="T43" i="31" s="1"/>
  <c r="S51" i="31" s="1"/>
  <c r="Z74" i="31" s="1"/>
  <c r="AC74" i="31" s="1"/>
  <c r="AC82" i="31" s="1"/>
  <c r="E20" i="31"/>
  <c r="K30" i="30"/>
  <c r="M48" i="30" s="1"/>
  <c r="Q12" i="31"/>
  <c r="X11" i="35" s="1"/>
  <c r="AJ9" i="35"/>
  <c r="N90" i="35"/>
  <c r="R11" i="30"/>
  <c r="M30" i="30"/>
  <c r="S30" i="30" s="1"/>
  <c r="S48" i="30" s="1"/>
  <c r="Z11" i="31"/>
  <c r="P9" i="32"/>
  <c r="AL10" i="35"/>
  <c r="AH74" i="31"/>
  <c r="F151" i="37"/>
  <c r="G124" i="49" s="1"/>
  <c r="D151" i="30"/>
  <c r="H151" i="30" s="1"/>
  <c r="T12" i="35"/>
  <c r="T21" i="35" s="1"/>
  <c r="V11" i="31"/>
  <c r="V20" i="31" s="1"/>
  <c r="V42" i="31" s="1"/>
  <c r="V50" i="31" s="1"/>
  <c r="Q151" i="30"/>
  <c r="P8" i="32"/>
  <c r="R12" i="5"/>
  <c r="M87" i="5"/>
  <c r="M86" i="5"/>
  <c r="AG86" i="5" s="1"/>
  <c r="M20" i="5"/>
  <c r="AG20" i="5" s="1"/>
  <c r="AG12" i="5"/>
  <c r="M85" i="5"/>
  <c r="AH12" i="5"/>
  <c r="M17" i="5"/>
  <c r="AH17" i="5" s="1"/>
  <c r="M16" i="5"/>
  <c r="R16" i="5" s="1"/>
  <c r="R93" i="5"/>
  <c r="M15" i="5"/>
  <c r="R15" i="5" s="1"/>
  <c r="M19" i="5"/>
  <c r="AG19" i="5" s="1"/>
  <c r="W34" i="10"/>
  <c r="M18" i="5"/>
  <c r="AG18" i="5" s="1"/>
  <c r="W42" i="10"/>
  <c r="D64" i="5"/>
  <c r="O64" i="5" s="1"/>
  <c r="D63" i="5"/>
  <c r="O63" i="5" s="1"/>
  <c r="W40" i="10"/>
  <c r="W38" i="10"/>
  <c r="W36" i="10"/>
  <c r="W41" i="10"/>
  <c r="W37" i="10"/>
  <c r="W35" i="10"/>
  <c r="Q93" i="5"/>
  <c r="W39" i="10"/>
  <c r="AE23" i="5"/>
  <c r="T24" i="38" s="1"/>
  <c r="W24" i="38" s="1"/>
  <c r="L164" i="38" s="1"/>
  <c r="AD23" i="5"/>
  <c r="V24" i="38" s="1"/>
  <c r="K164" i="38" s="1"/>
  <c r="T71" i="5"/>
  <c r="T69" i="5"/>
  <c r="O23" i="5"/>
  <c r="N23" i="5"/>
  <c r="T70" i="5"/>
  <c r="N97" i="5"/>
  <c r="N99" i="5"/>
  <c r="N96" i="5"/>
  <c r="N98" i="5"/>
  <c r="O99" i="5"/>
  <c r="O97" i="5"/>
  <c r="O98" i="5"/>
  <c r="O96" i="5"/>
  <c r="O42" i="31"/>
  <c r="T73" i="31" s="1"/>
  <c r="T81" i="31" s="1"/>
  <c r="P43" i="25"/>
  <c r="M26" i="5"/>
  <c r="B124" i="35" s="1"/>
  <c r="F26" i="5" s="1"/>
  <c r="H26" i="5" s="1"/>
  <c r="D124" i="35" s="1"/>
  <c r="W33" i="10"/>
  <c r="G27" i="30"/>
  <c r="G90" i="30"/>
  <c r="G141" i="30"/>
  <c r="F260" i="38"/>
  <c r="I244" i="38"/>
  <c r="I258" i="38" s="1"/>
  <c r="E263" i="38"/>
  <c r="L243" i="38"/>
  <c r="L257" i="38" s="1"/>
  <c r="K141" i="30"/>
  <c r="K27" i="30"/>
  <c r="K90" i="30"/>
  <c r="Q90" i="30"/>
  <c r="Q141" i="30"/>
  <c r="Q27" i="30"/>
  <c r="D90" i="30"/>
  <c r="D27" i="30"/>
  <c r="D141" i="30"/>
  <c r="AA32" i="24"/>
  <c r="O36" i="15"/>
  <c r="AC83" i="31" s="1"/>
  <c r="AL20" i="9"/>
  <c r="I43" i="9"/>
  <c r="N37" i="15"/>
  <c r="AB84" i="31" s="1"/>
  <c r="AK20" i="9"/>
  <c r="AK23" i="9"/>
  <c r="AK15" i="9"/>
  <c r="AL15" i="9"/>
  <c r="I38" i="9"/>
  <c r="AL19" i="9"/>
  <c r="AA38" i="24"/>
  <c r="M38" i="24"/>
  <c r="AB38" i="24"/>
  <c r="AK18" i="9"/>
  <c r="AL18" i="9"/>
  <c r="AL16" i="9"/>
  <c r="H41" i="9"/>
  <c r="I45" i="9"/>
  <c r="AA33" i="24"/>
  <c r="AL23" i="9"/>
  <c r="H39" i="9"/>
  <c r="I39" i="9"/>
  <c r="H46" i="9"/>
  <c r="AK24" i="9"/>
  <c r="I47" i="9"/>
  <c r="AI37" i="15"/>
  <c r="AL22" i="9"/>
  <c r="AZ37" i="9"/>
  <c r="H47" i="9"/>
  <c r="H45" i="9"/>
  <c r="AK19" i="9"/>
  <c r="H42" i="9"/>
  <c r="AB32" i="24"/>
  <c r="L36" i="24"/>
  <c r="AA36" i="24" s="1"/>
  <c r="AB36" i="24"/>
  <c r="AA37" i="24"/>
  <c r="AB37" i="24"/>
  <c r="M37" i="24"/>
  <c r="L37" i="24"/>
  <c r="AA34" i="24"/>
  <c r="AB34" i="24"/>
  <c r="AA35" i="24"/>
  <c r="AB35" i="24"/>
  <c r="S51" i="19"/>
  <c r="S52" i="19"/>
  <c r="X14" i="36"/>
  <c r="R46" i="19"/>
  <c r="AI29" i="19"/>
  <c r="Q46" i="19"/>
  <c r="AH29" i="19"/>
  <c r="AC84" i="31"/>
  <c r="X12" i="36"/>
  <c r="AC86" i="31"/>
  <c r="P39" i="15"/>
  <c r="AD86" i="31" s="1"/>
  <c r="P38" i="15"/>
  <c r="AD85" i="31" s="1"/>
  <c r="AC85" i="31"/>
  <c r="AP49" i="27"/>
  <c r="L13" i="19"/>
  <c r="F156" i="30"/>
  <c r="AM49" i="27"/>
  <c r="V22" i="27"/>
  <c r="Z36" i="27" s="1"/>
  <c r="AH50" i="4" l="1"/>
  <c r="AH54" i="4" s="1"/>
  <c r="J96" i="38" s="1"/>
  <c r="J30" i="17"/>
  <c r="J32" i="17" s="1"/>
  <c r="BZ12" i="22"/>
  <c r="CB14" i="22"/>
  <c r="CE15" i="22"/>
  <c r="CC14" i="22"/>
  <c r="BZ14" i="22"/>
  <c r="CE10" i="22"/>
  <c r="CA10" i="22"/>
  <c r="CA21" i="22"/>
  <c r="CA19" i="22"/>
  <c r="CC13" i="22"/>
  <c r="BZ9" i="22"/>
  <c r="CD14" i="22"/>
  <c r="CB10" i="22"/>
  <c r="CC10" i="22"/>
  <c r="CD16" i="22"/>
  <c r="CA14" i="22"/>
  <c r="BZ16" i="22"/>
  <c r="BZ13" i="22"/>
  <c r="CE17" i="22"/>
  <c r="CB13" i="22"/>
  <c r="CE12" i="22"/>
  <c r="CA12" i="22"/>
  <c r="CE18" i="22"/>
  <c r="CD21" i="22"/>
  <c r="CC20" i="22"/>
  <c r="CC18" i="22"/>
  <c r="CB19" i="22"/>
  <c r="CB18" i="22"/>
  <c r="BZ8" i="22"/>
  <c r="BZ10" i="22"/>
  <c r="CC12" i="22"/>
  <c r="CD10" i="22"/>
  <c r="CC16" i="22"/>
  <c r="BZ15" i="22"/>
  <c r="CB20" i="22"/>
  <c r="BZ19" i="22"/>
  <c r="CE21" i="22"/>
  <c r="CE20" i="22"/>
  <c r="CB17" i="22"/>
  <c r="CD15" i="22"/>
  <c r="CD13" i="22"/>
  <c r="CE13" i="22"/>
  <c r="CD11" i="22"/>
  <c r="CA16" i="22"/>
  <c r="CA15" i="22"/>
  <c r="CB12" i="22"/>
  <c r="CA17" i="22"/>
  <c r="CA13" i="22"/>
  <c r="BZ17" i="22"/>
  <c r="CE16" i="22"/>
  <c r="CL7" i="22"/>
  <c r="CL24" i="22" s="1"/>
  <c r="CA20" i="22"/>
  <c r="CC21" i="22"/>
  <c r="BZ18" i="22"/>
  <c r="CB21" i="22"/>
  <c r="CD20" i="22"/>
  <c r="CB8" i="22"/>
  <c r="AK22" i="15"/>
  <c r="K41" i="15"/>
  <c r="O41" i="15" s="1"/>
  <c r="AC88" i="31" s="1"/>
  <c r="AL22" i="15"/>
  <c r="J41" i="15"/>
  <c r="N41" i="15" s="1"/>
  <c r="AB88" i="31" s="1"/>
  <c r="S21" i="15"/>
  <c r="T21" i="15" s="1"/>
  <c r="M37" i="46"/>
  <c r="N37" i="46"/>
  <c r="O37" i="46"/>
  <c r="K156" i="49"/>
  <c r="K140" i="49"/>
  <c r="O156" i="49"/>
  <c r="O140" i="49"/>
  <c r="H157" i="49"/>
  <c r="L157" i="49" s="1"/>
  <c r="P157" i="49" s="1"/>
  <c r="T157" i="49" s="1"/>
  <c r="H141" i="49"/>
  <c r="L141" i="49" s="1"/>
  <c r="P141" i="49" s="1"/>
  <c r="T141" i="49" s="1"/>
  <c r="M155" i="49"/>
  <c r="M139" i="49"/>
  <c r="F157" i="49"/>
  <c r="J157" i="49" s="1"/>
  <c r="N157" i="49" s="1"/>
  <c r="R157" i="49" s="1"/>
  <c r="F141" i="49"/>
  <c r="J141" i="49" s="1"/>
  <c r="N141" i="49" s="1"/>
  <c r="R141" i="49" s="1"/>
  <c r="S156" i="49"/>
  <c r="S140" i="49"/>
  <c r="G156" i="49"/>
  <c r="G140" i="49"/>
  <c r="B39" i="49"/>
  <c r="C160" i="49" s="1"/>
  <c r="C168" i="49" s="1"/>
  <c r="T45" i="16"/>
  <c r="B50" i="31"/>
  <c r="B81" i="31" s="1"/>
  <c r="P13" i="19"/>
  <c r="Q28" i="4"/>
  <c r="AC11" i="31"/>
  <c r="AC20" i="31"/>
  <c r="AB126" i="31"/>
  <c r="Y21" i="36"/>
  <c r="J158" i="30"/>
  <c r="L15" i="19"/>
  <c r="F158" i="30"/>
  <c r="H158" i="30"/>
  <c r="AH95" i="5"/>
  <c r="E55" i="35"/>
  <c r="AF72" i="31"/>
  <c r="P45" i="25"/>
  <c r="P41" i="25"/>
  <c r="P44" i="25"/>
  <c r="P42" i="25"/>
  <c r="P46" i="25"/>
  <c r="L39" i="25"/>
  <c r="N39" i="25" s="1"/>
  <c r="R57" i="30" s="1"/>
  <c r="M39" i="25"/>
  <c r="O39" i="25" s="1"/>
  <c r="S57" i="30" s="1"/>
  <c r="AI16" i="4"/>
  <c r="AH16" i="4"/>
  <c r="L38" i="25"/>
  <c r="N38" i="25" s="1"/>
  <c r="R56" i="30" s="1"/>
  <c r="M38" i="25"/>
  <c r="O38" i="25" s="1"/>
  <c r="S56" i="30" s="1"/>
  <c r="L40" i="25"/>
  <c r="N40" i="25" s="1"/>
  <c r="R58" i="30" s="1"/>
  <c r="M40" i="25"/>
  <c r="O40" i="25" s="1"/>
  <c r="S58" i="30" s="1"/>
  <c r="R95" i="5"/>
  <c r="T95" i="5" s="1"/>
  <c r="F153" i="30"/>
  <c r="T42" i="16"/>
  <c r="AG54" i="4"/>
  <c r="H96" i="38" s="1"/>
  <c r="O33" i="35"/>
  <c r="AH84" i="5"/>
  <c r="CB9" i="22"/>
  <c r="CE9" i="22"/>
  <c r="U36" i="4"/>
  <c r="Q51" i="4" s="1"/>
  <c r="S51" i="4" s="1"/>
  <c r="J82" i="17"/>
  <c r="S82" i="17" s="1"/>
  <c r="K29" i="22"/>
  <c r="O261" i="38" s="1"/>
  <c r="AN34" i="9"/>
  <c r="P14" i="31"/>
  <c r="AH35" i="9"/>
  <c r="AH49" i="9" s="1"/>
  <c r="O76" i="9"/>
  <c r="O66" i="9"/>
  <c r="O71" i="9"/>
  <c r="O75" i="9"/>
  <c r="P75" i="9" s="1"/>
  <c r="Q75" i="9" s="1"/>
  <c r="O72" i="9"/>
  <c r="O67" i="9"/>
  <c r="P67" i="9" s="1"/>
  <c r="Q67" i="9" s="1"/>
  <c r="O74" i="9"/>
  <c r="O69" i="9"/>
  <c r="O68" i="9"/>
  <c r="P68" i="9" s="1"/>
  <c r="O73" i="9"/>
  <c r="O70" i="9"/>
  <c r="O64" i="9"/>
  <c r="O65" i="9"/>
  <c r="O63" i="9"/>
  <c r="P63" i="9" s="1"/>
  <c r="Q63" i="9" s="1"/>
  <c r="E74" i="9"/>
  <c r="F74" i="9" s="1"/>
  <c r="E66" i="9"/>
  <c r="F66" i="9" s="1"/>
  <c r="E72" i="9"/>
  <c r="F72" i="9" s="1"/>
  <c r="G72" i="9" s="1"/>
  <c r="E63" i="9"/>
  <c r="E76" i="9"/>
  <c r="F76" i="9" s="1"/>
  <c r="E67" i="9"/>
  <c r="F67" i="9" s="1"/>
  <c r="G67" i="9" s="1"/>
  <c r="E69" i="9"/>
  <c r="E75" i="9"/>
  <c r="F75" i="9" s="1"/>
  <c r="E65" i="9"/>
  <c r="F65" i="9" s="1"/>
  <c r="G65" i="9" s="1"/>
  <c r="E73" i="9"/>
  <c r="F73" i="9" s="1"/>
  <c r="E64" i="9"/>
  <c r="F64" i="9" s="1"/>
  <c r="G64" i="9" s="1"/>
  <c r="E70" i="9"/>
  <c r="F70" i="9" s="1"/>
  <c r="G70" i="9" s="1"/>
  <c r="E71" i="9"/>
  <c r="F71" i="9" s="1"/>
  <c r="E68" i="9"/>
  <c r="AD15" i="32"/>
  <c r="AC15" i="32"/>
  <c r="Q12" i="32"/>
  <c r="AB15" i="32"/>
  <c r="AE15" i="32"/>
  <c r="AA15" i="32"/>
  <c r="R87" i="5"/>
  <c r="R128" i="31"/>
  <c r="W128" i="31"/>
  <c r="F172" i="31"/>
  <c r="F233" i="31" s="1"/>
  <c r="E253" i="31" s="1"/>
  <c r="G253" i="31" s="1"/>
  <c r="J253" i="31" s="1"/>
  <c r="O253" i="31" s="1"/>
  <c r="T253" i="31" s="1"/>
  <c r="V128" i="31"/>
  <c r="Q128" i="31"/>
  <c r="G200" i="30"/>
  <c r="I200" i="30" s="1"/>
  <c r="J159" i="49"/>
  <c r="H78" i="46" s="1"/>
  <c r="H10" i="46"/>
  <c r="J135" i="49"/>
  <c r="N11" i="46" s="1"/>
  <c r="Q27" i="46" s="1"/>
  <c r="J133" i="49"/>
  <c r="N9" i="46" s="1"/>
  <c r="P25" i="46" s="1"/>
  <c r="J151" i="49"/>
  <c r="P48" i="46" s="1"/>
  <c r="P46" i="46"/>
  <c r="J134" i="49"/>
  <c r="N10" i="46" s="1"/>
  <c r="J150" i="49"/>
  <c r="P47" i="46" s="1"/>
  <c r="N158" i="49"/>
  <c r="J77" i="46" s="1"/>
  <c r="J9" i="46"/>
  <c r="R158" i="49"/>
  <c r="L77" i="46" s="1"/>
  <c r="L9" i="46"/>
  <c r="N46" i="46"/>
  <c r="O46" i="46" s="1"/>
  <c r="N150" i="49"/>
  <c r="N47" i="46" s="1"/>
  <c r="N151" i="49"/>
  <c r="N48" i="46" s="1"/>
  <c r="Y33" i="37"/>
  <c r="Z12" i="49" s="1"/>
  <c r="Z23" i="49" s="1"/>
  <c r="Z35" i="49" s="1"/>
  <c r="H9" i="46"/>
  <c r="J158" i="49"/>
  <c r="H77" i="46" s="1"/>
  <c r="T39" i="16"/>
  <c r="J160" i="49"/>
  <c r="H79" i="46" s="1"/>
  <c r="H11" i="46"/>
  <c r="AA19" i="35"/>
  <c r="H200" i="30"/>
  <c r="R200" i="30" s="1"/>
  <c r="Y32" i="37"/>
  <c r="Z11" i="49" s="1"/>
  <c r="Z22" i="49" s="1"/>
  <c r="Z34" i="49" s="1"/>
  <c r="B23" i="46"/>
  <c r="B44" i="46" s="1"/>
  <c r="B57" i="46" s="1"/>
  <c r="B67" i="46" s="1"/>
  <c r="B16" i="46"/>
  <c r="U16" i="36"/>
  <c r="X16" i="36" s="1"/>
  <c r="S16" i="36"/>
  <c r="W16" i="36" s="1"/>
  <c r="J125" i="49"/>
  <c r="B48" i="46"/>
  <c r="B61" i="46" s="1"/>
  <c r="B71" i="46" s="1"/>
  <c r="B39" i="46"/>
  <c r="B79" i="46" s="1"/>
  <c r="B88" i="46" s="1"/>
  <c r="B47" i="46"/>
  <c r="B60" i="46" s="1"/>
  <c r="B70" i="46" s="1"/>
  <c r="B38" i="46"/>
  <c r="B78" i="46" s="1"/>
  <c r="B87" i="46" s="1"/>
  <c r="B46" i="46"/>
  <c r="B59" i="46" s="1"/>
  <c r="B69" i="46" s="1"/>
  <c r="B37" i="46"/>
  <c r="B77" i="46" s="1"/>
  <c r="B86" i="46" s="1"/>
  <c r="F227" i="37"/>
  <c r="D15" i="45" s="1"/>
  <c r="M15" i="45" s="1"/>
  <c r="U13" i="36"/>
  <c r="X13" i="36" s="1"/>
  <c r="Y13" i="36" s="1"/>
  <c r="C123" i="49"/>
  <c r="B22" i="49"/>
  <c r="T11" i="37"/>
  <c r="F34" i="37" s="1"/>
  <c r="F12" i="49" s="1"/>
  <c r="Q12" i="49" s="1"/>
  <c r="F23" i="49" s="1"/>
  <c r="L23" i="49" s="1"/>
  <c r="L125" i="49"/>
  <c r="D35" i="24"/>
  <c r="Q47" i="31" s="1"/>
  <c r="H159" i="30"/>
  <c r="N16" i="19"/>
  <c r="Q84" i="5"/>
  <c r="H160" i="30"/>
  <c r="N17" i="19"/>
  <c r="R84" i="5"/>
  <c r="AG95" i="5"/>
  <c r="O16" i="19"/>
  <c r="L16" i="19"/>
  <c r="P33" i="19" s="1"/>
  <c r="F159" i="30"/>
  <c r="C35" i="24"/>
  <c r="P47" i="31" s="1"/>
  <c r="L17" i="19"/>
  <c r="O17" i="19"/>
  <c r="F160" i="30"/>
  <c r="F35" i="24"/>
  <c r="T47" i="31" s="1"/>
  <c r="M160" i="30"/>
  <c r="Q17" i="19" s="1"/>
  <c r="S160" i="30"/>
  <c r="S17" i="19" s="1"/>
  <c r="Q160" i="30"/>
  <c r="R17" i="19" s="1"/>
  <c r="T14" i="5"/>
  <c r="AH92" i="5"/>
  <c r="R92" i="5"/>
  <c r="Q92" i="5"/>
  <c r="Q94" i="5"/>
  <c r="T94" i="5" s="1"/>
  <c r="AG94" i="5"/>
  <c r="R85" i="5"/>
  <c r="AH94" i="5"/>
  <c r="N41" i="16"/>
  <c r="O41" i="16"/>
  <c r="M41" i="16"/>
  <c r="M50" i="16" s="1"/>
  <c r="O18" i="27"/>
  <c r="CI7" i="22"/>
  <c r="CI24" i="22" s="1"/>
  <c r="CB24" i="22"/>
  <c r="CB26" i="22" s="1"/>
  <c r="Q18" i="27"/>
  <c r="BT19" i="22"/>
  <c r="BX18" i="22"/>
  <c r="BX20" i="22"/>
  <c r="BV20" i="22"/>
  <c r="BT9" i="22"/>
  <c r="BS9" i="22"/>
  <c r="BV13" i="22"/>
  <c r="BW8" i="22"/>
  <c r="BS10" i="22"/>
  <c r="BV11" i="22"/>
  <c r="BS12" i="22"/>
  <c r="BW13" i="22"/>
  <c r="BW15" i="22"/>
  <c r="BS15" i="22"/>
  <c r="BU17" i="22"/>
  <c r="BU8" i="22"/>
  <c r="BW9" i="22"/>
  <c r="BT10" i="22"/>
  <c r="BU20" i="22"/>
  <c r="BU21" i="22"/>
  <c r="BT12" i="22"/>
  <c r="BW12" i="22"/>
  <c r="BV17" i="22"/>
  <c r="BV12" i="22"/>
  <c r="BT15" i="22"/>
  <c r="BU19" i="22"/>
  <c r="BS20" i="22"/>
  <c r="BT21" i="22"/>
  <c r="BU18" i="22"/>
  <c r="BV14" i="22"/>
  <c r="BX10" i="22"/>
  <c r="BX13" i="22"/>
  <c r="BT17" i="22"/>
  <c r="BX14" i="22"/>
  <c r="BT14" i="22"/>
  <c r="CD7" i="22"/>
  <c r="BU12" i="22"/>
  <c r="BV21" i="22"/>
  <c r="BX15" i="22"/>
  <c r="BW10" i="22"/>
  <c r="BX16" i="22"/>
  <c r="BU15" i="22"/>
  <c r="BT18" i="22"/>
  <c r="BT13" i="22"/>
  <c r="BT16" i="22"/>
  <c r="BW19" i="22"/>
  <c r="BV19" i="22"/>
  <c r="BW21" i="22"/>
  <c r="BS21" i="22"/>
  <c r="BU11" i="22"/>
  <c r="BU9" i="22"/>
  <c r="BS11" i="22"/>
  <c r="BW17" i="22"/>
  <c r="BV8" i="22"/>
  <c r="BT20" i="22"/>
  <c r="BX19" i="22"/>
  <c r="BS18" i="22"/>
  <c r="BV16" i="22"/>
  <c r="BW14" i="22"/>
  <c r="BW20" i="22"/>
  <c r="BS19" i="22"/>
  <c r="BW18" i="22"/>
  <c r="BX21" i="22"/>
  <c r="BS14" i="22"/>
  <c r="BU10" i="22"/>
  <c r="BT11" i="22"/>
  <c r="BX12" i="22"/>
  <c r="BS17" i="22"/>
  <c r="BW11" i="22"/>
  <c r="BU16" i="22"/>
  <c r="BX11" i="22"/>
  <c r="BU14" i="22"/>
  <c r="BX8" i="22"/>
  <c r="BV18" i="22"/>
  <c r="BR24" i="22"/>
  <c r="BX9" i="22"/>
  <c r="BV9" i="22"/>
  <c r="BV10" i="22"/>
  <c r="BS13" i="22"/>
  <c r="BU13" i="22"/>
  <c r="BV15" i="22"/>
  <c r="BS16" i="22"/>
  <c r="BW16" i="22"/>
  <c r="BT8" i="22"/>
  <c r="BS8" i="22"/>
  <c r="BX17" i="22"/>
  <c r="I18" i="27"/>
  <c r="M18" i="27"/>
  <c r="L18" i="27" s="1"/>
  <c r="J18" i="19"/>
  <c r="A1140" i="7"/>
  <c r="A1156" i="7"/>
  <c r="L20" i="26"/>
  <c r="L16" i="38" s="1"/>
  <c r="T15" i="16"/>
  <c r="Y14" i="36"/>
  <c r="W95" i="47"/>
  <c r="D39" i="44" s="1"/>
  <c r="F39" i="44"/>
  <c r="W94" i="47"/>
  <c r="D38" i="44" s="1"/>
  <c r="F38" i="44"/>
  <c r="F41" i="44"/>
  <c r="W97" i="47"/>
  <c r="D41" i="44" s="1"/>
  <c r="F40" i="44"/>
  <c r="W96" i="47"/>
  <c r="D40" i="44" s="1"/>
  <c r="L74" i="44"/>
  <c r="Q44" i="19"/>
  <c r="Y54" i="36"/>
  <c r="AD41" i="47"/>
  <c r="M74" i="44"/>
  <c r="Y93" i="26"/>
  <c r="X93" i="26"/>
  <c r="AD43" i="47"/>
  <c r="H74" i="44"/>
  <c r="K106" i="26" s="1"/>
  <c r="AD42" i="47"/>
  <c r="AC40" i="47"/>
  <c r="I74" i="44"/>
  <c r="K126" i="26" s="1"/>
  <c r="Q126" i="26" s="1"/>
  <c r="X126" i="26" s="1"/>
  <c r="B86" i="47"/>
  <c r="B147" i="47" s="1"/>
  <c r="C199" i="36"/>
  <c r="C237" i="36" s="1"/>
  <c r="C39" i="44"/>
  <c r="C38" i="44"/>
  <c r="C41" i="44"/>
  <c r="C40" i="44"/>
  <c r="S38" i="17"/>
  <c r="K47" i="17"/>
  <c r="W46" i="36" s="1"/>
  <c r="Y26" i="36"/>
  <c r="W37" i="36"/>
  <c r="W64" i="36" s="1"/>
  <c r="AB38" i="47"/>
  <c r="W36" i="36"/>
  <c r="W63" i="36" s="1"/>
  <c r="AB37" i="47"/>
  <c r="K20" i="26"/>
  <c r="Q71" i="26" s="1"/>
  <c r="X71" i="26" s="1"/>
  <c r="AD30" i="19"/>
  <c r="L47" i="17"/>
  <c r="X46" i="36" s="1"/>
  <c r="Y20" i="36"/>
  <c r="R47" i="17"/>
  <c r="F212" i="37"/>
  <c r="F116" i="49" s="1"/>
  <c r="Y40" i="36"/>
  <c r="I27" i="36"/>
  <c r="I55" i="36" s="1"/>
  <c r="Y45" i="36"/>
  <c r="X44" i="36"/>
  <c r="W44" i="36"/>
  <c r="P12" i="32"/>
  <c r="M51" i="27"/>
  <c r="AH50" i="27"/>
  <c r="L152" i="37"/>
  <c r="U152" i="37" s="1"/>
  <c r="J152" i="37"/>
  <c r="Q152" i="37" s="1"/>
  <c r="R50" i="19"/>
  <c r="S38" i="30" s="1"/>
  <c r="R44" i="19"/>
  <c r="AB35" i="27"/>
  <c r="AB32" i="27"/>
  <c r="V242" i="38"/>
  <c r="Q32" i="19"/>
  <c r="S46" i="19"/>
  <c r="Q50" i="19"/>
  <c r="R38" i="30" s="1"/>
  <c r="Q34" i="19"/>
  <c r="P52" i="4"/>
  <c r="R52" i="4" s="1"/>
  <c r="Q52" i="4"/>
  <c r="S52" i="4" s="1"/>
  <c r="R33" i="4"/>
  <c r="R35" i="4"/>
  <c r="Q35" i="4"/>
  <c r="Q33" i="4"/>
  <c r="R31" i="4"/>
  <c r="Q31" i="4"/>
  <c r="A851" i="7"/>
  <c r="A879" i="7"/>
  <c r="A894" i="7" s="1"/>
  <c r="Q12" i="37"/>
  <c r="Q71" i="37" s="1"/>
  <c r="M71" i="37"/>
  <c r="L16" i="45"/>
  <c r="M16" i="45"/>
  <c r="N16" i="45"/>
  <c r="A782" i="7"/>
  <c r="C23" i="29" s="1"/>
  <c r="C23" i="45"/>
  <c r="M14" i="45"/>
  <c r="L14" i="45"/>
  <c r="N14" i="45"/>
  <c r="I82" i="26"/>
  <c r="K82" i="26"/>
  <c r="Y82" i="36"/>
  <c r="R13" i="5"/>
  <c r="T13" i="5" s="1"/>
  <c r="T33" i="16"/>
  <c r="K30" i="26" s="1"/>
  <c r="K27" i="38" s="1"/>
  <c r="K81" i="26"/>
  <c r="Q103" i="26" s="1"/>
  <c r="X103" i="26" s="1"/>
  <c r="O50" i="2"/>
  <c r="J157" i="30"/>
  <c r="AG13" i="5"/>
  <c r="C35" i="15"/>
  <c r="W78" i="31" s="1"/>
  <c r="K30" i="22"/>
  <c r="O262" i="38" s="1"/>
  <c r="M90" i="5"/>
  <c r="AH90" i="5" s="1"/>
  <c r="F34" i="9"/>
  <c r="E267" i="31"/>
  <c r="T266" i="31"/>
  <c r="M91" i="5"/>
  <c r="AG91" i="5" s="1"/>
  <c r="M89" i="5"/>
  <c r="AG89" i="5" s="1"/>
  <c r="M88" i="5"/>
  <c r="AG88" i="5" s="1"/>
  <c r="AH13" i="5"/>
  <c r="AB11" i="35"/>
  <c r="S11" i="35"/>
  <c r="S20" i="35" s="1"/>
  <c r="Y20" i="35"/>
  <c r="U11" i="35"/>
  <c r="U20" i="35" s="1"/>
  <c r="F32" i="15"/>
  <c r="AH13" i="15" s="1"/>
  <c r="F32" i="24"/>
  <c r="M32" i="24" s="1"/>
  <c r="R142" i="37"/>
  <c r="K135" i="36" s="1"/>
  <c r="Q135" i="36" s="1"/>
  <c r="AI12" i="37"/>
  <c r="P50" i="31"/>
  <c r="W74" i="31" s="1"/>
  <c r="H223" i="37"/>
  <c r="B168" i="31"/>
  <c r="B228" i="31" s="1"/>
  <c r="W73" i="31"/>
  <c r="W82" i="31" s="1"/>
  <c r="G91" i="35"/>
  <c r="C123" i="35" s="1"/>
  <c r="J95" i="38"/>
  <c r="AA14" i="35"/>
  <c r="BO22" i="22"/>
  <c r="E35" i="22"/>
  <c r="J77" i="38" s="1"/>
  <c r="R40" i="16"/>
  <c r="Z40" i="16"/>
  <c r="CF7" i="22"/>
  <c r="CE24" i="22"/>
  <c r="CE25" i="22" s="1"/>
  <c r="BQ22" i="22"/>
  <c r="BZ37" i="22"/>
  <c r="CD37" i="22"/>
  <c r="CB37" i="22"/>
  <c r="CE35" i="22"/>
  <c r="CE36" i="22"/>
  <c r="CA35" i="22"/>
  <c r="CC35" i="22"/>
  <c r="CA36" i="22"/>
  <c r="CC36" i="22"/>
  <c r="CD35" i="22"/>
  <c r="CC37" i="22"/>
  <c r="CD36" i="22"/>
  <c r="CE37" i="22"/>
  <c r="BZ36" i="22"/>
  <c r="CB36" i="22"/>
  <c r="BZ35" i="22"/>
  <c r="CB35" i="22"/>
  <c r="CB25" i="22"/>
  <c r="CA37" i="22"/>
  <c r="CE34" i="22"/>
  <c r="CB29" i="22"/>
  <c r="CC31" i="22"/>
  <c r="BZ27" i="22"/>
  <c r="CA34" i="22"/>
  <c r="CC27" i="22"/>
  <c r="CC34" i="22"/>
  <c r="CA33" i="22"/>
  <c r="BZ33" i="22"/>
  <c r="CB27" i="22"/>
  <c r="CE29" i="22"/>
  <c r="BZ29" i="22"/>
  <c r="CB34" i="22"/>
  <c r="CA30" i="22"/>
  <c r="CE30" i="22"/>
  <c r="BZ32" i="22"/>
  <c r="CE28" i="22"/>
  <c r="BZ34" i="22"/>
  <c r="CD34" i="22"/>
  <c r="CC32" i="22"/>
  <c r="CE33" i="22"/>
  <c r="BZ30" i="22"/>
  <c r="CD30" i="22"/>
  <c r="CB33" i="22"/>
  <c r="CB31" i="22"/>
  <c r="CB28" i="22"/>
  <c r="CA32" i="22"/>
  <c r="BZ28" i="22"/>
  <c r="CC28" i="22"/>
  <c r="CE27" i="22"/>
  <c r="CA29" i="22"/>
  <c r="CB30" i="22"/>
  <c r="CB32" i="22"/>
  <c r="BZ25" i="22"/>
  <c r="CC30" i="22"/>
  <c r="CD27" i="22"/>
  <c r="CA31" i="22"/>
  <c r="CA28" i="22"/>
  <c r="BZ26" i="22"/>
  <c r="CD29" i="22"/>
  <c r="CD32" i="22"/>
  <c r="CC33" i="22"/>
  <c r="CE31" i="22"/>
  <c r="CA27" i="22"/>
  <c r="CD31" i="22"/>
  <c r="CD28" i="22"/>
  <c r="BZ31" i="22"/>
  <c r="CE32" i="22"/>
  <c r="CD33" i="22"/>
  <c r="CC29" i="22"/>
  <c r="BN22" i="22"/>
  <c r="BV24" i="22"/>
  <c r="CC7" i="22"/>
  <c r="CA7" i="22"/>
  <c r="BT24" i="22"/>
  <c r="G172" i="31"/>
  <c r="J172" i="31" s="1"/>
  <c r="O172" i="31" s="1"/>
  <c r="Q172" i="31" s="1"/>
  <c r="U172" i="31" s="1"/>
  <c r="BP22" i="22"/>
  <c r="BM22" i="22"/>
  <c r="Q40" i="16"/>
  <c r="Y40" i="16"/>
  <c r="BL22" i="22"/>
  <c r="BM35" i="22"/>
  <c r="BO35" i="22"/>
  <c r="BN35" i="22"/>
  <c r="BM37" i="22"/>
  <c r="BO37" i="22"/>
  <c r="BN37" i="22"/>
  <c r="BP36" i="22"/>
  <c r="BL35" i="22"/>
  <c r="BP37" i="22"/>
  <c r="BL37" i="22"/>
  <c r="BQ37" i="22"/>
  <c r="BP35" i="22"/>
  <c r="BM36" i="22"/>
  <c r="BO36" i="22"/>
  <c r="BQ36" i="22"/>
  <c r="BQ35" i="22"/>
  <c r="BN36" i="22"/>
  <c r="BL36" i="22"/>
  <c r="BN26" i="22"/>
  <c r="BM25" i="22"/>
  <c r="BN25" i="22"/>
  <c r="BO27" i="22"/>
  <c r="BQ27" i="22"/>
  <c r="BM28" i="22"/>
  <c r="BQ28" i="22"/>
  <c r="BP29" i="22"/>
  <c r="BO28" i="22"/>
  <c r="BO30" i="22"/>
  <c r="BM32" i="22"/>
  <c r="BM33" i="22"/>
  <c r="BP31" i="22"/>
  <c r="BN33" i="22"/>
  <c r="BL26" i="22"/>
  <c r="BM26" i="22"/>
  <c r="BL29" i="22"/>
  <c r="BL33" i="22"/>
  <c r="BL31" i="22"/>
  <c r="BM31" i="22"/>
  <c r="BM29" i="22"/>
  <c r="BN28" i="22"/>
  <c r="BP30" i="22"/>
  <c r="BN30" i="22"/>
  <c r="BQ30" i="22"/>
  <c r="BQ26" i="22"/>
  <c r="BQ31" i="22"/>
  <c r="BP32" i="22"/>
  <c r="BQ33" i="22"/>
  <c r="BP28" i="22"/>
  <c r="BQ32" i="22"/>
  <c r="BO32" i="22"/>
  <c r="BN31" i="22"/>
  <c r="BM27" i="22"/>
  <c r="BL27" i="22"/>
  <c r="BL32" i="22"/>
  <c r="BO33" i="22"/>
  <c r="BL34" i="22"/>
  <c r="BO34" i="22"/>
  <c r="BP25" i="22"/>
  <c r="BM34" i="22"/>
  <c r="BO26" i="22"/>
  <c r="BN29" i="22"/>
  <c r="BP27" i="22"/>
  <c r="BL28" i="22"/>
  <c r="BL30" i="22"/>
  <c r="BP33" i="22"/>
  <c r="BQ29" i="22"/>
  <c r="BO31" i="22"/>
  <c r="BP26" i="22"/>
  <c r="BO29" i="22"/>
  <c r="BM30" i="22"/>
  <c r="BQ34" i="22"/>
  <c r="BN34" i="22"/>
  <c r="BP34" i="22"/>
  <c r="BN27" i="22"/>
  <c r="BQ25" i="22"/>
  <c r="BN32" i="22"/>
  <c r="BO25" i="22"/>
  <c r="BL25" i="22"/>
  <c r="K28" i="4"/>
  <c r="N28" i="4"/>
  <c r="Q203" i="30"/>
  <c r="L11" i="25" s="1"/>
  <c r="Q201" i="30"/>
  <c r="L9" i="25" s="1"/>
  <c r="Q204" i="30"/>
  <c r="L12" i="25" s="1"/>
  <c r="Q202" i="30"/>
  <c r="L10" i="25" s="1"/>
  <c r="G209" i="30"/>
  <c r="K17" i="25" s="1"/>
  <c r="G203" i="30"/>
  <c r="K11" i="25" s="1"/>
  <c r="G205" i="30"/>
  <c r="K13" i="25" s="1"/>
  <c r="O13" i="25" s="1"/>
  <c r="G204" i="30"/>
  <c r="K12" i="25" s="1"/>
  <c r="G210" i="30"/>
  <c r="K18" i="25" s="1"/>
  <c r="G202" i="30"/>
  <c r="K10" i="25" s="1"/>
  <c r="AK30" i="10"/>
  <c r="K10" i="22"/>
  <c r="O245" i="38" s="1"/>
  <c r="J27" i="22"/>
  <c r="N259" i="38" s="1"/>
  <c r="E18" i="22"/>
  <c r="H77" i="38" s="1"/>
  <c r="K27" i="22"/>
  <c r="O259" i="38" s="1"/>
  <c r="D33" i="24"/>
  <c r="C33" i="24"/>
  <c r="F33" i="24"/>
  <c r="T45" i="31" s="1"/>
  <c r="J30" i="10"/>
  <c r="AL30" i="10"/>
  <c r="I30" i="10"/>
  <c r="R30" i="10"/>
  <c r="U30" i="10" s="1"/>
  <c r="K58" i="4"/>
  <c r="D32" i="15"/>
  <c r="AM13" i="15" s="1"/>
  <c r="L245" i="38"/>
  <c r="K56" i="19"/>
  <c r="K59" i="4"/>
  <c r="J10" i="22"/>
  <c r="N245" i="38" s="1"/>
  <c r="G29" i="10"/>
  <c r="AD13" i="35" s="1"/>
  <c r="S30" i="10"/>
  <c r="V30" i="10" s="1"/>
  <c r="AD14" i="35"/>
  <c r="AL14" i="9"/>
  <c r="I37" i="9"/>
  <c r="F11" i="22"/>
  <c r="M11" i="22" s="1"/>
  <c r="Q37" i="9"/>
  <c r="K104" i="30"/>
  <c r="Q12" i="4" s="1"/>
  <c r="G201" i="30"/>
  <c r="K9" i="25" s="1"/>
  <c r="K57" i="4"/>
  <c r="F10" i="22"/>
  <c r="I245" i="38" s="1"/>
  <c r="D32" i="24"/>
  <c r="L32" i="24" s="1"/>
  <c r="AI14" i="9"/>
  <c r="J37" i="9"/>
  <c r="AM14" i="9"/>
  <c r="K37" i="9"/>
  <c r="AN14" i="9"/>
  <c r="AO14" i="9"/>
  <c r="AK14" i="9"/>
  <c r="AF14" i="9"/>
  <c r="AH14" i="9"/>
  <c r="AP14" i="9"/>
  <c r="AG14" i="9"/>
  <c r="H37" i="9"/>
  <c r="P37" i="9"/>
  <c r="T14" i="31"/>
  <c r="Q35" i="9"/>
  <c r="D33" i="15"/>
  <c r="AI14" i="15" s="1"/>
  <c r="F33" i="15"/>
  <c r="I33" i="15" s="1"/>
  <c r="W76" i="31"/>
  <c r="AF33" i="15"/>
  <c r="H267" i="38"/>
  <c r="AK12" i="9"/>
  <c r="I35" i="9"/>
  <c r="H35" i="9"/>
  <c r="H253" i="38"/>
  <c r="F28" i="22"/>
  <c r="AL12" i="9"/>
  <c r="Q13" i="31"/>
  <c r="P34" i="9"/>
  <c r="AK11" i="9"/>
  <c r="H34" i="9"/>
  <c r="AM11" i="9"/>
  <c r="AF11" i="9"/>
  <c r="AB13" i="35"/>
  <c r="R29" i="10"/>
  <c r="U29" i="10" s="1"/>
  <c r="AK29" i="10"/>
  <c r="I29" i="10"/>
  <c r="Q14" i="31"/>
  <c r="P35" i="9"/>
  <c r="O52" i="2"/>
  <c r="V29" i="30"/>
  <c r="M156" i="30"/>
  <c r="Q13" i="19" s="1"/>
  <c r="S156" i="30"/>
  <c r="S13" i="19" s="1"/>
  <c r="F261" i="38"/>
  <c r="F223" i="37"/>
  <c r="M158" i="30"/>
  <c r="Q15" i="19" s="1"/>
  <c r="N159" i="37"/>
  <c r="O16" i="27" s="1"/>
  <c r="Q155" i="37"/>
  <c r="Q12" i="27" s="1"/>
  <c r="Q155" i="30"/>
  <c r="R12" i="19" s="1"/>
  <c r="N92" i="35"/>
  <c r="Y18" i="10" s="1"/>
  <c r="AI23" i="10" s="1"/>
  <c r="Q156" i="37"/>
  <c r="Q13" i="27" s="1"/>
  <c r="S155" i="30"/>
  <c r="S12" i="19" s="1"/>
  <c r="E93" i="35"/>
  <c r="AB10" i="10" s="1"/>
  <c r="M157" i="30"/>
  <c r="Q14" i="19" s="1"/>
  <c r="Q10" i="27"/>
  <c r="T158" i="37"/>
  <c r="S15" i="27" s="1"/>
  <c r="N154" i="37"/>
  <c r="O11" i="27" s="1"/>
  <c r="C13" i="29"/>
  <c r="E94" i="35"/>
  <c r="AB11" i="10" s="1"/>
  <c r="O104" i="30"/>
  <c r="S12" i="4" s="1"/>
  <c r="Q160" i="37"/>
  <c r="Q17" i="27" s="1"/>
  <c r="O103" i="30"/>
  <c r="S11" i="4" s="1"/>
  <c r="K108" i="30"/>
  <c r="Q16" i="4" s="1"/>
  <c r="N158" i="37"/>
  <c r="O15" i="27" s="1"/>
  <c r="T159" i="37"/>
  <c r="S16" i="27" s="1"/>
  <c r="I104" i="30"/>
  <c r="O12" i="4" s="1"/>
  <c r="Q156" i="30"/>
  <c r="R13" i="19" s="1"/>
  <c r="Q158" i="30"/>
  <c r="R15" i="19" s="1"/>
  <c r="T157" i="37"/>
  <c r="S14" i="27" s="1"/>
  <c r="I108" i="30"/>
  <c r="O16" i="4" s="1"/>
  <c r="M159" i="30"/>
  <c r="Q16" i="19" s="1"/>
  <c r="T154" i="37"/>
  <c r="S11" i="27" s="1"/>
  <c r="N157" i="37"/>
  <c r="O14" i="27" s="1"/>
  <c r="K23" i="24"/>
  <c r="L187" i="31" s="1"/>
  <c r="E92" i="35"/>
  <c r="AB9" i="10" s="1"/>
  <c r="N160" i="37"/>
  <c r="O17" i="27" s="1"/>
  <c r="O107" i="30"/>
  <c r="S15" i="4" s="1"/>
  <c r="Q153" i="30"/>
  <c r="R10" i="19" s="1"/>
  <c r="I40" i="37"/>
  <c r="I51" i="37" s="1"/>
  <c r="I62" i="37" s="1"/>
  <c r="I75" i="37" s="1"/>
  <c r="S12" i="32"/>
  <c r="C22" i="29"/>
  <c r="G10" i="24"/>
  <c r="H10" i="24" s="1"/>
  <c r="I107" i="30"/>
  <c r="O15" i="4" s="1"/>
  <c r="Q158" i="37"/>
  <c r="Q15" i="27" s="1"/>
  <c r="Q159" i="30"/>
  <c r="R16" i="19" s="1"/>
  <c r="S157" i="30"/>
  <c r="S14" i="19" s="1"/>
  <c r="N153" i="37"/>
  <c r="O10" i="27" s="1"/>
  <c r="M155" i="30"/>
  <c r="Q12" i="19" s="1"/>
  <c r="U12" i="32"/>
  <c r="N156" i="37"/>
  <c r="O13" i="27" s="1"/>
  <c r="O102" i="30"/>
  <c r="S10" i="4" s="1"/>
  <c r="O108" i="30"/>
  <c r="B32" i="37"/>
  <c r="C222" i="37" s="1"/>
  <c r="G12" i="24"/>
  <c r="H12" i="24" s="1"/>
  <c r="S10" i="27"/>
  <c r="K105" i="30"/>
  <c r="Q13" i="4" s="1"/>
  <c r="I103" i="30"/>
  <c r="O11" i="4" s="1"/>
  <c r="C12" i="29"/>
  <c r="T155" i="37"/>
  <c r="S12" i="27" s="1"/>
  <c r="O105" i="30"/>
  <c r="S13" i="4" s="1"/>
  <c r="S154" i="30"/>
  <c r="S11" i="19" s="1"/>
  <c r="I106" i="30"/>
  <c r="O14" i="4" s="1"/>
  <c r="S159" i="30"/>
  <c r="S16" i="19" s="1"/>
  <c r="K33" i="19" s="1"/>
  <c r="L33" i="19" s="1"/>
  <c r="Q154" i="37"/>
  <c r="Q11" i="27" s="1"/>
  <c r="Q15" i="32"/>
  <c r="E95" i="35"/>
  <c r="AB12" i="10" s="1"/>
  <c r="C15" i="29"/>
  <c r="T160" i="37"/>
  <c r="S17" i="27" s="1"/>
  <c r="O106" i="30"/>
  <c r="S14" i="4" s="1"/>
  <c r="Q157" i="37"/>
  <c r="Q14" i="27" s="1"/>
  <c r="K106" i="30"/>
  <c r="Q14" i="4" s="1"/>
  <c r="I102" i="30"/>
  <c r="O10" i="4" s="1"/>
  <c r="M153" i="30"/>
  <c r="Q10" i="19" s="1"/>
  <c r="S158" i="30"/>
  <c r="S15" i="19" s="1"/>
  <c r="K107" i="30"/>
  <c r="Q15" i="4" s="1"/>
  <c r="M15" i="32"/>
  <c r="V12" i="32"/>
  <c r="C14" i="29"/>
  <c r="N25" i="25"/>
  <c r="K102" i="30"/>
  <c r="Q10" i="4" s="1"/>
  <c r="Q159" i="37"/>
  <c r="Q16" i="27" s="1"/>
  <c r="T156" i="37"/>
  <c r="S13" i="27" s="1"/>
  <c r="N155" i="37"/>
  <c r="O12" i="27" s="1"/>
  <c r="K103" i="30"/>
  <c r="Q11" i="4" s="1"/>
  <c r="I105" i="30"/>
  <c r="O13" i="4" s="1"/>
  <c r="Q154" i="30"/>
  <c r="R11" i="19" s="1"/>
  <c r="M154" i="30"/>
  <c r="Q11" i="19" s="1"/>
  <c r="S153" i="30"/>
  <c r="S10" i="19" s="1"/>
  <c r="Q157" i="30"/>
  <c r="R14" i="19" s="1"/>
  <c r="Q142" i="37"/>
  <c r="I135" i="36" s="1"/>
  <c r="P135" i="36" s="1"/>
  <c r="H76" i="38"/>
  <c r="H91" i="38" s="1"/>
  <c r="H95" i="38" s="1"/>
  <c r="G12" i="32"/>
  <c r="E91" i="35"/>
  <c r="B123" i="35" s="1"/>
  <c r="E15" i="32"/>
  <c r="AA12" i="32"/>
  <c r="Y12" i="32"/>
  <c r="N15" i="32"/>
  <c r="G15" i="32"/>
  <c r="P15" i="32"/>
  <c r="K12" i="32"/>
  <c r="H12" i="32"/>
  <c r="AB12" i="32"/>
  <c r="H15" i="32"/>
  <c r="AE11" i="37"/>
  <c r="X20" i="35"/>
  <c r="Z15" i="32"/>
  <c r="Z12" i="32"/>
  <c r="F12" i="32"/>
  <c r="N12" i="32"/>
  <c r="D15" i="32"/>
  <c r="AD11" i="35"/>
  <c r="Y15" i="32"/>
  <c r="W12" i="32"/>
  <c r="W15" i="32"/>
  <c r="O43" i="31"/>
  <c r="O51" i="31" s="1"/>
  <c r="B167" i="31"/>
  <c r="B227" i="31" s="1"/>
  <c r="S15" i="32"/>
  <c r="R12" i="32"/>
  <c r="J12" i="32"/>
  <c r="U15" i="32"/>
  <c r="M12" i="32"/>
  <c r="A23" i="2"/>
  <c r="G65" i="2" s="1"/>
  <c r="O15" i="32"/>
  <c r="R15" i="32"/>
  <c r="L12" i="32"/>
  <c r="X15" i="32"/>
  <c r="V15" i="32"/>
  <c r="K15" i="32"/>
  <c r="R30" i="30"/>
  <c r="R48" i="30" s="1"/>
  <c r="W12" i="31"/>
  <c r="W21" i="31" s="1"/>
  <c r="E12" i="32"/>
  <c r="D12" i="32"/>
  <c r="O12" i="32"/>
  <c r="I12" i="32"/>
  <c r="T12" i="32"/>
  <c r="F15" i="32"/>
  <c r="Q21" i="31"/>
  <c r="Q43" i="31" s="1"/>
  <c r="L15" i="32"/>
  <c r="X12" i="32"/>
  <c r="J15" i="32"/>
  <c r="I15" i="32"/>
  <c r="T15" i="32"/>
  <c r="X43" i="31"/>
  <c r="X51" i="31" s="1"/>
  <c r="Z82" i="31"/>
  <c r="O48" i="30"/>
  <c r="AA20" i="35"/>
  <c r="D43" i="35" s="1"/>
  <c r="W20" i="35"/>
  <c r="Z20" i="31"/>
  <c r="AH10" i="35"/>
  <c r="AB73" i="31"/>
  <c r="AB81" i="31" s="1"/>
  <c r="T12" i="5"/>
  <c r="AH87" i="5"/>
  <c r="Q87" i="5"/>
  <c r="AG87" i="5"/>
  <c r="Q20" i="5"/>
  <c r="AH86" i="5"/>
  <c r="Q86" i="5"/>
  <c r="Q19" i="5"/>
  <c r="R86" i="5"/>
  <c r="AH85" i="5"/>
  <c r="Q85" i="5"/>
  <c r="AH20" i="5"/>
  <c r="R20" i="5"/>
  <c r="AH15" i="5"/>
  <c r="AG85" i="5"/>
  <c r="AH19" i="5"/>
  <c r="R19" i="5"/>
  <c r="R17" i="5"/>
  <c r="AG16" i="5"/>
  <c r="AH16" i="5"/>
  <c r="AG17" i="5"/>
  <c r="Q16" i="5"/>
  <c r="T16" i="5" s="1"/>
  <c r="M97" i="5"/>
  <c r="Q97" i="5" s="1"/>
  <c r="AG15" i="5"/>
  <c r="M99" i="5"/>
  <c r="AH99" i="5" s="1"/>
  <c r="M96" i="5"/>
  <c r="AG96" i="5" s="1"/>
  <c r="Q17" i="5"/>
  <c r="T93" i="5"/>
  <c r="M98" i="5"/>
  <c r="Q15" i="5"/>
  <c r="Q18" i="5"/>
  <c r="R18" i="5"/>
  <c r="AH18" i="5"/>
  <c r="M23" i="5"/>
  <c r="I164" i="38"/>
  <c r="S164" i="38" s="1"/>
  <c r="D65" i="5"/>
  <c r="N63" i="5"/>
  <c r="M63" i="5"/>
  <c r="D66" i="5"/>
  <c r="N64" i="5"/>
  <c r="M64" i="5"/>
  <c r="H164" i="38"/>
  <c r="Q164" i="38" s="1"/>
  <c r="O100" i="5"/>
  <c r="N100" i="5"/>
  <c r="N26" i="5"/>
  <c r="C45" i="5" s="1"/>
  <c r="P36" i="15"/>
  <c r="AD83" i="31" s="1"/>
  <c r="AA47" i="24"/>
  <c r="H101" i="38" s="1"/>
  <c r="P37" i="15"/>
  <c r="AD84" i="31" s="1"/>
  <c r="P40" i="15"/>
  <c r="AD87" i="31" s="1"/>
  <c r="AB47" i="24"/>
  <c r="J101" i="38" s="1"/>
  <c r="Y12" i="36"/>
  <c r="AN34" i="27"/>
  <c r="AE34" i="27"/>
  <c r="AP50" i="27"/>
  <c r="AL34" i="27"/>
  <c r="AM50" i="27"/>
  <c r="AA36" i="27"/>
  <c r="AM36" i="27" s="1"/>
  <c r="AD36" i="27"/>
  <c r="AO36" i="27" s="1"/>
  <c r="V23" i="27"/>
  <c r="Z37" i="27" s="1"/>
  <c r="CE22" i="22" l="1"/>
  <c r="BZ22" i="22"/>
  <c r="F15" i="22" s="1"/>
  <c r="I250" i="38" s="1"/>
  <c r="CB22" i="22"/>
  <c r="H15" i="22" s="1"/>
  <c r="K250" i="38" s="1"/>
  <c r="H38" i="44"/>
  <c r="G74" i="9"/>
  <c r="Q141" i="31" s="1"/>
  <c r="G75" i="9"/>
  <c r="M21" i="9" s="1"/>
  <c r="W21" i="9" s="1"/>
  <c r="F69" i="9"/>
  <c r="G69" i="9" s="1"/>
  <c r="Q136" i="31" s="1"/>
  <c r="G71" i="9"/>
  <c r="Q138" i="31" s="1"/>
  <c r="G76" i="9"/>
  <c r="Q143" i="31" s="1"/>
  <c r="G73" i="9"/>
  <c r="M19" i="9" s="1"/>
  <c r="G66" i="9"/>
  <c r="Q132" i="31" s="1"/>
  <c r="Q68" i="9"/>
  <c r="V135" i="31" s="1"/>
  <c r="P41" i="15"/>
  <c r="AD88" i="31" s="1"/>
  <c r="J42" i="15"/>
  <c r="N42" i="15" s="1"/>
  <c r="AB89" i="31" s="1"/>
  <c r="K42" i="15"/>
  <c r="O42" i="15" s="1"/>
  <c r="AC89" i="31" s="1"/>
  <c r="AL23" i="15"/>
  <c r="AK23" i="15"/>
  <c r="F63" i="9"/>
  <c r="S22" i="15"/>
  <c r="T22" i="15" s="1"/>
  <c r="P37" i="46"/>
  <c r="N38" i="46"/>
  <c r="O38" i="46"/>
  <c r="O39" i="46"/>
  <c r="N39" i="46"/>
  <c r="C146" i="49"/>
  <c r="C163" i="49" s="1"/>
  <c r="C139" i="49"/>
  <c r="U22" i="32"/>
  <c r="U23" i="32"/>
  <c r="W23" i="32"/>
  <c r="Y23" i="32" s="1"/>
  <c r="W24" i="32"/>
  <c r="Z24" i="32" s="1"/>
  <c r="U24" i="32"/>
  <c r="N77" i="46"/>
  <c r="P77" i="46" s="1"/>
  <c r="S86" i="46" s="1"/>
  <c r="U25" i="32"/>
  <c r="W25" i="32"/>
  <c r="Y25" i="32" s="1"/>
  <c r="Q131" i="31"/>
  <c r="K65" i="9"/>
  <c r="M11" i="9"/>
  <c r="W22" i="32"/>
  <c r="Y22" i="32" s="1"/>
  <c r="W21" i="32"/>
  <c r="Y21" i="32" s="1"/>
  <c r="U21" i="32"/>
  <c r="O77" i="46"/>
  <c r="Q77" i="46" s="1"/>
  <c r="P39" i="25"/>
  <c r="T57" i="30" s="1"/>
  <c r="O78" i="46"/>
  <c r="Q78" i="46" s="1"/>
  <c r="N78" i="46"/>
  <c r="P78" i="46" s="1"/>
  <c r="S87" i="46" s="1"/>
  <c r="W87" i="46" s="1"/>
  <c r="P40" i="25"/>
  <c r="T58" i="30" s="1"/>
  <c r="O79" i="46"/>
  <c r="Q79" i="46" s="1"/>
  <c r="N79" i="46"/>
  <c r="P79" i="46" s="1"/>
  <c r="S88" i="46" s="1"/>
  <c r="W88" i="46" s="1"/>
  <c r="P38" i="25"/>
  <c r="T56" i="30" s="1"/>
  <c r="K64" i="9"/>
  <c r="AK13" i="24"/>
  <c r="I35" i="24"/>
  <c r="L35" i="24"/>
  <c r="J233" i="31"/>
  <c r="I172" i="31"/>
  <c r="L172" i="31" s="1"/>
  <c r="P172" i="31" s="1"/>
  <c r="T172" i="31" s="1"/>
  <c r="Q200" i="30"/>
  <c r="S200" i="30" s="1"/>
  <c r="V142" i="31"/>
  <c r="T87" i="5"/>
  <c r="CD8" i="22"/>
  <c r="CD9" i="22"/>
  <c r="CC8" i="22"/>
  <c r="CC9" i="22"/>
  <c r="AD13" i="24"/>
  <c r="G12" i="22"/>
  <c r="M12" i="22" s="1"/>
  <c r="Q137" i="31"/>
  <c r="K70" i="9"/>
  <c r="M16" i="9"/>
  <c r="CA8" i="22"/>
  <c r="CA9" i="22"/>
  <c r="CE26" i="22"/>
  <c r="CE38" i="22" s="1"/>
  <c r="Q139" i="31"/>
  <c r="S202" i="30"/>
  <c r="N10" i="25" s="1"/>
  <c r="I207" i="30"/>
  <c r="M15" i="25" s="1"/>
  <c r="I206" i="30"/>
  <c r="M14" i="25" s="1"/>
  <c r="S207" i="30"/>
  <c r="N15" i="25" s="1"/>
  <c r="S205" i="30"/>
  <c r="N13" i="25" s="1"/>
  <c r="S206" i="30"/>
  <c r="N14" i="25" s="1"/>
  <c r="H35" i="25"/>
  <c r="I35" i="25"/>
  <c r="L35" i="4"/>
  <c r="M35" i="4" s="1"/>
  <c r="V134" i="31"/>
  <c r="O32" i="4"/>
  <c r="S32" i="4" s="1"/>
  <c r="O35" i="4"/>
  <c r="S35" i="4" s="1"/>
  <c r="L32" i="4"/>
  <c r="M32" i="4" s="1"/>
  <c r="O33" i="4"/>
  <c r="S33" i="4" s="1"/>
  <c r="AF8" i="4"/>
  <c r="AG8" i="4"/>
  <c r="AN11" i="9"/>
  <c r="AT34" i="9"/>
  <c r="U75" i="9"/>
  <c r="P69" i="9"/>
  <c r="Q69" i="9" s="1"/>
  <c r="P72" i="9"/>
  <c r="P70" i="9"/>
  <c r="P76" i="9"/>
  <c r="P65" i="9"/>
  <c r="P74" i="9"/>
  <c r="P66" i="9"/>
  <c r="Q66" i="9" s="1"/>
  <c r="P71" i="9"/>
  <c r="F68" i="9"/>
  <c r="G68" i="9" s="1"/>
  <c r="M15" i="9"/>
  <c r="P73" i="9"/>
  <c r="P64" i="9"/>
  <c r="U67" i="9"/>
  <c r="O47" i="46"/>
  <c r="V47" i="46" s="1"/>
  <c r="O48" i="46"/>
  <c r="V48" i="46" s="1"/>
  <c r="T84" i="5"/>
  <c r="N15" i="45"/>
  <c r="N27" i="46"/>
  <c r="M26" i="46"/>
  <c r="M19" i="46"/>
  <c r="N19" i="46" s="1"/>
  <c r="J200" i="30"/>
  <c r="T200" i="30"/>
  <c r="AJ13" i="24"/>
  <c r="Z13" i="24"/>
  <c r="AB13" i="24"/>
  <c r="AH13" i="24"/>
  <c r="AI13" i="24"/>
  <c r="AC13" i="24"/>
  <c r="M35" i="24"/>
  <c r="H35" i="24"/>
  <c r="R35" i="24"/>
  <c r="AE13" i="24"/>
  <c r="L33" i="4"/>
  <c r="M33" i="4" s="1"/>
  <c r="J48" i="4" s="1"/>
  <c r="L48" i="4" s="1"/>
  <c r="Y46" i="37"/>
  <c r="Y57" i="37" s="1"/>
  <c r="Y68" i="37" s="1"/>
  <c r="P166" i="49"/>
  <c r="M69" i="46" s="1"/>
  <c r="N69" i="46" s="1"/>
  <c r="P167" i="49"/>
  <c r="M70" i="46" s="1"/>
  <c r="N70" i="46" s="1"/>
  <c r="P168" i="49"/>
  <c r="M71" i="46" s="1"/>
  <c r="N71" i="46" s="1"/>
  <c r="L15" i="45"/>
  <c r="P15" i="45" s="1"/>
  <c r="L166" i="49"/>
  <c r="N59" i="46" s="1"/>
  <c r="L167" i="49"/>
  <c r="N60" i="46" s="1"/>
  <c r="L168" i="49"/>
  <c r="N61" i="46" s="1"/>
  <c r="R41" i="16"/>
  <c r="R50" i="16" s="1"/>
  <c r="V46" i="46"/>
  <c r="N26" i="46"/>
  <c r="Q41" i="16"/>
  <c r="S18" i="36" s="1"/>
  <c r="W18" i="36" s="1"/>
  <c r="M25" i="46"/>
  <c r="M27" i="46"/>
  <c r="Y47" i="37"/>
  <c r="Y58" i="37" s="1"/>
  <c r="Y69" i="37" s="1"/>
  <c r="H11" i="36"/>
  <c r="U13" i="47" s="1"/>
  <c r="W135" i="36"/>
  <c r="K203" i="36" s="1"/>
  <c r="I241" i="36" s="1"/>
  <c r="J91" i="47"/>
  <c r="X135" i="36"/>
  <c r="M203" i="36" s="1"/>
  <c r="K241" i="36" s="1"/>
  <c r="N91" i="47"/>
  <c r="N50" i="16"/>
  <c r="F17" i="46"/>
  <c r="R23" i="49"/>
  <c r="AG12" i="35"/>
  <c r="AB20" i="35"/>
  <c r="AF21" i="35" s="1"/>
  <c r="AF44" i="35" s="1"/>
  <c r="J132" i="49"/>
  <c r="J148" i="49" s="1"/>
  <c r="N125" i="49"/>
  <c r="L132" i="49"/>
  <c r="L148" i="49" s="1"/>
  <c r="P125" i="49"/>
  <c r="F234" i="37"/>
  <c r="D23" i="45" s="1"/>
  <c r="B34" i="49"/>
  <c r="C155" i="49" s="1"/>
  <c r="C130" i="49"/>
  <c r="Z41" i="16"/>
  <c r="BS22" i="22"/>
  <c r="F14" i="22" s="1"/>
  <c r="I249" i="38" s="1"/>
  <c r="O50" i="16"/>
  <c r="Y41" i="16"/>
  <c r="AA13" i="24"/>
  <c r="T18" i="27"/>
  <c r="S35" i="24"/>
  <c r="J160" i="30"/>
  <c r="P17" i="19"/>
  <c r="Q28" i="19" s="1"/>
  <c r="J159" i="30"/>
  <c r="P16" i="19"/>
  <c r="Q33" i="19" s="1"/>
  <c r="T85" i="5"/>
  <c r="N25" i="46"/>
  <c r="T92" i="5"/>
  <c r="R71" i="26"/>
  <c r="Y71" i="26" s="1"/>
  <c r="P27" i="46"/>
  <c r="L18" i="19"/>
  <c r="P34" i="19" s="1"/>
  <c r="BU22" i="22"/>
  <c r="H14" i="22" s="1"/>
  <c r="K249" i="38" s="1"/>
  <c r="BW22" i="22"/>
  <c r="J14" i="22" s="1"/>
  <c r="N249" i="38" s="1"/>
  <c r="Q25" i="46"/>
  <c r="M18" i="46"/>
  <c r="N18" i="46" s="1"/>
  <c r="BV22" i="22"/>
  <c r="M20" i="46"/>
  <c r="N20" i="46" s="1"/>
  <c r="BS25" i="22"/>
  <c r="BT26" i="22"/>
  <c r="BV33" i="22"/>
  <c r="BW27" i="22"/>
  <c r="BU27" i="22"/>
  <c r="BW32" i="22"/>
  <c r="BU33" i="22"/>
  <c r="BU31" i="22"/>
  <c r="BT31" i="22"/>
  <c r="BS30" i="22"/>
  <c r="BS32" i="22"/>
  <c r="BX26" i="22"/>
  <c r="BV27" i="22"/>
  <c r="BS28" i="22"/>
  <c r="BU34" i="22"/>
  <c r="BX34" i="22"/>
  <c r="BW28" i="22"/>
  <c r="BS29" i="22"/>
  <c r="BT34" i="22"/>
  <c r="BT30" i="22"/>
  <c r="BU30" i="22"/>
  <c r="BW25" i="22"/>
  <c r="BU25" i="22"/>
  <c r="BU26" i="22"/>
  <c r="BX25" i="22"/>
  <c r="BV28" i="22"/>
  <c r="BT29" i="22"/>
  <c r="BX32" i="22"/>
  <c r="BS26" i="22"/>
  <c r="BV25" i="22"/>
  <c r="BT27" i="22"/>
  <c r="BX27" i="22"/>
  <c r="BT28" i="22"/>
  <c r="BX29" i="22"/>
  <c r="BX30" i="22"/>
  <c r="BW34" i="22"/>
  <c r="BS33" i="22"/>
  <c r="BS31" i="22"/>
  <c r="BV29" i="22"/>
  <c r="BV34" i="22"/>
  <c r="BV30" i="22"/>
  <c r="BT32" i="22"/>
  <c r="BW26" i="22"/>
  <c r="BW29" i="22"/>
  <c r="BS27" i="22"/>
  <c r="BU29" i="22"/>
  <c r="BT25" i="22"/>
  <c r="BV26" i="22"/>
  <c r="BW33" i="22"/>
  <c r="BS34" i="22"/>
  <c r="BX31" i="22"/>
  <c r="BW31" i="22"/>
  <c r="BU32" i="22"/>
  <c r="BX33" i="22"/>
  <c r="BX28" i="22"/>
  <c r="BT33" i="22"/>
  <c r="BV32" i="22"/>
  <c r="BV31" i="22"/>
  <c r="BU28" i="22"/>
  <c r="BW30" i="22"/>
  <c r="BV36" i="22"/>
  <c r="BU35" i="22"/>
  <c r="BS35" i="22"/>
  <c r="BT37" i="22"/>
  <c r="BV37" i="22"/>
  <c r="BS36" i="22"/>
  <c r="BU36" i="22"/>
  <c r="BT35" i="22"/>
  <c r="BV35" i="22"/>
  <c r="BX35" i="22"/>
  <c r="BW36" i="22"/>
  <c r="BT36" i="22"/>
  <c r="BW35" i="22"/>
  <c r="BU37" i="22"/>
  <c r="BW37" i="22"/>
  <c r="BX36" i="22"/>
  <c r="BX37" i="22"/>
  <c r="BS37" i="22"/>
  <c r="BT22" i="22"/>
  <c r="G14" i="22" s="1"/>
  <c r="J249" i="38" s="1"/>
  <c r="CK7" i="22"/>
  <c r="CK24" i="22" s="1"/>
  <c r="CD24" i="22"/>
  <c r="Q26" i="46"/>
  <c r="P26" i="46"/>
  <c r="BX22" i="22"/>
  <c r="K16" i="38"/>
  <c r="Y16" i="36"/>
  <c r="AA10" i="24"/>
  <c r="L28" i="4"/>
  <c r="M28" i="4" s="1"/>
  <c r="F42" i="44"/>
  <c r="AF96" i="47" s="1"/>
  <c r="D42" i="44"/>
  <c r="AE96" i="47" s="1"/>
  <c r="C42" i="44"/>
  <c r="AC96" i="47" s="1"/>
  <c r="O74" i="44"/>
  <c r="S44" i="19"/>
  <c r="L37" i="44"/>
  <c r="AD40" i="47"/>
  <c r="Q106" i="26"/>
  <c r="X106" i="26" s="1"/>
  <c r="Q81" i="26"/>
  <c r="X81" i="26" s="1"/>
  <c r="Y46" i="36"/>
  <c r="Y44" i="36"/>
  <c r="P51" i="4"/>
  <c r="R51" i="4" s="1"/>
  <c r="T51" i="4" s="1"/>
  <c r="N152" i="37"/>
  <c r="R152" i="37"/>
  <c r="T152" i="37"/>
  <c r="H37" i="44"/>
  <c r="AB14" i="47" s="1"/>
  <c r="T52" i="4"/>
  <c r="Q104" i="26"/>
  <c r="X104" i="26" s="1"/>
  <c r="P152" i="37"/>
  <c r="R33" i="19"/>
  <c r="T28" i="27"/>
  <c r="U28" i="27"/>
  <c r="V28" i="27"/>
  <c r="T31" i="27"/>
  <c r="V31" i="27"/>
  <c r="U31" i="27"/>
  <c r="U29" i="27"/>
  <c r="V29" i="27"/>
  <c r="T29" i="27"/>
  <c r="U34" i="27"/>
  <c r="V34" i="27"/>
  <c r="T34" i="27"/>
  <c r="L29" i="4"/>
  <c r="M29" i="4" s="1"/>
  <c r="R32" i="19"/>
  <c r="AG30" i="19" s="1"/>
  <c r="L30" i="4"/>
  <c r="M30" i="4" s="1"/>
  <c r="AJ31" i="19"/>
  <c r="M48" i="19"/>
  <c r="AK31" i="19"/>
  <c r="N48" i="19"/>
  <c r="K32" i="19"/>
  <c r="L32" i="19" s="1"/>
  <c r="AJ30" i="19" s="1"/>
  <c r="S50" i="19"/>
  <c r="T38" i="30" s="1"/>
  <c r="K34" i="19"/>
  <c r="L34" i="19" s="1"/>
  <c r="K28" i="19"/>
  <c r="L28" i="19" s="1"/>
  <c r="R28" i="19"/>
  <c r="R34" i="19"/>
  <c r="AB11" i="24"/>
  <c r="I32" i="24"/>
  <c r="M45" i="19"/>
  <c r="AK28" i="19"/>
  <c r="N45" i="19"/>
  <c r="AJ28" i="19"/>
  <c r="AF15" i="4"/>
  <c r="AG15" i="4"/>
  <c r="L31" i="4"/>
  <c r="M31" i="4" s="1"/>
  <c r="L34" i="4"/>
  <c r="M34" i="4" s="1"/>
  <c r="O30" i="4"/>
  <c r="S30" i="4" s="1"/>
  <c r="S16" i="4"/>
  <c r="O31" i="4"/>
  <c r="S31" i="4" s="1"/>
  <c r="A909" i="7"/>
  <c r="A924" i="7" s="1"/>
  <c r="A865" i="7"/>
  <c r="O28" i="4"/>
  <c r="S28" i="4" s="1"/>
  <c r="O34" i="4"/>
  <c r="S34" i="4" s="1"/>
  <c r="O29" i="4"/>
  <c r="S29" i="4" s="1"/>
  <c r="BP38" i="22"/>
  <c r="BQ38" i="22"/>
  <c r="Q90" i="5"/>
  <c r="J74" i="44"/>
  <c r="K33" i="26" s="1"/>
  <c r="Q124" i="26"/>
  <c r="X124" i="26" s="1"/>
  <c r="T11" i="27"/>
  <c r="F233" i="37"/>
  <c r="J223" i="37"/>
  <c r="N223" i="37" s="1"/>
  <c r="R223" i="37" s="1"/>
  <c r="H233" i="37"/>
  <c r="L223" i="37"/>
  <c r="P223" i="37" s="1"/>
  <c r="T223" i="37" s="1"/>
  <c r="A796" i="7"/>
  <c r="C24" i="45"/>
  <c r="Y14" i="45"/>
  <c r="Z14" i="45"/>
  <c r="P14" i="45"/>
  <c r="Q14" i="45"/>
  <c r="Q16" i="45"/>
  <c r="P16" i="45"/>
  <c r="Y16" i="45"/>
  <c r="Z16" i="45"/>
  <c r="F48" i="37"/>
  <c r="F59" i="37" s="1"/>
  <c r="F69" i="37" s="1"/>
  <c r="M34" i="37"/>
  <c r="M48" i="37" s="1"/>
  <c r="R48" i="37" s="1"/>
  <c r="D15" i="29"/>
  <c r="L15" i="29" s="1"/>
  <c r="D14" i="29"/>
  <c r="L14" i="29" s="1"/>
  <c r="D13" i="29"/>
  <c r="M13" i="29" s="1"/>
  <c r="H39" i="44"/>
  <c r="I39" i="44"/>
  <c r="M39" i="44"/>
  <c r="L39" i="44"/>
  <c r="I37" i="44"/>
  <c r="AC14" i="47" s="1"/>
  <c r="M37" i="44"/>
  <c r="L41" i="44"/>
  <c r="M41" i="44"/>
  <c r="I41" i="44"/>
  <c r="H41" i="44"/>
  <c r="L38" i="44"/>
  <c r="M38" i="44"/>
  <c r="I38" i="44"/>
  <c r="I40" i="44"/>
  <c r="L40" i="44"/>
  <c r="M40" i="44"/>
  <c r="H40" i="44"/>
  <c r="Q123" i="26"/>
  <c r="X123" i="26" s="1"/>
  <c r="R9" i="25"/>
  <c r="Q9" i="25"/>
  <c r="D35" i="15"/>
  <c r="AG16" i="15" s="1"/>
  <c r="F35" i="15"/>
  <c r="AJ16" i="15" s="1"/>
  <c r="AF35" i="15"/>
  <c r="AF47" i="15" s="1"/>
  <c r="AA11" i="24"/>
  <c r="G29" i="22"/>
  <c r="J261" i="38" s="1"/>
  <c r="Q261" i="38" s="1"/>
  <c r="Q34" i="9"/>
  <c r="R34" i="9" s="1"/>
  <c r="T13" i="31"/>
  <c r="AL11" i="9"/>
  <c r="AG11" i="9"/>
  <c r="AG90" i="5"/>
  <c r="R88" i="5"/>
  <c r="AH88" i="5"/>
  <c r="Q88" i="5"/>
  <c r="R90" i="5"/>
  <c r="AJ13" i="15"/>
  <c r="I34" i="9"/>
  <c r="Z75" i="31"/>
  <c r="AL13" i="15"/>
  <c r="AH32" i="15"/>
  <c r="AF13" i="15"/>
  <c r="S32" i="15"/>
  <c r="M32" i="15"/>
  <c r="AJ32" i="15" s="1"/>
  <c r="Q91" i="5"/>
  <c r="L11" i="37"/>
  <c r="AK10" i="24"/>
  <c r="AC10" i="24"/>
  <c r="AN13" i="15"/>
  <c r="AP13" i="15"/>
  <c r="T44" i="31"/>
  <c r="I32" i="15"/>
  <c r="K32" i="15"/>
  <c r="E268" i="31"/>
  <c r="T268" i="31" s="1"/>
  <c r="T267" i="31"/>
  <c r="AF12" i="35"/>
  <c r="R89" i="5"/>
  <c r="Q89" i="5"/>
  <c r="AH89" i="5"/>
  <c r="AH91" i="5"/>
  <c r="R91" i="5"/>
  <c r="S32" i="24"/>
  <c r="AI10" i="24"/>
  <c r="AI13" i="15"/>
  <c r="AK13" i="15"/>
  <c r="R32" i="15"/>
  <c r="Q51" i="31"/>
  <c r="X74" i="31" s="1"/>
  <c r="G233" i="31"/>
  <c r="O91" i="35"/>
  <c r="O95" i="35" s="1"/>
  <c r="W81" i="31"/>
  <c r="S17" i="36"/>
  <c r="W17" i="36" s="1"/>
  <c r="BL38" i="22"/>
  <c r="CH19" i="22"/>
  <c r="CH20" i="22"/>
  <c r="CG19" i="22"/>
  <c r="CK18" i="22"/>
  <c r="CL19" i="22"/>
  <c r="CG20" i="22"/>
  <c r="CK19" i="22"/>
  <c r="CI18" i="22"/>
  <c r="CL20" i="22"/>
  <c r="CF24" i="22"/>
  <c r="CJ9" i="22"/>
  <c r="CG21" i="22"/>
  <c r="CI19" i="22"/>
  <c r="CL18" i="22"/>
  <c r="CJ19" i="22"/>
  <c r="CG18" i="22"/>
  <c r="CJ18" i="22"/>
  <c r="CK20" i="22"/>
  <c r="CH18" i="22"/>
  <c r="CI20" i="22"/>
  <c r="CK21" i="22"/>
  <c r="CL21" i="22"/>
  <c r="CJ20" i="22"/>
  <c r="CH21" i="22"/>
  <c r="CJ21" i="22"/>
  <c r="CI21" i="22"/>
  <c r="CI9" i="22"/>
  <c r="CJ16" i="22"/>
  <c r="CI10" i="22"/>
  <c r="CH13" i="22"/>
  <c r="CI15" i="22"/>
  <c r="CG12" i="22"/>
  <c r="CJ15" i="22"/>
  <c r="CI11" i="22"/>
  <c r="CJ17" i="22"/>
  <c r="CH9" i="22"/>
  <c r="CH14" i="22"/>
  <c r="CK9" i="22"/>
  <c r="CJ11" i="22"/>
  <c r="CJ10" i="22"/>
  <c r="CL11" i="22"/>
  <c r="CL12" i="22"/>
  <c r="CH17" i="22"/>
  <c r="CH16" i="22"/>
  <c r="CL15" i="22"/>
  <c r="CK15" i="22"/>
  <c r="CK13" i="22"/>
  <c r="CK14" i="22"/>
  <c r="CI14" i="22"/>
  <c r="CI13" i="22"/>
  <c r="CK8" i="22"/>
  <c r="CK10" i="22"/>
  <c r="CG15" i="22"/>
  <c r="CL9" i="22"/>
  <c r="CG11" i="22"/>
  <c r="CL8" i="22"/>
  <c r="CL10" i="22"/>
  <c r="CK12" i="22"/>
  <c r="CI17" i="22"/>
  <c r="CL17" i="22"/>
  <c r="CJ12" i="22"/>
  <c r="CG8" i="22"/>
  <c r="CG9" i="22"/>
  <c r="CG10" i="22"/>
  <c r="CK17" i="22"/>
  <c r="CI16" i="22"/>
  <c r="CH11" i="22"/>
  <c r="CG14" i="22"/>
  <c r="CJ8" i="22"/>
  <c r="CI12" i="22"/>
  <c r="CJ13" i="22"/>
  <c r="CL14" i="22"/>
  <c r="CG17" i="22"/>
  <c r="CJ14" i="22"/>
  <c r="CH12" i="22"/>
  <c r="CH15" i="22"/>
  <c r="CG13" i="22"/>
  <c r="CI8" i="22"/>
  <c r="CL13" i="22"/>
  <c r="CK16" i="22"/>
  <c r="CK11" i="22"/>
  <c r="CL16" i="22"/>
  <c r="CH8" i="22"/>
  <c r="CG16" i="22"/>
  <c r="CH10" i="22"/>
  <c r="AB10" i="24"/>
  <c r="BO38" i="22"/>
  <c r="BN38" i="22"/>
  <c r="BZ38" i="22"/>
  <c r="F32" i="22" s="1"/>
  <c r="I264" i="38" s="1"/>
  <c r="CJ7" i="22"/>
  <c r="CJ24" i="22" s="1"/>
  <c r="CC24" i="22"/>
  <c r="U17" i="36"/>
  <c r="X17" i="36" s="1"/>
  <c r="T40" i="16"/>
  <c r="X75" i="31"/>
  <c r="BM38" i="22"/>
  <c r="CA24" i="22"/>
  <c r="CH7" i="22"/>
  <c r="CH24" i="22" s="1"/>
  <c r="CB38" i="22"/>
  <c r="H32" i="22" s="1"/>
  <c r="K264" i="38" s="1"/>
  <c r="I33" i="24"/>
  <c r="Q259" i="38"/>
  <c r="O11" i="25"/>
  <c r="H33" i="25" s="1"/>
  <c r="S201" i="30"/>
  <c r="N9" i="25" s="1"/>
  <c r="S203" i="30"/>
  <c r="N11" i="25" s="1"/>
  <c r="S204" i="30"/>
  <c r="N12" i="25" s="1"/>
  <c r="O9" i="25"/>
  <c r="I31" i="25" s="1"/>
  <c r="I204" i="30"/>
  <c r="M12" i="25" s="1"/>
  <c r="O10" i="25"/>
  <c r="I32" i="25" s="1"/>
  <c r="I201" i="30"/>
  <c r="M9" i="25" s="1"/>
  <c r="I209" i="30"/>
  <c r="M17" i="25" s="1"/>
  <c r="I210" i="30"/>
  <c r="M18" i="25" s="1"/>
  <c r="I202" i="30"/>
  <c r="M10" i="25" s="1"/>
  <c r="I205" i="30"/>
  <c r="M13" i="25" s="1"/>
  <c r="I203" i="30"/>
  <c r="M11" i="25" s="1"/>
  <c r="O12" i="25"/>
  <c r="H34" i="25" s="1"/>
  <c r="P45" i="31"/>
  <c r="AO13" i="15"/>
  <c r="H32" i="15"/>
  <c r="AJ11" i="24"/>
  <c r="AI11" i="24"/>
  <c r="Z11" i="24"/>
  <c r="L32" i="15"/>
  <c r="AI32" i="15" s="1"/>
  <c r="AG13" i="15"/>
  <c r="W30" i="10"/>
  <c r="H33" i="24"/>
  <c r="AL29" i="10"/>
  <c r="R33" i="24"/>
  <c r="L33" i="24"/>
  <c r="J29" i="10"/>
  <c r="AD11" i="24"/>
  <c r="M27" i="22"/>
  <c r="AH11" i="24"/>
  <c r="Q45" i="31"/>
  <c r="AK11" i="24"/>
  <c r="M37" i="9"/>
  <c r="X16" i="31" s="1"/>
  <c r="AG32" i="15"/>
  <c r="AC11" i="24"/>
  <c r="AJ14" i="15"/>
  <c r="Q245" i="38"/>
  <c r="H33" i="15"/>
  <c r="J32" i="15"/>
  <c r="AE13" i="15"/>
  <c r="AE11" i="24"/>
  <c r="S33" i="24"/>
  <c r="M33" i="24"/>
  <c r="S29" i="10"/>
  <c r="V29" i="10" s="1"/>
  <c r="W29" i="10" s="1"/>
  <c r="I246" i="38"/>
  <c r="R37" i="9"/>
  <c r="Z10" i="24"/>
  <c r="Q44" i="31"/>
  <c r="M10" i="22"/>
  <c r="K7" i="26" s="1"/>
  <c r="K56" i="4"/>
  <c r="R32" i="24"/>
  <c r="AH10" i="24"/>
  <c r="AJ10" i="24"/>
  <c r="L37" i="9"/>
  <c r="W16" i="31" s="1"/>
  <c r="R35" i="9"/>
  <c r="Z76" i="31"/>
  <c r="AF14" i="15"/>
  <c r="AP14" i="15"/>
  <c r="AH33" i="15"/>
  <c r="AH14" i="15"/>
  <c r="AN14" i="15"/>
  <c r="S33" i="15"/>
  <c r="K33" i="15"/>
  <c r="AL14" i="15"/>
  <c r="M33" i="15"/>
  <c r="M28" i="22"/>
  <c r="I260" i="38"/>
  <c r="X76" i="31"/>
  <c r="R33" i="15"/>
  <c r="AG14" i="15"/>
  <c r="AE14" i="15"/>
  <c r="AG33" i="15"/>
  <c r="AM14" i="15"/>
  <c r="AO14" i="15"/>
  <c r="AK14" i="15"/>
  <c r="J33" i="15"/>
  <c r="L33" i="15"/>
  <c r="AI33" i="15" s="1"/>
  <c r="AH16" i="10"/>
  <c r="AJ22" i="10"/>
  <c r="AJ10" i="10"/>
  <c r="AN17" i="10"/>
  <c r="AG11" i="10"/>
  <c r="K22" i="24"/>
  <c r="M22" i="24" s="1"/>
  <c r="AG23" i="24" s="1"/>
  <c r="T14" i="27"/>
  <c r="H32" i="24"/>
  <c r="AE10" i="24"/>
  <c r="T17" i="27"/>
  <c r="E96" i="35"/>
  <c r="AB13" i="10" s="1"/>
  <c r="T10" i="27"/>
  <c r="T12" i="27"/>
  <c r="AO18" i="10"/>
  <c r="AH20" i="10"/>
  <c r="AJ21" i="10"/>
  <c r="T15" i="27"/>
  <c r="AH21" i="10"/>
  <c r="AG20" i="10"/>
  <c r="AG10" i="10"/>
  <c r="AJ12" i="10"/>
  <c r="AJ14" i="10"/>
  <c r="AM19" i="10"/>
  <c r="AI21" i="10"/>
  <c r="AP10" i="10"/>
  <c r="AI12" i="10"/>
  <c r="AM22" i="10"/>
  <c r="AC18" i="10"/>
  <c r="AG12" i="10"/>
  <c r="AI17" i="10"/>
  <c r="AP17" i="10"/>
  <c r="AP19" i="10"/>
  <c r="AJ11" i="10"/>
  <c r="AM17" i="10"/>
  <c r="AN15" i="10"/>
  <c r="K18" i="24"/>
  <c r="M18" i="24" s="1"/>
  <c r="J40" i="24" s="1"/>
  <c r="N40" i="24" s="1"/>
  <c r="W56" i="31" s="1"/>
  <c r="AO20" i="10"/>
  <c r="C11" i="28"/>
  <c r="T13" i="27"/>
  <c r="AN18" i="10"/>
  <c r="AI19" i="10"/>
  <c r="AH22" i="10"/>
  <c r="AJ13" i="10"/>
  <c r="AM23" i="10"/>
  <c r="AP15" i="10"/>
  <c r="AH17" i="10"/>
  <c r="AH10" i="10"/>
  <c r="AG14" i="10"/>
  <c r="AN22" i="10"/>
  <c r="AP11" i="10"/>
  <c r="AN16" i="10"/>
  <c r="AO21" i="10"/>
  <c r="AP23" i="10"/>
  <c r="AH12" i="10"/>
  <c r="AN19" i="10"/>
  <c r="T16" i="27"/>
  <c r="AP20" i="10"/>
  <c r="AJ23" i="10"/>
  <c r="AJ17" i="10"/>
  <c r="AI10" i="10"/>
  <c r="AI18" i="10"/>
  <c r="AN23" i="10"/>
  <c r="AP14" i="10"/>
  <c r="AI14" i="10"/>
  <c r="AO23" i="10"/>
  <c r="AI11" i="10"/>
  <c r="AH14" i="10"/>
  <c r="K13" i="24"/>
  <c r="L176" i="31" s="1"/>
  <c r="AM13" i="10"/>
  <c r="AI15" i="10"/>
  <c r="K16" i="24"/>
  <c r="M16" i="24" s="1"/>
  <c r="AF17" i="24" s="1"/>
  <c r="F175" i="31"/>
  <c r="AM10" i="10"/>
  <c r="AP22" i="10"/>
  <c r="AG15" i="10"/>
  <c r="AI22" i="10"/>
  <c r="AI13" i="10"/>
  <c r="AM16" i="10"/>
  <c r="AM18" i="10"/>
  <c r="AN10" i="10"/>
  <c r="AH13" i="10"/>
  <c r="AJ16" i="10"/>
  <c r="AH11" i="10"/>
  <c r="AJ15" i="10"/>
  <c r="AN12" i="10"/>
  <c r="AG18" i="10"/>
  <c r="AJ20" i="10"/>
  <c r="AJ19" i="10"/>
  <c r="AG13" i="10"/>
  <c r="AM15" i="10"/>
  <c r="AJ18" i="10"/>
  <c r="AH15" i="10"/>
  <c r="AG19" i="10"/>
  <c r="AO17" i="10"/>
  <c r="AH18" i="10"/>
  <c r="AO10" i="10"/>
  <c r="AH23" i="10"/>
  <c r="AP21" i="10"/>
  <c r="AG16" i="10"/>
  <c r="AO19" i="10"/>
  <c r="AH19" i="10"/>
  <c r="AO16" i="10"/>
  <c r="AI16" i="10"/>
  <c r="AP13" i="10"/>
  <c r="AN13" i="10"/>
  <c r="AG23" i="10"/>
  <c r="AO12" i="10"/>
  <c r="AI20" i="10"/>
  <c r="AM21" i="10"/>
  <c r="AO22" i="10"/>
  <c r="AP18" i="10"/>
  <c r="AN20" i="10"/>
  <c r="AM12" i="10"/>
  <c r="AP16" i="10"/>
  <c r="AG17" i="10"/>
  <c r="AN14" i="10"/>
  <c r="AO15" i="10"/>
  <c r="AN21" i="10"/>
  <c r="AG22" i="10"/>
  <c r="AG21" i="10"/>
  <c r="AO13" i="10"/>
  <c r="AO11" i="10"/>
  <c r="AP12" i="10"/>
  <c r="AM14" i="10"/>
  <c r="AM20" i="10"/>
  <c r="AO14" i="10"/>
  <c r="AN11" i="10"/>
  <c r="AM11" i="10"/>
  <c r="K17" i="24"/>
  <c r="M17" i="24" s="1"/>
  <c r="K39" i="24" s="1"/>
  <c r="O39" i="24" s="1"/>
  <c r="K12" i="24"/>
  <c r="L175" i="31" s="1"/>
  <c r="P11" i="37"/>
  <c r="N91" i="35"/>
  <c r="N95" i="35" s="1"/>
  <c r="K15" i="24"/>
  <c r="L179" i="31" s="1"/>
  <c r="K10" i="24"/>
  <c r="M10" i="24" s="1"/>
  <c r="AG10" i="24" s="1"/>
  <c r="F173" i="31"/>
  <c r="X32" i="27"/>
  <c r="C11" i="26"/>
  <c r="K19" i="24"/>
  <c r="L183" i="31" s="1"/>
  <c r="K14" i="24"/>
  <c r="L178" i="31" s="1"/>
  <c r="M23" i="24"/>
  <c r="K45" i="24" s="1"/>
  <c r="O45" i="24" s="1"/>
  <c r="K11" i="24"/>
  <c r="M11" i="24" s="1"/>
  <c r="K33" i="24" s="1"/>
  <c r="K20" i="24"/>
  <c r="L184" i="31" s="1"/>
  <c r="W32" i="27"/>
  <c r="AD10" i="24"/>
  <c r="K21" i="24"/>
  <c r="M21" i="24" s="1"/>
  <c r="J43" i="24" s="1"/>
  <c r="N43" i="24" s="1"/>
  <c r="W59" i="31" s="1"/>
  <c r="B243" i="38"/>
  <c r="AD20" i="35"/>
  <c r="Y44" i="35" s="1"/>
  <c r="L44" i="35" s="1"/>
  <c r="T129" i="35" s="1"/>
  <c r="G129" i="35" s="1"/>
  <c r="N129" i="35" s="1"/>
  <c r="W44" i="35"/>
  <c r="J44" i="35" s="1"/>
  <c r="N44" i="35" s="1"/>
  <c r="W43" i="31"/>
  <c r="W51" i="31" s="1"/>
  <c r="AA10" i="37"/>
  <c r="AH19" i="35"/>
  <c r="AH42" i="35" s="1"/>
  <c r="AD73" i="31"/>
  <c r="AD81" i="31" s="1"/>
  <c r="Z42" i="31"/>
  <c r="Z50" i="31" s="1"/>
  <c r="T20" i="5"/>
  <c r="T19" i="5"/>
  <c r="Q96" i="5"/>
  <c r="T86" i="5"/>
  <c r="AH96" i="5"/>
  <c r="R96" i="5"/>
  <c r="AH97" i="5"/>
  <c r="R23" i="5"/>
  <c r="T17" i="5"/>
  <c r="R97" i="5"/>
  <c r="T97" i="5" s="1"/>
  <c r="T18" i="5"/>
  <c r="AG97" i="5"/>
  <c r="Q99" i="5"/>
  <c r="Q23" i="5"/>
  <c r="R99" i="5"/>
  <c r="AG99" i="5"/>
  <c r="M100" i="5"/>
  <c r="R98" i="5"/>
  <c r="AI23" i="5"/>
  <c r="T15" i="5"/>
  <c r="AH98" i="5"/>
  <c r="AG98" i="5"/>
  <c r="Q98" i="5"/>
  <c r="R64" i="5"/>
  <c r="AH64" i="5"/>
  <c r="AG64" i="5"/>
  <c r="Q64" i="5"/>
  <c r="Q63" i="5"/>
  <c r="AH63" i="5"/>
  <c r="AG63" i="5"/>
  <c r="R63" i="5"/>
  <c r="D68" i="5"/>
  <c r="D67" i="5"/>
  <c r="C41" i="5"/>
  <c r="C47" i="5"/>
  <c r="P137" i="35" s="1"/>
  <c r="C46" i="5"/>
  <c r="C48" i="5"/>
  <c r="P138" i="35" s="1"/>
  <c r="C42" i="5"/>
  <c r="C40" i="5"/>
  <c r="P130" i="35" s="1"/>
  <c r="C43" i="5"/>
  <c r="P133" i="35" s="1"/>
  <c r="P135" i="35"/>
  <c r="N25" i="5"/>
  <c r="C44" i="5"/>
  <c r="K129" i="35"/>
  <c r="P129" i="35" s="1"/>
  <c r="D129" i="35"/>
  <c r="R122" i="35"/>
  <c r="F128" i="35"/>
  <c r="M128" i="35"/>
  <c r="T122" i="35"/>
  <c r="S128" i="35" s="1"/>
  <c r="K8" i="28"/>
  <c r="E78" i="38"/>
  <c r="K8" i="26"/>
  <c r="AM51" i="27"/>
  <c r="AD37" i="27"/>
  <c r="AO37" i="27" s="1"/>
  <c r="AA37" i="27"/>
  <c r="AM37" i="27" s="1"/>
  <c r="AL35" i="27"/>
  <c r="AN35" i="27"/>
  <c r="AE35" i="27"/>
  <c r="AC36" i="27"/>
  <c r="AP51" i="27"/>
  <c r="J50" i="27"/>
  <c r="BA50" i="27"/>
  <c r="K50" i="27"/>
  <c r="BB50" i="27"/>
  <c r="M20" i="9" l="1"/>
  <c r="K76" i="9"/>
  <c r="K66" i="9"/>
  <c r="K75" i="9"/>
  <c r="K69" i="9"/>
  <c r="M12" i="9"/>
  <c r="K74" i="9"/>
  <c r="M22" i="9"/>
  <c r="J43" i="15"/>
  <c r="N43" i="15" s="1"/>
  <c r="AB90" i="31" s="1"/>
  <c r="AL24" i="15"/>
  <c r="Q76" i="9"/>
  <c r="V143" i="31" s="1"/>
  <c r="M17" i="9"/>
  <c r="K73" i="9"/>
  <c r="Q140" i="31"/>
  <c r="Q142" i="31"/>
  <c r="Q74" i="9"/>
  <c r="U74" i="9" s="1"/>
  <c r="Q70" i="9"/>
  <c r="V137" i="31" s="1"/>
  <c r="K71" i="9"/>
  <c r="Q73" i="9"/>
  <c r="V140" i="31" s="1"/>
  <c r="Q71" i="9"/>
  <c r="V138" i="31" s="1"/>
  <c r="Q65" i="9"/>
  <c r="V131" i="31" s="1"/>
  <c r="U68" i="9"/>
  <c r="Q72" i="9"/>
  <c r="U72" i="9" s="1"/>
  <c r="G63" i="9"/>
  <c r="Q129" i="31" s="1"/>
  <c r="Q64" i="9"/>
  <c r="V130" i="31" s="1"/>
  <c r="P42" i="15"/>
  <c r="AD89" i="31" s="1"/>
  <c r="K43" i="15"/>
  <c r="O43" i="15" s="1"/>
  <c r="AC90" i="31" s="1"/>
  <c r="S23" i="15"/>
  <c r="T23" i="15" s="1"/>
  <c r="AK24" i="15"/>
  <c r="S24" i="15"/>
  <c r="T24" i="15" s="1"/>
  <c r="Q134" i="31"/>
  <c r="M13" i="9"/>
  <c r="Q19" i="46"/>
  <c r="AA15" i="49" s="1"/>
  <c r="P19" i="46"/>
  <c r="P18" i="46"/>
  <c r="Z14" i="49" s="1"/>
  <c r="Q18" i="46"/>
  <c r="AA14" i="49" s="1"/>
  <c r="P20" i="46"/>
  <c r="Q20" i="46"/>
  <c r="AA16" i="49" s="1"/>
  <c r="P28" i="19"/>
  <c r="AG26" i="19" s="1"/>
  <c r="M10" i="9"/>
  <c r="Q130" i="31"/>
  <c r="AA25" i="32"/>
  <c r="AA24" i="32"/>
  <c r="Z25" i="32"/>
  <c r="Z23" i="32"/>
  <c r="AA23" i="32"/>
  <c r="Y24" i="32"/>
  <c r="AA21" i="32"/>
  <c r="AA22" i="32"/>
  <c r="Z21" i="32"/>
  <c r="Z22" i="32"/>
  <c r="CD22" i="22"/>
  <c r="I15" i="22" s="1"/>
  <c r="L250" i="38" s="1"/>
  <c r="R79" i="46"/>
  <c r="U18" i="36"/>
  <c r="X18" i="36" s="1"/>
  <c r="Y18" i="36" s="1"/>
  <c r="R78" i="46"/>
  <c r="P61" i="46"/>
  <c r="Q61" i="46"/>
  <c r="U87" i="46"/>
  <c r="X87" i="46" s="1"/>
  <c r="Q60" i="46"/>
  <c r="P60" i="46"/>
  <c r="Q59" i="46"/>
  <c r="P59" i="46"/>
  <c r="AB26" i="4"/>
  <c r="L91" i="26" s="1"/>
  <c r="R91" i="26" s="1"/>
  <c r="Y91" i="26" s="1"/>
  <c r="J247" i="38"/>
  <c r="Q247" i="38" s="1"/>
  <c r="Q81" i="46"/>
  <c r="CC22" i="22"/>
  <c r="K15" i="22" s="1"/>
  <c r="O250" i="38" s="1"/>
  <c r="X19" i="9"/>
  <c r="AI21" i="9" s="1"/>
  <c r="W19" i="9"/>
  <c r="Z15" i="45"/>
  <c r="X20" i="9"/>
  <c r="AH22" i="9" s="1"/>
  <c r="W20" i="9"/>
  <c r="X21" i="9"/>
  <c r="P14" i="25"/>
  <c r="AN23" i="9"/>
  <c r="AM23" i="9"/>
  <c r="AG23" i="9"/>
  <c r="AF23" i="9"/>
  <c r="W13" i="9"/>
  <c r="K67" i="9"/>
  <c r="K68" i="9"/>
  <c r="K72" i="9"/>
  <c r="Q46" i="46"/>
  <c r="CC25" i="22"/>
  <c r="CC26" i="22"/>
  <c r="CD25" i="22"/>
  <c r="CD26" i="22"/>
  <c r="T35" i="24"/>
  <c r="M18" i="9"/>
  <c r="CA22" i="22"/>
  <c r="G15" i="22" s="1"/>
  <c r="J250" i="38" s="1"/>
  <c r="I33" i="25"/>
  <c r="CA25" i="22"/>
  <c r="CA26" i="22"/>
  <c r="Q48" i="46"/>
  <c r="Q15" i="45"/>
  <c r="S15" i="45" s="1"/>
  <c r="X16" i="9"/>
  <c r="AP18" i="9" s="1"/>
  <c r="W16" i="9"/>
  <c r="Q50" i="16"/>
  <c r="Q52" i="16" s="1"/>
  <c r="E30" i="28" s="1"/>
  <c r="P15" i="25"/>
  <c r="P13" i="25"/>
  <c r="S13" i="25" s="1"/>
  <c r="T13" i="25" s="1"/>
  <c r="T28" i="4"/>
  <c r="P9" i="25"/>
  <c r="V136" i="31"/>
  <c r="P29" i="4"/>
  <c r="N44" i="4" s="1"/>
  <c r="T29" i="4"/>
  <c r="P31" i="4"/>
  <c r="O46" i="4" s="1"/>
  <c r="T31" i="4"/>
  <c r="P33" i="4"/>
  <c r="T33" i="4"/>
  <c r="P32" i="4"/>
  <c r="O47" i="4" s="1"/>
  <c r="T32" i="4"/>
  <c r="P34" i="4"/>
  <c r="N49" i="4" s="1"/>
  <c r="T34" i="4"/>
  <c r="P30" i="4"/>
  <c r="N45" i="4" s="1"/>
  <c r="T30" i="4"/>
  <c r="P35" i="4"/>
  <c r="N50" i="4" s="1"/>
  <c r="T35" i="4"/>
  <c r="P28" i="4"/>
  <c r="N43" i="4" s="1"/>
  <c r="K48" i="4"/>
  <c r="M48" i="4" s="1"/>
  <c r="W10" i="9"/>
  <c r="Q39" i="46"/>
  <c r="W39" i="46" s="1"/>
  <c r="R48" i="46"/>
  <c r="W48" i="46"/>
  <c r="U63" i="9"/>
  <c r="V129" i="31"/>
  <c r="V132" i="31"/>
  <c r="U69" i="9"/>
  <c r="X15" i="9" s="1"/>
  <c r="AI19" i="9"/>
  <c r="AH19" i="9"/>
  <c r="AP19" i="9"/>
  <c r="Y17" i="9"/>
  <c r="AO19" i="9"/>
  <c r="U88" i="46"/>
  <c r="X88" i="46" s="1"/>
  <c r="N29" i="46"/>
  <c r="I125" i="26" s="1"/>
  <c r="D22" i="29"/>
  <c r="L22" i="29" s="1"/>
  <c r="R46" i="46"/>
  <c r="I48" i="19"/>
  <c r="K48" i="19" s="1"/>
  <c r="AH31" i="19" s="1"/>
  <c r="M29" i="46"/>
  <c r="I105" i="26" s="1"/>
  <c r="Q38" i="46"/>
  <c r="W38" i="46" s="1"/>
  <c r="AA50" i="16"/>
  <c r="AA52" i="16" s="1"/>
  <c r="N30" i="26" s="1"/>
  <c r="R30" i="26" s="1"/>
  <c r="P38" i="46"/>
  <c r="V38" i="46" s="1"/>
  <c r="X44" i="35"/>
  <c r="K44" i="35" s="1"/>
  <c r="R129" i="35" s="1"/>
  <c r="E129" i="35" s="1"/>
  <c r="L129" i="35" s="1"/>
  <c r="H35" i="15"/>
  <c r="P39" i="46"/>
  <c r="V39" i="46" s="1"/>
  <c r="T41" i="16"/>
  <c r="T50" i="16" s="1"/>
  <c r="T52" i="16" s="1"/>
  <c r="Y15" i="45"/>
  <c r="H38" i="36"/>
  <c r="AF90" i="47"/>
  <c r="L101" i="47"/>
  <c r="W101" i="47"/>
  <c r="J151" i="47" s="1"/>
  <c r="J160" i="47" s="1"/>
  <c r="J101" i="47"/>
  <c r="U101" i="47" s="1"/>
  <c r="AE90" i="47"/>
  <c r="N120" i="26"/>
  <c r="U120" i="26" s="1"/>
  <c r="N100" i="26"/>
  <c r="U100" i="26" s="1"/>
  <c r="U86" i="46"/>
  <c r="X86" i="46" s="1"/>
  <c r="W46" i="46"/>
  <c r="F235" i="37"/>
  <c r="D24" i="45" s="1"/>
  <c r="M24" i="45" s="1"/>
  <c r="F35" i="49"/>
  <c r="P132" i="49"/>
  <c r="P148" i="49" s="1"/>
  <c r="T125" i="49"/>
  <c r="N132" i="49"/>
  <c r="N148" i="49" s="1"/>
  <c r="R125" i="49"/>
  <c r="W47" i="46"/>
  <c r="R47" i="46"/>
  <c r="Q47" i="46"/>
  <c r="BS38" i="22"/>
  <c r="F31" i="22" s="1"/>
  <c r="I263" i="38" s="1"/>
  <c r="Q37" i="46"/>
  <c r="W37" i="46" s="1"/>
  <c r="R77" i="46"/>
  <c r="P81" i="46"/>
  <c r="V37" i="46"/>
  <c r="Q29" i="46"/>
  <c r="P29" i="46"/>
  <c r="O59" i="46"/>
  <c r="O70" i="46"/>
  <c r="Q70" i="46"/>
  <c r="P70" i="46"/>
  <c r="BW38" i="22"/>
  <c r="J31" i="22" s="1"/>
  <c r="N263" i="38" s="1"/>
  <c r="BX38" i="22"/>
  <c r="O60" i="46"/>
  <c r="O71" i="46"/>
  <c r="Q71" i="46"/>
  <c r="P71" i="46"/>
  <c r="BT38" i="22"/>
  <c r="G31" i="22" s="1"/>
  <c r="J263" i="38" s="1"/>
  <c r="O69" i="46"/>
  <c r="Q69" i="46"/>
  <c r="P69" i="46"/>
  <c r="BU38" i="22"/>
  <c r="H31" i="22" s="1"/>
  <c r="K263" i="38" s="1"/>
  <c r="V51" i="46"/>
  <c r="H13" i="22"/>
  <c r="M13" i="22" s="1"/>
  <c r="BV38" i="22"/>
  <c r="K14" i="22"/>
  <c r="O249" i="38" s="1"/>
  <c r="AI16" i="15"/>
  <c r="AE16" i="15"/>
  <c r="O61" i="46"/>
  <c r="W86" i="46"/>
  <c r="W89" i="46" s="1"/>
  <c r="S90" i="46"/>
  <c r="W30" i="36"/>
  <c r="U21" i="47"/>
  <c r="U24" i="47" s="1"/>
  <c r="P39" i="47" s="1"/>
  <c r="J13" i="47"/>
  <c r="N25" i="47" s="1"/>
  <c r="Q84" i="26"/>
  <c r="X84" i="26" s="1"/>
  <c r="K28" i="38"/>
  <c r="AC15" i="47"/>
  <c r="AB15" i="47"/>
  <c r="AB17" i="47"/>
  <c r="AD14" i="47"/>
  <c r="AB18" i="47"/>
  <c r="AC17" i="47"/>
  <c r="AC18" i="47"/>
  <c r="AC16" i="47"/>
  <c r="AB16" i="47"/>
  <c r="AF30" i="19"/>
  <c r="J47" i="19"/>
  <c r="L47" i="19" s="1"/>
  <c r="AI30" i="19" s="1"/>
  <c r="AF31" i="19"/>
  <c r="J48" i="19"/>
  <c r="L48" i="19" s="1"/>
  <c r="AI31" i="19" s="1"/>
  <c r="AG31" i="19"/>
  <c r="E59" i="27"/>
  <c r="E70" i="26" s="1"/>
  <c r="E92" i="26" s="1"/>
  <c r="E112" i="26" s="1"/>
  <c r="I47" i="19"/>
  <c r="K47" i="19" s="1"/>
  <c r="AH30" i="19" s="1"/>
  <c r="F45" i="46"/>
  <c r="R28" i="27"/>
  <c r="S28" i="27"/>
  <c r="Q28" i="27"/>
  <c r="S31" i="27"/>
  <c r="R31" i="27"/>
  <c r="Q31" i="27"/>
  <c r="S34" i="27"/>
  <c r="R34" i="27"/>
  <c r="Q34" i="27"/>
  <c r="X34" i="27"/>
  <c r="W34" i="27"/>
  <c r="R29" i="27"/>
  <c r="S29" i="27"/>
  <c r="Q29" i="27"/>
  <c r="M47" i="19"/>
  <c r="AK30" i="19"/>
  <c r="N47" i="19"/>
  <c r="AK26" i="19"/>
  <c r="N43" i="19"/>
  <c r="M43" i="19"/>
  <c r="AJ26" i="19"/>
  <c r="I49" i="19"/>
  <c r="J49" i="19"/>
  <c r="AF32" i="19"/>
  <c r="AG32" i="19"/>
  <c r="AJ32" i="19"/>
  <c r="N49" i="19"/>
  <c r="AK32" i="19"/>
  <c r="M49" i="19"/>
  <c r="AC26" i="4"/>
  <c r="L111" i="26" s="1"/>
  <c r="R111" i="26" s="1"/>
  <c r="Y111" i="26" s="1"/>
  <c r="AG27" i="4"/>
  <c r="Q82" i="26"/>
  <c r="X82" i="26" s="1"/>
  <c r="I45" i="19"/>
  <c r="K45" i="19" s="1"/>
  <c r="AG28" i="19"/>
  <c r="J45" i="19"/>
  <c r="L45" i="19" s="1"/>
  <c r="AF28" i="19"/>
  <c r="J49" i="4"/>
  <c r="L49" i="4" s="1"/>
  <c r="K49" i="4"/>
  <c r="J46" i="4"/>
  <c r="L46" i="4" s="1"/>
  <c r="K46" i="4"/>
  <c r="M46" i="4" s="1"/>
  <c r="K45" i="4"/>
  <c r="J45" i="4"/>
  <c r="L45" i="4" s="1"/>
  <c r="J50" i="4"/>
  <c r="L50" i="4" s="1"/>
  <c r="K50" i="4"/>
  <c r="J47" i="4"/>
  <c r="K47" i="4"/>
  <c r="T90" i="5"/>
  <c r="A939" i="7"/>
  <c r="C33" i="5"/>
  <c r="K131" i="35" s="1"/>
  <c r="H34" i="5"/>
  <c r="K135" i="35" s="1"/>
  <c r="C32" i="5"/>
  <c r="K130" i="35" s="1"/>
  <c r="C34" i="5"/>
  <c r="K132" i="35" s="1"/>
  <c r="H33" i="5"/>
  <c r="K134" i="35" s="1"/>
  <c r="K44" i="4"/>
  <c r="J44" i="4"/>
  <c r="R35" i="15"/>
  <c r="AK16" i="15"/>
  <c r="L35" i="15"/>
  <c r="AI35" i="15" s="1"/>
  <c r="AO16" i="15"/>
  <c r="AG35" i="15"/>
  <c r="J35" i="15"/>
  <c r="L31" i="10"/>
  <c r="L39" i="10"/>
  <c r="AF39" i="10" s="1"/>
  <c r="L32" i="10"/>
  <c r="L40" i="10"/>
  <c r="N40" i="10" s="1"/>
  <c r="AG29" i="35" s="1"/>
  <c r="K34" i="10"/>
  <c r="AE34" i="10" s="1"/>
  <c r="L33" i="10"/>
  <c r="N33" i="10" s="1"/>
  <c r="L41" i="10"/>
  <c r="AF41" i="10" s="1"/>
  <c r="K35" i="10"/>
  <c r="AE35" i="10" s="1"/>
  <c r="L34" i="10"/>
  <c r="N34" i="10" s="1"/>
  <c r="AG23" i="35" s="1"/>
  <c r="L42" i="10"/>
  <c r="N42" i="10" s="1"/>
  <c r="AG31" i="35" s="1"/>
  <c r="K36" i="10"/>
  <c r="M36" i="10" s="1"/>
  <c r="AF25" i="35" s="1"/>
  <c r="L35" i="10"/>
  <c r="AF35" i="10" s="1"/>
  <c r="L29" i="10"/>
  <c r="N29" i="10" s="1"/>
  <c r="AG13" i="35" s="1"/>
  <c r="K37" i="10"/>
  <c r="M37" i="10" s="1"/>
  <c r="AF26" i="35" s="1"/>
  <c r="L36" i="10"/>
  <c r="N36" i="10" s="1"/>
  <c r="K30" i="10"/>
  <c r="M30" i="10" s="1"/>
  <c r="AF14" i="35" s="1"/>
  <c r="K38" i="10"/>
  <c r="M38" i="10" s="1"/>
  <c r="AF27" i="35" s="1"/>
  <c r="L37" i="10"/>
  <c r="N37" i="10" s="1"/>
  <c r="AG26" i="35" s="1"/>
  <c r="K31" i="10"/>
  <c r="AE31" i="10" s="1"/>
  <c r="K39" i="10"/>
  <c r="M39" i="10" s="1"/>
  <c r="AF28" i="35" s="1"/>
  <c r="K33" i="10"/>
  <c r="M33" i="10" s="1"/>
  <c r="AF22" i="35" s="1"/>
  <c r="K42" i="10"/>
  <c r="AE42" i="10" s="1"/>
  <c r="L30" i="10"/>
  <c r="AF30" i="10" s="1"/>
  <c r="L38" i="10"/>
  <c r="AF38" i="10" s="1"/>
  <c r="K32" i="10"/>
  <c r="K40" i="10"/>
  <c r="AE40" i="10" s="1"/>
  <c r="K41" i="10"/>
  <c r="AE41" i="10" s="1"/>
  <c r="K29" i="10"/>
  <c r="AE29" i="10" s="1"/>
  <c r="AN16" i="15"/>
  <c r="U11" i="37"/>
  <c r="M69" i="37"/>
  <c r="H240" i="37"/>
  <c r="H246" i="37" s="1"/>
  <c r="AA223" i="37"/>
  <c r="AA233" i="37" s="1"/>
  <c r="M233" i="37"/>
  <c r="M240" i="37" s="1"/>
  <c r="L246" i="37" s="1"/>
  <c r="P246" i="37" s="1"/>
  <c r="U246" i="37" s="1"/>
  <c r="R233" i="37"/>
  <c r="F240" i="37"/>
  <c r="F246" i="37" s="1"/>
  <c r="Y223" i="37"/>
  <c r="Y233" i="37" s="1"/>
  <c r="L233" i="37"/>
  <c r="L240" i="37" s="1"/>
  <c r="K246" i="37" s="1"/>
  <c r="W11" i="37"/>
  <c r="Q69" i="37"/>
  <c r="M14" i="29"/>
  <c r="P14" i="29" s="1"/>
  <c r="N14" i="29"/>
  <c r="Q14" i="29" s="1"/>
  <c r="N15" i="29"/>
  <c r="Q15" i="29" s="1"/>
  <c r="M15" i="29"/>
  <c r="P15" i="29" s="1"/>
  <c r="S14" i="45"/>
  <c r="S16" i="45"/>
  <c r="A810" i="7"/>
  <c r="C31" i="45"/>
  <c r="C30" i="29"/>
  <c r="N13" i="29"/>
  <c r="L13" i="29"/>
  <c r="Y13" i="29" s="1"/>
  <c r="L23" i="45"/>
  <c r="M23" i="45"/>
  <c r="N23" i="45"/>
  <c r="N12" i="45"/>
  <c r="M12" i="45"/>
  <c r="P12" i="45" s="1"/>
  <c r="H42" i="44"/>
  <c r="H73" i="44" s="1"/>
  <c r="I106" i="26" s="1"/>
  <c r="G106" i="26" s="1"/>
  <c r="L42" i="44"/>
  <c r="L73" i="44" s="1"/>
  <c r="M42" i="44"/>
  <c r="M73" i="44" s="1"/>
  <c r="I42" i="44"/>
  <c r="I73" i="44" s="1"/>
  <c r="X78" i="31"/>
  <c r="AM16" i="15"/>
  <c r="I35" i="15"/>
  <c r="AH35" i="15"/>
  <c r="AH16" i="15"/>
  <c r="M35" i="15"/>
  <c r="AJ35" i="15" s="1"/>
  <c r="AL16" i="15"/>
  <c r="AF16" i="15"/>
  <c r="AP16" i="15"/>
  <c r="S35" i="15"/>
  <c r="K35" i="15"/>
  <c r="H30" i="22"/>
  <c r="K262" i="38" s="1"/>
  <c r="V31" i="25"/>
  <c r="V48" i="25" s="1"/>
  <c r="J99" i="38" s="1"/>
  <c r="AD14" i="25"/>
  <c r="U31" i="25"/>
  <c r="U48" i="25" s="1"/>
  <c r="H99" i="38" s="1"/>
  <c r="X14" i="25"/>
  <c r="L94" i="26" s="1"/>
  <c r="Y14" i="25"/>
  <c r="L114" i="26" s="1"/>
  <c r="Z78" i="31"/>
  <c r="Y15" i="25"/>
  <c r="K114" i="26" s="1"/>
  <c r="X15" i="25"/>
  <c r="K94" i="26" s="1"/>
  <c r="M29" i="22"/>
  <c r="T88" i="5"/>
  <c r="T32" i="15"/>
  <c r="T91" i="5"/>
  <c r="O32" i="15"/>
  <c r="AC75" i="31" s="1"/>
  <c r="K233" i="31"/>
  <c r="F253" i="31"/>
  <c r="I253" i="31" s="1"/>
  <c r="K253" i="31" s="1"/>
  <c r="P253" i="31" s="1"/>
  <c r="U253" i="31" s="1"/>
  <c r="T32" i="24"/>
  <c r="T89" i="5"/>
  <c r="X82" i="31"/>
  <c r="AB74" i="31"/>
  <c r="AB82" i="31" s="1"/>
  <c r="H31" i="25"/>
  <c r="CI22" i="22"/>
  <c r="CJ22" i="22"/>
  <c r="CH22" i="22"/>
  <c r="CK22" i="22"/>
  <c r="R52" i="16"/>
  <c r="I30" i="28" s="1"/>
  <c r="I123" i="26"/>
  <c r="CG22" i="22"/>
  <c r="CH35" i="22"/>
  <c r="CH36" i="22"/>
  <c r="CG35" i="22"/>
  <c r="CK35" i="22"/>
  <c r="CI35" i="22"/>
  <c r="CG36" i="22"/>
  <c r="CK36" i="22"/>
  <c r="CI36" i="22"/>
  <c r="CJ25" i="22"/>
  <c r="CG37" i="22"/>
  <c r="CJ36" i="22"/>
  <c r="CJ35" i="22"/>
  <c r="CI37" i="22"/>
  <c r="CJ37" i="22"/>
  <c r="CL35" i="22"/>
  <c r="CL37" i="22"/>
  <c r="CH37" i="22"/>
  <c r="CK37" i="22"/>
  <c r="CL36" i="22"/>
  <c r="CH30" i="22"/>
  <c r="CL28" i="22"/>
  <c r="CJ32" i="22"/>
  <c r="CG33" i="22"/>
  <c r="CJ33" i="22"/>
  <c r="CJ27" i="22"/>
  <c r="CI29" i="22"/>
  <c r="CI26" i="22"/>
  <c r="CL31" i="22"/>
  <c r="CI27" i="22"/>
  <c r="CK29" i="22"/>
  <c r="CG34" i="22"/>
  <c r="CH34" i="22"/>
  <c r="CI34" i="22"/>
  <c r="CJ31" i="22"/>
  <c r="CK25" i="22"/>
  <c r="CI28" i="22"/>
  <c r="CG25" i="22"/>
  <c r="CH31" i="22"/>
  <c r="CH27" i="22"/>
  <c r="CH28" i="22"/>
  <c r="CK33" i="22"/>
  <c r="CH25" i="22"/>
  <c r="CL25" i="22"/>
  <c r="CK30" i="22"/>
  <c r="CI30" i="22"/>
  <c r="CH32" i="22"/>
  <c r="CH33" i="22"/>
  <c r="CJ28" i="22"/>
  <c r="CL34" i="22"/>
  <c r="CJ29" i="22"/>
  <c r="CK31" i="22"/>
  <c r="CK27" i="22"/>
  <c r="CG29" i="22"/>
  <c r="CK32" i="22"/>
  <c r="CI25" i="22"/>
  <c r="CI33" i="22"/>
  <c r="CH29" i="22"/>
  <c r="CG31" i="22"/>
  <c r="CG28" i="22"/>
  <c r="CG30" i="22"/>
  <c r="CJ30" i="22"/>
  <c r="CL30" i="22"/>
  <c r="CI31" i="22"/>
  <c r="CK26" i="22"/>
  <c r="CH26" i="22"/>
  <c r="CG32" i="22"/>
  <c r="CJ26" i="22"/>
  <c r="CL32" i="22"/>
  <c r="CL29" i="22"/>
  <c r="CL33" i="22"/>
  <c r="CK28" i="22"/>
  <c r="CG26" i="22"/>
  <c r="CL27" i="22"/>
  <c r="CJ34" i="22"/>
  <c r="CG27" i="22"/>
  <c r="CK34" i="22"/>
  <c r="CI32" i="22"/>
  <c r="CL26" i="22"/>
  <c r="Y17" i="36"/>
  <c r="CL22" i="22"/>
  <c r="J16" i="22" s="1"/>
  <c r="N251" i="38" s="1"/>
  <c r="J43" i="4"/>
  <c r="K43" i="4"/>
  <c r="O33" i="24"/>
  <c r="X45" i="31" s="1"/>
  <c r="T33" i="24"/>
  <c r="N32" i="15"/>
  <c r="AB75" i="31" s="1"/>
  <c r="P12" i="25"/>
  <c r="H32" i="25"/>
  <c r="P10" i="25"/>
  <c r="P11" i="25"/>
  <c r="I34" i="25"/>
  <c r="N37" i="9"/>
  <c r="Z16" i="31" s="1"/>
  <c r="Q246" i="38"/>
  <c r="E77" i="38"/>
  <c r="K7" i="28"/>
  <c r="N33" i="15"/>
  <c r="AB76" i="31" s="1"/>
  <c r="Q260" i="38"/>
  <c r="AJ33" i="15"/>
  <c r="O33" i="15"/>
  <c r="K9" i="26"/>
  <c r="E79" i="38"/>
  <c r="K9" i="28"/>
  <c r="T33" i="15"/>
  <c r="W33" i="27"/>
  <c r="L49" i="27" s="1"/>
  <c r="AF11" i="24"/>
  <c r="L181" i="31"/>
  <c r="L186" i="31"/>
  <c r="AF18" i="24"/>
  <c r="AG19" i="24"/>
  <c r="J44" i="24"/>
  <c r="N44" i="24" s="1"/>
  <c r="W60" i="31" s="1"/>
  <c r="K44" i="24"/>
  <c r="O44" i="24" s="1"/>
  <c r="X60" i="31" s="1"/>
  <c r="AF23" i="24"/>
  <c r="M12" i="24"/>
  <c r="AG11" i="24"/>
  <c r="X30" i="27"/>
  <c r="M46" i="27" s="1"/>
  <c r="M19" i="24"/>
  <c r="AF20" i="24" s="1"/>
  <c r="AG17" i="24"/>
  <c r="J33" i="24"/>
  <c r="N33" i="24" s="1"/>
  <c r="W45" i="31" s="1"/>
  <c r="AF22" i="24"/>
  <c r="AG22" i="24"/>
  <c r="AF19" i="24"/>
  <c r="K43" i="24"/>
  <c r="O43" i="24" s="1"/>
  <c r="P43" i="24" s="1"/>
  <c r="Z59" i="31" s="1"/>
  <c r="L182" i="31"/>
  <c r="X33" i="27"/>
  <c r="M49" i="27" s="1"/>
  <c r="J45" i="24"/>
  <c r="N45" i="24" s="1"/>
  <c r="W61" i="31" s="1"/>
  <c r="K40" i="24"/>
  <c r="O40" i="24" s="1"/>
  <c r="X56" i="31" s="1"/>
  <c r="X29" i="27"/>
  <c r="AI44" i="27" s="1"/>
  <c r="AR22" i="10"/>
  <c r="K99" i="26" s="1"/>
  <c r="X99" i="26" s="1"/>
  <c r="L185" i="31"/>
  <c r="W30" i="27"/>
  <c r="AH45" i="27" s="1"/>
  <c r="J38" i="24"/>
  <c r="N38" i="24" s="1"/>
  <c r="W54" i="31" s="1"/>
  <c r="K38" i="24"/>
  <c r="O38" i="24" s="1"/>
  <c r="X54" i="31" s="1"/>
  <c r="L180" i="31"/>
  <c r="AS14" i="10"/>
  <c r="AS22" i="10"/>
  <c r="K119" i="26" s="1"/>
  <c r="X119" i="26" s="1"/>
  <c r="AS21" i="10"/>
  <c r="L119" i="26" s="1"/>
  <c r="R119" i="26" s="1"/>
  <c r="AR21" i="10"/>
  <c r="L99" i="26" s="1"/>
  <c r="R99" i="26" s="1"/>
  <c r="AS13" i="10"/>
  <c r="W28" i="27"/>
  <c r="L44" i="27" s="1"/>
  <c r="AR14" i="10"/>
  <c r="K26" i="26" s="1"/>
  <c r="Q77" i="26" s="1"/>
  <c r="J32" i="24"/>
  <c r="N32" i="24" s="1"/>
  <c r="W44" i="31" s="1"/>
  <c r="J39" i="24"/>
  <c r="N39" i="24" s="1"/>
  <c r="W55" i="31" s="1"/>
  <c r="L173" i="31"/>
  <c r="AF10" i="24"/>
  <c r="AG18" i="24"/>
  <c r="K32" i="24"/>
  <c r="O32" i="24" s="1"/>
  <c r="AR13" i="10"/>
  <c r="L26" i="26" s="1"/>
  <c r="Y77" i="26" s="1"/>
  <c r="M13" i="24"/>
  <c r="AF13" i="24" s="1"/>
  <c r="W31" i="27"/>
  <c r="L47" i="27" s="1"/>
  <c r="M15" i="24"/>
  <c r="J37" i="24" s="1"/>
  <c r="N37" i="24" s="1"/>
  <c r="W53" i="31" s="1"/>
  <c r="L174" i="31"/>
  <c r="M14" i="24"/>
  <c r="AG15" i="24" s="1"/>
  <c r="X28" i="27"/>
  <c r="M44" i="27" s="1"/>
  <c r="M20" i="24"/>
  <c r="AF21" i="24" s="1"/>
  <c r="W29" i="27"/>
  <c r="L45" i="27" s="1"/>
  <c r="X31" i="27"/>
  <c r="AI46" i="27" s="1"/>
  <c r="AG21" i="35"/>
  <c r="AG44" i="35" s="1"/>
  <c r="T44" i="35"/>
  <c r="P44" i="35"/>
  <c r="R44" i="35"/>
  <c r="Y9" i="36"/>
  <c r="AD11" i="47" s="1"/>
  <c r="AD37" i="47" s="1"/>
  <c r="AA32" i="37"/>
  <c r="T96" i="5"/>
  <c r="T99" i="5"/>
  <c r="T23" i="5"/>
  <c r="T98" i="5"/>
  <c r="R100" i="5"/>
  <c r="Q100" i="5"/>
  <c r="AI100" i="5"/>
  <c r="T63" i="5"/>
  <c r="D47" i="5"/>
  <c r="N47" i="5" s="1"/>
  <c r="E47" i="5"/>
  <c r="O47" i="5" s="1"/>
  <c r="E40" i="5"/>
  <c r="O40" i="5" s="1"/>
  <c r="D40" i="5"/>
  <c r="N40" i="5" s="1"/>
  <c r="D48" i="5"/>
  <c r="N48" i="5" s="1"/>
  <c r="E48" i="5"/>
  <c r="O48" i="5" s="1"/>
  <c r="D43" i="5"/>
  <c r="N43" i="5" s="1"/>
  <c r="E43" i="5"/>
  <c r="O43" i="5" s="1"/>
  <c r="D45" i="5"/>
  <c r="N45" i="5" s="1"/>
  <c r="E45" i="5"/>
  <c r="O45" i="5" s="1"/>
  <c r="T64" i="5"/>
  <c r="P131" i="35"/>
  <c r="P136" i="35"/>
  <c r="P132" i="35"/>
  <c r="P134" i="35"/>
  <c r="AI47" i="27"/>
  <c r="M48" i="27"/>
  <c r="AH47" i="27"/>
  <c r="L48" i="27"/>
  <c r="X55" i="31"/>
  <c r="X61" i="31"/>
  <c r="J51" i="27"/>
  <c r="N51" i="27" s="1"/>
  <c r="AC37" i="27"/>
  <c r="AP52" i="27"/>
  <c r="AN36" i="27"/>
  <c r="AE36" i="27"/>
  <c r="AM52" i="27"/>
  <c r="AL36" i="27"/>
  <c r="AB36" i="27"/>
  <c r="BB51" i="27"/>
  <c r="K51" i="27"/>
  <c r="O51" i="27" s="1"/>
  <c r="U73" i="9" l="1"/>
  <c r="U76" i="9"/>
  <c r="X22" i="9" s="1"/>
  <c r="U71" i="9"/>
  <c r="M9" i="9"/>
  <c r="P43" i="15"/>
  <c r="AD90" i="31" s="1"/>
  <c r="U70" i="9"/>
  <c r="U65" i="9"/>
  <c r="AK26" i="15"/>
  <c r="J45" i="15"/>
  <c r="N45" i="15" s="1"/>
  <c r="AB92" i="31" s="1"/>
  <c r="K45" i="15"/>
  <c r="O45" i="15" s="1"/>
  <c r="AL26" i="15"/>
  <c r="K63" i="9"/>
  <c r="V139" i="31"/>
  <c r="V141" i="31"/>
  <c r="U64" i="9"/>
  <c r="X9" i="9"/>
  <c r="AH11" i="9" s="1"/>
  <c r="AH17" i="9"/>
  <c r="AP17" i="9"/>
  <c r="AO17" i="9"/>
  <c r="AI17" i="9"/>
  <c r="Y15" i="9"/>
  <c r="J40" i="9" s="1"/>
  <c r="L40" i="9" s="1"/>
  <c r="W24" i="31" s="1"/>
  <c r="X10" i="9"/>
  <c r="Y10" i="9" s="1"/>
  <c r="X13" i="9"/>
  <c r="Y13" i="9" s="1"/>
  <c r="J38" i="9" s="1"/>
  <c r="L38" i="9" s="1"/>
  <c r="J44" i="15"/>
  <c r="N44" i="15" s="1"/>
  <c r="AB91" i="31" s="1"/>
  <c r="K44" i="15"/>
  <c r="O44" i="15" s="1"/>
  <c r="AC91" i="31" s="1"/>
  <c r="AL25" i="15"/>
  <c r="AK25" i="15"/>
  <c r="R19" i="46"/>
  <c r="J43" i="19"/>
  <c r="L43" i="19" s="1"/>
  <c r="AI26" i="19" s="1"/>
  <c r="AF26" i="19"/>
  <c r="I43" i="19"/>
  <c r="K43" i="19" s="1"/>
  <c r="AH26" i="19" s="1"/>
  <c r="I103" i="26"/>
  <c r="N103" i="26" s="1"/>
  <c r="U103" i="26" s="1"/>
  <c r="X30" i="36"/>
  <c r="Q135" i="31"/>
  <c r="Y20" i="9"/>
  <c r="J45" i="9" s="1"/>
  <c r="AP21" i="9"/>
  <c r="CD38" i="22"/>
  <c r="I32" i="22" s="1"/>
  <c r="L264" i="38" s="1"/>
  <c r="R81" i="46"/>
  <c r="S11" i="25"/>
  <c r="T11" i="25" s="1"/>
  <c r="Z15" i="49"/>
  <c r="AB15" i="49" s="1"/>
  <c r="S10" i="25"/>
  <c r="T10" i="25" s="1"/>
  <c r="J32" i="25"/>
  <c r="J31" i="25"/>
  <c r="S9" i="25"/>
  <c r="T9" i="25" s="1"/>
  <c r="S12" i="25"/>
  <c r="T12" i="25" s="1"/>
  <c r="K34" i="25"/>
  <c r="U35" i="4"/>
  <c r="P50" i="4" s="1"/>
  <c r="R50" i="4" s="1"/>
  <c r="R19" i="30" s="1"/>
  <c r="AH15" i="4"/>
  <c r="AI15" i="4"/>
  <c r="U33" i="4"/>
  <c r="P48" i="4" s="1"/>
  <c r="AI13" i="4"/>
  <c r="AH13" i="4"/>
  <c r="AI8" i="4"/>
  <c r="U28" i="4"/>
  <c r="P43" i="4" s="1"/>
  <c r="AH8" i="4"/>
  <c r="AI22" i="9"/>
  <c r="AP22" i="9"/>
  <c r="U30" i="4"/>
  <c r="Q45" i="4" s="1"/>
  <c r="AH10" i="4"/>
  <c r="AI10" i="4"/>
  <c r="U31" i="4"/>
  <c r="Q46" i="4" s="1"/>
  <c r="S46" i="4" s="1"/>
  <c r="S15" i="30" s="1"/>
  <c r="AI11" i="4"/>
  <c r="AH11" i="4"/>
  <c r="U34" i="4"/>
  <c r="Q49" i="4" s="1"/>
  <c r="AI14" i="4"/>
  <c r="AH14" i="4"/>
  <c r="AO22" i="9"/>
  <c r="U32" i="4"/>
  <c r="P47" i="4" s="1"/>
  <c r="AH12" i="4"/>
  <c r="AI12" i="4"/>
  <c r="AI9" i="4"/>
  <c r="AH9" i="4"/>
  <c r="U29" i="4"/>
  <c r="Q44" i="4" s="1"/>
  <c r="L35" i="25"/>
  <c r="M35" i="25"/>
  <c r="K37" i="25"/>
  <c r="S15" i="25"/>
  <c r="T15" i="25" s="1"/>
  <c r="AA15" i="25"/>
  <c r="S14" i="25"/>
  <c r="T14" i="25" s="1"/>
  <c r="AH21" i="9"/>
  <c r="Y19" i="9"/>
  <c r="J44" i="9" s="1"/>
  <c r="L44" i="9" s="1"/>
  <c r="W28" i="31" s="1"/>
  <c r="AO21" i="9"/>
  <c r="AF22" i="9"/>
  <c r="AG22" i="9"/>
  <c r="AN22" i="9"/>
  <c r="AM22" i="9"/>
  <c r="AG21" i="9"/>
  <c r="AF21" i="9"/>
  <c r="AN21" i="9"/>
  <c r="AM21" i="9"/>
  <c r="AB16" i="25"/>
  <c r="O43" i="4"/>
  <c r="AB15" i="25"/>
  <c r="K36" i="25"/>
  <c r="J36" i="25"/>
  <c r="K31" i="25"/>
  <c r="O45" i="4"/>
  <c r="AO18" i="9"/>
  <c r="M14" i="9"/>
  <c r="X14" i="9"/>
  <c r="AH16" i="9" s="1"/>
  <c r="AH18" i="9"/>
  <c r="AA16" i="25"/>
  <c r="X18" i="9"/>
  <c r="W18" i="9"/>
  <c r="AM18" i="9"/>
  <c r="AF18" i="9"/>
  <c r="AG18" i="9"/>
  <c r="AN18" i="9"/>
  <c r="N22" i="29"/>
  <c r="Q22" i="29" s="1"/>
  <c r="O50" i="4"/>
  <c r="AI18" i="9"/>
  <c r="J37" i="25"/>
  <c r="CA38" i="22"/>
  <c r="G32" i="22" s="1"/>
  <c r="J264" i="38" s="1"/>
  <c r="CC38" i="22"/>
  <c r="K32" i="22" s="1"/>
  <c r="N46" i="4"/>
  <c r="Y16" i="9"/>
  <c r="K41" i="9" s="1"/>
  <c r="M41" i="9" s="1"/>
  <c r="N47" i="4"/>
  <c r="AA14" i="25"/>
  <c r="J35" i="25"/>
  <c r="AB14" i="25"/>
  <c r="K35" i="25"/>
  <c r="AA27" i="49"/>
  <c r="J34" i="25"/>
  <c r="Y12" i="25"/>
  <c r="I114" i="26" s="1"/>
  <c r="N114" i="26" s="1"/>
  <c r="U114" i="26" s="1"/>
  <c r="AP24" i="9"/>
  <c r="O44" i="4"/>
  <c r="O49" i="4"/>
  <c r="N48" i="4"/>
  <c r="O48" i="4"/>
  <c r="AF12" i="9"/>
  <c r="AM12" i="9"/>
  <c r="AN12" i="9"/>
  <c r="AG12" i="9"/>
  <c r="AO23" i="9"/>
  <c r="AH24" i="9"/>
  <c r="AO24" i="9"/>
  <c r="AP23" i="9"/>
  <c r="Y22" i="9"/>
  <c r="K47" i="9" s="1"/>
  <c r="Y21" i="9"/>
  <c r="J46" i="9" s="1"/>
  <c r="AI24" i="9"/>
  <c r="U66" i="9"/>
  <c r="K42" i="9"/>
  <c r="M42" i="9" s="1"/>
  <c r="J42" i="9"/>
  <c r="L42" i="9" s="1"/>
  <c r="W26" i="31" s="1"/>
  <c r="W14" i="9"/>
  <c r="AG16" i="9" s="1"/>
  <c r="AG15" i="9"/>
  <c r="AN15" i="9"/>
  <c r="AM15" i="9"/>
  <c r="AF15" i="9"/>
  <c r="X89" i="46"/>
  <c r="Y89" i="46" s="1"/>
  <c r="R38" i="46"/>
  <c r="M22" i="29"/>
  <c r="P22" i="29" s="1"/>
  <c r="N24" i="45"/>
  <c r="D23" i="29"/>
  <c r="N23" i="29" s="1"/>
  <c r="S44" i="35"/>
  <c r="O44" i="35"/>
  <c r="L24" i="45"/>
  <c r="Y24" i="45" s="1"/>
  <c r="V41" i="46"/>
  <c r="Z27" i="49"/>
  <c r="R39" i="46"/>
  <c r="L106" i="47"/>
  <c r="W41" i="46"/>
  <c r="N105" i="26"/>
  <c r="U105" i="26" s="1"/>
  <c r="N125" i="26"/>
  <c r="U125" i="26" s="1"/>
  <c r="U90" i="46"/>
  <c r="V90" i="46" s="1"/>
  <c r="W51" i="46"/>
  <c r="X51" i="46" s="1"/>
  <c r="Q41" i="46"/>
  <c r="AA46" i="37"/>
  <c r="AA57" i="37" s="1"/>
  <c r="AA68" i="37" s="1"/>
  <c r="AB11" i="49"/>
  <c r="AB22" i="49" s="1"/>
  <c r="AB34" i="49" s="1"/>
  <c r="P165" i="49"/>
  <c r="L165" i="49"/>
  <c r="Z16" i="49"/>
  <c r="AB16" i="49" s="1"/>
  <c r="Z26" i="49"/>
  <c r="Q165" i="49"/>
  <c r="M165" i="49"/>
  <c r="Y20" i="37"/>
  <c r="AA26" i="49"/>
  <c r="Z25" i="49"/>
  <c r="AA25" i="49"/>
  <c r="Z20" i="37"/>
  <c r="AB14" i="49"/>
  <c r="AA18" i="49"/>
  <c r="Q51" i="46"/>
  <c r="Y45" i="46" s="1"/>
  <c r="R51" i="46"/>
  <c r="K31" i="22"/>
  <c r="O263" i="38" s="1"/>
  <c r="R37" i="46"/>
  <c r="P41" i="46"/>
  <c r="X60" i="46"/>
  <c r="K248" i="38"/>
  <c r="Q248" i="38" s="1"/>
  <c r="W71" i="46"/>
  <c r="S71" i="46"/>
  <c r="E32" i="10"/>
  <c r="X71" i="46"/>
  <c r="U71" i="46"/>
  <c r="W70" i="46"/>
  <c r="S70" i="46"/>
  <c r="D32" i="10"/>
  <c r="Q31" i="46"/>
  <c r="Q33" i="46" s="1"/>
  <c r="R18" i="46"/>
  <c r="X70" i="46"/>
  <c r="U70" i="46"/>
  <c r="P31" i="46"/>
  <c r="P33" i="46" s="1"/>
  <c r="W61" i="46"/>
  <c r="S61" i="46"/>
  <c r="R20" i="46"/>
  <c r="U60" i="46"/>
  <c r="X59" i="46"/>
  <c r="U59" i="46"/>
  <c r="X61" i="46"/>
  <c r="U61" i="46"/>
  <c r="W69" i="46"/>
  <c r="S69" i="46"/>
  <c r="G32" i="10"/>
  <c r="X69" i="46"/>
  <c r="U69" i="46"/>
  <c r="W60" i="46"/>
  <c r="S60" i="46"/>
  <c r="W59" i="46"/>
  <c r="S59" i="46"/>
  <c r="F58" i="46"/>
  <c r="F68" i="46" s="1"/>
  <c r="M36" i="46"/>
  <c r="Y30" i="36"/>
  <c r="P47" i="47"/>
  <c r="U92" i="47"/>
  <c r="I126" i="26"/>
  <c r="I33" i="28"/>
  <c r="N106" i="26"/>
  <c r="U106" i="26" s="1"/>
  <c r="E33" i="28"/>
  <c r="AD44" i="47"/>
  <c r="AD55" i="47" s="1"/>
  <c r="AD17" i="47"/>
  <c r="AD16" i="47"/>
  <c r="Z12" i="37"/>
  <c r="Z34" i="37" s="1"/>
  <c r="Z48" i="37" s="1"/>
  <c r="Z59" i="37" s="1"/>
  <c r="Z70" i="37" s="1"/>
  <c r="AD18" i="47"/>
  <c r="AD15" i="47"/>
  <c r="Y12" i="37"/>
  <c r="Y34" i="37" s="1"/>
  <c r="Y48" i="37" s="1"/>
  <c r="Y59" i="37" s="1"/>
  <c r="Y70" i="37" s="1"/>
  <c r="H151" i="47"/>
  <c r="H160" i="47" s="1"/>
  <c r="N35" i="15"/>
  <c r="AB78" i="31" s="1"/>
  <c r="K70" i="26"/>
  <c r="J70" i="26"/>
  <c r="I70" i="26"/>
  <c r="L70" i="26"/>
  <c r="Y15" i="29"/>
  <c r="V29" i="19"/>
  <c r="J113" i="26" s="1"/>
  <c r="O113" i="26" s="1"/>
  <c r="V113" i="26" s="1"/>
  <c r="AB28" i="19"/>
  <c r="J20" i="26" s="1"/>
  <c r="BA51" i="27"/>
  <c r="R48" i="19"/>
  <c r="Z14" i="29"/>
  <c r="AH49" i="27"/>
  <c r="L50" i="27"/>
  <c r="M50" i="27"/>
  <c r="AI49" i="27"/>
  <c r="I50" i="27"/>
  <c r="H50" i="27"/>
  <c r="Z28" i="27"/>
  <c r="AL28" i="27" s="1"/>
  <c r="AA28" i="27"/>
  <c r="AL43" i="27"/>
  <c r="AK43" i="27"/>
  <c r="AK53" i="27" s="1"/>
  <c r="AC28" i="19"/>
  <c r="Q48" i="19"/>
  <c r="U29" i="19"/>
  <c r="J93" i="26" s="1"/>
  <c r="O93" i="26" s="1"/>
  <c r="V93" i="26" s="1"/>
  <c r="L49" i="19"/>
  <c r="AI32" i="19" s="1"/>
  <c r="K49" i="19"/>
  <c r="AH32" i="19" s="1"/>
  <c r="R47" i="19"/>
  <c r="T35" i="15"/>
  <c r="Q47" i="19"/>
  <c r="AI28" i="19"/>
  <c r="AH28" i="19"/>
  <c r="AH27" i="4"/>
  <c r="AI27" i="4" s="1"/>
  <c r="L18" i="26"/>
  <c r="M45" i="4"/>
  <c r="M50" i="4"/>
  <c r="M49" i="4"/>
  <c r="I46" i="27"/>
  <c r="AF42" i="10"/>
  <c r="E34" i="5"/>
  <c r="D34" i="5"/>
  <c r="D32" i="5"/>
  <c r="E32" i="5"/>
  <c r="K34" i="5"/>
  <c r="J34" i="5"/>
  <c r="E33" i="5"/>
  <c r="D33" i="5"/>
  <c r="A954" i="7"/>
  <c r="J33" i="5"/>
  <c r="K33" i="5"/>
  <c r="M47" i="4"/>
  <c r="L47" i="4"/>
  <c r="L44" i="4"/>
  <c r="M44" i="4"/>
  <c r="CH38" i="22"/>
  <c r="AA240" i="37"/>
  <c r="AE233" i="37"/>
  <c r="Y240" i="37"/>
  <c r="AC233" i="37"/>
  <c r="I11" i="36"/>
  <c r="H34" i="37"/>
  <c r="J34" i="37"/>
  <c r="K11" i="36"/>
  <c r="AO30" i="27"/>
  <c r="AO31" i="27"/>
  <c r="AN31" i="27"/>
  <c r="AO29" i="27"/>
  <c r="AM31" i="27"/>
  <c r="AL31" i="27"/>
  <c r="AL33" i="27"/>
  <c r="AL32" i="27"/>
  <c r="AM32" i="27"/>
  <c r="T233" i="37"/>
  <c r="T240" i="37" s="1"/>
  <c r="R240" i="37"/>
  <c r="N246" i="37" s="1"/>
  <c r="T246" i="37" s="1"/>
  <c r="S14" i="29"/>
  <c r="Y14" i="29"/>
  <c r="Z15" i="29"/>
  <c r="S15" i="29"/>
  <c r="M30" i="29"/>
  <c r="L30" i="29"/>
  <c r="N30" i="29"/>
  <c r="A824" i="7"/>
  <c r="V31" i="45" s="1"/>
  <c r="C32" i="45"/>
  <c r="C31" i="29"/>
  <c r="Q13" i="29"/>
  <c r="P13" i="29"/>
  <c r="Z13" i="29"/>
  <c r="Y12" i="45"/>
  <c r="Y23" i="45"/>
  <c r="P23" i="45"/>
  <c r="Z12" i="45"/>
  <c r="Q12" i="45"/>
  <c r="Z23" i="45"/>
  <c r="Q23" i="45"/>
  <c r="O73" i="44"/>
  <c r="N33" i="26" s="1"/>
  <c r="R33" i="26" s="1"/>
  <c r="J73" i="44"/>
  <c r="I30" i="26"/>
  <c r="M30" i="22"/>
  <c r="O35" i="15"/>
  <c r="AC78" i="31" s="1"/>
  <c r="AE14" i="25"/>
  <c r="AF14" i="25" s="1"/>
  <c r="L21" i="26"/>
  <c r="Q94" i="26"/>
  <c r="X94" i="26" s="1"/>
  <c r="Q114" i="26"/>
  <c r="X114" i="26" s="1"/>
  <c r="P114" i="26"/>
  <c r="R114" i="26"/>
  <c r="Y114" i="26"/>
  <c r="R94" i="26"/>
  <c r="Y94" i="26"/>
  <c r="CK38" i="22"/>
  <c r="N30" i="28"/>
  <c r="H30" i="28"/>
  <c r="F30" i="28"/>
  <c r="CI38" i="22"/>
  <c r="G123" i="26"/>
  <c r="N123" i="26"/>
  <c r="U123" i="26" s="1"/>
  <c r="J30" i="28"/>
  <c r="O30" i="28"/>
  <c r="H16" i="22"/>
  <c r="D34" i="15"/>
  <c r="CL38" i="22"/>
  <c r="J33" i="22" s="1"/>
  <c r="N265" i="38" s="1"/>
  <c r="CJ38" i="22"/>
  <c r="D36" i="9"/>
  <c r="AN36" i="9" s="1"/>
  <c r="AN49" i="9" s="1"/>
  <c r="F16" i="22"/>
  <c r="CM22" i="22"/>
  <c r="AB52" i="16"/>
  <c r="O30" i="26" s="1"/>
  <c r="S30" i="26" s="1"/>
  <c r="E30" i="26"/>
  <c r="CG38" i="22"/>
  <c r="E31" i="10"/>
  <c r="I16" i="22"/>
  <c r="G16" i="22"/>
  <c r="D34" i="24"/>
  <c r="AF12" i="24" s="1"/>
  <c r="L43" i="4"/>
  <c r="M43" i="4"/>
  <c r="P32" i="15"/>
  <c r="AD75" i="31" s="1"/>
  <c r="AB10" i="25"/>
  <c r="AB13" i="25"/>
  <c r="AA13" i="25"/>
  <c r="AA10" i="25"/>
  <c r="AD12" i="25"/>
  <c r="AE12" i="25" s="1"/>
  <c r="X12" i="25"/>
  <c r="I94" i="26" s="1"/>
  <c r="AB12" i="25"/>
  <c r="K33" i="25"/>
  <c r="J33" i="25"/>
  <c r="AA12" i="25"/>
  <c r="AB11" i="25"/>
  <c r="AA11" i="25"/>
  <c r="K32" i="25"/>
  <c r="I47" i="27"/>
  <c r="AH48" i="27"/>
  <c r="P33" i="15"/>
  <c r="AC76" i="31"/>
  <c r="Q262" i="38"/>
  <c r="K10" i="28"/>
  <c r="K10" i="26"/>
  <c r="E80" i="38"/>
  <c r="I44" i="27"/>
  <c r="I49" i="27"/>
  <c r="AF37" i="10"/>
  <c r="H47" i="27"/>
  <c r="AF34" i="10"/>
  <c r="H45" i="27"/>
  <c r="K23" i="38"/>
  <c r="N39" i="10"/>
  <c r="AG28" i="35" s="1"/>
  <c r="I45" i="27"/>
  <c r="AN33" i="27"/>
  <c r="J41" i="24"/>
  <c r="N41" i="24" s="1"/>
  <c r="W57" i="31" s="1"/>
  <c r="AF36" i="10"/>
  <c r="K41" i="24"/>
  <c r="O41" i="24" s="1"/>
  <c r="X57" i="31" s="1"/>
  <c r="H46" i="27"/>
  <c r="P40" i="24"/>
  <c r="Z56" i="31" s="1"/>
  <c r="AF32" i="10"/>
  <c r="AE32" i="10"/>
  <c r="AO33" i="27"/>
  <c r="N38" i="10"/>
  <c r="O38" i="10" s="1"/>
  <c r="AH27" i="35" s="1"/>
  <c r="AE33" i="10"/>
  <c r="AE36" i="10"/>
  <c r="H44" i="27"/>
  <c r="M40" i="10"/>
  <c r="O40" i="10" s="1"/>
  <c r="AH29" i="35" s="1"/>
  <c r="Y32" i="10"/>
  <c r="N30" i="10"/>
  <c r="AG14" i="35" s="1"/>
  <c r="H49" i="27"/>
  <c r="H48" i="27"/>
  <c r="AO32" i="27"/>
  <c r="I48" i="27"/>
  <c r="AN32" i="27"/>
  <c r="L46" i="27"/>
  <c r="AH46" i="27"/>
  <c r="AG20" i="24"/>
  <c r="M35" i="10"/>
  <c r="AF24" i="35" s="1"/>
  <c r="N41" i="10"/>
  <c r="AG30" i="35" s="1"/>
  <c r="P44" i="24"/>
  <c r="Z60" i="31" s="1"/>
  <c r="AE37" i="10"/>
  <c r="AI45" i="27"/>
  <c r="X59" i="31"/>
  <c r="M42" i="10"/>
  <c r="AF31" i="35" s="1"/>
  <c r="M29" i="10"/>
  <c r="AF13" i="35" s="1"/>
  <c r="AF40" i="10"/>
  <c r="AE30" i="10"/>
  <c r="AH43" i="27"/>
  <c r="Q119" i="26"/>
  <c r="P33" i="24"/>
  <c r="Z45" i="31" s="1"/>
  <c r="P39" i="24"/>
  <c r="Z55" i="31" s="1"/>
  <c r="AE38" i="10"/>
  <c r="AI48" i="27"/>
  <c r="AF33" i="10"/>
  <c r="M41" i="10"/>
  <c r="AF30" i="35" s="1"/>
  <c r="AF31" i="10"/>
  <c r="M45" i="27"/>
  <c r="K36" i="24"/>
  <c r="O36" i="24" s="1"/>
  <c r="X52" i="31" s="1"/>
  <c r="AF14" i="24"/>
  <c r="J36" i="24"/>
  <c r="N36" i="24" s="1"/>
  <c r="AF15" i="24"/>
  <c r="M34" i="10"/>
  <c r="AF23" i="35" s="1"/>
  <c r="P45" i="24"/>
  <c r="Z61" i="31" s="1"/>
  <c r="AE39" i="10"/>
  <c r="Y119" i="26"/>
  <c r="AT14" i="10"/>
  <c r="N35" i="10"/>
  <c r="AG24" i="35" s="1"/>
  <c r="AG14" i="24"/>
  <c r="Q99" i="26"/>
  <c r="AF29" i="10"/>
  <c r="M47" i="27"/>
  <c r="O37" i="10"/>
  <c r="AH26" i="35" s="1"/>
  <c r="Y99" i="26"/>
  <c r="AG13" i="24"/>
  <c r="J35" i="24"/>
  <c r="N35" i="24" s="1"/>
  <c r="W47" i="31" s="1"/>
  <c r="K37" i="24"/>
  <c r="O37" i="24" s="1"/>
  <c r="X53" i="31" s="1"/>
  <c r="AT13" i="10"/>
  <c r="AG16" i="24"/>
  <c r="P38" i="24"/>
  <c r="Z54" i="31" s="1"/>
  <c r="X77" i="26"/>
  <c r="AF16" i="24"/>
  <c r="K35" i="24"/>
  <c r="O35" i="24" s="1"/>
  <c r="AI43" i="27"/>
  <c r="AH44" i="27"/>
  <c r="I75" i="26"/>
  <c r="K42" i="24"/>
  <c r="O42" i="24" s="1"/>
  <c r="X58" i="31" s="1"/>
  <c r="AG21" i="24"/>
  <c r="J42" i="24"/>
  <c r="N42" i="24" s="1"/>
  <c r="W58" i="31" s="1"/>
  <c r="Y36" i="36"/>
  <c r="Y63" i="36" s="1"/>
  <c r="F11" i="38"/>
  <c r="T100" i="5"/>
  <c r="M45" i="5"/>
  <c r="R45" i="5" s="1"/>
  <c r="D44" i="5"/>
  <c r="N44" i="5" s="1"/>
  <c r="E44" i="5"/>
  <c r="O44" i="5" s="1"/>
  <c r="E42" i="5"/>
  <c r="O42" i="5" s="1"/>
  <c r="D42" i="5"/>
  <c r="N42" i="5" s="1"/>
  <c r="D46" i="5"/>
  <c r="N46" i="5" s="1"/>
  <c r="E46" i="5"/>
  <c r="O46" i="5" s="1"/>
  <c r="D41" i="5"/>
  <c r="N41" i="5" s="1"/>
  <c r="E41" i="5"/>
  <c r="O41" i="5" s="1"/>
  <c r="M47" i="5"/>
  <c r="R47" i="5" s="1"/>
  <c r="AG52" i="35" s="1"/>
  <c r="M48" i="5"/>
  <c r="M40" i="5"/>
  <c r="M43" i="5"/>
  <c r="Q43" i="5" s="1"/>
  <c r="AF48" i="35" s="1"/>
  <c r="R77" i="26"/>
  <c r="L23" i="38"/>
  <c r="O36" i="10"/>
  <c r="AH25" i="35" s="1"/>
  <c r="AG25" i="35"/>
  <c r="AG22" i="35"/>
  <c r="O33" i="10"/>
  <c r="AH22" i="35" s="1"/>
  <c r="P51" i="27"/>
  <c r="P32" i="24"/>
  <c r="X44" i="31"/>
  <c r="J52" i="27"/>
  <c r="N52" i="27" s="1"/>
  <c r="BA52" i="27"/>
  <c r="BB52" i="27"/>
  <c r="K52" i="27"/>
  <c r="O52" i="27" s="1"/>
  <c r="AB37" i="27"/>
  <c r="AL37" i="27"/>
  <c r="AN37" i="27"/>
  <c r="AE37" i="27"/>
  <c r="P45" i="15" l="1"/>
  <c r="AD92" i="31" s="1"/>
  <c r="AC92" i="31"/>
  <c r="AI11" i="9"/>
  <c r="AO12" i="9"/>
  <c r="P44" i="15"/>
  <c r="AD91" i="31" s="1"/>
  <c r="AP11" i="9"/>
  <c r="AP12" i="9"/>
  <c r="AH12" i="9"/>
  <c r="AO11" i="9"/>
  <c r="Y9" i="9"/>
  <c r="K34" i="9" s="1"/>
  <c r="M34" i="9" s="1"/>
  <c r="AI15" i="9"/>
  <c r="K40" i="9"/>
  <c r="M40" i="9" s="1"/>
  <c r="X24" i="31" s="1"/>
  <c r="AI12" i="9"/>
  <c r="AP15" i="9"/>
  <c r="G103" i="26"/>
  <c r="S103" i="26" s="1"/>
  <c r="K45" i="9"/>
  <c r="M45" i="9" s="1"/>
  <c r="X29" i="31" s="1"/>
  <c r="R43" i="4"/>
  <c r="R12" i="30" s="1"/>
  <c r="K44" i="9"/>
  <c r="M44" i="9" s="1"/>
  <c r="N44" i="9" s="1"/>
  <c r="Z28" i="31" s="1"/>
  <c r="J32" i="22"/>
  <c r="N264" i="38" s="1"/>
  <c r="L23" i="29"/>
  <c r="Q23" i="29" s="1"/>
  <c r="Q47" i="4"/>
  <c r="S47" i="4" s="1"/>
  <c r="S16" i="30" s="1"/>
  <c r="Z24" i="45"/>
  <c r="D28" i="38"/>
  <c r="V28" i="38" s="1"/>
  <c r="K167" i="38" s="1"/>
  <c r="N33" i="28"/>
  <c r="N28" i="38" s="1"/>
  <c r="P49" i="4"/>
  <c r="R49" i="4" s="1"/>
  <c r="R18" i="30" s="1"/>
  <c r="L33" i="25"/>
  <c r="N33" i="25" s="1"/>
  <c r="R51" i="30" s="1"/>
  <c r="M33" i="25"/>
  <c r="O33" i="25" s="1"/>
  <c r="L34" i="25"/>
  <c r="N34" i="25" s="1"/>
  <c r="R52" i="30" s="1"/>
  <c r="M34" i="25"/>
  <c r="O34" i="25" s="1"/>
  <c r="L31" i="25"/>
  <c r="N31" i="25" s="1"/>
  <c r="R49" i="30" s="1"/>
  <c r="M31" i="25"/>
  <c r="O31" i="25" s="1"/>
  <c r="AD15" i="25"/>
  <c r="P24" i="45"/>
  <c r="Q50" i="4"/>
  <c r="S50" i="4" s="1"/>
  <c r="T50" i="4" s="1"/>
  <c r="T19" i="30" s="1"/>
  <c r="O35" i="25"/>
  <c r="S53" i="30" s="1"/>
  <c r="Q48" i="4"/>
  <c r="S48" i="4" s="1"/>
  <c r="S17" i="30" s="1"/>
  <c r="N35" i="25"/>
  <c r="R53" i="30" s="1"/>
  <c r="L32" i="25"/>
  <c r="N32" i="25" s="1"/>
  <c r="R50" i="30" s="1"/>
  <c r="M32" i="25"/>
  <c r="O32" i="25" s="1"/>
  <c r="S50" i="30" s="1"/>
  <c r="S22" i="29"/>
  <c r="P45" i="4"/>
  <c r="R45" i="4" s="1"/>
  <c r="R14" i="30" s="1"/>
  <c r="AC27" i="4"/>
  <c r="K111" i="26" s="1"/>
  <c r="Q111" i="26" s="1"/>
  <c r="X111" i="26" s="1"/>
  <c r="Q43" i="4"/>
  <c r="S43" i="4" s="1"/>
  <c r="P46" i="4"/>
  <c r="R46" i="4" s="1"/>
  <c r="R15" i="30" s="1"/>
  <c r="R48" i="4"/>
  <c r="R17" i="30" s="1"/>
  <c r="P44" i="4"/>
  <c r="R44" i="4" s="1"/>
  <c r="R13" i="30" s="1"/>
  <c r="AG28" i="4"/>
  <c r="AB27" i="4"/>
  <c r="K91" i="26" s="1"/>
  <c r="Q91" i="26" s="1"/>
  <c r="X91" i="26" s="1"/>
  <c r="O264" i="38"/>
  <c r="L36" i="25"/>
  <c r="N36" i="25" s="1"/>
  <c r="M36" i="25"/>
  <c r="O36" i="25" s="1"/>
  <c r="S54" i="30" s="1"/>
  <c r="L37" i="25"/>
  <c r="N37" i="25" s="1"/>
  <c r="R55" i="30" s="1"/>
  <c r="M37" i="25"/>
  <c r="O37" i="25" s="1"/>
  <c r="S55" i="30" s="1"/>
  <c r="AH15" i="9"/>
  <c r="AO15" i="9"/>
  <c r="S49" i="4"/>
  <c r="AZ45" i="9"/>
  <c r="J41" i="9"/>
  <c r="L41" i="9" s="1"/>
  <c r="W25" i="31" s="1"/>
  <c r="J15" i="22"/>
  <c r="J18" i="22" s="1"/>
  <c r="H82" i="38" s="1"/>
  <c r="Z22" i="29"/>
  <c r="M23" i="29"/>
  <c r="S44" i="4"/>
  <c r="S13" i="30" s="1"/>
  <c r="S45" i="4"/>
  <c r="S14" i="30" s="1"/>
  <c r="AB27" i="49"/>
  <c r="AY40" i="9"/>
  <c r="AG20" i="9"/>
  <c r="AF20" i="9"/>
  <c r="AM20" i="9"/>
  <c r="AN20" i="9"/>
  <c r="Y18" i="9"/>
  <c r="Y22" i="29"/>
  <c r="AI20" i="9"/>
  <c r="AH20" i="9"/>
  <c r="AO20" i="9"/>
  <c r="AP20" i="9"/>
  <c r="F34" i="24"/>
  <c r="AI12" i="24" s="1"/>
  <c r="R47" i="4"/>
  <c r="R16" i="30" s="1"/>
  <c r="Q24" i="45"/>
  <c r="AZ41" i="9"/>
  <c r="AH23" i="9"/>
  <c r="AI23" i="9"/>
  <c r="X25" i="31"/>
  <c r="AH26" i="4"/>
  <c r="AG26" i="4"/>
  <c r="AB25" i="4"/>
  <c r="J91" i="26" s="1"/>
  <c r="O91" i="26" s="1"/>
  <c r="AC25" i="4"/>
  <c r="J111" i="26" s="1"/>
  <c r="O111" i="26" s="1"/>
  <c r="AZ44" i="9"/>
  <c r="AY44" i="9"/>
  <c r="J35" i="9"/>
  <c r="K35" i="9"/>
  <c r="AY45" i="9"/>
  <c r="L45" i="9"/>
  <c r="W29" i="31" s="1"/>
  <c r="K46" i="9"/>
  <c r="M46" i="9" s="1"/>
  <c r="X30" i="31" s="1"/>
  <c r="J47" i="9"/>
  <c r="L47" i="9" s="1"/>
  <c r="W31" i="31" s="1"/>
  <c r="AN16" i="9"/>
  <c r="AO16" i="9"/>
  <c r="AM16" i="9"/>
  <c r="AF16" i="9"/>
  <c r="AI16" i="9"/>
  <c r="AP16" i="9"/>
  <c r="Y14" i="9"/>
  <c r="J39" i="9" s="1"/>
  <c r="L39" i="9" s="1"/>
  <c r="W23" i="31" s="1"/>
  <c r="X26" i="31"/>
  <c r="N42" i="9"/>
  <c r="Z26" i="31" s="1"/>
  <c r="AZ42" i="9"/>
  <c r="AY42" i="9"/>
  <c r="AZ47" i="9"/>
  <c r="M47" i="9"/>
  <c r="AY46" i="9"/>
  <c r="L46" i="9"/>
  <c r="W30" i="31" s="1"/>
  <c r="K38" i="9"/>
  <c r="W22" i="31"/>
  <c r="R41" i="46"/>
  <c r="X41" i="46"/>
  <c r="I32" i="26" s="1"/>
  <c r="S106" i="26"/>
  <c r="AC95" i="47"/>
  <c r="N92" i="47"/>
  <c r="J106" i="47"/>
  <c r="S123" i="26"/>
  <c r="N126" i="26"/>
  <c r="U126" i="26" s="1"/>
  <c r="G126" i="26"/>
  <c r="F33" i="28"/>
  <c r="H33" i="28"/>
  <c r="J33" i="28"/>
  <c r="O33" i="28"/>
  <c r="O28" i="38" s="1"/>
  <c r="Z37" i="49"/>
  <c r="Z45" i="46"/>
  <c r="AA45" i="46" s="1"/>
  <c r="P34" i="37"/>
  <c r="P48" i="37" s="1"/>
  <c r="U48" i="37" s="1"/>
  <c r="J12" i="49"/>
  <c r="H48" i="37"/>
  <c r="H59" i="37" s="1"/>
  <c r="H69" i="37" s="1"/>
  <c r="H12" i="49"/>
  <c r="Z39" i="49"/>
  <c r="Z30" i="49"/>
  <c r="AB26" i="49"/>
  <c r="Z18" i="49"/>
  <c r="AA39" i="49"/>
  <c r="Z38" i="49"/>
  <c r="AA20" i="37"/>
  <c r="AC234" i="37"/>
  <c r="W31" i="45" s="1"/>
  <c r="I31" i="45" s="1"/>
  <c r="AA37" i="49"/>
  <c r="S51" i="46"/>
  <c r="AA30" i="49"/>
  <c r="AB25" i="49"/>
  <c r="AA38" i="49"/>
  <c r="AB18" i="49"/>
  <c r="R31" i="46"/>
  <c r="R33" i="46" s="1"/>
  <c r="U33" i="46" s="1"/>
  <c r="U63" i="46"/>
  <c r="J125" i="26" s="1"/>
  <c r="X62" i="46"/>
  <c r="S63" i="46"/>
  <c r="J105" i="26" s="1"/>
  <c r="W72" i="46"/>
  <c r="W62" i="46"/>
  <c r="S73" i="46"/>
  <c r="U73" i="46"/>
  <c r="AB16" i="35"/>
  <c r="I14" i="22"/>
  <c r="I18" i="22" s="1"/>
  <c r="H81" i="38" s="1"/>
  <c r="R32" i="10"/>
  <c r="X72" i="46"/>
  <c r="AD16" i="35"/>
  <c r="S32" i="10"/>
  <c r="I31" i="22"/>
  <c r="AK32" i="10"/>
  <c r="Q32" i="10"/>
  <c r="I32" i="10"/>
  <c r="M32" i="10" s="1"/>
  <c r="AF16" i="35" s="1"/>
  <c r="J32" i="10"/>
  <c r="N32" i="10" s="1"/>
  <c r="AA16" i="35"/>
  <c r="AL32" i="10"/>
  <c r="E28" i="38"/>
  <c r="I33" i="26"/>
  <c r="E33" i="26"/>
  <c r="P35" i="15"/>
  <c r="AD78" i="31" s="1"/>
  <c r="N11" i="36"/>
  <c r="Y13" i="47"/>
  <c r="M11" i="36"/>
  <c r="W13" i="47"/>
  <c r="AD30" i="47"/>
  <c r="AD28" i="19"/>
  <c r="AB45" i="27"/>
  <c r="J92" i="26" s="1"/>
  <c r="O92" i="26" s="1"/>
  <c r="V92" i="26" s="1"/>
  <c r="S48" i="19"/>
  <c r="N50" i="27"/>
  <c r="O50" i="27"/>
  <c r="S47" i="19"/>
  <c r="Q49" i="19"/>
  <c r="R37" i="30" s="1"/>
  <c r="R49" i="19"/>
  <c r="Q45" i="19"/>
  <c r="R33" i="30" s="1"/>
  <c r="R45" i="19"/>
  <c r="R69" i="26"/>
  <c r="Y69" i="26" s="1"/>
  <c r="L15" i="38"/>
  <c r="S19" i="30"/>
  <c r="G66" i="5"/>
  <c r="N66" i="5" s="1"/>
  <c r="G65" i="5"/>
  <c r="N65" i="5" s="1"/>
  <c r="G60" i="5"/>
  <c r="N60" i="5" s="1"/>
  <c r="G59" i="5"/>
  <c r="N59" i="5" s="1"/>
  <c r="J60" i="5"/>
  <c r="O60" i="5" s="1"/>
  <c r="J59" i="5"/>
  <c r="O59" i="5" s="1"/>
  <c r="F60" i="5"/>
  <c r="M60" i="5" s="1"/>
  <c r="F59" i="5"/>
  <c r="M59" i="5" s="1"/>
  <c r="G68" i="5"/>
  <c r="N68" i="5" s="1"/>
  <c r="G67" i="5"/>
  <c r="N67" i="5" s="1"/>
  <c r="J68" i="5"/>
  <c r="O68" i="5" s="1"/>
  <c r="F67" i="5"/>
  <c r="M67" i="5" s="1"/>
  <c r="F68" i="5"/>
  <c r="M68" i="5" s="1"/>
  <c r="J67" i="5"/>
  <c r="O67" i="5" s="1"/>
  <c r="F57" i="5"/>
  <c r="J57" i="5"/>
  <c r="F58" i="5"/>
  <c r="M58" i="5" s="1"/>
  <c r="J58" i="5"/>
  <c r="O58" i="5" s="1"/>
  <c r="G57" i="5"/>
  <c r="G58" i="5"/>
  <c r="N58" i="5" s="1"/>
  <c r="A969" i="7"/>
  <c r="G62" i="5"/>
  <c r="N62" i="5" s="1"/>
  <c r="G61" i="5"/>
  <c r="N61" i="5" s="1"/>
  <c r="F65" i="5"/>
  <c r="M65" i="5" s="1"/>
  <c r="J65" i="5"/>
  <c r="O65" i="5" s="1"/>
  <c r="F66" i="5"/>
  <c r="M66" i="5" s="1"/>
  <c r="J66" i="5"/>
  <c r="O66" i="5" s="1"/>
  <c r="J62" i="5"/>
  <c r="O62" i="5" s="1"/>
  <c r="J61" i="5"/>
  <c r="O61" i="5" s="1"/>
  <c r="F61" i="5"/>
  <c r="M61" i="5" s="1"/>
  <c r="F62" i="5"/>
  <c r="M62" i="5" s="1"/>
  <c r="AC24" i="4"/>
  <c r="I111" i="26" s="1"/>
  <c r="N111" i="26" s="1"/>
  <c r="U111" i="26" s="1"/>
  <c r="AB24" i="4"/>
  <c r="I91" i="26" s="1"/>
  <c r="N91" i="26" s="1"/>
  <c r="P11" i="36"/>
  <c r="S11" i="36" s="1"/>
  <c r="W11" i="36" s="1"/>
  <c r="J48" i="37"/>
  <c r="J59" i="37" s="1"/>
  <c r="J69" i="37" s="1"/>
  <c r="D11" i="38"/>
  <c r="N11" i="38" s="1"/>
  <c r="Q11" i="36"/>
  <c r="U11" i="36" s="1"/>
  <c r="X11" i="36" s="1"/>
  <c r="N34" i="37"/>
  <c r="N48" i="37" s="1"/>
  <c r="T48" i="37" s="1"/>
  <c r="I38" i="36"/>
  <c r="I65" i="36" s="1"/>
  <c r="W65" i="36" s="1"/>
  <c r="G33" i="22"/>
  <c r="J265" i="38" s="1"/>
  <c r="J267" i="38" s="1"/>
  <c r="K38" i="36"/>
  <c r="K65" i="36" s="1"/>
  <c r="X65" i="36" s="1"/>
  <c r="E11" i="38"/>
  <c r="E156" i="38" s="1"/>
  <c r="I157" i="38" s="1"/>
  <c r="L157" i="38" s="1"/>
  <c r="O157" i="38" s="1"/>
  <c r="S157" i="38" s="1"/>
  <c r="AN29" i="27"/>
  <c r="AO28" i="27"/>
  <c r="AO38" i="27" s="1"/>
  <c r="AC46" i="27" s="1"/>
  <c r="K112" i="26" s="1"/>
  <c r="Q112" i="26" s="1"/>
  <c r="AN28" i="27"/>
  <c r="AM33" i="27"/>
  <c r="AM28" i="27"/>
  <c r="AL29" i="27"/>
  <c r="AM29" i="27"/>
  <c r="AL30" i="27"/>
  <c r="S13" i="29"/>
  <c r="A838" i="7"/>
  <c r="V30" i="29"/>
  <c r="Y30" i="29"/>
  <c r="Q30" i="29"/>
  <c r="P30" i="29"/>
  <c r="Z30" i="29"/>
  <c r="L31" i="29"/>
  <c r="N31" i="29"/>
  <c r="M31" i="29"/>
  <c r="S23" i="45"/>
  <c r="S12" i="45"/>
  <c r="AG40" i="5"/>
  <c r="Q40" i="5"/>
  <c r="N81" i="26"/>
  <c r="U81" i="26" s="1"/>
  <c r="R72" i="26"/>
  <c r="Y72" i="26" s="1"/>
  <c r="L17" i="38"/>
  <c r="AC27" i="19"/>
  <c r="AC31" i="19" s="1"/>
  <c r="N20" i="26" s="1"/>
  <c r="R20" i="26" s="1"/>
  <c r="V28" i="19"/>
  <c r="I113" i="26" s="1"/>
  <c r="G113" i="26" s="1"/>
  <c r="AB27" i="19"/>
  <c r="K251" i="38"/>
  <c r="K253" i="38" s="1"/>
  <c r="H18" i="22"/>
  <c r="H80" i="38" s="1"/>
  <c r="H92" i="38" s="1"/>
  <c r="H94" i="38" s="1"/>
  <c r="F34" i="15"/>
  <c r="H33" i="22"/>
  <c r="F36" i="9"/>
  <c r="AT36" i="9" s="1"/>
  <c r="AT49" i="9" s="1"/>
  <c r="CM38" i="22"/>
  <c r="F33" i="22"/>
  <c r="AB12" i="24"/>
  <c r="AM26" i="24" s="1"/>
  <c r="K97" i="26" s="1"/>
  <c r="AJ12" i="24"/>
  <c r="L34" i="24"/>
  <c r="AH12" i="24"/>
  <c r="Q46" i="31"/>
  <c r="R34" i="24"/>
  <c r="R47" i="24" s="1"/>
  <c r="Z12" i="24"/>
  <c r="AM25" i="24" s="1"/>
  <c r="L97" i="26" s="1"/>
  <c r="H34" i="24"/>
  <c r="AM23" i="24" s="1"/>
  <c r="I97" i="26" s="1"/>
  <c r="N97" i="26" s="1"/>
  <c r="U97" i="26" s="1"/>
  <c r="AD12" i="24"/>
  <c r="Q30" i="26"/>
  <c r="F30" i="26"/>
  <c r="U28" i="19"/>
  <c r="I93" i="26" s="1"/>
  <c r="N93" i="26" s="1"/>
  <c r="J251" i="38"/>
  <c r="J253" i="38" s="1"/>
  <c r="G18" i="22"/>
  <c r="H79" i="38" s="1"/>
  <c r="J34" i="24"/>
  <c r="AM24" i="24" s="1"/>
  <c r="L251" i="38"/>
  <c r="I251" i="38"/>
  <c r="F18" i="22"/>
  <c r="H78" i="38" s="1"/>
  <c r="AB15" i="35"/>
  <c r="R31" i="10"/>
  <c r="U31" i="10" s="1"/>
  <c r="AK31" i="10"/>
  <c r="I31" i="10"/>
  <c r="Q15" i="31"/>
  <c r="AK13" i="9"/>
  <c r="AM13" i="9"/>
  <c r="AH13" i="9"/>
  <c r="J36" i="9"/>
  <c r="AY36" i="9" s="1"/>
  <c r="P36" i="9"/>
  <c r="P49" i="9" s="1"/>
  <c r="H36" i="9"/>
  <c r="AR21" i="9" s="1"/>
  <c r="AF13" i="9"/>
  <c r="AO13" i="9"/>
  <c r="AK15" i="15"/>
  <c r="X77" i="31"/>
  <c r="J34" i="15"/>
  <c r="AG34" i="15"/>
  <c r="AG47" i="15" s="1"/>
  <c r="L34" i="15"/>
  <c r="R34" i="15"/>
  <c r="R47" i="15" s="1"/>
  <c r="AG15" i="15"/>
  <c r="AR25" i="15" s="1"/>
  <c r="K98" i="26" s="1"/>
  <c r="X98" i="26" s="1"/>
  <c r="AO15" i="15"/>
  <c r="H34" i="15"/>
  <c r="AR23" i="15" s="1"/>
  <c r="AE15" i="15"/>
  <c r="AM15" i="15"/>
  <c r="AI15" i="15"/>
  <c r="G31" i="10"/>
  <c r="I33" i="22"/>
  <c r="R43" i="19"/>
  <c r="I16" i="38"/>
  <c r="O71" i="26"/>
  <c r="V71" i="26" s="1"/>
  <c r="Q43" i="19"/>
  <c r="R31" i="30" s="1"/>
  <c r="AG25" i="4"/>
  <c r="I21" i="26"/>
  <c r="H17" i="38" s="1"/>
  <c r="Y13" i="25"/>
  <c r="J114" i="26" s="1"/>
  <c r="O114" i="26" s="1"/>
  <c r="AF12" i="25"/>
  <c r="AE13" i="25"/>
  <c r="N94" i="26"/>
  <c r="U94" i="26" s="1"/>
  <c r="AD13" i="25"/>
  <c r="X13" i="25"/>
  <c r="J94" i="26" s="1"/>
  <c r="AD76" i="31"/>
  <c r="E92" i="38"/>
  <c r="E94" i="38" s="1"/>
  <c r="AE28" i="27"/>
  <c r="K44" i="27" s="1"/>
  <c r="O44" i="27" s="1"/>
  <c r="AP43" i="27"/>
  <c r="AM43" i="27"/>
  <c r="AP46" i="27"/>
  <c r="AM45" i="27"/>
  <c r="AP45" i="27"/>
  <c r="AM30" i="27"/>
  <c r="AE29" i="27"/>
  <c r="J48" i="27"/>
  <c r="N48" i="27" s="1"/>
  <c r="AB44" i="27"/>
  <c r="I92" i="26" s="1"/>
  <c r="O39" i="10"/>
  <c r="AH28" i="35" s="1"/>
  <c r="AM47" i="27"/>
  <c r="P41" i="24"/>
  <c r="Z57" i="31" s="1"/>
  <c r="O30" i="10"/>
  <c r="AH14" i="35" s="1"/>
  <c r="J49" i="27"/>
  <c r="N49" i="27" s="1"/>
  <c r="AM44" i="27"/>
  <c r="AO53" i="27"/>
  <c r="AM48" i="27"/>
  <c r="AC44" i="27"/>
  <c r="I112" i="26" s="1"/>
  <c r="AE31" i="27"/>
  <c r="AM46" i="27"/>
  <c r="AP44" i="27"/>
  <c r="AG27" i="35"/>
  <c r="O42" i="10"/>
  <c r="AH31" i="35" s="1"/>
  <c r="AL53" i="27"/>
  <c r="AG25" i="27"/>
  <c r="AH25" i="27" s="1"/>
  <c r="O41" i="10"/>
  <c r="AH30" i="35" s="1"/>
  <c r="AF29" i="35"/>
  <c r="AP48" i="27"/>
  <c r="AC45" i="27"/>
  <c r="J112" i="26" s="1"/>
  <c r="O112" i="26" s="1"/>
  <c r="P36" i="24"/>
  <c r="Z52" i="31" s="1"/>
  <c r="P35" i="24"/>
  <c r="Z47" i="31" s="1"/>
  <c r="O29" i="10"/>
  <c r="AH13" i="35" s="1"/>
  <c r="AE33" i="27"/>
  <c r="K49" i="27" s="1"/>
  <c r="O49" i="27" s="1"/>
  <c r="AB28" i="27"/>
  <c r="J44" i="27" s="1"/>
  <c r="BA44" i="27" s="1"/>
  <c r="AN53" i="27"/>
  <c r="AP47" i="27"/>
  <c r="AE32" i="27"/>
  <c r="O35" i="10"/>
  <c r="AH24" i="35" s="1"/>
  <c r="AF44" i="10"/>
  <c r="J103" i="38" s="1"/>
  <c r="O34" i="10"/>
  <c r="AH23" i="35" s="1"/>
  <c r="W52" i="31"/>
  <c r="AE44" i="10"/>
  <c r="H103" i="38" s="1"/>
  <c r="P37" i="24"/>
  <c r="Z53" i="31" s="1"/>
  <c r="AG26" i="27"/>
  <c r="J19" i="26" s="1"/>
  <c r="X47" i="31"/>
  <c r="K75" i="26"/>
  <c r="AH26" i="27"/>
  <c r="L75" i="26"/>
  <c r="J75" i="26"/>
  <c r="P42" i="24"/>
  <c r="Z58" i="31" s="1"/>
  <c r="Q11" i="38"/>
  <c r="F156" i="38"/>
  <c r="AN30" i="27"/>
  <c r="AE30" i="27"/>
  <c r="AG45" i="5"/>
  <c r="Q45" i="5"/>
  <c r="AH45" i="5"/>
  <c r="M46" i="5"/>
  <c r="R46" i="5" s="1"/>
  <c r="AG51" i="35" s="1"/>
  <c r="Q47" i="5"/>
  <c r="AF52" i="35" s="1"/>
  <c r="AH52" i="35" s="1"/>
  <c r="M44" i="5"/>
  <c r="AH44" i="5" s="1"/>
  <c r="L80" i="26"/>
  <c r="M41" i="5"/>
  <c r="M42" i="5"/>
  <c r="Q42" i="5" s="1"/>
  <c r="AH48" i="5"/>
  <c r="AG47" i="5"/>
  <c r="AH47" i="5"/>
  <c r="R48" i="5"/>
  <c r="AG53" i="35" s="1"/>
  <c r="N51" i="5"/>
  <c r="Q48" i="5"/>
  <c r="AG48" i="5"/>
  <c r="AH40" i="5"/>
  <c r="O51" i="5"/>
  <c r="R43" i="5"/>
  <c r="AG43" i="5"/>
  <c r="R40" i="5"/>
  <c r="AH43" i="5"/>
  <c r="P52" i="27"/>
  <c r="Z44" i="31"/>
  <c r="K53" i="27"/>
  <c r="O53" i="27" s="1"/>
  <c r="BB53" i="27"/>
  <c r="J53" i="27"/>
  <c r="N53" i="27" s="1"/>
  <c r="BA53" i="27"/>
  <c r="AZ34" i="9" l="1"/>
  <c r="J34" i="9"/>
  <c r="L34" i="9" s="1"/>
  <c r="W13" i="31" s="1"/>
  <c r="N40" i="9"/>
  <c r="Z24" i="31" s="1"/>
  <c r="AZ40" i="9"/>
  <c r="AY34" i="9"/>
  <c r="M32" i="22"/>
  <c r="J35" i="22"/>
  <c r="J82" i="38" s="1"/>
  <c r="Z23" i="29"/>
  <c r="T43" i="4"/>
  <c r="Y23" i="29"/>
  <c r="X28" i="31"/>
  <c r="T49" i="4"/>
  <c r="T18" i="30" s="1"/>
  <c r="AD16" i="25"/>
  <c r="S24" i="45"/>
  <c r="M15" i="22"/>
  <c r="K12" i="28" s="1"/>
  <c r="D167" i="38"/>
  <c r="P35" i="25"/>
  <c r="T53" i="30" s="1"/>
  <c r="S49" i="30"/>
  <c r="P31" i="25"/>
  <c r="S52" i="30"/>
  <c r="P34" i="25"/>
  <c r="T52" i="30" s="1"/>
  <c r="S51" i="30"/>
  <c r="P33" i="25"/>
  <c r="T51" i="30" s="1"/>
  <c r="P32" i="25"/>
  <c r="T50" i="30" s="1"/>
  <c r="AE15" i="25"/>
  <c r="AF15" i="25" s="1"/>
  <c r="K21" i="26"/>
  <c r="F31" i="45"/>
  <c r="R49" i="37" s="1"/>
  <c r="H53" i="36" s="1"/>
  <c r="K18" i="26"/>
  <c r="AH28" i="4"/>
  <c r="AI28" i="4" s="1"/>
  <c r="T46" i="4"/>
  <c r="T15" i="30" s="1"/>
  <c r="N250" i="38"/>
  <c r="Q250" i="38" s="1"/>
  <c r="G35" i="22"/>
  <c r="J79" i="38" s="1"/>
  <c r="R54" i="30"/>
  <c r="R61" i="30" s="1"/>
  <c r="N48" i="25"/>
  <c r="E21" i="28" s="1"/>
  <c r="D17" i="38" s="1"/>
  <c r="P36" i="25"/>
  <c r="T54" i="30" s="1"/>
  <c r="O48" i="25"/>
  <c r="I21" i="28" s="1"/>
  <c r="O21" i="28" s="1"/>
  <c r="O17" i="38" s="1"/>
  <c r="P37" i="25"/>
  <c r="T55" i="30" s="1"/>
  <c r="AE12" i="24"/>
  <c r="AN11" i="24" s="1"/>
  <c r="AN13" i="24"/>
  <c r="M34" i="24"/>
  <c r="K34" i="24"/>
  <c r="AN24" i="24" s="1"/>
  <c r="J117" i="26" s="1"/>
  <c r="O117" i="26" s="1"/>
  <c r="V117" i="26" s="1"/>
  <c r="AG12" i="24"/>
  <c r="AN12" i="24" s="1"/>
  <c r="AC12" i="24"/>
  <c r="AN26" i="24" s="1"/>
  <c r="K117" i="26" s="1"/>
  <c r="Q117" i="26" s="1"/>
  <c r="X117" i="26" s="1"/>
  <c r="AK12" i="24"/>
  <c r="AN14" i="24" s="1"/>
  <c r="AA12" i="24"/>
  <c r="AN25" i="24" s="1"/>
  <c r="L117" i="26" s="1"/>
  <c r="R117" i="26" s="1"/>
  <c r="Y117" i="26" s="1"/>
  <c r="I34" i="24"/>
  <c r="AN23" i="24" s="1"/>
  <c r="I117" i="26" s="1"/>
  <c r="N117" i="26" s="1"/>
  <c r="U117" i="26" s="1"/>
  <c r="S34" i="24"/>
  <c r="S47" i="24" s="1"/>
  <c r="T20" i="38" s="1"/>
  <c r="I161" i="38" s="1"/>
  <c r="S161" i="38" s="1"/>
  <c r="T46" i="31"/>
  <c r="T45" i="4"/>
  <c r="T14" i="30" s="1"/>
  <c r="T48" i="4"/>
  <c r="T17" i="30" s="1"/>
  <c r="S18" i="30"/>
  <c r="AY41" i="9"/>
  <c r="R22" i="30"/>
  <c r="T47" i="4"/>
  <c r="T16" i="30" s="1"/>
  <c r="AR23" i="9"/>
  <c r="K96" i="26" s="1"/>
  <c r="Q96" i="26" s="1"/>
  <c r="X96" i="26" s="1"/>
  <c r="K43" i="9"/>
  <c r="M43" i="9" s="1"/>
  <c r="J43" i="9"/>
  <c r="L43" i="9" s="1"/>
  <c r="W27" i="31" s="1"/>
  <c r="P23" i="29"/>
  <c r="S23" i="29" s="1"/>
  <c r="T44" i="4"/>
  <c r="T13" i="30" s="1"/>
  <c r="R54" i="4"/>
  <c r="E18" i="28" s="1"/>
  <c r="F18" i="28" s="1"/>
  <c r="N41" i="9"/>
  <c r="Z25" i="31" s="1"/>
  <c r="AI26" i="4"/>
  <c r="J18" i="26"/>
  <c r="I15" i="38" s="1"/>
  <c r="X13" i="31"/>
  <c r="AR22" i="9"/>
  <c r="L96" i="26" s="1"/>
  <c r="R96" i="26" s="1"/>
  <c r="Y96" i="26" s="1"/>
  <c r="AY47" i="9"/>
  <c r="N45" i="9"/>
  <c r="Z29" i="31" s="1"/>
  <c r="AZ46" i="9"/>
  <c r="AY35" i="9"/>
  <c r="L35" i="9"/>
  <c r="W14" i="31" s="1"/>
  <c r="AZ35" i="9"/>
  <c r="M35" i="9"/>
  <c r="K39" i="9"/>
  <c r="M39" i="9" s="1"/>
  <c r="N46" i="9"/>
  <c r="Z30" i="31" s="1"/>
  <c r="N47" i="9"/>
  <c r="Z31" i="31" s="1"/>
  <c r="X31" i="31"/>
  <c r="AY39" i="9"/>
  <c r="AY38" i="9"/>
  <c r="AZ38" i="9"/>
  <c r="M38" i="9"/>
  <c r="G31" i="45"/>
  <c r="T49" i="37" s="1"/>
  <c r="I53" i="36" s="1"/>
  <c r="V32" i="10"/>
  <c r="R12" i="49"/>
  <c r="H23" i="49" s="1"/>
  <c r="M12" i="49"/>
  <c r="T12" i="49"/>
  <c r="J23" i="49" s="1"/>
  <c r="N12" i="49"/>
  <c r="J32" i="26"/>
  <c r="I26" i="38" s="1"/>
  <c r="O105" i="26"/>
  <c r="V105" i="26" s="1"/>
  <c r="O125" i="26"/>
  <c r="V125" i="26" s="1"/>
  <c r="H26" i="38"/>
  <c r="N83" i="26"/>
  <c r="U83" i="26" s="1"/>
  <c r="I32" i="28"/>
  <c r="E26" i="38" s="1"/>
  <c r="L125" i="26"/>
  <c r="L105" i="26"/>
  <c r="E32" i="28"/>
  <c r="D26" i="38" s="1"/>
  <c r="Q33" i="26"/>
  <c r="F33" i="26"/>
  <c r="Z42" i="49"/>
  <c r="H17" i="46"/>
  <c r="H45" i="46" s="1"/>
  <c r="H58" i="46" s="1"/>
  <c r="H68" i="46" s="1"/>
  <c r="Z13" i="49"/>
  <c r="Z24" i="49" s="1"/>
  <c r="Z36" i="49" s="1"/>
  <c r="AB39" i="49"/>
  <c r="J17" i="46"/>
  <c r="J45" i="46" s="1"/>
  <c r="AA13" i="49"/>
  <c r="AA24" i="49" s="1"/>
  <c r="AA36" i="49" s="1"/>
  <c r="AB30" i="49"/>
  <c r="AB38" i="49"/>
  <c r="Y17" i="37"/>
  <c r="Y19" i="37"/>
  <c r="Z13" i="37"/>
  <c r="Y18" i="37"/>
  <c r="AB37" i="49"/>
  <c r="AA42" i="49"/>
  <c r="U49" i="37"/>
  <c r="K53" i="36" s="1"/>
  <c r="Z18" i="37"/>
  <c r="V63" i="46"/>
  <c r="Y62" i="46"/>
  <c r="Y72" i="46"/>
  <c r="E167" i="38"/>
  <c r="W28" i="38"/>
  <c r="L167" i="38" s="1"/>
  <c r="U32" i="10"/>
  <c r="L249" i="38"/>
  <c r="Q249" i="38" s="1"/>
  <c r="M14" i="22"/>
  <c r="L263" i="38"/>
  <c r="Q263" i="38" s="1"/>
  <c r="M31" i="22"/>
  <c r="V73" i="46"/>
  <c r="O32" i="10"/>
  <c r="AH16" i="35" s="1"/>
  <c r="AG16" i="35"/>
  <c r="AB13" i="47"/>
  <c r="AB39" i="47" s="1"/>
  <c r="AB47" i="47" s="1"/>
  <c r="AB55" i="47" s="1"/>
  <c r="L13" i="47"/>
  <c r="P13" i="47"/>
  <c r="P25" i="47" s="1"/>
  <c r="AC13" i="47"/>
  <c r="AC39" i="47" s="1"/>
  <c r="AC47" i="47" s="1"/>
  <c r="AC55" i="47" s="1"/>
  <c r="R13" i="47"/>
  <c r="F28" i="38"/>
  <c r="N84" i="26"/>
  <c r="U84" i="26" s="1"/>
  <c r="J28" i="38"/>
  <c r="V91" i="26"/>
  <c r="Q28" i="38"/>
  <c r="V111" i="26"/>
  <c r="K16" i="22"/>
  <c r="O251" i="38" s="1"/>
  <c r="K33" i="22"/>
  <c r="K35" i="22" s="1"/>
  <c r="J83" i="38" s="1"/>
  <c r="R41" i="30"/>
  <c r="Z19" i="37"/>
  <c r="P50" i="27"/>
  <c r="S33" i="30"/>
  <c r="S45" i="19"/>
  <c r="T33" i="30" s="1"/>
  <c r="S37" i="30"/>
  <c r="S49" i="19"/>
  <c r="T37" i="30" s="1"/>
  <c r="L172" i="38"/>
  <c r="Q61" i="5"/>
  <c r="R61" i="5"/>
  <c r="AH61" i="5"/>
  <c r="AG61" i="5"/>
  <c r="A984" i="7"/>
  <c r="R68" i="5"/>
  <c r="AH68" i="5"/>
  <c r="Q68" i="5"/>
  <c r="AG68" i="5"/>
  <c r="R67" i="5"/>
  <c r="AH67" i="5"/>
  <c r="AG67" i="5"/>
  <c r="Q67" i="5"/>
  <c r="N57" i="5"/>
  <c r="N74" i="5" s="1"/>
  <c r="G76" i="5"/>
  <c r="Q66" i="5"/>
  <c r="R66" i="5"/>
  <c r="AG66" i="5"/>
  <c r="AH66" i="5"/>
  <c r="Q58" i="5"/>
  <c r="R58" i="5"/>
  <c r="AH58" i="5"/>
  <c r="AG58" i="5"/>
  <c r="O57" i="5"/>
  <c r="J76" i="5"/>
  <c r="AH59" i="5"/>
  <c r="R59" i="5"/>
  <c r="Q59" i="5"/>
  <c r="AG59" i="5"/>
  <c r="AH65" i="5"/>
  <c r="AG65" i="5"/>
  <c r="R65" i="5"/>
  <c r="Q65" i="5"/>
  <c r="M57" i="5"/>
  <c r="F76" i="5"/>
  <c r="R60" i="5"/>
  <c r="AH60" i="5"/>
  <c r="AG60" i="5"/>
  <c r="Q60" i="5"/>
  <c r="Q62" i="5"/>
  <c r="R62" i="5"/>
  <c r="AG62" i="5"/>
  <c r="AH62" i="5"/>
  <c r="G111" i="26"/>
  <c r="S111" i="26" s="1"/>
  <c r="W38" i="36"/>
  <c r="D156" i="38"/>
  <c r="H157" i="38" s="1"/>
  <c r="E178" i="38" s="1"/>
  <c r="H178" i="38" s="1"/>
  <c r="H186" i="38" s="1"/>
  <c r="H193" i="38" s="1"/>
  <c r="H200" i="38" s="1"/>
  <c r="AN38" i="27"/>
  <c r="AC47" i="27" s="1"/>
  <c r="L112" i="26" s="1"/>
  <c r="O11" i="38"/>
  <c r="N78" i="38"/>
  <c r="N79" i="38"/>
  <c r="F178" i="38"/>
  <c r="I178" i="38" s="1"/>
  <c r="I186" i="38" s="1"/>
  <c r="I193" i="38" s="1"/>
  <c r="I200" i="38" s="1"/>
  <c r="X38" i="36"/>
  <c r="AL38" i="27"/>
  <c r="AB47" i="27" s="1"/>
  <c r="L92" i="26" s="1"/>
  <c r="R92" i="26" s="1"/>
  <c r="AM38" i="27"/>
  <c r="AB46" i="27" s="1"/>
  <c r="N44" i="27"/>
  <c r="P31" i="29"/>
  <c r="Q31" i="29"/>
  <c r="S30" i="29"/>
  <c r="A852" i="7"/>
  <c r="C41" i="45" s="1"/>
  <c r="V32" i="45"/>
  <c r="V31" i="29"/>
  <c r="Y31" i="29"/>
  <c r="Z31" i="29"/>
  <c r="AG41" i="5"/>
  <c r="Q41" i="5"/>
  <c r="X82" i="36"/>
  <c r="W82" i="36"/>
  <c r="S31" i="30"/>
  <c r="S12" i="30"/>
  <c r="Q98" i="26"/>
  <c r="AR24" i="15"/>
  <c r="L98" i="26" s="1"/>
  <c r="R98" i="26" s="1"/>
  <c r="AD27" i="19"/>
  <c r="AD31" i="19" s="1"/>
  <c r="O20" i="26" s="1"/>
  <c r="S20" i="26" s="1"/>
  <c r="AM27" i="24"/>
  <c r="I20" i="26"/>
  <c r="AB31" i="19"/>
  <c r="R54" i="19"/>
  <c r="I20" i="28" s="1"/>
  <c r="N72" i="26"/>
  <c r="U72" i="26" s="1"/>
  <c r="N113" i="26"/>
  <c r="S113" i="26" s="1"/>
  <c r="L36" i="9"/>
  <c r="W15" i="31" s="1"/>
  <c r="G93" i="26"/>
  <c r="S93" i="26" s="1"/>
  <c r="U91" i="26"/>
  <c r="U93" i="26"/>
  <c r="G91" i="26"/>
  <c r="S91" i="26" s="1"/>
  <c r="AN13" i="9"/>
  <c r="AS14" i="9" s="1"/>
  <c r="T15" i="31"/>
  <c r="Q36" i="9"/>
  <c r="AL13" i="9"/>
  <c r="AS13" i="9" s="1"/>
  <c r="K36" i="9"/>
  <c r="AZ36" i="9" s="1"/>
  <c r="AP13" i="9"/>
  <c r="AS15" i="9" s="1"/>
  <c r="AI13" i="9"/>
  <c r="AG13" i="9"/>
  <c r="I36" i="9"/>
  <c r="Q97" i="26"/>
  <c r="X97" i="26" s="1"/>
  <c r="I253" i="38"/>
  <c r="L265" i="38"/>
  <c r="I35" i="22"/>
  <c r="J81" i="38" s="1"/>
  <c r="V21" i="38"/>
  <c r="K162" i="38" s="1"/>
  <c r="H162" i="38"/>
  <c r="Q162" i="38" s="1"/>
  <c r="J96" i="26"/>
  <c r="K265" i="38"/>
  <c r="K267" i="38" s="1"/>
  <c r="H35" i="22"/>
  <c r="J80" i="38" s="1"/>
  <c r="J92" i="38" s="1"/>
  <c r="J94" i="38" s="1"/>
  <c r="AH34" i="15"/>
  <c r="AH47" i="15" s="1"/>
  <c r="Z77" i="31"/>
  <c r="I34" i="15"/>
  <c r="AJ15" i="15"/>
  <c r="AS15" i="15" s="1"/>
  <c r="AF15" i="15"/>
  <c r="AH15" i="15"/>
  <c r="AP15" i="15"/>
  <c r="AS17" i="15" s="1"/>
  <c r="AL15" i="15"/>
  <c r="M34" i="15"/>
  <c r="AN15" i="15"/>
  <c r="S34" i="15"/>
  <c r="K34" i="15"/>
  <c r="S54" i="4"/>
  <c r="I18" i="28" s="1"/>
  <c r="AL31" i="10"/>
  <c r="AS12" i="10" s="1"/>
  <c r="AS15" i="10" s="1"/>
  <c r="N26" i="26" s="1"/>
  <c r="R26" i="26" s="1"/>
  <c r="AD15" i="35"/>
  <c r="S31" i="10"/>
  <c r="V31" i="10" s="1"/>
  <c r="J31" i="10"/>
  <c r="AR20" i="10"/>
  <c r="M31" i="10"/>
  <c r="I265" i="38"/>
  <c r="I267" i="38" s="1"/>
  <c r="F35" i="22"/>
  <c r="J78" i="38" s="1"/>
  <c r="J98" i="26"/>
  <c r="AI34" i="15"/>
  <c r="AI47" i="15" s="1"/>
  <c r="H102" i="38" s="1"/>
  <c r="N34" i="15"/>
  <c r="H160" i="38"/>
  <c r="V20" i="38"/>
  <c r="K161" i="38" s="1"/>
  <c r="H161" i="38"/>
  <c r="Q161" i="38" s="1"/>
  <c r="Q264" i="38"/>
  <c r="N267" i="38"/>
  <c r="N34" i="24"/>
  <c r="Q54" i="19"/>
  <c r="E20" i="28" s="1"/>
  <c r="S43" i="19"/>
  <c r="AH25" i="4"/>
  <c r="I18" i="26"/>
  <c r="AG29" i="4"/>
  <c r="G114" i="26"/>
  <c r="S114" i="26" s="1"/>
  <c r="V114" i="26"/>
  <c r="AF13" i="25"/>
  <c r="J21" i="26"/>
  <c r="O72" i="26" s="1"/>
  <c r="V72" i="26" s="1"/>
  <c r="G94" i="26"/>
  <c r="O94" i="26"/>
  <c r="V94" i="26" s="1"/>
  <c r="N92" i="26"/>
  <c r="U92" i="26" s="1"/>
  <c r="BB44" i="27"/>
  <c r="J46" i="27"/>
  <c r="N46" i="27" s="1"/>
  <c r="X112" i="26"/>
  <c r="AI28" i="27"/>
  <c r="AP53" i="27"/>
  <c r="J47" i="27"/>
  <c r="N47" i="27" s="1"/>
  <c r="AI27" i="27"/>
  <c r="K45" i="27"/>
  <c r="O45" i="27" s="1"/>
  <c r="BB49" i="27"/>
  <c r="BA49" i="27"/>
  <c r="K47" i="27"/>
  <c r="O47" i="27" s="1"/>
  <c r="BA48" i="27"/>
  <c r="N112" i="26"/>
  <c r="U112" i="26" s="1"/>
  <c r="AM53" i="27"/>
  <c r="J45" i="27"/>
  <c r="N45" i="27" s="1"/>
  <c r="AI25" i="27"/>
  <c r="I19" i="26"/>
  <c r="H25" i="38" s="1"/>
  <c r="V112" i="26"/>
  <c r="K48" i="27"/>
  <c r="O48" i="27" s="1"/>
  <c r="AI26" i="27"/>
  <c r="R97" i="26"/>
  <c r="Y97" i="26" s="1"/>
  <c r="J97" i="26"/>
  <c r="O97" i="26" s="1"/>
  <c r="V97" i="26" s="1"/>
  <c r="P49" i="27"/>
  <c r="K46" i="27"/>
  <c r="O46" i="27" s="1"/>
  <c r="T45" i="5"/>
  <c r="AG44" i="5"/>
  <c r="Q44" i="5"/>
  <c r="R44" i="5"/>
  <c r="AG46" i="5"/>
  <c r="AH46" i="5"/>
  <c r="Q46" i="5"/>
  <c r="AF51" i="35" s="1"/>
  <c r="AH51" i="35" s="1"/>
  <c r="K80" i="26"/>
  <c r="M51" i="5"/>
  <c r="T47" i="5"/>
  <c r="R41" i="5"/>
  <c r="AH41" i="5"/>
  <c r="AH42" i="5"/>
  <c r="AG42" i="5"/>
  <c r="R42" i="5"/>
  <c r="AF53" i="35"/>
  <c r="AH53" i="35" s="1"/>
  <c r="T48" i="5"/>
  <c r="T40" i="5"/>
  <c r="AG48" i="35"/>
  <c r="AH48" i="35" s="1"/>
  <c r="T43" i="5"/>
  <c r="O70" i="26"/>
  <c r="V70" i="26" s="1"/>
  <c r="P53" i="27"/>
  <c r="N34" i="9" l="1"/>
  <c r="Z13" i="31" s="1"/>
  <c r="L31" i="45"/>
  <c r="F167" i="38"/>
  <c r="E82" i="38"/>
  <c r="S61" i="30"/>
  <c r="AF16" i="25"/>
  <c r="O21" i="26" s="1"/>
  <c r="S21" i="26" s="1"/>
  <c r="K12" i="26"/>
  <c r="N253" i="38"/>
  <c r="P48" i="25"/>
  <c r="E21" i="26" s="1"/>
  <c r="Q21" i="26" s="1"/>
  <c r="AH29" i="4"/>
  <c r="N18" i="26" s="1"/>
  <c r="R18" i="26" s="1"/>
  <c r="AE16" i="25"/>
  <c r="N21" i="26" s="1"/>
  <c r="R21" i="26" s="1"/>
  <c r="T49" i="30"/>
  <c r="T61" i="30" s="1"/>
  <c r="K17" i="38"/>
  <c r="Q72" i="26"/>
  <c r="X72" i="26" s="1"/>
  <c r="S22" i="30"/>
  <c r="O69" i="26"/>
  <c r="V69" i="26" s="1"/>
  <c r="K15" i="38"/>
  <c r="Q69" i="26"/>
  <c r="X69" i="26" s="1"/>
  <c r="H35" i="49"/>
  <c r="W20" i="38"/>
  <c r="L161" i="38" s="1"/>
  <c r="N21" i="28"/>
  <c r="N17" i="38" s="1"/>
  <c r="Q17" i="38" s="1"/>
  <c r="J21" i="28"/>
  <c r="F21" i="28"/>
  <c r="T34" i="24"/>
  <c r="T47" i="24" s="1"/>
  <c r="H21" i="28"/>
  <c r="E17" i="38"/>
  <c r="F17" i="38" s="1"/>
  <c r="AM14" i="24"/>
  <c r="AO14" i="24" s="1"/>
  <c r="AM12" i="24"/>
  <c r="J24" i="26" s="1"/>
  <c r="I20" i="38" s="1"/>
  <c r="AM13" i="24"/>
  <c r="L24" i="26" s="1"/>
  <c r="R75" i="26" s="1"/>
  <c r="AM11" i="24"/>
  <c r="I24" i="26" s="1"/>
  <c r="O34" i="24"/>
  <c r="X46" i="31" s="1"/>
  <c r="N18" i="28"/>
  <c r="N15" i="38" s="1"/>
  <c r="D15" i="38"/>
  <c r="AY43" i="9"/>
  <c r="AY49" i="9" s="1"/>
  <c r="H100" i="38" s="1"/>
  <c r="AZ43" i="9"/>
  <c r="N43" i="9"/>
  <c r="Z27" i="31" s="1"/>
  <c r="X27" i="31"/>
  <c r="AR24" i="9"/>
  <c r="X14" i="31"/>
  <c r="N35" i="9"/>
  <c r="Z14" i="31" s="1"/>
  <c r="M31" i="45"/>
  <c r="AZ39" i="9"/>
  <c r="X23" i="31"/>
  <c r="N39" i="9"/>
  <c r="Z23" i="31" s="1"/>
  <c r="X22" i="31"/>
  <c r="N38" i="9"/>
  <c r="Z22" i="31" s="1"/>
  <c r="W32" i="10"/>
  <c r="T23" i="49"/>
  <c r="P35" i="49" s="1"/>
  <c r="V23" i="49"/>
  <c r="Q35" i="49" s="1"/>
  <c r="J35" i="49"/>
  <c r="O83" i="26"/>
  <c r="V83" i="26" s="1"/>
  <c r="N32" i="26"/>
  <c r="R32" i="26" s="1"/>
  <c r="N36" i="46"/>
  <c r="N76" i="46" s="1"/>
  <c r="F26" i="38"/>
  <c r="L32" i="26"/>
  <c r="L26" i="38" s="1"/>
  <c r="E32" i="26"/>
  <c r="N32" i="28"/>
  <c r="N26" i="38" s="1"/>
  <c r="H32" i="28"/>
  <c r="F32" i="28"/>
  <c r="R105" i="26"/>
  <c r="Y105" i="26" s="1"/>
  <c r="G105" i="26"/>
  <c r="R125" i="26"/>
  <c r="Y125" i="26" s="1"/>
  <c r="G125" i="26"/>
  <c r="J32" i="28"/>
  <c r="O32" i="28"/>
  <c r="O26" i="38" s="1"/>
  <c r="AA62" i="46"/>
  <c r="AB42" i="49"/>
  <c r="AA18" i="37"/>
  <c r="Y16" i="37"/>
  <c r="Z17" i="37"/>
  <c r="Z16" i="37"/>
  <c r="AC235" i="37"/>
  <c r="W32" i="45" s="1"/>
  <c r="I32" i="45" s="1"/>
  <c r="Z14" i="37"/>
  <c r="AA19" i="37"/>
  <c r="Y14" i="37"/>
  <c r="Z15" i="37"/>
  <c r="U44" i="10"/>
  <c r="V23" i="38" s="1"/>
  <c r="K163" i="38" s="1"/>
  <c r="AA72" i="46"/>
  <c r="L267" i="38"/>
  <c r="L253" i="38"/>
  <c r="E81" i="38"/>
  <c r="K11" i="28"/>
  <c r="K11" i="26"/>
  <c r="J58" i="46"/>
  <c r="J68" i="46" s="1"/>
  <c r="O36" i="46"/>
  <c r="O76" i="46" s="1"/>
  <c r="N13" i="47"/>
  <c r="R25" i="47"/>
  <c r="AC21" i="47"/>
  <c r="AC24" i="47"/>
  <c r="AB24" i="47"/>
  <c r="AB21" i="47"/>
  <c r="AG46" i="35"/>
  <c r="AF47" i="35"/>
  <c r="W21" i="47"/>
  <c r="W24" i="47" s="1"/>
  <c r="R39" i="47" s="1"/>
  <c r="Y21" i="47"/>
  <c r="Y24" i="47" s="1"/>
  <c r="U39" i="47" s="1"/>
  <c r="S41" i="30"/>
  <c r="AF46" i="35"/>
  <c r="E186" i="38"/>
  <c r="E193" i="38" s="1"/>
  <c r="E200" i="38" s="1"/>
  <c r="K208" i="38" s="1"/>
  <c r="T62" i="5"/>
  <c r="AG49" i="35"/>
  <c r="AG47" i="35"/>
  <c r="AF50" i="35"/>
  <c r="AF49" i="35"/>
  <c r="T61" i="5"/>
  <c r="T68" i="5"/>
  <c r="T60" i="5"/>
  <c r="T59" i="5"/>
  <c r="T58" i="5"/>
  <c r="A999" i="7"/>
  <c r="T67" i="5"/>
  <c r="AG50" i="35"/>
  <c r="Q57" i="5"/>
  <c r="AG57" i="5"/>
  <c r="AH57" i="5"/>
  <c r="M74" i="5"/>
  <c r="T65" i="5"/>
  <c r="R57" i="5"/>
  <c r="O74" i="5"/>
  <c r="T66" i="5"/>
  <c r="K157" i="38"/>
  <c r="N157" i="38" s="1"/>
  <c r="K172" i="38" s="1"/>
  <c r="AN15" i="24"/>
  <c r="N24" i="26" s="1"/>
  <c r="R24" i="26" s="1"/>
  <c r="AN27" i="24"/>
  <c r="F186" i="38"/>
  <c r="F193" i="38" s="1"/>
  <c r="F200" i="38" s="1"/>
  <c r="L208" i="38" s="1"/>
  <c r="Y92" i="26"/>
  <c r="AG28" i="27"/>
  <c r="L19" i="26" s="1"/>
  <c r="R70" i="26" s="1"/>
  <c r="AG27" i="27"/>
  <c r="K19" i="26" s="1"/>
  <c r="BB46" i="27"/>
  <c r="BA45" i="27"/>
  <c r="BB47" i="27"/>
  <c r="BB45" i="27"/>
  <c r="BB48" i="27"/>
  <c r="BA47" i="27"/>
  <c r="Y13" i="37"/>
  <c r="P44" i="27"/>
  <c r="S31" i="29"/>
  <c r="A880" i="7"/>
  <c r="C40" i="29"/>
  <c r="S94" i="26"/>
  <c r="T31" i="30"/>
  <c r="T41" i="30" s="1"/>
  <c r="M16" i="22"/>
  <c r="M18" i="22" s="1"/>
  <c r="U113" i="26"/>
  <c r="M33" i="22"/>
  <c r="M35" i="22" s="1"/>
  <c r="O265" i="38"/>
  <c r="Q265" i="38" s="1"/>
  <c r="Q267" i="38" s="1"/>
  <c r="K18" i="22"/>
  <c r="H83" i="38" s="1"/>
  <c r="H86" i="38" s="1"/>
  <c r="T12" i="30"/>
  <c r="T22" i="30" s="1"/>
  <c r="O253" i="38"/>
  <c r="Q251" i="38"/>
  <c r="Q253" i="38" s="1"/>
  <c r="AR26" i="15"/>
  <c r="Y98" i="26"/>
  <c r="N71" i="26"/>
  <c r="U71" i="26" s="1"/>
  <c r="H16" i="38"/>
  <c r="L49" i="9"/>
  <c r="W35" i="31" s="1"/>
  <c r="S54" i="19"/>
  <c r="E20" i="26" s="1"/>
  <c r="Q20" i="26" s="1"/>
  <c r="M36" i="9"/>
  <c r="N36" i="9" s="1"/>
  <c r="AJ34" i="15"/>
  <c r="AJ47" i="15" s="1"/>
  <c r="J102" i="38" s="1"/>
  <c r="O34" i="15"/>
  <c r="O96" i="26"/>
  <c r="V96" i="26" s="1"/>
  <c r="G96" i="26"/>
  <c r="AB77" i="31"/>
  <c r="N47" i="15"/>
  <c r="AR17" i="15"/>
  <c r="AS25" i="15"/>
  <c r="K118" i="26" s="1"/>
  <c r="Q49" i="9"/>
  <c r="T19" i="38" s="1"/>
  <c r="R36" i="9"/>
  <c r="R49" i="9" s="1"/>
  <c r="AR16" i="15"/>
  <c r="AS24" i="15"/>
  <c r="L118" i="26" s="1"/>
  <c r="W31" i="10"/>
  <c r="V44" i="10"/>
  <c r="T23" i="38" s="1"/>
  <c r="AS16" i="9"/>
  <c r="N23" i="26" s="1"/>
  <c r="R23" i="26" s="1"/>
  <c r="T54" i="4"/>
  <c r="E18" i="26" s="1"/>
  <c r="AF15" i="35"/>
  <c r="M44" i="10"/>
  <c r="AR13" i="9"/>
  <c r="AS21" i="9"/>
  <c r="W46" i="31"/>
  <c r="N47" i="24"/>
  <c r="V98" i="26"/>
  <c r="O98" i="26"/>
  <c r="G98" i="26"/>
  <c r="S98" i="26" s="1"/>
  <c r="J99" i="26"/>
  <c r="AR23" i="10"/>
  <c r="T34" i="15"/>
  <c r="T47" i="15" s="1"/>
  <c r="S47" i="15"/>
  <c r="T21" i="38" s="1"/>
  <c r="AS23" i="15"/>
  <c r="AR15" i="15"/>
  <c r="AR14" i="9"/>
  <c r="AS22" i="9"/>
  <c r="L116" i="26" s="1"/>
  <c r="Q160" i="38"/>
  <c r="J86" i="38"/>
  <c r="AR12" i="10"/>
  <c r="AS20" i="10"/>
  <c r="N31" i="10"/>
  <c r="AS16" i="15"/>
  <c r="AS18" i="15" s="1"/>
  <c r="N25" i="26" s="1"/>
  <c r="R25" i="26" s="1"/>
  <c r="AS23" i="9"/>
  <c r="K116" i="26" s="1"/>
  <c r="AR15" i="9"/>
  <c r="N20" i="28"/>
  <c r="N16" i="38" s="1"/>
  <c r="D16" i="38"/>
  <c r="F20" i="28"/>
  <c r="H20" i="28"/>
  <c r="O20" i="28"/>
  <c r="O16" i="38" s="1"/>
  <c r="E16" i="38"/>
  <c r="J20" i="28"/>
  <c r="O18" i="28"/>
  <c r="O15" i="38" s="1"/>
  <c r="J18" i="28"/>
  <c r="E15" i="38"/>
  <c r="H15" i="38"/>
  <c r="N69" i="26"/>
  <c r="U69" i="26" s="1"/>
  <c r="H18" i="28"/>
  <c r="AI25" i="4"/>
  <c r="AI29" i="4" s="1"/>
  <c r="O18" i="26" s="1"/>
  <c r="S18" i="26" s="1"/>
  <c r="I17" i="38"/>
  <c r="P47" i="27"/>
  <c r="BA46" i="27"/>
  <c r="N70" i="26"/>
  <c r="U70" i="26" s="1"/>
  <c r="N55" i="27"/>
  <c r="E19" i="28" s="1"/>
  <c r="N19" i="28" s="1"/>
  <c r="P45" i="27"/>
  <c r="AI29" i="27"/>
  <c r="O19" i="26" s="1"/>
  <c r="S19" i="26" s="1"/>
  <c r="G97" i="26"/>
  <c r="S97" i="26" s="1"/>
  <c r="P48" i="27"/>
  <c r="G117" i="26"/>
  <c r="S117" i="26" s="1"/>
  <c r="O55" i="27"/>
  <c r="I19" i="28" s="1"/>
  <c r="R112" i="26"/>
  <c r="G112" i="26"/>
  <c r="K92" i="26"/>
  <c r="AB48" i="27"/>
  <c r="Y15" i="37"/>
  <c r="P46" i="27"/>
  <c r="T44" i="5"/>
  <c r="R51" i="5"/>
  <c r="AI51" i="5"/>
  <c r="Q51" i="5"/>
  <c r="T46" i="5"/>
  <c r="T42" i="5"/>
  <c r="T41" i="5"/>
  <c r="Y31" i="45" l="1"/>
  <c r="F21" i="26"/>
  <c r="P31" i="45"/>
  <c r="O75" i="26"/>
  <c r="V75" i="26" s="1"/>
  <c r="F32" i="45"/>
  <c r="R50" i="37" s="1"/>
  <c r="Q15" i="38"/>
  <c r="K24" i="26"/>
  <c r="K20" i="38" s="1"/>
  <c r="P34" i="24"/>
  <c r="Z46" i="31" s="1"/>
  <c r="AM15" i="24"/>
  <c r="AO11" i="24"/>
  <c r="L20" i="38"/>
  <c r="AO13" i="24"/>
  <c r="Y75" i="26"/>
  <c r="AO12" i="24"/>
  <c r="O47" i="24"/>
  <c r="I24" i="28" s="1"/>
  <c r="J24" i="28" s="1"/>
  <c r="W44" i="10"/>
  <c r="D159" i="38"/>
  <c r="AZ49" i="9"/>
  <c r="J100" i="38" s="1"/>
  <c r="G32" i="45"/>
  <c r="M32" i="45" s="1"/>
  <c r="AB30" i="47"/>
  <c r="M23" i="49"/>
  <c r="N23" i="49"/>
  <c r="Q26" i="38"/>
  <c r="O32" i="26"/>
  <c r="S32" i="26" s="1"/>
  <c r="S105" i="26"/>
  <c r="Q32" i="26"/>
  <c r="F32" i="26"/>
  <c r="R83" i="26"/>
  <c r="Y83" i="26" s="1"/>
  <c r="Z23" i="37"/>
  <c r="U50" i="37"/>
  <c r="AA17" i="37"/>
  <c r="AA16" i="37"/>
  <c r="AA15" i="37"/>
  <c r="AA14" i="37"/>
  <c r="AA13" i="37"/>
  <c r="H163" i="38"/>
  <c r="AH47" i="35"/>
  <c r="O19" i="28"/>
  <c r="F15" i="38"/>
  <c r="AC30" i="47"/>
  <c r="U47" i="47"/>
  <c r="Y92" i="47"/>
  <c r="R47" i="47"/>
  <c r="W92" i="47"/>
  <c r="AH46" i="35"/>
  <c r="Y112" i="26"/>
  <c r="Q18" i="26"/>
  <c r="I54" i="17"/>
  <c r="AH49" i="35"/>
  <c r="S96" i="26"/>
  <c r="AH50" i="35"/>
  <c r="AI74" i="5"/>
  <c r="AI102" i="5" s="1"/>
  <c r="N29" i="26" s="1"/>
  <c r="R29" i="26" s="1"/>
  <c r="Q157" i="38"/>
  <c r="T57" i="5"/>
  <c r="T74" i="5" s="1"/>
  <c r="K29" i="26" s="1"/>
  <c r="R74" i="5"/>
  <c r="AN98" i="5" s="1"/>
  <c r="K122" i="26" s="1"/>
  <c r="Q122" i="26" s="1"/>
  <c r="X122" i="26" s="1"/>
  <c r="AG45" i="35"/>
  <c r="A1014" i="7"/>
  <c r="Q74" i="5"/>
  <c r="AM98" i="5" s="1"/>
  <c r="K102" i="26" s="1"/>
  <c r="Q102" i="26" s="1"/>
  <c r="X102" i="26" s="1"/>
  <c r="AF45" i="35"/>
  <c r="AF55" i="35" s="1"/>
  <c r="AH28" i="27"/>
  <c r="Y70" i="26"/>
  <c r="AG29" i="27"/>
  <c r="AH27" i="27"/>
  <c r="BA55" i="27"/>
  <c r="BB55" i="27"/>
  <c r="S112" i="26"/>
  <c r="Y23" i="37"/>
  <c r="R235" i="37"/>
  <c r="D40" i="29" s="1"/>
  <c r="C40" i="45"/>
  <c r="A895" i="7"/>
  <c r="C13" i="45"/>
  <c r="E83" i="38"/>
  <c r="E86" i="38" s="1"/>
  <c r="B87" i="38" s="1"/>
  <c r="K13" i="26"/>
  <c r="O12" i="26" s="1"/>
  <c r="O14" i="26" s="1"/>
  <c r="O267" i="38"/>
  <c r="K13" i="28"/>
  <c r="O12" i="28" s="1"/>
  <c r="E23" i="28"/>
  <c r="N23" i="28" s="1"/>
  <c r="N19" i="38" s="1"/>
  <c r="X15" i="31"/>
  <c r="F20" i="26"/>
  <c r="M49" i="9"/>
  <c r="I23" i="28" s="1"/>
  <c r="F16" i="38"/>
  <c r="Q16" i="38"/>
  <c r="Q118" i="26"/>
  <c r="X118" i="26"/>
  <c r="J116" i="26"/>
  <c r="AS24" i="9"/>
  <c r="K25" i="26"/>
  <c r="AT17" i="15"/>
  <c r="K23" i="26"/>
  <c r="AT15" i="9"/>
  <c r="J25" i="26"/>
  <c r="AR18" i="15"/>
  <c r="AT15" i="15"/>
  <c r="J23" i="26"/>
  <c r="AR16" i="9"/>
  <c r="AT13" i="9"/>
  <c r="AB96" i="31"/>
  <c r="E25" i="28"/>
  <c r="F18" i="26"/>
  <c r="Q116" i="26"/>
  <c r="X116" i="26" s="1"/>
  <c r="J118" i="26"/>
  <c r="AS26" i="15"/>
  <c r="E24" i="28"/>
  <c r="W65" i="31"/>
  <c r="R118" i="26"/>
  <c r="Y118" i="26" s="1"/>
  <c r="AC77" i="31"/>
  <c r="P34" i="15"/>
  <c r="O47" i="15"/>
  <c r="W21" i="38"/>
  <c r="L162" i="38" s="1"/>
  <c r="I162" i="38"/>
  <c r="S162" i="38" s="1"/>
  <c r="L25" i="26"/>
  <c r="AT16" i="15"/>
  <c r="O99" i="26"/>
  <c r="V99" i="26" s="1"/>
  <c r="G99" i="26"/>
  <c r="R116" i="26"/>
  <c r="Y116" i="26" s="1"/>
  <c r="H20" i="38"/>
  <c r="H30" i="38" s="1"/>
  <c r="N75" i="26"/>
  <c r="U75" i="26" s="1"/>
  <c r="J26" i="26"/>
  <c r="AT12" i="10"/>
  <c r="AT15" i="10" s="1"/>
  <c r="O26" i="26" s="1"/>
  <c r="S26" i="26" s="1"/>
  <c r="AR15" i="10"/>
  <c r="W23" i="38"/>
  <c r="L163" i="38" s="1"/>
  <c r="I163" i="38"/>
  <c r="S163" i="38" s="1"/>
  <c r="AG15" i="35"/>
  <c r="O31" i="10"/>
  <c r="N44" i="10"/>
  <c r="J119" i="26"/>
  <c r="AS23" i="10"/>
  <c r="Z15" i="31"/>
  <c r="N49" i="9"/>
  <c r="L23" i="26"/>
  <c r="AT14" i="9"/>
  <c r="E26" i="28"/>
  <c r="AF35" i="35"/>
  <c r="I160" i="38"/>
  <c r="T30" i="38"/>
  <c r="E159" i="38"/>
  <c r="P55" i="27"/>
  <c r="E19" i="26" s="1"/>
  <c r="Q19" i="26" s="1"/>
  <c r="F19" i="28"/>
  <c r="J19" i="28"/>
  <c r="H19" i="28"/>
  <c r="Q92" i="26"/>
  <c r="G92" i="26"/>
  <c r="Q70" i="26"/>
  <c r="AN97" i="5"/>
  <c r="L122" i="26" s="1"/>
  <c r="AM97" i="5"/>
  <c r="L102" i="26" s="1"/>
  <c r="T51" i="5"/>
  <c r="L29" i="26" s="1"/>
  <c r="R80" i="26" s="1"/>
  <c r="L32" i="45" l="1"/>
  <c r="Y32" i="45" s="1"/>
  <c r="O14" i="28"/>
  <c r="O8" i="38" s="1"/>
  <c r="J32" i="38" s="1"/>
  <c r="J34" i="38" s="1"/>
  <c r="Q75" i="26"/>
  <c r="X75" i="26" s="1"/>
  <c r="P47" i="24"/>
  <c r="E24" i="26" s="1"/>
  <c r="F24" i="26" s="1"/>
  <c r="AO15" i="24"/>
  <c r="O24" i="26" s="1"/>
  <c r="S24" i="26" s="1"/>
  <c r="O24" i="28"/>
  <c r="O20" i="38" s="1"/>
  <c r="X65" i="31"/>
  <c r="E20" i="38"/>
  <c r="E161" i="38" s="1"/>
  <c r="F159" i="38"/>
  <c r="T50" i="37"/>
  <c r="AE95" i="47"/>
  <c r="P92" i="47"/>
  <c r="AF95" i="47"/>
  <c r="R92" i="47"/>
  <c r="AA23" i="37"/>
  <c r="F225" i="37"/>
  <c r="D13" i="45" s="1"/>
  <c r="R234" i="37"/>
  <c r="D40" i="45" s="1"/>
  <c r="Q163" i="38"/>
  <c r="Q169" i="38" s="1"/>
  <c r="H169" i="38"/>
  <c r="X92" i="26"/>
  <c r="X70" i="26"/>
  <c r="S99" i="26"/>
  <c r="F54" i="17"/>
  <c r="R54" i="17" s="1"/>
  <c r="G54" i="17"/>
  <c r="R102" i="5"/>
  <c r="I29" i="28" s="1"/>
  <c r="E24" i="38" s="1"/>
  <c r="Q102" i="5"/>
  <c r="A1029" i="7"/>
  <c r="AH45" i="35"/>
  <c r="AH55" i="35" s="1"/>
  <c r="AG55" i="35"/>
  <c r="C54" i="45"/>
  <c r="C57" i="45"/>
  <c r="C56" i="45"/>
  <c r="C58" i="45"/>
  <c r="C55" i="45"/>
  <c r="K24" i="38"/>
  <c r="Q80" i="26"/>
  <c r="X80" i="26" s="1"/>
  <c r="AH29" i="27"/>
  <c r="N19" i="26" s="1"/>
  <c r="R19" i="26" s="1"/>
  <c r="S92" i="26"/>
  <c r="D41" i="45"/>
  <c r="N41" i="45" s="1"/>
  <c r="A910" i="7"/>
  <c r="A925" i="7" s="1"/>
  <c r="M40" i="29"/>
  <c r="L40" i="29"/>
  <c r="N40" i="29"/>
  <c r="I37" i="26"/>
  <c r="H32" i="38" s="1"/>
  <c r="H34" i="38" s="1"/>
  <c r="F23" i="28"/>
  <c r="D19" i="38"/>
  <c r="X35" i="31"/>
  <c r="O116" i="26"/>
  <c r="G116" i="26"/>
  <c r="Q74" i="26"/>
  <c r="X74" i="26" s="1"/>
  <c r="K19" i="38"/>
  <c r="AT16" i="9"/>
  <c r="O23" i="26" s="1"/>
  <c r="S23" i="26" s="1"/>
  <c r="O119" i="26"/>
  <c r="V119" i="26" s="1"/>
  <c r="G119" i="26"/>
  <c r="I21" i="38"/>
  <c r="O76" i="26"/>
  <c r="V76" i="26"/>
  <c r="N26" i="28"/>
  <c r="N23" i="38" s="1"/>
  <c r="F26" i="28"/>
  <c r="D23" i="38"/>
  <c r="D163" i="38" s="1"/>
  <c r="AH15" i="35"/>
  <c r="O44" i="10"/>
  <c r="R74" i="26"/>
  <c r="Y74" i="26" s="1"/>
  <c r="L19" i="38"/>
  <c r="L21" i="38"/>
  <c r="R76" i="26"/>
  <c r="Y76" i="26" s="1"/>
  <c r="O23" i="28"/>
  <c r="O19" i="38" s="1"/>
  <c r="Q19" i="38" s="1"/>
  <c r="E19" i="38"/>
  <c r="J23" i="28"/>
  <c r="Z35" i="31"/>
  <c r="E23" i="26"/>
  <c r="I25" i="28"/>
  <c r="H25" i="28" s="1"/>
  <c r="AC96" i="31"/>
  <c r="G118" i="26"/>
  <c r="O118" i="26"/>
  <c r="V118" i="26"/>
  <c r="O74" i="26"/>
  <c r="V74" i="26" s="1"/>
  <c r="I19" i="38"/>
  <c r="N25" i="28"/>
  <c r="N21" i="38" s="1"/>
  <c r="F25" i="28"/>
  <c r="D21" i="38"/>
  <c r="D162" i="38" s="1"/>
  <c r="AD77" i="31"/>
  <c r="P47" i="15"/>
  <c r="AG35" i="35"/>
  <c r="I26" i="28"/>
  <c r="I23" i="38"/>
  <c r="O77" i="26"/>
  <c r="V77" i="26" s="1"/>
  <c r="N24" i="28"/>
  <c r="N20" i="38" s="1"/>
  <c r="D20" i="38"/>
  <c r="F24" i="28"/>
  <c r="H24" i="28"/>
  <c r="S160" i="38"/>
  <c r="S169" i="38" s="1"/>
  <c r="I169" i="38"/>
  <c r="AT18" i="15"/>
  <c r="O25" i="26" s="1"/>
  <c r="S25" i="26" s="1"/>
  <c r="H23" i="28"/>
  <c r="Q76" i="26"/>
  <c r="K21" i="38"/>
  <c r="X76" i="26"/>
  <c r="AN99" i="5"/>
  <c r="F19" i="26"/>
  <c r="AM99" i="5"/>
  <c r="Y80" i="26"/>
  <c r="L24" i="38"/>
  <c r="G102" i="26"/>
  <c r="R102" i="26"/>
  <c r="G122" i="26"/>
  <c r="R122" i="26"/>
  <c r="S118" i="26" l="1"/>
  <c r="P32" i="45"/>
  <c r="L54" i="17"/>
  <c r="G57" i="17" s="1"/>
  <c r="H86" i="17" s="1"/>
  <c r="Z65" i="31"/>
  <c r="D12" i="29"/>
  <c r="M12" i="29" s="1"/>
  <c r="Q24" i="26"/>
  <c r="Q20" i="38"/>
  <c r="D39" i="29"/>
  <c r="N39" i="29" s="1"/>
  <c r="J224" i="37"/>
  <c r="D54" i="45" s="1"/>
  <c r="W19" i="38"/>
  <c r="L160" i="38" s="1"/>
  <c r="K54" i="17"/>
  <c r="E57" i="17" s="1"/>
  <c r="F86" i="17" s="1"/>
  <c r="Q54" i="17"/>
  <c r="S56" i="17" s="1"/>
  <c r="S86" i="17" s="1"/>
  <c r="D160" i="38"/>
  <c r="V19" i="38"/>
  <c r="K160" i="38" s="1"/>
  <c r="S32" i="38"/>
  <c r="S34" i="38" s="1"/>
  <c r="V116" i="26"/>
  <c r="T32" i="38"/>
  <c r="T34" i="38" s="1"/>
  <c r="O153" i="38"/>
  <c r="O29" i="28"/>
  <c r="O24" i="38" s="1"/>
  <c r="S119" i="26"/>
  <c r="H26" i="28"/>
  <c r="J29" i="28"/>
  <c r="S116" i="26"/>
  <c r="E29" i="28"/>
  <c r="T102" i="5"/>
  <c r="A940" i="7"/>
  <c r="C79" i="45"/>
  <c r="A1044" i="7"/>
  <c r="L41" i="45"/>
  <c r="Z41" i="45" s="1"/>
  <c r="M41" i="45"/>
  <c r="N40" i="45"/>
  <c r="L40" i="45"/>
  <c r="M40" i="45"/>
  <c r="C68" i="45"/>
  <c r="C67" i="45"/>
  <c r="C66" i="45"/>
  <c r="C65" i="45"/>
  <c r="C64" i="45"/>
  <c r="J228" i="37"/>
  <c r="D58" i="45" s="1"/>
  <c r="J226" i="37"/>
  <c r="D56" i="45" s="1"/>
  <c r="J225" i="37"/>
  <c r="D55" i="45" s="1"/>
  <c r="J227" i="37"/>
  <c r="D57" i="45" s="1"/>
  <c r="P40" i="29"/>
  <c r="Y40" i="29"/>
  <c r="Q40" i="29"/>
  <c r="Z40" i="29"/>
  <c r="L13" i="45"/>
  <c r="N13" i="45"/>
  <c r="M13" i="45"/>
  <c r="E160" i="38"/>
  <c r="F19" i="38"/>
  <c r="AH35" i="35"/>
  <c r="E26" i="26"/>
  <c r="E25" i="26"/>
  <c r="AD96" i="31"/>
  <c r="D161" i="38"/>
  <c r="F161" i="38" s="1"/>
  <c r="F20" i="38"/>
  <c r="O26" i="28"/>
  <c r="O23" i="38" s="1"/>
  <c r="Q23" i="38" s="1"/>
  <c r="J26" i="28"/>
  <c r="E23" i="38"/>
  <c r="O25" i="28"/>
  <c r="O21" i="38" s="1"/>
  <c r="Q21" i="38" s="1"/>
  <c r="E21" i="38"/>
  <c r="J25" i="28"/>
  <c r="F23" i="26"/>
  <c r="Q23" i="26"/>
  <c r="Y122" i="26"/>
  <c r="S122" i="26"/>
  <c r="E164" i="38"/>
  <c r="Y102" i="26"/>
  <c r="S102" i="26"/>
  <c r="X53" i="36" l="1"/>
  <c r="X57" i="36" s="1"/>
  <c r="N12" i="29"/>
  <c r="L12" i="29"/>
  <c r="Y12" i="29" s="1"/>
  <c r="L39" i="29"/>
  <c r="Z39" i="29" s="1"/>
  <c r="M39" i="29"/>
  <c r="N228" i="37"/>
  <c r="D68" i="45" s="1"/>
  <c r="M58" i="45" s="1"/>
  <c r="N224" i="37"/>
  <c r="D64" i="45" s="1"/>
  <c r="M54" i="45" s="1"/>
  <c r="N225" i="37"/>
  <c r="D65" i="45" s="1"/>
  <c r="L55" i="45" s="1"/>
  <c r="N226" i="37"/>
  <c r="D66" i="45" s="1"/>
  <c r="N56" i="45" s="1"/>
  <c r="N227" i="37"/>
  <c r="D67" i="45" s="1"/>
  <c r="M57" i="45" s="1"/>
  <c r="W53" i="36"/>
  <c r="W57" i="36" s="1"/>
  <c r="F160" i="38"/>
  <c r="E31" i="28"/>
  <c r="I104" i="26"/>
  <c r="N31" i="26"/>
  <c r="R31" i="26" s="1"/>
  <c r="AJ102" i="5"/>
  <c r="O29" i="26" s="1"/>
  <c r="S29" i="26" s="1"/>
  <c r="E29" i="26"/>
  <c r="D24" i="38"/>
  <c r="F29" i="28"/>
  <c r="N29" i="28"/>
  <c r="N24" i="38" s="1"/>
  <c r="Q24" i="38" s="1"/>
  <c r="L235" i="37"/>
  <c r="D79" i="45" s="1"/>
  <c r="C78" i="45"/>
  <c r="A955" i="7"/>
  <c r="C91" i="45"/>
  <c r="C89" i="45"/>
  <c r="C87" i="45"/>
  <c r="C88" i="45"/>
  <c r="C90" i="45"/>
  <c r="J57" i="17"/>
  <c r="Q41" i="45"/>
  <c r="P41" i="45"/>
  <c r="Y41" i="45"/>
  <c r="P40" i="45"/>
  <c r="Q40" i="45"/>
  <c r="Z40" i="45"/>
  <c r="Y40" i="45"/>
  <c r="S40" i="29"/>
  <c r="Y13" i="45"/>
  <c r="Q13" i="45"/>
  <c r="P13" i="45"/>
  <c r="Z13" i="45"/>
  <c r="K78" i="26"/>
  <c r="L78" i="26"/>
  <c r="Q25" i="26"/>
  <c r="F25" i="26"/>
  <c r="F26" i="26"/>
  <c r="Q26" i="26"/>
  <c r="E162" i="38"/>
  <c r="F162" i="38" s="1"/>
  <c r="F21" i="38"/>
  <c r="E163" i="38"/>
  <c r="F163" i="38" s="1"/>
  <c r="F23" i="38"/>
  <c r="M79" i="45" l="1"/>
  <c r="L79" i="45"/>
  <c r="Q12" i="29"/>
  <c r="Z12" i="29"/>
  <c r="AB43" i="29" s="1"/>
  <c r="P12" i="29"/>
  <c r="N58" i="45"/>
  <c r="N57" i="45"/>
  <c r="L57" i="45"/>
  <c r="Y57" i="45" s="1"/>
  <c r="L58" i="45"/>
  <c r="N54" i="45"/>
  <c r="L54" i="45"/>
  <c r="Y54" i="45" s="1"/>
  <c r="L56" i="45"/>
  <c r="Q56" i="45" s="1"/>
  <c r="M56" i="45"/>
  <c r="P39" i="29"/>
  <c r="Q39" i="29"/>
  <c r="Y39" i="29"/>
  <c r="AA43" i="29" s="1"/>
  <c r="M55" i="45"/>
  <c r="P55" i="45" s="1"/>
  <c r="N55" i="45"/>
  <c r="Q55" i="45" s="1"/>
  <c r="R228" i="37"/>
  <c r="D91" i="45" s="1"/>
  <c r="M91" i="45" s="1"/>
  <c r="L234" i="37"/>
  <c r="D78" i="45" s="1"/>
  <c r="R227" i="37"/>
  <c r="D90" i="45" s="1"/>
  <c r="M90" i="45" s="1"/>
  <c r="R225" i="37"/>
  <c r="D88" i="45" s="1"/>
  <c r="M88" i="45" s="1"/>
  <c r="R224" i="37"/>
  <c r="D87" i="45" s="1"/>
  <c r="M87" i="45" s="1"/>
  <c r="R226" i="37"/>
  <c r="D89" i="45" s="1"/>
  <c r="L89" i="45" s="1"/>
  <c r="Y53" i="36"/>
  <c r="Y57" i="36" s="1"/>
  <c r="I124" i="26"/>
  <c r="I31" i="28"/>
  <c r="H31" i="28" s="1"/>
  <c r="D164" i="38"/>
  <c r="F164" i="38" s="1"/>
  <c r="F24" i="38"/>
  <c r="F29" i="26"/>
  <c r="Q29" i="26"/>
  <c r="A970" i="7"/>
  <c r="C119" i="45"/>
  <c r="C118" i="45"/>
  <c r="C109" i="45"/>
  <c r="C108" i="45"/>
  <c r="C111" i="45"/>
  <c r="C110" i="45"/>
  <c r="C107" i="45"/>
  <c r="N79" i="45"/>
  <c r="D27" i="38"/>
  <c r="F31" i="28"/>
  <c r="N31" i="28"/>
  <c r="N27" i="38" s="1"/>
  <c r="N104" i="26"/>
  <c r="U104" i="26" s="1"/>
  <c r="G104" i="26"/>
  <c r="J86" i="17"/>
  <c r="I31" i="26" s="1"/>
  <c r="S41" i="45"/>
  <c r="S40" i="45"/>
  <c r="S13" i="45"/>
  <c r="N82" i="26" l="1"/>
  <c r="U82" i="26" s="1"/>
  <c r="J27" i="38"/>
  <c r="J30" i="38" s="1"/>
  <c r="I34" i="26"/>
  <c r="L78" i="45"/>
  <c r="P78" i="45" s="1"/>
  <c r="M78" i="45"/>
  <c r="E31" i="26"/>
  <c r="T86" i="17"/>
  <c r="M89" i="45"/>
  <c r="Y89" i="45" s="1"/>
  <c r="S12" i="29"/>
  <c r="P43" i="29"/>
  <c r="Q57" i="45"/>
  <c r="Z57" i="45"/>
  <c r="Z58" i="45"/>
  <c r="P57" i="45"/>
  <c r="Q58" i="45"/>
  <c r="P58" i="45"/>
  <c r="Q54" i="45"/>
  <c r="Y58" i="45"/>
  <c r="P54" i="45"/>
  <c r="L90" i="45"/>
  <c r="Z55" i="45"/>
  <c r="Y55" i="45"/>
  <c r="N90" i="45"/>
  <c r="Z54" i="45"/>
  <c r="Y56" i="45"/>
  <c r="Z56" i="45"/>
  <c r="P56" i="45"/>
  <c r="S56" i="45" s="1"/>
  <c r="N87" i="45"/>
  <c r="N91" i="45"/>
  <c r="L87" i="45"/>
  <c r="S39" i="29"/>
  <c r="N88" i="45"/>
  <c r="L88" i="45"/>
  <c r="Y88" i="45" s="1"/>
  <c r="Q43" i="29"/>
  <c r="L91" i="45"/>
  <c r="Y91" i="45" s="1"/>
  <c r="D166" i="38"/>
  <c r="N78" i="45"/>
  <c r="Y224" i="37"/>
  <c r="D107" i="45" s="1"/>
  <c r="L107" i="45" s="1"/>
  <c r="Y227" i="37"/>
  <c r="D110" i="45" s="1"/>
  <c r="M110" i="45" s="1"/>
  <c r="Y228" i="37"/>
  <c r="D111" i="45" s="1"/>
  <c r="N111" i="45" s="1"/>
  <c r="Y225" i="37"/>
  <c r="D108" i="45" s="1"/>
  <c r="L108" i="45" s="1"/>
  <c r="N89" i="45"/>
  <c r="Z89" i="45" s="1"/>
  <c r="Y226" i="37"/>
  <c r="D109" i="45" s="1"/>
  <c r="N109" i="45" s="1"/>
  <c r="Y234" i="37"/>
  <c r="D118" i="45" s="1"/>
  <c r="L118" i="45" s="1"/>
  <c r="Y235" i="37"/>
  <c r="D119" i="45" s="1"/>
  <c r="M119" i="45" s="1"/>
  <c r="A985" i="7"/>
  <c r="C129" i="45"/>
  <c r="C128" i="45"/>
  <c r="P79" i="45"/>
  <c r="Y79" i="45"/>
  <c r="Q79" i="45"/>
  <c r="Z79" i="45"/>
  <c r="G124" i="26"/>
  <c r="N124" i="26"/>
  <c r="S104" i="26"/>
  <c r="E27" i="38"/>
  <c r="O31" i="28"/>
  <c r="O27" i="38" s="1"/>
  <c r="Q27" i="38" s="1"/>
  <c r="J31" i="28"/>
  <c r="AC43" i="29"/>
  <c r="S55" i="45"/>
  <c r="O31" i="26" l="1"/>
  <c r="S31" i="26" s="1"/>
  <c r="P89" i="45"/>
  <c r="S43" i="29"/>
  <c r="AC45" i="29" s="1"/>
  <c r="S57" i="45"/>
  <c r="S58" i="45"/>
  <c r="Z90" i="45"/>
  <c r="S54" i="45"/>
  <c r="P90" i="45"/>
  <c r="Y90" i="45"/>
  <c r="Q90" i="45"/>
  <c r="L109" i="45"/>
  <c r="Z109" i="45" s="1"/>
  <c r="N118" i="45"/>
  <c r="Z118" i="45" s="1"/>
  <c r="P91" i="45"/>
  <c r="Y78" i="45"/>
  <c r="M109" i="45"/>
  <c r="L110" i="45"/>
  <c r="Y110" i="45" s="1"/>
  <c r="N110" i="45"/>
  <c r="Z78" i="45"/>
  <c r="Z87" i="45"/>
  <c r="Q91" i="45"/>
  <c r="Z91" i="45"/>
  <c r="L111" i="45"/>
  <c r="Q111" i="45" s="1"/>
  <c r="P87" i="45"/>
  <c r="M108" i="45"/>
  <c r="P108" i="45" s="1"/>
  <c r="M107" i="45"/>
  <c r="Y107" i="45" s="1"/>
  <c r="Y87" i="45"/>
  <c r="N108" i="45"/>
  <c r="Q108" i="45" s="1"/>
  <c r="Q87" i="45"/>
  <c r="P88" i="45"/>
  <c r="Z88" i="45"/>
  <c r="M118" i="45"/>
  <c r="P118" i="45" s="1"/>
  <c r="Y49" i="37" s="1"/>
  <c r="Q88" i="45"/>
  <c r="M111" i="45"/>
  <c r="L119" i="45"/>
  <c r="Y119" i="45" s="1"/>
  <c r="Q89" i="45"/>
  <c r="N107" i="45"/>
  <c r="Q107" i="45" s="1"/>
  <c r="N119" i="45"/>
  <c r="Q78" i="45"/>
  <c r="S78" i="45" s="1"/>
  <c r="F241" i="37"/>
  <c r="D128" i="45" s="1"/>
  <c r="L128" i="45" s="1"/>
  <c r="F242" i="37"/>
  <c r="D129" i="45" s="1"/>
  <c r="M129" i="45" s="1"/>
  <c r="U124" i="26"/>
  <c r="S79" i="45"/>
  <c r="A1000" i="7"/>
  <c r="C136" i="45"/>
  <c r="C137" i="45"/>
  <c r="F27" i="38"/>
  <c r="E166" i="38"/>
  <c r="F166" i="38" s="1"/>
  <c r="F31" i="26"/>
  <c r="Q31" i="26"/>
  <c r="S124" i="26"/>
  <c r="S89" i="45" l="1"/>
  <c r="P110" i="45"/>
  <c r="Y38" i="37" s="1"/>
  <c r="Y108" i="45"/>
  <c r="Q118" i="45"/>
  <c r="S118" i="45" s="1"/>
  <c r="Q110" i="45"/>
  <c r="S90" i="45"/>
  <c r="Q109" i="45"/>
  <c r="Z37" i="37" s="1"/>
  <c r="L129" i="45"/>
  <c r="P129" i="45" s="1"/>
  <c r="Y109" i="45"/>
  <c r="P109" i="45"/>
  <c r="Y37" i="37" s="1"/>
  <c r="Z110" i="45"/>
  <c r="S91" i="45"/>
  <c r="N129" i="45"/>
  <c r="S87" i="45"/>
  <c r="Z111" i="45"/>
  <c r="P119" i="45"/>
  <c r="Y50" i="37" s="1"/>
  <c r="Y53" i="37" s="1"/>
  <c r="P111" i="45"/>
  <c r="Y39" i="37" s="1"/>
  <c r="M128" i="45"/>
  <c r="Y128" i="45" s="1"/>
  <c r="Z108" i="45"/>
  <c r="Y118" i="45"/>
  <c r="N128" i="45"/>
  <c r="Q128" i="45" s="1"/>
  <c r="P107" i="45"/>
  <c r="Y35" i="37" s="1"/>
  <c r="Z36" i="37"/>
  <c r="Z107" i="45"/>
  <c r="Q119" i="45"/>
  <c r="S88" i="45"/>
  <c r="Y36" i="37"/>
  <c r="Y111" i="45"/>
  <c r="Z119" i="45"/>
  <c r="Y242" i="37"/>
  <c r="D137" i="45" s="1"/>
  <c r="M137" i="45" s="1"/>
  <c r="Y241" i="37"/>
  <c r="D136" i="45" s="1"/>
  <c r="L136" i="45" s="1"/>
  <c r="Z35" i="37"/>
  <c r="S108" i="45"/>
  <c r="A1015" i="7"/>
  <c r="C144" i="45"/>
  <c r="C145" i="45"/>
  <c r="Z39" i="37"/>
  <c r="S110" i="45" l="1"/>
  <c r="Z38" i="37"/>
  <c r="AA38" i="37" s="1"/>
  <c r="Y129" i="45"/>
  <c r="S109" i="45"/>
  <c r="Q129" i="45"/>
  <c r="S129" i="45" s="1"/>
  <c r="P128" i="45"/>
  <c r="S128" i="45" s="1"/>
  <c r="AA37" i="37"/>
  <c r="S107" i="45"/>
  <c r="Z129" i="45"/>
  <c r="S111" i="45"/>
  <c r="AA39" i="37"/>
  <c r="S119" i="45"/>
  <c r="Z128" i="45"/>
  <c r="AA36" i="37"/>
  <c r="Y42" i="37"/>
  <c r="N136" i="45"/>
  <c r="Q136" i="45" s="1"/>
  <c r="N137" i="45"/>
  <c r="M136" i="45"/>
  <c r="Y136" i="45" s="1"/>
  <c r="L137" i="45"/>
  <c r="Y137" i="45" s="1"/>
  <c r="L241" i="37"/>
  <c r="D144" i="45" s="1"/>
  <c r="L242" i="37"/>
  <c r="D145" i="45" s="1"/>
  <c r="AA35" i="37"/>
  <c r="A1030" i="7"/>
  <c r="C152" i="45"/>
  <c r="C153" i="45"/>
  <c r="N145" i="45" l="1"/>
  <c r="L145" i="45"/>
  <c r="M145" i="45"/>
  <c r="M144" i="45"/>
  <c r="L144" i="45"/>
  <c r="N144" i="45"/>
  <c r="Z42" i="37"/>
  <c r="AA42" i="37"/>
  <c r="Z136" i="45"/>
  <c r="P137" i="45"/>
  <c r="Z137" i="45"/>
  <c r="P136" i="45"/>
  <c r="S136" i="45" s="1"/>
  <c r="Q137" i="45"/>
  <c r="R242" i="37"/>
  <c r="D153" i="45" s="1"/>
  <c r="R241" i="37"/>
  <c r="D152" i="45" s="1"/>
  <c r="A1045" i="7"/>
  <c r="C178" i="45"/>
  <c r="C169" i="45"/>
  <c r="C168" i="45"/>
  <c r="C160" i="45"/>
  <c r="C161" i="45"/>
  <c r="C170" i="45"/>
  <c r="C176" i="45"/>
  <c r="C162" i="45"/>
  <c r="C177" i="45"/>
  <c r="N31" i="45"/>
  <c r="Q31" i="45" s="1"/>
  <c r="Q144" i="45" l="1"/>
  <c r="Y145" i="45"/>
  <c r="L153" i="45"/>
  <c r="M153" i="45"/>
  <c r="N153" i="45"/>
  <c r="N152" i="45"/>
  <c r="L152" i="45"/>
  <c r="M152" i="45"/>
  <c r="S137" i="45"/>
  <c r="Z144" i="45"/>
  <c r="P144" i="45"/>
  <c r="P145" i="45"/>
  <c r="Q145" i="45"/>
  <c r="Z145" i="45"/>
  <c r="Y144" i="45"/>
  <c r="N248" i="37"/>
  <c r="D177" i="45" s="1"/>
  <c r="N247" i="37"/>
  <c r="D176" i="45" s="1"/>
  <c r="F248" i="37"/>
  <c r="D161" i="45" s="1"/>
  <c r="J249" i="37"/>
  <c r="D170" i="45" s="1"/>
  <c r="F247" i="37"/>
  <c r="D160" i="45" s="1"/>
  <c r="J247" i="37"/>
  <c r="D168" i="45" s="1"/>
  <c r="Z49" i="37"/>
  <c r="AA49" i="37" s="1"/>
  <c r="N249" i="37"/>
  <c r="D178" i="45" s="1"/>
  <c r="J248" i="37"/>
  <c r="D169" i="45" s="1"/>
  <c r="F249" i="37"/>
  <c r="D162" i="45" s="1"/>
  <c r="C186" i="45"/>
  <c r="C184" i="45"/>
  <c r="C185" i="45"/>
  <c r="S31" i="45"/>
  <c r="Z31" i="45"/>
  <c r="N32" i="45"/>
  <c r="S144" i="45" l="1"/>
  <c r="Y153" i="45"/>
  <c r="Z153" i="45"/>
  <c r="P153" i="45"/>
  <c r="Y61" i="37" s="1"/>
  <c r="S145" i="45"/>
  <c r="Q153" i="45"/>
  <c r="P152" i="45"/>
  <c r="Y152" i="45"/>
  <c r="Q152" i="45"/>
  <c r="Z60" i="37" s="1"/>
  <c r="Z152" i="45"/>
  <c r="T248" i="37"/>
  <c r="D185" i="45" s="1"/>
  <c r="G161" i="45" s="1"/>
  <c r="G169" i="45" s="1"/>
  <c r="G177" i="45" s="1"/>
  <c r="T247" i="37"/>
  <c r="D184" i="45" s="1"/>
  <c r="I160" i="45" s="1"/>
  <c r="I168" i="45" s="1"/>
  <c r="I176" i="45" s="1"/>
  <c r="T249" i="37"/>
  <c r="D186" i="45" s="1"/>
  <c r="F162" i="45" s="1"/>
  <c r="Q32" i="45"/>
  <c r="Z32" i="45"/>
  <c r="F160" i="45" l="1"/>
  <c r="Z160" i="45" s="1"/>
  <c r="W48" i="45"/>
  <c r="K100" i="26" s="1"/>
  <c r="Q100" i="26" s="1"/>
  <c r="X100" i="26" s="1"/>
  <c r="S153" i="45"/>
  <c r="G162" i="45"/>
  <c r="G170" i="45" s="1"/>
  <c r="G178" i="45" s="1"/>
  <c r="I162" i="45"/>
  <c r="I170" i="45" s="1"/>
  <c r="I178" i="45" s="1"/>
  <c r="Z61" i="37"/>
  <c r="AA61" i="37" s="1"/>
  <c r="I161" i="45"/>
  <c r="I169" i="45" s="1"/>
  <c r="I177" i="45" s="1"/>
  <c r="F161" i="45"/>
  <c r="P161" i="45" s="1"/>
  <c r="G160" i="45"/>
  <c r="G168" i="45" s="1"/>
  <c r="G176" i="45" s="1"/>
  <c r="Y60" i="37"/>
  <c r="Y64" i="37" s="1"/>
  <c r="W53" i="45"/>
  <c r="K120" i="26" s="1"/>
  <c r="Q120" i="26" s="1"/>
  <c r="X120" i="26" s="1"/>
  <c r="S152" i="45"/>
  <c r="Z50" i="37"/>
  <c r="AA50" i="37" s="1"/>
  <c r="AA53" i="37" s="1"/>
  <c r="S32" i="45"/>
  <c r="F170" i="45"/>
  <c r="W44" i="45" l="1"/>
  <c r="K27" i="26" s="1"/>
  <c r="Q160" i="45"/>
  <c r="F168" i="45"/>
  <c r="F176" i="45" s="1"/>
  <c r="Z64" i="37"/>
  <c r="F169" i="45"/>
  <c r="M169" i="45" s="1"/>
  <c r="Y160" i="45"/>
  <c r="Q161" i="45"/>
  <c r="S161" i="45" s="1"/>
  <c r="Y161" i="45"/>
  <c r="P162" i="45"/>
  <c r="Y162" i="45"/>
  <c r="Z161" i="45"/>
  <c r="Q162" i="45"/>
  <c r="Z162" i="45"/>
  <c r="AA60" i="37"/>
  <c r="AA64" i="37" s="1"/>
  <c r="P160" i="45"/>
  <c r="Z53" i="37"/>
  <c r="M170" i="45"/>
  <c r="Z170" i="45"/>
  <c r="N170" i="45"/>
  <c r="F178" i="45"/>
  <c r="Y170" i="45"/>
  <c r="N168" i="45" l="1"/>
  <c r="Q168" i="45" s="1"/>
  <c r="Z168" i="45"/>
  <c r="Y168" i="45"/>
  <c r="M168" i="45"/>
  <c r="P168" i="45" s="1"/>
  <c r="Z169" i="45"/>
  <c r="S160" i="45"/>
  <c r="N169" i="45"/>
  <c r="N185" i="45" s="1"/>
  <c r="F177" i="45"/>
  <c r="Z177" i="45" s="1"/>
  <c r="Y169" i="45"/>
  <c r="S162" i="45"/>
  <c r="K34" i="26"/>
  <c r="K37" i="26" s="1"/>
  <c r="K32" i="38" s="1"/>
  <c r="K34" i="38" s="1"/>
  <c r="Q78" i="26"/>
  <c r="K25" i="38"/>
  <c r="M178" i="45"/>
  <c r="P178" i="45" s="1"/>
  <c r="N178" i="45"/>
  <c r="Q178" i="45" s="1"/>
  <c r="Y178" i="45"/>
  <c r="Z178" i="45"/>
  <c r="Q170" i="45"/>
  <c r="N186" i="45"/>
  <c r="M185" i="45"/>
  <c r="P169" i="45"/>
  <c r="M186" i="45"/>
  <c r="P170" i="45"/>
  <c r="N176" i="45"/>
  <c r="Q176" i="45" s="1"/>
  <c r="M176" i="45"/>
  <c r="P176" i="45" s="1"/>
  <c r="Z176" i="45"/>
  <c r="Y176" i="45"/>
  <c r="N184" i="45" l="1"/>
  <c r="N188" i="45" s="1"/>
  <c r="J97" i="38" s="1"/>
  <c r="J104" i="38" s="1"/>
  <c r="M184" i="45"/>
  <c r="M188" i="45" s="1"/>
  <c r="H97" i="38" s="1"/>
  <c r="H104" i="38" s="1"/>
  <c r="Y177" i="45"/>
  <c r="AA44" i="45" s="1"/>
  <c r="Q169" i="45"/>
  <c r="S169" i="45" s="1"/>
  <c r="N177" i="45"/>
  <c r="Q177" i="45" s="1"/>
  <c r="V53" i="45" s="1"/>
  <c r="L120" i="26" s="1"/>
  <c r="M177" i="45"/>
  <c r="P177" i="45" s="1"/>
  <c r="P44" i="45" s="1"/>
  <c r="E27" i="28" s="1"/>
  <c r="X78" i="26"/>
  <c r="K30" i="38"/>
  <c r="T67" i="38" s="1"/>
  <c r="U48" i="45"/>
  <c r="J100" i="26" s="1"/>
  <c r="S178" i="45"/>
  <c r="AB44" i="45"/>
  <c r="S176" i="45"/>
  <c r="S170" i="45"/>
  <c r="Z74" i="37"/>
  <c r="S168" i="45"/>
  <c r="Z72" i="37"/>
  <c r="Y74" i="37"/>
  <c r="Y72" i="37"/>
  <c r="U44" i="45" l="1"/>
  <c r="U53" i="45"/>
  <c r="J120" i="26" s="1"/>
  <c r="Q44" i="45"/>
  <c r="I27" i="28" s="1"/>
  <c r="Z73" i="37"/>
  <c r="Z77" i="37" s="1"/>
  <c r="V48" i="45"/>
  <c r="L100" i="26" s="1"/>
  <c r="G100" i="26" s="1"/>
  <c r="S177" i="45"/>
  <c r="V44" i="45" s="1"/>
  <c r="L27" i="26" s="1"/>
  <c r="Y73" i="37"/>
  <c r="Y77" i="37" s="1"/>
  <c r="E35" i="28"/>
  <c r="R120" i="26"/>
  <c r="Y120" i="26" s="1"/>
  <c r="AC44" i="45"/>
  <c r="N27" i="26" s="1"/>
  <c r="O100" i="26"/>
  <c r="AA74" i="37"/>
  <c r="AA72" i="37"/>
  <c r="X53" i="45" l="1"/>
  <c r="AA73" i="37"/>
  <c r="AA77" i="37" s="1"/>
  <c r="S44" i="45"/>
  <c r="E27" i="26" s="1"/>
  <c r="E34" i="26" s="1"/>
  <c r="X48" i="45"/>
  <c r="J27" i="26"/>
  <c r="J34" i="26" s="1"/>
  <c r="E37" i="28"/>
  <c r="D32" i="38" s="1"/>
  <c r="D34" i="38" s="1"/>
  <c r="N35" i="28"/>
  <c r="N30" i="38" s="1"/>
  <c r="N27" i="28"/>
  <c r="N25" i="38" s="1"/>
  <c r="E25" i="38"/>
  <c r="E30" i="38" s="1"/>
  <c r="I35" i="28"/>
  <c r="L127" i="26"/>
  <c r="R100" i="26"/>
  <c r="Y100" i="26" s="1"/>
  <c r="L107" i="26"/>
  <c r="N34" i="26"/>
  <c r="F27" i="28"/>
  <c r="R27" i="26"/>
  <c r="D25" i="38"/>
  <c r="D30" i="38" s="1"/>
  <c r="V100" i="26"/>
  <c r="J27" i="28"/>
  <c r="O27" i="28"/>
  <c r="O25" i="38" s="1"/>
  <c r="H27" i="28"/>
  <c r="L34" i="26"/>
  <c r="L37" i="26" s="1"/>
  <c r="L32" i="38" s="1"/>
  <c r="L34" i="38" s="1"/>
  <c r="L25" i="38"/>
  <c r="R78" i="26"/>
  <c r="G120" i="26"/>
  <c r="O120" i="26"/>
  <c r="R127" i="26" s="1"/>
  <c r="AC46" i="45" l="1"/>
  <c r="O27" i="26" s="1"/>
  <c r="O34" i="26" s="1"/>
  <c r="X44" i="45"/>
  <c r="Y78" i="26"/>
  <c r="Q25" i="38"/>
  <c r="F25" i="38"/>
  <c r="Q34" i="26"/>
  <c r="Q37" i="26" s="1"/>
  <c r="G35" i="26"/>
  <c r="L30" i="38"/>
  <c r="T68" i="38" s="1"/>
  <c r="S100" i="26"/>
  <c r="S107" i="26" s="1"/>
  <c r="R107" i="26"/>
  <c r="Y107" i="26" s="1"/>
  <c r="Q78" i="38" s="1"/>
  <c r="N37" i="26"/>
  <c r="R34" i="26"/>
  <c r="R37" i="26" s="1"/>
  <c r="J132" i="26"/>
  <c r="F35" i="28"/>
  <c r="D165" i="38"/>
  <c r="D169" i="38" s="1"/>
  <c r="J35" i="28"/>
  <c r="I37" i="28"/>
  <c r="O35" i="28"/>
  <c r="H35" i="28"/>
  <c r="E165" i="38"/>
  <c r="J37" i="26"/>
  <c r="I32" i="38" s="1"/>
  <c r="I34" i="38" s="1"/>
  <c r="O78" i="26"/>
  <c r="R85" i="26" s="1"/>
  <c r="I25" i="38"/>
  <c r="S120" i="26"/>
  <c r="S127" i="26" s="1"/>
  <c r="Q27" i="26"/>
  <c r="F27" i="26"/>
  <c r="V120" i="26"/>
  <c r="S27" i="26" l="1"/>
  <c r="F30" i="38"/>
  <c r="O81" i="38" s="1"/>
  <c r="I30" i="38"/>
  <c r="T66" i="38" s="1"/>
  <c r="O78" i="38"/>
  <c r="V30" i="38"/>
  <c r="K169" i="38" s="1"/>
  <c r="K174" i="38" s="1"/>
  <c r="K209" i="38" s="1"/>
  <c r="K214" i="38" s="1"/>
  <c r="O79" i="38"/>
  <c r="W30" i="38"/>
  <c r="L169" i="38" s="1"/>
  <c r="L174" i="38" s="1"/>
  <c r="L209" i="38" s="1"/>
  <c r="L214" i="38" s="1"/>
  <c r="Y127" i="26"/>
  <c r="Q79" i="38" s="1"/>
  <c r="N37" i="28"/>
  <c r="N34" i="38" s="1"/>
  <c r="V78" i="26"/>
  <c r="F165" i="38"/>
  <c r="F169" i="38" s="1"/>
  <c r="E169" i="38"/>
  <c r="F34" i="26"/>
  <c r="E37" i="26"/>
  <c r="O30" i="38"/>
  <c r="Q30" i="38" s="1"/>
  <c r="O37" i="28"/>
  <c r="O34" i="38" s="1"/>
  <c r="O37" i="26"/>
  <c r="S34" i="26"/>
  <c r="S37" i="26" s="1"/>
  <c r="E32" i="38"/>
  <c r="H37" i="28"/>
  <c r="Y85" i="26" l="1"/>
  <c r="Q81" i="38" s="1"/>
  <c r="Q34" i="38"/>
  <c r="E34" i="38"/>
  <c r="F32" i="38"/>
  <c r="F34" i="38" s="1"/>
</calcChain>
</file>

<file path=xl/comments1.xml><?xml version="1.0" encoding="utf-8"?>
<comments xmlns="http://schemas.openxmlformats.org/spreadsheetml/2006/main">
  <authors>
    <author>Martial Bernoux</author>
  </authors>
  <commentList>
    <comment ref="M8" authorId="0" shapeId="0">
      <text>
        <r>
          <rPr>
            <b/>
            <sz val="8"/>
            <color indexed="81"/>
            <rFont val="Tahoma"/>
            <family val="2"/>
          </rPr>
          <t xml:space="preserve">Need to be informed just if Burning is set to "yes"
Default value is 10 tonnes dry matter per ha
</t>
        </r>
      </text>
    </comment>
  </commentList>
</comments>
</file>

<file path=xl/comments2.xml><?xml version="1.0" encoding="utf-8"?>
<comments xmlns="http://schemas.openxmlformats.org/spreadsheetml/2006/main">
  <authors>
    <author>Martial Bernoux</author>
  </authors>
  <commentList>
    <comment ref="F8" authorId="0" shapeId="0">
      <text>
        <r>
          <rPr>
            <b/>
            <sz val="8"/>
            <color indexed="81"/>
            <rFont val="Tahoma"/>
            <family val="2"/>
          </rPr>
          <t xml:space="preserve">Need to be informed just if Burning is set to "yes"
Default value is 10 tonnes dry matter per ha
</t>
        </r>
      </text>
    </comment>
  </commentList>
</comments>
</file>

<file path=xl/sharedStrings.xml><?xml version="1.0" encoding="utf-8"?>
<sst xmlns="http://schemas.openxmlformats.org/spreadsheetml/2006/main" count="18591" uniqueCount="8916">
  <si>
    <t>The choices of calculation made in this tool are those of the author(s) and do not necessarily reflect the views  and choices of the Food and Agriculture Organization of the United Nations.</t>
  </si>
  <si>
    <t>Numbers in Italic correspond to Land Use Change</t>
  </si>
  <si>
    <t>Total Emission (tCO2eq)</t>
  </si>
  <si>
    <t>Total Emission</t>
  </si>
  <si>
    <t>Please select</t>
  </si>
  <si>
    <t>?</t>
  </si>
  <si>
    <t>Not specified</t>
  </si>
  <si>
    <t>Please Select</t>
  </si>
  <si>
    <t>Soil_type</t>
  </si>
  <si>
    <t>Specific Vegetation 2</t>
  </si>
  <si>
    <t>Specific Vegetation 3</t>
  </si>
  <si>
    <t>Specific Vegetation 4</t>
  </si>
  <si>
    <t>Select Use after deforestation</t>
  </si>
  <si>
    <t>Select previous use</t>
  </si>
  <si>
    <t>Select Initial Land Use</t>
  </si>
  <si>
    <t>Final Land Use (LUC_fin)</t>
  </si>
  <si>
    <t>Select Final Land Use</t>
  </si>
  <si>
    <t>Field Yes_No_Annual</t>
  </si>
  <si>
    <t>Yes</t>
  </si>
  <si>
    <t>No</t>
  </si>
  <si>
    <t>Default values (T CO2 / MWh)</t>
  </si>
  <si>
    <t>Please select the country of origin</t>
  </si>
  <si>
    <t>t CO2 Eq/m3</t>
  </si>
  <si>
    <t>Categorie</t>
  </si>
  <si>
    <t>CO2 Biomass</t>
  </si>
  <si>
    <t>CO2 soil</t>
  </si>
  <si>
    <t>With-Without</t>
  </si>
  <si>
    <t>CH4-Without</t>
  </si>
  <si>
    <t>CH4-With</t>
  </si>
  <si>
    <t>N2O-Without</t>
  </si>
  <si>
    <t>N2O-With</t>
  </si>
  <si>
    <t>Results in t Eq CO2</t>
  </si>
  <si>
    <t>Litter+dead</t>
  </si>
  <si>
    <t>Dominante Soil Type</t>
  </si>
  <si>
    <t>Project Summary</t>
  </si>
  <si>
    <t>Implementation</t>
  </si>
  <si>
    <t>Capitalization</t>
  </si>
  <si>
    <t>time_tot</t>
  </si>
  <si>
    <t>time2</t>
  </si>
  <si>
    <t>time</t>
  </si>
  <si>
    <t>g.kg DM burnt</t>
  </si>
  <si>
    <t>GHG emitted during Burning</t>
  </si>
  <si>
    <t>CH4 (kg)</t>
  </si>
  <si>
    <t>N2O (kg)</t>
  </si>
  <si>
    <t>Emitted during Burning</t>
  </si>
  <si>
    <t>Capitalisation</t>
  </si>
  <si>
    <t xml:space="preserve">Total Area </t>
  </si>
  <si>
    <t>Balance (Project - Baseline)</t>
  </si>
  <si>
    <t>N20</t>
  </si>
  <si>
    <t>w/out</t>
  </si>
  <si>
    <t>W/out</t>
  </si>
  <si>
    <t>CO2 (other)</t>
  </si>
  <si>
    <t>---</t>
  </si>
  <si>
    <t>Time_tot = time and time2=0</t>
  </si>
  <si>
    <t>without</t>
  </si>
  <si>
    <t>Soil-Implementation phase alone</t>
  </si>
  <si>
    <t>Duration of the</t>
  </si>
  <si>
    <t>Project (years)</t>
  </si>
  <si>
    <t>Area (Initial state in ha)</t>
  </si>
  <si>
    <t>All GHG in tCO2eq</t>
  </si>
  <si>
    <t>Per phase of the project</t>
  </si>
  <si>
    <t>Implement.</t>
  </si>
  <si>
    <t>Capital.</t>
  </si>
  <si>
    <t>Implementation phase alone</t>
  </si>
  <si>
    <t>Straw burning CH4</t>
  </si>
  <si>
    <t>Straw burning N20</t>
  </si>
  <si>
    <t>with-without</t>
  </si>
  <si>
    <t>Mean per year</t>
  </si>
  <si>
    <t xml:space="preserve">Result per ha </t>
  </si>
  <si>
    <t>Annual From OLUC</t>
  </si>
  <si>
    <t>OLUC to Perennial</t>
  </si>
  <si>
    <t>Grassland to OLUC</t>
  </si>
  <si>
    <t>Please select type of Organic Amendment</t>
  </si>
  <si>
    <t>Please select preseason water regime</t>
  </si>
  <si>
    <t>Please select water regime</t>
  </si>
  <si>
    <t>Rice to OLUC</t>
  </si>
  <si>
    <t>Perennial to OLUC</t>
  </si>
  <si>
    <t>Select state</t>
  </si>
  <si>
    <t>MAT &lt; 0</t>
  </si>
  <si>
    <t>PLEASE SPECIFY INFORMATION BELOW IF AVAILABLE</t>
  </si>
  <si>
    <t>Country "Type"</t>
  </si>
  <si>
    <t>Default MAT</t>
  </si>
  <si>
    <t>Def MAT</t>
  </si>
  <si>
    <t>Min</t>
  </si>
  <si>
    <t>Max</t>
  </si>
  <si>
    <t>N Fertiliser (other than Urea)</t>
  </si>
  <si>
    <t>*N fertilizer from upland rice  should be included above (N fertilizer)</t>
  </si>
  <si>
    <t>Notes about UNCERTAINTIES</t>
  </si>
  <si>
    <t>***</t>
  </si>
  <si>
    <t>****</t>
  </si>
  <si>
    <t>**</t>
  </si>
  <si>
    <t>*</t>
  </si>
  <si>
    <t>Indication of the level of uncertainty expected</t>
  </si>
  <si>
    <t>%</t>
  </si>
  <si>
    <t>Low uncertainty</t>
  </si>
  <si>
    <t>Moderate uncertainties</t>
  </si>
  <si>
    <t>High uncertainties</t>
  </si>
  <si>
    <t xml:space="preserve">Other </t>
  </si>
  <si>
    <t>Very high uncertainty</t>
  </si>
  <si>
    <t>Specific C change</t>
  </si>
  <si>
    <t>Change over the period (t CO2eq)</t>
  </si>
  <si>
    <t>CH4 emitted</t>
  </si>
  <si>
    <t>Soil C changes</t>
  </si>
  <si>
    <t>CO2 soil Change</t>
  </si>
  <si>
    <t>Main approach used</t>
  </si>
  <si>
    <t xml:space="preserve">The EX-Ante Carbon-balance Tool </t>
  </si>
  <si>
    <t>EX-ACT calculations are either on default coefficients (Tier 1 approach) or values provided by the user (Tier 2 approach). A single project may use a combination of Tier 1 and Tier 2 approaches. It is thus extremely difficult to provide uncertainties associated with the values provided by EX-ACT. Most default coefficients are associated with large to extremely large uncertainties. However, as it is important to have an idea of the uncertainties the table below provide indication of the minimum level of uncertainty are user may expect. The following representation of the level of uncertainties was used:</t>
  </si>
  <si>
    <t>Total uncertainty</t>
  </si>
  <si>
    <t>User defined</t>
  </si>
  <si>
    <t>(values from  www.engineeringtoolbox.com/specific-gravities-gases-d_334.html)</t>
  </si>
  <si>
    <t>Gas (LPG/ natural)</t>
  </si>
  <si>
    <t>Wood</t>
  </si>
  <si>
    <t>Butane</t>
  </si>
  <si>
    <t>Propane</t>
  </si>
  <si>
    <t>From http://www.ec.gc.ca/pdb/ghg/inventory_report/2004_report/ann13_f.cfm#tablea13_1</t>
  </si>
  <si>
    <t>kgCO2/m3</t>
  </si>
  <si>
    <t>kg CH4/m3</t>
  </si>
  <si>
    <t>kg/N2O/m3</t>
  </si>
  <si>
    <t>kg N2O t /dm</t>
  </si>
  <si>
    <t>kgCO2eq/tdm</t>
  </si>
  <si>
    <t>Annual Consumption in t dry matter</t>
  </si>
  <si>
    <t>t CO2/t dry matter</t>
  </si>
  <si>
    <t>Global level of uncertainty (%)</t>
  </si>
  <si>
    <t>t CO2 /m2</t>
  </si>
  <si>
    <t>Type of construction or infrastructure</t>
  </si>
  <si>
    <t>Road for Intense traffic (concrete)</t>
  </si>
  <si>
    <t>Road for Intense traffic (asphalt)</t>
  </si>
  <si>
    <t>Other (nominal)</t>
  </si>
  <si>
    <t>Other (degraded)</t>
  </si>
  <si>
    <t>A/R Total</t>
  </si>
  <si>
    <t>Other Investments</t>
  </si>
  <si>
    <t>Other Investment</t>
  </si>
  <si>
    <t>Non Forest Land Use Change</t>
  </si>
  <si>
    <t>Interval (yr)</t>
  </si>
  <si>
    <t>Mean Annual Temperature (MAT*) in °C</t>
  </si>
  <si>
    <t>*MAT affects Methane emission from manure management</t>
  </si>
  <si>
    <t>t dm/ha</t>
  </si>
  <si>
    <t>Problem of permanency may arise</t>
  </si>
  <si>
    <t>Build the Irrigated Rice systems* (upland Rice is treated as "Annual" Agricultural system)</t>
  </si>
  <si>
    <t xml:space="preserve">Irrigated Rice </t>
  </si>
  <si>
    <t>Veget.1</t>
  </si>
  <si>
    <t>Veget.2</t>
  </si>
  <si>
    <t>Veget.3</t>
  </si>
  <si>
    <t>Veget.4</t>
  </si>
  <si>
    <t>Veget.5</t>
  </si>
  <si>
    <t>Veget.6</t>
  </si>
  <si>
    <t>Veget.7</t>
  </si>
  <si>
    <t>Veget.8</t>
  </si>
  <si>
    <t>Veget.9</t>
  </si>
  <si>
    <t>Veget.10</t>
  </si>
  <si>
    <t>Def.1</t>
  </si>
  <si>
    <t>Def.2</t>
  </si>
  <si>
    <t>Def.3</t>
  </si>
  <si>
    <t>Def.4</t>
  </si>
  <si>
    <t>Def.5</t>
  </si>
  <si>
    <t>Def.6</t>
  </si>
  <si>
    <t>Def.7</t>
  </si>
  <si>
    <t>Def.8</t>
  </si>
  <si>
    <t>Def.9</t>
  </si>
  <si>
    <t>Def.10</t>
  </si>
  <si>
    <t>Degradation level (deg_list)</t>
  </si>
  <si>
    <t>Moderate</t>
  </si>
  <si>
    <t>Large</t>
  </si>
  <si>
    <t>Extrem</t>
  </si>
  <si>
    <t>Degradation</t>
  </si>
  <si>
    <t>Level</t>
  </si>
  <si>
    <t>Very low</t>
  </si>
  <si>
    <t>Degraded Forest Area (ha)</t>
  </si>
  <si>
    <t>Interval (year)</t>
  </si>
  <si>
    <t>Rate (%)</t>
  </si>
  <si>
    <t>Emissions par les feu sur la période complète</t>
  </si>
  <si>
    <t>Sans Projet</t>
  </si>
  <si>
    <t>Avec Projet</t>
  </si>
  <si>
    <t>N20-Fire</t>
  </si>
  <si>
    <t>CH4-Fire</t>
  </si>
  <si>
    <t>Values in tCO2eq</t>
  </si>
  <si>
    <t>N2Ofire</t>
  </si>
  <si>
    <t>TOTAL--&gt;</t>
  </si>
  <si>
    <t>Fire CAPITALISATION ALONE</t>
  </si>
  <si>
    <t>CH4 kg</t>
  </si>
  <si>
    <t>N2O kg</t>
  </si>
  <si>
    <t>total tCO2eq</t>
  </si>
  <si>
    <t>TOTAL tCO2eq---&gt;</t>
  </si>
  <si>
    <t>Initial State</t>
  </si>
  <si>
    <t>Sub Total</t>
  </si>
  <si>
    <t>Initial</t>
  </si>
  <si>
    <t>Suggested Default Values per hectare (/ha) for corresponding non-degraded forest</t>
  </si>
  <si>
    <t>Ex-Ante Analyse of Forest Degradation</t>
  </si>
  <si>
    <t>Biomass variation</t>
  </si>
  <si>
    <t>Degradation Total</t>
  </si>
  <si>
    <t>Sequence</t>
  </si>
  <si>
    <t>Vegetation Type concerned</t>
  </si>
  <si>
    <t>Final State Without Project</t>
  </si>
  <si>
    <t>Final State WithProject</t>
  </si>
  <si>
    <t>Delta C Soil*</t>
  </si>
  <si>
    <t>Soil (variation in 20 yrs)</t>
  </si>
  <si>
    <t>Forest Degradation</t>
  </si>
  <si>
    <t>Final State of the grassland</t>
  </si>
  <si>
    <t>Cend with</t>
  </si>
  <si>
    <t>Cend without</t>
  </si>
  <si>
    <t>tC/ha</t>
  </si>
  <si>
    <t>Delta Soil C*</t>
  </si>
  <si>
    <t>Soil Carbon Stock (after 20 yrs)</t>
  </si>
  <si>
    <t>GES</t>
  </si>
  <si>
    <t xml:space="preserve">SOIL </t>
  </si>
  <si>
    <t>All period = cf Table</t>
  </si>
  <si>
    <t>Tons dm/ha</t>
  </si>
  <si>
    <t>t DM/ha</t>
  </si>
  <si>
    <t>t C exported/ha</t>
  </si>
  <si>
    <t>Select level</t>
  </si>
  <si>
    <t>Gross fluxes per year</t>
  </si>
  <si>
    <t>Gross fluxes "Without Project"</t>
  </si>
  <si>
    <t>Gross fluxes "With Project"</t>
  </si>
  <si>
    <t>Soil CO2 Change</t>
  </si>
  <si>
    <t>Growth rate (tC/ha)</t>
  </si>
  <si>
    <t>Biomass (tC/ha)</t>
  </si>
  <si>
    <r>
      <t>CO</t>
    </r>
    <r>
      <rPr>
        <vertAlign val="subscript"/>
        <sz val="10"/>
        <rFont val="Arial"/>
        <family val="2"/>
      </rPr>
      <t>2</t>
    </r>
    <r>
      <rPr>
        <sz val="10"/>
        <rFont val="Arial"/>
        <family val="2"/>
      </rPr>
      <t xml:space="preserve"> fluxes from Biomass</t>
    </r>
  </si>
  <si>
    <r>
      <t>CO</t>
    </r>
    <r>
      <rPr>
        <vertAlign val="subscript"/>
        <sz val="10"/>
        <rFont val="Arial"/>
        <family val="2"/>
      </rPr>
      <t>2</t>
    </r>
    <r>
      <rPr>
        <sz val="10"/>
        <rFont val="Arial"/>
        <family val="2"/>
      </rPr>
      <t xml:space="preserve"> fluxes from Soil</t>
    </r>
  </si>
  <si>
    <r>
      <t>tCO</t>
    </r>
    <r>
      <rPr>
        <vertAlign val="subscript"/>
        <sz val="10"/>
        <rFont val="Arial"/>
        <family val="2"/>
      </rPr>
      <t>2</t>
    </r>
  </si>
  <si>
    <t>Soil (baseline)</t>
  </si>
  <si>
    <t>Ethanol</t>
  </si>
  <si>
    <t>In % of Emission without project:</t>
  </si>
  <si>
    <t xml:space="preserve">. </t>
  </si>
  <si>
    <t>Specific vegetation 1</t>
  </si>
  <si>
    <t>EMISSION FACTORS FOR DRAINED ORGANIC SOILS IN MANAGED FORESTS</t>
  </si>
  <si>
    <t>Table 4.6 Guidelines 2006</t>
  </si>
  <si>
    <t>Emission factors (tonnes C ha-1 yr-1)</t>
  </si>
  <si>
    <t>ANNUAL EMISSION FACTORS (EF) FOR CULTIVATED ORGANIC SOILS</t>
  </si>
  <si>
    <t>Table 5.6 Guidelines 2006</t>
  </si>
  <si>
    <t>Nutrient-poot peat</t>
  </si>
  <si>
    <t>Nutrient Rich</t>
  </si>
  <si>
    <t>Managed Forest</t>
  </si>
  <si>
    <t>Emissions from loss of C associated with drainage of organic soils</t>
  </si>
  <si>
    <t>Type of Land use</t>
  </si>
  <si>
    <t>Type of Peat</t>
  </si>
  <si>
    <t>EMISSION FACTORS FOR CO2–C AND ASSOCIATED UNCERTAINTY FOR LANDS MANAGED FOR PEAT EXTRACTION, BY</t>
  </si>
  <si>
    <t>CLIMATE ZONE</t>
  </si>
  <si>
    <t>Table 7.4 Guidelines 2006</t>
  </si>
  <si>
    <t>NUTRIENT-POOR</t>
  </si>
  <si>
    <t>NUTRIENT RICH</t>
  </si>
  <si>
    <t>On-site CO2 emissions from peatlands undergoing active peat extraction</t>
  </si>
  <si>
    <t>Air-dry weight of extracted peat, tonnes yr-1</t>
  </si>
  <si>
    <t>C fraction [tonnes C (tonne air-dry peat)-1]</t>
  </si>
  <si>
    <t>All carbon in horticultural peat is assumed to be emitted during the extraction year</t>
  </si>
  <si>
    <t>(If you have volume of Peat use conversion factor on the right --&gt;)</t>
  </si>
  <si>
    <t>Volume</t>
  </si>
  <si>
    <t>Mass</t>
  </si>
  <si>
    <t>Conversion Factor (dry weight)</t>
  </si>
  <si>
    <t>(m3)</t>
  </si>
  <si>
    <t>(tonnes)</t>
  </si>
  <si>
    <t>CONVERSION FACTORS FOR CO2–C FOR  WEIGHT PRODUCTION DATA</t>
  </si>
  <si>
    <t>CONVERSION FACTORS FOR  VOLUME AND WEIGHT</t>
  </si>
  <si>
    <t>Table 7.5 Guidelines 2006</t>
  </si>
  <si>
    <t>On-site N2O emissions from peatlands undergoing active peat extraction</t>
  </si>
  <si>
    <t>DEFAULT EMISSION FACTORS FOR N2O EMISSIONS FROM MANAGED PEATLANDS</t>
  </si>
  <si>
    <t>Table 7.6 Guidelines 2006</t>
  </si>
  <si>
    <t>Emission factors ((kg N2O-N ha-1 yr-1)</t>
  </si>
  <si>
    <t>Total Organic soils</t>
  </si>
  <si>
    <t>of organic soils</t>
  </si>
  <si>
    <t>of peatlands</t>
  </si>
  <si>
    <t>(ha)</t>
  </si>
  <si>
    <t>Available area</t>
  </si>
  <si>
    <t>*looses (négative value) and gain (positive value) for soil per ha</t>
  </si>
  <si>
    <t>time_tot = time and time2=0</t>
  </si>
  <si>
    <t>Total area of organic soils and peatlands (ha)</t>
  </si>
  <si>
    <t>Organic soils and peatlands</t>
  </si>
  <si>
    <t>Mineral soils</t>
  </si>
  <si>
    <t>Organic soils</t>
  </si>
  <si>
    <t>Other soils</t>
  </si>
  <si>
    <t>Organic soils/peatlands</t>
  </si>
  <si>
    <t>--</t>
  </si>
  <si>
    <t>Peat</t>
  </si>
  <si>
    <t>kg CH4/t dm</t>
  </si>
  <si>
    <t>Total without</t>
  </si>
  <si>
    <t>with</t>
  </si>
  <si>
    <t>Difference Implent Phase</t>
  </si>
  <si>
    <t>Cap Phase</t>
  </si>
  <si>
    <t>Surface of organic soils concerned (ha)</t>
  </si>
  <si>
    <t>ANNUAL EMISSION FACTORS (EF) FOR DRAINED GRASSLAND ORGANIC SOILS</t>
  </si>
  <si>
    <t>Table 6.3 Guidelines 2006</t>
  </si>
  <si>
    <t>(TIME-1) dans Biomass pour Syst reserved from OLUC!!!</t>
  </si>
  <si>
    <t>IPCC Climate Zone</t>
  </si>
  <si>
    <t>Level1</t>
  </si>
  <si>
    <t>moisture regime</t>
  </si>
  <si>
    <t>Dry</t>
  </si>
  <si>
    <t>Cool Temperate</t>
  </si>
  <si>
    <t>Moist</t>
  </si>
  <si>
    <t>Warm Temperate</t>
  </si>
  <si>
    <t>Wet</t>
  </si>
  <si>
    <t>Tropical</t>
  </si>
  <si>
    <t>Tropical Montane</t>
  </si>
  <si>
    <t>Project Name</t>
  </si>
  <si>
    <t>Continent</t>
  </si>
  <si>
    <t>Climate</t>
  </si>
  <si>
    <t>MAT</t>
  </si>
  <si>
    <t>MAP</t>
  </si>
  <si>
    <t>Asia (Indian subcontinent)</t>
  </si>
  <si>
    <t>Africa</t>
  </si>
  <si>
    <t>Asia (Continental)</t>
  </si>
  <si>
    <t>Asia (Insular)</t>
  </si>
  <si>
    <t>Middle East</t>
  </si>
  <si>
    <t>Western Europe</t>
  </si>
  <si>
    <t>Eastern Europe</t>
  </si>
  <si>
    <t>Oceania</t>
  </si>
  <si>
    <t>North America</t>
  </si>
  <si>
    <t>Central America</t>
  </si>
  <si>
    <t>South America</t>
  </si>
  <si>
    <t>Table of Correspondance</t>
  </si>
  <si>
    <t>Simplified</t>
  </si>
  <si>
    <t>Warm Dry</t>
  </si>
  <si>
    <t>Tropical Wet</t>
  </si>
  <si>
    <t>Tropical Moist</t>
  </si>
  <si>
    <t>Warm Moist</t>
  </si>
  <si>
    <t>Tropical Dry</t>
  </si>
  <si>
    <t>Warm Temperate Dry</t>
  </si>
  <si>
    <t>Cool Temperate Dry</t>
  </si>
  <si>
    <t>Cool Temperate Moist</t>
  </si>
  <si>
    <t>Boreal Moist</t>
  </si>
  <si>
    <t>Boreal Dry</t>
  </si>
  <si>
    <t>Cool Dry</t>
  </si>
  <si>
    <t>Cool Moist</t>
  </si>
  <si>
    <t>MAT &gt; 18</t>
  </si>
  <si>
    <t>MAT and Climate Category</t>
  </si>
  <si>
    <t>Developed</t>
  </si>
  <si>
    <t>Developing</t>
  </si>
  <si>
    <t>Country Type</t>
  </si>
  <si>
    <t>Components of the Project</t>
  </si>
  <si>
    <t xml:space="preserve">Deforestation </t>
  </si>
  <si>
    <t>Agriculture</t>
  </si>
  <si>
    <t>Grassland</t>
  </si>
  <si>
    <t>Region</t>
  </si>
  <si>
    <t>CO2</t>
  </si>
  <si>
    <t>CH4</t>
  </si>
  <si>
    <t>N2O</t>
  </si>
  <si>
    <t>Methane emissions from enteric fermentation</t>
  </si>
  <si>
    <t>Head Number</t>
  </si>
  <si>
    <t>Emission (t CO2eq) per year</t>
  </si>
  <si>
    <t>IPCC</t>
  </si>
  <si>
    <t>Specific</t>
  </si>
  <si>
    <t>Default</t>
  </si>
  <si>
    <t>Start</t>
  </si>
  <si>
    <t>End</t>
  </si>
  <si>
    <t>All Period</t>
  </si>
  <si>
    <t>Difference</t>
  </si>
  <si>
    <t>Choose Livestocks:</t>
  </si>
  <si>
    <t>factor</t>
  </si>
  <si>
    <t>Factor</t>
  </si>
  <si>
    <t>t0</t>
  </si>
  <si>
    <t>Rate</t>
  </si>
  <si>
    <t>Dairy cattle</t>
  </si>
  <si>
    <t>YES</t>
  </si>
  <si>
    <t>Linear</t>
  </si>
  <si>
    <t>Immediate</t>
  </si>
  <si>
    <t>Other cattle</t>
  </si>
  <si>
    <t>NO</t>
  </si>
  <si>
    <t>Buffalo</t>
  </si>
  <si>
    <t>Exponential</t>
  </si>
  <si>
    <t>Swine (Market)</t>
  </si>
  <si>
    <t>Swine (Breeding)</t>
  </si>
  <si>
    <t>Sheep</t>
  </si>
  <si>
    <t>Mules and Asses</t>
  </si>
  <si>
    <t>User Defined- Specified value ---------------&gt;</t>
  </si>
  <si>
    <t>Methane emissions from manure management</t>
  </si>
  <si>
    <t>Nitrous Oxide emissions from manure management</t>
  </si>
  <si>
    <t>Annual amount of N manure* (t N per year)</t>
  </si>
  <si>
    <t>see equation 10.30</t>
  </si>
  <si>
    <t>Amount of Lime in tonnes per year</t>
  </si>
  <si>
    <t>Type of lime</t>
  </si>
  <si>
    <t>Limestone</t>
  </si>
  <si>
    <t>Dolomite</t>
  </si>
  <si>
    <t>Not precised</t>
  </si>
  <si>
    <t>Carbon dioxide emissions from Urea application</t>
  </si>
  <si>
    <t>Amount of Urea in tonnes per year</t>
  </si>
  <si>
    <t>Urea</t>
  </si>
  <si>
    <t>Type of input</t>
  </si>
  <si>
    <t>Sewage</t>
  </si>
  <si>
    <t>Compost</t>
  </si>
  <si>
    <t>Amount in tonnes of product (active ingrediente for Pesticides)</t>
  </si>
  <si>
    <t>Phosphorus synthetic fertilizer</t>
  </si>
  <si>
    <t>Potassium synthetic fertilizer</t>
  </si>
  <si>
    <t>Limestone (Lime)</t>
  </si>
  <si>
    <t>Dolomite (Lime)</t>
  </si>
  <si>
    <t>Herbicides (Pesticides)</t>
  </si>
  <si>
    <t>Insecticides (Pesticides)</t>
  </si>
  <si>
    <t>Fungicides (Pesticides)</t>
  </si>
  <si>
    <t>Global Warming Potential</t>
  </si>
  <si>
    <t>Rate of change</t>
  </si>
  <si>
    <t>Plantation</t>
  </si>
  <si>
    <t>Other</t>
  </si>
  <si>
    <t xml:space="preserve">From IPCC-GPG-2006-Volume 4 </t>
  </si>
  <si>
    <t>Forest Category byClimate Region</t>
  </si>
  <si>
    <t>Boreal</t>
  </si>
  <si>
    <t>Tropical rain forest</t>
  </si>
  <si>
    <t>Subtropical humid forest</t>
  </si>
  <si>
    <t>Temperate oceanic forest</t>
  </si>
  <si>
    <t>Boreal coniferous forest</t>
  </si>
  <si>
    <t>Tropical mountain systems</t>
  </si>
  <si>
    <t>Tropical moist deciduous forest</t>
  </si>
  <si>
    <t>Subtropical dry forest</t>
  </si>
  <si>
    <t>Temperate continental forest</t>
  </si>
  <si>
    <t>Boreal tundra woodland</t>
  </si>
  <si>
    <t>Tropical dry forest</t>
  </si>
  <si>
    <t>Subtropical steppe</t>
  </si>
  <si>
    <t>Temperate mountains systems</t>
  </si>
  <si>
    <t>Boreal mountain systems</t>
  </si>
  <si>
    <t>Tropical shrubland</t>
  </si>
  <si>
    <t>Subtropical mountains systems</t>
  </si>
  <si>
    <t>Livestocks Emission</t>
  </si>
  <si>
    <t>DEVELOPED COUNTRIES</t>
  </si>
  <si>
    <t>ENTERIC FERMENTATION EMISSION FACTORS FOR TIER 1 METHOD</t>
  </si>
  <si>
    <t>Table 10.10</t>
  </si>
  <si>
    <t>(KG CH4 HEAD-1 YR-1)</t>
  </si>
  <si>
    <t>Uncertainty =50%</t>
  </si>
  <si>
    <t>Goats</t>
  </si>
  <si>
    <t>Camels</t>
  </si>
  <si>
    <t>Horses</t>
  </si>
  <si>
    <t>Deer</t>
  </si>
  <si>
    <t>Alpacas</t>
  </si>
  <si>
    <t>DEVELOPING COUNTRIES</t>
  </si>
  <si>
    <t>Livestocks Emission (CATLLE)</t>
  </si>
  <si>
    <t>Table 10.11</t>
  </si>
  <si>
    <t>Dairy</t>
  </si>
  <si>
    <t>Original table</t>
  </si>
  <si>
    <t>Latin America</t>
  </si>
  <si>
    <t>Asia</t>
  </si>
  <si>
    <t>Asia (Indian Subcontinent)</t>
  </si>
  <si>
    <t>Indian Subcontinent</t>
  </si>
  <si>
    <t>Manure Management Methane emissions factors for DAIRYCATTLE</t>
  </si>
  <si>
    <t>DEFAULT REFERENCE BY AVERAGE MAT °C</t>
  </si>
  <si>
    <t>Table 10.14</t>
  </si>
  <si>
    <t>CH4 EMISSIONS FACTOR kgCH4 HEAD YR-1-1</t>
  </si>
  <si>
    <t>Uncertainty = 30%</t>
  </si>
  <si>
    <t>&lt;=10</t>
  </si>
  <si>
    <t>&gt;=28</t>
  </si>
  <si>
    <t>Manure Management Methane emissions factors for OTHER CATTLE</t>
  </si>
  <si>
    <t>Manure Management Methane emissions factors for BUFFALO</t>
  </si>
  <si>
    <t>Table 10 A.6</t>
  </si>
  <si>
    <r>
      <t>All GHG in tCO</t>
    </r>
    <r>
      <rPr>
        <vertAlign val="subscript"/>
        <sz val="10"/>
        <rFont val="Arial"/>
        <family val="2"/>
      </rPr>
      <t>2</t>
    </r>
    <r>
      <rPr>
        <sz val="10"/>
        <rFont val="Arial"/>
        <family val="2"/>
      </rPr>
      <t>eq</t>
    </r>
  </si>
  <si>
    <t>For North America, Ocenania and Africa = Value for Other Cattle</t>
  </si>
  <si>
    <t>Manure Management Methane emissions factors for MARKET SWINE</t>
  </si>
  <si>
    <t>Table 10.A7</t>
  </si>
  <si>
    <t>Manure Management Methane emissions factors for BREEDING SWINE</t>
  </si>
  <si>
    <t>Table 10A.8</t>
  </si>
  <si>
    <t>Manure Management Methane emissions factors for other animals</t>
  </si>
  <si>
    <t>Table 10.15</t>
  </si>
  <si>
    <t>MAT&lt;15</t>
  </si>
  <si>
    <t>15&lt;=MAT&lt;=25</t>
  </si>
  <si>
    <t>MAT&gt;25</t>
  </si>
  <si>
    <t>For Deer Table 10.16</t>
  </si>
  <si>
    <t>Manure Management - Nitrogen Excretion rate (kg N (1000 kg Animal mass)-1 day-1)</t>
  </si>
  <si>
    <t>Table 10.19</t>
  </si>
  <si>
    <t>Uncertainty = 50%</t>
  </si>
  <si>
    <t>Dairy Cattle</t>
  </si>
  <si>
    <t>Other Cattle</t>
  </si>
  <si>
    <t>Breeding Swine</t>
  </si>
  <si>
    <t>Manure Management - Typical Animal Mass (Kg per animal)</t>
  </si>
  <si>
    <t>Table 10.A4-8</t>
  </si>
  <si>
    <t>Uncertainty = 10%</t>
  </si>
  <si>
    <t>Soil C Stocks</t>
  </si>
  <si>
    <t>DEFAULT REFERENCE (UNDER NATIVE VEGETATION) SOIL ORGANIC C STOCKS (SOCREF) FOR MINERAL SOILS</t>
  </si>
  <si>
    <t>(TONNES C HA-1 IN 0-30 CM DEPTH)</t>
  </si>
  <si>
    <t>Climate Region</t>
  </si>
  <si>
    <t>HAC Soils</t>
  </si>
  <si>
    <t>LAC Soils</t>
  </si>
  <si>
    <t>Sandy Soils</t>
  </si>
  <si>
    <t>Spodic Soils</t>
  </si>
  <si>
    <t>Warm Temperate Moist</t>
  </si>
  <si>
    <t>Others GHG Emissions (not related to change in carbon pools)</t>
  </si>
  <si>
    <t>Other GHG Emissions</t>
  </si>
  <si>
    <t>Afforestation and Reforestation</t>
  </si>
  <si>
    <t>Back to Description</t>
  </si>
  <si>
    <t>Emissions of N2O and CH4 during energy use of peat (burning) is not considered here but in "Other investment" Module</t>
  </si>
  <si>
    <t>Off site CO2 emissions from peat use (energu use, horticultural use*…)</t>
  </si>
  <si>
    <t>Ex-ante analyse of some agricultural practices</t>
  </si>
  <si>
    <t>Above-Ground Biomass in Forest</t>
  </si>
  <si>
    <t>tonnes d.m. /ha</t>
  </si>
  <si>
    <t>FOREST1</t>
  </si>
  <si>
    <t>FOREST2</t>
  </si>
  <si>
    <t>FOREST3</t>
  </si>
  <si>
    <t>FOREST4</t>
  </si>
  <si>
    <t>Ecological Zone</t>
  </si>
  <si>
    <t>Bold = Value from Table 4.7</t>
  </si>
  <si>
    <t>Normal=Value from Table 4.12</t>
  </si>
  <si>
    <t>Above-Ground Biomass</t>
  </si>
  <si>
    <t>t C/ha</t>
  </si>
  <si>
    <t>PLANTATION1</t>
  </si>
  <si>
    <t>PLANTATION2</t>
  </si>
  <si>
    <t>PLANTATION3</t>
  </si>
  <si>
    <t>PLANTATION4</t>
  </si>
  <si>
    <t>Table 4.12</t>
  </si>
  <si>
    <t>Vegetation Type</t>
  </si>
  <si>
    <t>Natural 
Forest</t>
  </si>
  <si>
    <t>tonnes dm</t>
  </si>
  <si>
    <t>t C</t>
  </si>
  <si>
    <t>Below-Ground Biomass</t>
  </si>
  <si>
    <t>Litter</t>
  </si>
  <si>
    <t>Dead Wood</t>
  </si>
  <si>
    <t>Soil C</t>
  </si>
  <si>
    <t>Default values for litter C and Dead woodstocks in Forest</t>
  </si>
  <si>
    <t>Deadwood</t>
  </si>
  <si>
    <t>Table 2.2 (average of Broadleaf deciduous and needleleaf evergreen)</t>
  </si>
  <si>
    <t>Moisture regime</t>
  </si>
  <si>
    <t>Dominant Regional Soil Type</t>
  </si>
  <si>
    <t>Organic Soils</t>
  </si>
  <si>
    <t>Volcanic Soils</t>
  </si>
  <si>
    <t>Wetland Soils</t>
  </si>
  <si>
    <t>Clim_full</t>
  </si>
  <si>
    <t>clim_simple</t>
  </si>
  <si>
    <t>Boreal Moist = Boreal Dry</t>
  </si>
  <si>
    <t>tC</t>
  </si>
  <si>
    <t>&gt;0</t>
  </si>
  <si>
    <t>&gt;125</t>
  </si>
  <si>
    <t>&gt;20</t>
  </si>
  <si>
    <t>&gt;50</t>
  </si>
  <si>
    <t>&gt;75</t>
  </si>
  <si>
    <t>Adapted from Table 4.4</t>
  </si>
  <si>
    <t>Total</t>
  </si>
  <si>
    <t>Suggested Default Values per hectare (/ha)</t>
  </si>
  <si>
    <t>Fire use</t>
  </si>
  <si>
    <t>HWP before</t>
  </si>
  <si>
    <t>yes/no</t>
  </si>
  <si>
    <t>Default Values for Ratio of Below-groud biomass to Above-groun Biomass (Root/shot Ratio)</t>
  </si>
  <si>
    <t>% released</t>
  </si>
  <si>
    <t xml:space="preserve">Combustion </t>
  </si>
  <si>
    <t>of prefire dm</t>
  </si>
  <si>
    <t>kg GES / tonne dm</t>
  </si>
  <si>
    <t>default values for Combustion factor values (propostion of prefire fuel biomass consumed) and emission factors</t>
  </si>
  <si>
    <t>Adapted from Table 2.6 and 2.5</t>
  </si>
  <si>
    <t>%released</t>
  </si>
  <si>
    <t>DEFAULT Factor (FLU)</t>
  </si>
  <si>
    <t>Tables 5.5</t>
  </si>
  <si>
    <t>Tables 5.5 (Agriculture) and Table 6.2 Grassland)</t>
  </si>
  <si>
    <t>DEFAULT Factor (FLU x FMG x FI)</t>
  </si>
  <si>
    <t>If you have your own data fill the information</t>
  </si>
  <si>
    <t>Area deforested (ha)</t>
  </si>
  <si>
    <t>Biomass</t>
  </si>
  <si>
    <t>tonne</t>
  </si>
  <si>
    <t>kg</t>
  </si>
  <si>
    <t>tCO2 eq</t>
  </si>
  <si>
    <t>t CO2</t>
  </si>
  <si>
    <t>Soil</t>
  </si>
  <si>
    <t>tCO2</t>
  </si>
  <si>
    <r>
      <t>k</t>
    </r>
    <r>
      <rPr>
        <vertAlign val="subscript"/>
        <sz val="10"/>
        <rFont val="Arial"/>
        <family val="2"/>
      </rPr>
      <t>soil</t>
    </r>
  </si>
  <si>
    <t>Dynamic Factors</t>
  </si>
  <si>
    <t>Fire</t>
  </si>
  <si>
    <t>Deforestation Total</t>
  </si>
  <si>
    <t>Released GHG associated with Electricity Consumption</t>
  </si>
  <si>
    <t>Type of Default forest/plantation proposed within the</t>
  </si>
  <si>
    <t>specified Climatic zone</t>
  </si>
  <si>
    <t>Full</t>
  </si>
  <si>
    <t>Rainfed</t>
  </si>
  <si>
    <t>Low</t>
  </si>
  <si>
    <t>Reduced</t>
  </si>
  <si>
    <t>Irrigated</t>
  </si>
  <si>
    <t>No-Till</t>
  </si>
  <si>
    <t>Field "Finaluse" (used in Deforestation Module)</t>
  </si>
  <si>
    <t>Field "YES_NO"</t>
  </si>
  <si>
    <t>Field "Region"</t>
  </si>
  <si>
    <t>Tillage</t>
  </si>
  <si>
    <t>Input</t>
  </si>
  <si>
    <t>Water management</t>
  </si>
  <si>
    <t>Medium</t>
  </si>
  <si>
    <t>None</t>
  </si>
  <si>
    <t>Other Agriculture</t>
  </si>
  <si>
    <t>Forest or Plantation</t>
  </si>
  <si>
    <t>Not known</t>
  </si>
  <si>
    <t>Global ecological zones, based on observed climate and vegetation patterns (FAO, 2001). Data for geographic information systems available at http://www.fao.org.</t>
  </si>
  <si>
    <t>Ecol_Zone</t>
  </si>
  <si>
    <t>Tables used</t>
  </si>
  <si>
    <t>Dm = 0,4% C</t>
  </si>
  <si>
    <t>1 yr after</t>
  </si>
  <si>
    <t>Biomass (above + below ) for final use in Deforestation Module 1 yr after</t>
  </si>
  <si>
    <t>Biomass (above + below ) for final use in Deforestation Module Accumulation rate</t>
  </si>
  <si>
    <t>Perrenial/treee Crop</t>
  </si>
  <si>
    <t>5.1</t>
  </si>
  <si>
    <t xml:space="preserve"> Annual Crops</t>
  </si>
  <si>
    <t>Agroforestry/Perennial Crops</t>
  </si>
  <si>
    <t xml:space="preserve">Rice </t>
  </si>
  <si>
    <t>Ex-Ante Analyse of Deforestation</t>
  </si>
  <si>
    <t>High without Manure</t>
  </si>
  <si>
    <t>High with Manure</t>
  </si>
  <si>
    <t>BASE(kclim)</t>
  </si>
  <si>
    <t>Practices</t>
  </si>
  <si>
    <t>Improved agronomic practices</t>
  </si>
  <si>
    <t>Nutrient management</t>
  </si>
  <si>
    <t>Tillage/residues management</t>
  </si>
  <si>
    <t>From 4AR-VolII- Table 8.4</t>
  </si>
  <si>
    <t>Manure application</t>
  </si>
  <si>
    <t>Corresponding mean potential</t>
  </si>
  <si>
    <t>Tillage / residues Management</t>
  </si>
  <si>
    <t>Nutrient</t>
  </si>
  <si>
    <t>management</t>
  </si>
  <si>
    <t xml:space="preserve">Water </t>
  </si>
  <si>
    <t>Manure</t>
  </si>
  <si>
    <t>application</t>
  </si>
  <si>
    <t>Improved agronomic practices:</t>
  </si>
  <si>
    <t>using improved varieties, extending crop rotation…</t>
  </si>
  <si>
    <t>Nutrient management:</t>
  </si>
  <si>
    <t>precision farming, improve N use effciency</t>
  </si>
  <si>
    <t>Water management:</t>
  </si>
  <si>
    <t>Effective irrigation measure</t>
  </si>
  <si>
    <t>Manure or Biosolids application to the field as input</t>
  </si>
  <si>
    <t>t CO2 /ha/yr</t>
  </si>
  <si>
    <t>Mitigation potential</t>
  </si>
  <si>
    <t>Areas</t>
  </si>
  <si>
    <t>CO2eq</t>
  </si>
  <si>
    <t>t</t>
  </si>
  <si>
    <t>Agric. Annual Total</t>
  </si>
  <si>
    <t>Rice1</t>
  </si>
  <si>
    <t>Rice2</t>
  </si>
  <si>
    <t>Rice3</t>
  </si>
  <si>
    <t>Rice4</t>
  </si>
  <si>
    <t>Rice5</t>
  </si>
  <si>
    <t>Rice6</t>
  </si>
  <si>
    <t>Water Regime</t>
  </si>
  <si>
    <t>Default CH4 emission scaling factors for water regimes during the cultivation period relative to countinuously flooded field</t>
  </si>
  <si>
    <t>Table 5.12</t>
  </si>
  <si>
    <t>Water regime</t>
  </si>
  <si>
    <t>Irrigated - Continuously flooded</t>
  </si>
  <si>
    <t>Irrigated - Intermittently flooded</t>
  </si>
  <si>
    <t>Rainfed and deep water</t>
  </si>
  <si>
    <t>SFW factor</t>
  </si>
  <si>
    <t>During the cultivation Period</t>
  </si>
  <si>
    <t>Before the cultivation period</t>
  </si>
  <si>
    <t>See FAOSTAT</t>
  </si>
  <si>
    <t>Default CH4 emission scaling factors for water regimes BEFORE the cultivation period</t>
  </si>
  <si>
    <t>RICE</t>
  </si>
  <si>
    <t>Table 5.13</t>
  </si>
  <si>
    <t>SFP Factor</t>
  </si>
  <si>
    <t>Non flooded preseason &lt;180 days</t>
  </si>
  <si>
    <t>Non flooded preseason &gt;180 days</t>
  </si>
  <si>
    <t>Flooded preseason (&gt;30 days)</t>
  </si>
  <si>
    <t>Default conversion factor for different types of organic amendment</t>
  </si>
  <si>
    <t>Table 5.14</t>
  </si>
  <si>
    <t>Organic amendment</t>
  </si>
  <si>
    <t>CFOA</t>
  </si>
  <si>
    <t>Green manure</t>
  </si>
  <si>
    <t>Rice7</t>
  </si>
  <si>
    <t>Rice8</t>
  </si>
  <si>
    <t>Rice9</t>
  </si>
  <si>
    <t>Rice10</t>
  </si>
  <si>
    <t>* usefull information can be obtained at www.irri.org/science/ricestat and faostat.fao.org</t>
  </si>
  <si>
    <t>rate</t>
  </si>
  <si>
    <t>e.g. Rice crop calendar by country: http://www.irri.org/science/ricestat/data/may2008/WRS2008-AppendixTable04.pdf</t>
  </si>
  <si>
    <t>Cultivation</t>
  </si>
  <si>
    <t>period</t>
  </si>
  <si>
    <t>(Days)</t>
  </si>
  <si>
    <t>Default IPCC calculation</t>
  </si>
  <si>
    <t>kg CH4</t>
  </si>
  <si>
    <t>per ha/day</t>
  </si>
  <si>
    <t>per ha</t>
  </si>
  <si>
    <t>need help</t>
  </si>
  <si>
    <t>Type</t>
  </si>
  <si>
    <t>Areas (ha) of the different options</t>
  </si>
  <si>
    <t>CH4 emission from rice systems</t>
  </si>
  <si>
    <t xml:space="preserve">Total </t>
  </si>
  <si>
    <t>t CO2 eq</t>
  </si>
  <si>
    <t>Forested Area (ha)</t>
  </si>
  <si>
    <t>Perennial/Tree Crop</t>
  </si>
  <si>
    <t>Set Aside</t>
  </si>
  <si>
    <t>Set aside</t>
  </si>
  <si>
    <t>Annual Crop</t>
  </si>
  <si>
    <t>Other GHG emissions (N2O from N fertilizer, Farm operation, electricity consumption, Installation and use of irrigation systems)</t>
  </si>
  <si>
    <t>Residue/Biomass</t>
  </si>
  <si>
    <t>Burning</t>
  </si>
  <si>
    <t>Livestock</t>
  </si>
  <si>
    <t>Inputs</t>
  </si>
  <si>
    <t>Soil C (tC/ha)</t>
  </si>
  <si>
    <t>Final Use after</t>
  </si>
  <si>
    <t>deforestation</t>
  </si>
  <si>
    <t>Your description</t>
  </si>
  <si>
    <t>Total Balance</t>
  </si>
  <si>
    <t>With Project</t>
  </si>
  <si>
    <t>Without Project</t>
  </si>
  <si>
    <t>Without</t>
  </si>
  <si>
    <t>With</t>
  </si>
  <si>
    <t>Without project</t>
  </si>
  <si>
    <t>N Fertiliser in non-upland Rice*</t>
  </si>
  <si>
    <t>Organic Amendment type (Straw or other)</t>
  </si>
  <si>
    <t>Adoption of reduced,minimum or zero tillage, with or without mulching, including Conservation Agriculture</t>
  </si>
  <si>
    <t>Sub-Total I-1</t>
  </si>
  <si>
    <t>Sub-Total I-2</t>
  </si>
  <si>
    <t>Sub-Total I-3</t>
  </si>
  <si>
    <t>Sub-Total I-4</t>
  </si>
  <si>
    <t>Total "Inputs"</t>
  </si>
  <si>
    <t>Sub-Total L-1</t>
  </si>
  <si>
    <t>Sub-Total L-2</t>
  </si>
  <si>
    <t>Sub-Total L-3</t>
  </si>
  <si>
    <t>Total "Livestocks"</t>
  </si>
  <si>
    <t>table 6.4</t>
  </si>
  <si>
    <t>Duration of the Project (Years)</t>
  </si>
  <si>
    <t>Duration of accounting</t>
  </si>
  <si>
    <t>All period</t>
  </si>
  <si>
    <t>Straw burning</t>
  </si>
  <si>
    <t>Straw</t>
  </si>
  <si>
    <t>Burnt</t>
  </si>
  <si>
    <t>Canada</t>
  </si>
  <si>
    <t>Mexico</t>
  </si>
  <si>
    <t>Austria</t>
  </si>
  <si>
    <t>Belgium</t>
  </si>
  <si>
    <t>Czech Republic</t>
  </si>
  <si>
    <t>Denmark</t>
  </si>
  <si>
    <t>Finland</t>
  </si>
  <si>
    <t>France</t>
  </si>
  <si>
    <t>Germany</t>
  </si>
  <si>
    <t>Gibraltar</t>
  </si>
  <si>
    <t>Greece</t>
  </si>
  <si>
    <t>Hungary</t>
  </si>
  <si>
    <t>Iceland</t>
  </si>
  <si>
    <t>Ireland</t>
  </si>
  <si>
    <t>Italy</t>
  </si>
  <si>
    <t>Netherlands</t>
  </si>
  <si>
    <t>Norway</t>
  </si>
  <si>
    <t>Poland</t>
  </si>
  <si>
    <t>Portugal</t>
  </si>
  <si>
    <t>Slovak Republic</t>
  </si>
  <si>
    <t>Spain</t>
  </si>
  <si>
    <t>Sweden</t>
  </si>
  <si>
    <t>Switzerland</t>
  </si>
  <si>
    <t>Turkey</t>
  </si>
  <si>
    <t>United Kingdom</t>
  </si>
  <si>
    <t>Australia</t>
  </si>
  <si>
    <t>Japan</t>
  </si>
  <si>
    <t>Korea</t>
  </si>
  <si>
    <t>New Zealand</t>
  </si>
  <si>
    <t>Albania</t>
  </si>
  <si>
    <t>Armenia</t>
  </si>
  <si>
    <t>Azerbaijan</t>
  </si>
  <si>
    <t>Belarus</t>
  </si>
  <si>
    <t xml:space="preserve">Bosnia-Herzegovina </t>
  </si>
  <si>
    <t>Bulgaria</t>
  </si>
  <si>
    <t>Estonia</t>
  </si>
  <si>
    <t xml:space="preserve">FYR of Macedonia </t>
  </si>
  <si>
    <t>Georgia</t>
  </si>
  <si>
    <t>Kazakhstan</t>
  </si>
  <si>
    <t>Kyrgyzstan</t>
  </si>
  <si>
    <t>Lithuania</t>
  </si>
  <si>
    <t>Malta</t>
  </si>
  <si>
    <t>Romania</t>
  </si>
  <si>
    <t>Russia</t>
  </si>
  <si>
    <t>Serbia and Montenegro</t>
  </si>
  <si>
    <t xml:space="preserve">Slovenia </t>
  </si>
  <si>
    <t>Tajikistan</t>
  </si>
  <si>
    <t>Turkmenistan</t>
  </si>
  <si>
    <t>Ukraine</t>
  </si>
  <si>
    <t>Uzbekistan</t>
  </si>
  <si>
    <t>Bangladesh</t>
  </si>
  <si>
    <t>Brunei Darussalam</t>
  </si>
  <si>
    <t>Chinese Taipei</t>
  </si>
  <si>
    <t>Dem. People's Republic of Korea</t>
  </si>
  <si>
    <t>India</t>
  </si>
  <si>
    <t>Indonesia</t>
  </si>
  <si>
    <t>Malaysia</t>
  </si>
  <si>
    <t>Myanmar</t>
  </si>
  <si>
    <t>Nepal</t>
  </si>
  <si>
    <t>Pakistan</t>
  </si>
  <si>
    <t>Philippines</t>
  </si>
  <si>
    <t>Singapore</t>
  </si>
  <si>
    <t>Sri Lanka</t>
  </si>
  <si>
    <t>Thailand</t>
  </si>
  <si>
    <t>Vietnam</t>
  </si>
  <si>
    <t>Bahrain</t>
  </si>
  <si>
    <t>Cyprus</t>
  </si>
  <si>
    <t>Iraq</t>
  </si>
  <si>
    <t>Islamic Republic of Iran</t>
  </si>
  <si>
    <t>Israel</t>
  </si>
  <si>
    <t>Jordan</t>
  </si>
  <si>
    <t>Kuwait</t>
  </si>
  <si>
    <t>Lebanon</t>
  </si>
  <si>
    <t>Oman</t>
  </si>
  <si>
    <t>Qatar</t>
  </si>
  <si>
    <t>Saudi Arabia</t>
  </si>
  <si>
    <t>Syria</t>
  </si>
  <si>
    <t>United Arab Emirates</t>
  </si>
  <si>
    <t>Yemen</t>
  </si>
  <si>
    <t>Algeria</t>
  </si>
  <si>
    <t>Angola</t>
  </si>
  <si>
    <t>Cameroon</t>
  </si>
  <si>
    <t>Côte d'Ivoire</t>
  </si>
  <si>
    <t>Democratic Republic of Congo</t>
  </si>
  <si>
    <t>Egypt</t>
  </si>
  <si>
    <t>Eritrea</t>
  </si>
  <si>
    <t>Ethiopia</t>
  </si>
  <si>
    <t>Gabon</t>
  </si>
  <si>
    <t>Ghana</t>
  </si>
  <si>
    <t>Kenya</t>
  </si>
  <si>
    <t>Libya</t>
  </si>
  <si>
    <t>Morocco</t>
  </si>
  <si>
    <t>Nigeria</t>
  </si>
  <si>
    <t>Senegal</t>
  </si>
  <si>
    <t>South Africa</t>
  </si>
  <si>
    <t>Sudan</t>
  </si>
  <si>
    <t>Tunisia</t>
  </si>
  <si>
    <t>United Republic of Tanzania</t>
  </si>
  <si>
    <t>Zambia</t>
  </si>
  <si>
    <t>Argentina</t>
  </si>
  <si>
    <t>Bolivia</t>
  </si>
  <si>
    <t>Brazil</t>
  </si>
  <si>
    <t>Chile</t>
  </si>
  <si>
    <t>Colombia</t>
  </si>
  <si>
    <t>Costa Rica</t>
  </si>
  <si>
    <t>Cuba</t>
  </si>
  <si>
    <t>Dominican Republic</t>
  </si>
  <si>
    <t>Ecuador</t>
  </si>
  <si>
    <t>El Salvador</t>
  </si>
  <si>
    <t>Guatemala</t>
  </si>
  <si>
    <t>Haiti</t>
  </si>
  <si>
    <t>Honduras</t>
  </si>
  <si>
    <t>Jamaica</t>
  </si>
  <si>
    <t>Netherlands Antilles</t>
  </si>
  <si>
    <t>Nicaragua</t>
  </si>
  <si>
    <t>Panama</t>
  </si>
  <si>
    <t>Paraguay</t>
  </si>
  <si>
    <t>Peru</t>
  </si>
  <si>
    <t>Trinidad and Tobago</t>
  </si>
  <si>
    <t>Uruguay</t>
  </si>
  <si>
    <t>Venezuela</t>
  </si>
  <si>
    <t>USA</t>
  </si>
  <si>
    <t>Other Latin America</t>
  </si>
  <si>
    <t>Other Africa</t>
  </si>
  <si>
    <t>Zimbabwe</t>
  </si>
  <si>
    <t>Togo</t>
  </si>
  <si>
    <t>Namibia</t>
  </si>
  <si>
    <t>Mozambique</t>
  </si>
  <si>
    <t>Congo</t>
  </si>
  <si>
    <t>Botswana</t>
  </si>
  <si>
    <t>Benin</t>
  </si>
  <si>
    <t>Other Asia</t>
  </si>
  <si>
    <t>China</t>
  </si>
  <si>
    <t>Republic of Moldova</t>
  </si>
  <si>
    <t>Latvia</t>
  </si>
  <si>
    <t>Croatia+A6</t>
  </si>
  <si>
    <t>Luxembourg</t>
  </si>
  <si>
    <t>CO2 (tonnes/MWh)</t>
  </si>
  <si>
    <t>Country</t>
  </si>
  <si>
    <t>Total Electricity Consumption (MWh)</t>
  </si>
  <si>
    <t>Origin of Electricity</t>
  </si>
  <si>
    <t>Associated tCO2eq</t>
  </si>
  <si>
    <t>Delta C</t>
  </si>
  <si>
    <t>tCO2/yr</t>
  </si>
  <si>
    <t>Soil mitigation effect limited to 20 years</t>
  </si>
  <si>
    <t>have to be computed using the "Inputs" and "Investment" module</t>
  </si>
  <si>
    <t>Go to "Inputs"</t>
  </si>
  <si>
    <t>Go to "Investment"</t>
  </si>
  <si>
    <t>Implementation phase</t>
  </si>
  <si>
    <t>Capitalisation phase</t>
  </si>
  <si>
    <t>Amount of N Applied (t per year)</t>
  </si>
  <si>
    <t>DEFAULT Factor (FMg and FI)</t>
  </si>
  <si>
    <t>Table 6.2 Pasture</t>
  </si>
  <si>
    <t>Base</t>
  </si>
  <si>
    <t>non degraded</t>
  </si>
  <si>
    <t>Moderately degraded</t>
  </si>
  <si>
    <t>Improved medium</t>
  </si>
  <si>
    <t>Default Biomass</t>
  </si>
  <si>
    <t xml:space="preserve">Aboveground </t>
  </si>
  <si>
    <t>Table 6.4</t>
  </si>
  <si>
    <t>DEFAULT biomass stocks present on grassland</t>
  </si>
  <si>
    <t>T dm/ha</t>
  </si>
  <si>
    <t>in t dm /ha</t>
  </si>
  <si>
    <t>tCO2eq</t>
  </si>
  <si>
    <t>for one</t>
  </si>
  <si>
    <t>combustion</t>
  </si>
  <si>
    <t>Description of Grassland type, their management and areas (ha)</t>
  </si>
  <si>
    <t>Avalaible options for Grassland</t>
  </si>
  <si>
    <t>Grass-1</t>
  </si>
  <si>
    <t>Grass-2</t>
  </si>
  <si>
    <t>Grass-3</t>
  </si>
  <si>
    <t>Grass-4</t>
  </si>
  <si>
    <t>Grass-5</t>
  </si>
  <si>
    <t>Grass-6</t>
  </si>
  <si>
    <t>Grass-7</t>
  </si>
  <si>
    <t>Grass-8</t>
  </si>
  <si>
    <t>Grass-9</t>
  </si>
  <si>
    <t>Grass-10</t>
  </si>
  <si>
    <t>Name of the Systems</t>
  </si>
  <si>
    <t>Your name</t>
  </si>
  <si>
    <t>Non degraded</t>
  </si>
  <si>
    <t>Severely Degraded</t>
  </si>
  <si>
    <t>Moderately Degraded</t>
  </si>
  <si>
    <t>Improved without inputs management</t>
  </si>
  <si>
    <t>Cstart</t>
  </si>
  <si>
    <t>Improved with inputs improvement</t>
  </si>
  <si>
    <t>With project</t>
  </si>
  <si>
    <t>*Soil effect limited to 20 years</t>
  </si>
  <si>
    <t>Total CO2 eq  from fire</t>
  </si>
  <si>
    <t>Total CO2eq</t>
  </si>
  <si>
    <t>Soil C variations (tCO2eq)</t>
  </si>
  <si>
    <t>Grassland total</t>
  </si>
  <si>
    <t>Delta C*</t>
  </si>
  <si>
    <t>tCO2eq/ha/yr</t>
  </si>
  <si>
    <t>OPTION 1</t>
  </si>
  <si>
    <t>OPTION 2</t>
  </si>
  <si>
    <t>(Based on Annual Electricity consumption at the beginning and according to dynamic changes)</t>
  </si>
  <si>
    <t>Default value</t>
  </si>
  <si>
    <t>Annual Electricity Consumption (MWh/yr)</t>
  </si>
  <si>
    <t>Emission (t CO2eq)</t>
  </si>
  <si>
    <t>(Based on Total Electricity consumption over the whole duration of the project)</t>
  </si>
  <si>
    <t>Losses of electricity during transportation</t>
  </si>
  <si>
    <t>Released GHG associated with Fuel consumption (agricultural or forestry machinery, generators…)</t>
  </si>
  <si>
    <t>Motor Gasoline</t>
  </si>
  <si>
    <t>Net calorific values</t>
  </si>
  <si>
    <t>(TJ/Gg)</t>
  </si>
  <si>
    <t>Liquefied Petroleum Gases</t>
  </si>
  <si>
    <t>Gasoil /Diesel Oil</t>
  </si>
  <si>
    <t>Fuel Type</t>
  </si>
  <si>
    <t>Natural Gas</t>
  </si>
  <si>
    <t>CO2 emission</t>
  </si>
  <si>
    <t>kg CO2/TJ</t>
  </si>
  <si>
    <t>Waste Oil / Lubrificants</t>
  </si>
  <si>
    <t>Table 3.2.1</t>
  </si>
  <si>
    <t>Table 1.2</t>
  </si>
  <si>
    <t>kg N2O/TJ</t>
  </si>
  <si>
    <t>CH4 emissions</t>
  </si>
  <si>
    <t>kg CH4/TJ</t>
  </si>
  <si>
    <t>N2O emisisons</t>
  </si>
  <si>
    <t>Table 3.3.1</t>
  </si>
  <si>
    <t>Road</t>
  </si>
  <si>
    <t>Off-Road</t>
  </si>
  <si>
    <t>Density</t>
  </si>
  <si>
    <t>see:http://www.simetric.co.uk/si_liquids.htm</t>
  </si>
  <si>
    <t>kg/ m3</t>
  </si>
  <si>
    <t>for LPG:http://www.e-lpg.com/lp_gas_faqgen.asp</t>
  </si>
  <si>
    <t>(Based on Total  consumption over the whole duration of the project)</t>
  </si>
  <si>
    <t>Gasoil/Diesel</t>
  </si>
  <si>
    <t>Gasoline</t>
  </si>
  <si>
    <t>Total Liquid Fuel Consumption (m3)</t>
  </si>
  <si>
    <t>Type of Fuel</t>
  </si>
  <si>
    <t>t CO2 /m3</t>
  </si>
  <si>
    <t>Annual Fuel Consumption (m3/yr)</t>
  </si>
  <si>
    <t>factor*</t>
  </si>
  <si>
    <t>GHG emissions associated with inputs transportation is not included here! But in "Inputs"</t>
  </si>
  <si>
    <t>* from Lal (2004) Table 5 - central value -tCO2/t product</t>
  </si>
  <si>
    <t>Type of irrigation system</t>
  </si>
  <si>
    <t>Equivalent C emission for installation of irrigation system</t>
  </si>
  <si>
    <t>from Lal 2004 Table 3</t>
  </si>
  <si>
    <t>System</t>
  </si>
  <si>
    <t>Solid set sprinkle</t>
  </si>
  <si>
    <t>Permanent sprinkle</t>
  </si>
  <si>
    <t>Hand moved sprinkle</t>
  </si>
  <si>
    <t>Solid roll sprinkle</t>
  </si>
  <si>
    <t>Center-pivot sprinkle</t>
  </si>
  <si>
    <t>Traveler sprinkle</t>
  </si>
  <si>
    <t>Trickle</t>
  </si>
  <si>
    <r>
      <t>Released GHG associated with</t>
    </r>
    <r>
      <rPr>
        <b/>
        <u/>
        <sz val="10"/>
        <color indexed="43"/>
        <rFont val="Arial"/>
        <family val="2"/>
      </rPr>
      <t xml:space="preserve"> installation</t>
    </r>
    <r>
      <rPr>
        <b/>
        <sz val="10"/>
        <color indexed="43"/>
        <rFont val="Arial"/>
        <family val="2"/>
      </rPr>
      <t xml:space="preserve"> of irrigation systems</t>
    </r>
  </si>
  <si>
    <t>Installation of irrigation system</t>
  </si>
  <si>
    <t>surface (ha)</t>
  </si>
  <si>
    <t>kgCO2/ha</t>
  </si>
  <si>
    <t>IRSS = Irrigation runoff return system</t>
  </si>
  <si>
    <t>Released GHG associated with building of infrastructure</t>
  </si>
  <si>
    <t>surface (m2)</t>
  </si>
  <si>
    <t>Emissions associated with construction</t>
  </si>
  <si>
    <t>Default value from Bilan Carbone AFD/Adème</t>
  </si>
  <si>
    <t>Housing (concrete)</t>
  </si>
  <si>
    <t>Agricultural Buildings (concrete)</t>
  </si>
  <si>
    <t>Agricultural Buildings (metal)</t>
  </si>
  <si>
    <t>Industrial Buildings (concrete)</t>
  </si>
  <si>
    <t>Industrial Buildings (metal)</t>
  </si>
  <si>
    <t>Garage (concrete)</t>
  </si>
  <si>
    <t>Garage (metal)</t>
  </si>
  <si>
    <t>Offices (concrete)</t>
  </si>
  <si>
    <t>Offices (metal)</t>
  </si>
  <si>
    <t>Other (concrete)</t>
  </si>
  <si>
    <t>Other (metal)</t>
  </si>
  <si>
    <t>For other it is an estimation</t>
  </si>
  <si>
    <t>Improved agro-</t>
  </si>
  <si>
    <t>-nomic practices</t>
  </si>
  <si>
    <t>Value</t>
  </si>
  <si>
    <t>Sub-Total With</t>
  </si>
  <si>
    <t>Sub-Total Without</t>
  </si>
  <si>
    <t>OPTION1 + OPTION2</t>
  </si>
  <si>
    <t>Subtotal</t>
  </si>
  <si>
    <t>SUB-TOTAL FOR INVESTMENT</t>
  </si>
  <si>
    <t>Above-Ground net Biomass growth in forest plantations (tonnes dry matter ha-1 yr-1)</t>
  </si>
  <si>
    <t>Bold Table 4.9</t>
  </si>
  <si>
    <t>Above-Ground Biomass Growth</t>
  </si>
  <si>
    <t>Below-Ground Biomass growth</t>
  </si>
  <si>
    <t>Litter total</t>
  </si>
  <si>
    <t>Conversion details (Harvest wood product exported before the conversion, use of fire, final use after conversion)</t>
  </si>
  <si>
    <t>Previous use before</t>
  </si>
  <si>
    <t>afforestation/reforestation</t>
  </si>
  <si>
    <t>g of GHG .kg DM burnt</t>
  </si>
  <si>
    <t>Biomass (above + below ) for prevoius use in Afforestation/reforestation Module</t>
  </si>
  <si>
    <t>Degraded Land</t>
  </si>
  <si>
    <t>t C /ha</t>
  </si>
  <si>
    <t>Field "Previous use" (used in A/R Module)</t>
  </si>
  <si>
    <t>Perennial/Tree Crop (&lt;5yrs)</t>
  </si>
  <si>
    <t>For perennial it is average over the period</t>
  </si>
  <si>
    <t>Perennial/Tree Crop (6-10 yrs)</t>
  </si>
  <si>
    <t>Perennial/Tree Crop (&gt;10 yrs)</t>
  </si>
  <si>
    <t>Degraded  Land is set arbitrary to 1</t>
  </si>
  <si>
    <t>Degraded  Land is set arbitrary to 0.33</t>
  </si>
  <si>
    <t>Burnt before</t>
  </si>
  <si>
    <t>conversion</t>
  </si>
  <si>
    <t>Default values for Combustion factor values (propostion of prefire fuel biomass consumed) and emission factors</t>
  </si>
  <si>
    <t>%released set arbitrary to 0,8</t>
  </si>
  <si>
    <t>For crop it is estimated that residues after crop is 40%</t>
  </si>
  <si>
    <t>See IPCC 2006 Tables 4.9 and 4.10 for other values</t>
  </si>
  <si>
    <t>Biomass loss</t>
  </si>
  <si>
    <t>Biomass Loss</t>
  </si>
  <si>
    <t>Biomass Gain</t>
  </si>
  <si>
    <t>Conversion details (Previous land use, use of fire before afforestation/reforestation,...)</t>
  </si>
  <si>
    <t>GHG emissions</t>
  </si>
  <si>
    <t>&lt;=20yrs</t>
  </si>
  <si>
    <t>&gt;20yr</t>
  </si>
  <si>
    <t>Annual Biomass Growth</t>
  </si>
  <si>
    <t>After 20 year-old</t>
  </si>
  <si>
    <t>wood</t>
  </si>
  <si>
    <t>Biomass of forests/plantation</t>
  </si>
  <si>
    <t>Above-Ground net Biomass growth in natural forest (tonnes dry matter ha-1 yr-1) AGE&lt;=20YRS</t>
  </si>
  <si>
    <t>Above-Ground net Biomass growth in natural forest (tonnes dry matter ha-1 yr-1) AGE&gt;20YRS</t>
  </si>
  <si>
    <t>Natural 
Forest
Type</t>
  </si>
  <si>
    <t>Plantation
Type</t>
  </si>
  <si>
    <t>Up to 20 year-old</t>
  </si>
  <si>
    <t>(Maximum is set using colum Biomass C Loss of Table 5.1</t>
  </si>
  <si>
    <t>Agroforestry</t>
  </si>
  <si>
    <t>Soil Effect</t>
  </si>
  <si>
    <t>Only CO2 (tCO2-eq/ha/yr) - Mean Estimate</t>
  </si>
  <si>
    <t>Livestocks</t>
  </si>
  <si>
    <t>Technical mitigation potential for enteric methane emission</t>
  </si>
  <si>
    <t>Adapted from 4AR-Vol3 chapter 8 Table 8.5</t>
  </si>
  <si>
    <t>Middle east = Africa values</t>
  </si>
  <si>
    <t>Asia Insular = Southeastern AEZ region</t>
  </si>
  <si>
    <t>Asia (India sub) = Asia Southern</t>
  </si>
  <si>
    <t>Asia cont = average Asia (East + west + Central)</t>
  </si>
  <si>
    <t>Buffalo = average dairy and non-dairy</t>
  </si>
  <si>
    <t>Feeding Practices</t>
  </si>
  <si>
    <t>Specific Agents</t>
  </si>
  <si>
    <t>Management-Breeding</t>
  </si>
  <si>
    <t>Dominant Practice*</t>
  </si>
  <si>
    <t>Sub-Total L-4</t>
  </si>
  <si>
    <t>No option</t>
  </si>
  <si>
    <t>Percent of head with practices (0% =none;100%=all)</t>
  </si>
  <si>
    <t>Feeding practices: e;g. more concentrates, adding certian oils or oilseeds to the diet, improving pasture quality,…</t>
  </si>
  <si>
    <t>Specific agents: specific agents and dietary additives to reduces CH4 emisisons (Ionophores, vaccines, bST…)</t>
  </si>
  <si>
    <t>Management-Breeding: Increasing productivity through breeding and better management practices, such as a reduction</t>
  </si>
  <si>
    <t xml:space="preserve">                                      in the number of replacement heifers</t>
  </si>
  <si>
    <t>Previous</t>
  </si>
  <si>
    <t>Online resource materials for policy-making</t>
  </si>
  <si>
    <t>(EX-ACT)</t>
  </si>
  <si>
    <t>Disclaimer</t>
  </si>
  <si>
    <t>Go to Web LocClim</t>
  </si>
  <si>
    <t>FAO ressources:</t>
  </si>
  <si>
    <t>LocClim</t>
  </si>
  <si>
    <t>Web Loc Clim</t>
  </si>
  <si>
    <t>Click here to go to the application</t>
  </si>
  <si>
    <t>See the Global Climate map at FAO</t>
  </si>
  <si>
    <t>Annual average rainfall total</t>
  </si>
  <si>
    <t>Annual average temperature</t>
  </si>
  <si>
    <t>Go to Map</t>
  </si>
  <si>
    <t>Description/example of the different options</t>
  </si>
  <si>
    <t>Vegetation</t>
  </si>
  <si>
    <t>WRB-2006</t>
  </si>
  <si>
    <t>Acrisol AC</t>
  </si>
  <si>
    <t>Albeluvisol AB</t>
  </si>
  <si>
    <t>Alisol AL</t>
  </si>
  <si>
    <t>Andosol AN</t>
  </si>
  <si>
    <t>Anthrosol AT</t>
  </si>
  <si>
    <t>Arenosol AR</t>
  </si>
  <si>
    <t>Calcisol CL</t>
  </si>
  <si>
    <t>Cambisol CM</t>
  </si>
  <si>
    <t>Chernozem CH</t>
  </si>
  <si>
    <t>Cryosol CR</t>
  </si>
  <si>
    <t>Durisol DU</t>
  </si>
  <si>
    <t>Ferralsol FR</t>
  </si>
  <si>
    <t>Fluvisol FL</t>
  </si>
  <si>
    <t>Gleysol GL</t>
  </si>
  <si>
    <t>Gypsisol GY</t>
  </si>
  <si>
    <t>Histosol HS</t>
  </si>
  <si>
    <t>Kastanozem KS</t>
  </si>
  <si>
    <t>Leptosol LP</t>
  </si>
  <si>
    <t>Lixisol LX</t>
  </si>
  <si>
    <t>Luvisol LV</t>
  </si>
  <si>
    <t>Nitisol NT</t>
  </si>
  <si>
    <t>Phaeozem PH</t>
  </si>
  <si>
    <t>Planosol PL</t>
  </si>
  <si>
    <t>Plinthosol PT</t>
  </si>
  <si>
    <t>Podzol PZ</t>
  </si>
  <si>
    <t>Regosol RG</t>
  </si>
  <si>
    <t>Solonchak SC</t>
  </si>
  <si>
    <t>Solonetz SN</t>
  </si>
  <si>
    <t>Stagnosol ST</t>
  </si>
  <si>
    <t>Technosol TC</t>
  </si>
  <si>
    <t>Umbrisol UM</t>
  </si>
  <si>
    <t>Vertisol VR</t>
  </si>
  <si>
    <t>No Option</t>
  </si>
  <si>
    <t>Feeding practices</t>
  </si>
  <si>
    <t>FINAL</t>
  </si>
  <si>
    <t>Cropland</t>
  </si>
  <si>
    <t>Other Land</t>
  </si>
  <si>
    <t>INITIAL</t>
  </si>
  <si>
    <t>Forest-&gt;Other land</t>
  </si>
  <si>
    <t>Annual</t>
  </si>
  <si>
    <t>Perennial</t>
  </si>
  <si>
    <t>Rice</t>
  </si>
  <si>
    <t xml:space="preserve"> -&gt; A/R</t>
  </si>
  <si>
    <t>Forest/Plantation</t>
  </si>
  <si>
    <t>from Deforestation</t>
  </si>
  <si>
    <t>According to information provided above, you should provide informations in the following module:</t>
  </si>
  <si>
    <t>Total Initial</t>
  </si>
  <si>
    <t>Total Final</t>
  </si>
  <si>
    <t>Forest/</t>
  </si>
  <si>
    <t>Total Syst 1-10</t>
  </si>
  <si>
    <t>Agroforestry/Perennial/tree Crops</t>
  </si>
  <si>
    <t>Reserved system A1</t>
  </si>
  <si>
    <t>Reserved system A2</t>
  </si>
  <si>
    <t>System A1</t>
  </si>
  <si>
    <t>System A2</t>
  </si>
  <si>
    <t>is in equilibrium therefore default growth rate is 0</t>
  </si>
  <si>
    <t>Perennial Syst 1</t>
  </si>
  <si>
    <t>Perennial Syst 2</t>
  </si>
  <si>
    <t>Perennial Syst 3</t>
  </si>
  <si>
    <t>Perennial Syst 4</t>
  </si>
  <si>
    <t>Perennial Syst 5</t>
  </si>
  <si>
    <t>DEFAULT biomass stocks and growth for Agroforestry/Perennial/Tree crops systems (from Table 5.1)</t>
  </si>
  <si>
    <t>A/R1</t>
  </si>
  <si>
    <t>A/R2</t>
  </si>
  <si>
    <t>A/R3</t>
  </si>
  <si>
    <t>A/R4</t>
  </si>
  <si>
    <t>A/R5</t>
  </si>
  <si>
    <t>A/R6</t>
  </si>
  <si>
    <t>A/R7</t>
  </si>
  <si>
    <t>A/R8</t>
  </si>
  <si>
    <t>A/R9</t>
  </si>
  <si>
    <t>A/R10</t>
  </si>
  <si>
    <t>Name</t>
  </si>
  <si>
    <t>Annual System1</t>
  </si>
  <si>
    <t>Annual System2</t>
  </si>
  <si>
    <t>Annual System3</t>
  </si>
  <si>
    <t>Annual System4</t>
  </si>
  <si>
    <t>Annual System5</t>
  </si>
  <si>
    <t>Annual System6</t>
  </si>
  <si>
    <t>Annual System7</t>
  </si>
  <si>
    <t>Annual System8</t>
  </si>
  <si>
    <t>Annual System9</t>
  </si>
  <si>
    <t>Annual System10</t>
  </si>
  <si>
    <t>Reserved system P1</t>
  </si>
  <si>
    <t>Reserved system P2</t>
  </si>
  <si>
    <t>System P1</t>
  </si>
  <si>
    <t>System P2</t>
  </si>
  <si>
    <t>Reserved system R1</t>
  </si>
  <si>
    <t>Reserved system R2</t>
  </si>
  <si>
    <t>System R2</t>
  </si>
  <si>
    <t>Reserved system G1</t>
  </si>
  <si>
    <t>Reserved system G2</t>
  </si>
  <si>
    <t>System G1</t>
  </si>
  <si>
    <t>System G2</t>
  </si>
  <si>
    <t>Initial state</t>
  </si>
  <si>
    <t>Aboveground Biomass</t>
  </si>
  <si>
    <t>converted to A/R</t>
  </si>
  <si>
    <t>Converted to A/R</t>
  </si>
  <si>
    <t>Afforested or reforested Area (ha)</t>
  </si>
  <si>
    <t>Final Balance</t>
  </si>
  <si>
    <t>Straw burnt</t>
  </si>
  <si>
    <t>Farm yard manure</t>
  </si>
  <si>
    <t>Straw exported</t>
  </si>
  <si>
    <t>Total Systems 1-10</t>
  </si>
  <si>
    <t>Table 5.9</t>
  </si>
  <si>
    <t>If you have your own data fill the information -&gt;</t>
  </si>
  <si>
    <t>(Based on Annual Fuel consumption at the beginning and according to dynamic changes)</t>
  </si>
  <si>
    <t>Poultry</t>
  </si>
  <si>
    <t>Using Layers Dry coefficient</t>
  </si>
  <si>
    <r>
      <t xml:space="preserve">For </t>
    </r>
    <r>
      <rPr>
        <sz val="10"/>
        <color indexed="12"/>
        <rFont val="Arial"/>
        <family val="2"/>
      </rPr>
      <t xml:space="preserve"> Poultry using Layer dry and developped country set to 75% of developed</t>
    </r>
  </si>
  <si>
    <t>Manure Management systems - EF3</t>
  </si>
  <si>
    <t>Table 10.21</t>
  </si>
  <si>
    <t>Pasture/Range/Paddock</t>
  </si>
  <si>
    <t>Daily Spread</t>
  </si>
  <si>
    <t>Solid storage</t>
  </si>
  <si>
    <t>Dry Lot</t>
  </si>
  <si>
    <t>Liquid/Slurry</t>
  </si>
  <si>
    <t>Uncovered anaerobic lagoon</t>
  </si>
  <si>
    <t>Pit storage below confinements</t>
  </si>
  <si>
    <t xml:space="preserve">Anaerobic digester </t>
  </si>
  <si>
    <t>Livestocks:</t>
  </si>
  <si>
    <t>Deep bedding-No mixing</t>
  </si>
  <si>
    <t>Deep bedding- Mixing</t>
  </si>
  <si>
    <t>Composting-in-vessel</t>
  </si>
  <si>
    <t>Composting-Static Pile</t>
  </si>
  <si>
    <t>Composting-Intensive windrow</t>
  </si>
  <si>
    <t>Composting-Passive Windrow</t>
  </si>
  <si>
    <t>Aerobic -natural aeration</t>
  </si>
  <si>
    <t>Aerobic-Foreced aeration</t>
  </si>
  <si>
    <t>Poultry set to 0.001</t>
  </si>
  <si>
    <t>Ex-Ante Analyse of other LUC</t>
  </si>
  <si>
    <t>Initial Land Use</t>
  </si>
  <si>
    <t>Final Land Use</t>
  </si>
  <si>
    <t>Initial Land Use (LUC_ini)</t>
  </si>
  <si>
    <t>Losses (positive value) and gain (negative value) per ha</t>
  </si>
  <si>
    <t>Degraded</t>
  </si>
  <si>
    <t>Soil Ini.</t>
  </si>
  <si>
    <t>Biom. Ini.</t>
  </si>
  <si>
    <t>Biom. Fin.</t>
  </si>
  <si>
    <t>Soil Fin.</t>
  </si>
  <si>
    <t>Default C Stocks (tC/ha)</t>
  </si>
  <si>
    <t>Delta (tCO2)</t>
  </si>
  <si>
    <t>Description of LUC</t>
  </si>
  <si>
    <t>Soil /yr *</t>
  </si>
  <si>
    <t>Default Soil Native (tC/ha)</t>
  </si>
  <si>
    <t>LUC-1</t>
  </si>
  <si>
    <t>LUC-2</t>
  </si>
  <si>
    <t>LUC-3</t>
  </si>
  <si>
    <t>LUC-4</t>
  </si>
  <si>
    <t>LUC-5</t>
  </si>
  <si>
    <t>LUC-6</t>
  </si>
  <si>
    <t>LUC-7</t>
  </si>
  <si>
    <t>LUC-8</t>
  </si>
  <si>
    <t>LUC-9</t>
  </si>
  <si>
    <t>LUC-10</t>
  </si>
  <si>
    <t>LUC-11</t>
  </si>
  <si>
    <t>LUC-12</t>
  </si>
  <si>
    <t>LUC-13</t>
  </si>
  <si>
    <t>LUC-14</t>
  </si>
  <si>
    <t>LUC-15</t>
  </si>
  <si>
    <t>LUC-16</t>
  </si>
  <si>
    <t>Your Name</t>
  </si>
  <si>
    <t>Area concerned by LUC</t>
  </si>
  <si>
    <t>Biomass Change</t>
  </si>
  <si>
    <t>Soil Change</t>
  </si>
  <si>
    <t>Area</t>
  </si>
  <si>
    <t>Other LUC total</t>
  </si>
  <si>
    <t>TOTAL</t>
  </si>
  <si>
    <t>defined Crop-&gt;Other LU</t>
  </si>
  <si>
    <t>Reserved system A3</t>
  </si>
  <si>
    <t>Reserved system A4</t>
  </si>
  <si>
    <t>From OLUC</t>
  </si>
  <si>
    <t>Converted to OLUC</t>
  </si>
  <si>
    <t>System A3</t>
  </si>
  <si>
    <t>System A4</t>
  </si>
  <si>
    <t>Numbers in "normal format" correspond to a change in pratice or management options</t>
  </si>
  <si>
    <t>Reserved system P3</t>
  </si>
  <si>
    <t>Reserved system P4</t>
  </si>
  <si>
    <t>from OLUC</t>
  </si>
  <si>
    <t>System P3</t>
  </si>
  <si>
    <t>System P4</t>
  </si>
  <si>
    <t>Reserved system R3</t>
  </si>
  <si>
    <t>Reserved system R4</t>
  </si>
  <si>
    <t>System R1</t>
  </si>
  <si>
    <t>System R3</t>
  </si>
  <si>
    <t>System R4</t>
  </si>
  <si>
    <t>Reserved system G3</t>
  </si>
  <si>
    <t>Reserved system G4</t>
  </si>
  <si>
    <t>System G3</t>
  </si>
  <si>
    <t>System G4</t>
  </si>
  <si>
    <t>Belowground Biomass</t>
  </si>
  <si>
    <t>Alert</t>
  </si>
  <si>
    <t>Project name</t>
  </si>
  <si>
    <t xml:space="preserve"> Corresponds to either not implemented or no GHG changes</t>
  </si>
  <si>
    <t xml:space="preserve"> Corresponds to "Deforestation" Module</t>
  </si>
  <si>
    <t xml:space="preserve"> Corresponds to "Afforestation-Reforestation" Module</t>
  </si>
  <si>
    <t xml:space="preserve"> Corresponds to "Other Land-Use Change Module" Module</t>
  </si>
  <si>
    <t xml:space="preserve"> Corresponds to Cropland Modules (i.e. Annual, Perennial and Rice)</t>
  </si>
  <si>
    <t xml:space="preserve"> Corresponds to Grassland</t>
  </si>
  <si>
    <t>Additional Technical Mitigation  (See IPCC TAR Vol 3 Chapter 8)</t>
  </si>
  <si>
    <t>Carbon dioxide emissions from Lime application</t>
  </si>
  <si>
    <t>From Deforestation</t>
  </si>
  <si>
    <t>Only System P1 and P3  are considered by default not in equilibrium</t>
  </si>
  <si>
    <r>
      <t>CO</t>
    </r>
    <r>
      <rPr>
        <vertAlign val="subscript"/>
        <sz val="10"/>
        <rFont val="Arial"/>
        <family val="2"/>
      </rPr>
      <t>2</t>
    </r>
    <r>
      <rPr>
        <sz val="10"/>
        <rFont val="Arial"/>
        <family val="2"/>
      </rPr>
      <t>eq emitted from Burning</t>
    </r>
  </si>
  <si>
    <t>Biomass gain (1yr after)</t>
  </si>
  <si>
    <t>Fire*</t>
  </si>
  <si>
    <t>* is fire occuring?</t>
  </si>
  <si>
    <t>Type of input**</t>
  </si>
  <si>
    <t>** tonnes of N, P2O5, K2O and CaCO3</t>
  </si>
  <si>
    <r>
      <t>CO</t>
    </r>
    <r>
      <rPr>
        <b/>
        <vertAlign val="subscript"/>
        <sz val="10"/>
        <color indexed="43"/>
        <rFont val="Arial Narrow"/>
        <family val="2"/>
      </rPr>
      <t xml:space="preserve">2 </t>
    </r>
    <r>
      <rPr>
        <b/>
        <sz val="10"/>
        <color indexed="43"/>
        <rFont val="Arial Narrow"/>
        <family val="2"/>
      </rPr>
      <t>equivalent emissions from production, transportation, storage and transfer of agricultural chemicals</t>
    </r>
  </si>
  <si>
    <t>User-defined practices</t>
  </si>
  <si>
    <t>Rate in tC/ha/yr</t>
  </si>
  <si>
    <t>Users</t>
  </si>
  <si>
    <t>NoTillage/residues</t>
  </si>
  <si>
    <t>Fire  used to manage</t>
  </si>
  <si>
    <t>User default available</t>
  </si>
  <si>
    <t>Positive value= gain for soil</t>
  </si>
  <si>
    <t>Used</t>
  </si>
  <si>
    <t>t CO2/ha/yr</t>
  </si>
  <si>
    <t xml:space="preserve">Start </t>
  </si>
  <si>
    <t>Total Syst 1-5</t>
  </si>
  <si>
    <t>tCO2/ha/yr</t>
  </si>
  <si>
    <t>Specific Vegetation 1</t>
  </si>
  <si>
    <r>
      <t>N</t>
    </r>
    <r>
      <rPr>
        <b/>
        <vertAlign val="subscript"/>
        <sz val="10"/>
        <color indexed="43"/>
        <rFont val="Arial Narrow"/>
        <family val="2"/>
      </rPr>
      <t>2</t>
    </r>
    <r>
      <rPr>
        <b/>
        <sz val="10"/>
        <color indexed="43"/>
        <rFont val="Arial Narrow"/>
        <family val="2"/>
      </rPr>
      <t>O emissions from N application on managed soils  (except manure management see Livestock Module)</t>
    </r>
  </si>
  <si>
    <t>Generic Lime</t>
  </si>
  <si>
    <t>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t>
  </si>
  <si>
    <t>http://www.bafu.admin.ch/klima/09570/index.html?lang=fr</t>
  </si>
  <si>
    <t>FACTEURS D’ÉMISSION DE CO2 SELON L’INVENTAIRE SUISSE DES GAZ À EFFET DE SERRE</t>
  </si>
  <si>
    <r>
      <t>CH</t>
    </r>
    <r>
      <rPr>
        <vertAlign val="subscript"/>
        <sz val="10"/>
        <color theme="2" tint="-9.9978637043366805E-2"/>
        <rFont val="Arial"/>
        <family val="2"/>
      </rPr>
      <t>4</t>
    </r>
  </si>
  <si>
    <t>Forest Zone 1</t>
  </si>
  <si>
    <t>Forest Zone 2</t>
  </si>
  <si>
    <t>Forest Zone 3</t>
  </si>
  <si>
    <t>Forest Zone 4</t>
  </si>
  <si>
    <t>Plantation Zone 1</t>
  </si>
  <si>
    <t>Plantation Zone 2</t>
  </si>
  <si>
    <t>Plantation Zone 3</t>
  </si>
  <si>
    <t>Plantation Zone 4</t>
  </si>
  <si>
    <t>Type of vegetation</t>
  </si>
  <si>
    <t>-&gt;</t>
  </si>
  <si>
    <t>Forested area (ha)</t>
  </si>
  <si>
    <t xml:space="preserve"> (tDM/ha)</t>
  </si>
  <si>
    <t>(y/n)</t>
  </si>
  <si>
    <t>Balance</t>
  </si>
  <si>
    <t>Total Deforestation</t>
  </si>
  <si>
    <t>Final use after deforestation</t>
  </si>
  <si>
    <t>Deforested area (ha)</t>
  </si>
  <si>
    <t>that will be deforested</t>
  </si>
  <si>
    <t>that will be planted</t>
  </si>
  <si>
    <t>Previous land use</t>
  </si>
  <si>
    <t>Area that will be afforested/reforested</t>
  </si>
  <si>
    <t>Total Emissions (tCO2-eq)</t>
  </si>
  <si>
    <t>Initial land use</t>
  </si>
  <si>
    <t>Final land use</t>
  </si>
  <si>
    <t>Message</t>
  </si>
  <si>
    <t>Description</t>
  </si>
  <si>
    <t>Annual after Deforestation</t>
  </si>
  <si>
    <t>Annual after non-forest LU</t>
  </si>
  <si>
    <t>Yield</t>
  </si>
  <si>
    <t>Area (ha)</t>
  </si>
  <si>
    <t>t/ha/yr</t>
  </si>
  <si>
    <t>(see Map below)</t>
  </si>
  <si>
    <t>Item</t>
  </si>
  <si>
    <t>Year</t>
  </si>
  <si>
    <t>Yield (t/ha)</t>
  </si>
  <si>
    <t>Projections</t>
  </si>
  <si>
    <t>1961-1985</t>
  </si>
  <si>
    <t>Northern America</t>
  </si>
  <si>
    <t>Sesame seed</t>
  </si>
  <si>
    <t>Northern Europe</t>
  </si>
  <si>
    <t>Tobacco, unmanufactured</t>
  </si>
  <si>
    <t>Middle Africa</t>
  </si>
  <si>
    <t>Oats</t>
  </si>
  <si>
    <t>Micronesia</t>
  </si>
  <si>
    <t>Pineapples</t>
  </si>
  <si>
    <t>Southern Asia</t>
  </si>
  <si>
    <t>Rye</t>
  </si>
  <si>
    <t>Eastern Asia</t>
  </si>
  <si>
    <t>Cow peas, dry</t>
  </si>
  <si>
    <t>Roots and Tubers, nes</t>
  </si>
  <si>
    <t>Australia &amp; New Zealand</t>
  </si>
  <si>
    <t>Sugar beet</t>
  </si>
  <si>
    <t>Soybeans</t>
  </si>
  <si>
    <t>Central Asia</t>
  </si>
  <si>
    <t>Triticale</t>
  </si>
  <si>
    <t>Bananas</t>
  </si>
  <si>
    <t>Barley</t>
  </si>
  <si>
    <t>Beans, dry</t>
  </si>
  <si>
    <t>Beans, green</t>
  </si>
  <si>
    <t>Carrots and turnips</t>
  </si>
  <si>
    <t>Cashew nuts, with shell</t>
  </si>
  <si>
    <t>Cassava</t>
  </si>
  <si>
    <t>Cauliflowers and broccoli</t>
  </si>
  <si>
    <t>Cereals, nes</t>
  </si>
  <si>
    <t>Chestnuts</t>
  </si>
  <si>
    <t>Citrus fruit, nes</t>
  </si>
  <si>
    <t>Coffee, green</t>
  </si>
  <si>
    <t>Dates</t>
  </si>
  <si>
    <t>Eggplants (aubergines)</t>
  </si>
  <si>
    <t>Fibre Crops Nes</t>
  </si>
  <si>
    <t>Grapefruit (inc. pomelos)</t>
  </si>
  <si>
    <t>Grapes</t>
  </si>
  <si>
    <t>Groundnuts, with shell</t>
  </si>
  <si>
    <t>Leguminous vegetables, nes</t>
  </si>
  <si>
    <t>Linseed</t>
  </si>
  <si>
    <t>Maize</t>
  </si>
  <si>
    <t>Maize, green</t>
  </si>
  <si>
    <t>Mangoes, mangosteens, guavas</t>
  </si>
  <si>
    <t>Millet</t>
  </si>
  <si>
    <t>Oil palm fruit</t>
  </si>
  <si>
    <t>Olives</t>
  </si>
  <si>
    <t>Onions, dry</t>
  </si>
  <si>
    <t>Oranges</t>
  </si>
  <si>
    <t>Peaches and nectarines</t>
  </si>
  <si>
    <t>Peas, dry</t>
  </si>
  <si>
    <t>Peas, green</t>
  </si>
  <si>
    <t>Plantains</t>
  </si>
  <si>
    <t>Potatoes</t>
  </si>
  <si>
    <t>Pulses, nes</t>
  </si>
  <si>
    <t>Rice, paddy</t>
  </si>
  <si>
    <t>Seed cotton</t>
  </si>
  <si>
    <t>Sisal</t>
  </si>
  <si>
    <t>Sorghum</t>
  </si>
  <si>
    <t>Strawberries</t>
  </si>
  <si>
    <t>Sugar cane</t>
  </si>
  <si>
    <t>Sunflower seed</t>
  </si>
  <si>
    <t>Sweet potatoes</t>
  </si>
  <si>
    <t>Tangerines, mandarins, clem.</t>
  </si>
  <si>
    <t>Tea</t>
  </si>
  <si>
    <t>Tomatoes</t>
  </si>
  <si>
    <t>Vegetables fresh nes</t>
  </si>
  <si>
    <t>Vetches</t>
  </si>
  <si>
    <t>Wheat</t>
  </si>
  <si>
    <t>Americas</t>
  </si>
  <si>
    <t>Quinoa</t>
  </si>
  <si>
    <t>Europe</t>
  </si>
  <si>
    <t>World</t>
  </si>
  <si>
    <t>Caribbean</t>
  </si>
  <si>
    <t>Eastern Africa</t>
  </si>
  <si>
    <t>European Union</t>
  </si>
  <si>
    <t>Melanesia</t>
  </si>
  <si>
    <t>Northern Africa</t>
  </si>
  <si>
    <t>Polynesia</t>
  </si>
  <si>
    <t>South-Eastern Asia</t>
  </si>
  <si>
    <t>Southern Africa</t>
  </si>
  <si>
    <t>Southern Europe</t>
  </si>
  <si>
    <t>Western Africa</t>
  </si>
  <si>
    <t>Western Asia</t>
  </si>
  <si>
    <t>Yields</t>
  </si>
  <si>
    <t>Perennial after Deforestation</t>
  </si>
  <si>
    <t>Perennial after non-forest LU</t>
  </si>
  <si>
    <t>Rice after Deforestation</t>
  </si>
  <si>
    <t>Rice after non-forest LU</t>
  </si>
  <si>
    <t>2.1. Deforestation</t>
  </si>
  <si>
    <t>2.2. Afforestation and Reforestation</t>
  </si>
  <si>
    <t>3.1. Annual systems (to be used also for  pluri-annual systems such as  cotton or sugarcane)</t>
  </si>
  <si>
    <t>Grassland after Deforestation</t>
  </si>
  <si>
    <t>Grassland after non-forest LU</t>
  </si>
  <si>
    <t>(year)</t>
  </si>
  <si>
    <t>Periodicity</t>
  </si>
  <si>
    <t>Total Emissions</t>
  </si>
  <si>
    <t>Final state of the grassland</t>
  </si>
  <si>
    <t xml:space="preserve">Percentage of animals corresponding to Pasture, Range and Paddock systems </t>
  </si>
  <si>
    <t>Type of Livestocks</t>
  </si>
  <si>
    <t>IPCC %age</t>
  </si>
  <si>
    <t>Dairy cattle (pasture/range/paddock)</t>
  </si>
  <si>
    <t>Dairy cattle (other systems)</t>
  </si>
  <si>
    <t>Other cattle (pasture/range/paddock)</t>
  </si>
  <si>
    <t>Buffalo (pasture/range/paddock)</t>
  </si>
  <si>
    <t>Buffalo (other systems)</t>
  </si>
  <si>
    <t>Sheep (pasture, range, paddock)</t>
  </si>
  <si>
    <t>Sheep (other systems)</t>
  </si>
  <si>
    <t>Swine (Market) (pasture, range, paddock)</t>
  </si>
  <si>
    <t>Swine (Market) (other systems)</t>
  </si>
  <si>
    <t>Swine (Breeding) (pasture, range, paddock)</t>
  </si>
  <si>
    <t>Swine (Breeding) (other systems)</t>
  </si>
  <si>
    <t>Other cattle (other systems)</t>
  </si>
  <si>
    <t>Total organique N fertilizer available for spreading (inputs Module)</t>
  </si>
  <si>
    <t>Default %age of animals corresponding to Pasture, Range and Paddok systems (from Tables in Annex 10.A.2)</t>
  </si>
  <si>
    <t>Poultry : Donnée Wang and Huang 2005, Assessment of Greenhouse Gas Emissions from Poultry Enteric Fermentation*</t>
  </si>
  <si>
    <t>(Ademe Bilan carbone® v6)</t>
  </si>
  <si>
    <t>Livestock categories</t>
  </si>
  <si>
    <t>Technical mitigation option (%)</t>
  </si>
  <si>
    <t>project</t>
  </si>
  <si>
    <t>Feeding practices*</t>
  </si>
  <si>
    <t>Specific Agents*</t>
  </si>
  <si>
    <t>Breeding*</t>
  </si>
  <si>
    <t>Lime application</t>
  </si>
  <si>
    <t>Fertilizers</t>
  </si>
  <si>
    <t>Pesticides</t>
  </si>
  <si>
    <t>Limestone (tonnes per year)</t>
  </si>
  <si>
    <t>Dolomite tonnes per year)</t>
  </si>
  <si>
    <t>Description and unit to report</t>
  </si>
  <si>
    <t>not-specified (tonnes per year)</t>
  </si>
  <si>
    <t>Other N-fertilizers (tonnes of N per year)</t>
  </si>
  <si>
    <t>N-fertilizer in irrigated rice (tonnes of N per year)</t>
  </si>
  <si>
    <t>Sewage (tonnes of N per year)</t>
  </si>
  <si>
    <t>Compost (tonnes of N per year)</t>
  </si>
  <si>
    <t>Phosphorus (tonnes of P2O5 per year)</t>
  </si>
  <si>
    <t>Potassium  (tonnes of K2O per year)</t>
  </si>
  <si>
    <t>Herbicides (tonnes of active ingredient per year)</t>
  </si>
  <si>
    <t>Insecticides (tonnes of active ingredient per year)</t>
  </si>
  <si>
    <t>Fungicides (tonnes of active ingredient per year)</t>
  </si>
  <si>
    <t>Amount applied per year</t>
  </si>
  <si>
    <t>CO2 emissions</t>
  </si>
  <si>
    <t>N2O emissions</t>
  </si>
  <si>
    <t>-</t>
  </si>
  <si>
    <t>Quantity consumed per year</t>
  </si>
  <si>
    <t>Electricity (MWh per year)</t>
  </si>
  <si>
    <t>Solid (in tonnes of dry matter per year)</t>
  </si>
  <si>
    <t>that will be degraded</t>
  </si>
  <si>
    <t>Degradation level of the vegetation</t>
  </si>
  <si>
    <t>At the end</t>
  </si>
  <si>
    <t>Fire occurrence and severity</t>
  </si>
  <si>
    <t>(% burnt)</t>
  </si>
  <si>
    <t>Impact</t>
  </si>
  <si>
    <t>Type of peat</t>
  </si>
  <si>
    <t>Positive = source / negative = sink</t>
  </si>
  <si>
    <t>Deforestation</t>
  </si>
  <si>
    <t>Afforestation</t>
  </si>
  <si>
    <t>Grassland &amp; Livestocks</t>
  </si>
  <si>
    <t>Inputs &amp; Investments</t>
  </si>
  <si>
    <t>Gross fluxes</t>
  </si>
  <si>
    <t>Total area (ha)</t>
  </si>
  <si>
    <t>Per hectare</t>
  </si>
  <si>
    <t>Share per GHG of the Balance</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</si>
  <si>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</si>
  <si>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</si>
  <si>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</si>
  <si>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Per hectare per year</t>
  </si>
  <si>
    <t>CO2-Biomass</t>
  </si>
  <si>
    <t>CO2-Soil</t>
  </si>
  <si>
    <t>CO2-Other</t>
  </si>
  <si>
    <t>Total without and with project and balance</t>
  </si>
  <si>
    <t>(t/ha/yr)</t>
  </si>
  <si>
    <t>Total yield</t>
  </si>
  <si>
    <t>in t</t>
  </si>
  <si>
    <t>Production</t>
  </si>
  <si>
    <t>t of product</t>
  </si>
  <si>
    <t>Select the vegetation</t>
  </si>
  <si>
    <t xml:space="preserve">Production  (meat, milk, etc) </t>
  </si>
  <si>
    <t>in tonnes of product per year</t>
  </si>
  <si>
    <t>Per year</t>
  </si>
  <si>
    <t>Uncertainty level</t>
  </si>
  <si>
    <t>Net balance</t>
  </si>
  <si>
    <t>% of uncertainty</t>
  </si>
  <si>
    <t>Total uncert.</t>
  </si>
  <si>
    <t>D</t>
  </si>
  <si>
    <t>I</t>
  </si>
  <si>
    <t>E</t>
  </si>
  <si>
    <t>All values are in t of carbon per ha (tC/ha)</t>
  </si>
  <si>
    <t>Tier 2</t>
  </si>
  <si>
    <t>Above-ground</t>
  </si>
  <si>
    <t>Below-ground</t>
  </si>
  <si>
    <t>Dead wood</t>
  </si>
  <si>
    <t>Growth rates for systems up to 20-yr old</t>
  </si>
  <si>
    <t>Growth rates for systems after 20-yr old</t>
  </si>
  <si>
    <t>description 5</t>
  </si>
  <si>
    <t>description 6</t>
  </si>
  <si>
    <t>description 7</t>
  </si>
  <si>
    <t>description 8</t>
  </si>
  <si>
    <t>description 9</t>
  </si>
  <si>
    <t>description 10</t>
  </si>
  <si>
    <t xml:space="preserve">Annual systems remaining annual systems </t>
  </si>
  <si>
    <t>Rates of soil C sequestration</t>
  </si>
  <si>
    <t>Systems</t>
  </si>
  <si>
    <t>Enter description of your system 4</t>
  </si>
  <si>
    <t>Enter description of your system 5</t>
  </si>
  <si>
    <t>Growth rate (t C/ha/yr)</t>
  </si>
  <si>
    <t>Perennial syst. remaining perennial syst.</t>
  </si>
  <si>
    <t>Rice 1</t>
  </si>
  <si>
    <t>Rice 2</t>
  </si>
  <si>
    <t>Rice 3</t>
  </si>
  <si>
    <t>Rice 4</t>
  </si>
  <si>
    <t>Rice 5</t>
  </si>
  <si>
    <t>Rice 6</t>
  </si>
  <si>
    <t>Rice 7</t>
  </si>
  <si>
    <t>Rice 8</t>
  </si>
  <si>
    <t>Rice 9</t>
  </si>
  <si>
    <t>Rice 10</t>
  </si>
  <si>
    <t>Rice syst. remaining rice syst.</t>
  </si>
  <si>
    <t>Amount of Straw burned</t>
  </si>
  <si>
    <r>
      <t>CO</t>
    </r>
    <r>
      <rPr>
        <vertAlign val="subscript"/>
        <sz val="12"/>
        <color theme="0"/>
        <rFont val="Arial"/>
        <family val="2"/>
      </rPr>
      <t>2</t>
    </r>
  </si>
  <si>
    <r>
      <t>CH</t>
    </r>
    <r>
      <rPr>
        <vertAlign val="subscript"/>
        <sz val="12"/>
        <color theme="0"/>
        <rFont val="Arial"/>
        <family val="2"/>
      </rPr>
      <t>4</t>
    </r>
  </si>
  <si>
    <r>
      <t>N</t>
    </r>
    <r>
      <rPr>
        <vertAlign val="subscript"/>
        <sz val="12"/>
        <color theme="0"/>
        <rFont val="Arial"/>
        <family val="2"/>
      </rPr>
      <t>2</t>
    </r>
    <r>
      <rPr>
        <sz val="12"/>
        <color theme="0"/>
        <rFont val="Arial"/>
        <family val="2"/>
      </rPr>
      <t>O</t>
    </r>
  </si>
  <si>
    <t>Enteric fermentation</t>
  </si>
  <si>
    <t>(temperature affect emissions from manure management)</t>
  </si>
  <si>
    <t>Mean annual temperature (MAT) of the region (in °C)</t>
  </si>
  <si>
    <t>Region "type"</t>
  </si>
  <si>
    <t>(please select if possible)</t>
  </si>
  <si>
    <t>Methane from manure management</t>
  </si>
  <si>
    <t>Pasture, range and paddock</t>
  </si>
  <si>
    <t>Degradation level (% of biomass lost)</t>
  </si>
  <si>
    <t>5.2.1. Drainage of organic soils (peatlands)</t>
  </si>
  <si>
    <t>Emission factor (t C/ha/yr)</t>
  </si>
  <si>
    <t>On-site Emissions from active peat extraction</t>
  </si>
  <si>
    <t>Select GWP for calculation</t>
  </si>
  <si>
    <t>Urea (tonnes of N per year - Urea has 46.7% of N)</t>
  </si>
  <si>
    <t>Emission factors</t>
  </si>
  <si>
    <t>Unit</t>
  </si>
  <si>
    <t>tC/t lime</t>
  </si>
  <si>
    <t>tC/t Urea</t>
  </si>
  <si>
    <t xml:space="preserve">Emissions at field level </t>
  </si>
  <si>
    <t>Emissions from production, transportation, storage and transfer</t>
  </si>
  <si>
    <t>Emission factor for the selected country</t>
  </si>
  <si>
    <t>Irrigation systems</t>
  </si>
  <si>
    <t>Buildings and roads</t>
  </si>
  <si>
    <t>Beginning</t>
  </si>
  <si>
    <t>End Without</t>
  </si>
  <si>
    <t>End With</t>
  </si>
  <si>
    <t>Surface under management option</t>
  </si>
  <si>
    <t>Cumulated area burnt</t>
  </si>
  <si>
    <t>Area Irrigated - ha</t>
  </si>
  <si>
    <t>From deforestation</t>
  </si>
  <si>
    <t>From degradation</t>
  </si>
  <si>
    <t>Fire occurrence</t>
  </si>
  <si>
    <t>end-without</t>
  </si>
  <si>
    <t>end-with</t>
  </si>
  <si>
    <t>surface with degradation</t>
  </si>
  <si>
    <t>total</t>
  </si>
  <si>
    <t>Cumulated areas burnt - ha</t>
  </si>
  <si>
    <t>Area Burnt</t>
  </si>
  <si>
    <t>Cumulated area burnt (ha)</t>
  </si>
  <si>
    <t>Cumulated</t>
  </si>
  <si>
    <t>Gross emission Intensity</t>
  </si>
  <si>
    <t>Percentage of human use</t>
  </si>
  <si>
    <t>PROCESSING</t>
  </si>
  <si>
    <t>TRANSPORT</t>
  </si>
  <si>
    <t>USE</t>
  </si>
  <si>
    <t>WASTE</t>
  </si>
  <si>
    <t>Corresponding quantity used</t>
  </si>
  <si>
    <t>PRODUCTION Level (corresponding emissions calculated as a percentage of total quantity used)</t>
  </si>
  <si>
    <t>Direct and indirect (induced LUC, degradation, Inputs &amp; Investments) emissions</t>
  </si>
  <si>
    <t>PROCESSING Level (list inputs or processes necessary)</t>
  </si>
  <si>
    <t>Emission per input</t>
  </si>
  <si>
    <t>Input per t product</t>
  </si>
  <si>
    <t>USE level (list the differents inputs or steps necessary)</t>
  </si>
  <si>
    <t>WASTE level (list the differents inputs or steps necessary)</t>
  </si>
  <si>
    <t>PRODUCTION</t>
  </si>
  <si>
    <t>All Land Use Changes</t>
  </si>
  <si>
    <t>Matrix of changes</t>
  </si>
  <si>
    <t>Mineral soils (ha)</t>
  </si>
  <si>
    <t>Account the manufacturing sink?</t>
  </si>
  <si>
    <t>kg/ha/yr</t>
  </si>
  <si>
    <t>description 1</t>
  </si>
  <si>
    <t>description 2</t>
  </si>
  <si>
    <t>description 3</t>
  </si>
  <si>
    <t>description 4</t>
  </si>
  <si>
    <t>Enter description of your system 1</t>
  </si>
  <si>
    <t>Enter description of your system 2</t>
  </si>
  <si>
    <t>Enter description of your system 3</t>
  </si>
  <si>
    <r>
      <t>tCO</t>
    </r>
    <r>
      <rPr>
        <b/>
        <vertAlign val="subscript"/>
        <sz val="10"/>
        <color theme="2" tint="-9.9978637043366805E-2"/>
        <rFont val="Arial"/>
        <family val="2"/>
      </rPr>
      <t>2</t>
    </r>
    <r>
      <rPr>
        <b/>
        <sz val="10"/>
        <color theme="2" tint="-9.9978637043366805E-2"/>
        <rFont val="Arial"/>
        <family val="2"/>
      </rPr>
      <t>eq per t of product</t>
    </r>
  </si>
  <si>
    <t>Alert Messages</t>
  </si>
  <si>
    <t>Select</t>
  </si>
  <si>
    <t>Fill initial LU</t>
  </si>
  <si>
    <t>Fill final LU</t>
  </si>
  <si>
    <t>Final=Initial: Check!</t>
  </si>
  <si>
    <t>Flooded Rice</t>
  </si>
  <si>
    <t>(default values are provided for your information only, while EX-ACT will use Tier 2 values automatically wherever specified)</t>
  </si>
  <si>
    <t>Nutrient-poor peat</t>
  </si>
  <si>
    <t>Please precise the name</t>
  </si>
  <si>
    <t>User defined (Tier 2):</t>
  </si>
  <si>
    <t>Unit used</t>
  </si>
  <si>
    <t>Official (1st period 2008-2012)</t>
  </si>
  <si>
    <t>Official (2nd period 2013-2020)</t>
  </si>
  <si>
    <t>Last Update for GWP100 (IPCC-2013)</t>
  </si>
  <si>
    <t>English</t>
  </si>
  <si>
    <t>Français</t>
  </si>
  <si>
    <t>Español</t>
  </si>
  <si>
    <t>Português</t>
  </si>
  <si>
    <t>Lang004</t>
  </si>
  <si>
    <t>Lang005</t>
  </si>
  <si>
    <t>Lang006</t>
  </si>
  <si>
    <t>Lang007</t>
  </si>
  <si>
    <t>Lang008</t>
  </si>
  <si>
    <t>Lang009</t>
  </si>
  <si>
    <t>Lang010</t>
  </si>
  <si>
    <t>La FAO décline toute responsabilité pour les erreurs ou les lacunes dans la base de données et le logiciel ou dans la documentation qui l'accompagne, pour le support et la mise à jour ainsi que pour les dommages qui pourraient en découler. La FAO décline également toute responsabilité pour la mise à jour des données et n'assume aucune responsabilité pour les erreurs et omissions dans les données fournies. Les usagers sont cependant invités à signaler toute erreur ou lacune dans ce produit à la FAO.</t>
  </si>
  <si>
    <t>Les choix des calculs effectués dans cet outil sont ceux des auteurs et ne reflètent pas nécessairement les opinions et les choix de l'alimentation de l'Organisation des Nations-unies pour l'alimentation et l'agriculture.</t>
  </si>
  <si>
    <t>Nom du Projet</t>
  </si>
  <si>
    <t>Zone climatique</t>
  </si>
  <si>
    <t>Régime hydrique</t>
  </si>
  <si>
    <t>Type de sol dominant</t>
  </si>
  <si>
    <t>Durée du Projet (en années)</t>
  </si>
  <si>
    <t>Phase d'implémentation</t>
  </si>
  <si>
    <t>Phase de capitalisation</t>
  </si>
  <si>
    <t>Durée totale</t>
  </si>
  <si>
    <t>Spreadsheet</t>
  </si>
  <si>
    <t>0.Start</t>
  </si>
  <si>
    <t>Déclaration</t>
  </si>
  <si>
    <t>1.Description</t>
  </si>
  <si>
    <t>Soil ?</t>
  </si>
  <si>
    <t>Climate ?</t>
  </si>
  <si>
    <t>2.LUC</t>
  </si>
  <si>
    <t>Climat ?</t>
  </si>
  <si>
    <t>Sol ?</t>
  </si>
  <si>
    <t>Periods</t>
  </si>
  <si>
    <t>Average</t>
  </si>
  <si>
    <t>Corresponding soil C stocks</t>
  </si>
  <si>
    <t>Combustion</t>
  </si>
  <si>
    <t>AEZ map</t>
  </si>
  <si>
    <t>Carte des ZAE</t>
  </si>
  <si>
    <t>Please specify the climate</t>
  </si>
  <si>
    <t>Forêt dense tropicale</t>
  </si>
  <si>
    <t>Forêt humide subtropicale</t>
  </si>
  <si>
    <t>Forêt océanique tempérée</t>
  </si>
  <si>
    <t>Forêt de conifères boréale</t>
  </si>
  <si>
    <t>Système montagneux tropical</t>
  </si>
  <si>
    <t>Forêt décidue humide tropicale</t>
  </si>
  <si>
    <t>Forêt sèche subtropicale</t>
  </si>
  <si>
    <t>Forêt continentale tempérée</t>
  </si>
  <si>
    <t>Forêt sèche tropicale</t>
  </si>
  <si>
    <t>Steppe subtropical</t>
  </si>
  <si>
    <t>Système montagneux tempéré</t>
  </si>
  <si>
    <t>Terres arbustives tropicales</t>
  </si>
  <si>
    <t>Système montagneux subtropical</t>
  </si>
  <si>
    <t>Terre boisée toundra boréale</t>
  </si>
  <si>
    <t>Système montagneux boréal</t>
  </si>
  <si>
    <t>Type de végétation</t>
  </si>
  <si>
    <t>qui sera déboissée</t>
  </si>
  <si>
    <t>PLR#</t>
  </si>
  <si>
    <t>Utilisation finale après déboisement</t>
  </si>
  <si>
    <t>Emissions totales (tCO2-eq)</t>
  </si>
  <si>
    <t>Surfaces de forêt (ha)</t>
  </si>
  <si>
    <t>Surfaces déboisées (ha)</t>
  </si>
  <si>
    <t>Bilan</t>
  </si>
  <si>
    <t>(tMS/ha)</t>
  </si>
  <si>
    <t>#Produits Ligneux Récoltés</t>
  </si>
  <si>
    <t>#Harvested Wood Products</t>
  </si>
  <si>
    <t>* Note sur les dynamiques: D correspond à l'option par défaut, "I" à immédiat et "E" à exponentiel (voir le Manuel de l'Utilisateur)</t>
  </si>
  <si>
    <t>Total pour le déboisement</t>
  </si>
  <si>
    <t xml:space="preserve"> Brûlis?</t>
  </si>
  <si>
    <t>Fire Use?</t>
  </si>
  <si>
    <t>Début</t>
  </si>
  <si>
    <t>Sans</t>
  </si>
  <si>
    <t>Avec</t>
  </si>
  <si>
    <t>Traduction</t>
  </si>
  <si>
    <t>Merci de choisir</t>
  </si>
  <si>
    <t>Afrique</t>
  </si>
  <si>
    <t>Asie (Continentale)</t>
  </si>
  <si>
    <t>Asie (Sous-continent Indien)</t>
  </si>
  <si>
    <t>Asia (Insulaire</t>
  </si>
  <si>
    <t>Moyen-Orient</t>
  </si>
  <si>
    <t>Europe de l'Ouest</t>
  </si>
  <si>
    <t>Europe de l'Est</t>
  </si>
  <si>
    <t>Océanie</t>
  </si>
  <si>
    <t>Amérique du Nord</t>
  </si>
  <si>
    <t>Amérique Centrale</t>
  </si>
  <si>
    <t>Amérique du Sud</t>
  </si>
  <si>
    <t>Langue</t>
  </si>
  <si>
    <t>Nlang</t>
  </si>
  <si>
    <t>Nlang---&gt;</t>
  </si>
  <si>
    <t>Boréal</t>
  </si>
  <si>
    <t>Froid Tempéré</t>
  </si>
  <si>
    <t>Subtropical ou Chaud Tempéré</t>
  </si>
  <si>
    <t>Montagneux Tropical</t>
  </si>
  <si>
    <t>Sec</t>
  </si>
  <si>
    <t>Humide</t>
  </si>
  <si>
    <t>Pluvieux</t>
  </si>
  <si>
    <t>Sols à argiles 2:1</t>
  </si>
  <si>
    <t>Sols à argiles 1:1</t>
  </si>
  <si>
    <t>Sols sablonneux</t>
  </si>
  <si>
    <t>Sols spodiques</t>
  </si>
  <si>
    <t>Sols Volcaniques</t>
  </si>
  <si>
    <t>Sols de terres humides</t>
  </si>
  <si>
    <t>Autres sols</t>
  </si>
  <si>
    <t xml:space="preserve">Zone 2 = </t>
  </si>
  <si>
    <t>Merci de préciser le climat dans la description</t>
  </si>
  <si>
    <t xml:space="preserve">Zone 1 = </t>
  </si>
  <si>
    <t xml:space="preserve">Zone 3 = </t>
  </si>
  <si>
    <t xml:space="preserve">Zone 4 = </t>
  </si>
  <si>
    <t>Forêt de la Zone 1</t>
  </si>
  <si>
    <t>Forêt de la Zone 2</t>
  </si>
  <si>
    <t>Forêt de la Zone 3</t>
  </si>
  <si>
    <t>Forêt de la Zone 4</t>
  </si>
  <si>
    <t>Plantation de la Zone 1</t>
  </si>
  <si>
    <t>Plantation de la Zone 2</t>
  </si>
  <si>
    <t>Plantation de la Zone 3</t>
  </si>
  <si>
    <t>Plantation de la Zone 4</t>
  </si>
  <si>
    <t>Choisir la végétation</t>
  </si>
  <si>
    <t xml:space="preserve"> </t>
  </si>
  <si>
    <t>Non</t>
  </si>
  <si>
    <t>Oui</t>
  </si>
  <si>
    <t>Jachère</t>
  </si>
  <si>
    <t>Terres dégradées</t>
  </si>
  <si>
    <t>Autre (nominal)</t>
  </si>
  <si>
    <t>Autre (degradé)</t>
  </si>
  <si>
    <t>Culture Annuelle</t>
  </si>
  <si>
    <t>Culture Pérenne/Agroforesterie</t>
  </si>
  <si>
    <t>Riz "Paddy" ou riz irrigué</t>
  </si>
  <si>
    <t>Prairies ou Paturages</t>
  </si>
  <si>
    <t>Choisir l'Usage après le déboisement</t>
  </si>
  <si>
    <t>Usage avant le boisement</t>
  </si>
  <si>
    <t>Surface de boisement ou reboisement</t>
  </si>
  <si>
    <t>Total pour le boisement</t>
  </si>
  <si>
    <t>Choisir l'Usage précédant</t>
  </si>
  <si>
    <t>Culture Pérenne/Agroforesterie (&lt;5ans)</t>
  </si>
  <si>
    <t>Culture Pérenne/Agroforesterie (6-10 ans)</t>
  </si>
  <si>
    <t>Culture Pérenne/Agroforesterie (&gt;10 ans)</t>
  </si>
  <si>
    <t>2.2. Boisement et Reboisement</t>
  </si>
  <si>
    <t>2.1. Déboisement</t>
  </si>
  <si>
    <t>2.3. Autres changement d'usage des terres</t>
  </si>
  <si>
    <t>Votre description</t>
  </si>
  <si>
    <t>Usage initial</t>
  </si>
  <si>
    <t>Usage final</t>
  </si>
  <si>
    <t>Area transformed (ha)</t>
  </si>
  <si>
    <t>Superficies concernées (ha)</t>
  </si>
  <si>
    <t>Soil carbon</t>
  </si>
  <si>
    <t>Partie aérienne</t>
  </si>
  <si>
    <t>Partie souterraine</t>
  </si>
  <si>
    <t>Litière</t>
  </si>
  <si>
    <t>Bois mort</t>
  </si>
  <si>
    <t>Carbone du sol</t>
  </si>
  <si>
    <t>Défaut</t>
  </si>
  <si>
    <t>Vous avez indiqué que vous utilisez les types de végétation suivants</t>
  </si>
  <si>
    <t>Utilisez cette partie seulement si vous voulez affiner l'analyse avec des coefficients de Niveau 2 (Tier 2)</t>
  </si>
  <si>
    <t>Total pour les autres CUT</t>
  </si>
  <si>
    <t>Toutes les valeurs sont en t de carbone par ha (tC/ha)</t>
  </si>
  <si>
    <t>qui sera plantée</t>
  </si>
  <si>
    <t>Taux de croissance les 20 premières années</t>
  </si>
  <si>
    <t>Taux de croissance après 20 ans</t>
  </si>
  <si>
    <t>Choisir l'Usage Initial</t>
  </si>
  <si>
    <t>Cult. Annuelle</t>
  </si>
  <si>
    <t>Culture Vivace/Agroforesterie (&lt;5ans)</t>
  </si>
  <si>
    <t>Culture Vivace/Agroforesterie (6-10 ans)</t>
  </si>
  <si>
    <t>Culture Vivace/Agroforesterie (&gt;10 ans)</t>
  </si>
  <si>
    <t>Riz "Paddy"</t>
  </si>
  <si>
    <t>Prairies</t>
  </si>
  <si>
    <t>Autre Usage</t>
  </si>
  <si>
    <t>Choisir l'Usage Final</t>
  </si>
  <si>
    <t>Culture Vivace/Agroforesterie</t>
  </si>
  <si>
    <t>Usage initial?</t>
  </si>
  <si>
    <t>Usage final?</t>
  </si>
  <si>
    <t>3. Cropland</t>
  </si>
  <si>
    <t>Yield?</t>
  </si>
  <si>
    <t>Water  management</t>
  </si>
  <si>
    <t>Total (ha)</t>
  </si>
  <si>
    <t>Cultivation period (days)</t>
  </si>
  <si>
    <t xml:space="preserve"> (t CO2/ha/yr)</t>
  </si>
  <si>
    <t>Water regime prior to rice cultivation (schematic presentation showing flooded periods as shaded)</t>
  </si>
  <si>
    <t>Non flooded preseason &lt;180 d</t>
  </si>
  <si>
    <t>Non flooded preseason &gt;180 d</t>
  </si>
  <si>
    <t>Flooded preseason (&gt;30 d)</t>
  </si>
  <si>
    <t>Surface (ha)</t>
  </si>
  <si>
    <t>3.1. Systèmes annuels (à utiliser aussi pour les systèmes pluri-annuels comme le coton ou la canne à sucre)</t>
  </si>
  <si>
    <t>3.1.1. Systèmes annuels provenant de, ou convertis en, un autre mode d'affectation des terrres (Merci de renseigner la feuille 2.LUC)</t>
  </si>
  <si>
    <t>Rendement?</t>
  </si>
  <si>
    <t>Gestion des engrais</t>
  </si>
  <si>
    <t>Gestion de l'eau</t>
  </si>
  <si>
    <t>Gestion du fumier</t>
  </si>
  <si>
    <t>Rendement</t>
  </si>
  <si>
    <t>Cult. après déboisement</t>
  </si>
  <si>
    <t>Cult. converti en boisement</t>
  </si>
  <si>
    <t>Cult après un usage non-forestier</t>
  </si>
  <si>
    <t>Cult. Converti en usage non-forestier</t>
  </si>
  <si>
    <t>3.1.2. Systèmes annuels qui demeurent des systèmes annuels (la surface doit être constante)</t>
  </si>
  <si>
    <t>Total cultures annuelles</t>
  </si>
  <si>
    <t>Modes de gestion</t>
  </si>
  <si>
    <t>Definitions?</t>
  </si>
  <si>
    <t>Définitions?</t>
  </si>
  <si>
    <t>Brûlis des biomasses/résidues</t>
  </si>
  <si>
    <t>(t/ha/an)</t>
  </si>
  <si>
    <t>Management options</t>
  </si>
  <si>
    <t>3.2. Systèmes pérennes (agroforesterie, vergers et autres cultures d'arbres)</t>
  </si>
  <si>
    <t>3.2.1. Systèmes pérennes provenant de, ou convertis en, un autre mode d'affectation des terrres (Merci de renseigner la feuille 2.LUC)</t>
  </si>
  <si>
    <t>Total cultures pérennes</t>
  </si>
  <si>
    <t>3.2.2. Systèmes pérennes qui demeurent des systèmes pérennes (la surface doit être constante)</t>
  </si>
  <si>
    <t>3.3. Systèmes de riz irrigués ou riz paddy</t>
  </si>
  <si>
    <t>3.3.1. Systèmes de riz irrigués provenant de, ou convertis en, un autre mode d'affectation des terrres (Merci de renseigner la feuille 2.LUC)</t>
  </si>
  <si>
    <t>Période de culture (jours)</t>
  </si>
  <si>
    <t>Pendant la période de culture</t>
  </si>
  <si>
    <t>Avant la riziculture</t>
  </si>
  <si>
    <t>Amendements organiques</t>
  </si>
  <si>
    <t>3.3.2. Systèmes de riz irrigués qui demeurent des systèmes de riz irrigués (la surface doit être constante)</t>
  </si>
  <si>
    <t>Total du riz irrigué</t>
  </si>
  <si>
    <t>Systèmes</t>
  </si>
  <si>
    <t>Riz après déboisement</t>
  </si>
  <si>
    <t>Riz converti en boisement</t>
  </si>
  <si>
    <t>Riz après un usage non-forestier</t>
  </si>
  <si>
    <t>Riz. Converti en usage non-forestier</t>
  </si>
  <si>
    <t>Taux de séquestration du C du sol</t>
  </si>
  <si>
    <t>Résidus/Biomasse disponible pour le brûlis</t>
  </si>
  <si>
    <t>(t CO2/ha/an)</t>
  </si>
  <si>
    <t>(t Mat. Sèche par ha)</t>
  </si>
  <si>
    <t>Tx de croissance (tC/ha/an)</t>
  </si>
  <si>
    <t>Brûlis (quantité des résidus et fréquence)</t>
  </si>
  <si>
    <t>Periodicity (yr)</t>
  </si>
  <si>
    <t>Fréquence (an)</t>
  </si>
  <si>
    <t>Systèmes pérennes qui restent syst. Pérennes</t>
  </si>
  <si>
    <t>Systèmes annuels qui restent syst. annuels</t>
  </si>
  <si>
    <t>Quantité de paille brulée</t>
  </si>
  <si>
    <t>Riz irrigué qui reste riz irrigué</t>
  </si>
  <si>
    <t>Régime hydrique avant riziculture (présentation schématique avec périodes inondées grisées)</t>
  </si>
  <si>
    <t>Non inondé pré-saison &lt;180 jours</t>
  </si>
  <si>
    <t>Non inondé pré-saison &gt;180 jours</t>
  </si>
  <si>
    <t>Inondé - pré-saison &gt;30 jours</t>
  </si>
  <si>
    <t>Non UN-language</t>
  </si>
  <si>
    <t>Declaração</t>
  </si>
  <si>
    <t>Choisir le régime hydrique</t>
  </si>
  <si>
    <t>Inondé en permanence</t>
  </si>
  <si>
    <t>Inondé de manière intermittente</t>
  </si>
  <si>
    <t>Riz pluvial innondé et en eaux profondes</t>
  </si>
  <si>
    <t>Choisir le régime hydrique de la pré-saison</t>
  </si>
  <si>
    <t>Non inondé pré-saison &lt;180 jrs</t>
  </si>
  <si>
    <t>Non inondé pré-saison &gt;180 jrs</t>
  </si>
  <si>
    <t>Inondé pré-saison &gt;30 jrs</t>
  </si>
  <si>
    <t>Choisir le type de gestion des résidus et amendement</t>
  </si>
  <si>
    <t>Paille de riz brûlée</t>
  </si>
  <si>
    <t>Paille de riz exportée</t>
  </si>
  <si>
    <t>Paille incorporée peu avant la culture (&lt;30 jours)</t>
  </si>
  <si>
    <t>Paille incorporée longtemps avant la culture (&gt;30 jours)</t>
  </si>
  <si>
    <t>Fumier de ferme</t>
  </si>
  <si>
    <t>Engrais Vert</t>
  </si>
  <si>
    <t>4. Grassland</t>
  </si>
  <si>
    <t>4.1. Systèmes de prairies et de patûrages</t>
  </si>
  <si>
    <t>Etat initial</t>
  </si>
  <si>
    <t>Utilisation du brûlis</t>
  </si>
  <si>
    <t>Emissions totales</t>
  </si>
  <si>
    <t>(an)</t>
  </si>
  <si>
    <t>Fréquence</t>
  </si>
  <si>
    <t>Sans le projet</t>
  </si>
  <si>
    <t>Avec le projet</t>
  </si>
  <si>
    <t>Prairie après déboisement</t>
  </si>
  <si>
    <t>Prairie converti en boisement</t>
  </si>
  <si>
    <t>Converti en usage non-forestier</t>
  </si>
  <si>
    <t>Après un usage non-forestier</t>
  </si>
  <si>
    <t>Etat final de la prairie</t>
  </si>
  <si>
    <t>(tCO2-eq)</t>
  </si>
  <si>
    <t>Total syst. de prairie</t>
  </si>
  <si>
    <t>Head number (mean per year)</t>
  </si>
  <si>
    <t>4.2. Livestock (and manure management)</t>
  </si>
  <si>
    <t>4.2. Bétail (et gestion du fumier)</t>
  </si>
  <si>
    <t>Type de bétail</t>
  </si>
  <si>
    <t>Nombre de tête (moyennes annuelles)</t>
  </si>
  <si>
    <t>Option technique d'atténuation (%)</t>
  </si>
  <si>
    <t>Production (lait, viande, etc)</t>
  </si>
  <si>
    <t>Gestion de la reproduction*</t>
  </si>
  <si>
    <t>Pratiques d'alimentation*</t>
  </si>
  <si>
    <t>Agents spécifiques*</t>
  </si>
  <si>
    <t>en t de produit par an</t>
  </si>
  <si>
    <t>Vaches laitières</t>
  </si>
  <si>
    <t>Autres bovins</t>
  </si>
  <si>
    <t>Buffles</t>
  </si>
  <si>
    <t>Moutons</t>
  </si>
  <si>
    <t>Suidés de marché</t>
  </si>
  <si>
    <t>Suidés de reproduction</t>
  </si>
  <si>
    <t>Pratiques d'alimentation : plus de concentrés, additions d'huiles ou de graines oléagineuses à l'alimentation, amélioration de la qualité des pâturages…</t>
  </si>
  <si>
    <t>Gestion de la reproduction : Augmenter la productivité grâce à la sélection et de meilleures pratiques de gestion, telles que la réduction</t>
  </si>
  <si>
    <t>Agents spécifiques : Agents spécifiques et additifs alimentaires pour réduire les emisisons de CH4 (ionophores, vaccins, BST ...)</t>
  </si>
  <si>
    <t>Total pour le bétail et le fumier</t>
  </si>
  <si>
    <t>Merci de Choisir</t>
  </si>
  <si>
    <t>Chèvres</t>
  </si>
  <si>
    <t>Chameaux</t>
  </si>
  <si>
    <t>Chevaux</t>
  </si>
  <si>
    <t>Mules et ânes</t>
  </si>
  <si>
    <t>Volaille</t>
  </si>
  <si>
    <t>Cervidés</t>
  </si>
  <si>
    <t>Stocks de carbone correspondant</t>
  </si>
  <si>
    <t>(tC/ha)</t>
  </si>
  <si>
    <t>Non dégradé</t>
  </si>
  <si>
    <t>Moyennement dégradé</t>
  </si>
  <si>
    <t>Fortement dégradé</t>
  </si>
  <si>
    <t>Amélioré sans apports supplémentaires de gestion</t>
  </si>
  <si>
    <t>Amélioré avec apports supplémentaires de gestion</t>
  </si>
  <si>
    <t>% of pre-fire drymatter released</t>
  </si>
  <si>
    <t>% de biomasse brûlée</t>
  </si>
  <si>
    <t>Emission factors for N2O from manure</t>
  </si>
  <si>
    <t>(kg N-N2O/kg N)</t>
  </si>
  <si>
    <t>(kg CH4 per head/yr)</t>
  </si>
  <si>
    <t>4.1.1. Systèmes de prairies provenant de, ou convertis en, un autre mode d'affectation des terrres (Merci de renseigner la feuille 2.LUC)</t>
  </si>
  <si>
    <t>4.1.2. Systèmes de prairies qui demeurent des systèmes de prairie (la surface doit être constante)</t>
  </si>
  <si>
    <t>Température Moyenne Annuelle (TMA) de la région (en °C)</t>
  </si>
  <si>
    <t>(la température influence les émissions dues à la gestion du fumier)</t>
  </si>
  <si>
    <t>"Type" de région</t>
  </si>
  <si>
    <t>(merci de choisir si connu)</t>
  </si>
  <si>
    <t>Facteur d'émission de N2O du fumier</t>
  </si>
  <si>
    <t>Autre</t>
  </si>
  <si>
    <t>Paturage, Champs et Enclos</t>
  </si>
  <si>
    <t>Fermentation entérique</t>
  </si>
  <si>
    <t>(kg CH4 par tête/an)</t>
  </si>
  <si>
    <t xml:space="preserve">% correspondings to pasture, range and paddock systems </t>
  </si>
  <si>
    <t>% qui correspond aux paturages, champs et enclos</t>
  </si>
  <si>
    <t>Méthane dû à la gestion du fumier</t>
  </si>
  <si>
    <t>5.1. Dégradation et gestion des forêts</t>
  </si>
  <si>
    <t>Niveau de dégradation de la végétation</t>
  </si>
  <si>
    <t>A la fin</t>
  </si>
  <si>
    <t>qui sera dégradée</t>
  </si>
  <si>
    <t>Fréquence et sévérité des feux</t>
  </si>
  <si>
    <t>Choisir l'état</t>
  </si>
  <si>
    <t>Amélioré sans gestion des intrants</t>
  </si>
  <si>
    <t>Amélioré avec gestion des intrants</t>
  </si>
  <si>
    <t>Choisir le niveau</t>
  </si>
  <si>
    <t>Aucune</t>
  </si>
  <si>
    <t>Faible</t>
  </si>
  <si>
    <t>Modérée</t>
  </si>
  <si>
    <t>Importante</t>
  </si>
  <si>
    <t>Extrême</t>
  </si>
  <si>
    <t>Très faible</t>
  </si>
  <si>
    <t>Total pour la dégradation et gestion</t>
  </si>
  <si>
    <t>(% brulés)</t>
  </si>
  <si>
    <t>Forêt gérée</t>
  </si>
  <si>
    <t>Cult. Pérenne</t>
  </si>
  <si>
    <t>Cult. annuelle</t>
  </si>
  <si>
    <t>Prairie ou paturage</t>
  </si>
  <si>
    <t>5.2. Degradation of organic soils (peatlands)</t>
  </si>
  <si>
    <t>5.2. Dégradation de sols organiques (tourbières)</t>
  </si>
  <si>
    <t>5.2.1. Drainage de sols organiques (tourbières)</t>
  </si>
  <si>
    <t>Surface de sols organiques drainés (ha)</t>
  </si>
  <si>
    <t>Total pour le drainage</t>
  </si>
  <si>
    <t>5.2.2. Extraction de tourbe</t>
  </si>
  <si>
    <t>Type de tourbe</t>
  </si>
  <si>
    <t>Tourbe pauvre en nutriments</t>
  </si>
  <si>
    <t>Tourbe riche en nutriments</t>
  </si>
  <si>
    <t>où il y a drainage</t>
  </si>
  <si>
    <t>concerned by drainage</t>
  </si>
  <si>
    <t>Niveau de dégradation (% biomasse perdue)</t>
  </si>
  <si>
    <t>Total pour l'extraction</t>
  </si>
  <si>
    <t>Emissions associées à la perte de carbone due au drainage</t>
  </si>
  <si>
    <t>Facteur d'émission (t C/ha/an)</t>
  </si>
  <si>
    <t>CO2 Emission factor (t C/ha/yr)</t>
  </si>
  <si>
    <t>N2O Emission factor (kg N2O-N/ha/yr)</t>
  </si>
  <si>
    <t>Emissions in situ dues à l'extraction de la tourbe</t>
  </si>
  <si>
    <t>Facteur d'émission du CO2 (t C/ha/an)</t>
  </si>
  <si>
    <t>Facteur d'émission du N2O (kg N2O-N/ha/an)</t>
  </si>
  <si>
    <t>6. Inputs</t>
  </si>
  <si>
    <t>6.1. Intrants (chaux, engrais, pesticides, herbicides,…)</t>
  </si>
  <si>
    <t>Description et unité utilisée</t>
  </si>
  <si>
    <t>Quantité annuelle apportée</t>
  </si>
  <si>
    <t>Emissions totales à la parcelle (tCO2-eq)</t>
  </si>
  <si>
    <t>Total emissions at field level (tCO2-eq)</t>
  </si>
  <si>
    <t>Emissions from production, transportation, storage and transfer (tCO2-eq)</t>
  </si>
  <si>
    <t>Emissions dues à la fabrication, transport, stockage et application (tCO2-eq)</t>
  </si>
  <si>
    <t>Non spécifié (tonnes par an)</t>
  </si>
  <si>
    <t>Calcaire calcique (tonnes par an)</t>
  </si>
  <si>
    <t>Dolomie (tonnes par an)</t>
  </si>
  <si>
    <t>Chaulage (type de chaux)</t>
  </si>
  <si>
    <t>Engrais</t>
  </si>
  <si>
    <t>Engrais azotés dans le cas des rizières (tonnes de N par an)</t>
  </si>
  <si>
    <t>Boues d'égouts (tonnes de N par an)</t>
  </si>
  <si>
    <t>Compost (tonnes de N par an)</t>
  </si>
  <si>
    <t>Phosphore (tonnes de P2O5 par an)</t>
  </si>
  <si>
    <t>Potassium (tonnes de K2O par an)</t>
  </si>
  <si>
    <t>Herbicides (tonnes de matière active par an)</t>
  </si>
  <si>
    <t>Insecticides (tonnes de matière active par an)</t>
  </si>
  <si>
    <t>Fongicides (tonnes de matière active par an)</t>
  </si>
  <si>
    <t>Total des intrants</t>
  </si>
  <si>
    <t>Emissions de CO2</t>
  </si>
  <si>
    <t>Emissions de N2O</t>
  </si>
  <si>
    <t>6.2. Consommation d'énergie (électricité, combustible,…)</t>
  </si>
  <si>
    <t>Quantité annuelle consommée</t>
  </si>
  <si>
    <t>(choisissez dans la liste en anglais)</t>
  </si>
  <si>
    <t>Electricité (MWh par an)</t>
  </si>
  <si>
    <t>Liquide or gaseous (in m3 per year)</t>
  </si>
  <si>
    <t>Liquide ou gazeux (en m3 par an)</t>
  </si>
  <si>
    <t>Gazole/Diesel</t>
  </si>
  <si>
    <t>Essence</t>
  </si>
  <si>
    <t>Gaz (GPL/naturel)</t>
  </si>
  <si>
    <t>Défini par l'utilisateur (cf. Tier 2)</t>
  </si>
  <si>
    <t>Solide (en tonnes de matière sèche par an)</t>
  </si>
  <si>
    <t>Bois</t>
  </si>
  <si>
    <t>Tourbe</t>
  </si>
  <si>
    <t>Total de l'énergie</t>
  </si>
  <si>
    <t>6.3. Contruction de nouvelles infrastructures (systèmes d'irrigation, routes, bâtiments,…)</t>
  </si>
  <si>
    <t>Surfaces</t>
  </si>
  <si>
    <t>Superficies</t>
  </si>
  <si>
    <t>Bâtiments et routes (en m2)</t>
  </si>
  <si>
    <t>Systèmes d'irrigation (en ha)</t>
  </si>
  <si>
    <t>Irrigation systems (in ha)</t>
  </si>
  <si>
    <t>Buildings and roads (in m2)</t>
  </si>
  <si>
    <t>De surface sans SRR</t>
  </si>
  <si>
    <t>De surface avec SRR</t>
  </si>
  <si>
    <t>Ensemble Fixe déployable avec asperseurs</t>
  </si>
  <si>
    <t>Asperseurs permanents</t>
  </si>
  <si>
    <t>Système d'Aspersion movible à la main</t>
  </si>
  <si>
    <t>Asperseur autotracté</t>
  </si>
  <si>
    <t>Asperseur avec pivot central</t>
  </si>
  <si>
    <t>Asperseur mobile</t>
  </si>
  <si>
    <t>Goutte à goutte</t>
  </si>
  <si>
    <t>Logement (béton)</t>
  </si>
  <si>
    <t>Bâtiment agricole (béton)</t>
  </si>
  <si>
    <t>Bâtiment agricole (métal)</t>
  </si>
  <si>
    <t>Bâtiment industriel (béton)</t>
  </si>
  <si>
    <t>Bâtiment industriel (métal)</t>
  </si>
  <si>
    <t>Garage (Béton)</t>
  </si>
  <si>
    <t>Garage (métal)</t>
  </si>
  <si>
    <t>Bureau (Béton)</t>
  </si>
  <si>
    <t>Bureau (Métal)</t>
  </si>
  <si>
    <t>Autre (béton)</t>
  </si>
  <si>
    <t>Autre (métal)</t>
  </si>
  <si>
    <t>Total pour les constructions</t>
  </si>
  <si>
    <t>Facteurs d'émission</t>
  </si>
  <si>
    <t>Emissions à la parcelle</t>
  </si>
  <si>
    <t>Emissions dues à la fabrication, transport, stockage et application</t>
  </si>
  <si>
    <t>Unité</t>
  </si>
  <si>
    <t>tC/t de chaux</t>
  </si>
  <si>
    <t>tCO2/t CaCO3</t>
  </si>
  <si>
    <t>Urée (tonnes de N/an; Urée=46,7% de N)</t>
  </si>
  <si>
    <t>tC/t Urée</t>
  </si>
  <si>
    <t>kg N-N2O/kg N</t>
  </si>
  <si>
    <t>tCO2/t N</t>
  </si>
  <si>
    <t>tCO2/t P2O5</t>
  </si>
  <si>
    <t>tCO2/t K2O</t>
  </si>
  <si>
    <t>tCO2/t active ingredient</t>
  </si>
  <si>
    <t>tCO2/t ingredient actif</t>
  </si>
  <si>
    <t>Par défaut EX-ACT considère que l'urée est importée et ne tient pas compte de ce puits, mais vous pouvez forcer sa prise en compte ici:</t>
  </si>
  <si>
    <t>Prise en compte de ce puits?</t>
  </si>
  <si>
    <t>Urée</t>
  </si>
  <si>
    <t>t CO2/m2</t>
  </si>
  <si>
    <t>Facteur d'émission pour le pays sélectionné</t>
  </si>
  <si>
    <t>Pertes d'éléctricité lors du transport</t>
  </si>
  <si>
    <t>Merci de préciser le nom</t>
  </si>
  <si>
    <t>Unité utilisé</t>
  </si>
  <si>
    <t>t CO2/t matière sèche</t>
  </si>
  <si>
    <t>Systèmes d'irrigation</t>
  </si>
  <si>
    <t>Bâtiments et routes</t>
  </si>
  <si>
    <t>7. Results</t>
  </si>
  <si>
    <t>Surface totale (ha)</t>
  </si>
  <si>
    <t>Composantes du projet</t>
  </si>
  <si>
    <t>Components of the project</t>
  </si>
  <si>
    <t>Flux bruts</t>
  </si>
  <si>
    <t>Tous les GES en tCO2eq</t>
  </si>
  <si>
    <t>Positif=émission / négatif=puits</t>
  </si>
  <si>
    <t>Répartition du blian par type de GES</t>
  </si>
  <si>
    <t>Biomasse</t>
  </si>
  <si>
    <t>Sol</t>
  </si>
  <si>
    <t>Result per year</t>
  </si>
  <si>
    <t>Definitions of land management options</t>
  </si>
  <si>
    <t>Défintions des options de gestion des cultures</t>
  </si>
  <si>
    <t>Using improved varieties, extending crop rotation, increasing crop residues.</t>
  </si>
  <si>
    <t>Adoption of reduced, minimum or zero tillage, with or without mulching, including Conservation Agriculture.</t>
  </si>
  <si>
    <t>Effective irrigation measure.</t>
  </si>
  <si>
    <t>Manure or Biosolids application to the field as input.</t>
  </si>
  <si>
    <t>Utilisation de variétés améliorées et/ou extension des rotations culturales et des rotations avec des cultures de légumineuses</t>
  </si>
  <si>
    <t>Improve N use efficiency &amp; decrease N losses: Microdosing, adjusted application rate, timing &amp; location…</t>
  </si>
  <si>
    <t>Application d'engrais minéral, de fumier, ou de biosolides améliorée soit en jouant sur l'efficacité (en ajustant la quantité appliquée au besoin, en appliquant l'engrais au bon moment, en ciblant les zones qui nécessitent de l'engrais…)</t>
  </si>
  <si>
    <t>Adoption de pratiques avec une intensité moindre du labour, allant du labour minimum au non labour, et avec ou sans le maintien des résidus au champs</t>
  </si>
  <si>
    <t>Amélioration des mesures d'irrigation qui peuvent conduire à une augmentation de la productivité</t>
  </si>
  <si>
    <t>Amélioration des sources d'engrais en utilisant du fumier ou des Biosolides</t>
  </si>
  <si>
    <t>Résultats par an</t>
  </si>
  <si>
    <t>Land use changes</t>
  </si>
  <si>
    <t>Déforestation</t>
  </si>
  <si>
    <t>Boisement</t>
  </si>
  <si>
    <t>Autres</t>
  </si>
  <si>
    <t>Changements d'Usage</t>
  </si>
  <si>
    <t>Annuelle</t>
  </si>
  <si>
    <t>Pérenne</t>
  </si>
  <si>
    <t>Riz</t>
  </si>
  <si>
    <t>Patûrage &amp; bétail</t>
  </si>
  <si>
    <t>Patûrage</t>
  </si>
  <si>
    <t>Bétail</t>
  </si>
  <si>
    <t>Degradation &amp; Management</t>
  </si>
  <si>
    <t>Dégradation et gestion</t>
  </si>
  <si>
    <t>Intrants &amp; Investissements</t>
  </si>
  <si>
    <t>Par hectare</t>
  </si>
  <si>
    <t>Par hectare et par an</t>
  </si>
  <si>
    <t>CO2-Biomasse</t>
  </si>
  <si>
    <t>CO2-Sol</t>
  </si>
  <si>
    <t>CO2-Autre</t>
  </si>
  <si>
    <t>Use in a Simple Value Chain Assessment</t>
  </si>
  <si>
    <t>Approche simplifiée de chaîne de valeur</t>
  </si>
  <si>
    <t>Back to main results</t>
  </si>
  <si>
    <t>Flux par composante</t>
  </si>
  <si>
    <t>Fluxes per component</t>
  </si>
  <si>
    <t>Balance per component</t>
  </si>
  <si>
    <t>Bilan par composante</t>
  </si>
  <si>
    <t>Share of the balance per GHG (plus origin for CO2)</t>
  </si>
  <si>
    <t>Total sans et avec projet et bilan</t>
  </si>
  <si>
    <t>Répartition du blian par type de GES (et avec l'origine pour le CO2)</t>
  </si>
  <si>
    <t>Other lands</t>
  </si>
  <si>
    <t>Forêt/Boisement</t>
  </si>
  <si>
    <t>Autres terres</t>
  </si>
  <si>
    <t>Dégradées</t>
  </si>
  <si>
    <t>Terres humides</t>
  </si>
  <si>
    <t>Wetlands</t>
  </si>
  <si>
    <t>Niveau d'incertitude</t>
  </si>
  <si>
    <t>Bilan net</t>
  </si>
  <si>
    <t>% d'incertitude</t>
  </si>
  <si>
    <t>Incertitude totale</t>
  </si>
  <si>
    <t>Detailed matrices of changes</t>
  </si>
  <si>
    <t>Matrices détaillées des évolutions</t>
  </si>
  <si>
    <t>Total area must be equal in all situations: Please check carrefully all components</t>
  </si>
  <si>
    <t>Les superficies doivent être identiques pour toutes les situations: merci de vérifier les différentes composantes</t>
  </si>
  <si>
    <t>Other indicators</t>
  </si>
  <si>
    <t>Autre indicateurs</t>
  </si>
  <si>
    <t>Irrigated rice</t>
  </si>
  <si>
    <t>Riz irrigué</t>
  </si>
  <si>
    <t>Annual Crops</t>
  </si>
  <si>
    <t>Cultures annuelles</t>
  </si>
  <si>
    <t>Superficies irriguées - ha</t>
  </si>
  <si>
    <t>Surfaces brûlées cumulées - ha</t>
  </si>
  <si>
    <t>Provenant de la déforestation</t>
  </si>
  <si>
    <t>Provenant de la dégradation</t>
  </si>
  <si>
    <t>Retour aux résultats principaux</t>
  </si>
  <si>
    <t>t de produit</t>
  </si>
  <si>
    <t>tCO2eq per t of product</t>
  </si>
  <si>
    <t>Gross emission intensity</t>
  </si>
  <si>
    <t>Intensité des émissions brutes</t>
  </si>
  <si>
    <t>tCO2eq par t de produit</t>
  </si>
  <si>
    <t>Pourcentage  d'utilisation humaine</t>
  </si>
  <si>
    <t>Quantitiée correspondante utilisée</t>
  </si>
  <si>
    <t>Tous les changements d'usage</t>
  </si>
  <si>
    <t>Detailled Emissions in t CO2-eq for the different phases of the Value Chain</t>
  </si>
  <si>
    <t>Émissions détaillées en t de CO2-eq pour les différentes étapes de la chaîne de valeur</t>
  </si>
  <si>
    <t>Emissions (tCO2/t product)</t>
  </si>
  <si>
    <t>Emissions (tCO2/t produit)</t>
  </si>
  <si>
    <t xml:space="preserve">PRODUCTION (émissions calculées en pourcentage de la quantité totale utilisée) </t>
  </si>
  <si>
    <t>Émissions directes et indirectes (induite par les changements d'usage, la dégradation, les intrants et investissements)</t>
  </si>
  <si>
    <t>TRAITEMENT (liste des intrants ou des procédés nécessaires)</t>
  </si>
  <si>
    <t>Name of input/process</t>
  </si>
  <si>
    <t>Nom de l'intrant/procédé</t>
  </si>
  <si>
    <t>Emission par intrant/procédé</t>
  </si>
  <si>
    <t>Intrant/procédé par t de produit</t>
  </si>
  <si>
    <t>Total pour le TRAITEMENT</t>
  </si>
  <si>
    <t>Insert name below</t>
  </si>
  <si>
    <t>Insérer le nom ci-dessous</t>
  </si>
  <si>
    <t>TRANSPORT level (list the differents inputs or processes necessary)</t>
  </si>
  <si>
    <t>TRANSPORT (liste des intrants ou des procédés nécessaires)</t>
  </si>
  <si>
    <t>Total TRANSPORT</t>
  </si>
  <si>
    <t>Total pour le TRANSPORT</t>
  </si>
  <si>
    <t>UTILISATION (liste des intrants ou des procédés nécessaires)</t>
  </si>
  <si>
    <t>Total pour l'UTILISATION</t>
  </si>
  <si>
    <t>DECHET (liste des intrants ou des procédés nécessaires)</t>
  </si>
  <si>
    <t>Total for WASTE</t>
  </si>
  <si>
    <t>Total for USE</t>
  </si>
  <si>
    <t>Total for PROCESSING</t>
  </si>
  <si>
    <t>Total pour DECHET</t>
  </si>
  <si>
    <t>Total Emissions in t CO2-eq for the different phases of the Value Chain</t>
  </si>
  <si>
    <t>Émissions totales en t CO2-eq pour les différentes étapes de la chaîne de valeur</t>
  </si>
  <si>
    <t>TRAITEMENT</t>
  </si>
  <si>
    <t>UTILISATION</t>
  </si>
  <si>
    <t>DECHET</t>
  </si>
  <si>
    <t>Matrice des évolutions</t>
  </si>
  <si>
    <t>Sols minéraux (ha)</t>
  </si>
  <si>
    <t>Organic Soils (ha)</t>
  </si>
  <si>
    <t>Sols organiques (ha)</t>
  </si>
  <si>
    <t>DEBUT</t>
  </si>
  <si>
    <t>FIN</t>
  </si>
  <si>
    <t>Total à la fin</t>
  </si>
  <si>
    <t>Total pour le début</t>
  </si>
  <si>
    <t>TOP-All</t>
  </si>
  <si>
    <t>Choisir les PRG pour les calculs</t>
  </si>
  <si>
    <t>Officiel (1ère période 2008-2012)</t>
  </si>
  <si>
    <t>Officiel (2ème période 2013-2020)</t>
  </si>
  <si>
    <t>Dernière mise à jour (GIEC, 2013)</t>
  </si>
  <si>
    <t>n°</t>
  </si>
  <si>
    <t>Help</t>
  </si>
  <si>
    <t>No dominante</t>
  </si>
  <si>
    <t>Pas sol dominant</t>
  </si>
  <si>
    <t>Non soil</t>
  </si>
  <si>
    <t>Pas de sol</t>
  </si>
  <si>
    <t>Soil classifications</t>
  </si>
  <si>
    <t>Classifications de sols</t>
  </si>
  <si>
    <t>GIEC</t>
  </si>
  <si>
    <t>Climat</t>
  </si>
  <si>
    <t>Climate Helper : Help  to determine the Climate category with MAT and MAP</t>
  </si>
  <si>
    <t>PAM</t>
  </si>
  <si>
    <t>Mean Annual temperature in °C</t>
  </si>
  <si>
    <t>Mean Annual Precipitation in mm</t>
  </si>
  <si>
    <t>Précipitation Moyenne Annuelle en mm</t>
  </si>
  <si>
    <t>Température Moyenne Annuelle en °C</t>
  </si>
  <si>
    <t>TMA</t>
  </si>
  <si>
    <t>Aide "Climat" : Pour aider à déterminer la catégorie climatique avec TMA et PAM</t>
  </si>
  <si>
    <t>Moist if MAP&gt;PET and Dry if PET&gt;MAP</t>
  </si>
  <si>
    <t>Humide si TMA&gt;ETP et Sec si ETP&gt;TMA</t>
  </si>
  <si>
    <t>PET=Potential EvapoTranspiration</t>
  </si>
  <si>
    <t>ETP = Evapo-transpiration Potentielle</t>
  </si>
  <si>
    <t>TMA et catégorie de climat</t>
  </si>
  <si>
    <t>TMA &gt; 18</t>
  </si>
  <si>
    <t>10 &gt; TMA &gt; 18</t>
  </si>
  <si>
    <t>10 &gt; MAT &gt; 18</t>
  </si>
  <si>
    <t>0 &gt; TMA &gt; 10</t>
  </si>
  <si>
    <t>0 &gt; MAT &gt; 10</t>
  </si>
  <si>
    <t>TMA &lt; 0</t>
  </si>
  <si>
    <t>Note: Tropical Montane is usually Dry</t>
  </si>
  <si>
    <t>Montagneux Tropical est habituellement plutôt "Sec"</t>
  </si>
  <si>
    <t>IPCC Climate Zones</t>
  </si>
  <si>
    <t>Zones climatiques selon le GIEC</t>
  </si>
  <si>
    <t>No Data</t>
  </si>
  <si>
    <t>Pas de données</t>
  </si>
  <si>
    <t>TMA par défaut</t>
  </si>
  <si>
    <t>Simplified IPCC Climate Zones</t>
  </si>
  <si>
    <t>Zones climatiques simplifiées selon le GIEC</t>
  </si>
  <si>
    <t>Cool</t>
  </si>
  <si>
    <t>Warm</t>
  </si>
  <si>
    <t>Froid</t>
  </si>
  <si>
    <t>Chaud</t>
  </si>
  <si>
    <t>(or Polar)</t>
  </si>
  <si>
    <t>(ou Polaire)</t>
  </si>
  <si>
    <t>Cliquez ici pour accéder aux cartes climatiques globales de la FAO</t>
  </si>
  <si>
    <t>Carte des Précipitations Moyennes Annuelles</t>
  </si>
  <si>
    <t>Cartes des Températures Moyennes Annuelles</t>
  </si>
  <si>
    <t>MAP and MAT Maps</t>
  </si>
  <si>
    <t>Cartes des PAM et TMA</t>
  </si>
  <si>
    <t>Ressources FAO:</t>
  </si>
  <si>
    <t>Moisture</t>
  </si>
  <si>
    <t xml:space="preserve">LocClim was developed to provide an estimate of climatic conditions at locations for which no observations are available. To achieve this, the programme uses the 28800 stations of FAOCLIM 2.0 </t>
  </si>
  <si>
    <t>Cliquez ici pour accéder à LocClim</t>
  </si>
  <si>
    <t>LocClim a été développé pour fournir une estimation des conditions climatiques des sites pour lesquels aucune observation n'est disponible. Pour ce faire, le programme utilise les 28800 stations de FAOCLIM 2.0</t>
  </si>
  <si>
    <t>For on-line climate data using localisation see also Web LocClim the  local monthly climate estimator</t>
  </si>
  <si>
    <t>Cliquez ici pour accéder à Web locClim</t>
  </si>
  <si>
    <t xml:space="preserve">Pour obtenir des données climatiques en ligne en utilisant la localisation voir également Web LocClim l'estimateur climatique mensuel local </t>
  </si>
  <si>
    <t>Global Ecological Zones</t>
  </si>
  <si>
    <t>Zones écologiques mondiales, en fonction des schémas climatiques et végétaux observés (FAO, 2001). Les données des systèmes d’information géographique sont disponibles à l’adresse http://www.fao.org</t>
  </si>
  <si>
    <t>Zones écologiques mondiales</t>
  </si>
  <si>
    <t>Tropical desert</t>
  </si>
  <si>
    <t>Désert tropical</t>
  </si>
  <si>
    <t>Désert subtropical</t>
  </si>
  <si>
    <t>Polar</t>
  </si>
  <si>
    <t>Polaire</t>
  </si>
  <si>
    <t>Temperate steppe</t>
  </si>
  <si>
    <t>Temperate desert</t>
  </si>
  <si>
    <t>Désert tempéré</t>
  </si>
  <si>
    <t>Steppe tempérée</t>
  </si>
  <si>
    <t>Région</t>
  </si>
  <si>
    <t>(voir la carte ci-dessous)</t>
  </si>
  <si>
    <t>Année</t>
  </si>
  <si>
    <t>Rendement (t/ha)</t>
  </si>
  <si>
    <t>Maté</t>
  </si>
  <si>
    <t>Amérique</t>
  </si>
  <si>
    <t>Asie</t>
  </si>
  <si>
    <t>Australie &amp; Nvlle Zélande</t>
  </si>
  <si>
    <t>Carraïbe</t>
  </si>
  <si>
    <t>Asie Centrale</t>
  </si>
  <si>
    <t>Afrique de l'Est</t>
  </si>
  <si>
    <t>Asie de l'Est</t>
  </si>
  <si>
    <t>Union européenne</t>
  </si>
  <si>
    <t>Mélanésie</t>
  </si>
  <si>
    <t>Micronésie</t>
  </si>
  <si>
    <t>Afrique centrale</t>
  </si>
  <si>
    <t>Afrique du Nord</t>
  </si>
  <si>
    <t>Europe du Nord</t>
  </si>
  <si>
    <t>Polynésie</t>
  </si>
  <si>
    <t>Asie du Sud-Est</t>
  </si>
  <si>
    <t>Afrique du Sud</t>
  </si>
  <si>
    <t>Asie du Sud</t>
  </si>
  <si>
    <t>Europe du Sud</t>
  </si>
  <si>
    <t>Afrique de l'Ouest</t>
  </si>
  <si>
    <t>Asie de l'Ouest</t>
  </si>
  <si>
    <t>Monde</t>
  </si>
  <si>
    <t>Haricots, sec</t>
  </si>
  <si>
    <t>Haricots, verts</t>
  </si>
  <si>
    <t>Carottes et navets</t>
  </si>
  <si>
    <t>Noix de cajou, dont la coquille</t>
  </si>
  <si>
    <t>Choux-fleurs et brocolis</t>
  </si>
  <si>
    <t>Orge</t>
  </si>
  <si>
    <t>Bananes</t>
  </si>
  <si>
    <t>Manioc</t>
  </si>
  <si>
    <t>Céréales (Equivalent riz usiné)</t>
  </si>
  <si>
    <t>Céréales, nda</t>
  </si>
  <si>
    <t>Agrumes, nda</t>
  </si>
  <si>
    <t>Café vert</t>
  </si>
  <si>
    <t>Niébé, sec</t>
  </si>
  <si>
    <t>Aubergines (aubergines)</t>
  </si>
  <si>
    <t>Arachides, dont la coquille</t>
  </si>
  <si>
    <t>Légumes à cosse, nda</t>
  </si>
  <si>
    <t>Maïs, vert</t>
  </si>
  <si>
    <t>Châtaignes</t>
  </si>
  <si>
    <t>Fibre (Cultures, nda)</t>
  </si>
  <si>
    <t>Pamplemousse (dont Pomelos)</t>
  </si>
  <si>
    <t>Raisin</t>
  </si>
  <si>
    <t>Graines de lin</t>
  </si>
  <si>
    <t>Maïs</t>
  </si>
  <si>
    <t>Mangues, mangoustans, goyaves</t>
  </si>
  <si>
    <t>Oignons, sec</t>
  </si>
  <si>
    <t>Pêches et nectarines</t>
  </si>
  <si>
    <t>Pois, sec</t>
  </si>
  <si>
    <t>Pois, vert</t>
  </si>
  <si>
    <t>Légumineuses, nda</t>
  </si>
  <si>
    <t>Riz paddy</t>
  </si>
  <si>
    <t>Racines et tubercules, nda</t>
  </si>
  <si>
    <t>seigle</t>
  </si>
  <si>
    <t>Le coton-graine</t>
  </si>
  <si>
    <t>Les graines de sésame</t>
  </si>
  <si>
    <t>Avoine</t>
  </si>
  <si>
    <t>Le palmier à huile (fruits)</t>
  </si>
  <si>
    <t>Ananas</t>
  </si>
  <si>
    <t>Pommes de terre</t>
  </si>
  <si>
    <t>La betterave à sucre</t>
  </si>
  <si>
    <t>La canne à sucre</t>
  </si>
  <si>
    <t>Graines de tournesol</t>
  </si>
  <si>
    <t>Les patates douces</t>
  </si>
  <si>
    <t>Tangerines, mandarines, clem.</t>
  </si>
  <si>
    <t>Tabac, non fabriqués</t>
  </si>
  <si>
    <t>Légumes frais nda</t>
  </si>
  <si>
    <t>Sorgho</t>
  </si>
  <si>
    <t>Soja</t>
  </si>
  <si>
    <t>Fraises</t>
  </si>
  <si>
    <t>Thé</t>
  </si>
  <si>
    <t>Tomates</t>
  </si>
  <si>
    <t>Vesces</t>
  </si>
  <si>
    <t>Blé</t>
  </si>
  <si>
    <t>Taux (%)</t>
  </si>
  <si>
    <t>Périodes</t>
  </si>
  <si>
    <t>Moyenne</t>
  </si>
  <si>
    <t>Ces données proviennent de FAOSTAT, si vous avez besoin d'information plus détaillée (par exemple par pays), merci d'aller sur le site internet de la FAO</t>
  </si>
  <si>
    <t>A FAO não endossa nenhuma responsabilidade por erros ou falhas no banco de dados, na planilha, na documentação de acompanhamento, na atualização e por danos que possam resultar. A FAO também declina qualquer responsabilidade por atualizar as informações e não assume qualquer responsabilidade por erros e omissões nos dados fornecidos. No entanto, os usuários são encorajados a relatar quaisquer erros ou deficiências neste produto para a FAO</t>
  </si>
  <si>
    <t>As escolhas de cálculos nesta ferramenta são de responsabilidade dos autores e não refletem necessariamente as opiniões e escolhas da Organização das Nações Unidas para a Alimentação e a Agricultura.</t>
  </si>
  <si>
    <t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t>
  </si>
  <si>
    <t>© FAO (2013)
La FAO encourage l’utilisation, la reproduction et la diffusion des informations figurant dans ce produit. Sauf indication contraire, le contenu peut être copié, téléchargé et imprimé aux fins d’étude privée, de recherches ou d’enseignement, ainsi que pour utilisation dans des produits ou services non commerciaux, sous réserve que la FAO soit correctement mentionnée comme source et comme titulaire du droit d’auteur et à condition qu’il ne soit sous-entendu en aucune manière que la FAO approuverait les opinions, produits ou services des utilisateurs.
Toute demande relative aux droits de traduction ou d’adaptation, à la revente ou à d’autres droits d’utilisation commerciale doit être présentée au moyen du formulaire en ligne disponible à www.fao.org/contact-us/licence-request ou adressée par courriel à copyright@fao.org.</t>
  </si>
  <si>
    <t>© FAO (2013)
La FAO incentiva o uso, reprodução e distribuição das informações contidas neste produto. Salvo disposição contrária, o conteúdo pode ser copiado, baixado e impresso para estudo privado, pesquisa ou ensino, e para uso em produtos ou serviços não comerciais, desde que a FAO está devidamente identificado como a fonte e o como titular dos direitos de autoria, e que não seja implícito em qualquer forma que FAO endossa as opiniões, produtos ou serviços dos usuários. 
Qualquer pedidos relativos aos direitos de tradução ou adaptação, revenda ou outros direitos de uso comercial devem ser apresentados utilizando o formulário on-line disponível no www.fao.org/contact-us/licence-request ou enviado por email para copyright@fao.org.</t>
  </si>
  <si>
    <t>Nome do projeto</t>
  </si>
  <si>
    <t>Continente</t>
  </si>
  <si>
    <t>Zona climática</t>
  </si>
  <si>
    <t>Regime hídrico</t>
  </si>
  <si>
    <t>Tipo de solo dominante</t>
  </si>
  <si>
    <t>Duração do Projeto (anos)</t>
  </si>
  <si>
    <t>Fase de implementação</t>
  </si>
  <si>
    <t>Fase de capitalização</t>
  </si>
  <si>
    <t>Tempo total</t>
  </si>
  <si>
    <t>Clima?</t>
  </si>
  <si>
    <t>Solo?</t>
  </si>
  <si>
    <t>2.1. Desmatamento</t>
  </si>
  <si>
    <t>Tipo de vegetação</t>
  </si>
  <si>
    <t>Mapa das ZAE</t>
  </si>
  <si>
    <t>que sera desmatada</t>
  </si>
  <si>
    <t xml:space="preserve">#Produtos de Madeira Colhidos </t>
  </si>
  <si>
    <t>PMC#</t>
  </si>
  <si>
    <t>Uso final apos desmatamento</t>
  </si>
  <si>
    <t>Área desmatada (ha)</t>
  </si>
  <si>
    <t>Área de floresta (ha)</t>
  </si>
  <si>
    <t>Emissões totais (tCO2-eq)</t>
  </si>
  <si>
    <t>Balanço</t>
  </si>
  <si>
    <t>(O=yes/N=no)</t>
  </si>
  <si>
    <t>* Nota sobre a dinâmica: D é a opção padrão (Default em Inglês), "I" para  Imediato e "E" para Exponencial (veja o Manual do Usuario)</t>
  </si>
  <si>
    <t>Total do Desmatamento</t>
  </si>
  <si>
    <t>Início</t>
  </si>
  <si>
    <t>Sem</t>
  </si>
  <si>
    <t>Com</t>
  </si>
  <si>
    <t>Zona 1 =</t>
  </si>
  <si>
    <t>Zona 2 =</t>
  </si>
  <si>
    <t>Zona 3 =</t>
  </si>
  <si>
    <t>Zona 4 =</t>
  </si>
  <si>
    <t>Uso anterior</t>
  </si>
  <si>
    <t>Área de aflorestamento/reflorestamento</t>
  </si>
  <si>
    <t>2.2. Aflorestamento e Reflorestamento</t>
  </si>
  <si>
    <t>total do A/Re-florestamento</t>
  </si>
  <si>
    <t>Preenxer com a sua descrião</t>
  </si>
  <si>
    <t>Uso inicial</t>
  </si>
  <si>
    <t>Uso final</t>
  </si>
  <si>
    <t>Recado</t>
  </si>
  <si>
    <t>Área transformada (ha)</t>
  </si>
  <si>
    <t>Total do Outras MUT</t>
  </si>
  <si>
    <t>2.3. Outras Mudanças do Uso da Terra (MUT)</t>
  </si>
  <si>
    <t>Fogo?</t>
  </si>
  <si>
    <t>Favor escolher</t>
  </si>
  <si>
    <t>Ásia (Continental)</t>
  </si>
  <si>
    <t>Ásia (Subcontinente Indiano)</t>
  </si>
  <si>
    <t>Oriente Médio</t>
  </si>
  <si>
    <t>Europa Ocidental</t>
  </si>
  <si>
    <t>Europa Oriental</t>
  </si>
  <si>
    <t>Oceânia</t>
  </si>
  <si>
    <t>América do Norte</t>
  </si>
  <si>
    <t>América Central</t>
  </si>
  <si>
    <t>América do Sul</t>
  </si>
  <si>
    <t>Temperado frio</t>
  </si>
  <si>
    <t>Subtropical ou Temperado quente</t>
  </si>
  <si>
    <t>Tropical montanhoso</t>
  </si>
  <si>
    <t>Seco</t>
  </si>
  <si>
    <t>Chuvoso</t>
  </si>
  <si>
    <t>Úmido</t>
  </si>
  <si>
    <t>Solos com argila de atividade alta</t>
  </si>
  <si>
    <t>Solos com argila de atividade baixa</t>
  </si>
  <si>
    <t>Solos arenosos</t>
  </si>
  <si>
    <t>Sols espódico</t>
  </si>
  <si>
    <t>Solos volcánicos</t>
  </si>
  <si>
    <t>Solos Hidromórficos</t>
  </si>
  <si>
    <t>Outros solos</t>
  </si>
  <si>
    <t>Por favor precisar o clima</t>
  </si>
  <si>
    <t>Floresta tropical densa</t>
  </si>
  <si>
    <t xml:space="preserve">Floresta tropical úmida decídua </t>
  </si>
  <si>
    <t>Floresta tropical seca</t>
  </si>
  <si>
    <t>Savanna tropical</t>
  </si>
  <si>
    <t>Floresta subtropical húmida</t>
  </si>
  <si>
    <t>Floresta subtropical seca</t>
  </si>
  <si>
    <t>Estepe subtropical</t>
  </si>
  <si>
    <t xml:space="preserve">Sistema subtropical de montanhas </t>
  </si>
  <si>
    <t>Floresta temperada oceânica</t>
  </si>
  <si>
    <t>Floresta temperada continental</t>
  </si>
  <si>
    <t xml:space="preserve">Sistema temperado de montanhas </t>
  </si>
  <si>
    <t>Floresta boreal de coníferas</t>
  </si>
  <si>
    <t>Floresta boreal de Tundra</t>
  </si>
  <si>
    <t xml:space="preserve">Sistema boreal de montanhas </t>
  </si>
  <si>
    <t>Sistema tropical de montanhas</t>
  </si>
  <si>
    <t>Floresta Zona 1</t>
  </si>
  <si>
    <t>Floresta Zona 2</t>
  </si>
  <si>
    <t>Floresta Zona 3</t>
  </si>
  <si>
    <t>Floresta Zona 4</t>
  </si>
  <si>
    <t>Plantação Zona 1</t>
  </si>
  <si>
    <t>Plantação Zona 2</t>
  </si>
  <si>
    <t>Plantação Zona 3</t>
  </si>
  <si>
    <t>Plantação Zona 4</t>
  </si>
  <si>
    <t>Escolher a vegetação</t>
  </si>
  <si>
    <t>Não</t>
  </si>
  <si>
    <t>Sim</t>
  </si>
  <si>
    <t>Selecione o uso após o desmatamento</t>
  </si>
  <si>
    <t>Cultura Perene/Agrofloresta</t>
  </si>
  <si>
    <t>Arroz irrigado</t>
  </si>
  <si>
    <t>Pousio</t>
  </si>
  <si>
    <t>Pradaria</t>
  </si>
  <si>
    <t>Terra degradada</t>
  </si>
  <si>
    <t>Outro (nominal)</t>
  </si>
  <si>
    <t>Outro (degradado)</t>
  </si>
  <si>
    <t>Cultura Anual</t>
  </si>
  <si>
    <t>Escolher o uso anterior</t>
  </si>
  <si>
    <t>Cultura Perene/Agrofloresta (&lt;5anos)</t>
  </si>
  <si>
    <t>Cultura Perene/Agrofloresta (6-10 anos)</t>
  </si>
  <si>
    <t>Cultura Perene/Agrofloresta (&gt;10 anos)</t>
  </si>
  <si>
    <t>Escolher o uso inicial</t>
  </si>
  <si>
    <t>Outro uso</t>
  </si>
  <si>
    <t>Escolher o uso final</t>
  </si>
  <si>
    <t>Final=Inicial: verificar!</t>
  </si>
  <si>
    <t>Escolha o regime hídrico</t>
  </si>
  <si>
    <t>Permanentemente inundado</t>
  </si>
  <si>
    <t>Intermitentemente inundado</t>
  </si>
  <si>
    <t>Arroz inundado e de águas profundas</t>
  </si>
  <si>
    <t>Pré-temporada não inundada &lt; 180 dias</t>
  </si>
  <si>
    <t>Pré-temporada não inundada &gt; 180 dias</t>
  </si>
  <si>
    <t>Pré-temporada inundada &gt; 30 dias</t>
  </si>
  <si>
    <t>Escolher o regime hídrico da pré-temporada</t>
  </si>
  <si>
    <t>Escolha o tipo de manejo dos resíduos e aportes orgânicos</t>
  </si>
  <si>
    <t>Queima da palha de arroz</t>
  </si>
  <si>
    <t>Palha de arroz exportada</t>
  </si>
  <si>
    <t>Palha incorporada pouco tempo antes da cultura (&lt;30 dias)</t>
  </si>
  <si>
    <t>Palha incorporada muito tempo antes da cultura (&gt; 30 dias)</t>
  </si>
  <si>
    <t>Adubo</t>
  </si>
  <si>
    <t>Estrume</t>
  </si>
  <si>
    <t>Adubo verde</t>
  </si>
  <si>
    <t>Obrigado por escolher</t>
  </si>
  <si>
    <t>Cabras</t>
  </si>
  <si>
    <t>Camelos</t>
  </si>
  <si>
    <t>Cavalos</t>
  </si>
  <si>
    <t>Mulas e burros</t>
  </si>
  <si>
    <t>Aves domésticas</t>
  </si>
  <si>
    <t>Veados</t>
  </si>
  <si>
    <t>Manejo melhorado sem entradas adicionais</t>
  </si>
  <si>
    <t>Não degradado</t>
  </si>
  <si>
    <t>Altamente degradado</t>
  </si>
  <si>
    <t>Moderadamente degradado</t>
  </si>
  <si>
    <t>Manejo melhorado com entradas adicionais</t>
  </si>
  <si>
    <t>Escolher o nível</t>
  </si>
  <si>
    <t>Sem degradação</t>
  </si>
  <si>
    <t>Muito baixo</t>
  </si>
  <si>
    <t>Baixo</t>
  </si>
  <si>
    <t>Moderado</t>
  </si>
  <si>
    <t>Extremo</t>
  </si>
  <si>
    <t>Escolher o estado</t>
  </si>
  <si>
    <t>Tradução</t>
  </si>
  <si>
    <t>Non-UN Language</t>
  </si>
  <si>
    <t xml:space="preserve">Você indicou que está utilizando os seguintes tipos de vegetação </t>
  </si>
  <si>
    <t>Use esta parte apenas se você quiser refinar a análise com os coeficientes "Tier 2"</t>
  </si>
  <si>
    <t>(Os valores padrão são fornecidos apenas para a sua informação, EX-ACT usará os valores Tier (Nível) 2  automaticamente sempre que especificados)</t>
  </si>
  <si>
    <t xml:space="preserve">Todos os valores estão em t de carbono por hectare (tC / ha) </t>
  </si>
  <si>
    <t>Carbono do solo</t>
  </si>
  <si>
    <t xml:space="preserve">Padrão </t>
  </si>
  <si>
    <t>Madeira morta</t>
  </si>
  <si>
    <t>Liteira</t>
  </si>
  <si>
    <t>Biomassa aérea</t>
  </si>
  <si>
    <t>Biomassa subterrânea</t>
  </si>
  <si>
    <t>Tier (Nível) 2</t>
  </si>
  <si>
    <t>Que sera plantada</t>
  </si>
  <si>
    <t>Crescimento da biomassa nos primeiros 20 anos</t>
  </si>
  <si>
    <t>Crescimento da biomassa após 20 anos</t>
  </si>
  <si>
    <t xml:space="preserve">3.1. Sistemas anuais (para ser usado também para os sistemas pluri-anuais, como o algodão ou cana) </t>
  </si>
  <si>
    <t>Rendimento?</t>
  </si>
  <si>
    <t>WITHOUT</t>
  </si>
  <si>
    <t>WITH</t>
  </si>
  <si>
    <t>Witout</t>
  </si>
  <si>
    <t>Русский</t>
  </si>
  <si>
    <t>Заявление об отказе</t>
  </si>
  <si>
    <t>Название проекта</t>
  </si>
  <si>
    <t>Континент</t>
  </si>
  <si>
    <t>Климат</t>
  </si>
  <si>
    <t>Доминирующий в регионе тип почвы</t>
  </si>
  <si>
    <t>Продолжительность проекта (лет)</t>
  </si>
  <si>
    <t>Этап реализации</t>
  </si>
  <si>
    <t>Этап капитализации</t>
  </si>
  <si>
    <t>Период отчетности</t>
  </si>
  <si>
    <t>Климат ?</t>
  </si>
  <si>
    <t>Почва ?</t>
  </si>
  <si>
    <t>2.1. Обезлесение</t>
  </si>
  <si>
    <t>Карта АЭЗ</t>
  </si>
  <si>
    <t>Вид растительности</t>
  </si>
  <si>
    <t>который подлежит вырубке</t>
  </si>
  <si>
    <t>ЗЛМ#</t>
  </si>
  <si>
    <t>Использование огня?</t>
  </si>
  <si>
    <t xml:space="preserve">Конечное использование после обезлесения </t>
  </si>
  <si>
    <t>Покрытая лесом площадь (га)</t>
  </si>
  <si>
    <t>Площадь обезлесения (га)</t>
  </si>
  <si>
    <t>Баланс</t>
  </si>
  <si>
    <t>#Заготовленные лесоматериалы</t>
  </si>
  <si>
    <t>* Примечание относительно динамики изменения: D соответствуют "По умолчанию", "I" -  немедленному и "Е" -  экспоненциальному (Смотрите, пожалуйста, Руководство)</t>
  </si>
  <si>
    <t>Общее обезлесение</t>
  </si>
  <si>
    <t>Начало</t>
  </si>
  <si>
    <t>Без</t>
  </si>
  <si>
    <t>С</t>
  </si>
  <si>
    <t>Зона 1 =</t>
  </si>
  <si>
    <t>Зона 2 =</t>
  </si>
  <si>
    <t xml:space="preserve">Зона 3 = </t>
  </si>
  <si>
    <t xml:space="preserve">Зона 4 = </t>
  </si>
  <si>
    <t>2.2. Облесение и лесовосстановление</t>
  </si>
  <si>
    <t>Предыдущее использование земли</t>
  </si>
  <si>
    <t>Площадь, которая подлежит облесению/лесовосстановлению</t>
  </si>
  <si>
    <t>Общее обезлесение/лесовосстановление</t>
  </si>
  <si>
    <t>2.3. Прочие изменения землепользования</t>
  </si>
  <si>
    <t>Внесите свое описание</t>
  </si>
  <si>
    <t>Первоначальное землепользование</t>
  </si>
  <si>
    <t>Конечное землепользование</t>
  </si>
  <si>
    <t>Сообщение</t>
  </si>
  <si>
    <t>Преобразованная площадь (га)</t>
  </si>
  <si>
    <t>Всего прочих ИЗП</t>
  </si>
  <si>
    <t>Вы указали, что используете следующие виды растительности</t>
  </si>
  <si>
    <t>Используйте данную часть только если вы хотите уточнить анализ, используя коэффициенты Уровня 2</t>
  </si>
  <si>
    <t>(значения по умолчанию представлены в ознакомительных целях, в то время как EX-ACT будет автоматически использовать значения Уровня 2 там, где указано)</t>
  </si>
  <si>
    <t>Все значения измеряются в тоннах углерода на га (тС/га)</t>
  </si>
  <si>
    <t>Надземная</t>
  </si>
  <si>
    <t>Подземная</t>
  </si>
  <si>
    <t>Подстилка</t>
  </si>
  <si>
    <t>Валежная древесина</t>
  </si>
  <si>
    <t>Почвенный углерод</t>
  </si>
  <si>
    <t>По умолчанию</t>
  </si>
  <si>
    <t>Уровень 2</t>
  </si>
  <si>
    <t>который будет засажен</t>
  </si>
  <si>
    <t>Скорость роста для систем возрастом до 20 лет</t>
  </si>
  <si>
    <t>Скорость роста для систем возрастом свыше 20 лет</t>
  </si>
  <si>
    <t>3.1. Однолетние системы (также используется для многолетних систем, таких как хлопок или сахарный тростник)</t>
  </si>
  <si>
    <t>3.1.1. Однолетние системы другого вида ЗП или перестраиваемые в другие ЗП (пожалуйста, заполните Шаг 2 ИЗП ранее)</t>
  </si>
  <si>
    <t>Урожайность?</t>
  </si>
  <si>
    <t>Описание</t>
  </si>
  <si>
    <t>Усовершенствованные агроприемы</t>
  </si>
  <si>
    <t>Управление питательными веществами</t>
  </si>
  <si>
    <t>Управление водными ресурсами</t>
  </si>
  <si>
    <t>Унавоживание</t>
  </si>
  <si>
    <t>Урожайность</t>
  </si>
  <si>
    <t>Определения?</t>
  </si>
  <si>
    <t>Площадь (га)</t>
  </si>
  <si>
    <t>Сжигание остатков или биомассы</t>
  </si>
  <si>
    <t xml:space="preserve">Однолетние после обезлесения </t>
  </si>
  <si>
    <t>Однолетние после ЗП без лесонасаждений</t>
  </si>
  <si>
    <t>3.1.2. Однолетние системы, остающиеся однолетними (величина общей площади должна быть постоянной)</t>
  </si>
  <si>
    <t>Всего (га)</t>
  </si>
  <si>
    <t>Всего однолетних систем</t>
  </si>
  <si>
    <t>3.2. Многолетние системы (Агролесоводство, сады, деревья…)</t>
  </si>
  <si>
    <t>3.2.1. Многолетние системы другого вида ИЗП или перестраиваемые в другие ИЗП  (пожалуйста, заполните Шаг 2 ИЗП ранее)</t>
  </si>
  <si>
    <t>Многолетние после обезлесения</t>
  </si>
  <si>
    <t>Многолетние после ЗП без лесонасаждений</t>
  </si>
  <si>
    <t>Перестроенные в другие виды ЗП</t>
  </si>
  <si>
    <t>Всего многолетних систем</t>
  </si>
  <si>
    <t>3.2.2. Многолетние системы, остающиеся многолетними (величина общей площади должна быть постоянной)</t>
  </si>
  <si>
    <t>3.3. Системы затопляемых рисовых полей</t>
  </si>
  <si>
    <t>3.3.1. Системы затопляемых рисовых полей другого вида ИЗП или перестраиваемые в другие ИЗП (пожалуйста, заполните Шаг 2 ИЗП ранее)</t>
  </si>
  <si>
    <t>Период культивации (дней)</t>
  </si>
  <si>
    <t>Водный режим</t>
  </si>
  <si>
    <t>В период культивации</t>
  </si>
  <si>
    <t>До периода культивации</t>
  </si>
  <si>
    <t>Тип органического удобрения (солома или иной)</t>
  </si>
  <si>
    <t>3.3.2. Системы затопляемых рисовых полей, остающиеся системами затопляемых рисовых полей (величина общей площади должна оставаться постоянной)</t>
  </si>
  <si>
    <t>Всего систем затопляемых рисовых полей</t>
  </si>
  <si>
    <t>Рисовые поля после обезлесения</t>
  </si>
  <si>
    <t>Рисовые поля после ЗП без лесонасаждений</t>
  </si>
  <si>
    <t>Системы</t>
  </si>
  <si>
    <t>Уровни удаления почвенного углерода</t>
  </si>
  <si>
    <t>Однолетние системы другого вида (перестраиваемые в другие) ИЗП</t>
  </si>
  <si>
    <t>Однолетние системы, остающиеся однолетними системами</t>
  </si>
  <si>
    <t>Темпы роста (т С/га/год)</t>
  </si>
  <si>
    <t>Сжигание (Количество остатков и периодичность)</t>
  </si>
  <si>
    <t>Многолетние системы другого вида (перестраиваемые в другие) ИЗП</t>
  </si>
  <si>
    <t>Многолетние системы, остающиеся многолетними системами</t>
  </si>
  <si>
    <t>Объем сожженной соломы</t>
  </si>
  <si>
    <t>Системы рисовых полей другого вида (перестраиваемые в другие) ИЗП</t>
  </si>
  <si>
    <t>Водный режим, используемый до культивации риса (схематическое изображение, показывающее периоды затопления как затемненные участки)</t>
  </si>
  <si>
    <t>Без затоплений &lt;180 суток</t>
  </si>
  <si>
    <t>Без затоплений &gt;180 дней</t>
  </si>
  <si>
    <t>С затоплениями (&gt;30 суток)</t>
  </si>
  <si>
    <t>Возможности управления</t>
  </si>
  <si>
    <t>(т/га/год)</t>
  </si>
  <si>
    <t>Возможности управления земельными ресурсами</t>
  </si>
  <si>
    <t>Использование улучшенных сортов, расширение севооборота, увеличение растительных остатков.</t>
  </si>
  <si>
    <t>Улучшение эффективности использования N и уменьшение потерь N: микродозирование, скорректированный уровень применения, время и расположение….</t>
  </si>
  <si>
    <t>Применение сниженной, минимальной или нулевой обработки почвы, с или без мульчирования, включая Ресурсосберегающее сельское хозяйство</t>
  </si>
  <si>
    <t>Эффективная ирригационная мера</t>
  </si>
  <si>
    <t>Применение навоза или твердых веществ биологического происхождения на полях как поступление</t>
  </si>
  <si>
    <t>4.1. Системы пастбищных угодий</t>
  </si>
  <si>
    <t>4.1.1.  Системы пастбищных угодий другого вида ИЗП или перестраиваемые в другие ИЗП (пожалуйста, заполните Шаг 2 ИЗП ранее)</t>
  </si>
  <si>
    <t>4.1.2. Системы пастбищных угодий, остающиеся системами пастбищных угодий (величина общей площади должна оставаться постоянной)</t>
  </si>
  <si>
    <t>Исходное состояние</t>
  </si>
  <si>
    <t>Использование огня для управления</t>
  </si>
  <si>
    <t>Суммарные выбросы</t>
  </si>
  <si>
    <t>(год)</t>
  </si>
  <si>
    <t>Периодичность</t>
  </si>
  <si>
    <t>Без проекта</t>
  </si>
  <si>
    <t>С проектом</t>
  </si>
  <si>
    <t>Пастбищные угодья после обезлесения</t>
  </si>
  <si>
    <t>Конечное состояние пастбищных угодий</t>
  </si>
  <si>
    <t>Всего систем пастбищных угодий</t>
  </si>
  <si>
    <t>4.2. Животноводство (а также уборка, хранение и использование навоза)</t>
  </si>
  <si>
    <t>Категории домашнего скота</t>
  </si>
  <si>
    <t xml:space="preserve">Возможность технического смягчения (%) </t>
  </si>
  <si>
    <t>Производство (мясо, молоко и т. д.)</t>
  </si>
  <si>
    <t>Практики кормления*</t>
  </si>
  <si>
    <t>Особые препараты*</t>
  </si>
  <si>
    <t>Разведение*</t>
  </si>
  <si>
    <t>в тоннах продукции в год</t>
  </si>
  <si>
    <t>Молочный скот</t>
  </si>
  <si>
    <t>Прочий скот</t>
  </si>
  <si>
    <t>Буйволы</t>
  </si>
  <si>
    <t>Овцы</t>
  </si>
  <si>
    <t>Свиньи (рынок)</t>
  </si>
  <si>
    <t>Свиньи (разведение)</t>
  </si>
  <si>
    <t>Практики кормления: например, большее количество концентратов, добавление определенных масел или масличных культур в рацион, для улучшения качества корма,..</t>
  </si>
  <si>
    <t>Особые препараты: особые препараты и пищевые добавки для снижения выбросов СН4 (ионофоры, вакцины, BST…)</t>
  </si>
  <si>
    <t>Разведение: увеличение производительности посредством разведения и применения лучших практик содержания (снижение числа ремонтного молодняка)</t>
  </si>
  <si>
    <t>Всего скота</t>
  </si>
  <si>
    <t>Соответствующие запасы почвенного углерода</t>
  </si>
  <si>
    <t>Не снижено</t>
  </si>
  <si>
    <t>Существенно снижено</t>
  </si>
  <si>
    <t>Умеренно снижено</t>
  </si>
  <si>
    <t xml:space="preserve">Улучшено без управления поступлениями </t>
  </si>
  <si>
    <t>Улучшено с улучшением поступлений</t>
  </si>
  <si>
    <t>Сжигание</t>
  </si>
  <si>
    <t>(тС/га)</t>
  </si>
  <si>
    <t xml:space="preserve">Средняя годовая температура (СГТ) в регионе (в °C) </t>
  </si>
  <si>
    <t>(температура оказывает влияние на выбросы от уборки, хранения и использования навоза)</t>
  </si>
  <si>
    <t>"Тип" региона</t>
  </si>
  <si>
    <t>(пожалуйста, выберите, если возможно)</t>
  </si>
  <si>
    <t>Факторы, влияющие на выбросы N2O от уборки, хранения и использования навоза</t>
  </si>
  <si>
    <t>(кг N-N2O/кг N)</t>
  </si>
  <si>
    <t>Пастбище, выпас и загон</t>
  </si>
  <si>
    <t>Прочее</t>
  </si>
  <si>
    <t>Интестинальная ферментация</t>
  </si>
  <si>
    <t>(кг CH4 на голову/год)</t>
  </si>
  <si>
    <t>% приходящийся на системы пастбищ, выпасов и загонов</t>
  </si>
  <si>
    <t>Метан в результате уборки, хранения и использования навоза</t>
  </si>
  <si>
    <t>5.1. Деградация лесов и управление лесным хозяйством</t>
  </si>
  <si>
    <t>Уровень деградации растительности</t>
  </si>
  <si>
    <t>В конце</t>
  </si>
  <si>
    <t>Возникновение огня и интенсивность</t>
  </si>
  <si>
    <t>(% сожженого)</t>
  </si>
  <si>
    <t>Воздействие</t>
  </si>
  <si>
    <t>Территория осушенных органических почв (га)</t>
  </si>
  <si>
    <t>Управляемые леса</t>
  </si>
  <si>
    <t>Однолетние</t>
  </si>
  <si>
    <t>Многолетние</t>
  </si>
  <si>
    <t>Пастбища</t>
  </si>
  <si>
    <t>Всего для осушения</t>
  </si>
  <si>
    <t>5.2.2. Действующая торфодобыча</t>
  </si>
  <si>
    <t>Тип торфа</t>
  </si>
  <si>
    <t>Торф с низким содержанием питательных веществ</t>
  </si>
  <si>
    <t>С высоким содержанием питательных веществ</t>
  </si>
  <si>
    <t>Всего для добычи</t>
  </si>
  <si>
    <t>Уровень деградации (% потерь биомассы)</t>
  </si>
  <si>
    <t>Выбросы в результате потерь углерода вследствие осушения органических почв</t>
  </si>
  <si>
    <t>Выбросы на участке в результате действующей торфодобычи</t>
  </si>
  <si>
    <t>Коэффициент выброса СО2 (т С/га/год)</t>
  </si>
  <si>
    <t>Коэффициент выброса N2O (кг N2O-N/га/год)</t>
  </si>
  <si>
    <t>6.1. Поступления (известкование, удобрения, пестициды, гербициды,…)</t>
  </si>
  <si>
    <t>Описание и единица для предоставление в отчётности</t>
  </si>
  <si>
    <t>Внесенное количество в год</t>
  </si>
  <si>
    <t>Всего выбросов на уровне участка</t>
  </si>
  <si>
    <t>Выбросы от производства, транспортировки, хранения и перевозки</t>
  </si>
  <si>
    <t>Известкование</t>
  </si>
  <si>
    <t>Известняк (тонн в год)</t>
  </si>
  <si>
    <t>Доломит (тонн в год)</t>
  </si>
  <si>
    <t>Не указано (тонн в год)</t>
  </si>
  <si>
    <t>Удобрения</t>
  </si>
  <si>
    <t>Мочевина (тонн N в год - на долю мочевины приходится 46,7% N)</t>
  </si>
  <si>
    <t>Прочие азотные удобрения (тонны N в год)</t>
  </si>
  <si>
    <t>Азотные удобрения при выращивании поливного риса (тонны N  в год)</t>
  </si>
  <si>
    <t>Органические удобрения (тонны N в год)</t>
  </si>
  <si>
    <t>Компост (тонны N в год)</t>
  </si>
  <si>
    <t>Фосфор (тонны P2O5 в год)</t>
  </si>
  <si>
    <t>Калий (тонны К2О в год)</t>
  </si>
  <si>
    <t>Пестициды</t>
  </si>
  <si>
    <t>Гербициды (тонны активного вещества в год)</t>
  </si>
  <si>
    <t>Инсектициды (тонны активного вещества в год)</t>
  </si>
  <si>
    <t>Фунгициды (тонны активного вещества в год)</t>
  </si>
  <si>
    <t>Всего в результате поступлений</t>
  </si>
  <si>
    <t>Выбросы СО2</t>
  </si>
  <si>
    <t>Выбросы N2O</t>
  </si>
  <si>
    <t>6.2. Потребление энергии (электричество, топливо,…)</t>
  </si>
  <si>
    <t>Потребляемое количество в год</t>
  </si>
  <si>
    <t>Электричество (МВт-ч в год)</t>
  </si>
  <si>
    <t>(пожалуйста, выберите из списка на английском языке)</t>
  </si>
  <si>
    <t>Жидкость или газ (в м3 в год)</t>
  </si>
  <si>
    <t>Газойль/Дизель</t>
  </si>
  <si>
    <t>Бензин</t>
  </si>
  <si>
    <t>Газ (СУГ/природный)</t>
  </si>
  <si>
    <t>Бутан</t>
  </si>
  <si>
    <t>Пропан</t>
  </si>
  <si>
    <t>Этанол</t>
  </si>
  <si>
    <t>Заданный пользователем (Уровень 2)</t>
  </si>
  <si>
    <t>Твердое вещество (в тоннах сухого вещества в год)</t>
  </si>
  <si>
    <t>Дерево</t>
  </si>
  <si>
    <t>Торф</t>
  </si>
  <si>
    <t>Всего в результате потребления энергии</t>
  </si>
  <si>
    <t>6.3. Создание новой инфраструктуры (оросительные системы, здания, дороги)</t>
  </si>
  <si>
    <t>Территория</t>
  </si>
  <si>
    <t>Оросительные системы (в га)</t>
  </si>
  <si>
    <t>Здания и дороги (в м2)</t>
  </si>
  <si>
    <t>*IRRS = Ирригационная система возврата стока</t>
  </si>
  <si>
    <t>Всего в результате строительства</t>
  </si>
  <si>
    <t>Коэффициенты выброса</t>
  </si>
  <si>
    <t xml:space="preserve">Выбросы на уровне участка </t>
  </si>
  <si>
    <t>Выбросы в результате производства, транспортировки, хранения и перевозки</t>
  </si>
  <si>
    <t>Единица измерения</t>
  </si>
  <si>
    <t>кг N-N2O/кг N</t>
  </si>
  <si>
    <t>т СО2/т N</t>
  </si>
  <si>
    <t>т СО2/т Р2О5</t>
  </si>
  <si>
    <t>т СО2/т К2О</t>
  </si>
  <si>
    <t>т СО2/т активного вещества</t>
  </si>
  <si>
    <t>Снижение содержания СО2 в атмосфере в процессе производства мочевины оценивается в секторе "Промышленные процессы и использование продуктов" по странам, в которых производится мочевина</t>
  </si>
  <si>
    <t>По умолчанию EX-ACT предполагает, что мочевина импортируется, и не учитывает данный сток, но вы можете заставить программу посчитать иначе:</t>
  </si>
  <si>
    <t>Учитывать промышленный сток?</t>
  </si>
  <si>
    <t>Мочевина</t>
  </si>
  <si>
    <t>Коэффициент выброса для выбранной страны</t>
  </si>
  <si>
    <t>Потери электричества при транспортировке</t>
  </si>
  <si>
    <t>т СО2/м3</t>
  </si>
  <si>
    <t>Пожалуйста, уточните название</t>
  </si>
  <si>
    <t>т СО2/т сухого вещества</t>
  </si>
  <si>
    <t xml:space="preserve">Оросительные системы </t>
  </si>
  <si>
    <t>Здания и дороги</t>
  </si>
  <si>
    <t>т СО2/ м2</t>
  </si>
  <si>
    <t>Общая площадь (га)</t>
  </si>
  <si>
    <t>Компоненты проекта</t>
  </si>
  <si>
    <t>Общие потоки</t>
  </si>
  <si>
    <t>Положительный = источник / отрицательный = сток</t>
  </si>
  <si>
    <t>Биомасса</t>
  </si>
  <si>
    <t>Почва</t>
  </si>
  <si>
    <t>Другое</t>
  </si>
  <si>
    <t>Результат за год</t>
  </si>
  <si>
    <t>Изменение землепользования</t>
  </si>
  <si>
    <t>Обезлесение</t>
  </si>
  <si>
    <t>Облесение</t>
  </si>
  <si>
    <t>Сельское хозяйство</t>
  </si>
  <si>
    <t>Рис</t>
  </si>
  <si>
    <t>Пастбищные угодья и домашний скот</t>
  </si>
  <si>
    <t>Домашний скот</t>
  </si>
  <si>
    <t>Деградация и управление</t>
  </si>
  <si>
    <t>Поступления и инвестиции</t>
  </si>
  <si>
    <t>Всего</t>
  </si>
  <si>
    <t>На гектар</t>
  </si>
  <si>
    <t>На гектар в год</t>
  </si>
  <si>
    <t>СО2-Биомасса</t>
  </si>
  <si>
    <t>СО2-Почва</t>
  </si>
  <si>
    <t>СО2-Другое</t>
  </si>
  <si>
    <t>Потоки на компонент</t>
  </si>
  <si>
    <t>Баланс на компонент</t>
  </si>
  <si>
    <t>Всего без и с проектом и баланс</t>
  </si>
  <si>
    <t>Изменения поверхностей по типам землепользования / категории (гектары-га)</t>
  </si>
  <si>
    <t>Другие земли</t>
  </si>
  <si>
    <t>Деградированные</t>
  </si>
  <si>
    <t>Заболоченные участки</t>
  </si>
  <si>
    <t>Уровень неопределенности</t>
  </si>
  <si>
    <t>Чистый баланс</t>
  </si>
  <si>
    <t>Всего неопределено</t>
  </si>
  <si>
    <t>% неопределенности</t>
  </si>
  <si>
    <t>Подробные матрицы изменений</t>
  </si>
  <si>
    <t>Общая площадь должна быть одинаковой во всех ситуациях: Пожалуйста, внимательно проверьте все компоненты</t>
  </si>
  <si>
    <t>Другие индикаторы</t>
  </si>
  <si>
    <t>Орошаемая площадь - га</t>
  </si>
  <si>
    <t>Орошаемые рисовые поля</t>
  </si>
  <si>
    <t>Однолетние культуры</t>
  </si>
  <si>
    <t>В результате обезлесения</t>
  </si>
  <si>
    <t>В результате деградации</t>
  </si>
  <si>
    <t>Назад к основным результатам</t>
  </si>
  <si>
    <t>Производство</t>
  </si>
  <si>
    <t>т продукции</t>
  </si>
  <si>
    <t>Процент использования человеком</t>
  </si>
  <si>
    <t>Соответствующее использованное количество</t>
  </si>
  <si>
    <t>Все изменения землепользования</t>
  </si>
  <si>
    <t>Уровень ПРОИЗВОДСТВА (соответствующие выбросы, рассчитанные как процент от общего использованного количества)</t>
  </si>
  <si>
    <t>Прямые и непрямые (вызванные ИЗП, деградацией, поступлениями и инвестициями) выбросы</t>
  </si>
  <si>
    <t>Уровень ПЕРЕРАБОТКИ (укажите необходимые поступления или процессы)</t>
  </si>
  <si>
    <t>Название поступления/процесса</t>
  </si>
  <si>
    <t>Выброс, приходящийся на поступление</t>
  </si>
  <si>
    <t>Всего на ПЕРЕРАБОТКУ</t>
  </si>
  <si>
    <t>Уровень ТРАНСПОРТИРОВКИ (укажите необходимые поступления  и процессы)</t>
  </si>
  <si>
    <t>Всего на ТРАНСПОРТИРОВКУ</t>
  </si>
  <si>
    <t>Укажите название ниже</t>
  </si>
  <si>
    <t>Всего на ИСПОЛЬЗОВАНИЕ</t>
  </si>
  <si>
    <t>Всего на ОТХОДЫ</t>
  </si>
  <si>
    <t>ПРОИЗВОДСТВО</t>
  </si>
  <si>
    <t>ПЕРЕРАБОТКА</t>
  </si>
  <si>
    <t>ТРАНСПОРТИРОВКА</t>
  </si>
  <si>
    <t>ИСПОЛЬЗОВАНИЕ</t>
  </si>
  <si>
    <t>ОТХОДЫ</t>
  </si>
  <si>
    <t>Матрица изменений</t>
  </si>
  <si>
    <t>Минеральные почвы (га)</t>
  </si>
  <si>
    <t>Органические почвы (га)</t>
  </si>
  <si>
    <t>ИСХОДНЫЙ</t>
  </si>
  <si>
    <t>КОНЕЧНЫЙ</t>
  </si>
  <si>
    <t>Классификация почв</t>
  </si>
  <si>
    <t>Всемирная справочная база по почвенным ресурсам - 2006</t>
  </si>
  <si>
    <t>МГЭИК</t>
  </si>
  <si>
    <t>Средняя годовая температура в °C</t>
  </si>
  <si>
    <t>ПЭТ=потенциальная эвапотранспирация</t>
  </si>
  <si>
    <t>Примечание: тропический горный климат обычно сухой</t>
  </si>
  <si>
    <t>Климатические зоны МГЭИК</t>
  </si>
  <si>
    <t>Нет данных</t>
  </si>
  <si>
    <t>Упрощенные климатические зоны МГЭИК</t>
  </si>
  <si>
    <t>Холодный</t>
  </si>
  <si>
    <t>Теплый</t>
  </si>
  <si>
    <t>Бореальный</t>
  </si>
  <si>
    <t>(или полярный)</t>
  </si>
  <si>
    <t>Ресурсы ФАО:</t>
  </si>
  <si>
    <t>Посмотреть Глобальную климатическую карту можно на сайте ФАО</t>
  </si>
  <si>
    <t>Среднегодовая температура</t>
  </si>
  <si>
    <t>Web LocClim</t>
  </si>
  <si>
    <t>LocClim был разработан для обеспечения оценки климатических условий на местах, для которых отсутствуют наблюдения. Для достижения этой цели, программа использует 28800 станций FAOCLIM 2.0</t>
  </si>
  <si>
    <t>Нажмите здесь, чтобы перейти к приложению</t>
  </si>
  <si>
    <t>Перейти на Web LocClim</t>
  </si>
  <si>
    <t>Глобальные экологические зоны</t>
  </si>
  <si>
    <t>Глобальные экологические зоны, основанные на наблюдаемых климатических и растительных особенностях (ФАО, 2001). Данные для географических информационных систем доступны на сайте  http://www.fao.org.</t>
  </si>
  <si>
    <t>Тропическая пустыня</t>
  </si>
  <si>
    <t>Субтропическая пустыня</t>
  </si>
  <si>
    <t>Умеренная степь</t>
  </si>
  <si>
    <t>Умеренная пустыня</t>
  </si>
  <si>
    <t>Полярный</t>
  </si>
  <si>
    <t>Урожай</t>
  </si>
  <si>
    <t>Регион</t>
  </si>
  <si>
    <t>Наименование</t>
  </si>
  <si>
    <t>(смотрите карту ниже)</t>
  </si>
  <si>
    <t>Год</t>
  </si>
  <si>
    <t>Урожай (т/га)</t>
  </si>
  <si>
    <t>Периоды</t>
  </si>
  <si>
    <t>Среднее</t>
  </si>
  <si>
    <t>Уровень (%)</t>
  </si>
  <si>
    <t>Прогноз</t>
  </si>
  <si>
    <t>Эти данные взяты с ФАОСТАТ. Если вам требуется более подробная информация (например, по стране), пожалуйста, перейдите на сайт ФАО</t>
  </si>
  <si>
    <t>*SRR = (IRRS en anglais) Système retour par ruissellement</t>
  </si>
  <si>
    <t>*IRRS = Irrigation Runoff Return System</t>
  </si>
  <si>
    <t>Выберите</t>
  </si>
  <si>
    <t>Африка</t>
  </si>
  <si>
    <t>Азия (континентальная)</t>
  </si>
  <si>
    <t>Азия (Индостан)</t>
  </si>
  <si>
    <t>Азия (острова)</t>
  </si>
  <si>
    <t>Ближний Восток</t>
  </si>
  <si>
    <t>Западная Европа</t>
  </si>
  <si>
    <t>Восточная Европа</t>
  </si>
  <si>
    <t>Океания</t>
  </si>
  <si>
    <t>Северная Америка</t>
  </si>
  <si>
    <t>Центральная Америка</t>
  </si>
  <si>
    <t>Южная Америка</t>
  </si>
  <si>
    <t>С низкой температурой</t>
  </si>
  <si>
    <t>Умеренно-теплый</t>
  </si>
  <si>
    <t>Тропический</t>
  </si>
  <si>
    <t>Тропический горный</t>
  </si>
  <si>
    <t>Сухой</t>
  </si>
  <si>
    <t>Сырой</t>
  </si>
  <si>
    <t>Влажный</t>
  </si>
  <si>
    <t>Песчаные почвы</t>
  </si>
  <si>
    <t>Солонцеватая почва</t>
  </si>
  <si>
    <t>Вулканическая почва</t>
  </si>
  <si>
    <t>Заболоченные почвы</t>
  </si>
  <si>
    <t>Другие почвы</t>
  </si>
  <si>
    <t>Пожалуйста, укажите климат</t>
  </si>
  <si>
    <t>Тропический дождевой лес</t>
  </si>
  <si>
    <t>Тропический влажный лиственный лес</t>
  </si>
  <si>
    <t>Тропический сухой лес</t>
  </si>
  <si>
    <t>Тропическая местность, покрытая кустарником</t>
  </si>
  <si>
    <t>Субтропический влажный лес</t>
  </si>
  <si>
    <t>Субтропический сухой лес</t>
  </si>
  <si>
    <t>Субтропическая степь</t>
  </si>
  <si>
    <t>Субтропические горные системы</t>
  </si>
  <si>
    <t>Умеренный океанический лес</t>
  </si>
  <si>
    <t>Умеренный континентальный лес</t>
  </si>
  <si>
    <t>Умеренные горные системы</t>
  </si>
  <si>
    <t>Тайга</t>
  </si>
  <si>
    <t>Тундра</t>
  </si>
  <si>
    <t>Бореальные горные системы</t>
  </si>
  <si>
    <t>Тропические горные системы</t>
  </si>
  <si>
    <t>Лесная зона 1</t>
  </si>
  <si>
    <t>Лесная зона 2</t>
  </si>
  <si>
    <t>Лесная зона 3</t>
  </si>
  <si>
    <t>Лесная зона 4</t>
  </si>
  <si>
    <t>Зона насаждений 1</t>
  </si>
  <si>
    <t>Зона насаждений 2</t>
  </si>
  <si>
    <t>Зона насаждений 3</t>
  </si>
  <si>
    <t>Зона насаждений 4</t>
  </si>
  <si>
    <t>Выберите растительность</t>
  </si>
  <si>
    <t>НЕТ</t>
  </si>
  <si>
    <t>ДА</t>
  </si>
  <si>
    <t>Выберите "Использование после обезлесения"</t>
  </si>
  <si>
    <t>Однолетняя культура</t>
  </si>
  <si>
    <t>Многолетняя культура / деревья</t>
  </si>
  <si>
    <t>Затопляемое рисовое поле</t>
  </si>
  <si>
    <t>Сокращение посевных площадей</t>
  </si>
  <si>
    <t>Пастбище</t>
  </si>
  <si>
    <t>Другое (номинальное)</t>
  </si>
  <si>
    <t>Другое (деградированные)</t>
  </si>
  <si>
    <t>Выберите предыдущее использование</t>
  </si>
  <si>
    <t>Многолетняя культура / деревья (&lt;5лет)</t>
  </si>
  <si>
    <t>Многолетняя культура / деревья (6-10лет)</t>
  </si>
  <si>
    <t>Многолетняя культура / деревья (&gt;10лет)</t>
  </si>
  <si>
    <t>Деградированные земли</t>
  </si>
  <si>
    <t>Выберите исходное землепользование</t>
  </si>
  <si>
    <t>Прочие земли</t>
  </si>
  <si>
    <t>Выберите конечное землепользование</t>
  </si>
  <si>
    <t xml:space="preserve">Деградированные </t>
  </si>
  <si>
    <t>Укажите исходное ЗП</t>
  </si>
  <si>
    <t>Укажите конечное ЗП</t>
  </si>
  <si>
    <t>Выберите водный режим</t>
  </si>
  <si>
    <t>Орошаемый - постоянно затопляемый</t>
  </si>
  <si>
    <t>Орошаемый - периодически затопляемый</t>
  </si>
  <si>
    <t>Богарный и глубоководный</t>
  </si>
  <si>
    <t>Выберите предсезонный водный режим</t>
  </si>
  <si>
    <t>Без предсезонного затопления (&lt;180дней)</t>
  </si>
  <si>
    <t>Без предсезонного затопления (&gt;180дней)</t>
  </si>
  <si>
    <t>Предсезонное затопление (&gt;30 дней)</t>
  </si>
  <si>
    <t>Выберите тип органического удобрения</t>
  </si>
  <si>
    <t>Жженая солома</t>
  </si>
  <si>
    <t>Солома внесенная незадолго (&lt;30дней) до культивации</t>
  </si>
  <si>
    <t>Солома внесенная задолго (&gt;30дней) до культивации</t>
  </si>
  <si>
    <t>Компост</t>
  </si>
  <si>
    <t>Стойловый навоз</t>
  </si>
  <si>
    <t>Зеленое удобрение</t>
  </si>
  <si>
    <t>Козы</t>
  </si>
  <si>
    <t>Верблюды</t>
  </si>
  <si>
    <t>Лошади</t>
  </si>
  <si>
    <t>Мулы и ослы</t>
  </si>
  <si>
    <t>Птица</t>
  </si>
  <si>
    <t>Олени</t>
  </si>
  <si>
    <t>Альпака</t>
  </si>
  <si>
    <t>Не деградированные</t>
  </si>
  <si>
    <t>Существенно деградированные</t>
  </si>
  <si>
    <t>Умеренно деградированные</t>
  </si>
  <si>
    <t>Улучшенные без управления поступлениями</t>
  </si>
  <si>
    <t>Улучшенные с управлением поступлениями</t>
  </si>
  <si>
    <t>Выберите состояние</t>
  </si>
  <si>
    <t>Выберите уровень</t>
  </si>
  <si>
    <t>Нет</t>
  </si>
  <si>
    <t>Очень низкий</t>
  </si>
  <si>
    <t>Низкий</t>
  </si>
  <si>
    <t>Средний</t>
  </si>
  <si>
    <t>Большой</t>
  </si>
  <si>
    <t>Крайняя степень</t>
  </si>
  <si>
    <t>Стационарная дождевальная система</t>
  </si>
  <si>
    <t>Дождевальная система непрерывного действия</t>
  </si>
  <si>
    <t>Дождевальная система с поливом в движении по кругу</t>
  </si>
  <si>
    <t>Капельница</t>
  </si>
  <si>
    <t>Дома (бетон)</t>
  </si>
  <si>
    <t>Сельскохозяйственные строения (бетон)</t>
  </si>
  <si>
    <t>Сельскохозяйственные строения (металл)</t>
  </si>
  <si>
    <t>Промышленные здания (бетон)</t>
  </si>
  <si>
    <t>Промышленные здания (металл)</t>
  </si>
  <si>
    <t>Гараж (бетон)</t>
  </si>
  <si>
    <t>Гараж (металл)</t>
  </si>
  <si>
    <t>Офисы (бетон)</t>
  </si>
  <si>
    <t>Офисы (металл)</t>
  </si>
  <si>
    <t>Другие (бетон)</t>
  </si>
  <si>
    <t>Другие (метал)</t>
  </si>
  <si>
    <t>Дорога для среднего движения (бетон)</t>
  </si>
  <si>
    <t>Дорога для среднего движения (асфальт)</t>
  </si>
  <si>
    <t>Дорога для интенсивного движения (бетон)</t>
  </si>
  <si>
    <t>Дорога для интенсивного движения (асфальт)</t>
  </si>
  <si>
    <t>Официальные данные (1ый период 2008-2012)</t>
  </si>
  <si>
    <t>Официальные данные (2ой период 2013-2020)</t>
  </si>
  <si>
    <t>Нет доминанты</t>
  </si>
  <si>
    <t>Не почва</t>
  </si>
  <si>
    <t>Северная и Южная Америка</t>
  </si>
  <si>
    <t>Азия</t>
  </si>
  <si>
    <t>Австралия и Новая Зеландия</t>
  </si>
  <si>
    <t>Страны Карибского бассейна</t>
  </si>
  <si>
    <t>Центральная Азия</t>
  </si>
  <si>
    <t>Восточная Африка</t>
  </si>
  <si>
    <t>Восточная Азия</t>
  </si>
  <si>
    <t>Европа</t>
  </si>
  <si>
    <t>Европейский Союз</t>
  </si>
  <si>
    <t>Микронезия</t>
  </si>
  <si>
    <t>Средняя Африка</t>
  </si>
  <si>
    <t>Северная Африка</t>
  </si>
  <si>
    <t>Северная Европа</t>
  </si>
  <si>
    <t>Полинезия</t>
  </si>
  <si>
    <t>Юго-восточная Азия</t>
  </si>
  <si>
    <t>Южная Африка</t>
  </si>
  <si>
    <t>Южная Азия</t>
  </si>
  <si>
    <t>Южная Европа</t>
  </si>
  <si>
    <t>Западная Африка</t>
  </si>
  <si>
    <t>Западная Азия</t>
  </si>
  <si>
    <t>Мир</t>
  </si>
  <si>
    <t>Бананы</t>
  </si>
  <si>
    <t>Ячмень</t>
  </si>
  <si>
    <t>Бобы, зеленые</t>
  </si>
  <si>
    <t>Морковь и репа</t>
  </si>
  <si>
    <t>Орехи кешью, со скорлупой</t>
  </si>
  <si>
    <t>Маниок (кассава)</t>
  </si>
  <si>
    <t>Цветная капуста и брокколи</t>
  </si>
  <si>
    <t>Злаки (шлифованный рис экв.)</t>
  </si>
  <si>
    <t>Злаки, не указанные</t>
  </si>
  <si>
    <t>Каштаны</t>
  </si>
  <si>
    <t>Цитрусовые, не указанные</t>
  </si>
  <si>
    <t>Кофе, зеленый</t>
  </si>
  <si>
    <t>Коровий горох, сушеный</t>
  </si>
  <si>
    <t>Финики</t>
  </si>
  <si>
    <t>Баклажаны</t>
  </si>
  <si>
    <t>Волокнистые прядильные культуры, не указанные</t>
  </si>
  <si>
    <t>Грейпфрут (вкл. Помело)</t>
  </si>
  <si>
    <t>Виноград</t>
  </si>
  <si>
    <t>Арахис, со скорлупой</t>
  </si>
  <si>
    <t>Бобовые культуры, не указанные</t>
  </si>
  <si>
    <t>Льняное семя</t>
  </si>
  <si>
    <t>Кукуруза</t>
  </si>
  <si>
    <t>Кукуруза, зеленая</t>
  </si>
  <si>
    <t>Манго, мангостаны, гуавы</t>
  </si>
  <si>
    <t>Просо</t>
  </si>
  <si>
    <t>Овес</t>
  </si>
  <si>
    <t>Маслины</t>
  </si>
  <si>
    <t>Лук, сушеный</t>
  </si>
  <si>
    <t>Апельсины</t>
  </si>
  <si>
    <t>Персики и нектарины</t>
  </si>
  <si>
    <t>Горох, сушеный</t>
  </si>
  <si>
    <t>Горох, зеленый</t>
  </si>
  <si>
    <t>Ананасы</t>
  </si>
  <si>
    <t>Плантайн</t>
  </si>
  <si>
    <t>Картофель</t>
  </si>
  <si>
    <t>Зернобобовые, не указанные</t>
  </si>
  <si>
    <t>Квиноа</t>
  </si>
  <si>
    <t>Рис, зерно</t>
  </si>
  <si>
    <t>Корнеплоды и клубнеплоды, не указанные</t>
  </si>
  <si>
    <t>Рожь</t>
  </si>
  <si>
    <t>Хлопок-сырец</t>
  </si>
  <si>
    <t>Кунжут</t>
  </si>
  <si>
    <t>Сизаль</t>
  </si>
  <si>
    <t>Сорго</t>
  </si>
  <si>
    <t>Соевые бобы</t>
  </si>
  <si>
    <t>Клубника</t>
  </si>
  <si>
    <t>Сахарная свекла</t>
  </si>
  <si>
    <t>Сахарный тростник</t>
  </si>
  <si>
    <t>Семена подсолнечника</t>
  </si>
  <si>
    <t>Сладкий картофель</t>
  </si>
  <si>
    <t>Танжерины, мандарины</t>
  </si>
  <si>
    <t>Чай</t>
  </si>
  <si>
    <t>Табак, необработанный</t>
  </si>
  <si>
    <t>Томаты</t>
  </si>
  <si>
    <t>Тритикале</t>
  </si>
  <si>
    <t>Свежие овощи, не указанные</t>
  </si>
  <si>
    <t>Горошек</t>
  </si>
  <si>
    <t>Пшеница</t>
  </si>
  <si>
    <t>Surface without IRRS</t>
  </si>
  <si>
    <t>Surface with IRRS</t>
  </si>
  <si>
    <t>Поверхность без IRRS</t>
  </si>
  <si>
    <t>Поверхность c IRRS</t>
  </si>
  <si>
    <t>Перевод</t>
  </si>
  <si>
    <t>ФАО не несет ответственности за ошибки или неточности, имеющиеся в базе данных или программном обеспечении или в сопроводительной документации к ним, за обслуживание и обновление программ, а также за любой ущерб, обусловленный ими. ФАО также не несет ответственности за обновление данных, а также не несет ответственности за ошибки и упущения, которые имеются в предоставленных данных. Пользователей, однако, просят сообщить в ФАО о любых ошибках или неточностях, имеющихся в данном продукте.</t>
  </si>
  <si>
    <t xml:space="preserve">Выбор методов расчетов, используемых в данном инструменте, принадлежит автору (-ам) и не обязательно отражает взгляды и предпочтения Продовольственной и сельскохозяйственной организации Объединенных Наций.  </t>
  </si>
  <si>
    <t>© ФАО (2013)
ФАО поощряет использование, копирование и распространение материалов, содержащихся в данном продукте. Если не указано иное, материал может быть скопирован, загружен и распечатан для личного изучения, исследования и в педагогических целях, или для использования в некоммерческих продуктах или услугах, при условии наличия соответствующей ссылки на ФАО как на источник правообладателя , а также при условии, что никаким образом не подразумевается одобрение взглядов пользователей, продуктов или услуг со стороны ФАО. 
Все запросы в отношении прав на перевод и адаптацию, а также в отношении перепродажи и других прав коммерческого использования должны направляться через: www.fao.org/contact-us/licence-запроса или по адресу: copyright@fao.org.</t>
  </si>
  <si>
    <t>Режим влажности</t>
  </si>
  <si>
    <t>Суммарные выбросы (тCO2-экв.)</t>
  </si>
  <si>
    <t>(т с.в. /га)</t>
  </si>
  <si>
    <t>(да/нет)</t>
  </si>
  <si>
    <t>Перестроенные в О/Л</t>
  </si>
  <si>
    <t>(т СО2/га/год)</t>
  </si>
  <si>
    <t>(т сухого вещества на га)</t>
  </si>
  <si>
    <t>Периодичность (год)</t>
  </si>
  <si>
    <t>Системы рисовых полей, остающиеся системами рисовых полей</t>
  </si>
  <si>
    <t>Пастбищные угодья после ИЗП без лесонасаждений</t>
  </si>
  <si>
    <t>(тСО2-экв)</t>
  </si>
  <si>
    <t>Поголовье (среднее в год)</t>
  </si>
  <si>
    <t>% освобожденного сухого вещества до сожжения</t>
  </si>
  <si>
    <t>которые будут снижены</t>
  </si>
  <si>
    <t>Общая деградация леса и управление лесным хозяйством</t>
  </si>
  <si>
    <t>5.2. Деградация органических почв (торфяников)</t>
  </si>
  <si>
    <t>5.2.1. Осушение органических почв (торфяников)</t>
  </si>
  <si>
    <t>затронутое осушением</t>
  </si>
  <si>
    <t>Коэффициент выброса (т С/га/год)</t>
  </si>
  <si>
    <t>тС/т известняка</t>
  </si>
  <si>
    <t>тСО2/т CaCO3</t>
  </si>
  <si>
    <t>тС/т мочевины</t>
  </si>
  <si>
    <t>Используемая единица измерения</t>
  </si>
  <si>
    <t>кгСО2/га</t>
  </si>
  <si>
    <t>Всего выбросов ПГ в тСО2экв.</t>
  </si>
  <si>
    <t>Доля выбросов ПГ в балансе</t>
  </si>
  <si>
    <t>Использование в оценке цепочки добавленной стоимости</t>
  </si>
  <si>
    <t xml:space="preserve">Доля баланса, приходящаяся на выбросы ПГ (плюс источник СО2) </t>
  </si>
  <si>
    <t>Лес/Насаждения</t>
  </si>
  <si>
    <t>Общая площадь, подвергавшаяся сожжению - га</t>
  </si>
  <si>
    <t>Общая интенсивность выброса</t>
  </si>
  <si>
    <t xml:space="preserve">тСО2экв. на т продукции </t>
  </si>
  <si>
    <t>Полные данные о выбросах в т СО2-экв. для различных фаз цепочки добавленной стоимости</t>
  </si>
  <si>
    <t>Выбросы (тСО2/т продукции)</t>
  </si>
  <si>
    <t>Поступление на т продукта</t>
  </si>
  <si>
    <t>Уровень ИСПОЛЬЗОВАНИЯ (укажите различные поступления или шаги, которые необходимы)</t>
  </si>
  <si>
    <t>Уровень ОТХОДОВ (укажите различные поступления или шаги, которые необходимы)</t>
  </si>
  <si>
    <t>Всего выбросов в т СО2-экв для различных фаз цепочки добавленной стоимости</t>
  </si>
  <si>
    <t>Всего исходный</t>
  </si>
  <si>
    <t>Всего конечный</t>
  </si>
  <si>
    <t>Выберите ПГП для расчета</t>
  </si>
  <si>
    <t>Помощник по вопросам климата: помогает определить категорию климата с помощью СГТ и СГУО</t>
  </si>
  <si>
    <t>СГТ</t>
  </si>
  <si>
    <t>СГУО</t>
  </si>
  <si>
    <t>Среднегодовой уровень осадков в мм</t>
  </si>
  <si>
    <t>Влажный, если СГУО&gt;ПЭТ и сухой, если ПЭТ&gt;СГУО</t>
  </si>
  <si>
    <t>СГТ и категория климата</t>
  </si>
  <si>
    <t>СГТ &gt; 18</t>
  </si>
  <si>
    <t>10 &gt; СГТ &gt; 18</t>
  </si>
  <si>
    <t>0 &gt; СГТ &gt; 10</t>
  </si>
  <si>
    <t>СГТ &lt; 0</t>
  </si>
  <si>
    <t>Стандартная СГТ</t>
  </si>
  <si>
    <t>Карты СГТ и СГУО</t>
  </si>
  <si>
    <t>Общий среднегодовой уровень осадков</t>
  </si>
  <si>
    <t>Для получения онлайн-данных о климате с использованием локализации также смотрите Web LocClim, локальный ежемесячный оценщик климата</t>
  </si>
  <si>
    <t>Почвы с ВАГ</t>
  </si>
  <si>
    <t>Почвы с НАГ</t>
  </si>
  <si>
    <t>Экспортируемая солома</t>
  </si>
  <si>
    <t>Вручную передвигаемая дождевальная система</t>
  </si>
  <si>
    <t>Дождевальная система барабанного типа</t>
  </si>
  <si>
    <t>Мобильная дождевальная система</t>
  </si>
  <si>
    <t>Последнее обновление ПГП100 (МГЭИК-2013)</t>
  </si>
  <si>
    <t>Меланезия</t>
  </si>
  <si>
    <t>Бобы, сушеные</t>
  </si>
  <si>
    <t>Мате</t>
  </si>
  <si>
    <t>Пальмовое масло</t>
  </si>
  <si>
    <t>إخلاء المسؤولية</t>
  </si>
  <si>
    <t>لا تتحمل منظمة الأغذية والزراعة  أي مسؤولية عن الأخطاء أو أوجه القصور الواردة ضمن قاعدة البيانات أو البرامج الخاصة بها أو ضمن المستندات المصاحبة لها وتحمل أي مسؤولية عن صيانة البرامج وتحديثها وأي خسائر قد تنشأ عنها. وترفض منظمة الأغذية والزراعة أيضا تحمل أي مسؤولية عن تحديث البيانات ولا تضطلع بأي مسؤولية عن أي إهمال وتقصير بالبيانات التي يتم توفيرها. ومع ذلك، يتم مطالبة المستخدمين بإبلاغ منظمة الأغذية والزراعة عن أي أخطاء أو أوجه قصور ضمن هذا المنتج.</t>
  </si>
  <si>
    <t xml:space="preserve"> اختيارات الحساب التي تم إدخالها على هذه الأداة خاصة بالمؤلف (المؤلفين) ولا تعكس بالضرورة آراء وخيارات منظمة الأغذية والزراعة للأمم المتحدة.</t>
  </si>
  <si>
    <t>منظمة الأغذية والزراعة (2013)  ©                                                                                                                                                                 تشجع منظمة الأغذية والزراعة على استخدام ونسخ ونشر المواد الواردة ضمن هذا المنتج. وما لم يتم النص على خلاف ذلك، يجوز نسخ وتنزيل وطباعة المواد لأغراض الدراسات الخاصة والبحوث والتعليم أو للاستخدام في المنتجات أو الخدمات غير التجارية، بشرط أن يتم إقرار فضل منظمة الأغذية والزراعة باعتبارها مصدر هذه المواد وصاحبة حقوق النشر وعدم تضمين موافقة المنظمة على آراء المستخدمين أو المنتجات أو الخدمات بأي حال من الأحوال.       ينبغي تقديم كافة الطلبات الخاصة بالترجمة وحقوق التكيف والمواءمة وإعادة البيع وحقوق الاستخدام التجاري الأخرى عبر الموقع الإلكتروني www.fao.org/contact-us/licence-request أو إرسالها من خلال البريد الإلكتروني copyright@fao.org.</t>
  </si>
  <si>
    <t>عربي</t>
  </si>
  <si>
    <t>اسم المشروع</t>
  </si>
  <si>
    <t>قارة</t>
  </si>
  <si>
    <t>مناخ</t>
  </si>
  <si>
    <t>نظام الرطوبة</t>
  </si>
  <si>
    <t>نوع التربة الإقليمية السائدة</t>
  </si>
  <si>
    <t>مدة سريان المشروع (بالسنوات)</t>
  </si>
  <si>
    <t>مرحلة التنفيذ</t>
  </si>
  <si>
    <t>مرحلة الرسملة والتمويل</t>
  </si>
  <si>
    <t>مدة المحاسبة</t>
  </si>
  <si>
    <t>مناخ  ؟</t>
  </si>
  <si>
    <t>تربة  ؟</t>
  </si>
  <si>
    <t>2-1 إزالة الغابات</t>
  </si>
  <si>
    <t>خريطة تصنيف المناطق الزراعية الإيكولوجية</t>
  </si>
  <si>
    <t>نوع الغطاء النباتي</t>
  </si>
  <si>
    <t>الذي سيتم إزالة غاباته</t>
  </si>
  <si>
    <t>نسبة الطول إلى الوزن</t>
  </si>
  <si>
    <t>فائدة الحرائق؟</t>
  </si>
  <si>
    <t>الاستخدام النهائي قبل إزالة الغابات</t>
  </si>
  <si>
    <t>منطقة تغطيها الغابات (هكتار)</t>
  </si>
  <si>
    <t>منطقة منزوعة الغابات (هكتار)</t>
  </si>
  <si>
    <t>إجمالي الانبعاثات (مكافئ إجمالي ثاني أكسيد الكربون)</t>
  </si>
  <si>
    <t>توازن</t>
  </si>
  <si>
    <t xml:space="preserve"> (tDM/هكتار)</t>
  </si>
  <si>
    <t>(نعم/لا)</t>
  </si>
  <si>
    <t>#منتجات خشبية محصودة</t>
  </si>
  <si>
    <t xml:space="preserve">* ملاحظة تتعلق بديناميكيات التغيير: "أ" تشير إلى مصطلح "افتراضي"، و"ف" إلى "فوري" و"إ" إلى استثنائي (يرحى الرجوع إلى المبادئ التوجيهية)  </t>
  </si>
  <si>
    <t>إجمالي إزالة الغابات</t>
  </si>
  <si>
    <t>بدء</t>
  </si>
  <si>
    <t>بدون</t>
  </si>
  <si>
    <t>بـ</t>
  </si>
  <si>
    <t xml:space="preserve">نطاق 1 = </t>
  </si>
  <si>
    <t xml:space="preserve">نطاق 2 = </t>
  </si>
  <si>
    <t xml:space="preserve">نطاق 3 = </t>
  </si>
  <si>
    <t>نطاق 4 =</t>
  </si>
  <si>
    <t>2-2 التحريج وإعادة التحريج</t>
  </si>
  <si>
    <t>الاستخدام السابق للأراضي</t>
  </si>
  <si>
    <t>المنطقة التي سوف يتم تحريجها/ إعادة تحريجها</t>
  </si>
  <si>
    <t>إجمالي مساحة التحريج/ إعادة التحريج</t>
  </si>
  <si>
    <t>2-3 التغيرات الأخرى في استخدام الأراضي</t>
  </si>
  <si>
    <t>استيفاء المواصفات الخاصة بك</t>
  </si>
  <si>
    <t>الاستخدام المبدئي للأراضي</t>
  </si>
  <si>
    <t>الاستخدام النهائي للأراضي</t>
  </si>
  <si>
    <t>رسالة</t>
  </si>
  <si>
    <t>مساحة متحولة (هكتار)</t>
  </si>
  <si>
    <t>إجمالي التغيرات الأخرى في استخدام الأراضي</t>
  </si>
  <si>
    <t>لقد ذكرت أنك تستخدم الأنواع التالية من الغطاء النباتي</t>
  </si>
  <si>
    <t>استخدم هذا الجزء إذا كنت تريد تعديل التحليل من خلال معاملات المستوى 2 فقط</t>
  </si>
  <si>
    <t xml:space="preserve">(يتم توفير القيم الافتراضية لمعلوماتك فقط، بينما سوف تستخدم أداة القياس المسبق لتوازن الكربون قيم المستوى 2 تلقائيا حيثما يتم تحديد ذلك) </t>
  </si>
  <si>
    <t>جميع القيم تكون بـطن كربون لكل هكتار (طن كربون/هكتار)</t>
  </si>
  <si>
    <t>فوق سطح الأرض</t>
  </si>
  <si>
    <t>تحت سطح الأرض</t>
  </si>
  <si>
    <t>دبال</t>
  </si>
  <si>
    <t>حطب ميت</t>
  </si>
  <si>
    <t>كربون الأرض</t>
  </si>
  <si>
    <t>افتراضي</t>
  </si>
  <si>
    <t>مستوى 2</t>
  </si>
  <si>
    <t>الذي سوف تتم زراعته</t>
  </si>
  <si>
    <t>معدلات نمو الأنظمة التي تصل أعمارها إلى 20 عاما</t>
  </si>
  <si>
    <t>معدل نمو الأنظمة التي تتجاوز أعمارها 20 عاما</t>
  </si>
  <si>
    <t xml:space="preserve"> 3-1 الأنظمة السنوية (يتم استخدامها أيضا في الأنظمة متعددة السنوات مثل القطن وقصب السكر)</t>
  </si>
  <si>
    <t xml:space="preserve">3-1-1 الأنظمة السنوية من الناجمة عن استخدام الأراضي الأخرى أو المحولة إلى استخدام أراضي أخرى (يرجى استيفاءالخطوة 2 من تغيرات استخدام الأراضي أعلاه) </t>
  </si>
  <si>
    <t>غلة؟</t>
  </si>
  <si>
    <t>وصف</t>
  </si>
  <si>
    <t>ممارسات زراعية محسنة</t>
  </si>
  <si>
    <t>إدارة المغذيات</t>
  </si>
  <si>
    <t>إدارة المياه</t>
  </si>
  <si>
    <t>وضع السماد</t>
  </si>
  <si>
    <t>تعريفات؟</t>
  </si>
  <si>
    <t>مساحة (هكتار)</t>
  </si>
  <si>
    <t>احتراق المخلفات أو الكتلة الإحيائية</t>
  </si>
  <si>
    <t>سنويا بعد إزالة الغابات</t>
  </si>
  <si>
    <t>تم تحويله إلى A/R</t>
  </si>
  <si>
    <t>سنويا بعد استخدام الأراضي في الأغراض غير الحرجية</t>
  </si>
  <si>
    <t>تم تحويله إلى تغيرات استخدام الأراضي الأخرى</t>
  </si>
  <si>
    <t>3-1-2 تظل الأنظمة السنوية أنظمة سنوية (لابد أن تظل إجمالي المساحة ثابتة)</t>
  </si>
  <si>
    <t>الإجمالي (هكتار)</t>
  </si>
  <si>
    <t>إجمالي الأنظمة السنوية</t>
  </si>
  <si>
    <t>3-2 أنظمة المحاصيل المعمرة (الحراجة الزراعية، البساتين، المحاصيل البستانية...)</t>
  </si>
  <si>
    <t>3-2-1 أنظمة المحاصيل المعمرة الناجمة عن تغيرات استخدام الأراضي الأخرى أو المتحولة إلى تغيرات استخدام الأراضي الأخرى (يرجى استيفاء الخطوة 2 من تغيرات استخدام الأراضي أعلاه)</t>
  </si>
  <si>
    <t>المحاصيل المعمرة بعد إزالة الغابات</t>
  </si>
  <si>
    <t>تم تحويلها إلى A/R</t>
  </si>
  <si>
    <t>المحاصيل المعمرة بعد استخدام الأراضي في الأغراض غير الحرجية</t>
  </si>
  <si>
    <t>تم تحويلها إلى تغيرات استخدام الأراضي الأخرى</t>
  </si>
  <si>
    <t>إجمالي نظام المحاصيل المعمرة</t>
  </si>
  <si>
    <t>3-2-2 تظل أنظمة المحاصيل المعمرة أنظمة محاصيل معمرة (لابد أن يظل إجمالي المساحة ثابتا)</t>
  </si>
  <si>
    <t>3-3 أنظمة الأرز المغمور</t>
  </si>
  <si>
    <t>3-3-1 أنظمة الأرز المغمور الناجمة عن تغيرات استخدام الأراضي الأخرى أو المتحولة إلى تغيرات استخدام الأراضي الأخرى (يرجى استيفاء الخطوة 2 من تغيرات استخدام الأراضي أعلاه)</t>
  </si>
  <si>
    <t>فترة الزراعة (أيام)</t>
  </si>
  <si>
    <t>نظام المياه</t>
  </si>
  <si>
    <t>خلال فترة الزراعة</t>
  </si>
  <si>
    <t>قبل فترة الزراعة</t>
  </si>
  <si>
    <t>نمط التعديل العضوي (قش أو خلافه)</t>
  </si>
  <si>
    <t>3-3-2 تظل أنظمة الأرز المغمور أنظمة أرز مغمور (لابد أن تظل المساحة الإجمالية ثابتة)</t>
  </si>
  <si>
    <t>إجمالي أنظمة الأرز المغمور</t>
  </si>
  <si>
    <t>الأرز بعد إزالة الغابات</t>
  </si>
  <si>
    <t>الأرز بعد استخدام الأراضي في الأغراض غير الحرجية</t>
  </si>
  <si>
    <t>أنظمة</t>
  </si>
  <si>
    <t>معدلات تنحية الكربون في التربة</t>
  </si>
  <si>
    <t>(t ثاني أكسيد الكربون/هكتار/سنة)</t>
  </si>
  <si>
    <t>(t مادة جافة لكل هكتار)</t>
  </si>
  <si>
    <t>أنظمة سنوية من (أو إلى) تغيرات استخدام الأراضي الأخرى</t>
  </si>
  <si>
    <t>تظل الأنظمة السنوية أنظمة سنوية</t>
  </si>
  <si>
    <t>معدل النمو  (t C/هكتار/سنة)</t>
  </si>
  <si>
    <t>احتراق (كمية المخلفات ومعدل التواتر)</t>
  </si>
  <si>
    <t>معدل التواتر (سنويا)</t>
  </si>
  <si>
    <t>أنظمة المحاصيل المعمرة من (أو إلى) تغيرات استخدام الأراضي الأخرى</t>
  </si>
  <si>
    <t>تظل أنظمة المحاصيل المعمرة أنظمة محاصيل معمرة</t>
  </si>
  <si>
    <t>كمية القش المحترق</t>
  </si>
  <si>
    <t>أنظمة الأرز من (أو إلى) تغيرات استخدام الأراضي الأخرى</t>
  </si>
  <si>
    <t>تظل أنظمة الأرز أنظمة أرز</t>
  </si>
  <si>
    <t>نظام المياه قبل زراعة الأرز (عرض تخطيطي يوضح فترات الغمر مظللة)</t>
  </si>
  <si>
    <t>موسم ما قبل زراعة المحصول غير مغمور &gt; 180 يوم</t>
  </si>
  <si>
    <t>موسم ما قبل زراعة المحصول غير مغمور &lt; 180 يوم</t>
  </si>
  <si>
    <t>موسم ما قبل زراعة المحصول مغمور (&lt;30 يوم)</t>
  </si>
  <si>
    <t>خيارات الإدارة</t>
  </si>
  <si>
    <t>(t/هكتار/سنة)</t>
  </si>
  <si>
    <t>تعريفات خيارات إدارة الأراضي</t>
  </si>
  <si>
    <t>استخدام أنواع محسنة، تمديد دورة المحاصيل، زيادة مخلفات المحاصيل.</t>
  </si>
  <si>
    <t>تحسين فعالية استخدام N وخفض خسائر N: منح جرعات دقيقة، نسبة تطبيق معدلة، توقيت وموقع...</t>
  </si>
  <si>
    <t>تبني أسلوب حرث مخفف أو الحد الأدنى من الحرث أو بدون حرث على الإطلاق، باستخدام التسميد أو بدونه، بما في ذلك الزراعة التي تراعي حفظ الموارد.</t>
  </si>
  <si>
    <t>مقياس الري الفعال</t>
  </si>
  <si>
    <t>وضع السماد أو المواد الصلبة الحيوية في الحقل باعتبارها مدخلات</t>
  </si>
  <si>
    <t>4-1 أنظمة المراعي</t>
  </si>
  <si>
    <t>4-1-1 أنظمة المراعي من تغيرات استخدام الأراضي الأخرى أو المتحولة من تغيرات استخدام الأراضي الأخرى (يرجى استيفاء الخطوة 2 من تغيرات استخدام الأراضي أعلاه)</t>
  </si>
  <si>
    <t>4-1-2 تظل أنظمة المراعي أنظمة مراعي (يجب أن تظل المساحة الإجمالية ثابتة)</t>
  </si>
  <si>
    <t>حالة أولية</t>
  </si>
  <si>
    <t>فائدة الحرائق في الإدارة</t>
  </si>
  <si>
    <t>إجمالي الانبعاثات</t>
  </si>
  <si>
    <t>(سنة)</t>
  </si>
  <si>
    <t xml:space="preserve">معدل التواتر </t>
  </si>
  <si>
    <t>بدون المشروع</t>
  </si>
  <si>
    <t>من خلال المشروع</t>
  </si>
  <si>
    <t>المراعي بعد إزالة الغابات</t>
  </si>
  <si>
    <t>المراعي بعد استخدام الأراضي في الأغراض غير الحرجية</t>
  </si>
  <si>
    <t>الحالة النهائية للمراعي</t>
  </si>
  <si>
    <t>مكافئ إجمالي ثاني أكسيد الكربون</t>
  </si>
  <si>
    <t>إجمالي أنظمة المراعي</t>
  </si>
  <si>
    <t>4-2 الثروة الحيوانية (وإدارة الأسمدة)</t>
  </si>
  <si>
    <t>فئات الثروة الحيوانية</t>
  </si>
  <si>
    <t>عدد الرؤوس (في المتوسط سنويا)</t>
  </si>
  <si>
    <t>خيار التخفيف التقني (%)</t>
  </si>
  <si>
    <t>الإنتاج (لحوم، ألبان، إلخ)</t>
  </si>
  <si>
    <t>ممارسات تغذوية*</t>
  </si>
  <si>
    <t>عوامل محددة*</t>
  </si>
  <si>
    <t>تربية*</t>
  </si>
  <si>
    <t>أطنان من المنتج سنويا</t>
  </si>
  <si>
    <t>ماشية حلوب</t>
  </si>
  <si>
    <t>ماشية أخرى</t>
  </si>
  <si>
    <t>جاموس</t>
  </si>
  <si>
    <t>أغنام</t>
  </si>
  <si>
    <t>خنازير (سوق)</t>
  </si>
  <si>
    <t>خنازير (تربية)</t>
  </si>
  <si>
    <t>ممارسات تغذوية: على سبيل المثال، المزيد من المركزات، إضافة زيوت أو بذور زيتية إلى الوجبة الغذائية، تحسين جودة المرعى</t>
  </si>
  <si>
    <t>عوامل محددة: عوامل محددة ومواد غذائية مضافة لخفض انبعاثات غاز الميثان (أيونوفورات، لقاحات، هورمون النمو البقري المؤتلف...)</t>
  </si>
  <si>
    <t>تربية: زيادة الإنتاجية من خلال التربية وتحسين ممارسات الإدارة (الحد من عدد إناث الاستبدال)</t>
  </si>
  <si>
    <t>إجمالي الثروة الحيوانية</t>
  </si>
  <si>
    <t>أرصدة الكربون المناظرة في التربة</t>
  </si>
  <si>
    <t>غير متدهور</t>
  </si>
  <si>
    <t>شديد التدهور</t>
  </si>
  <si>
    <t>متوسط التدهور</t>
  </si>
  <si>
    <t>محسن بدون إدارة المدخلات</t>
  </si>
  <si>
    <t>محسن من خلال إدارة المدخلات</t>
  </si>
  <si>
    <t>احتراق</t>
  </si>
  <si>
    <t>(طن كربون/هكتار)</t>
  </si>
  <si>
    <t>النسبة المئوية للمادة الجافة المنبعثة قبل الاحتراق</t>
  </si>
  <si>
    <t>متوسط درجة الحرارة السنوية بالإقليم (درجة مئوية)</t>
  </si>
  <si>
    <t>(تؤثر درجة الحرارة على الانبعاثات الناجمة عن إدارة السماد)</t>
  </si>
  <si>
    <t>"نوع" الإقليم</t>
  </si>
  <si>
    <t>(يرجى الاختيار إن أمكن)</t>
  </si>
  <si>
    <t>عوامل انبعاث أكسيد النيتروز من السماد</t>
  </si>
  <si>
    <t>(كج N-أكسيد النيتروز/كج N)</t>
  </si>
  <si>
    <t>مراعي، مروج، حقول</t>
  </si>
  <si>
    <t>أخرى</t>
  </si>
  <si>
    <t>تخمر معوي</t>
  </si>
  <si>
    <t>(كج من غاز الميثان للرأس الواحدة/سنة)</t>
  </si>
  <si>
    <t>النسبة المئوية المقابلة لأنظمة المراعي والمروج والحقول</t>
  </si>
  <si>
    <t>غاز الميثان الصادر عن إدارة السماد</t>
  </si>
  <si>
    <t>5-1 تدهور الغابات وإدارتها</t>
  </si>
  <si>
    <t>مستوى تدهور الغطاء النباتي</t>
  </si>
  <si>
    <t>في النهاية</t>
  </si>
  <si>
    <t>الذي سوف يتدهور</t>
  </si>
  <si>
    <t>وقوع الحرائق وحدتها</t>
  </si>
  <si>
    <t>التدهور الكلي للغابات وإدارتها</t>
  </si>
  <si>
    <t>(النسبة المئوية للاحتراق)</t>
  </si>
  <si>
    <t>معدل التواتر</t>
  </si>
  <si>
    <t>التأثير</t>
  </si>
  <si>
    <t>5-2 تدهور التربة العضوية (مستنقعات)</t>
  </si>
  <si>
    <t>5-2-1 صرف التربة العضوية (مستنقعات)</t>
  </si>
  <si>
    <t>معنية بالصرف</t>
  </si>
  <si>
    <t>أسطح التربة العضوية التي يتم صرفها (هكتار)</t>
  </si>
  <si>
    <t>غابة خاضعة للإدارة</t>
  </si>
  <si>
    <t>سنوي</t>
  </si>
  <si>
    <t>محاصيل معمرة</t>
  </si>
  <si>
    <t>مراعي</t>
  </si>
  <si>
    <t>إجمالي الصرف</t>
  </si>
  <si>
    <t>5-2-2 استخراج الترسبات النشطة</t>
  </si>
  <si>
    <t>نوع الترسبات</t>
  </si>
  <si>
    <t>ترسبات تفتقر إلى العناصر الغذائية</t>
  </si>
  <si>
    <t>غني بالعناصر الغذائية</t>
  </si>
  <si>
    <t>إجمالي الترسبات</t>
  </si>
  <si>
    <t>مستوى التدهور (النسبة المئوية فقدان الكتلة الإحيائية)</t>
  </si>
  <si>
    <t>الانبعاثات الناجمة عن فقدان الكربون نتيجة صرف التربة العضوية</t>
  </si>
  <si>
    <t>عامل الانبعاثات (طن كربون/هكتار/سنة)</t>
  </si>
  <si>
    <t>الانبعاثات الناجمة عن استخراج الترسبات النشطة بالموقع</t>
  </si>
  <si>
    <t>عامل انبعاث غاز ثاني أكسيد الكربون (طن كربون/هكتار/سنة)</t>
  </si>
  <si>
    <t>عامل انبعاث غاز أكسيد النيتروز (كج N2I-N/هكتار/سنة)</t>
  </si>
  <si>
    <t>6-1 (إضافة الجير، الأسمدة، مبيدات الآفات، مبيدات الأعشاب، ...)</t>
  </si>
  <si>
    <t>وصف ووحدة الإبلاغ</t>
  </si>
  <si>
    <t>الكمية المضافة سنويا</t>
  </si>
  <si>
    <t>إجمالي الانبعاثات على مستوى الحقل (مكافئ إجمالي ثاني أكسيد الكربون)</t>
  </si>
  <si>
    <t>الانبعاثات الناجمة عن الإنتاج والنقل والتخزين والانتقال (مكافئ إجمالي ثاني أكسيد الكربون)</t>
  </si>
  <si>
    <t>إضافة الجير</t>
  </si>
  <si>
    <t>حجر جيري (طن سنويا)</t>
  </si>
  <si>
    <t>دولوميت (طن سنويا)</t>
  </si>
  <si>
    <t>غير محدد (طن سنويا)</t>
  </si>
  <si>
    <t>أسمدة</t>
  </si>
  <si>
    <t>يوريا (طن من N سنويا - تحتوي اليوريا على 46.7% من N)</t>
  </si>
  <si>
    <t>أسمدة N الأخرى (طن N سنويا)</t>
  </si>
  <si>
    <t>سماد N في الأرز المروي (طن N سنويا)</t>
  </si>
  <si>
    <t>مياه الصرف (طن N سنويا)</t>
  </si>
  <si>
    <t>سماد خليط (طن N سنويا)</t>
  </si>
  <si>
    <t>فسفور (طن P2O5 سنويا)</t>
  </si>
  <si>
    <t>بوتاسيوم (طن K2O سنويا)</t>
  </si>
  <si>
    <t>مبيدات آفات</t>
  </si>
  <si>
    <t>مبيدات أعشاب (طن من المكون الفعال سنويا)</t>
  </si>
  <si>
    <t>مبيدات الحشرات (طن من المكون الفعال سنويا)</t>
  </si>
  <si>
    <t>مبيدات الفطريات (طن من المكون الفعال سنويا)</t>
  </si>
  <si>
    <t>الإجمالي من المدخلات</t>
  </si>
  <si>
    <t>انبعاثات غاز ثاني أكسيد الكربون</t>
  </si>
  <si>
    <t>انبعاثات غاز أكسيد النيتروز</t>
  </si>
  <si>
    <t>6-2 استهلاك الطاقة (كهرباء، وقود،...)</t>
  </si>
  <si>
    <t>الكمية المستهلكة سنويا</t>
  </si>
  <si>
    <t>الكهرباء (ميجاوات ساعة سنويا)</t>
  </si>
  <si>
    <t>(يرجى الاختيار من القائمة باللغة الإنجليزية)</t>
  </si>
  <si>
    <t>سائل أو غازي (بالمتر المكعب سنويا)</t>
  </si>
  <si>
    <t>زيت الغاز (سولار)/ ديزل</t>
  </si>
  <si>
    <t>بنزين</t>
  </si>
  <si>
    <t>غاز (غاز نفطي مسيب/ طبيعي)</t>
  </si>
  <si>
    <t>بوتان</t>
  </si>
  <si>
    <t>بروبان</t>
  </si>
  <si>
    <t>إيثانول</t>
  </si>
  <si>
    <t>يحددها المستخدم (المستوى 2):</t>
  </si>
  <si>
    <t>مواد صلبة (طن من المادة الجافة سنويا)</t>
  </si>
  <si>
    <t>أخشاب</t>
  </si>
  <si>
    <t>خث</t>
  </si>
  <si>
    <t>الإجمالي من الطاقة</t>
  </si>
  <si>
    <t>6-3 تشييد بنية أساسية جديدة (أنظمة الري، المباني، الطرق)</t>
  </si>
  <si>
    <t>أسطح</t>
  </si>
  <si>
    <t>أنظمة الري (بالهكتار)</t>
  </si>
  <si>
    <t>المباني والطرق (بالمتر المربع)</t>
  </si>
  <si>
    <t>نظام رجوع صرف الري = IRSS*</t>
  </si>
  <si>
    <t>الإجمالي من التشييد</t>
  </si>
  <si>
    <t>عوامل الانبعاث</t>
  </si>
  <si>
    <t>الانبعاثات عند مستوى الحقل</t>
  </si>
  <si>
    <t>الانبعاثات الناجمة عن الإنتاج والنقل والتخزين والانتقال</t>
  </si>
  <si>
    <t>وحدة</t>
  </si>
  <si>
    <t>طن ثاني أكسيد الكربون/طن جير</t>
  </si>
  <si>
    <t xml:space="preserve">طن ثاني أكسيد الكربون/طن  كربونات الكالسيوم  </t>
  </si>
  <si>
    <t>طن ثاني أكسيد الكربو/طن يوريا</t>
  </si>
  <si>
    <t xml:space="preserve">كج N-N2O/كج N </t>
  </si>
  <si>
    <t>طن ثاني أكسيد الكربون/t N</t>
  </si>
  <si>
    <t>طن ثاني أكسيد الكربون /طن P2O5</t>
  </si>
  <si>
    <t>طن ثاني أكسيد الكربون /طنK2O</t>
  </si>
  <si>
    <t>طن ثاني أكسيد الكربون/طن مكون نشط</t>
  </si>
  <si>
    <t>يتم حساب إزالة ثاني أكسيد الكربون من الغلاف الجوي أثناء تصنيع اليوريا في قطاع العمليات الصناعية واستخدام المنتجات حسب الدولة التي يتم إنتاج اليوريا بها.</t>
  </si>
  <si>
    <t>حساب  بالوعة تصنيع؟</t>
  </si>
  <si>
    <t>يوريا</t>
  </si>
  <si>
    <t>عامل الانبعاث للدولة المختارة</t>
  </si>
  <si>
    <t>خسائر الكهرباء أثناء النقل</t>
  </si>
  <si>
    <t>نسبة مئوية</t>
  </si>
  <si>
    <t xml:space="preserve"> طن ثاني أكسيد الكربون/ متر مكعب</t>
  </si>
  <si>
    <t>يرجى تدوين الاسم بدقة</t>
  </si>
  <si>
    <t>وحدة مستخدمة</t>
  </si>
  <si>
    <t>طن ثاني أكسيد الكربون/ طن مادة جافة</t>
  </si>
  <si>
    <t>أنظمة الري</t>
  </si>
  <si>
    <t>المباني والطرق</t>
  </si>
  <si>
    <t>كج ثاني أكسيد الكربون/ هكتار</t>
  </si>
  <si>
    <t xml:space="preserve"> طن ثاني أكسيد الكربون/ متر مربع </t>
  </si>
  <si>
    <t>المساحة الإجمالية (هكتار)</t>
  </si>
  <si>
    <t>مكونات المشروع</t>
  </si>
  <si>
    <t>إجمالي التدفقات</t>
  </si>
  <si>
    <t>كل انبعاثات غاز الاحتباس الحراري طن من مكافئ  ثاني أكسيد الكربون</t>
  </si>
  <si>
    <t>إيجابي = مصدر / سلبي = حوض</t>
  </si>
  <si>
    <t>حصة كل من غازات الاحتباس الحراري من التوازن</t>
  </si>
  <si>
    <t>كتلة حيوية</t>
  </si>
  <si>
    <t>تربة</t>
  </si>
  <si>
    <t>النتيجة سنويا</t>
  </si>
  <si>
    <t>تغيرات استخدام الأراضي</t>
  </si>
  <si>
    <t>إزالة الغابات</t>
  </si>
  <si>
    <t>تحريج</t>
  </si>
  <si>
    <t>زراعة</t>
  </si>
  <si>
    <t>أرز</t>
  </si>
  <si>
    <t>مراعي وثروة حيوانية</t>
  </si>
  <si>
    <t>ثروة حيوانية</t>
  </si>
  <si>
    <t>تدهور وإدارة</t>
  </si>
  <si>
    <t>مدخلات واستثمارات</t>
  </si>
  <si>
    <t>إجمالي</t>
  </si>
  <si>
    <t>لكل هكتار</t>
  </si>
  <si>
    <t>لكل هكتار سنويا</t>
  </si>
  <si>
    <t>الكتلة الحيوية لثاني أكسيد الكربون</t>
  </si>
  <si>
    <t>ثاني أكسيد الكربون- تربة</t>
  </si>
  <si>
    <t>ثاني أكسيد الكربون - أخرى</t>
  </si>
  <si>
    <t>استخدام في تقييم سلسلة القيمة البسيطة</t>
  </si>
  <si>
    <t>تدفقات لكل مكون</t>
  </si>
  <si>
    <t>توازن لكل مكون</t>
  </si>
  <si>
    <t>الإجمالي بالمشروع والتوازن وبدونهما</t>
  </si>
  <si>
    <t>حصة التوازن لكل من غازات الاحتباس الحراري (بالإضافة إلى الأصل لثاني أكسيد الكربون)</t>
  </si>
  <si>
    <t>تطورات الأسطح حسب استخدام الأراضي / فئة (هكتار)</t>
  </si>
  <si>
    <t>غابة/ مزرعة</t>
  </si>
  <si>
    <t>أراضي أخرى</t>
  </si>
  <si>
    <t>متدهور</t>
  </si>
  <si>
    <t>أراضي رطبة</t>
  </si>
  <si>
    <t>مستوى عدم التيقن</t>
  </si>
  <si>
    <t>صافي الرصيد</t>
  </si>
  <si>
    <t>إجمالي عدم التيقن</t>
  </si>
  <si>
    <t>النسبة المئوية لعدم التيقن</t>
  </si>
  <si>
    <t>مصفوفات تقصيلية للتغيرات</t>
  </si>
  <si>
    <t>لابد أن تكون المساحة الإجمالية متساوية في كافة الحالات: يرجى فحص جميع المكونات بعناية</t>
  </si>
  <si>
    <t>مؤشرات أخرى</t>
  </si>
  <si>
    <t>المساحة المروية - هكتار</t>
  </si>
  <si>
    <t>أرز مروي</t>
  </si>
  <si>
    <t>محاصيل سنوية</t>
  </si>
  <si>
    <t>مساحات تراكمية محترقة - هكتار</t>
  </si>
  <si>
    <t>من إزالة الغابات</t>
  </si>
  <si>
    <t>من التدهور</t>
  </si>
  <si>
    <t>عودة إلى النتائج الرئيسية</t>
  </si>
  <si>
    <t>إنتاج</t>
  </si>
  <si>
    <t>طن من المنتج</t>
  </si>
  <si>
    <t>إجمالي كثافة الانبعاثات</t>
  </si>
  <si>
    <t>طن من مكافئ ثاني أكسيد الكربون لكل طن من المنتج</t>
  </si>
  <si>
    <t>النسبة المئوية للاستخدام البشري</t>
  </si>
  <si>
    <t>الكمية المقابلة المستخدمة</t>
  </si>
  <si>
    <t>جميع تغيرات استخدام الأراضي</t>
  </si>
  <si>
    <t>الانبعاثات التفصيلية  طن من مكافئ ثاني أكسيد الكربون للمراحل المختلفة من سلسلة القيمة</t>
  </si>
  <si>
    <t>انبعاثات (طن ثاني أكسيد الكربون/ طن منتج)</t>
  </si>
  <si>
    <t>مستوى الإنتاج (يتم حساب الانبعاثات المقابلة كنسبة مئوية من إجمالي الكمية المستخدمة)</t>
  </si>
  <si>
    <t>الانبعاثات المباشرة وغير المباشرة (تغيرات استخدام الأراضي، التدهور، المدخلات والاستثمارات)</t>
  </si>
  <si>
    <t>معدل المعالجة (إدراج المدخلات أو العمليات الضرورية)</t>
  </si>
  <si>
    <t>اسم المدخل/ العملية</t>
  </si>
  <si>
    <t>الانبعاث لكل مدخل</t>
  </si>
  <si>
    <t>مدخل لكل كن من المنتج</t>
  </si>
  <si>
    <t>إجمالي المعالجة</t>
  </si>
  <si>
    <t>معدل النقل (إدراج المدخلات أو العمليات المختلفة اللازمة)</t>
  </si>
  <si>
    <t>إجمالي النقل</t>
  </si>
  <si>
    <t>إدراج الاسم أدناه</t>
  </si>
  <si>
    <t xml:space="preserve">معدل الاستخدام (إدراج المدخلات أو الخطوات المختلفة اللازمة) </t>
  </si>
  <si>
    <t>إجمالي الاستخدام</t>
  </si>
  <si>
    <t>معدل النفايات (إدراج المدخلات أو الخطوات المختلفة اللازمة)</t>
  </si>
  <si>
    <t>إجمالي النفايات</t>
  </si>
  <si>
    <t>إجمالي الانبعاثات طن من مكافئ ثاني أكسيد الكربون لمختلف مراحل سلسلة القيمة</t>
  </si>
  <si>
    <t>الإنتاج</t>
  </si>
  <si>
    <t>المعالجة</t>
  </si>
  <si>
    <t>النقل</t>
  </si>
  <si>
    <t>الاستخدام</t>
  </si>
  <si>
    <t>النفايات</t>
  </si>
  <si>
    <t>مصفوفة التغيرات</t>
  </si>
  <si>
    <t>تربة معدنية (هكتار)</t>
  </si>
  <si>
    <t>تربة عضوية (هكتار)</t>
  </si>
  <si>
    <t>مبدئي</t>
  </si>
  <si>
    <t>نهائي</t>
  </si>
  <si>
    <t>إجمالي مبدئي</t>
  </si>
  <si>
    <t>إجمالي نهائي</t>
  </si>
  <si>
    <t>اختيار  إمكانية الاحترار العالمي للحساب</t>
  </si>
  <si>
    <t>تصنيفات التربة</t>
  </si>
  <si>
    <t>المكتب الدولي لبحوث الطيور السابحة والمناطق الرطبة- 2006</t>
  </si>
  <si>
    <t>الفريق الحكومي الدولي المعني بتغير المناخ</t>
  </si>
  <si>
    <t>مساعد المناخ: يساعد على تحديد فئة المناخ باستخدام متوسط درجة الحرارة السنوية MAT ومتوسط الأمطار السنوية MAP</t>
  </si>
  <si>
    <t>متوسط درجة الحرارة السنوية بالدرجة المئوية</t>
  </si>
  <si>
    <t>متوسط الأمطار السنوية بالمليمتر</t>
  </si>
  <si>
    <t>رطب إذا كان متوسط الأمطار السنوية &gt; البخر والنتح المحتمل وجاف إذا كان البخر والنتح المحتمل &gt; متوسط الأمطار السنوية</t>
  </si>
  <si>
    <t>PET = البخر والنتح المحتمل</t>
  </si>
  <si>
    <t>متوسط درجة الحرارة السنوية وفئة المناخ</t>
  </si>
  <si>
    <t>متوسط درجة الحرارة السنوية &gt; 18</t>
  </si>
  <si>
    <t>10 &gt; متوسط درجة الحرارة السنوية &gt; 18</t>
  </si>
  <si>
    <t>0 &gt; متوسط درجة الحرارة السنوية &gt; 10</t>
  </si>
  <si>
    <t>متوسط درجة الحرارة السنوية &lt; 0</t>
  </si>
  <si>
    <t>ملاحظة: مونتين المدارية عادة ما تكون جافة</t>
  </si>
  <si>
    <t>المناطق المناخية للفريق الحكومي الدولي المعني بتغير المناخ</t>
  </si>
  <si>
    <t>لا يوجد بيانات</t>
  </si>
  <si>
    <t>المتوسط الافتراضي لدرجة الحرارة السنوية</t>
  </si>
  <si>
    <t>المناطق المناخية المبسطة للفريق الحكومي الدولي المعني بتغير المناخ</t>
  </si>
  <si>
    <t>بارد</t>
  </si>
  <si>
    <t>دافئ</t>
  </si>
  <si>
    <t>شمالي</t>
  </si>
  <si>
    <t>(أو قطبي)</t>
  </si>
  <si>
    <t>موارد منظمة الأغذية والزراعة</t>
  </si>
  <si>
    <t>خرائط متوسط درجة الحرارة السنوية ومتوسط الأمطار السنوية</t>
  </si>
  <si>
    <t>انظر خريطة المناخ العالمي بمنظمة الأغذية والزراعة</t>
  </si>
  <si>
    <t>المتوسط السنوي الإجمالي لسقوط الأمطار</t>
  </si>
  <si>
    <t>متوسط درجة الحرارة السنوية</t>
  </si>
  <si>
    <t>المناخ المحلي</t>
  </si>
  <si>
    <t>الموقع الإلكتروني للمناخ المحلي</t>
  </si>
  <si>
    <t>تم تطوير الموقع الإلكتروني للمناخ المحلي لتوفير تقديرات حول الظروف المناخية في المواقع التي لا يتوفر عنها أي بيانات. ولتحقيق ذلك، يستخدم البرنامج الـ28800 محطة التابعة لقاعدة البيانات المناخية الزراعية لمنظمة الأغذية والزراعة 2.0</t>
  </si>
  <si>
    <t>انقر هنا للانتقال إلى التطبيق</t>
  </si>
  <si>
    <t>للحصول على بيانات مناخية عبر شبكة الإنترنت باستخدام الأقلمة، انظر أيضا الموقع الإلكتروني للمناخ المحلي، وهو المقدر الشهري المحلي للمناخ</t>
  </si>
  <si>
    <t>اذهب إلى الموقع الإلكتروني للمناخ المحلي</t>
  </si>
  <si>
    <t>المناطق الإيكولوجية العالمية</t>
  </si>
  <si>
    <t>المناطق الإيكولوجية العالمية، استنادا إلى المناخ الخاضع للرصد وأنماط الغطاء النباتي (منظمة الأغذية والزراعة، 2001). البيانات الخاصة بنظم المعلومات الجغرافية المتاحة على العنوان الإلكتروني http://www.fao.org</t>
  </si>
  <si>
    <t>صحراء مدارية</t>
  </si>
  <si>
    <t>صحراء شبه مدارية</t>
  </si>
  <si>
    <t>سهب معتدل</t>
  </si>
  <si>
    <t>صحراء معتدلة</t>
  </si>
  <si>
    <t>قطبي</t>
  </si>
  <si>
    <t>غلة</t>
  </si>
  <si>
    <t>إقليم</t>
  </si>
  <si>
    <t>بند</t>
  </si>
  <si>
    <t>(انظر الخريطة أدناه)</t>
  </si>
  <si>
    <t>سنة</t>
  </si>
  <si>
    <t>غلة (طن/ هكتار)</t>
  </si>
  <si>
    <t>فترات</t>
  </si>
  <si>
    <t>متوسط</t>
  </si>
  <si>
    <t>معدل (%)</t>
  </si>
  <si>
    <t>توقعات</t>
  </si>
  <si>
    <t>هذه البيانات صادرة عن قاعدة البيانات الإحصائية الموضوعية في منظمة الأغذية والزراعة (فاوستات)، إذا كنت بحاجة إلى المزيد من المعلومات التفصيلية (على سبيل المثال، حسب الدولة)، يرجى الذهاب إلى موقع منظمة الأغذية والزراعة</t>
  </si>
  <si>
    <t>يرجى اختيار</t>
  </si>
  <si>
    <t>أفريقيا</t>
  </si>
  <si>
    <t>آسيا (قارية)</t>
  </si>
  <si>
    <t>آسيا (شبه القارة الهندية)</t>
  </si>
  <si>
    <t>آسيا (جزري)</t>
  </si>
  <si>
    <t>الشرق الأوسط</t>
  </si>
  <si>
    <t>غرب أوروبا</t>
  </si>
  <si>
    <t>شرق أوروبا</t>
  </si>
  <si>
    <t>أوقيانوسيا</t>
  </si>
  <si>
    <t>أمريكا الشمالية</t>
  </si>
  <si>
    <t>أمريكا الوسطى</t>
  </si>
  <si>
    <t>أمريكا الجنوبية</t>
  </si>
  <si>
    <t>معتدل بارد</t>
  </si>
  <si>
    <t>معتدل دافئ</t>
  </si>
  <si>
    <t>مداري</t>
  </si>
  <si>
    <t>مونتين مداري</t>
  </si>
  <si>
    <t>جاف</t>
  </si>
  <si>
    <t>رطب</t>
  </si>
  <si>
    <t>مبلل</t>
  </si>
  <si>
    <t>تربة HAC</t>
  </si>
  <si>
    <t>تربة LAC</t>
  </si>
  <si>
    <t>تربة رملية</t>
  </si>
  <si>
    <t>تربة يترسب بها مادة عضوية وأكاسيد سداسية</t>
  </si>
  <si>
    <t>تربة بركانية</t>
  </si>
  <si>
    <t>تربة مستنقعات</t>
  </si>
  <si>
    <t>أنواع أخرى من التربة</t>
  </si>
  <si>
    <t>يرجى تحديد المناخ</t>
  </si>
  <si>
    <t>غابة مدارية مطيرة</t>
  </si>
  <si>
    <t>غابة مدارية ملحاء رطبة</t>
  </si>
  <si>
    <t>غابة مدارية جافة</t>
  </si>
  <si>
    <t>أرض مدارية مليئة بالجنبات</t>
  </si>
  <si>
    <t>غابة رطبة شبه مدارية</t>
  </si>
  <si>
    <t>غابة جافة شبه مدارية</t>
  </si>
  <si>
    <t>سهب شبه مداري</t>
  </si>
  <si>
    <t>أنظمة جبلية شبه مدارية</t>
  </si>
  <si>
    <t>غابة محيطية معتدلة</t>
  </si>
  <si>
    <t>غابة قارية معتدلة</t>
  </si>
  <si>
    <t>أنظمة جبلية معتدلة</t>
  </si>
  <si>
    <t>غابة مخروطية شمالية</t>
  </si>
  <si>
    <t>غابة التوندرا الشمالية</t>
  </si>
  <si>
    <t>أنظمة جبلية شمالية</t>
  </si>
  <si>
    <t>أنظمة جبلية مدارية</t>
  </si>
  <si>
    <t>منطقة الغابات 1</t>
  </si>
  <si>
    <t>منطقة الغابات 2</t>
  </si>
  <si>
    <t>منطقة الغابات 3</t>
  </si>
  <si>
    <t>منطقة الغابات 4</t>
  </si>
  <si>
    <t>منطقة مزارع 1</t>
  </si>
  <si>
    <t>منطقة مزارع 2</t>
  </si>
  <si>
    <t>منطقة مزارع 3</t>
  </si>
  <si>
    <t>منطقة مزارع 4</t>
  </si>
  <si>
    <t>اختيار الغطاء النباتي</t>
  </si>
  <si>
    <t>لا</t>
  </si>
  <si>
    <t>نعم</t>
  </si>
  <si>
    <t>اختيار الاستخدام بعد إزالة الغابات</t>
  </si>
  <si>
    <t>محصول سنوي</t>
  </si>
  <si>
    <t>محصول معمر/ محصول بستاني</t>
  </si>
  <si>
    <t>أرز مغمور</t>
  </si>
  <si>
    <t>طرح جانبا</t>
  </si>
  <si>
    <t>أخرى (اسمي)</t>
  </si>
  <si>
    <t>أخرى (متدهور)</t>
  </si>
  <si>
    <t>اختيار الاستدام السابق</t>
  </si>
  <si>
    <t>محصول معمر/ محصول بستاني (&lt; 5 سنوات)</t>
  </si>
  <si>
    <t>محصول معمر/ محصول بستاني (&lt;6-10 سنوات)</t>
  </si>
  <si>
    <t>محصول معمر/ محصول بستاني (&gt;10 سنوات)</t>
  </si>
  <si>
    <t>أرض متدهورة</t>
  </si>
  <si>
    <t>اختيار الاستخدام المبدئي للأرض</t>
  </si>
  <si>
    <t>استيفاء نموذج تغيير الاستخدام المبدئي</t>
  </si>
  <si>
    <t>استيفاء نموذج تغيير الاستخدام النهائي</t>
  </si>
  <si>
    <t>يرجى اختيار نظام المياه</t>
  </si>
  <si>
    <t>مروي - مغمور باستمرار</t>
  </si>
  <si>
    <t>مروي - مغمور بصورة متقطعة</t>
  </si>
  <si>
    <t>بعلي وعائم</t>
  </si>
  <si>
    <t>يرجى اختيار نظام المياه قبل موسم الزراعة</t>
  </si>
  <si>
    <t>ما قبل موسم الزراعة المغمور &lt; 180 يوم</t>
  </si>
  <si>
    <t>ما قبل موسم الزراعة المغمور &gt; 180 يوم</t>
  </si>
  <si>
    <t>ما قبل موسم الزراعة المغمور (&gt;30 يوم)</t>
  </si>
  <si>
    <t>يرجى اختيار نوع التعديل العضوي</t>
  </si>
  <si>
    <t>القش المحترق</t>
  </si>
  <si>
    <t>القش المصدر</t>
  </si>
  <si>
    <t>القش المضاف منذ وقت قصير (&lt;30 يوم) قبل الزراعة</t>
  </si>
  <si>
    <t>القش المضاف منذ وقت طويل (&gt;30 يوم) قبل الزراعة</t>
  </si>
  <si>
    <t>سماد خليط</t>
  </si>
  <si>
    <t>سماد المزرعة</t>
  </si>
  <si>
    <t>سماد أخضر</t>
  </si>
  <si>
    <t>يرجى الاختيار</t>
  </si>
  <si>
    <t>ماعز</t>
  </si>
  <si>
    <t>جمال</t>
  </si>
  <si>
    <t>جواد</t>
  </si>
  <si>
    <t>بغال وحمير</t>
  </si>
  <si>
    <t>دواجن</t>
  </si>
  <si>
    <t>غزلان</t>
  </si>
  <si>
    <t>ألبكة</t>
  </si>
  <si>
    <t>اختيار دولة</t>
  </si>
  <si>
    <t>اختيار مستوى</t>
  </si>
  <si>
    <t>لا يوجد</t>
  </si>
  <si>
    <t>منخفض جدا</t>
  </si>
  <si>
    <t>كبير</t>
  </si>
  <si>
    <t>شديد</t>
  </si>
  <si>
    <t>سطح بدون نظام رجوع صرف الري</t>
  </si>
  <si>
    <t>سطح مزود بنظام رجوع صرف الري</t>
  </si>
  <si>
    <t>وحدة رشاش ثابتة</t>
  </si>
  <si>
    <t>رشاش دائم</t>
  </si>
  <si>
    <t>رشاش يدوي</t>
  </si>
  <si>
    <t>رشاش دوار ثابت</t>
  </si>
  <si>
    <t>رشاش دوار حول مركزه</t>
  </si>
  <si>
    <t>رشاش متنقل</t>
  </si>
  <si>
    <t>تنقيط</t>
  </si>
  <si>
    <t>حوض (خرسانة)</t>
  </si>
  <si>
    <t>مباني زراعية (خرسانة)</t>
  </si>
  <si>
    <t>مباني زراعية (معدنية)</t>
  </si>
  <si>
    <t>مباني صناعية (خرسانة)</t>
  </si>
  <si>
    <t>مباني صناعية (معدنية)</t>
  </si>
  <si>
    <t>جراج (خرسانة)</t>
  </si>
  <si>
    <t>جراج (معدني)</t>
  </si>
  <si>
    <t>مكاتب (خرسانة)</t>
  </si>
  <si>
    <t>مكاتب (معدنية)</t>
  </si>
  <si>
    <t>أخرى (خرسانة)</t>
  </si>
  <si>
    <t>أخرى (معدنية)</t>
  </si>
  <si>
    <t>طريق للمرور متوسط الزحام (خرسانة)</t>
  </si>
  <si>
    <t>طريق للمرور متوسط الزحام (معدني)</t>
  </si>
  <si>
    <t>طريق للمرور الكثيف (خرسانة)</t>
  </si>
  <si>
    <t>طريق للمرور الكثيف (أسفلت)</t>
  </si>
  <si>
    <t>رسمي (الفترة الأولى 2008-2012)</t>
  </si>
  <si>
    <t>رسمي (الفترة الأولى 2013-2020)</t>
  </si>
  <si>
    <t>آخر تحديث لامكانية الاحترار العالمي 100 - GWP 100 (الفريق الحكومي الدولي المعني بتغير المناخ)</t>
  </si>
  <si>
    <t>غير سائد</t>
  </si>
  <si>
    <t>غير تربة</t>
  </si>
  <si>
    <t>؟</t>
  </si>
  <si>
    <t>الأمريكتان</t>
  </si>
  <si>
    <t>آسيا</t>
  </si>
  <si>
    <t>أستراليا ونيوزيلندا</t>
  </si>
  <si>
    <t>الكاريبي</t>
  </si>
  <si>
    <t>آسيا الوسطى</t>
  </si>
  <si>
    <t>شرق أفريقيا</t>
  </si>
  <si>
    <t>شرق آسيا</t>
  </si>
  <si>
    <t>أوروبا</t>
  </si>
  <si>
    <t>الاتحاد الأوروبي</t>
  </si>
  <si>
    <t>ميلانيزيا</t>
  </si>
  <si>
    <t>ميكرونيزيا</t>
  </si>
  <si>
    <t>وسط أفريقيا</t>
  </si>
  <si>
    <t>شمال أفريقيا</t>
  </si>
  <si>
    <t>شمال أوروبا</t>
  </si>
  <si>
    <t>بولينيزيا</t>
  </si>
  <si>
    <t>جنوب شرق آسيا</t>
  </si>
  <si>
    <t>جنوب أفريقيا</t>
  </si>
  <si>
    <t>جنوب آسيا</t>
  </si>
  <si>
    <t>جنوب أوروبا</t>
  </si>
  <si>
    <t>غرب أفريقيا</t>
  </si>
  <si>
    <t>غرب آسيا</t>
  </si>
  <si>
    <t>العالم</t>
  </si>
  <si>
    <t>موز</t>
  </si>
  <si>
    <t>شعير</t>
  </si>
  <si>
    <t>فاصوليا جافة</t>
  </si>
  <si>
    <t>فاصوليا خضراء</t>
  </si>
  <si>
    <t>جزر ولفت</t>
  </si>
  <si>
    <t>جوز الأكاجو بالقشرة</t>
  </si>
  <si>
    <t>كسافا</t>
  </si>
  <si>
    <t>قرنبيط وبروكلي</t>
  </si>
  <si>
    <t>حبوب (مكافئ الأرز المضروب)</t>
  </si>
  <si>
    <t>حبوب، لم تذكر في موضع آخر</t>
  </si>
  <si>
    <t>كستناء</t>
  </si>
  <si>
    <t>ثمرة حمضيات، لم تذكر في موضع آخر</t>
  </si>
  <si>
    <t>بن، أخضر</t>
  </si>
  <si>
    <t>حمص، جاف</t>
  </si>
  <si>
    <t>تمر</t>
  </si>
  <si>
    <t xml:space="preserve">باذنجان </t>
  </si>
  <si>
    <t>محاصيل ألياف، لم تذكر في موضع آخر</t>
  </si>
  <si>
    <t>جريب فروت (بما في ذلك البوملي)</t>
  </si>
  <si>
    <t>عنب</t>
  </si>
  <si>
    <t>فول سوداني، بالقشرة</t>
  </si>
  <si>
    <t>بقوليات، لم تذكر في موضع آخر</t>
  </si>
  <si>
    <t>بذور كتان</t>
  </si>
  <si>
    <t>ذرة صفراء</t>
  </si>
  <si>
    <t>ذرة، خضراء</t>
  </si>
  <si>
    <t>مانجو، مانجوستين، جوافة</t>
  </si>
  <si>
    <t>ماتي</t>
  </si>
  <si>
    <t>دخن</t>
  </si>
  <si>
    <t>شوفان</t>
  </si>
  <si>
    <t>جوز النخيل</t>
  </si>
  <si>
    <t>زيتون</t>
  </si>
  <si>
    <t>بصل، جاف</t>
  </si>
  <si>
    <t>برتقال</t>
  </si>
  <si>
    <t>دراق ورحيقاني</t>
  </si>
  <si>
    <t>بازلاء، جافة</t>
  </si>
  <si>
    <t>بازلاء، خضراء</t>
  </si>
  <si>
    <t>أناناس</t>
  </si>
  <si>
    <t>موز الجنة</t>
  </si>
  <si>
    <t>بطاطس</t>
  </si>
  <si>
    <t>بازلاء هندية</t>
  </si>
  <si>
    <t>كينوا</t>
  </si>
  <si>
    <t>أرز، غير مقشور</t>
  </si>
  <si>
    <t>جذور ودرنات</t>
  </si>
  <si>
    <t>شيلم</t>
  </si>
  <si>
    <t>قطن غير محلوج</t>
  </si>
  <si>
    <t>بذور سمسم</t>
  </si>
  <si>
    <t>سيسال</t>
  </si>
  <si>
    <t>ذرة رفيعة</t>
  </si>
  <si>
    <t>فول صويا</t>
  </si>
  <si>
    <t>فراولة</t>
  </si>
  <si>
    <t>بنجر السكر</t>
  </si>
  <si>
    <t>قصب السكر</t>
  </si>
  <si>
    <t>بذورة عباد الشمس</t>
  </si>
  <si>
    <t>بطاطا</t>
  </si>
  <si>
    <t>تنجرين، مندرين، كلمنتينا</t>
  </si>
  <si>
    <t>شاي</t>
  </si>
  <si>
    <t>تبغ، غير مصنع</t>
  </si>
  <si>
    <t>طماطم</t>
  </si>
  <si>
    <t>قمح صلب</t>
  </si>
  <si>
    <t>خضر طازجة، لم تذكر في موضع آخر</t>
  </si>
  <si>
    <t>بيقية</t>
  </si>
  <si>
    <t>قمح</t>
  </si>
  <si>
    <t>免责声明</t>
  </si>
  <si>
    <t>总排放量（总二氧化碳等值）</t>
  </si>
  <si>
    <t>*有关变化动态的注解：D系指“默认”，I系指即时，E系指指数（请参阅《指南》）</t>
  </si>
  <si>
    <t>（默认值仅供您参考，而在有具体说明的地方EX-ACT将自动采用第2层数值）</t>
  </si>
  <si>
    <t>默认</t>
  </si>
  <si>
    <t>（总二氧化碳/公顷/年）</t>
  </si>
  <si>
    <t>（总干物质/公顷）</t>
  </si>
  <si>
    <t>增长率（总二氧化碳/公顷/年）</t>
  </si>
  <si>
    <t>（总二氧化碳等值）</t>
  </si>
  <si>
    <t>（总碳/公顷）</t>
  </si>
  <si>
    <t>排放系数（总碳/公顷/年）</t>
  </si>
  <si>
    <t>二氧化碳排放系数（总碳/公顷/年）</t>
  </si>
  <si>
    <t>田间排放总量（总二氧化碳等值）</t>
  </si>
  <si>
    <t>生产、运输、仓储和转场环节的排放（总二氧化碳等值）</t>
  </si>
  <si>
    <t>不确定度等级</t>
  </si>
  <si>
    <t>默认MAT</t>
  </si>
  <si>
    <t>寒温带</t>
  </si>
  <si>
    <t>中文</t>
  </si>
  <si>
    <t>寒温带针叶林</t>
  </si>
  <si>
    <t>寒温带苔原湿地</t>
  </si>
  <si>
    <t>寒温带山地系统</t>
  </si>
  <si>
    <t>Descrição</t>
  </si>
  <si>
    <t>Melhores práticas agronômicas</t>
  </si>
  <si>
    <t>Manejos dos fertilizantes</t>
  </si>
  <si>
    <t>Manejo da água</t>
  </si>
  <si>
    <t>Manejo do esterco / adubo</t>
  </si>
  <si>
    <t>Definições</t>
  </si>
  <si>
    <t>Áreas (ha)</t>
  </si>
  <si>
    <t>Queima dos resíduos</t>
  </si>
  <si>
    <t>Anual apos desmatamento</t>
  </si>
  <si>
    <t>Anual convertido em A/R</t>
  </si>
  <si>
    <t>Anual apos outro uso</t>
  </si>
  <si>
    <t>Total sist. anuais</t>
  </si>
  <si>
    <t>3.2. Sistemas perenes (agrofloresta, pomar, …)</t>
  </si>
  <si>
    <t>Perene apos desmatamento</t>
  </si>
  <si>
    <t>Perene convertido em A/R</t>
  </si>
  <si>
    <t>Perene apos outro uso</t>
  </si>
  <si>
    <t>Total sist. Perenes</t>
  </si>
  <si>
    <t>3.3. Sistemas de arroz irrigado ou inundado</t>
  </si>
  <si>
    <t>3.2.1. Sistemas perenes provenientes de, ou convertidos em, outro uso (por favor prencher "2.LUC" previamente)</t>
  </si>
  <si>
    <t>3.1.1. Sistemas anuais provenientes de, ou convertidos em,  outros usos  (Preencher apos a parte 2.LUC)</t>
  </si>
  <si>
    <t>Duração da cultura (dias)</t>
  </si>
  <si>
    <t>Durante o periodo de cultivo</t>
  </si>
  <si>
    <t>Antes do arroz</t>
  </si>
  <si>
    <t>Tipos de aportes orgânicos</t>
  </si>
  <si>
    <t>3.3.1. Sistemas de arroz irrigado provenientes de, ou convertidos em, outro uso (por favor prencher "2.LUC" previamente)</t>
  </si>
  <si>
    <t>Arroz convertido em A/R</t>
  </si>
  <si>
    <t>Sistemas</t>
  </si>
  <si>
    <t>Taxas de sequestro de carbono</t>
  </si>
  <si>
    <t>Resíduos / biomassa queimada</t>
  </si>
  <si>
    <t>(t CO2/ha/ano)</t>
  </si>
  <si>
    <t>(t Materia Seca por ha)</t>
  </si>
  <si>
    <t>Sistemas anuais proveniente (ou para) outro uso</t>
  </si>
  <si>
    <t>Annual systems from (or to) other LU</t>
  </si>
  <si>
    <t>Systèmes annuels vers (ou venant) autre UT</t>
  </si>
  <si>
    <t>Perennial systems from (or to) other LU</t>
  </si>
  <si>
    <t>Rice systems from (or to) other LU</t>
  </si>
  <si>
    <t>Systèmes pérennes vers (ou venant) autre UT</t>
  </si>
  <si>
    <t>Riz irrigué vers (ou venant) autre UT</t>
  </si>
  <si>
    <t>Sistemas anuais que permanecem sistemas anuais</t>
  </si>
  <si>
    <t>Taxa de crescimento (t C/ha/ano)</t>
  </si>
  <si>
    <t>Queima (quantidade de resíduos e frequencia)</t>
  </si>
  <si>
    <t>Frequência (ano)</t>
  </si>
  <si>
    <t>Sistemas perenes proveniente (ou para) outro uso</t>
  </si>
  <si>
    <t>Sistemas perenes que permanecem sistemas perenes</t>
  </si>
  <si>
    <t>Quantidade de palha queimada</t>
  </si>
  <si>
    <t>Arroz irrigados que permanecem arroz irrigados</t>
  </si>
  <si>
    <t>Sistemas de arroz proveniente (ou para) outro uso</t>
  </si>
  <si>
    <t>Regime hídrico no cultivo do arroz (representação esquemática com os períodos de inundação em cinza)</t>
  </si>
  <si>
    <t>Opções de manejo</t>
  </si>
  <si>
    <t>(t/ha/ano)</t>
  </si>
  <si>
    <t>Definições das opções de manejo</t>
  </si>
  <si>
    <t>Uso de variadades melhoradas, ampliação da rotação de culturas, aumento da quantidade de resíduos</t>
  </si>
  <si>
    <t>Aumento da eficiencia do uso do N e redução das perdas: Agricultura de precisão, taxas ajustadas, divisão das doses,…</t>
  </si>
  <si>
    <t>Eliminação ou redução do trabalho do solo, plantio direto com ou sem manejo da biomassa,  agricultura de conservação ...</t>
  </si>
  <si>
    <t>Melhor utilização da água ...</t>
  </si>
  <si>
    <t>Aplicação de estrume ou biossólido como insumo</t>
  </si>
  <si>
    <t>4.1. Sistemas de pradarias e pastos</t>
  </si>
  <si>
    <t>4.4.1. Sistemas de pradarias provenientes de, ou convertidos em, outro uso (por favor prencher "2.LUC" previamente)</t>
  </si>
  <si>
    <t>4.4.2. Sistemas de pradarias que permenecem sistemas de pradarias (área total deve ser igual)</t>
  </si>
  <si>
    <t>Estado inícial</t>
  </si>
  <si>
    <t>Uso da queima no manejo</t>
  </si>
  <si>
    <t>Emissões totais</t>
  </si>
  <si>
    <t>(anos)</t>
  </si>
  <si>
    <t>Intervalo</t>
  </si>
  <si>
    <t>Sem projeto</t>
  </si>
  <si>
    <t>Com projeto</t>
  </si>
  <si>
    <t>Pradarias apos desmatamento</t>
  </si>
  <si>
    <t>Arroz apos desmatamento</t>
  </si>
  <si>
    <t>Pradarias convertido em A/R</t>
  </si>
  <si>
    <t>Pradarias apos outro uso</t>
  </si>
  <si>
    <t>Arroz apos outro uso</t>
  </si>
  <si>
    <t>Estado final da pradaria</t>
  </si>
  <si>
    <t>Total dos sist. de pradarias</t>
  </si>
  <si>
    <t>Tipo de gado</t>
  </si>
  <si>
    <t>Número de cabeças (médias anuais)</t>
  </si>
  <si>
    <t>Técnicas adicionais de mitigação (%)</t>
  </si>
  <si>
    <t>Produção (carne, leite, etc)</t>
  </si>
  <si>
    <t>Práticas de alimentação*</t>
  </si>
  <si>
    <t>Agentes específicos*</t>
  </si>
  <si>
    <t>Manejo da reprodução*</t>
  </si>
  <si>
    <t>em toneladas de produto per ano</t>
  </si>
  <si>
    <t>Outro gado</t>
  </si>
  <si>
    <t>Vaca leiteira</t>
  </si>
  <si>
    <t>Búfalo</t>
  </si>
  <si>
    <t>Carneiro e ovelhas</t>
  </si>
  <si>
    <t>Suinos para mercados</t>
  </si>
  <si>
    <t>Suinos para reprodução</t>
  </si>
  <si>
    <t>Práticas de alimentação: mais concentrados, adição de óleos ou sementes de oleaginosas na alimentação, melhoria a qualidade do pasto …</t>
  </si>
  <si>
    <t>Agentes específicos: agentes específicos e aditivos alimentares para reduziras emissões de CH4 (ionóforos, vacinas, BST ...)</t>
  </si>
  <si>
    <t>Manejo de reprodução : aumentar a produtividade através da seleção e melhores práticas de manejo, como a redução no número de novilhas de reposição</t>
  </si>
  <si>
    <t>Total do gado</t>
  </si>
  <si>
    <t>Solos de carbono correspondentes</t>
  </si>
  <si>
    <t>Combustão</t>
  </si>
  <si>
    <t>% biomassa antes do fogo</t>
  </si>
  <si>
    <t>4.2. Gado (e manejo dos dejetos)</t>
  </si>
  <si>
    <t>"Categoria" da região</t>
  </si>
  <si>
    <t>(por favor selecionar se possivel)</t>
  </si>
  <si>
    <t>Fatores de Emissões de N2O pelo manejo do estrume</t>
  </si>
  <si>
    <t>Pasto, campo e piquete</t>
  </si>
  <si>
    <t>Outro</t>
  </si>
  <si>
    <t>Fermentação entérica</t>
  </si>
  <si>
    <t>(kg CH4 per cabeça/ano)</t>
  </si>
  <si>
    <t>% para sistemas de pasto, campo e piquete</t>
  </si>
  <si>
    <t>Metano do manejo de dejeto</t>
  </si>
  <si>
    <t>Nível de degradação da vegetação</t>
  </si>
  <si>
    <t>No final</t>
  </si>
  <si>
    <t>Ocorrência de incêndio e gravidade</t>
  </si>
  <si>
    <t>5.1. Degradação e manejo Florestal</t>
  </si>
  <si>
    <t>que será degradada</t>
  </si>
  <si>
    <t>Total da degradação e manejo florestal</t>
  </si>
  <si>
    <t>5.2. Degradação dos solos orgânicos (solos organicos)</t>
  </si>
  <si>
    <t>5.2.1. Drenagem de solos orgânicos (solos orgânicos)</t>
  </si>
  <si>
    <t>Freq.</t>
  </si>
  <si>
    <t>Impacto</t>
  </si>
  <si>
    <t>(% queima)</t>
  </si>
  <si>
    <t>que sera drenada</t>
  </si>
  <si>
    <t>Anual</t>
  </si>
  <si>
    <t>Perene</t>
  </si>
  <si>
    <t>Total para drenagem</t>
  </si>
  <si>
    <t>Floresta manejada</t>
  </si>
  <si>
    <t>Áreas drenadas de solos orgânicos (ha)</t>
  </si>
  <si>
    <t>Tipo de turfa</t>
  </si>
  <si>
    <t>Nível de degradação (% da biomassa perdida)</t>
  </si>
  <si>
    <t>Fator de emissão (t C / ha / ano)</t>
  </si>
  <si>
    <t>Fator de emissão de CO2 (t C / ha / ano)</t>
  </si>
  <si>
    <t>5.2.2 extração ativa de turfa</t>
  </si>
  <si>
    <t>Turfa pobre em nutrientes</t>
  </si>
  <si>
    <t>rica em nutrientes</t>
  </si>
  <si>
    <t>Total para extração</t>
  </si>
  <si>
    <t>Emissões das perda de C associadas à drenagem de solos orgânicos</t>
  </si>
  <si>
    <t>Emissões no site de extração de turfa</t>
  </si>
  <si>
    <t>Fator de emissão de N2O (kg N2O-N / ha / ano)</t>
  </si>
  <si>
    <t>6.1. Insumos (calagem, fertilizantes, pesticidas, herbicidas,…)</t>
  </si>
  <si>
    <t>Descrição e unidade</t>
  </si>
  <si>
    <t>Quantidade aplicada por ano</t>
  </si>
  <si>
    <t>Emissões total em nivel de campo (tCO2-eq)</t>
  </si>
  <si>
    <t>Emissões relacionadas à produção, transporte, armazenagem e transferência (tCO2-eq)</t>
  </si>
  <si>
    <t>Aplicação de calagem</t>
  </si>
  <si>
    <t>Calcário (toneladas por ano)</t>
  </si>
  <si>
    <t>Dolomita (toneladas por ano)</t>
  </si>
  <si>
    <t>Não especificado ((toneladas por ano)</t>
  </si>
  <si>
    <t>Fertilizantes</t>
  </si>
  <si>
    <t>Uréia (toneladas de N por ano - Uréia tem 46.7% de N)</t>
  </si>
  <si>
    <t>Outros fertilizantes com N (tonelada de N por ano)</t>
  </si>
  <si>
    <t>Fertilizantes com N usado no arroz irrigado (tonelada de N por ano)</t>
  </si>
  <si>
    <t>Lodo de esgoto (toneladas de N por ano)</t>
  </si>
  <si>
    <t>Insumo orgânico (tonelada de N por ano)</t>
  </si>
  <si>
    <t>Fertilisantes P (toneladas de P2O5 por ano)</t>
  </si>
  <si>
    <t>Fertilisantes K (toneladas deK2O por ano)</t>
  </si>
  <si>
    <t>somme</t>
  </si>
  <si>
    <t>Total with</t>
  </si>
  <si>
    <t>Total CH4</t>
  </si>
  <si>
    <t>Total N2O</t>
  </si>
  <si>
    <t>Aviso legal</t>
  </si>
  <si>
    <t>La FAO declina toda responsabilidad respecto de los errores o deficiencias en la base de datos o los programas, o en la documentación que acompaña a éstos, el mantenimiento y el mejoramiento del programa, así como respecto de cualquier daño que pueda derivarse de ellos. Asimismo, la FAO no se considerará responsable de la actualización de los datos y no asume ningún tipo de responsabilidad respecto de los errores u omisiones en los datos proporcionados. No obstante, se ruega a los usuarios que informen de los errores o deficiencias que hallen en este producto de la FAO.</t>
  </si>
  <si>
    <t>Nombre del proyecto</t>
  </si>
  <si>
    <t>Clima</t>
  </si>
  <si>
    <t>Régimen de humedad</t>
  </si>
  <si>
    <t>Tipo de suelo regional dominante</t>
  </si>
  <si>
    <t>Duración del proyecto (años)</t>
  </si>
  <si>
    <t>Fase de implementación</t>
  </si>
  <si>
    <t>Fase de capitalización</t>
  </si>
  <si>
    <t>Duración de la estimación</t>
  </si>
  <si>
    <t>Clima ?</t>
  </si>
  <si>
    <t>Suelo ?</t>
  </si>
  <si>
    <t>2.1 Deforestación</t>
  </si>
  <si>
    <t>Mapa ZAE</t>
  </si>
  <si>
    <t xml:space="preserve">Tipo de vegetación </t>
  </si>
  <si>
    <t>que será deforestada</t>
  </si>
  <si>
    <t>Uso de incendio ?</t>
  </si>
  <si>
    <t>Uso final después de la deforestación</t>
  </si>
  <si>
    <t>Área boscosa (ha)</t>
  </si>
  <si>
    <t>Área deforestada (ha)</t>
  </si>
  <si>
    <t>Emisiones totales (tCO2-eq)</t>
  </si>
  <si>
    <t>tMS/ha)</t>
  </si>
  <si>
    <t>(si/no)</t>
  </si>
  <si>
    <t>#Productos de madera recolectada</t>
  </si>
  <si>
    <t>Deforestación total</t>
  </si>
  <si>
    <t>Inicio</t>
  </si>
  <si>
    <t>Sin</t>
  </si>
  <si>
    <t>Con</t>
  </si>
  <si>
    <t>2.2. Aforestación y Reforestación</t>
  </si>
  <si>
    <t>Uso previo de la tierra</t>
  </si>
  <si>
    <t>Area que será aforestada/reforestada</t>
  </si>
  <si>
    <t>A/Re-forestación total</t>
  </si>
  <si>
    <t>2.3. Otros cambios en el uso de la tierra</t>
  </si>
  <si>
    <t>Rellene con su descripción</t>
  </si>
  <si>
    <t>Uso de la tierra inicial</t>
  </si>
  <si>
    <t>Uso de la tierra final</t>
  </si>
  <si>
    <t>Mensaje</t>
  </si>
  <si>
    <t>Total de otros CUTs</t>
  </si>
  <si>
    <t>Usted ha indicado que está utilizando los siguientes tipos de vegetación.</t>
  </si>
  <si>
    <t>Utilice esta parte solamente si desea refinar el análisis con coeficientes de nivel 2</t>
  </si>
  <si>
    <t>(los valores por defecto se ofrecen unicamente a título informativo, mientras que EX-ACT utilizará automáticamente valores de Nivel 2  siempre que se especifique)</t>
  </si>
  <si>
    <t>Todos los valores son en toneladas de carbono por hectárea (tC/ha)</t>
  </si>
  <si>
    <t>Biomasa aérea</t>
  </si>
  <si>
    <t>Biomasa subterránea</t>
  </si>
  <si>
    <t>Hojarasca</t>
  </si>
  <si>
    <t>Madera muerta</t>
  </si>
  <si>
    <t>Carbono del suelo</t>
  </si>
  <si>
    <t>Valor por defecto</t>
  </si>
  <si>
    <t>Nivel 2</t>
  </si>
  <si>
    <t>Tasas de crecimiento para sistemas hasta de 20 años</t>
  </si>
  <si>
    <t>Tasas de crecimiento para sistemas después de 20 años</t>
  </si>
  <si>
    <t>PMR#</t>
  </si>
  <si>
    <t>que será plantada</t>
  </si>
  <si>
    <t>3.1 Sistemas anuales (a ser utilizados también por sistemas pluri-anuales como algodón o caña de azúcar)</t>
  </si>
  <si>
    <t>Rendimiento ?</t>
  </si>
  <si>
    <t>Descripción</t>
  </si>
  <si>
    <t>Prácticas agronómicas mejoradas</t>
  </si>
  <si>
    <t xml:space="preserve">Manejo de nutrientes </t>
  </si>
  <si>
    <t>Gestión hídrica</t>
  </si>
  <si>
    <t>Aplicación de estiércol</t>
  </si>
  <si>
    <t>Rendimiento</t>
  </si>
  <si>
    <t>Definiciones?</t>
  </si>
  <si>
    <t>Área (ha)</t>
  </si>
  <si>
    <t>Quema de residuos o biomasa</t>
  </si>
  <si>
    <t>Cultivo annual después de deforestación</t>
  </si>
  <si>
    <t>3.1.2. Sistemas anuales que permanecen como sistemas anuales (el área total debe permanecer constante)</t>
  </si>
  <si>
    <t xml:space="preserve">Total de sistemas anuales </t>
  </si>
  <si>
    <t>3.2 Sistemas perennes (Agroforestales, huertos, cultivos arbóreos...)</t>
  </si>
  <si>
    <t xml:space="preserve">3.2.1. Sistemas perennes de otros CUT o convertidos a otros CUT (por favor, rellene previamente el paso 2. CUT) </t>
  </si>
  <si>
    <t>Cultivo perenne después de la deforestación</t>
  </si>
  <si>
    <t>Cultivo perenne después de UT no forestal</t>
  </si>
  <si>
    <t>3.2.2. Sistemas perennes que permanecen como sistemas perennes (el área total debe permanecer constante)</t>
  </si>
  <si>
    <t>3.3. Sistemas de arroz inundado</t>
  </si>
  <si>
    <t>3.3.1. Sistemas de arroz inundado provenientes de otro CUT o convertido en otro CUT (por favor, rellene previamente el paso 2.CUT)</t>
  </si>
  <si>
    <t>Periodo de cultivo (días)</t>
  </si>
  <si>
    <t>Régimen hídrico</t>
  </si>
  <si>
    <t>Durante el periodo de cultivo</t>
  </si>
  <si>
    <t>Antes del periodo de cultivo</t>
  </si>
  <si>
    <t>Tipo de agregados orgánicos (paja de arroz u otros)</t>
  </si>
  <si>
    <t>3.3.2. Sistemas de arroz inundado que permanecen como sistemas de arroz inundados (área total debe permanecer constante)</t>
  </si>
  <si>
    <t>Total de sistemas de arroz inundado</t>
  </si>
  <si>
    <t>Arroz después de deforestación</t>
  </si>
  <si>
    <t>Arroz después de UT no forestal</t>
  </si>
  <si>
    <t>Tasa de secuestro de C en el suelo</t>
  </si>
  <si>
    <t xml:space="preserve"> (t CO2/ha/año)</t>
  </si>
  <si>
    <t>Sistemas anuales que permanecen como sistemas anuales</t>
  </si>
  <si>
    <t>Tasa de crecimiento ( t C/ha/año)</t>
  </si>
  <si>
    <t>Quema (cantidad de residuos y frecuencia)</t>
  </si>
  <si>
    <t>Frecuencia (años)</t>
  </si>
  <si>
    <t>Sistemas perennes que permanecen como sistemas perennes</t>
  </si>
  <si>
    <t>Cantidad de paja de arroz quemada</t>
  </si>
  <si>
    <t>Sistemas de arroz que permanecen como sistemas de arroz</t>
  </si>
  <si>
    <t>Régimen hídrico antes del cultivo de arroz (en el esquema se muestran los periodos inundados como la parte sombreada)</t>
  </si>
  <si>
    <t>Pretemporada sin inundar &lt; 180 días</t>
  </si>
  <si>
    <t>Pretemporada sin inundar &gt; 180 días</t>
  </si>
  <si>
    <t>Pretemporada inundada (&gt;30 días)</t>
  </si>
  <si>
    <t>Opciones de manejo</t>
  </si>
  <si>
    <t>(t/ha/año)</t>
  </si>
  <si>
    <t>Definiciones de las opciones de manejo de la tierra</t>
  </si>
  <si>
    <t>Utilizando variedades mejoradas, extendiendo la rotación de cultivos, aumentando los residuos de los cultivos</t>
  </si>
  <si>
    <t>Mejorar la eficiencia del uso de N y reducir las pérdidas de N: Microdosis, tasa de aplicación ajustada, temporización y ubicación</t>
  </si>
  <si>
    <t>Adopción de laboreo mínimo, reducido o nulo, con o sin mulcing, incluyendo prácticas de Agricultura de Conservación.</t>
  </si>
  <si>
    <t>Medida efectiva de riego</t>
  </si>
  <si>
    <t>Aplicación de estiércol o biosólidos al suelo como insumo</t>
  </si>
  <si>
    <t xml:space="preserve">4.1 Pastizal </t>
  </si>
  <si>
    <t>4.1.1 Pastizales provenientes de otro CUT o convertidos en otro CUT (por favor, rellene previamente el paso 2. CUT)</t>
  </si>
  <si>
    <t>4.1.2 Pastizales que se mantienen como pastizales (el área total debe permanecer constante)</t>
  </si>
  <si>
    <t>Estado inicial</t>
  </si>
  <si>
    <t>Uso de quema para el manejo</t>
  </si>
  <si>
    <t>Emisiones totales</t>
  </si>
  <si>
    <t>(año)</t>
  </si>
  <si>
    <t>Frecuencia</t>
  </si>
  <si>
    <t>Sin proyecto</t>
  </si>
  <si>
    <t>Con proyecto</t>
  </si>
  <si>
    <t>Convertido en A/R</t>
  </si>
  <si>
    <t>Pastizal después de UT no forestal</t>
  </si>
  <si>
    <t>Convertido en OCUT</t>
  </si>
  <si>
    <t>Estado final del pastizal</t>
  </si>
  <si>
    <t>Total de pastizales</t>
  </si>
  <si>
    <t>4.2. Ganado (y gestión del estiércol)</t>
  </si>
  <si>
    <t>Categorías de ganado</t>
  </si>
  <si>
    <t>Número de cabezas (promedio por año)</t>
  </si>
  <si>
    <t>Opción técnica de mitigación (%)</t>
  </si>
  <si>
    <t>Producción (carne, leche, etc)</t>
  </si>
  <si>
    <t>Prácticas de alimentación*</t>
  </si>
  <si>
    <t>Manejo en la cría*</t>
  </si>
  <si>
    <t>en toneladas de producto por año</t>
  </si>
  <si>
    <t>Vacuno lechero</t>
  </si>
  <si>
    <t>Otro vacuno</t>
  </si>
  <si>
    <t>Ovino</t>
  </si>
  <si>
    <t>Porcino (Carne)</t>
  </si>
  <si>
    <t>Porcino (Cría)</t>
  </si>
  <si>
    <t>Agentes específicos: Agentes específicos y aditivos dietéticos para reducir las emisiones de CH4 (ionóferos, vacunas, bST)</t>
  </si>
  <si>
    <t>Manejo en la cría: Aumentar la productividad a través de la cría y de mejores prácticas de manejo, como la reducción en el número de vaquillonas de reemplazo</t>
  </si>
  <si>
    <t>Total ganado</t>
  </si>
  <si>
    <t>Depósito de C del suelo correspondiente</t>
  </si>
  <si>
    <t>No degradado</t>
  </si>
  <si>
    <t>Severamente degradado</t>
  </si>
  <si>
    <t>Mejorado sin manejo de insumos</t>
  </si>
  <si>
    <t>Mejorado con manejo de insumos</t>
  </si>
  <si>
    <t>Combustión</t>
  </si>
  <si>
    <t>% emitidos de ms pre-combustión</t>
  </si>
  <si>
    <t>Temperatura anual media (TAM) de la región (en grados Celsius)</t>
  </si>
  <si>
    <t>(La temperatura afecta a las emisiones provenientes de la gestión del estiércol)</t>
  </si>
  <si>
    <t>Región "tipo"</t>
  </si>
  <si>
    <t>(por favor seleccione si es posible)</t>
  </si>
  <si>
    <t>Factores de emisión de N2O proveniente del estiércol</t>
  </si>
  <si>
    <t>Otro</t>
  </si>
  <si>
    <t>Fermentación entérica</t>
  </si>
  <si>
    <t>(kg CH4 por cabeza/año)</t>
  </si>
  <si>
    <t>Metano proveniente de la gestión del estiércol</t>
  </si>
  <si>
    <t>Surfaces of drained organic soils (ha)</t>
  </si>
  <si>
    <t>5.1. Gestión y degradación de bosques</t>
  </si>
  <si>
    <t xml:space="preserve">Nivel de degradación de la vegetación </t>
  </si>
  <si>
    <t>Al final</t>
  </si>
  <si>
    <t>Frecuencia de los incendios y severidad</t>
  </si>
  <si>
    <t>Total de gestión y degradación de bosques</t>
  </si>
  <si>
    <t>(% quemado)</t>
  </si>
  <si>
    <t>5.2. Degradación de suelos orgánicos (turberas)</t>
  </si>
  <si>
    <t>5.2.1. Drenaje de suelos orgánicos (turberas)</t>
  </si>
  <si>
    <t>afectados por el drenaje</t>
  </si>
  <si>
    <t>Superficies de suelos orgánicos drenados (ha)</t>
  </si>
  <si>
    <t>Bosque gestionado</t>
  </si>
  <si>
    <t>Cultivo anual</t>
  </si>
  <si>
    <t>Cultivo perenne</t>
  </si>
  <si>
    <t>Pastizal</t>
  </si>
  <si>
    <t>Total para el drenaje</t>
  </si>
  <si>
    <t>5.2.2. Extracción activa de turba</t>
  </si>
  <si>
    <t>Tipo de turba</t>
  </si>
  <si>
    <t>Turba pobre en nutrientes</t>
  </si>
  <si>
    <t>Turba rica en nutrientes</t>
  </si>
  <si>
    <t>Total para la extracción</t>
  </si>
  <si>
    <t>Nivel de degradación (% de biomasa perdido)</t>
  </si>
  <si>
    <t>Emisiones de la pérdida de C asociada al drenaje de suelos orgánicos</t>
  </si>
  <si>
    <t>Factor de emisión (t C/ha/año)</t>
  </si>
  <si>
    <t>Emisiones in situ provenientes de la extracción activa de turba</t>
  </si>
  <si>
    <t>Factor de emisión CO2 (t C/ha/año)</t>
  </si>
  <si>
    <t>6.1 Insumos (cal, fertilizantes, pesticidas, herbicidas…)</t>
  </si>
  <si>
    <t>Descripción y unidad para reportar</t>
  </si>
  <si>
    <t>Cantidad aplicada por año</t>
  </si>
  <si>
    <t>Total emisiones a nivel de campo (tCO2-eq)</t>
  </si>
  <si>
    <t>Emisiones de la producción, transporte, almacenamiento y transferencia (tCO2-eq)</t>
  </si>
  <si>
    <t>Aplicación de cal</t>
  </si>
  <si>
    <t>Piedra caliza (toneladas por año)</t>
  </si>
  <si>
    <t>Dolomita (toneladas por año)</t>
  </si>
  <si>
    <t>No se precisa  (toneladas por año)</t>
  </si>
  <si>
    <t>Urea (toneladas de N por año - La urea tiene 46.7% de N)</t>
  </si>
  <si>
    <t>Fertilizante de N en arroz de regadío</t>
  </si>
  <si>
    <t>Lodos de depuradora (toneladas de N por año)</t>
  </si>
  <si>
    <t>Compost (toneladas de N por año)</t>
  </si>
  <si>
    <t>Fósforo (toneladas de P2O5 por año)</t>
  </si>
  <si>
    <t>Potasio (toneladas de K2O por año)</t>
  </si>
  <si>
    <t>Pesticidas</t>
  </si>
  <si>
    <t>Herbicidas (toneladas de ingrediente activo por año)</t>
  </si>
  <si>
    <t>Insecticidas (toneladas de ingrediente activo por año)</t>
  </si>
  <si>
    <t>Fungicidas (toneladas de ingrediente activo por año)</t>
  </si>
  <si>
    <t>Total de insumos</t>
  </si>
  <si>
    <t>Emisiones de CO2</t>
  </si>
  <si>
    <t>Emisiones de N2O</t>
  </si>
  <si>
    <t>Cantidad consumida por año</t>
  </si>
  <si>
    <t>Electricidad (MWh por año)</t>
  </si>
  <si>
    <t>(por favor seleccione en la lista en Español)</t>
  </si>
  <si>
    <t>Líquido o gaseoso en (m3 por año)</t>
  </si>
  <si>
    <t>Gasolina</t>
  </si>
  <si>
    <t>Gas (GLP/natural)</t>
  </si>
  <si>
    <t>Butano</t>
  </si>
  <si>
    <t>Propano</t>
  </si>
  <si>
    <t>Etanol</t>
  </si>
  <si>
    <t>Definido por el usuario (Nivel 2):</t>
  </si>
  <si>
    <t>Sólido (en toneladas de materia seca por año)</t>
  </si>
  <si>
    <t>Madera</t>
  </si>
  <si>
    <t>Turba</t>
  </si>
  <si>
    <t>Total de energía</t>
  </si>
  <si>
    <t>Sistemas de riego (en ha)</t>
  </si>
  <si>
    <t>Construcciones y carreteras (en m2)</t>
  </si>
  <si>
    <t>*IRSS = Sistema de retorno de la escorrentía del agua de riego</t>
  </si>
  <si>
    <t>Total de construcción</t>
  </si>
  <si>
    <t>Factores de emisión</t>
  </si>
  <si>
    <t>Emisiones a nivel de campo</t>
  </si>
  <si>
    <t xml:space="preserve">Emisiones de la producción, transporte, almacenamiento y transferencia </t>
  </si>
  <si>
    <t>Unidad</t>
  </si>
  <si>
    <t>tC/t cal</t>
  </si>
  <si>
    <t>tCO2/t ingrediente activo</t>
  </si>
  <si>
    <t>El secuestro de CO2 de la atmósfera durante la fabricación de la urea se estima en el sector de procesos industriales y uso de producto por el país donde se haya producido la urea</t>
  </si>
  <si>
    <t>Tener en cuenta el sumidero de la fabricación?</t>
  </si>
  <si>
    <t>Factor de emisión para el país seleccionado</t>
  </si>
  <si>
    <t>Pérdidas de electricidad durante el transporte</t>
  </si>
  <si>
    <t>t CO2/m3</t>
  </si>
  <si>
    <t>Por favor precise el nombre</t>
  </si>
  <si>
    <t>Unidad utilizada</t>
  </si>
  <si>
    <t>t CO2/t materia seca</t>
  </si>
  <si>
    <t>Sistemas de riego</t>
  </si>
  <si>
    <t xml:space="preserve">Construcciones y carreteras </t>
  </si>
  <si>
    <t>CO2 removal from the atmosphere during urea manufacturing is estimated in the Industrial Processes and Product Use Sector by the country where urea was produced.</t>
  </si>
  <si>
    <t>By default EX-ACT considers that urea is imported and do not account for this sink, but you can force the calculation to do so:</t>
  </si>
  <si>
    <t>Área total (ha)</t>
  </si>
  <si>
    <t>Componentes del proyecto</t>
  </si>
  <si>
    <t>Flujos brutos</t>
  </si>
  <si>
    <t>Todos los GEI en tCO2eq</t>
  </si>
  <si>
    <t>Positivo = fuente / negativo = sumidero</t>
  </si>
  <si>
    <t>Biomasa</t>
  </si>
  <si>
    <t>Suelo</t>
  </si>
  <si>
    <t>Resultados por año</t>
  </si>
  <si>
    <t>Cambios en el uso de la tierra</t>
  </si>
  <si>
    <t>Deforestación</t>
  </si>
  <si>
    <t>Aforestación</t>
  </si>
  <si>
    <t>Otros</t>
  </si>
  <si>
    <t>Agricultura</t>
  </si>
  <si>
    <t>Cultivos anuales</t>
  </si>
  <si>
    <t>Cultivos perennes</t>
  </si>
  <si>
    <t>Arroz</t>
  </si>
  <si>
    <t>Pastizales y Ganado</t>
  </si>
  <si>
    <t>Pastizales</t>
  </si>
  <si>
    <t>Ganado</t>
  </si>
  <si>
    <t>Degradación y manejo</t>
  </si>
  <si>
    <t>Insumos e inversiones</t>
  </si>
  <si>
    <t>Por hectárea</t>
  </si>
  <si>
    <t>Por hectárea por año</t>
  </si>
  <si>
    <t>CO2-Biomasa</t>
  </si>
  <si>
    <t>CO2-Suelo</t>
  </si>
  <si>
    <t>CO2-Otro</t>
  </si>
  <si>
    <t>Flujos por componente</t>
  </si>
  <si>
    <t>Balance por componente</t>
  </si>
  <si>
    <t>Total sin y con proyecto y balance</t>
  </si>
  <si>
    <t>Parte del balance por GEI (más el origen de CO2)</t>
  </si>
  <si>
    <t>Bosque/plantación</t>
  </si>
  <si>
    <t>Otras tierras</t>
  </si>
  <si>
    <t>Degradado</t>
  </si>
  <si>
    <t>Humedales</t>
  </si>
  <si>
    <t>Nivel de incertidumbre</t>
  </si>
  <si>
    <t>Balance neto</t>
  </si>
  <si>
    <t>Total incertidumbre</t>
  </si>
  <si>
    <t>% de incertidumbre</t>
  </si>
  <si>
    <t>Matrices de cambios detalladas</t>
  </si>
  <si>
    <t>Área total debe ser igual en todas las situaciones: Por favor compruebe con detalle todos los componentes</t>
  </si>
  <si>
    <t>Otros indicadores</t>
  </si>
  <si>
    <t>Área irrigada - ha</t>
  </si>
  <si>
    <t>Arroz de regadío</t>
  </si>
  <si>
    <t>Acumulado de las áreas quemadas -ha</t>
  </si>
  <si>
    <t xml:space="preserve">Proveniente de la deforestación </t>
  </si>
  <si>
    <t>Proveniente de la degradación</t>
  </si>
  <si>
    <t>Volver a los resultados principales</t>
  </si>
  <si>
    <t>Producción</t>
  </si>
  <si>
    <t>t de producto</t>
  </si>
  <si>
    <t>Intensidad bruta de emisiones</t>
  </si>
  <si>
    <t>tCO2eq por t de producto</t>
  </si>
  <si>
    <t>Porcentaje de uso humano</t>
  </si>
  <si>
    <t>Cantidad utilizada correspondiente</t>
  </si>
  <si>
    <t>Todos los Cambios en el Uso de la Tierra</t>
  </si>
  <si>
    <t>Emisiones detalladas en t CO2-eq para las diferentes fases de las emisiones de la cadena de valor (tCO2/t producto)</t>
  </si>
  <si>
    <t>Emisiones (tCO2/t producto)</t>
  </si>
  <si>
    <t>Nivel de PRODUCCION (correspondiente a las emisiones calculadas como un porcentaje de la cantidad total utilizada)</t>
  </si>
  <si>
    <t>Emisiones directas e indirectas (CUT inducido, degradación, insumos e inversiones)</t>
  </si>
  <si>
    <t>Nombre de los insumos/procesos</t>
  </si>
  <si>
    <t>Emisiones por insumo</t>
  </si>
  <si>
    <t>Insumo por t de producto</t>
  </si>
  <si>
    <t>Total para PROCESAMIENTO</t>
  </si>
  <si>
    <t>Nivel de TRANSPORTE (liste los diferentes insumos o procesos necesarios)</t>
  </si>
  <si>
    <t>Total TRANSPORTE</t>
  </si>
  <si>
    <t>Inserte el nombre abajo</t>
  </si>
  <si>
    <t>Nivel de USO (liste los diferentes insumos o pasos necesarios)</t>
  </si>
  <si>
    <t>Total para USO</t>
  </si>
  <si>
    <t>Nivel de RESIDUOS (liste los diferentes insumos o pasos necesarios)</t>
  </si>
  <si>
    <t>Total para RESIDUOS</t>
  </si>
  <si>
    <t>Total emisiones en t CO2-eq para las diferentes fases de la cadena de valor</t>
  </si>
  <si>
    <t>PRODUCCIÓN</t>
  </si>
  <si>
    <t>PROCESAMIENTO</t>
  </si>
  <si>
    <t>TRANSPORTE</t>
  </si>
  <si>
    <t>USO</t>
  </si>
  <si>
    <t>RESIDUOS</t>
  </si>
  <si>
    <t>Matriz de cambios</t>
  </si>
  <si>
    <t>Suelos minerales (ha)</t>
  </si>
  <si>
    <t>Suelos orgánicos (ha)</t>
  </si>
  <si>
    <t>INICIAL</t>
  </si>
  <si>
    <t>Total inicial</t>
  </si>
  <si>
    <t>Total final</t>
  </si>
  <si>
    <t>Seleccione PCG para el cálculo</t>
  </si>
  <si>
    <t>Clasificación de suelo</t>
  </si>
  <si>
    <t>Precipitación Annual Media en mm</t>
  </si>
  <si>
    <t>Húmedo si PAM&gt;ETP y Seco si ETP&gt;PAM</t>
  </si>
  <si>
    <t>ETP = Evapotranspiración potencial</t>
  </si>
  <si>
    <t>Nota: Tropical montañoso es normalmente seco</t>
  </si>
  <si>
    <t>Zonas Climáticas según IPCC</t>
  </si>
  <si>
    <t>Sin datos</t>
  </si>
  <si>
    <t>Zonas Climáticas simplificadas según IPCC</t>
  </si>
  <si>
    <t>Fresco</t>
  </si>
  <si>
    <t>Cálido</t>
  </si>
  <si>
    <t xml:space="preserve">Boreal </t>
  </si>
  <si>
    <t>(o Polar)</t>
  </si>
  <si>
    <t>Recursos de FAO:</t>
  </si>
  <si>
    <t>Ver el mapa global climático de la FAO</t>
  </si>
  <si>
    <t>Precipitación media annual total</t>
  </si>
  <si>
    <t>Temperatura media annual</t>
  </si>
  <si>
    <t>LocClim ha sido desarrollado para proporcionar una estimación sobre las condiciones climáticas en localizaciones para las cuales no hay observaciones disponibles. Para alcanzar esto, el programa utiliza las 28800 estaciones de FAOCLIM 2.0</t>
  </si>
  <si>
    <t>Haga click aquí para ir a la aplicación</t>
  </si>
  <si>
    <t>Ir a Web LocClim</t>
  </si>
  <si>
    <t>Zonas Ecológicas Globales</t>
  </si>
  <si>
    <t>Zonas ecológicas globales, basadas en los patrones climáticos y de vegetación observados (FAO, 2001). Los datos para los sistemas de información geográfica están disponibles en http://www.fao.org</t>
  </si>
  <si>
    <t>Desierto tropical</t>
  </si>
  <si>
    <t>Desierto sub-tropical</t>
  </si>
  <si>
    <t>Estepa templada</t>
  </si>
  <si>
    <t>Desierto templado</t>
  </si>
  <si>
    <t>Región</t>
  </si>
  <si>
    <t>Elemento</t>
  </si>
  <si>
    <t>(ver mapa abajo)</t>
  </si>
  <si>
    <t>Año</t>
  </si>
  <si>
    <t>Rendimiento (t/ha)</t>
  </si>
  <si>
    <t xml:space="preserve">Periodos </t>
  </si>
  <si>
    <t>Promedio</t>
  </si>
  <si>
    <t>Tasa (%)</t>
  </si>
  <si>
    <t>Proyecciones</t>
  </si>
  <si>
    <t>Estos datos provienen de FAOSTAT. Si necesita información más detallada (p.ej información por país), diríjase a la página web de la FAO</t>
  </si>
  <si>
    <t>Por favor seleccione</t>
  </si>
  <si>
    <t>Asia (Subcontinente indio)</t>
  </si>
  <si>
    <t>Oriente medio</t>
  </si>
  <si>
    <t>Europa del oeste</t>
  </si>
  <si>
    <t>Europa del este</t>
  </si>
  <si>
    <t>Norteamérica</t>
  </si>
  <si>
    <t>Centroamérica</t>
  </si>
  <si>
    <t>Sudamérica</t>
  </si>
  <si>
    <t>Templado fresco</t>
  </si>
  <si>
    <t>Templado cálido</t>
  </si>
  <si>
    <t>Tropical Montañoso</t>
  </si>
  <si>
    <t>Húmedo</t>
  </si>
  <si>
    <t>Mojado</t>
  </si>
  <si>
    <t>Suelos HAC</t>
  </si>
  <si>
    <t>Suelos LAC</t>
  </si>
  <si>
    <t>Suelos arenosos</t>
  </si>
  <si>
    <t>Suelos espódicos</t>
  </si>
  <si>
    <t>Suelos volcánicos</t>
  </si>
  <si>
    <t>Suelos de humedal</t>
  </si>
  <si>
    <t>Otros suelos</t>
  </si>
  <si>
    <t>Por favor especifique el clima</t>
  </si>
  <si>
    <t>Bosque tropical lluvioso</t>
  </si>
  <si>
    <t>Bosque caducifolio húmedo  tropical</t>
  </si>
  <si>
    <t xml:space="preserve">Bosque seco tropical </t>
  </si>
  <si>
    <t>Zona arbustiva tropical</t>
  </si>
  <si>
    <t>Bosque húmedo subtropical</t>
  </si>
  <si>
    <t>Bosque seco subtropical</t>
  </si>
  <si>
    <t>Estepa subtropical</t>
  </si>
  <si>
    <t>Bosque oceánico templado</t>
  </si>
  <si>
    <t>Bosque continental templado</t>
  </si>
  <si>
    <t>Sistema monañoso templado</t>
  </si>
  <si>
    <t xml:space="preserve">Bosque boreal de coníferas </t>
  </si>
  <si>
    <t>Bosque tundra boreal</t>
  </si>
  <si>
    <t>Sistema montañoso boreal</t>
  </si>
  <si>
    <t>Sistema montañoso tropical</t>
  </si>
  <si>
    <t>Bosque Zona 1</t>
  </si>
  <si>
    <t>Bosque Zona 2</t>
  </si>
  <si>
    <t>Bosque Zona 3</t>
  </si>
  <si>
    <t>Bosque Zona 4</t>
  </si>
  <si>
    <t>Plantación Zona 1</t>
  </si>
  <si>
    <t>Plantación Zona 2</t>
  </si>
  <si>
    <t>Plantación Zona 3</t>
  </si>
  <si>
    <t>Plantación Zona 4</t>
  </si>
  <si>
    <t>Seleccione la vegetación</t>
  </si>
  <si>
    <t>SI</t>
  </si>
  <si>
    <t>Selecione el uso después de la deforestación</t>
  </si>
  <si>
    <t>Cultivo annual</t>
  </si>
  <si>
    <t>Cultivo perenne/arbóreo</t>
  </si>
  <si>
    <t>Tierra reservada</t>
  </si>
  <si>
    <t>Tierra degradada</t>
  </si>
  <si>
    <t>Otro (nominal)</t>
  </si>
  <si>
    <t>Otro (degradado)</t>
  </si>
  <si>
    <t>Seleccione uso previo</t>
  </si>
  <si>
    <t>Cultivo perenne/arbóreo (&lt;5 años)</t>
  </si>
  <si>
    <t>Cultivo perenne/arbóreo (6-10 años)</t>
  </si>
  <si>
    <t>Cultivo perenne/arbóreo (&gt;10 años)</t>
  </si>
  <si>
    <t>Seleccione uso inicial de la tierra</t>
  </si>
  <si>
    <t>Otra tierra</t>
  </si>
  <si>
    <t>Seleccione uso final de la tierra</t>
  </si>
  <si>
    <t>Rellene UT inicial</t>
  </si>
  <si>
    <t>Rellene UT final</t>
  </si>
  <si>
    <t>Por favor seleccione régimen hídrico</t>
  </si>
  <si>
    <t>Irrigado - inundado permanentemente</t>
  </si>
  <si>
    <t>Irrigado - inundado intermitentemente</t>
  </si>
  <si>
    <t>Pluvial y aguas profundas</t>
  </si>
  <si>
    <t>Por favor seleccione el régimen hídrico en la pre-temporada</t>
  </si>
  <si>
    <t>Pretemporada sin inundar &lt;180 días</t>
  </si>
  <si>
    <t>Pretemporada sin inundar &gt;180 días</t>
  </si>
  <si>
    <t>Por favor seleccione el tipo de agregado orgánico</t>
  </si>
  <si>
    <t>Paja quemada</t>
  </si>
  <si>
    <t>Paja exportada</t>
  </si>
  <si>
    <t>Paja incorporada poco (&lt;30d) antes del cultivo</t>
  </si>
  <si>
    <t>Paja incorporada mucho (&lt;30d) antes del cultivo</t>
  </si>
  <si>
    <t>Estiércol de corral</t>
  </si>
  <si>
    <t>Abono verde</t>
  </si>
  <si>
    <t>Caprinos</t>
  </si>
  <si>
    <t>Camélidos</t>
  </si>
  <si>
    <t>Equinos</t>
  </si>
  <si>
    <t>Mulas y asnos</t>
  </si>
  <si>
    <t>Aves de corral</t>
  </si>
  <si>
    <t>Ciervos</t>
  </si>
  <si>
    <t>Seleccione estado</t>
  </si>
  <si>
    <t>Seleccione nivel</t>
  </si>
  <si>
    <t>Ninguno</t>
  </si>
  <si>
    <t>Muy bajo</t>
  </si>
  <si>
    <t>Bajo</t>
  </si>
  <si>
    <t>Grande</t>
  </si>
  <si>
    <t>Superficie sin IRSS</t>
  </si>
  <si>
    <t>Superficie con IRSS</t>
  </si>
  <si>
    <t>Viviendas (concreto)</t>
  </si>
  <si>
    <t>Edificios industriales (concreto)</t>
  </si>
  <si>
    <t>Edificios industriales (metal)</t>
  </si>
  <si>
    <t>Oficinas (concreto)</t>
  </si>
  <si>
    <t>Oficinas (metal)</t>
  </si>
  <si>
    <t>Otro (concreto)</t>
  </si>
  <si>
    <t>Otro (metal)</t>
  </si>
  <si>
    <t>Carretera para tráfico medio (concreto)</t>
  </si>
  <si>
    <t>Carretera para tráfico medio (asfalto)</t>
  </si>
  <si>
    <t>Carretera para tráfico intenso (concreto)</t>
  </si>
  <si>
    <t>Carretera para tráfico intenso (asfalto)</t>
  </si>
  <si>
    <t>Oficial (Primer periodo 2008-2012)</t>
  </si>
  <si>
    <t>Oficial (Segundo periodo 2013-2020)</t>
  </si>
  <si>
    <t>Última actualización para el PCG100 (IPCC-2013))</t>
  </si>
  <si>
    <t>Australia y Nueva Zealanda</t>
  </si>
  <si>
    <t>Caribe</t>
  </si>
  <si>
    <t>Asia Central</t>
  </si>
  <si>
    <t>África del este</t>
  </si>
  <si>
    <t>Asia del este</t>
  </si>
  <si>
    <t>Europa</t>
  </si>
  <si>
    <t>África del Norte</t>
  </si>
  <si>
    <t>Europa del Norte</t>
  </si>
  <si>
    <t>Polinesia</t>
  </si>
  <si>
    <t>Sudeste asiático</t>
  </si>
  <si>
    <t>África del Sur</t>
  </si>
  <si>
    <t>Asia del Sur</t>
  </si>
  <si>
    <t>Europa del Sur</t>
  </si>
  <si>
    <t>Africa del Oeste</t>
  </si>
  <si>
    <t>Asia del Oeste</t>
  </si>
  <si>
    <t>Europa del Oeste</t>
  </si>
  <si>
    <t>Mundo</t>
  </si>
  <si>
    <t>Cebada</t>
  </si>
  <si>
    <t>Frijoles, secos</t>
  </si>
  <si>
    <t>Frijoles, verdes</t>
  </si>
  <si>
    <t>Anacardos, con cáscara</t>
  </si>
  <si>
    <t>Yuca</t>
  </si>
  <si>
    <t>Coliflor y brócoli</t>
  </si>
  <si>
    <t>Cereales (Equivalente al arroz pulido o blanqueado)</t>
  </si>
  <si>
    <t>Castañas</t>
  </si>
  <si>
    <t>Café, verde</t>
  </si>
  <si>
    <t>Caupí/Carilla/Judía de careta/fríjol Castilla, seco</t>
  </si>
  <si>
    <t>Dátiles</t>
  </si>
  <si>
    <t>Berenjenas</t>
  </si>
  <si>
    <t>Uva</t>
  </si>
  <si>
    <t xml:space="preserve">Cacahuetes/Maní, con cáscara </t>
  </si>
  <si>
    <t>Semillas de lino</t>
  </si>
  <si>
    <t>Maiz</t>
  </si>
  <si>
    <t>Maiz, verde (forrajero)</t>
  </si>
  <si>
    <t>Mango, Mangostán, guayaba</t>
  </si>
  <si>
    <t>Mate</t>
  </si>
  <si>
    <t>Mijo</t>
  </si>
  <si>
    <t>Avena</t>
  </si>
  <si>
    <t>Fruto de la palma aceitera</t>
  </si>
  <si>
    <t>Olivas</t>
  </si>
  <si>
    <t>Cebollas, secas</t>
  </si>
  <si>
    <t>Naranjas</t>
  </si>
  <si>
    <t>Durazno/Melocotón y nectarinas</t>
  </si>
  <si>
    <t>Guisantes, secos</t>
  </si>
  <si>
    <t>Guisantes, verdes</t>
  </si>
  <si>
    <t>Plátano</t>
  </si>
  <si>
    <t>Patatas</t>
  </si>
  <si>
    <t>Arroz con cáscara</t>
  </si>
  <si>
    <t>Centeno</t>
  </si>
  <si>
    <t>Algodón sin desmotar</t>
  </si>
  <si>
    <t>Semilla de sésamo</t>
  </si>
  <si>
    <t>Sorgo</t>
  </si>
  <si>
    <t>Fresas/Frutillas</t>
  </si>
  <si>
    <t>Remolacha azucarera</t>
  </si>
  <si>
    <t>Caña de azúcar</t>
  </si>
  <si>
    <t>Semilla de girasol</t>
  </si>
  <si>
    <t>Patata dulce/Boniato/Camote</t>
  </si>
  <si>
    <t>Tangerinas, mandarinas, clementinas</t>
  </si>
  <si>
    <t>Té</t>
  </si>
  <si>
    <t>Tabaco, sin procesar</t>
  </si>
  <si>
    <t>Vezas</t>
  </si>
  <si>
    <t>Trigo</t>
  </si>
  <si>
    <t>Straw incorporated shortly (&lt;30d) before cultivation</t>
  </si>
  <si>
    <t>Straw incorporated long (&gt;30d) before cultivation</t>
  </si>
  <si>
    <t>Traducción</t>
  </si>
  <si>
    <t>Las opciones de cálculo realizadas en esta herramienta corresponden al autor(es) y no necesariamente reflejan las opiniones ni las elecciones de la Organización de las Naciones Unidas para la Agricultura y la Alimentación.</t>
  </si>
  <si>
    <t>© FAO (2013)
La FAO fomenta la reproducción y difusión parcial o total del material contenido en este producto informativo. Excepto que se indique lo contrario, el material puede ser copiado, descargado e impreso para fines privados de estudio, investigación  y enseñanza o para  el uso en productos o servicios no comerciales, siempre y cuando se reconozca a la FAO como fuente y dueña de los derechos de autor y que esto no implique que la FAO apoya las opiniones, productos ni servicios de los usuarios de ninguna forma. Toda solicitud relacionada con la traducción y con los derechos de adaptación, con la reventa o con otros derechos de uso comercial debe ser presentada por medio de un formulario online disponible en www.fao.org/contact-us/licence-request o bien debe ser dirigida a copyright@fao.org</t>
  </si>
  <si>
    <t>3.1.1. Sistemas anuales provenientes de otro uso de la tierra o convertidos en otro uso de la tierra (Por favor rellene paso previo 2. CUT)</t>
  </si>
  <si>
    <t>Cultivo annual después de UT no forestal</t>
  </si>
  <si>
    <t>Total sistemas perennes</t>
  </si>
  <si>
    <t>Sistemas anuales convertidos (o a convertir) de (en) otros CUT</t>
  </si>
  <si>
    <t>Sistemas perennes convertidos (o a convertir) de (en) otros CUT</t>
  </si>
  <si>
    <t>Sistemas de arroz convertidos (o a convertir) de (en)otros CUT</t>
  </si>
  <si>
    <t>Pastizal después de la deforestación</t>
  </si>
  <si>
    <t>Prácticas de alimentación: p.ej. Más concentrados, añadido de ciertos aceites o semillas oleaginosas a la dieta, mejorar la calidad del pasto…</t>
  </si>
  <si>
    <t>Pasto, praderas y corral</t>
  </si>
  <si>
    <t>% correspondiente a sistemas de pasto, praderas y corral</t>
  </si>
  <si>
    <t>que será degradado</t>
  </si>
  <si>
    <t>Factor de emisión N2O (kg N2O-N/ha/año)</t>
  </si>
  <si>
    <t>Otro fertilizante de N (toneladas de N por año)</t>
  </si>
  <si>
    <t>Por defecto, EX-ACT considera que la urea es importada y no tiene en cuenta este sumidero, pero se puede forzar el cálculo a tenerlo en cuenta:</t>
  </si>
  <si>
    <t>Uso en el cálculo simplificado de una cadena de valor</t>
  </si>
  <si>
    <t>Nivel de PROCESAMIENTO (lista de insumos o procesos necesarios)</t>
  </si>
  <si>
    <t xml:space="preserve">Parte del balance por GEI </t>
  </si>
  <si>
    <t>Ayudante para el clima: Ayuda para determinar la categoría climática con la TMA y la PAM</t>
  </si>
  <si>
    <t>Temperatura Media Annual  en °C</t>
  </si>
  <si>
    <t>TMA y Categoría Climática</t>
  </si>
  <si>
    <t>TMA &gt; 0</t>
  </si>
  <si>
    <t>TMA por defecto</t>
  </si>
  <si>
    <t>Mapas de TMA y PAM</t>
  </si>
  <si>
    <t>Para obtener datos climáticos online utilizando localización geográfica, ver también el estimador local mensual climático Web LocClim</t>
  </si>
  <si>
    <t>Sistema monañoso subtropical</t>
  </si>
  <si>
    <t>Arroz inundado</t>
  </si>
  <si>
    <t>Sistema de aspersión fija</t>
  </si>
  <si>
    <t>Aspersores permanentes</t>
  </si>
  <si>
    <t>Aspersores manuales</t>
  </si>
  <si>
    <t>Aspersores tipo cañones de riego</t>
  </si>
  <si>
    <t>Aspersor tipo pivot central</t>
  </si>
  <si>
    <t>Aspersor móvil</t>
  </si>
  <si>
    <t>Riego por goteo</t>
  </si>
  <si>
    <t>Edificios agrícolas (concreto)</t>
  </si>
  <si>
    <t>Edificios agrícolas (metal)</t>
  </si>
  <si>
    <t>Garage (concreto)</t>
  </si>
  <si>
    <t>No suelo</t>
  </si>
  <si>
    <t>Unión Europea</t>
  </si>
  <si>
    <t>África central</t>
  </si>
  <si>
    <t>Zanahorias y nabos</t>
  </si>
  <si>
    <t>Cereales, nep</t>
  </si>
  <si>
    <t>Cítricos, nep</t>
  </si>
  <si>
    <t>Cultivos de fibras, nep</t>
  </si>
  <si>
    <t>Toronja (inc. pomelo)</t>
  </si>
  <si>
    <t>Legumbres con vaina, nep</t>
  </si>
  <si>
    <t>Piña</t>
  </si>
  <si>
    <t>Legumbres, nep</t>
  </si>
  <si>
    <t>Raices y tubérculos, nep</t>
  </si>
  <si>
    <t>Verduras frescas, nep</t>
  </si>
  <si>
    <t>Herbicidas (toneladas de ingrediente ativo por ano)</t>
  </si>
  <si>
    <t>Inseticidas (toneladas de ingrediente ativo por ano)</t>
  </si>
  <si>
    <t>Fungicidas (toneladas de ingrediente ativo por ano)</t>
  </si>
  <si>
    <t>Total para os insumos</t>
  </si>
  <si>
    <t>Emissões de CO2</t>
  </si>
  <si>
    <t>Emissões de N2O</t>
  </si>
  <si>
    <t>6.2. Consumo de energia (eletricidade, combustivel,…)</t>
  </si>
  <si>
    <t>Quantidade consumida por ano</t>
  </si>
  <si>
    <t>Eletricidade (MWh por ano)</t>
  </si>
  <si>
    <t>(Por favor selecionar na lista em Inglês)</t>
  </si>
  <si>
    <t>Gasóleo / Diesel</t>
  </si>
  <si>
    <t>(GLP / natural)</t>
  </si>
  <si>
    <t>Definido pelo usuário (Tier 2):</t>
  </si>
  <si>
    <t>Liquido ou gasoso (em m3 por ano)</t>
  </si>
  <si>
    <t>Gás butano</t>
  </si>
  <si>
    <t>Gás propano</t>
  </si>
  <si>
    <t>Sólidos (em toneladas de matéria seca por ano)</t>
  </si>
  <si>
    <t>6.3 Construção de nova infra-estrutura (sistemas de irrigação, edifícios, estradas)</t>
  </si>
  <si>
    <t>Sistemas de irrigação (em ha)</t>
  </si>
  <si>
    <t>Edifícios e estradas (em m2)</t>
  </si>
  <si>
    <t>Madeira</t>
  </si>
  <si>
    <t>Turfa</t>
  </si>
  <si>
    <t>Total para a energia</t>
  </si>
  <si>
    <t>Superfícies</t>
  </si>
  <si>
    <t>Superfície sem SRE</t>
  </si>
  <si>
    <t>Superfície com SRE</t>
  </si>
  <si>
    <t>Conjunto fixo de sprinkler implementavel</t>
  </si>
  <si>
    <t>Sprinklers permanentes</t>
  </si>
  <si>
    <t>Sistema de aspersão movel a mão</t>
  </si>
  <si>
    <t>Sprinkler automotora</t>
  </si>
  <si>
    <t>Sistema de aspersão com pivo central</t>
  </si>
  <si>
    <t>Sistema de aspersão móvel</t>
  </si>
  <si>
    <t>Gotejamento</t>
  </si>
  <si>
    <t>Total para construção</t>
  </si>
  <si>
    <t>Os factores de emissões</t>
  </si>
  <si>
    <t>Emissões no terreno</t>
  </si>
  <si>
    <t>tC / t de cal</t>
  </si>
  <si>
    <t>tCO2 / t CaCO3</t>
  </si>
  <si>
    <t>tC / t Urea</t>
  </si>
  <si>
    <t>kg de N-N2O / kg de N</t>
  </si>
  <si>
    <t>tCO2 / t N</t>
  </si>
  <si>
    <t>tCO2 / t P2O5</t>
  </si>
  <si>
    <t>tCO2 / t K2O</t>
  </si>
  <si>
    <t>tCO2 / t ingrediente ativo</t>
  </si>
  <si>
    <t>As emissões da produção, do transporte, do armazenamento e da transferência</t>
  </si>
  <si>
    <t>Unidade</t>
  </si>
  <si>
    <t>As perdas de energia elétrica durante o transporte</t>
  </si>
  <si>
    <t>t CO2 / m3</t>
  </si>
  <si>
    <t>t CO2 / t de matéria seca</t>
  </si>
  <si>
    <t>Edifícios e estradas</t>
  </si>
  <si>
    <t>kgCO2 / ha</t>
  </si>
  <si>
    <t>t CO2 / m2</t>
  </si>
  <si>
    <t>Como opção padrão EX-ACT considera que a uréia é importada e não conta este sumidouro, mas você pode forçar o cálculo para contabiliza-lo:</t>
  </si>
  <si>
    <t>Considerar o sumidoro durante a fabricação?</t>
  </si>
  <si>
    <t>Uréia</t>
  </si>
  <si>
    <t>A remoção de CO2 da atmosfera durante a produção de uréia é estimada no Setor dos "Processos Industriais e Uso dos Produtos" pelo país aonde a uréia foi produzida.</t>
  </si>
  <si>
    <t>Fator de emissão para o país selecionado</t>
  </si>
  <si>
    <t>Por favor, escolher o nome</t>
  </si>
  <si>
    <t>Unidade utilizada</t>
  </si>
  <si>
    <t>Sistemas de irrigação</t>
  </si>
  <si>
    <t>Componentes do projeto</t>
  </si>
  <si>
    <t>Resultado por ano</t>
  </si>
  <si>
    <t>Mudanças de uso da terra</t>
  </si>
  <si>
    <t>Por hectare por ano</t>
  </si>
  <si>
    <t>CO2-Biomassa</t>
  </si>
  <si>
    <t>Fluxos brutos</t>
  </si>
  <si>
    <t>Todos os GEE em tCO2eq</t>
  </si>
  <si>
    <t>Repartição do Balanço por GEE</t>
  </si>
  <si>
    <t>Biomassa</t>
  </si>
  <si>
    <t>Solo</t>
  </si>
  <si>
    <t>Desmatamento</t>
  </si>
  <si>
    <t>Reflorestamento</t>
  </si>
  <si>
    <t>Outros</t>
  </si>
  <si>
    <t>Pastagem &amp; Gados</t>
  </si>
  <si>
    <t>Gados</t>
  </si>
  <si>
    <t>Degradação e Manejo</t>
  </si>
  <si>
    <t>Insumos e Investimentos</t>
  </si>
  <si>
    <t>Por hectare</t>
  </si>
  <si>
    <t>CO2-Solo</t>
  </si>
  <si>
    <t>CO2-Outros</t>
  </si>
  <si>
    <t>Uso numa avaliação  simples da cadeia de valor</t>
  </si>
  <si>
    <t>Fluxos por componente</t>
  </si>
  <si>
    <t>Balanço por componente</t>
  </si>
  <si>
    <t>Total sem e com projeto e balanço</t>
  </si>
  <si>
    <t>Repartição do balanço por GEE (e com origem para o CO2)</t>
  </si>
  <si>
    <t>Floresta / Plantação</t>
  </si>
  <si>
    <t>Outras terras</t>
  </si>
  <si>
    <t>Degradada</t>
  </si>
  <si>
    <t>Terras úmidas</t>
  </si>
  <si>
    <t>Nível de incerteza</t>
  </si>
  <si>
    <t>Balanço líquido</t>
  </si>
  <si>
    <t>Incerteza total</t>
  </si>
  <si>
    <t>% de Incerteza</t>
  </si>
  <si>
    <t>Matrizes detalhada das mudanças</t>
  </si>
  <si>
    <t>Área Irrigada - ha</t>
  </si>
  <si>
    <t>Voltar aos resultados principais</t>
  </si>
  <si>
    <t>t de produto</t>
  </si>
  <si>
    <t>tCO2eq por t de produto</t>
  </si>
  <si>
    <t>Percentual de uso humano</t>
  </si>
  <si>
    <t>Emissões (tCO2 / t de produto)</t>
  </si>
  <si>
    <t>A área total deve ser igual em todas as situações: Verifique com cuidado todos os componentes</t>
  </si>
  <si>
    <t>Outros indicadores</t>
  </si>
  <si>
    <t>Culturas anuais</t>
  </si>
  <si>
    <t>Áreas  queimadas acumuladas - ha</t>
  </si>
  <si>
    <t>Oriundo do desmatamento</t>
  </si>
  <si>
    <t>Oriundo da degradação</t>
  </si>
  <si>
    <t>Produção</t>
  </si>
  <si>
    <t>Intensidade de emissão bruta</t>
  </si>
  <si>
    <t>Quantidade correspondente usada</t>
  </si>
  <si>
    <t>Todos as Mudanças de Uso da Terra</t>
  </si>
  <si>
    <t>Emissões detalhadas em t CO2 eq para as diferentes fases da cadeia de valor</t>
  </si>
  <si>
    <t>PRODUÇÃO (emissões calculadas em porcentagem da quantidade total utilizada)</t>
  </si>
  <si>
    <t>As emissões diretas e indiretas (induzida pela MUT, degradação, insumos e investimentos)</t>
  </si>
  <si>
    <t>PROCESSAMENTO (Listar os insumos ou processos necessários)</t>
  </si>
  <si>
    <t>Nome do insumo / processo</t>
  </si>
  <si>
    <t>Emissão por Insumos</t>
  </si>
  <si>
    <t>Insumos por t do produto</t>
  </si>
  <si>
    <t>Total do Transporte</t>
  </si>
  <si>
    <t>Inserir o nome abaixo</t>
  </si>
  <si>
    <t>PRODUÇÃO</t>
  </si>
  <si>
    <t>PROCESSAMENTO</t>
  </si>
  <si>
    <t>RESÍDUOS</t>
  </si>
  <si>
    <t>TRANSPORTE (listar os insumos ou processos necessários)</t>
  </si>
  <si>
    <t>USO (listar os insumos ou processos necessários)</t>
  </si>
  <si>
    <t>RESÍDUOS (listar os insumos ou processos necessários)</t>
  </si>
  <si>
    <t>Total para o Uso</t>
  </si>
  <si>
    <t>Total para o Processamento</t>
  </si>
  <si>
    <t>Total para os Resíduos</t>
  </si>
  <si>
    <t>Total das emissões em t CO2-eq para as diferentes etaps da cadeai de valor</t>
  </si>
  <si>
    <t>Solos minerais (ha)</t>
  </si>
  <si>
    <t>Matriz das mudanças</t>
  </si>
  <si>
    <t>Solos orgânicos (ha)</t>
  </si>
  <si>
    <t>Selecione o PAG para o cálculo</t>
  </si>
  <si>
    <t>Inglês</t>
  </si>
  <si>
    <t>Classificações dos Solos</t>
  </si>
  <si>
    <t>Ajuda "Clima": Para ajudar a determinar a categoria do clima com a TMA e PMA</t>
  </si>
  <si>
    <t>PMA</t>
  </si>
  <si>
    <t>* TMA afeta as emissões de metano provenientes do manejo de dejetos</t>
  </si>
  <si>
    <t>Temperatura Média Anual (TMA*) da região em °C</t>
  </si>
  <si>
    <t>Temperatura Média Anual (TAM*) em °C</t>
  </si>
  <si>
    <t>Precipitação Média Anual (PMA) em mm</t>
  </si>
  <si>
    <t>Úmido se PMA&gt;ETP e Seco se ETP&gt;PMA</t>
  </si>
  <si>
    <t>TMA e categoria do clima</t>
  </si>
  <si>
    <t>(ou Polar)</t>
  </si>
  <si>
    <t>Veja o mapa Global do Clima na FAO</t>
  </si>
  <si>
    <t>Nota: "Tropical montanhoso" é geralmente seco</t>
  </si>
  <si>
    <t>Zonas climáticas do IPCC</t>
  </si>
  <si>
    <t>TMA padrão</t>
  </si>
  <si>
    <t>Zonas climáticas simplificadas do IPCC</t>
  </si>
  <si>
    <t>Frio</t>
  </si>
  <si>
    <t>Quente</t>
  </si>
  <si>
    <t>Recursos da FAO:</t>
  </si>
  <si>
    <t>Mapas de TMA e PMA</t>
  </si>
  <si>
    <t>Média anual do total das chuvas</t>
  </si>
  <si>
    <t>Temperatura média anual</t>
  </si>
  <si>
    <t>LocClim foi desenvolvido para fornecer uma estimativa das condições climáticas nos locais para os quais não há observações disponíveis. Para conseguir isso, o programa usa os 28.800 estações de FAOCLIM 2.0</t>
  </si>
  <si>
    <t>Clique aqui para ir para o aplicativo</t>
  </si>
  <si>
    <t>Ir para a Web LocClim</t>
  </si>
  <si>
    <t>Zonas ecológicas globais, com base no clima e vegetação padrões observados (FAO, 2001). Os dados para sistemas de informações geográficas disponíveis no http://www.fao.org.</t>
  </si>
  <si>
    <t>Para obter dados climáticos on-line usando a localização ver também Web LocClim, o estimador de clima locais</t>
  </si>
  <si>
    <t>Zonas Ecológica Global</t>
  </si>
  <si>
    <t>Subtropical desert</t>
  </si>
  <si>
    <t>Estepe temperada</t>
  </si>
  <si>
    <t>Deserto tropical</t>
  </si>
  <si>
    <t>Deserto subtrocpial</t>
  </si>
  <si>
    <t>Deserto temperado</t>
  </si>
  <si>
    <t>(veja mapa abaixo)</t>
  </si>
  <si>
    <t>Taxa (%)</t>
  </si>
  <si>
    <t>Rendimento</t>
  </si>
  <si>
    <t>Região</t>
  </si>
  <si>
    <t>Ano</t>
  </si>
  <si>
    <t>Rendimento (t/ha)</t>
  </si>
  <si>
    <t>Períodos</t>
  </si>
  <si>
    <t>Média</t>
  </si>
  <si>
    <t>Projeções</t>
  </si>
  <si>
    <t>Esses dados são da FAOSTAT, se você precisar de informações mais detalhadas (por exemplo, por país), por favor acesse o site da FAO</t>
  </si>
  <si>
    <t>Habitação e alojamento (concreto)</t>
  </si>
  <si>
    <t>Construção agrícola (concreto)</t>
  </si>
  <si>
    <t>Construção agrícola (metal)</t>
  </si>
  <si>
    <t>Construção industrial  (concreto)</t>
  </si>
  <si>
    <t>Construção industrial  (metal)</t>
  </si>
  <si>
    <t>Garagem (concreto)</t>
  </si>
  <si>
    <t>Garagem (metal)</t>
  </si>
  <si>
    <t>Escritorio (concreto)</t>
  </si>
  <si>
    <t>Escritorio (metal)</t>
  </si>
  <si>
    <t>Outros (concreto)</t>
  </si>
  <si>
    <t>Outros (metal)</t>
  </si>
  <si>
    <t>Estrada para tráfego médio (concreto)</t>
  </si>
  <si>
    <t>Estrada para tráfego médio (asfalto)</t>
  </si>
  <si>
    <t>Estrada para tráfego intenso (concreto)</t>
  </si>
  <si>
    <t>Estrada para tráfego intenso (asfalto)</t>
  </si>
  <si>
    <t>Oficial (2° périodo 2013-2020)</t>
  </si>
  <si>
    <t>Oficial (1° périodo 2008-2012)</t>
  </si>
  <si>
    <t>Ultima atualização para os PAG-100 anos (IPCC-2013)</t>
  </si>
  <si>
    <t>Sem dominante</t>
  </si>
  <si>
    <t>Sem solo</t>
  </si>
  <si>
    <t>África</t>
  </si>
  <si>
    <t>Ásia</t>
  </si>
  <si>
    <t>Austrália e Nova Zelândia</t>
  </si>
  <si>
    <t>Ásia Central</t>
  </si>
  <si>
    <t>União Europeia</t>
  </si>
  <si>
    <t>Melanésia</t>
  </si>
  <si>
    <t>África do Norte</t>
  </si>
  <si>
    <t>Norte da Europa</t>
  </si>
  <si>
    <t>Polinésia</t>
  </si>
  <si>
    <t>América Do Sul</t>
  </si>
  <si>
    <t>Sudeste da Ásia</t>
  </si>
  <si>
    <t>África Austral</t>
  </si>
  <si>
    <t>África Central</t>
  </si>
  <si>
    <t>África do Oeste</t>
  </si>
  <si>
    <t>África do Leste</t>
  </si>
  <si>
    <t>Ásia do Leste</t>
  </si>
  <si>
    <t>Europa do Leste</t>
  </si>
  <si>
    <t>Ásia do Sul</t>
  </si>
  <si>
    <t>Europa do Sul</t>
  </si>
  <si>
    <t>Ásia do Oeste</t>
  </si>
  <si>
    <t>Cereals (Rice Milled Eqv)</t>
  </si>
  <si>
    <t>Feijão, seca</t>
  </si>
  <si>
    <t>Feijão, verde</t>
  </si>
  <si>
    <t>Cenouras e nabos</t>
  </si>
  <si>
    <t>Couve-flor e brócolis</t>
  </si>
  <si>
    <t>Cereais (arroz branqueado Eqv)</t>
  </si>
  <si>
    <t>Cereais, nes</t>
  </si>
  <si>
    <t>Grapefruit (inc. Pomelos)</t>
  </si>
  <si>
    <t>Cevada</t>
  </si>
  <si>
    <t>Castanha de caju, com casca</t>
  </si>
  <si>
    <t>Mandioca</t>
  </si>
  <si>
    <t>Castanhas</t>
  </si>
  <si>
    <t>Citricos, nes</t>
  </si>
  <si>
    <t>Caupi, seco</t>
  </si>
  <si>
    <t>Datas</t>
  </si>
  <si>
    <t>Beringelas</t>
  </si>
  <si>
    <t>Amendoins, com casca</t>
  </si>
  <si>
    <t>Mangas, mangostões, goiabas</t>
  </si>
  <si>
    <t>Cebolas, seca</t>
  </si>
  <si>
    <t>Pêssegos e nectarinas</t>
  </si>
  <si>
    <t>Abacaxis</t>
  </si>
  <si>
    <t>Fibras</t>
  </si>
  <si>
    <t>Legumes de vagem</t>
  </si>
  <si>
    <t>Uvas</t>
  </si>
  <si>
    <t>Linhaça</t>
  </si>
  <si>
    <t>Milho</t>
  </si>
  <si>
    <t>Milho, verde</t>
  </si>
  <si>
    <t>Milheto</t>
  </si>
  <si>
    <t>Aveia</t>
  </si>
  <si>
    <t>Palmeiras (frutas para oleo)</t>
  </si>
  <si>
    <t>Azeitonas</t>
  </si>
  <si>
    <t>Laranjas</t>
  </si>
  <si>
    <t>Plátanos</t>
  </si>
  <si>
    <t>Peas (grãos), verde</t>
  </si>
  <si>
    <t>Peas (grão), seco</t>
  </si>
  <si>
    <t>Batatas</t>
  </si>
  <si>
    <t>Leguminosas</t>
  </si>
  <si>
    <t>Raízes e tubérculos</t>
  </si>
  <si>
    <t>Centeio</t>
  </si>
  <si>
    <t>Tabaco, em bruto</t>
  </si>
  <si>
    <t>Algodão em caroço</t>
  </si>
  <si>
    <t>Semente de gergelim</t>
  </si>
  <si>
    <t>Morangos</t>
  </si>
  <si>
    <t>Beterraba sacarina</t>
  </si>
  <si>
    <t>Cana de açúcar</t>
  </si>
  <si>
    <t>Semente de girassol</t>
  </si>
  <si>
    <t>Batata-doce</t>
  </si>
  <si>
    <t>Tangerinas, mandarinas, Clem.</t>
  </si>
  <si>
    <t>Chá</t>
  </si>
  <si>
    <t>Vegetais frescos</t>
  </si>
  <si>
    <t>Ervilhaca</t>
  </si>
  <si>
    <t>Total do sist. arroz irrigado</t>
  </si>
  <si>
    <t>tCO2/MWh/yr</t>
  </si>
  <si>
    <t>tCO2/MWh/an</t>
  </si>
  <si>
    <t>tCO2/MWh/año</t>
  </si>
  <si>
    <t>tCO2/兆瓦时/年</t>
  </si>
  <si>
    <t>tCO2/МВт-ч/год</t>
  </si>
  <si>
    <t>tCO2/MWh / ano</t>
  </si>
  <si>
    <t>翻译</t>
  </si>
  <si>
    <t>ترجمة</t>
  </si>
  <si>
    <t>Perennial Syst 6</t>
  </si>
  <si>
    <t>Perennial Syst 7</t>
  </si>
  <si>
    <t>Perennial Syst 8</t>
  </si>
  <si>
    <t>Perennial Syst 9</t>
  </si>
  <si>
    <t>Perennial Syst 10</t>
  </si>
  <si>
    <t>Enter description of your system 6</t>
  </si>
  <si>
    <t>Enter description of your system 7</t>
  </si>
  <si>
    <t>Enter description of your system 8</t>
  </si>
  <si>
    <t>Enter description of your system 9</t>
  </si>
  <si>
    <t>Enter description of your system 10</t>
  </si>
  <si>
    <t>Specific factor</t>
  </si>
  <si>
    <t>Please set the non-UN Language</t>
  </si>
  <si>
    <t>Please select language interface</t>
  </si>
  <si>
    <t>Autres CUT</t>
  </si>
  <si>
    <t>* Nota respecto a las dinámicas de cambio: "D" corresponde a por defecto, "I" a Inmediato y "E" a exponencial (por favor, consulte la guía)</t>
  </si>
  <si>
    <t>3.1.2. Annual systems remaining annual systems (total area must remain constant)</t>
  </si>
  <si>
    <t>3.2.2. Perennial systems remaining perrenial systems (total area must remain constant)</t>
  </si>
  <si>
    <t>4.1.2. Grassland systems remaining grassland systems (total area must remain contant)</t>
  </si>
  <si>
    <t>4.1. Grassland systems</t>
  </si>
  <si>
    <t>Feeding practices: e.g. more concentrates, adding certain oils or oilseeds to the diet, improving pasture quality,…</t>
  </si>
  <si>
    <t>5.2.2. Active peat extraction</t>
  </si>
  <si>
    <t>6.1. Inputs (liming, fertilizers, pesticides, herbicides,…)</t>
  </si>
  <si>
    <t>6.2. Energy consumption (electricity, fuel,…)</t>
  </si>
  <si>
    <t>6.2. Consumo de energía (electricidad, combustible,..)</t>
  </si>
  <si>
    <t>(please select the country of origin)</t>
  </si>
  <si>
    <t>6.3. Construction of new infrastructure (irrigation systems, buildings, roads)</t>
  </si>
  <si>
    <t>6.3. Construcción de nueva infraestructura (sistemas de riego, construcciones, carreteras)</t>
  </si>
  <si>
    <t>Evolutions of land use / category (hectares - ha)</t>
  </si>
  <si>
    <t>Evolutions par mode d'usage / catégorie (en hectare, ha)</t>
  </si>
  <si>
    <t>Evolución por tipo de uso de la tierra / categoría (hectareas-ha)</t>
  </si>
  <si>
    <t>Evoluções por uso da terra / categoria (hectares - ha)</t>
  </si>
  <si>
    <t>These data are from FAOSTAT, if you need more detailed information (e.g. by country) please visit the FAO website</t>
  </si>
  <si>
    <t>Non dominant</t>
  </si>
  <si>
    <t>Bitte auswählen</t>
  </si>
  <si>
    <t>Afrika</t>
  </si>
  <si>
    <t>Asien (Kontinental)</t>
  </si>
  <si>
    <t>Asien (Indischer Subkontinent)</t>
  </si>
  <si>
    <t>Mittlerer Osten</t>
  </si>
  <si>
    <t>Westeuropa</t>
  </si>
  <si>
    <t>Osteuropa</t>
  </si>
  <si>
    <t>Ozeanien</t>
  </si>
  <si>
    <t>Nordamerika</t>
  </si>
  <si>
    <t>Zentralamerika</t>
  </si>
  <si>
    <t>Südamerika</t>
  </si>
  <si>
    <t>Kühl-gemässigt</t>
  </si>
  <si>
    <t>Warm-gemässigt</t>
  </si>
  <si>
    <t>Tropisch</t>
  </si>
  <si>
    <t>Tropisch-bergig</t>
  </si>
  <si>
    <t>Trocken</t>
  </si>
  <si>
    <t>Feucht</t>
  </si>
  <si>
    <t>Nass</t>
  </si>
  <si>
    <t>HAC Böden</t>
  </si>
  <si>
    <t>LAC Böden</t>
  </si>
  <si>
    <t>Sandböden</t>
  </si>
  <si>
    <t>Spodische Böden (Spodic Soils)</t>
  </si>
  <si>
    <t>Vulkanische Böden</t>
  </si>
  <si>
    <t>Feuchtgebiete</t>
  </si>
  <si>
    <t>Andere Bodenarten</t>
  </si>
  <si>
    <t>Bitte wählen Sie den Klimatyp</t>
  </si>
  <si>
    <t>Tropischer Regenwald</t>
  </si>
  <si>
    <t>Tropisch-feuchter Laubwald</t>
  </si>
  <si>
    <t>Tropischer Trockenwald</t>
  </si>
  <si>
    <t>Tropisches Buschland</t>
  </si>
  <si>
    <t>Subtropischer Feuchtwald</t>
  </si>
  <si>
    <t>Subtropischer Trockenwald</t>
  </si>
  <si>
    <t>Subtropische Steppe</t>
  </si>
  <si>
    <t>Subtropisches Bergklima</t>
  </si>
  <si>
    <t>Gemässigt ozeanischer Wald</t>
  </si>
  <si>
    <t>Gemässigt kontinentaler Wald</t>
  </si>
  <si>
    <t>Gemässigtes Bergklima</t>
  </si>
  <si>
    <t>Borealer Nadelwald</t>
  </si>
  <si>
    <t>Borealer Tundra Wald</t>
  </si>
  <si>
    <t>Boreales Bergklima</t>
  </si>
  <si>
    <t>Tropisches Bergklima</t>
  </si>
  <si>
    <t>Waldtyp 1</t>
  </si>
  <si>
    <t>Waldtyp 2</t>
  </si>
  <si>
    <t>Waldtyp 3</t>
  </si>
  <si>
    <t>Waldtyp 4</t>
  </si>
  <si>
    <t>Baumplantagentyp 1</t>
  </si>
  <si>
    <t>Baumplantagentyp 2</t>
  </si>
  <si>
    <t>Baumplantagentyp 3</t>
  </si>
  <si>
    <t>Baumplantagentyp 4</t>
  </si>
  <si>
    <t>Wählen Sie die Vegetation</t>
  </si>
  <si>
    <t>Nein</t>
  </si>
  <si>
    <t xml:space="preserve">Ja </t>
  </si>
  <si>
    <t>Einjährige Kulturpflanze</t>
  </si>
  <si>
    <t>Mehrjährige Kulturpflanze</t>
  </si>
  <si>
    <t>Nassreis</t>
  </si>
  <si>
    <t>Stilllegungsflächen</t>
  </si>
  <si>
    <t>Weideland</t>
  </si>
  <si>
    <t>Degradiert</t>
  </si>
  <si>
    <t>Andere (nominal)</t>
  </si>
  <si>
    <t>Andere (degradiert)</t>
  </si>
  <si>
    <t>Wählen Sie die vorherige Landnutzung</t>
  </si>
  <si>
    <t>Mehrjährige Kulturpflanze/Baumplantage (&lt;5 Jahre)</t>
  </si>
  <si>
    <t>Mehrjährige Kulturpflanze/Baumplantage (6-10 Jahre)</t>
  </si>
  <si>
    <t>Mehrjährige Kulturpflanze/Baumplantage (&gt;10 Jahre)</t>
  </si>
  <si>
    <t>Degradiertes Land</t>
  </si>
  <si>
    <t>Wählen Sie die ursprüngliche Landnutzung</t>
  </si>
  <si>
    <t>Andere Landnutzung</t>
  </si>
  <si>
    <t>Wählen Sie die finale Landnutzung</t>
  </si>
  <si>
    <t>Mehrjährige Kulturpflanze/Baumplantage</t>
  </si>
  <si>
    <t>Ursprüngliche Landnutzung</t>
  </si>
  <si>
    <t>Finale Landnutzung</t>
  </si>
  <si>
    <t>Ursprünglich=Final: Korrektur erforderlich.</t>
  </si>
  <si>
    <t>Bewässerungsmethode</t>
  </si>
  <si>
    <t>Bewässert - kontinuierliche Überflutung</t>
  </si>
  <si>
    <t>Bewässert - zwischenzeitliche Überflutung</t>
  </si>
  <si>
    <t>Regenalimentiert - kontinuierliche Überflutung</t>
  </si>
  <si>
    <t>Bewässerungsmethode der Vorsaison</t>
  </si>
  <si>
    <t>Nicht überflutete Vorsaison &lt;180 Tage</t>
  </si>
  <si>
    <t>Nicht überflutete Vorsaison &gt;180 Tage</t>
  </si>
  <si>
    <t>Vorsaison mit Überflutung (&gt;30 Tage)</t>
  </si>
  <si>
    <t>Bitte wählen Sie den organischen Dünger</t>
  </si>
  <si>
    <t>Stroh verbrannt</t>
  </si>
  <si>
    <t>Stroh abgetragen</t>
  </si>
  <si>
    <t>Stroh eingearbeitet (&lt;30 Tage vor der Kultivation)</t>
  </si>
  <si>
    <t>Stroh eingearbeitet (&gt;30 Tage vor der Kultivation)</t>
  </si>
  <si>
    <t>Kompost</t>
  </si>
  <si>
    <t>Farm Mist</t>
  </si>
  <si>
    <t>Gründüngung</t>
  </si>
  <si>
    <t>Ziegen</t>
  </si>
  <si>
    <t>Kamele</t>
  </si>
  <si>
    <t>Pferde</t>
  </si>
  <si>
    <t>Maultiere und Esel</t>
  </si>
  <si>
    <t>Geflügel</t>
  </si>
  <si>
    <t>Hirsche</t>
  </si>
  <si>
    <t>Nicht degradiert</t>
  </si>
  <si>
    <t>Stark degradiert</t>
  </si>
  <si>
    <t>Mäßig degradiert</t>
  </si>
  <si>
    <t>Verbesserung/Rehabilitierung (ohne Inputs)</t>
  </si>
  <si>
    <t>Verbesserung/Rehabilitierung (mit Inputs)</t>
  </si>
  <si>
    <t>Wählen Sie den Zustand</t>
  </si>
  <si>
    <t>Wählen Sie das Ausmass</t>
  </si>
  <si>
    <t>Keine</t>
  </si>
  <si>
    <t>Sehr niedrig</t>
  </si>
  <si>
    <t>Niedrig</t>
  </si>
  <si>
    <t>Mäßig</t>
  </si>
  <si>
    <t xml:space="preserve">Stark  </t>
  </si>
  <si>
    <t>Oberflächenbewässerung ohne IRSS</t>
  </si>
  <si>
    <t>Oberflächenbewässerung  mit IRSS</t>
  </si>
  <si>
    <t>Sprinklerbewässerung: Solid set sprinkle</t>
  </si>
  <si>
    <t>Sprinklerbewässerung: Permanent sprinkle</t>
  </si>
  <si>
    <t>Sprinklerbewässerung: Hand moved sprinkle</t>
  </si>
  <si>
    <t>Sprinklerbewässerung: Solid roll sprinkle</t>
  </si>
  <si>
    <t>Sprinklerbewässerung: Center-pivot sprinkle</t>
  </si>
  <si>
    <t>Sprinklerbewässerung: Traveler sprinkle</t>
  </si>
  <si>
    <t>Tropfenbewässerung</t>
  </si>
  <si>
    <t>Wohngebäude (Beton)</t>
  </si>
  <si>
    <t>Landwirtschaftsgebäude (Beton)</t>
  </si>
  <si>
    <t>Landwirtschaftsgebäude (Metall)</t>
  </si>
  <si>
    <t>Industriegebäude (Beton)</t>
  </si>
  <si>
    <t>Industriegebäude (Metall)</t>
  </si>
  <si>
    <t>Garage (Beton)</t>
  </si>
  <si>
    <t>Garage (Metall)</t>
  </si>
  <si>
    <t>Büros (Beton)</t>
  </si>
  <si>
    <t>Büros (Metall)</t>
  </si>
  <si>
    <t>Andere (Beton)</t>
  </si>
  <si>
    <t>Andere (Metall)</t>
  </si>
  <si>
    <t>Straße für mittelstarken Verkehr (Beton)</t>
  </si>
  <si>
    <t>Straße für mittelstarken Verkehr (Asphalt)</t>
  </si>
  <si>
    <t>Straße für intensiven Verkehr (Beton)</t>
  </si>
  <si>
    <t>Straße für intensiven Verkehr (Asphalt)</t>
  </si>
  <si>
    <t>Offiziell (erster Inventar Zeitraum 2008-2012)</t>
  </si>
  <si>
    <t>Offiziell (zweiter Inventar Zeitraum 2013-2020)</t>
  </si>
  <si>
    <t>Letztes Update für GWP100 (IPCC 2013)</t>
  </si>
  <si>
    <t>Kein dominanter</t>
  </si>
  <si>
    <t>Asien</t>
  </si>
  <si>
    <t>Australien &amp; Neuseeland</t>
  </si>
  <si>
    <t>Karibik</t>
  </si>
  <si>
    <t>Mittelamerika</t>
  </si>
  <si>
    <t>Zentralasien</t>
  </si>
  <si>
    <t>Ostafrika</t>
  </si>
  <si>
    <t>Ostasien</t>
  </si>
  <si>
    <t>Europäische Union</t>
  </si>
  <si>
    <t>Melanesien</t>
  </si>
  <si>
    <t>Mikronesien</t>
  </si>
  <si>
    <t>Zentralafrika</t>
  </si>
  <si>
    <t>Nordafrika</t>
  </si>
  <si>
    <t>Nordeuropa</t>
  </si>
  <si>
    <t>Polynesien</t>
  </si>
  <si>
    <t>Süd-Ost-Asien</t>
  </si>
  <si>
    <t>Südliches Afrika</t>
  </si>
  <si>
    <t>Südasien</t>
  </si>
  <si>
    <t>Südeuropa</t>
  </si>
  <si>
    <t>Westafrika</t>
  </si>
  <si>
    <t>Westasien</t>
  </si>
  <si>
    <t>Welt</t>
  </si>
  <si>
    <t>Bananen</t>
  </si>
  <si>
    <t>Gerste</t>
  </si>
  <si>
    <t>Bohnen, trocken</t>
  </si>
  <si>
    <t>Bohnen, grüne</t>
  </si>
  <si>
    <t>Karotten und Rüben</t>
  </si>
  <si>
    <t>Cashew-Nüsse, mit Schale</t>
  </si>
  <si>
    <t>Maniok</t>
  </si>
  <si>
    <t>Blumenkohl und Brokkoli</t>
  </si>
  <si>
    <t>Getreide (Reis gemahlenes Eqv)</t>
  </si>
  <si>
    <t>Getreide, andere</t>
  </si>
  <si>
    <t>Kastanien</t>
  </si>
  <si>
    <t>Zitrusfrüchte, andere</t>
  </si>
  <si>
    <t>Kaffee, grün</t>
  </si>
  <si>
    <t>Kuhbohnen, Trocken</t>
  </si>
  <si>
    <t>Datteln</t>
  </si>
  <si>
    <t>Auberginen</t>
  </si>
  <si>
    <t>Faserpflanzen, andere</t>
  </si>
  <si>
    <t>Grapefruit</t>
  </si>
  <si>
    <t>Trauben</t>
  </si>
  <si>
    <t>Erdnüsse mit Schale</t>
  </si>
  <si>
    <t>Hülsenfrüchte, andere</t>
  </si>
  <si>
    <t>Leinsamen</t>
  </si>
  <si>
    <t>Mais</t>
  </si>
  <si>
    <t>Mais, grün</t>
  </si>
  <si>
    <t>Mangos, Mangostanfrüchte , Guaven</t>
  </si>
  <si>
    <t>Hirse</t>
  </si>
  <si>
    <t>Hafer</t>
  </si>
  <si>
    <t>Ölpalmfrucht</t>
  </si>
  <si>
    <t>Oliven</t>
  </si>
  <si>
    <t>Zwiebeln, trocken</t>
  </si>
  <si>
    <t>Orangen</t>
  </si>
  <si>
    <t>Pfirsiche und Nektarinen</t>
  </si>
  <si>
    <t>Erbsen, trocken</t>
  </si>
  <si>
    <t>Erbsen, grüne</t>
  </si>
  <si>
    <t>Kochbananen</t>
  </si>
  <si>
    <t>Kartoffeln</t>
  </si>
  <si>
    <t>Quinoa/Andenhirse</t>
  </si>
  <si>
    <t>Reis</t>
  </si>
  <si>
    <t>Wurzeln und Knollen, andere</t>
  </si>
  <si>
    <t>Roggen</t>
  </si>
  <si>
    <t>Saat-Baumwolle</t>
  </si>
  <si>
    <t>Sesamsamen</t>
  </si>
  <si>
    <t>Sorgum</t>
  </si>
  <si>
    <t>Sojabohnen</t>
  </si>
  <si>
    <t>Erdbeeren</t>
  </si>
  <si>
    <t>Zuckerrübe</t>
  </si>
  <si>
    <t>Zuckerrohr</t>
  </si>
  <si>
    <t>Sonnenblumenkern</t>
  </si>
  <si>
    <t>Süßkartoffeln</t>
  </si>
  <si>
    <t>Mandarinen, Clementinen</t>
  </si>
  <si>
    <t>Tee</t>
  </si>
  <si>
    <t>Tabak, unverarbeitet</t>
  </si>
  <si>
    <t>Tomaten</t>
  </si>
  <si>
    <t>Gemüse frisch, anderes</t>
  </si>
  <si>
    <t>Wicken</t>
  </si>
  <si>
    <t>Weizen</t>
  </si>
  <si>
    <t>Deutsch</t>
  </si>
  <si>
    <t>Haftungsausschlußklausel</t>
  </si>
  <si>
    <t>FAO übernimmt keinerlei Haftung für Fehler oder Mängel in der Datenbank oder Software, in der beigefügten Dokumentation, für die Programm Wartung und Modernisierung sowie für Schäden, die daraus entstehen können. FAO übernimmt zudem keinerlei Haftung für Datenaktualisierung oder für etwaige Fehler und Auslassungen in den Daten. Benutzer werden jedoch gebeten, FAO auf etwaige Fehler oder Mängel in diesem Produkt aufmerksam zu machen.</t>
  </si>
  <si>
    <t>Berechnungen mit der beigefügten Software sind die des Autors und stellen nicht notwendigerweise die Ansichten und Entscheidungen der Welternährungsorganisation der Vereinten Nationen dar.</t>
  </si>
  <si>
    <t>© FAO (2013)
FAO fördert die Nutzung, Vervielfältigung und Verbreitung dieses Produktes. Sofern nicht anders angegeben, kann das Material zum eigenen Gebrauch, für Forschung und Lehre, oder für den Einsatz in nicht-kommerziellen Produkten oder Dienstleistungen kopiert, heruntergeladen und gedruckt werden. FAO muss als Quelle und Urheberrechtsinhaber angegeben werden. Billigung und Befürwortung von externen Auffassungen, Produkten oder Dienstleistungen durch die FAO leitet sich daraus in keiner Weise ab.
Alle Anträge auf Übersetzungs- und Abstimmungsrechte und für den Weiterverkauf und andere kommerzielle Nutzungsrechte müssen via www.fao.org/contact-us/licence-request oder an copyright@fao.org gerichtet werden.</t>
  </si>
  <si>
    <t>Projektname</t>
  </si>
  <si>
    <t>Kontinent</t>
  </si>
  <si>
    <t>Klima</t>
  </si>
  <si>
    <t>Feuchtigkeitsbedingungen</t>
  </si>
  <si>
    <t>Projektdauer (in Jahren)</t>
  </si>
  <si>
    <t>Durchführungsphase</t>
  </si>
  <si>
    <t>Kapitalisierungsphase</t>
  </si>
  <si>
    <t>Gesamtberechnungszeitraum</t>
  </si>
  <si>
    <t>Klima ?</t>
  </si>
  <si>
    <t>Bodentyp ?</t>
  </si>
  <si>
    <t>2.1. Abholzung</t>
  </si>
  <si>
    <t>Karte der AEZ</t>
  </si>
  <si>
    <t>Vegetationstyp</t>
  </si>
  <si>
    <t>der abgeholzt wird</t>
  </si>
  <si>
    <t>Landnutzung nach der Abholzung</t>
  </si>
  <si>
    <t>Bewaldetes Gebiet (ha)</t>
  </si>
  <si>
    <t>Abgeholztes Gebiet (ha)</t>
  </si>
  <si>
    <t>Bilanz</t>
  </si>
  <si>
    <t>(tDM/ha)</t>
  </si>
  <si>
    <t>#Abgetragene Holzernte</t>
  </si>
  <si>
    <t>Gesamt: Abholzung</t>
  </si>
  <si>
    <t>Ohne</t>
  </si>
  <si>
    <t xml:space="preserve">Mit </t>
  </si>
  <si>
    <t>2.2. Aufforstung und Wiederaufforstung</t>
  </si>
  <si>
    <t>Vorherige Landnutzung</t>
  </si>
  <si>
    <t>Hinweis</t>
  </si>
  <si>
    <t>Folgende Vegetationen wurden als genutzt angegeben</t>
  </si>
  <si>
    <t>Der nachfolgende Abschnitt richtet sich nur an Nutzer mit Tier 2 Daten</t>
  </si>
  <si>
    <t>Alle Angaben sind in Tonnen Kohlenstoff per ha (t C/ha)</t>
  </si>
  <si>
    <t>Oberirdisch</t>
  </si>
  <si>
    <t>Unterirdisch</t>
  </si>
  <si>
    <t>Waldstreu</t>
  </si>
  <si>
    <t>Alt-/Totholz</t>
  </si>
  <si>
    <t>Bodenkohlenstoff</t>
  </si>
  <si>
    <t>der gepflanzt wird</t>
  </si>
  <si>
    <t>Wachstumsrate (bis Jahr 20)</t>
  </si>
  <si>
    <t>Wachstumsrate (nach Jahr 20)</t>
  </si>
  <si>
    <t>3.1. Einjährige Kulturpflanzen (einschliesslich mehrjähriger Pflanzen mit einjähriger Fruchtfolge, wie etwa Baumwolle und Zuckerrohr)</t>
  </si>
  <si>
    <t>Ertrag?</t>
  </si>
  <si>
    <t>Kurzbeschreibung</t>
  </si>
  <si>
    <t>Allgemeine verbesserte Anbaumethoden</t>
  </si>
  <si>
    <t>Nährstoffmanagement</t>
  </si>
  <si>
    <t>Bewässerung</t>
  </si>
  <si>
    <t>Mist- und Gülledüngung</t>
  </si>
  <si>
    <t xml:space="preserve">Ertrag </t>
  </si>
  <si>
    <t>Kurzbeschreibung?</t>
  </si>
  <si>
    <t>Gebiet (ha)</t>
  </si>
  <si>
    <t>3.1.2. Dauerhaft einjährige Kulturpflanzen ohne Landnutzungsänderung (Gesamtgebiet bleibt konstant)</t>
  </si>
  <si>
    <t>Gesamtgebiet (ha)</t>
  </si>
  <si>
    <t>Gesamt: Einjährige Kulturpflanzen</t>
  </si>
  <si>
    <t>3.2. Mehrjährige Kulturpflanzen</t>
  </si>
  <si>
    <t>Mehrjährige Kulturpflanzen auf abgeholztem Waldgebiet</t>
  </si>
  <si>
    <t>Gesamt: Mehrjährige Kulturpflanzen</t>
  </si>
  <si>
    <t>3.2.2. Dauerhaft mehrjährige Kulturpflanzen ohne Landnutzungsänderung (Gesamtgebiet bleibt konstant)</t>
  </si>
  <si>
    <t>3.3. Nassreisanbau</t>
  </si>
  <si>
    <t>Anbaudauer (Tage)</t>
  </si>
  <si>
    <t>Bewässerungstyp</t>
  </si>
  <si>
    <t>Während der Anbauphase</t>
  </si>
  <si>
    <t>Vor der Anbauphase</t>
  </si>
  <si>
    <t>Organische Düngung (Stroh o.ä.)</t>
  </si>
  <si>
    <t>3.3.2. Dauerhafter Nassreisanbau ohne Landnutzungsänderung (Gesamtgebiet bleibt konstant)</t>
  </si>
  <si>
    <t>Gesamt: Nassreisanbau</t>
  </si>
  <si>
    <t>Systeme</t>
  </si>
  <si>
    <t>Rate der Kohlenstoffabsorbtion</t>
  </si>
  <si>
    <t>(t Trockensubstanz pro ha)</t>
  </si>
  <si>
    <t>Einjährige Kulturpflanzen nach (oder vor) anderer Landnutzung</t>
  </si>
  <si>
    <t>Dauerhaft einjährige Kulturpflanzen</t>
  </si>
  <si>
    <t>Feuernutzung (Menge and Ernterückständen und Periodizität)</t>
  </si>
  <si>
    <t>Periodizität (Jahre)</t>
  </si>
  <si>
    <t>Mehrjährige Kulturpflanzen nach (oder vor) anderen Landnutzungsformen</t>
  </si>
  <si>
    <t>Flächen dauerhaft mehrjährige Kulturpflanzen</t>
  </si>
  <si>
    <t>Menge an verbranntem Stroh</t>
  </si>
  <si>
    <t>Nassreisanbau nach (oder vor) anderer Landnutzung</t>
  </si>
  <si>
    <t>Dauerhafter Nassreisanbau</t>
  </si>
  <si>
    <t>Bewässerungstyp vor der Anbauphase (Das beigefügte Schema stellt den Nassreisanbau als graue Fläche dar).</t>
  </si>
  <si>
    <t>Unbewässerte Vorsaison &lt;180 Tage</t>
  </si>
  <si>
    <t>Unbewässerte Vorsaison &gt;180 Tage</t>
  </si>
  <si>
    <t>Bewässerte Vorsaison (&gt;30 Tage)</t>
  </si>
  <si>
    <t>Landbewirtschaftungsoptionen</t>
  </si>
  <si>
    <t>Definition der Landbewirtschaftungsoptionen</t>
  </si>
  <si>
    <t>Nutzung verbesserten Saatguts, gezielte Fruchtfolgen, erhöter Ertrag von Stroh und Ernterückständen.</t>
  </si>
  <si>
    <t>Erhöte effizienz der Stickstoffdüngung, verringerte Stickstoffverluste: Mikrodosierung, Anpassung von Intensität, Zeitpunkt und Plazierung von Düngemitteln.</t>
  </si>
  <si>
    <t>Anwendung von Methoden reduzierter Bodenbearbeitung (zero/reduced tillage), mit oder ohne Einarbeitung von Ernterückständen, einschliesslich Conservation Agriculture.</t>
  </si>
  <si>
    <t>Anwendung von effektiven Bewässerungsmethoden.</t>
  </si>
  <si>
    <t>Düngung mit Stallmist und Gülle. Applizierung von aufgearbeiteten Klärschlämmen.</t>
  </si>
  <si>
    <t>4.1.1. Weideland konvertiert von oder zu anderer Landnutzung (Zuvor ist Modul 2.LUC auszufüllen)</t>
  </si>
  <si>
    <t>4.1.2. Dauerhaftes Weideland ohne Landnutzungsänderung (Gesamtgebiet bleibt konstant)</t>
  </si>
  <si>
    <t>Regelmässige Feuernutzung</t>
  </si>
  <si>
    <t xml:space="preserve">Gesamtemissionen  </t>
  </si>
  <si>
    <t>(Jahr)</t>
  </si>
  <si>
    <t>Periodizität</t>
  </si>
  <si>
    <t>Ohne Projekt</t>
  </si>
  <si>
    <t>Mit Projekt</t>
  </si>
  <si>
    <t>Finaler Zustand des Weidelandes</t>
  </si>
  <si>
    <t>Gesamt: Weideland</t>
  </si>
  <si>
    <t>4.2 Viehwirtschaft (und Stallmistverwertung)</t>
  </si>
  <si>
    <t>Vieharten</t>
  </si>
  <si>
    <t>Viehbestände (Jahresdurchschnitt)</t>
  </si>
  <si>
    <t>Massnahmen zur Emissionsverminderung</t>
  </si>
  <si>
    <t>Produktionsmenge (Fleisch, Milch, etc)</t>
  </si>
  <si>
    <t>Fütterung*</t>
  </si>
  <si>
    <t>Spezialsubstanzen*</t>
  </si>
  <si>
    <t>Zuchtmassnahmen*</t>
  </si>
  <si>
    <t>in jährlich produzierten Tonnen</t>
  </si>
  <si>
    <t>Milchkühe</t>
  </si>
  <si>
    <t>Andere Rinderzucht</t>
  </si>
  <si>
    <t>Büffel</t>
  </si>
  <si>
    <t>Schaafe</t>
  </si>
  <si>
    <t>Schweine (Mast)</t>
  </si>
  <si>
    <t>Schweine (Zucht)</t>
  </si>
  <si>
    <t>Fütterung: Z.B. Erhöhter Anteil von Kraftfutter, Ölsaaten, oder Verbesserung der Qualität des Weidelandes,...</t>
  </si>
  <si>
    <t>Spezialsubstanzen: Verfütterung von Spezialsubstanzen und Futterzusatzstoffen, die die Methanproduktion reduzieren (Ionophore, Impfungen, Rinder-Somatotropin/bST...)</t>
  </si>
  <si>
    <t>Zuchtmassnahmen: Erhöhte Produktivität und verbesserte Haltungsmethoden (Veringerung des unproduktiven Herdenanteils)</t>
  </si>
  <si>
    <t>Gesamt: Viehwirtschaft</t>
  </si>
  <si>
    <t>Höhe des Bestandes an Bodenkohlenstoff</t>
  </si>
  <si>
    <t>Leicht degradiert</t>
  </si>
  <si>
    <t>Verbrennung</t>
  </si>
  <si>
    <t>% der Biomasse die von Verbrännung betroffen ist</t>
  </si>
  <si>
    <t>Jahresdurchschnittstemperatur der Region (in Grad Celcius)</t>
  </si>
  <si>
    <t>(Temperaturen beeinflussen Emissionen von Stallmist und Dung)</t>
  </si>
  <si>
    <t>Regionstyp</t>
  </si>
  <si>
    <t>(bitte auswählen, wenn möglich)</t>
  </si>
  <si>
    <t>Emissionsfaktor für N2O von Stallmist und Dung</t>
  </si>
  <si>
    <t>Weideland und Koppel</t>
  </si>
  <si>
    <t>Andere</t>
  </si>
  <si>
    <t>Enterogene Fermentation</t>
  </si>
  <si>
    <t>% korrespondierend zu Haltung auf Weideland und Koppel</t>
  </si>
  <si>
    <t>Metanemissionen von Stallmist und Dung</t>
  </si>
  <si>
    <t>5.1. Walddegradierung und Management</t>
  </si>
  <si>
    <t>Ausmass an Degradierung</t>
  </si>
  <si>
    <t xml:space="preserve">Finaler Zustand  </t>
  </si>
  <si>
    <t>der degradiert wird</t>
  </si>
  <si>
    <t>Feuernutzung (Intensität und Periodizität)</t>
  </si>
  <si>
    <t>Gesamt: Walddegradierung und Management</t>
  </si>
  <si>
    <t>(% betroffen von Feuer)</t>
  </si>
  <si>
    <t>Intensität</t>
  </si>
  <si>
    <t>5.2. Degradierung organischer Böden (Torfland)</t>
  </si>
  <si>
    <t>5.2.1 Entwässerung/Dränage organischer Böden (Torfland)</t>
  </si>
  <si>
    <t>betroffen von Entwässerung</t>
  </si>
  <si>
    <t>Gebiet mit entwässertem Torfland (ha)</t>
  </si>
  <si>
    <t>Bewirtschafteter Wald</t>
  </si>
  <si>
    <t>Einjährige Kulturpflanzen</t>
  </si>
  <si>
    <t>Mehrjährige Kulturpflanzen</t>
  </si>
  <si>
    <t>Gesamt: Entwässerung/Drainage</t>
  </si>
  <si>
    <t>5.2.2. Torfgewinnung</t>
  </si>
  <si>
    <t>Torfart</t>
  </si>
  <si>
    <t>Nährstoffarme Torfböden</t>
  </si>
  <si>
    <t>Nährstoffreiche Torfböden</t>
  </si>
  <si>
    <t>Gesamt: Torfgewinnung</t>
  </si>
  <si>
    <t>Ausmass an Degradierung (% von verringerter Biomasse)</t>
  </si>
  <si>
    <t>Emissionen aufgrund von C Verlusten druch Torflandentwässerung</t>
  </si>
  <si>
    <t>On-site Emissionen der Torfgewinnung</t>
  </si>
  <si>
    <t>6.1. Inputs (Kalk, Düngemittel, Pestizide, Herbizide,…)</t>
  </si>
  <si>
    <t>Produkttyp und Masseinheit</t>
  </si>
  <si>
    <t>Angewandte Produktmenge (per Jahr)</t>
  </si>
  <si>
    <t>Düngeinduzierte Feldemissionen (tCO2-eq)</t>
  </si>
  <si>
    <t>Emissionen von Produktion, Transport, Lagerung und Anwendung (tCO2-eq)</t>
  </si>
  <si>
    <t>Kalk Anwendung</t>
  </si>
  <si>
    <t>Kalkstein (Tonnen pro Jahr)</t>
  </si>
  <si>
    <t>Dolomit (Tonnen pro Jahr)</t>
  </si>
  <si>
    <t>unspezifisch (Tonnen pro Jahr)</t>
  </si>
  <si>
    <t>Düngemittel</t>
  </si>
  <si>
    <t>Phosphor (Tonnen von P205 pro Jahr)</t>
  </si>
  <si>
    <t>Kalium (Tonnen von K2O pro Jahr)</t>
  </si>
  <si>
    <t>Pestizide</t>
  </si>
  <si>
    <t>Herbizide (Tonnen aktiver Wirkstoffe pro Jahr)</t>
  </si>
  <si>
    <t>Insektizide (Tonnen aktiver Wirkstoffe pro Jahr)</t>
  </si>
  <si>
    <t>Fungizide (Tonnen aktiver Wirkstoffe pro Jahr)</t>
  </si>
  <si>
    <t>Gesamt: Inputs</t>
  </si>
  <si>
    <t>CO2 Emissionsen</t>
  </si>
  <si>
    <t>N2O Emissionen</t>
  </si>
  <si>
    <t>6.2. Energieverbrauch</t>
  </si>
  <si>
    <t>Verbrauchsmenge pro Jahr</t>
  </si>
  <si>
    <t>Elektrizität (MWh pro Jahr)</t>
  </si>
  <si>
    <t>(Bitte spezifizieren Sie das Produktionsland)</t>
  </si>
  <si>
    <t>Flüssig oder Gasförmig (in m3 pro Jahr)</t>
  </si>
  <si>
    <t>Diesel</t>
  </si>
  <si>
    <t>Benzin</t>
  </si>
  <si>
    <t>Gas (LPG/Erdgas)</t>
  </si>
  <si>
    <t>Butangas</t>
  </si>
  <si>
    <t>Propangas</t>
  </si>
  <si>
    <t>Festbrennstoffe (Tonnen Trockenmsse per Jahr)</t>
  </si>
  <si>
    <t>Holz</t>
  </si>
  <si>
    <t>Ton</t>
  </si>
  <si>
    <t>Gesamt: Energie</t>
  </si>
  <si>
    <t>6.3. Bau von Infrastruktur (Bewässerungssysteme, Gebäude, Strassen)</t>
  </si>
  <si>
    <t>Grundfläche</t>
  </si>
  <si>
    <t>Bewässerungssysteme (ha)</t>
  </si>
  <si>
    <t>Gebäude und Strassen (m2)</t>
  </si>
  <si>
    <t>Gesamt: Bau von Infrastruktur</t>
  </si>
  <si>
    <t>Emissionsfaktoren</t>
  </si>
  <si>
    <t>CO2 Emissionen</t>
  </si>
  <si>
    <t xml:space="preserve">Feldemissionen </t>
  </si>
  <si>
    <t>Emissionen von Produktion, Transport, Lagerung und Anwendung</t>
  </si>
  <si>
    <t>Masseinheit</t>
  </si>
  <si>
    <t>tC/t Kalk</t>
  </si>
  <si>
    <t>tCO2/t aktiver Wirkstoff</t>
  </si>
  <si>
    <t>CO2-Bindung während der Harnstoff Produktion wird innerhalb des Sektors Industrieprozesse und Produktnutzungssektor des produzierenden Landes bilanziert.</t>
  </si>
  <si>
    <t>Die Standardeinstellung in EX-ACT geht davon aus, dass Harnstoff importiert wird und berücksichtig dementsprechend die entstehende Kohlenstoff-Bindung nicht. Sie können dies jedoch manuell umstellen.</t>
  </si>
  <si>
    <t>Kohlenstoffbindung der Harnstoff Produktion berücksichtigen?</t>
  </si>
  <si>
    <t xml:space="preserve">Harnstoff  </t>
  </si>
  <si>
    <t>Emissionsfaktor des ausgewählten Landes</t>
  </si>
  <si>
    <t>Elektrizitätsverluste durch Transport</t>
  </si>
  <si>
    <t>Bitte spezifizieren</t>
  </si>
  <si>
    <t>t CO2/t Trockenmasse</t>
  </si>
  <si>
    <t xml:space="preserve">Bewässerungssystem  </t>
  </si>
  <si>
    <t>Gebäude und Strassen</t>
  </si>
  <si>
    <t>Gesamtfläche (ha)</t>
  </si>
  <si>
    <t>Projektkomponenten</t>
  </si>
  <si>
    <t>Brutto-Emissionsflüsse</t>
  </si>
  <si>
    <t>Alle GHG in tCO2-eq</t>
  </si>
  <si>
    <t xml:space="preserve">Anteil der GHG Bilanz per GHG </t>
  </si>
  <si>
    <t>Boden</t>
  </si>
  <si>
    <t>Ergebnis per Jahr</t>
  </si>
  <si>
    <t>Landnutzungsänderung</t>
  </si>
  <si>
    <t>Abholzung</t>
  </si>
  <si>
    <t>Landwirtschaft</t>
  </si>
  <si>
    <t>Viehwirtschaft</t>
  </si>
  <si>
    <t>Inputs &amp; Infrastruktur</t>
  </si>
  <si>
    <t>Gesamt</t>
  </si>
  <si>
    <t>Pro Hektar</t>
  </si>
  <si>
    <t>Pro Hektar pro Jahr</t>
  </si>
  <si>
    <t>CO2-Boden</t>
  </si>
  <si>
    <t>CO2-Andere</t>
  </si>
  <si>
    <t>Emissionsflüsse per Projektkomponente</t>
  </si>
  <si>
    <t>Emissionsbilanz per Projektkomponente</t>
  </si>
  <si>
    <t>Gesamtergebnisse: "Ohne Projekt", "Mit Projekt", sowie Projektbilanz</t>
  </si>
  <si>
    <t>Anteil jedes GHG an der Emissionsbilanz (sowie CO2 Quelle)</t>
  </si>
  <si>
    <t>Landnutzungsevolution (Hektar - ha)</t>
  </si>
  <si>
    <t>Wald/Baumplantagen</t>
  </si>
  <si>
    <t>Uncertainty Level</t>
  </si>
  <si>
    <t>Netto Bilanz</t>
  </si>
  <si>
    <t>Gesamt-Uncertainty</t>
  </si>
  <si>
    <t>% der Gesamt-Uncertainty</t>
  </si>
  <si>
    <t>Detaillierte Landnutzungs-Matrix</t>
  </si>
  <si>
    <t>Die Gesamtfläche aller Scenarios muss einander entsprächen: Bitte überprüfen Sie die einzelnen Projektkomponenten</t>
  </si>
  <si>
    <t>Weitere Indikatoren</t>
  </si>
  <si>
    <t>Bewässertes Anbaugebiet</t>
  </si>
  <si>
    <t>Gesamtgebiete: Feuernutzung</t>
  </si>
  <si>
    <t>Aufgrund von Abholzung</t>
  </si>
  <si>
    <t>Als Teil von Landdegradierung</t>
  </si>
  <si>
    <t>Zurück zu "Gesamtergebnisse"</t>
  </si>
  <si>
    <t xml:space="preserve">Produktion  </t>
  </si>
  <si>
    <t>t Produkt</t>
  </si>
  <si>
    <t>Brutto-Emissionsintensität</t>
  </si>
  <si>
    <t>tCO2-eq per t Produkt</t>
  </si>
  <si>
    <t>Prozentanteil zur menschlichen Nutzung</t>
  </si>
  <si>
    <t>Entsprechend genutzte Menge</t>
  </si>
  <si>
    <t>Gesamte Landnutzungsänderung</t>
  </si>
  <si>
    <t>Detaillierte Emissionen in t CO2-eq der unterschiedlichen Segmente der Wertschöpfungskette</t>
  </si>
  <si>
    <t>Emissionen (tCO2/t Produkt)</t>
  </si>
  <si>
    <t>Produktionssegment (Emissionenwert kalkuliert als Prozent der genutzten Gesamtmenge)</t>
  </si>
  <si>
    <t>Dirkete und indirekte Emissionen (induzierte LUC, Landdegradierung, Inputs &amp; Infrastrukturmassnahmen)</t>
  </si>
  <si>
    <t>Verarbeitungssegment (bitte alle relevanten Inputs und Prozesse aufführen)</t>
  </si>
  <si>
    <t>Name des Inputs/Prozesses</t>
  </si>
  <si>
    <t>Emissionen per input</t>
  </si>
  <si>
    <t>Inputmenge per t des Endproduktes</t>
  </si>
  <si>
    <t>Gesamt: Verarbeitungssegment</t>
  </si>
  <si>
    <t>Transportsegment (bitte alle relevanten Inputs und Prozesse aufführen)</t>
  </si>
  <si>
    <t>Gesamt: Transport</t>
  </si>
  <si>
    <t>Spezifizieren Sie den Input/Prozesse hier</t>
  </si>
  <si>
    <t>Nutzungs- und Gebrauchsegment (bitte alle relevanten Inputs und Prozesse aufführen)</t>
  </si>
  <si>
    <t xml:space="preserve">Gesamt: Nutzungs- und Gebrauchsegment </t>
  </si>
  <si>
    <t>Abfall- und Recyclingsegment (bitte alle relevanten Inputs und Prozesse aufführen)</t>
  </si>
  <si>
    <t>Gesamt: Abfall- und Recyclingsegment</t>
  </si>
  <si>
    <t>Gesamtemissionen in t CO2-eq aller Wertschöpfungssegmente</t>
  </si>
  <si>
    <t>Produktion</t>
  </si>
  <si>
    <t>Verarbeitung</t>
  </si>
  <si>
    <t xml:space="preserve">Transport </t>
  </si>
  <si>
    <t>Nutzung und Gebrauch</t>
  </si>
  <si>
    <t>Abfall und Recycling</t>
  </si>
  <si>
    <t>Landnutzungs-Matrix</t>
  </si>
  <si>
    <t>Mineralböden (ha)</t>
  </si>
  <si>
    <t>Organische Böden (ha)</t>
  </si>
  <si>
    <t>Final</t>
  </si>
  <si>
    <t>Gesamt: Start</t>
  </si>
  <si>
    <t>Gesamt: Final</t>
  </si>
  <si>
    <t>GWP Standard für Berechnungen</t>
  </si>
  <si>
    <t>Bodenklassifikation</t>
  </si>
  <si>
    <t>Klimat</t>
  </si>
  <si>
    <t>Klimat-Hilfe: Orientierung zur Auswahl der Klimaregion basierend auf MAT und MAP</t>
  </si>
  <si>
    <t>Jahresdurchschnittstemperatur (MAT)</t>
  </si>
  <si>
    <t>Durchschnittlicher Jahresniederschlag (MAP)</t>
  </si>
  <si>
    <t>Jahresdurchschnittstemperatur in °C</t>
  </si>
  <si>
    <t>Durchschnittlicher Jahresniederschlag in mm</t>
  </si>
  <si>
    <t>Feuchtes Klima wenn MAP&gt;PET und Trockenes Klima wenn PET&gt;MAP</t>
  </si>
  <si>
    <t>MAT und Klimakategorie</t>
  </si>
  <si>
    <t>Hinweis: Tropisches Bergklima ist gewöhnlich "trocken"</t>
  </si>
  <si>
    <t>IPCC Klimazonen</t>
  </si>
  <si>
    <t>Keine Daten</t>
  </si>
  <si>
    <t>Standard MAT</t>
  </si>
  <si>
    <t>Vereinfachte IPCC Klimazonen</t>
  </si>
  <si>
    <t>Kalt</t>
  </si>
  <si>
    <t>(oder Polar)</t>
  </si>
  <si>
    <t>FAO Material:</t>
  </si>
  <si>
    <t>MAP und MAT Karten</t>
  </si>
  <si>
    <t>Vergleiche die Globale Klimakarte der FAO</t>
  </si>
  <si>
    <t>Durchschnittlicher jährlicher Gesamtniederschlag</t>
  </si>
  <si>
    <t>Jahresdurchschnittstemperatur</t>
  </si>
  <si>
    <t>LocClim wurde entwickelt um Einschätzungen von Klimabedingungen zu ermöglichen, auch wenn keine Primärdaten verfügbar sind. Das Programm nutzt Daten von 28800 Klimastationen.</t>
  </si>
  <si>
    <t>Klicken Sie hier um zur Anwendung zu gelangen.</t>
  </si>
  <si>
    <t>Für online verfügbare Klimadaten kann ebenso das monatliche Klima-tool Web LocClim genutzt werden.</t>
  </si>
  <si>
    <t>Web LocClim aufrufen</t>
  </si>
  <si>
    <t>Globale Ökologische Regionen</t>
  </si>
  <si>
    <t>Die Globale Ökologische Regionen Karte basiert auf Klima- und Vegetationsinformationen (FAO, 2011). Primärdaten sind verfügbar auf: http://www.fao.org.</t>
  </si>
  <si>
    <t>Tropische Wüste</t>
  </si>
  <si>
    <t>Subtropische Wüste</t>
  </si>
  <si>
    <t>Warmgemässigte Steppe</t>
  </si>
  <si>
    <t>Warmgemässigte Wüste</t>
  </si>
  <si>
    <t>Ernteertrag</t>
  </si>
  <si>
    <t>Erzeugnis</t>
  </si>
  <si>
    <t>(vgl. Karte)</t>
  </si>
  <si>
    <t>Jahr</t>
  </si>
  <si>
    <t>Ernteertrag (t/ha)</t>
  </si>
  <si>
    <t>Zeitspanne</t>
  </si>
  <si>
    <t>Durchschnitt</t>
  </si>
  <si>
    <t>Anteil (%)</t>
  </si>
  <si>
    <t>Projektion</t>
  </si>
  <si>
    <t>Daten von FAOSTAT. Bei Benötigung detaillierterer Informationen, konsultieren Sie bitte die FAO website.</t>
  </si>
  <si>
    <t>Dm has 0,47%C</t>
  </si>
  <si>
    <t>Asien (Insular)</t>
  </si>
  <si>
    <t>Wählen Sie die Nutzung nach der Rodung</t>
  </si>
  <si>
    <t>Gesamt: OLUC</t>
  </si>
  <si>
    <t>Transformiertes Gebiet (ha)</t>
  </si>
  <si>
    <t>Gesamt: Aufforstung</t>
  </si>
  <si>
    <t>Gebiet mit Aufforstung</t>
  </si>
  <si>
    <t>Gesamt GHG (tCO2-eq)</t>
  </si>
  <si>
    <t>HWP#</t>
  </si>
  <si>
    <t>Feuer?</t>
  </si>
  <si>
    <t>2.3. Andere Landnutzungsänderung (OLUC)</t>
  </si>
  <si>
    <t>(Default-Werte werden nur zu Ihrer Information aufgeführt. Werden Tier 2-Werte spezifiziert, so werden diese automatisch von EX-ACT genutzt.)</t>
  </si>
  <si>
    <t>Biomasse Verbrennung</t>
  </si>
  <si>
    <t>Harnstoff (in Tonnen von N pro Jahr -&gt; 46.7% N)</t>
  </si>
  <si>
    <t>Andere N-Düngemittel (in Tonnen von N pro Jahr)</t>
  </si>
  <si>
    <t>N-Dünger auf Feldern mit Nassreisanbau (in Tonnen von N pro Jahr)</t>
  </si>
  <si>
    <t>Klärschlämme (in Tonnen von N pro Jahr)</t>
  </si>
  <si>
    <t>Kompost (in Tonnen von N pro Jahr)</t>
  </si>
  <si>
    <t>Hauptbodentyp</t>
  </si>
  <si>
    <t>Analyse einer einfachen Wertschöpfungskette</t>
  </si>
  <si>
    <t>Fill with your description</t>
  </si>
  <si>
    <t>* Hinweis zur Dynamik der Landnutzungsänderung: "D" default/linear, "I" sofortig und "E" exponentiell (siehe Leitlinien)</t>
  </si>
  <si>
    <t>* Note concerning dynamics of change : "D" corresponds to default/linear, "I" to immediate and "E" to exponential (Please refer to the guidelines)</t>
  </si>
  <si>
    <t>Organic amendment type (straw or other)</t>
  </si>
  <si>
    <t>During the cultivation period</t>
  </si>
  <si>
    <t>Total Af-/Reforestation</t>
  </si>
  <si>
    <t xml:space="preserve">2.3. Other Land Use Changes </t>
  </si>
  <si>
    <t>Total Other LUC</t>
  </si>
  <si>
    <t>Other LUC</t>
  </si>
  <si>
    <t>3.1.1. Annual systems from other LU or converted to other LU (please fill step 2.LUC previously)</t>
  </si>
  <si>
    <t>Burning (quantity of residues and periodicity)</t>
  </si>
  <si>
    <t>4.1.1. Grassland systems from other LU or converted to other LU (please fill step 2.LUC previously)</t>
  </si>
  <si>
    <t>Fire use to manage?</t>
  </si>
  <si>
    <t>Total Livestock</t>
  </si>
  <si>
    <t>Breeding: increasing productivity through breeding and better management practices (reduction in the number of replacement heifers)</t>
  </si>
  <si>
    <t>Use this part only if you want to refine the analysis with Tier 2 coefficients.</t>
  </si>
  <si>
    <t>You have indicated that you are using the following types of vegetation:</t>
  </si>
  <si>
    <t>Total Annual Systems</t>
  </si>
  <si>
    <t>Total Perennial Systems</t>
  </si>
  <si>
    <t>Total Flooded Rice Systems</t>
  </si>
  <si>
    <t>Total Grassland Systems</t>
  </si>
  <si>
    <t>Total Forest Degradation and Management</t>
  </si>
  <si>
    <t>Total for Extraction</t>
  </si>
  <si>
    <t>Total for Drainage</t>
  </si>
  <si>
    <t>Total Inputs</t>
  </si>
  <si>
    <t>Total Energy</t>
  </si>
  <si>
    <t>Total Construction</t>
  </si>
  <si>
    <t>3.1.1. Einjährige Kulturpflanzen konvertiert von oder zu anderen Landnutzungen (zuvor ist Modul 2.LUC auszufüllen)</t>
  </si>
  <si>
    <t>3.2.1. Mehrjährige Kulturpflanzen konvertiert von oder zu anderer Landnutzung (zuvor ist Modul 2.LUC auszufüllen)</t>
  </si>
  <si>
    <t>3.3.1. Nassreisanbau konvertiert von oder zu anderer Landnutzung (zuvor ist Modul 2.LUC auszufüllen)</t>
  </si>
  <si>
    <t>Übersetzung der Menuleiste: "Start", "Kontext", "Landnutzungsänderung", "Ackerbau", "Weideland/Viehzucht", "Landdegradierung", "Inputs und Investitionen", "Ergebnisse"</t>
  </si>
  <si>
    <t>Tradução dos campos acima: "Inicio","Descrição", "Mudança de uso","Produção agricola", "Pradaria/Gado", "Degradação e Manejo", "Insumos e Investimentos", "Resultados detalhados"</t>
  </si>
  <si>
    <t>Einjährige Kulturpfl. nach Rodung</t>
  </si>
  <si>
    <t>OLU nach einjährigen Kulturpfl.</t>
  </si>
  <si>
    <t>Einjährige Kulturpfl. nach OLU</t>
  </si>
  <si>
    <t>Mehrjährige Kulturpflanzen auf Flächen vormahls anderer Landnutzung (OLU)</t>
  </si>
  <si>
    <t>Andere Landnutzung (OLU) auf Flächen vormahls mehrjähriger Kulturpflanzen</t>
  </si>
  <si>
    <t>Nassreisanbau nach Rodung</t>
  </si>
  <si>
    <t>Nassreisanbau nach OLU</t>
  </si>
  <si>
    <t>OLU nach Nassreisanbaus</t>
  </si>
  <si>
    <t>Aufforstung nach Nassreisanbaus</t>
  </si>
  <si>
    <t>Aufforstung auf Flächen mehrjähriger Kulturpflanzen</t>
  </si>
  <si>
    <t>Aufforstung auf Ackerland</t>
  </si>
  <si>
    <t xml:space="preserve"> (t CO2/ha/Jahr)</t>
  </si>
  <si>
    <t>Wachstumsrate (t C/ha/Jahr)</t>
  </si>
  <si>
    <t>(t/ha/Jahr)</t>
  </si>
  <si>
    <t>(kg CH4 per Tier/Jahr)</t>
  </si>
  <si>
    <t>Emissionsfaktor (t C/ha/Jahr)</t>
  </si>
  <si>
    <t>CO2 Emissionsfaktor (t C/ha/Jahr)</t>
  </si>
  <si>
    <t>N2O Emissionsfaktor (kg N2O-N/ha/Jahr)</t>
  </si>
  <si>
    <t>MWh/Jahr</t>
  </si>
  <si>
    <t>Weideland nach Rodung</t>
  </si>
  <si>
    <t>Aufforstung auf Weideland</t>
  </si>
  <si>
    <t>Weideland nach OLU</t>
  </si>
  <si>
    <t>OLU nach Weideland</t>
  </si>
  <si>
    <t>Übersetzung:</t>
  </si>
  <si>
    <t>Startzustand</t>
  </si>
  <si>
    <t>Tier 2:</t>
  </si>
  <si>
    <t>Aufforstung</t>
  </si>
  <si>
    <t>Andere Landnutzungsän.</t>
  </si>
  <si>
    <t>Landdegradierung/Mgmt.</t>
  </si>
  <si>
    <t>Weideland &amp; Viehwirtschaft</t>
  </si>
  <si>
    <t>Residue/ biomass burning</t>
  </si>
  <si>
    <t>EF</t>
  </si>
  <si>
    <t>EF-Before</t>
  </si>
  <si>
    <t>EF-During</t>
  </si>
  <si>
    <t>(EF are in kg CH4 per ha per day)</t>
  </si>
  <si>
    <t>FE-Culture</t>
  </si>
  <si>
    <t>FE-Pré saison</t>
  </si>
  <si>
    <t>FE-Base</t>
  </si>
  <si>
    <t>FE</t>
  </si>
  <si>
    <t>FE-Amendement Org.</t>
  </si>
  <si>
    <t>EF-Org. Amendement</t>
  </si>
  <si>
    <t>FE-Agregados Org.</t>
  </si>
  <si>
    <t>FE-Cultivo</t>
  </si>
  <si>
    <t>Facteur d’émissions quotidien pour le Riz (FE) =  FE-Base x FE-Pré saison x FE-Culture x FE Amendement Org.</t>
  </si>
  <si>
    <t>FE-precultivo</t>
  </si>
  <si>
    <t>FE-Insumos Org.</t>
  </si>
  <si>
    <t>FE-Pré-temporada</t>
  </si>
  <si>
    <t>EF-Basis</t>
  </si>
  <si>
    <t>Daily emission factor for Rice  (EF) = EF-Basis × EF-Before × EF-During × EF-Org. Amendment</t>
  </si>
  <si>
    <t>Factor de Emisiones diarias de Arroz (FE) = FE-Base x FE-precultivo x FE-Agregados Org.</t>
  </si>
  <si>
    <t>(Les FE sont en kg CH4 par ha par jour)</t>
  </si>
  <si>
    <t>(Täglicher EF in kg CH4 per ha)</t>
  </si>
  <si>
    <t>EF-Baseline</t>
  </si>
  <si>
    <t>EF-vor Saisonbeginn</t>
  </si>
  <si>
    <t>EF- während der Anbausaison</t>
  </si>
  <si>
    <t>EF- organische Inputs</t>
  </si>
  <si>
    <t>(Os FE são em kg CH4 por ha e por dia)</t>
  </si>
  <si>
    <t>(FE están en kg CH4 por hectárea y por día)</t>
  </si>
  <si>
    <t>SI(N47="Tropical";SI(M49&gt;2000;"Wet";SI(M49&gt;1000;"Moist";"Dry"));"")</t>
  </si>
  <si>
    <t>Category</t>
  </si>
  <si>
    <t>Crustaceans</t>
  </si>
  <si>
    <t>Translation</t>
  </si>
  <si>
    <t>Finfish</t>
  </si>
  <si>
    <t>Flatfish</t>
  </si>
  <si>
    <t>Large pelagics</t>
  </si>
  <si>
    <t>Molluscs</t>
  </si>
  <si>
    <t>Salmonids</t>
  </si>
  <si>
    <t>Small pelagics</t>
  </si>
  <si>
    <t>Not Specified</t>
  </si>
  <si>
    <t>africa</t>
  </si>
  <si>
    <t>asia</t>
  </si>
  <si>
    <t>europe</t>
  </si>
  <si>
    <t>latin america</t>
  </si>
  <si>
    <t>north america</t>
  </si>
  <si>
    <t>oceania</t>
  </si>
  <si>
    <t>n</t>
  </si>
  <si>
    <t>Mean</t>
  </si>
  <si>
    <t>total n</t>
  </si>
  <si>
    <t>Weighted mean</t>
  </si>
  <si>
    <t>Total catch per year (tonnes per year)</t>
  </si>
  <si>
    <t>Global</t>
  </si>
  <si>
    <t>Origine</t>
  </si>
  <si>
    <t>Origin</t>
  </si>
  <si>
    <t>Emission factor</t>
  </si>
  <si>
    <t>Correspondance from EX-ACT sub continent to Continent used by Parker and Tyedmers (2014)</t>
  </si>
  <si>
    <t>Annual CO2emission</t>
  </si>
  <si>
    <t>Fishing operations (based on Fuel Use intensity - FUI -  values)</t>
  </si>
  <si>
    <t>GWP of refrigerant</t>
  </si>
  <si>
    <t>Refrigerant lost per tonne of landed catch</t>
  </si>
  <si>
    <t>Quantity lost (kg refrigerant)</t>
  </si>
  <si>
    <t>Emissions from catch</t>
  </si>
  <si>
    <t>All catch</t>
  </si>
  <si>
    <t>Emissions from refrigerant</t>
  </si>
  <si>
    <t>Total artisanal and coastal catch</t>
  </si>
  <si>
    <t>Quantity (tonnes)</t>
  </si>
  <si>
    <t>Quantity of ice (tonnes) per tonne of catch</t>
  </si>
  <si>
    <t>Emissions from ice (artisanal catch only)</t>
  </si>
  <si>
    <t>Aquaculture (only emissions from N2O during  fish production)</t>
  </si>
  <si>
    <t>Emissions factor for N2O emission from fish production (t N-N2O / t fish)</t>
  </si>
  <si>
    <t>OLD</t>
  </si>
  <si>
    <t>NEW= Table 2.1 Supplement 2013 -Wetland</t>
  </si>
  <si>
    <t>Forest</t>
  </si>
  <si>
    <t>Forêt</t>
  </si>
  <si>
    <t>Emissions of CH4 associated with drainage of organic soils</t>
  </si>
  <si>
    <t>EMISSION FACTORS FOR METHANE EMISSIONS FOR DRAINED ORGANIC SOIL</t>
  </si>
  <si>
    <t>Emission factors (Kg CH4 /ha/yr)</t>
  </si>
  <si>
    <t>NEW= Table 2.3 Supplement 2013 -Wetland</t>
  </si>
  <si>
    <t>Perrenial</t>
  </si>
  <si>
    <t>Ratio Nutrient Rich/ Nutrient poor</t>
  </si>
  <si>
    <t>for Forest ONLY</t>
  </si>
  <si>
    <t>for grassland only</t>
  </si>
  <si>
    <t>EMISSION FACTORS FOR METHANE EMISSIONS FOR DRAINAGE OF DITCHES</t>
  </si>
  <si>
    <t>Emission factor (kg CH4/ha/yr)</t>
  </si>
  <si>
    <t>From ditches</t>
  </si>
  <si>
    <t>CH4 emissions associated with drainage</t>
  </si>
  <si>
    <t>From drained soils</t>
  </si>
  <si>
    <t>&lt;-NEW (Plantation = Forest; except tropical)</t>
  </si>
  <si>
    <t>Emission factors (kg CH4 ha-1 yr-1)</t>
  </si>
  <si>
    <t>Percentage of Ditches</t>
  </si>
  <si>
    <t>All GHG</t>
  </si>
  <si>
    <t>--&gt;</t>
  </si>
  <si>
    <t>Percentage (area) of ditches</t>
  </si>
  <si>
    <t>5.2.1. Drainage of organic soils</t>
  </si>
  <si>
    <t>Nutrient-rich</t>
  </si>
  <si>
    <t>Nutrient-poor</t>
  </si>
  <si>
    <t>Status of organic soil</t>
  </si>
  <si>
    <t>Change if Nutrient Rich</t>
  </si>
  <si>
    <t>Land</t>
  </si>
  <si>
    <t>Climat condition</t>
  </si>
  <si>
    <t>Temperate</t>
  </si>
  <si>
    <t>CH4 drainage</t>
  </si>
  <si>
    <t>Test temperate</t>
  </si>
  <si>
    <t>NUTRIENT RICH and NUTRIENT POOR</t>
  </si>
  <si>
    <t>NEW= Table 2.5 Supplement 2013 -Wetland</t>
  </si>
  <si>
    <t>CH4 Emission factor (kg CH4/ha/yr)</t>
  </si>
  <si>
    <t>NEW EMISSIONS BELOW (from IPCC 2013 - WETLANDS)</t>
  </si>
  <si>
    <t>On-site CH4 emissions from peatlands undergoing active peat extraction</t>
  </si>
  <si>
    <t>EMISSION FACTORS FOR METHANE EMISSIONS FOR PEAT EXTRACTION</t>
  </si>
  <si>
    <t>Emission factors ((kgch4 ha-1 yr-1)</t>
  </si>
  <si>
    <t>N2O emissions associated with drainage</t>
  </si>
  <si>
    <t>Emissions of N2Oassociated with drainage of organic soils</t>
  </si>
  <si>
    <t>EMISSION FACTORS FOR NITROUS EMISSIONS FOR DRAINED ORGANIC SOIL</t>
  </si>
  <si>
    <t>Autres engrais azotés (tonnes de N par an)</t>
  </si>
  <si>
    <t>Test Tier1</t>
  </si>
  <si>
    <t>Test tier 2</t>
  </si>
  <si>
    <t>Test Tier 2</t>
  </si>
  <si>
    <t>ON-SITE CO2 emissions/removal from rewetted organic soils</t>
  </si>
  <si>
    <t>Emission factors (tCO2-C /ha/yr)</t>
  </si>
  <si>
    <t>Nutrient Poor</t>
  </si>
  <si>
    <t>emission facto (tCO2-C /ha /yr)</t>
  </si>
  <si>
    <t>Surfaces of rewetted organic soils (ha)</t>
  </si>
  <si>
    <t>Total for Rewetting</t>
  </si>
  <si>
    <t xml:space="preserve">OFF SITE CO2 Emissions via waterborne carbon losses from drained organic soils </t>
  </si>
  <si>
    <t>EF DOC_DRAINED</t>
  </si>
  <si>
    <t>(see Table 2.2 page 2.20 wetland supp.)</t>
  </si>
  <si>
    <t>Emission factors (tC /ha/yr)</t>
  </si>
  <si>
    <t>OFF-SITE CO2 emissions from peatlands undergoing active peat extraction</t>
  </si>
  <si>
    <t>OFF-SITE CO2 emissions/removal from rewetted organic soils</t>
  </si>
  <si>
    <t>OFF SITE EMISSION FACTORS FOR FOR CO2-C FROM DRAINAGE ORGANIC SOILS (values in tC /ha /yr)</t>
  </si>
  <si>
    <t>Emissions factors for the rewetting of organic soils</t>
  </si>
  <si>
    <t>Off-site  emissions</t>
  </si>
  <si>
    <t>ON-SITE CH4 emissions/removal from rewetted organic soils</t>
  </si>
  <si>
    <t>ON SITE EMISSION FACTORS FOR  CH4-C FROM REWETTED ORGANIC SOILS (values in kg CH4-C /ha /yr) = Table 3.3 Wetland supplement</t>
  </si>
  <si>
    <t>Emission factors kg CH4-C /ha/yr)</t>
  </si>
  <si>
    <t>OFF-SITE EMISSION FACTORS FOR  CO2-C FROM REWETTED ORGANIC SOILS (values in tCO2-C /ha /yr) = Table 3.2 Wetland supplement</t>
  </si>
  <si>
    <t>ON-SITE EMISSION FACTORS FOR  CO2-C FROM REWETTED ORGANIC SOILS (values in tCO2-C /ha /yr) = Table 3,1 Wetland supplement</t>
  </si>
  <si>
    <t>emission factor (kgCH4-C /ha /yr)</t>
  </si>
  <si>
    <t>ON-SITE N2O emissions/removal from rewetted organic soils</t>
  </si>
  <si>
    <t>emission factor (kgN2O-N/ha /yr)</t>
  </si>
  <si>
    <t>ON SITE EMISSION FACTORS FOR N2O-NFROM REWETTED ORGANIC SOILS (values in kg CH4-C /ha /yr)</t>
  </si>
  <si>
    <t>Emission factors kg N2O-N /ha/yr)</t>
  </si>
  <si>
    <t>UNDER TIER 1 EMISSIONS ARE NEGLIGIBLE (EF=0)</t>
  </si>
  <si>
    <t>VERIFICATION!</t>
  </si>
  <si>
    <t>Off site CO2 emissions from peat use (energy use, horticultural use*…)</t>
  </si>
  <si>
    <t>Fire Type</t>
  </si>
  <si>
    <t>Prescribed fire</t>
  </si>
  <si>
    <t>CO2 Emission Factor</t>
  </si>
  <si>
    <t>Mean Dry Matter (t DM/ha)</t>
  </si>
  <si>
    <t>ON SITE EMISSION FACTORS FOR ORGANIC SOIL FIRES</t>
  </si>
  <si>
    <t>Prescribed</t>
  </si>
  <si>
    <t>TABLE 2.7</t>
  </si>
  <si>
    <t>Wildfire (undrained peat)</t>
  </si>
  <si>
    <t>Wildfire (drained peat)</t>
  </si>
  <si>
    <t>Wildfire undrained</t>
  </si>
  <si>
    <t>Wildifre drained</t>
  </si>
  <si>
    <t>TABLE 2.6</t>
  </si>
  <si>
    <t>ORGANIC SOIL FUEL CONSUMPTION VALUES (MASS OF DRY MATTER OF ORGANIC SOIL</t>
  </si>
  <si>
    <t>CO</t>
  </si>
  <si>
    <t>Emission factors g GAS /kg DM</t>
  </si>
  <si>
    <t>t DM per hectare</t>
  </si>
  <si>
    <t>(values of CO2 are dervived from C-CO2!!)</t>
  </si>
  <si>
    <t>ORGANIC SOIL FIRE</t>
  </si>
  <si>
    <t>Fire - WITHOUT</t>
  </si>
  <si>
    <t>Fire - WITH</t>
  </si>
  <si>
    <t>Biomass density ( t DM/ha)</t>
  </si>
  <si>
    <t>BIOMASS BURNT (t DM)</t>
  </si>
  <si>
    <t>emission factor (kgCO2/tDM)</t>
  </si>
  <si>
    <t>Total Emission (t CO)</t>
  </si>
  <si>
    <t>Using GWP100 for CO = 2</t>
  </si>
  <si>
    <t>(Table 8.A.4 CO Global)</t>
  </si>
  <si>
    <t>Total Emission (t CH4)</t>
  </si>
  <si>
    <t>Total for Fire</t>
  </si>
  <si>
    <t>ALREADY ACCOUNTED IN DRAINED</t>
  </si>
  <si>
    <t>ALREADY ACCOUTED IN AG PEATLAND</t>
  </si>
  <si>
    <t>5.2. Degradation and management of organic soils (peatlands)</t>
  </si>
  <si>
    <t>Correction below (in light green)</t>
  </si>
  <si>
    <t>Total Area burnt</t>
  </si>
  <si>
    <t>emission factor (kgCO/ha /yr)</t>
  </si>
  <si>
    <t>emission factor (kgCH4/ha /yr)</t>
  </si>
  <si>
    <t>via waterborn carbon lossses</t>
  </si>
  <si>
    <t>5.2.3. Rewetting of organic soils (peatlands)</t>
  </si>
  <si>
    <t>5.2.4. Emissions from fire of organic soils (peatlands)</t>
  </si>
  <si>
    <t>Height of extraction (cm)</t>
  </si>
  <si>
    <t>Peat (from peatlands)</t>
  </si>
  <si>
    <t>t CO2eq/t dry matter</t>
  </si>
  <si>
    <t>Quantity of peat produced (t/yr)</t>
  </si>
  <si>
    <t>Peat density (t/m3)</t>
  </si>
  <si>
    <t>Use for Energy?</t>
  </si>
  <si>
    <t>CO2 emission from peat use</t>
  </si>
  <si>
    <t>Mangrove</t>
  </si>
  <si>
    <t>ABG</t>
  </si>
  <si>
    <t>Table 4.3</t>
  </si>
  <si>
    <t>Ratio BG/AB</t>
  </si>
  <si>
    <t>Table 4.5</t>
  </si>
  <si>
    <t>Table 4.7</t>
  </si>
  <si>
    <t>UPDATE FROM 2013 SUPLEMENT</t>
  </si>
  <si>
    <t>Default values</t>
  </si>
  <si>
    <t>Default growth rates</t>
  </si>
  <si>
    <t>Table 4.4</t>
  </si>
  <si>
    <t>t DM per hectare/yr</t>
  </si>
  <si>
    <t>yrs to reach</t>
  </si>
  <si>
    <t>maximum</t>
  </si>
  <si>
    <t>RETAIN!</t>
  </si>
  <si>
    <t>Rate too high!</t>
  </si>
  <si>
    <t>Maximum/20</t>
  </si>
  <si>
    <t>Seagrass meadow</t>
  </si>
  <si>
    <t>Area burnt (ha)</t>
  </si>
  <si>
    <t>Area excavated (ha)</t>
  </si>
  <si>
    <t>Tidal Marsh and Seegrass meadows</t>
  </si>
  <si>
    <t>Table 4.9</t>
  </si>
  <si>
    <t>Table 4.10</t>
  </si>
  <si>
    <t>Ratio BG/AG</t>
  </si>
  <si>
    <t>Soil type for Excavation of mangrove</t>
  </si>
  <si>
    <t>Organic Soil</t>
  </si>
  <si>
    <t>Mineral</t>
  </si>
  <si>
    <t>Default soil type is "Mineral"</t>
  </si>
  <si>
    <t>Set to "Organic"?</t>
  </si>
  <si>
    <t>(default consider 1 m depth)</t>
  </si>
  <si>
    <t>DEFAULT SOIL CARBON STOCK (1 m depth)</t>
  </si>
  <si>
    <t>Table 4.11</t>
  </si>
  <si>
    <t>Organic</t>
  </si>
  <si>
    <t>Tidal Marsh</t>
  </si>
  <si>
    <t>Values in tC/ha</t>
  </si>
  <si>
    <t>BDG</t>
  </si>
  <si>
    <t>DC-soil</t>
  </si>
  <si>
    <t>Total lost per ha</t>
  </si>
  <si>
    <t>C</t>
  </si>
  <si>
    <t>Total lost</t>
  </si>
  <si>
    <t>Area of soils</t>
  </si>
  <si>
    <t>Total (ha</t>
  </si>
  <si>
    <t>Total emissions</t>
  </si>
  <si>
    <t>Total implementation</t>
  </si>
  <si>
    <t>Total soils</t>
  </si>
  <si>
    <t>% of C lost after excavation</t>
  </si>
  <si>
    <t>Area drained (ha)</t>
  </si>
  <si>
    <t>DEFAULT EF associated with drainage</t>
  </si>
  <si>
    <t>Table 4.13</t>
  </si>
  <si>
    <t>Annual EF</t>
  </si>
  <si>
    <t>tC/ha/yr</t>
  </si>
  <si>
    <t>Max Year</t>
  </si>
  <si>
    <t>Max losse</t>
  </si>
  <si>
    <t>(tCo2/ha)</t>
  </si>
  <si>
    <t>DEFAULT EF associated with rewetting</t>
  </si>
  <si>
    <t>Capital</t>
  </si>
  <si>
    <t>balance impl</t>
  </si>
  <si>
    <t>Balance capital</t>
  </si>
  <si>
    <t>By default water used to rewet is fresh</t>
  </si>
  <si>
    <t>Set to saline?</t>
  </si>
  <si>
    <t>DEFAULT CH4 EF associated with rewetting</t>
  </si>
  <si>
    <t>Freshwater</t>
  </si>
  <si>
    <t>Saline</t>
  </si>
  <si>
    <t>Table 4.14</t>
  </si>
  <si>
    <t>values in kg CH4 /ha/yr</t>
  </si>
  <si>
    <t>kg CH4/ha/yr</t>
  </si>
  <si>
    <t>Manglar</t>
  </si>
  <si>
    <t>红树</t>
  </si>
  <si>
    <t>мангровое дерево</t>
  </si>
  <si>
    <t>المنغروف شجر</t>
  </si>
  <si>
    <t>Mangue</t>
  </si>
  <si>
    <t>Mangrovenbaum</t>
  </si>
  <si>
    <t>Bahasa Indonesia</t>
  </si>
  <si>
    <t>Pernyataan</t>
  </si>
  <si>
    <t>FAO tidak bertanggung jawab atas segala kesalahan atau kekurangan dalam basis data atau perangkat lunak (software) atau dalam dokumentasi yang menyertainya, untuk pemeliharaan dan pemutakhiran program serta untuk segara kerusakan yang terjadi karena hal-hal tersebut.  FAO juga tidak bertanggung jawab untuk pemutakhiran data dan tidak bertanggung jawab atas segala kesalahan dan kekurangan dalam data yang disediakan. Akan tetapi, para pengguna diminta dengan hormat untuk melaporkan segara kesalahan atau kekurangan dalam produk ini kepada FAO.</t>
  </si>
  <si>
    <t>Pilihan-pilihan perhitungan yang dibuat dalam alat ini adalah merupakan milik para penulis dan tidak serta merta mencerminkan pandangan dan pilihan FAO-PBB,</t>
  </si>
  <si>
    <t xml:space="preserve">© FAO (2013)
FAO mendorong penggunaan, penggandaan serta penyebaran material dalam produk ini. Kecuali jika diisyaratkan lain, material ini dapat disalin, diunduh dan dicetak untuk kebutuhan studi pribadi, penelitian atau tujuan pendidikan, atau digunakan pada produk dan layanan non-komersial, asalkan terdapat pengakuan yang layak yang diberikan pada FAO sebagai sumber dan pemilik hak cipta dan tidak mengisyaratkan persetujuan atau dukungan FAO terhadap sudut pandang, produk atau layanan pengguna produk dalam bentuk apa pun. 
Semua permintaan untuk terjemahan dan hak adaptasi, serta untuk penjualan ulang dan hak penggunaan komersial lainnya harus ditujukan melalui www.fao.org/contact-us/licence-request atau dialamatkan ke copyright@fao.org. 
</t>
  </si>
  <si>
    <t>Nama Proyek</t>
  </si>
  <si>
    <t>Benua</t>
  </si>
  <si>
    <t>Iklim</t>
  </si>
  <si>
    <t>Rezim kelembapan</t>
  </si>
  <si>
    <t>Jenis Tanah Regional Dominan</t>
  </si>
  <si>
    <t>Durasi Proyek (Tahun)</t>
  </si>
  <si>
    <t>Tahapan Implementasi</t>
  </si>
  <si>
    <t>Tahapan Kapitalisasi</t>
  </si>
  <si>
    <t>Durasi Perhitungan</t>
  </si>
  <si>
    <t>Iklim ?</t>
  </si>
  <si>
    <t>Tanah ?</t>
  </si>
  <si>
    <t>2.1. Deforestasi</t>
  </si>
  <si>
    <t>Peta AEZ</t>
  </si>
  <si>
    <t>Jenis vegetasi</t>
  </si>
  <si>
    <t>yang akan ditebang</t>
  </si>
  <si>
    <t>Menggunakan Api?</t>
  </si>
  <si>
    <t>Penggunaan akhir setelah deforestasi?</t>
  </si>
  <si>
    <t>Area hutan (ha)</t>
  </si>
  <si>
    <t>Area yang ditebang (ha)</t>
  </si>
  <si>
    <t>Total Emisi (tCO2-eq)</t>
  </si>
  <si>
    <t>#Harvested Wood Products - Hasil Kayu yang di Ambil</t>
  </si>
  <si>
    <t>* Catatan mengenai dinamika perubahan : "D" adalah default/linear, "I" adalah immediate atau segera, dan "E" adalah eksponensial (Silakan mengacu pada panduan)</t>
  </si>
  <si>
    <t>Total Deforestasi</t>
  </si>
  <si>
    <t>Awal</t>
  </si>
  <si>
    <t>Tanpa</t>
  </si>
  <si>
    <t>Dengan</t>
  </si>
  <si>
    <t>2.2. Aforestasi dan Reforestasi</t>
  </si>
  <si>
    <t>Penggunaan lahan sebelumnya</t>
  </si>
  <si>
    <t>Area yang akan dihijaukan/ditanam kembali?</t>
  </si>
  <si>
    <t>Total Af-/Reforestasi</t>
  </si>
  <si>
    <t xml:space="preserve">2.3. Perubahan Penggunaan Lahan Lain (LUC) </t>
  </si>
  <si>
    <t>Masukkan deskripsi Anda</t>
  </si>
  <si>
    <t>Penggunaan lahan awal</t>
  </si>
  <si>
    <t>Penggunaan lahan akhir</t>
  </si>
  <si>
    <t>Pesan</t>
  </si>
  <si>
    <t>Area yang berubah (ha)</t>
  </si>
  <si>
    <t>Total LUC Lain</t>
  </si>
  <si>
    <t>Anda telah mengindikasikan bahwa Anda akan menggunakan jenis vegetasi berikut:</t>
  </si>
  <si>
    <t>Hanya gunakan bagian ini jika Anda ingin menyempurnakan analisis dengan koefisien Tier 2.</t>
  </si>
  <si>
    <t>(nilai default hanya sekadar informasi bagi Anda, sedangkan EX-ACT akan menggunakan nilai Tier 2 secara otomatis jika ada)</t>
  </si>
  <si>
    <t>Semua nilai dalam satuan t karbon per ha (tC/ha)</t>
  </si>
  <si>
    <t>Atas Tanah</t>
  </si>
  <si>
    <t>Bawah Tanah</t>
  </si>
  <si>
    <t>Sampah Tanaman</t>
  </si>
  <si>
    <t>Kayu Mati</t>
  </si>
  <si>
    <t>Karbon Tanah</t>
  </si>
  <si>
    <t>yang akan ditanam</t>
  </si>
  <si>
    <t>Tingkat pertumbuhan sistem hingga umur 20 tahun</t>
  </si>
  <si>
    <t>Tingkat pertumbuhan sistem setelah umur 20 tahun</t>
  </si>
  <si>
    <t>3.1. Sistem tahunan (juga digunakan untuk sistem multi-tahunan seperti kapas dan tebu)</t>
  </si>
  <si>
    <t>3.1.1. Sistem tahunan dari Penggunaan Lahan lain atau dikonversi ke Penggunaan Lahan lain (harap isi langkah 2.LUC sebelumnya)</t>
  </si>
  <si>
    <t>Hasil?</t>
  </si>
  <si>
    <t>Deskripsi</t>
  </si>
  <si>
    <t>Peningkatan praktik agronomis</t>
  </si>
  <si>
    <t>Manajemen nutrisi</t>
  </si>
  <si>
    <t>Manajemen air</t>
  </si>
  <si>
    <t>Penggunaan kompos</t>
  </si>
  <si>
    <t>Hasil</t>
  </si>
  <si>
    <t>Definisi?</t>
  </si>
  <si>
    <t>Pembakaran residu/biomassa</t>
  </si>
  <si>
    <t>Tahunan setelah Deforestasi</t>
  </si>
  <si>
    <t>Konversi ke A/R</t>
  </si>
  <si>
    <t>Tahunan setelah Penggunaan Lahan non hutan</t>
  </si>
  <si>
    <t>Konversi ke Perubahan Penggunaan Lahan Lain (OLUC)</t>
  </si>
  <si>
    <t>3.1.2. Sistem tahunan yang tetap menjadi sistem tahunan (total area harus tetap sama)</t>
  </si>
  <si>
    <t>Total Sistem Tahunan</t>
  </si>
  <si>
    <t>3.2. Sistem perenial (agro kehutanan, perkebunan, tanaman pohon...)</t>
  </si>
  <si>
    <t>3.2.1. Sistem perenial dari Penggunaan Lahan lain atau dikonversi dari Penggunaan Lahan lain (harap isi langkah 2.LUC sebelumnya)</t>
  </si>
  <si>
    <t>Perenial setelah Deforestasi</t>
  </si>
  <si>
    <t>Perenial setelah Penggunaan Lahan non-hutan</t>
  </si>
  <si>
    <t>Total Sistem Perenial</t>
  </si>
  <si>
    <t>3.2.2. Sistem perenial yang tetap menjadi sistem perenial (total area harus tetap sama)</t>
  </si>
  <si>
    <t>3.3. Sistem Sawah Basah</t>
  </si>
  <si>
    <t>3.3.1. Sistem Sawah Basah dari Penggunaan Lahan lain atau dikonversi ke Penggunaan Lahan lain (harap isi langkah 2.LUC sebelumnya)</t>
  </si>
  <si>
    <t>Periode kultivasi (hari)</t>
  </si>
  <si>
    <t>Rezim Air</t>
  </si>
  <si>
    <t>Selama periode kultivasi</t>
  </si>
  <si>
    <t>Sebelum periode kultivasi</t>
  </si>
  <si>
    <t>Jenis modifikasi organik (jerami atau lainnya)</t>
  </si>
  <si>
    <t>3.3.2. Sistem Sawah Basah yang tetap menjadi sistem Sawah Basah (total area harus tetap sama)</t>
  </si>
  <si>
    <t>Total Sistem Sawah Basah</t>
  </si>
  <si>
    <t>Sawah setelah Deforestasi</t>
  </si>
  <si>
    <t>Sawah setelah Penggunaan Lahan non-hutan</t>
  </si>
  <si>
    <t>Sistem</t>
  </si>
  <si>
    <t>Tingkat penyerapan Karbon (C) tanah</t>
  </si>
  <si>
    <t>Residu/Biomassa yang tersedia untuk pembakaran</t>
  </si>
  <si>
    <t xml:space="preserve"> (t CO2/ha/thn)</t>
  </si>
  <si>
    <t>(t Bahan Kering per ha)</t>
  </si>
  <si>
    <t>Sistem tahunan dari (atau ke) Penggunaan Lahan lain</t>
  </si>
  <si>
    <t xml:space="preserve">Sistem tahunan tetap menjadi sistem tahunan </t>
  </si>
  <si>
    <t>Tingkat pertumbuhan (t C/ha/thn)</t>
  </si>
  <si>
    <t>Pembakaran (kuantitas residu dan periode)</t>
  </si>
  <si>
    <t>Periode (thn)</t>
  </si>
  <si>
    <t>Sistem perenial dari (atau ke) Penggunaan Lahan lain</t>
  </si>
  <si>
    <t>Sistem perenial tetap menjadi sistem perenial</t>
  </si>
  <si>
    <t>Jumlah Jerami yang dibakar</t>
  </si>
  <si>
    <t>Sistem sawah dari (atau ke) Penggunaan Lahan lain</t>
  </si>
  <si>
    <t>Sistem sawah tetap menjadi sistem sawah</t>
  </si>
  <si>
    <t>Rezim air sebelum kultivasi beras (presentasi skematik menunjukkan periode basah dalam area gelap)</t>
  </si>
  <si>
    <t>Sebelum musim, non basah &lt;180 hari</t>
  </si>
  <si>
    <t>Sebelum musim, non basah &gt;180 hari</t>
  </si>
  <si>
    <t>Sebelum musim, basah (&gt;30 hari)</t>
  </si>
  <si>
    <t>Pilihan manajemen</t>
  </si>
  <si>
    <t>(t/ha/thn)</t>
  </si>
  <si>
    <t>Definisi pilihan manajemen lahan</t>
  </si>
  <si>
    <t>Menggunakan varietas yang lebih baik, memperpanjang rotasi jenis tanaman, meningkatkan residu tanaman.</t>
  </si>
  <si>
    <t>Meningkatkan efisiensi penggunaan N &amp; mengurangi kerugian N: Microdosing, penyesuaian tingkat penggunaan, waktu &amp; lokasi...</t>
  </si>
  <si>
    <t>Adopsi pengolahan lahan (tillage) yang dikurangi, minimum atau tanpa pengolahan (zero tillage), dengan atau tanpa mulsa, mencakup Pertanian Konservasi</t>
  </si>
  <si>
    <t>Irigasi yang efektif.</t>
  </si>
  <si>
    <t>Penggunaan kompos atau biosolid pada lahan sebagai input.</t>
  </si>
  <si>
    <t xml:space="preserve">4.1. Sistem padang rumput </t>
  </si>
  <si>
    <t>4.1.1. Sistem padang rumput dari Penggunaan Lahan lain atau dikonversi ke Penggunaan Lahan lain (harap isi langkah 2.LUC sebelumnya)</t>
  </si>
  <si>
    <t>4.1.2. Sistem padang rumput yang tetap menjadi sistem padang rumput (total area harus tetap sama)</t>
  </si>
  <si>
    <t>Kondisi Awal</t>
  </si>
  <si>
    <t>Penggunaan Api untuk Pengelolaan?</t>
  </si>
  <si>
    <t>Total Emisi</t>
  </si>
  <si>
    <t>(tahun)</t>
  </si>
  <si>
    <t>Periode</t>
  </si>
  <si>
    <t>Tanpa proyek</t>
  </si>
  <si>
    <t>Dengan proyek</t>
  </si>
  <si>
    <t>Padang Rumput setelah Deforestasi</t>
  </si>
  <si>
    <t>Padang Rumput setelah Penggunaan Lahan non-hutan</t>
  </si>
  <si>
    <t>Kondisi Akhir Padang Rumput</t>
  </si>
  <si>
    <t>Total Sistem Padang Rumput</t>
  </si>
  <si>
    <t>4.2. Peternakan (dan manajemen kotoran/kompos)</t>
  </si>
  <si>
    <t>Kategori ternak</t>
  </si>
  <si>
    <t>Jumlah (rata-rata per tahun)</t>
  </si>
  <si>
    <t>Opsi mitigasi teknis (%)</t>
  </si>
  <si>
    <t xml:space="preserve">Produksi  (daging, susu, dll) </t>
  </si>
  <si>
    <t>Praktik pemberian pakan*</t>
  </si>
  <si>
    <t>Bahan Spesifik*</t>
  </si>
  <si>
    <t>Pembiakan*</t>
  </si>
  <si>
    <t>dalam ton produk per tahun</t>
  </si>
  <si>
    <t>Sapi perah</t>
  </si>
  <si>
    <t>Sapi lainnya</t>
  </si>
  <si>
    <t>Kerbau</t>
  </si>
  <si>
    <t>Domba</t>
  </si>
  <si>
    <t>Babi (Pasar)</t>
  </si>
  <si>
    <t>Babi (Pembiakan)</t>
  </si>
  <si>
    <t>Praktik pemberian pakan: misalnya lebih banyak konsentrat, menambah minyak atau biji minyak, meningkatkan kualitas padang rumput</t>
  </si>
  <si>
    <t>Bahan Spesifik: bahan spesifik atau zat tambahan pada pakat untuk mengurangi emisi CH4 (Ionofor, vaksin, bST...)</t>
  </si>
  <si>
    <t>Pembiakan: meningkatkan produktivitas melalui pembiakan dan praktik manajemen yang lebih baik (pengurangan jumlah sapi betina yang diganti)</t>
  </si>
  <si>
    <t>Total Ternak</t>
  </si>
  <si>
    <t>Stok Karbon (C) tanah terkait</t>
  </si>
  <si>
    <t>Tidak rusak</t>
  </si>
  <si>
    <t>Sangat rusak</t>
  </si>
  <si>
    <t>Cukup rusak</t>
  </si>
  <si>
    <t>Ditingkatkan tanpa manajemen input</t>
  </si>
  <si>
    <t>Ditingkatkan dengan manajemen input</t>
  </si>
  <si>
    <t>Pembakaran</t>
  </si>
  <si>
    <t>% materi kering pra-pembakaran yang dilepaskan</t>
  </si>
  <si>
    <t>Rata-rata temperatur tahunan (MAT) di wilayah (dalam °C)</t>
  </si>
  <si>
    <t>(temperatur memengaruhi emisi dari manajemen kompos/kotoran)</t>
  </si>
  <si>
    <t>"Jenis" wilayah</t>
  </si>
  <si>
    <t>(silakan pilih jika ada)</t>
  </si>
  <si>
    <t>Faktor emisi N2O dari kompos/kotoran</t>
  </si>
  <si>
    <t>Padang rumput, peternakan, dan pedok</t>
  </si>
  <si>
    <t>Lain-lain</t>
  </si>
  <si>
    <t>Fermentasi enterik</t>
  </si>
  <si>
    <t>(kg CH4 per kepala/thn)</t>
  </si>
  <si>
    <t xml:space="preserve">% terkait pada sistem padang rumput, peternakan atau pedok </t>
  </si>
  <si>
    <t>Metana dari manajemen kompos/kotoran</t>
  </si>
  <si>
    <t>5.1. Degradasi dan Manajemen Hutan</t>
  </si>
  <si>
    <t>Tingkat degradasi vegetasi</t>
  </si>
  <si>
    <t>Kondisi Akhir</t>
  </si>
  <si>
    <t>yang akan dirusak</t>
  </si>
  <si>
    <t>Kebakaran dan tingkatnya</t>
  </si>
  <si>
    <t>Total Degradasi dan Manajemen Hutan</t>
  </si>
  <si>
    <t>(% kebakaran)</t>
  </si>
  <si>
    <t>Dampak</t>
  </si>
  <si>
    <t>5.2. Degradasi tanah organik (lahan gambut)</t>
  </si>
  <si>
    <t>5.2.1. Drainase tanah organik (lahan gambut)</t>
  </si>
  <si>
    <t>yang terpengaruh drainase</t>
  </si>
  <si>
    <t>Luas permukaan tanah organik ter-drainase (ha)</t>
  </si>
  <si>
    <t>Hutan yang Dikelola</t>
  </si>
  <si>
    <t>Tahunan</t>
  </si>
  <si>
    <t>Perenial</t>
  </si>
  <si>
    <t>Padang Rumput</t>
  </si>
  <si>
    <t>Total Drainase</t>
  </si>
  <si>
    <t>5.2.2. Ekstraksi gambut aktif</t>
  </si>
  <si>
    <t>Jenis gambut</t>
  </si>
  <si>
    <t>Gambut nutrisi rendah</t>
  </si>
  <si>
    <t>Gambut nutrisi tinggi</t>
  </si>
  <si>
    <t>Total Ekstraksi</t>
  </si>
  <si>
    <t>Tingkat Degradasi (% kerugian biomassa)</t>
  </si>
  <si>
    <t>Emisi dari kehilangan karbon (C) terkait drainase lahan organik</t>
  </si>
  <si>
    <t>Faktor emisi (t C/ha/thn)</t>
  </si>
  <si>
    <t>Emisi on-site dari ekstraksi gambut aktf</t>
  </si>
  <si>
    <t>Faktor Emisi CO2 (t C/ha/thn)</t>
  </si>
  <si>
    <t>Faktor Emisi N2) (kg N2O-N/ha/thn)</t>
  </si>
  <si>
    <t>6.1. Input (pengapuran, pupuk, pestisida, herbisida,...)</t>
  </si>
  <si>
    <t>Deskripsi dan unit untuk laporan</t>
  </si>
  <si>
    <t>Jumlah pemakaian per tahun</t>
  </si>
  <si>
    <t>Total emisi di tingkat lahan (tCO2-eq)</t>
  </si>
  <si>
    <t>Emisi dari produksi, transportasi, penyimpanan dan transfer (tCO2-eq)</t>
  </si>
  <si>
    <t>Penggunaan kapur</t>
  </si>
  <si>
    <t>Batu kapur (ton per tahun)</t>
  </si>
  <si>
    <t>Dolomit (ton per tahun)</t>
  </si>
  <si>
    <t>Tidak disebutkan (ton per tahun)</t>
  </si>
  <si>
    <t>Pupuk</t>
  </si>
  <si>
    <t>Urea (ton Nitrogen (N) per tahun - Urea mengandung 46,7% N)</t>
  </si>
  <si>
    <t>Pupuk Nitrogen lain (ton N per tahun)</t>
  </si>
  <si>
    <t>Pupuk Nitrogen pada sawah irigasi (ton N per tahun)</t>
  </si>
  <si>
    <t>Limbah (ton N per tahun)</t>
  </si>
  <si>
    <t>Kompos (ton N per tahun)</t>
  </si>
  <si>
    <t>Fosfor (ton P2O5 per tahun)</t>
  </si>
  <si>
    <t>Potasium (ton K2O per tahun)</t>
  </si>
  <si>
    <t>Pestisida</t>
  </si>
  <si>
    <t>Herbisida (ton bahan aktif per tahun)</t>
  </si>
  <si>
    <t>Insektisida (ton bahan aktif per tahun)</t>
  </si>
  <si>
    <t>Fungisida (ton bahan aktif per tahun)</t>
  </si>
  <si>
    <t>Total Input</t>
  </si>
  <si>
    <t>Emisi CO2</t>
  </si>
  <si>
    <t>Emisi N2O</t>
  </si>
  <si>
    <t>6.2. Konsumsi energi (listrik, bahan bakar,...)</t>
  </si>
  <si>
    <t>Kuantitas konsumsi per tahun</t>
  </si>
  <si>
    <t>Listrik (MWh per tahun)</t>
  </si>
  <si>
    <t>(harap pilih negara asal)</t>
  </si>
  <si>
    <t>Liquid atau gas (dalam m3 per tahun)</t>
  </si>
  <si>
    <t>Gasoline/Bensin</t>
  </si>
  <si>
    <t>Gas (LPG/natural)</t>
  </si>
  <si>
    <t>Butana</t>
  </si>
  <si>
    <t>Propana</t>
  </si>
  <si>
    <t>Ditentukan pengguna (Tier 2):</t>
  </si>
  <si>
    <t>Padat (dalam ton materi kering per tahun)</t>
  </si>
  <si>
    <t>Kayu</t>
  </si>
  <si>
    <t>Gambut</t>
  </si>
  <si>
    <t>Total Energi</t>
  </si>
  <si>
    <t>6.3. Konstruksi infrastruktur baru (sistem irigasi, bangunan, jalan)</t>
  </si>
  <si>
    <t>Luas Permukaan</t>
  </si>
  <si>
    <t>Sistem irigasi (dalam ha)</t>
  </si>
  <si>
    <t>Bangunan dan jalan (dalam m2)</t>
  </si>
  <si>
    <t>Total Konstruksi</t>
  </si>
  <si>
    <t>Faktor Emisi</t>
  </si>
  <si>
    <t xml:space="preserve">Emisi di tingkat lapangan </t>
  </si>
  <si>
    <t>Emisi dari produksi, transportasi, penyimpangan dan transfer</t>
  </si>
  <si>
    <t>tC/t kapur</t>
  </si>
  <si>
    <t>tCO2/t bahan aktif</t>
  </si>
  <si>
    <t>Pelepasan CO2 ke atmosfer selama proses manufaktur urea telah dihitung dalam Sektor Proses Industri dan Penggunaan Produk per negara tempat urea tersebut diproduksi.</t>
  </si>
  <si>
    <t>Secara langsung, EX-ACT menganggap bahwa urea diimpor dan tidak memperhitungkan penyerapan karbon ini, tetapi Anda dapat memasukkan perhitungan tersebut:</t>
  </si>
  <si>
    <t>Memperhitungkan penyerapan pada proses manufaktur?</t>
  </si>
  <si>
    <t>Faktor emisi untuk negara yang dipilih</t>
  </si>
  <si>
    <t>Kerugian listrik selama transportasi</t>
  </si>
  <si>
    <t>tCO2/MWh/thn</t>
  </si>
  <si>
    <t>Harap sebutkan namanya</t>
  </si>
  <si>
    <t>Unit yang digunakan</t>
  </si>
  <si>
    <t>t CO2/t material kering</t>
  </si>
  <si>
    <t>Sistem irigasi</t>
  </si>
  <si>
    <t>Bangunan dan jalan</t>
  </si>
  <si>
    <t>Komponen proyek</t>
  </si>
  <si>
    <t>Perubahan bruto</t>
  </si>
  <si>
    <t>Semua GRK dalam tCO2eq</t>
  </si>
  <si>
    <t>Proporsi GRK pada Balance</t>
  </si>
  <si>
    <t>Tanah</t>
  </si>
  <si>
    <t>Hasil per tahun</t>
  </si>
  <si>
    <t>Perubahan penggunaan lahan (LUC)</t>
  </si>
  <si>
    <t>Deforestasi</t>
  </si>
  <si>
    <t>Aforestasi</t>
  </si>
  <si>
    <t>Perubahan Penggunaan Lahan lain (OLUC)</t>
  </si>
  <si>
    <t>Pertanian</t>
  </si>
  <si>
    <t>Sawah</t>
  </si>
  <si>
    <t>Padang Rumput &amp; Peternakan</t>
  </si>
  <si>
    <t>Peternakan</t>
  </si>
  <si>
    <t>Degradasi &amp; Manajemen</t>
  </si>
  <si>
    <t>Input &amp; Investasi</t>
  </si>
  <si>
    <t>Per hektar</t>
  </si>
  <si>
    <t>Per hektar per tahun</t>
  </si>
  <si>
    <t>CO2-Tanah</t>
  </si>
  <si>
    <t>CO2-Lainnya</t>
  </si>
  <si>
    <t>Gunakan dalam Penilaian Rantai Nilai Sederhana (Simple Value Chain Assessment)</t>
  </si>
  <si>
    <t>Perubahan per komponen</t>
  </si>
  <si>
    <t>Balance per komponen</t>
  </si>
  <si>
    <t>Total tanpa dan dengan proyek dan balance</t>
  </si>
  <si>
    <t>Proporsi balance per GRK (plus asal dari CO2)</t>
  </si>
  <si>
    <t>Evolusi penggunaan / kategori lahan (hektar - ha)</t>
  </si>
  <si>
    <t>Hutan/Perkebunan</t>
  </si>
  <si>
    <t>Lahan lain</t>
  </si>
  <si>
    <t>Rusak</t>
  </si>
  <si>
    <t>Lahan basah</t>
  </si>
  <si>
    <t>Tingkat ketidakpastian</t>
  </si>
  <si>
    <t>Balance Netto</t>
  </si>
  <si>
    <t>Total ketidakpst.</t>
  </si>
  <si>
    <t>% ketidakpastian</t>
  </si>
  <si>
    <t>Matriks perubahan terperinci</t>
  </si>
  <si>
    <t>Total area harus sama pada semua situasi Harap periksa semua komponen dengan seksama</t>
  </si>
  <si>
    <t>Indikator lain</t>
  </si>
  <si>
    <t>Area irigasi - ha</t>
  </si>
  <si>
    <t>Sawah irigasi</t>
  </si>
  <si>
    <t>Tanaman tahunan</t>
  </si>
  <si>
    <t>Area terbakar kumulatif - ha</t>
  </si>
  <si>
    <t>Dari deforestasi</t>
  </si>
  <si>
    <t>Dari degradasi</t>
  </si>
  <si>
    <t>Kembali ke hasil utama</t>
  </si>
  <si>
    <t>Produksi</t>
  </si>
  <si>
    <t>t produk</t>
  </si>
  <si>
    <t>Intensitas emisi bruto</t>
  </si>
  <si>
    <t>tCO2eq per t produk</t>
  </si>
  <si>
    <t>Persentase penggunaan manusia</t>
  </si>
  <si>
    <t>Kuantitas terkait yang digunakan</t>
  </si>
  <si>
    <t>Semua Perubahan Penggunaan Lahan</t>
  </si>
  <si>
    <t>Emisi Terperinci dalam t CO2-eq untuk tahapan yang berbeda pada Rantai Nilai</t>
  </si>
  <si>
    <t>Emisi (tCO2/t produk)</t>
  </si>
  <si>
    <t>Tingkat PRODUKSI (terkait dengan emisi yang dihitung sebagai persentase total kuantitas yang digunakan)</t>
  </si>
  <si>
    <t xml:space="preserve">Emisi langsung dan tidak langsung (dari Perubahan Penggunaan Lahan, degradasi, Input &amp; Investasi) </t>
  </si>
  <si>
    <t>Tingkat PEMROSESAN (masukkan input atau proses yang dibutuhkan)</t>
  </si>
  <si>
    <t>Nama input/proses</t>
  </si>
  <si>
    <t>Emisi per input</t>
  </si>
  <si>
    <t>Input per t produk</t>
  </si>
  <si>
    <t>Total PEMROSESAN</t>
  </si>
  <si>
    <t>Tingkat TRANSPORTASI (masukkan berbagai input dan proses yang dibutuhkan)</t>
  </si>
  <si>
    <t>Total TRANSPORTASI</t>
  </si>
  <si>
    <t>Masukkan nama di bawah</t>
  </si>
  <si>
    <t>Tingkat PENGGUNAAN (masukkan berbagai input atau langkah yang dibutuhkan)</t>
  </si>
  <si>
    <t>Total PENGGUNAAN</t>
  </si>
  <si>
    <t>Tingkat LIMBAH (masukkan berbagai input atau langkah yang dibutuhkan)</t>
  </si>
  <si>
    <t>Total LIMBAH</t>
  </si>
  <si>
    <t>Total Emisi dalam t CO2-eq untuk tahapan yang berbeda pada Rantai Nilai</t>
  </si>
  <si>
    <t>PRODUKSI</t>
  </si>
  <si>
    <t>PEMROSESAN</t>
  </si>
  <si>
    <t>TRANSPORTASI</t>
  </si>
  <si>
    <t>PENGGUNAAN</t>
  </si>
  <si>
    <t>LIMBAH</t>
  </si>
  <si>
    <t>Matriks Perubahan</t>
  </si>
  <si>
    <t>Tanah mineral (ha)</t>
  </si>
  <si>
    <t>Tanah organik (ha)</t>
  </si>
  <si>
    <t>AWAL</t>
  </si>
  <si>
    <t>AKHIR</t>
  </si>
  <si>
    <t>Total Awal</t>
  </si>
  <si>
    <t>Total Akhir</t>
  </si>
  <si>
    <t>Pilih GWP untuk perhitungan</t>
  </si>
  <si>
    <t>Klasifikasi Tanah</t>
  </si>
  <si>
    <t>Pembantu Iklim: Membantu menentukan kategori Iklim dengan MAT dan MAP</t>
  </si>
  <si>
    <t>Rata-rata temperatur Tahunan dalam °C</t>
  </si>
  <si>
    <t>Rata-rata curah hujan tahunan dalam mm</t>
  </si>
  <si>
    <t>Moist jika MAP&gt;PET dan Dry jika PET&gt;MAP</t>
  </si>
  <si>
    <t>Kategori MAT dan Iklim</t>
  </si>
  <si>
    <t>Catatan: Tropical Montane biasanya Dry (Kering)</t>
  </si>
  <si>
    <t>Zona Iklim IPCC</t>
  </si>
  <si>
    <t>Tidak ada Data</t>
  </si>
  <si>
    <t>MAT Standar</t>
  </si>
  <si>
    <t>Zona Iklim IPCC Sederhana</t>
  </si>
  <si>
    <t>Dingin</t>
  </si>
  <si>
    <t>Hangat</t>
  </si>
  <si>
    <t>(atau Polar)</t>
  </si>
  <si>
    <t>Sumber FAO:</t>
  </si>
  <si>
    <t>Peta MAP dan MAT</t>
  </si>
  <si>
    <t>Lihat peta Iklim Global di FAO</t>
  </si>
  <si>
    <t>Total curah hujan rata-rata tahunan</t>
  </si>
  <si>
    <t>Rata-rata temperatur tahunan</t>
  </si>
  <si>
    <t xml:space="preserve">LocClim dikembangkan untuk memberikan perkiraan kondisi iklim pada lokasi yang tidak memiliki observasi. Untuk melaksanakan hal ini, program menggunakan 28,800 stasiun FAOCLIM 2.0 </t>
  </si>
  <si>
    <t>Klik di sini untuk menuju aplikasi tersebut</t>
  </si>
  <si>
    <t>Untuk data iklim on-line menggunakan lokalisasi, lihat juga Web LocClim, perkiraan iklim bulanan lokal</t>
  </si>
  <si>
    <t>Ke Web LocClim</t>
  </si>
  <si>
    <t>Zona Ekologi Global</t>
  </si>
  <si>
    <t>Zona Ekologi Global, berdasarkan iklim dan pola vegetasi terobservasi (FAO, 2001).  Data untuk sistem informasi geografis tersedia di http://www.fao.org.</t>
  </si>
  <si>
    <t>Gurun tropis</t>
  </si>
  <si>
    <t>Gurun sub-tropis</t>
  </si>
  <si>
    <t>Stepa beriklim sedang</t>
  </si>
  <si>
    <t>Gurun beriklim sedang</t>
  </si>
  <si>
    <t>Kawasan</t>
  </si>
  <si>
    <t>(lihat Peta di bawah)</t>
  </si>
  <si>
    <t>Tahun</t>
  </si>
  <si>
    <t>Hasil (t/ha)</t>
  </si>
  <si>
    <t>Rata-rata</t>
  </si>
  <si>
    <t>Tingkat (%)</t>
  </si>
  <si>
    <t>Proyeksi</t>
  </si>
  <si>
    <t>Data berikut berasal dari FAOSTAT, jika Anda membutuhkan informasi lebih terperinci (mis. per negara), harap kunjungi website FAO</t>
  </si>
  <si>
    <t>(EF, faktor emisi, adalah dalam kg CH4 per ha per hari)</t>
  </si>
  <si>
    <t>EF-Dasar</t>
  </si>
  <si>
    <t>EF-Sebelum</t>
  </si>
  <si>
    <t>EF-Selama</t>
  </si>
  <si>
    <t>EF-Modifikasi Organik</t>
  </si>
  <si>
    <t>EF (Faktor Emisi)</t>
  </si>
  <si>
    <t>Silakan Pilih</t>
  </si>
  <si>
    <t>Asia (Kontinental)</t>
  </si>
  <si>
    <t>Asia (Sub-kontinen India)</t>
  </si>
  <si>
    <t>Timur Tengah</t>
  </si>
  <si>
    <t>Eropa Barat</t>
  </si>
  <si>
    <t>Eropa Timur</t>
  </si>
  <si>
    <t>Oseania</t>
  </si>
  <si>
    <t>Amerika Utara</t>
  </si>
  <si>
    <t>Amerika Tengah</t>
  </si>
  <si>
    <t>Amerika Selatan</t>
  </si>
  <si>
    <t>Temperatur Dingin</t>
  </si>
  <si>
    <t>Temperatur Hangat</t>
  </si>
  <si>
    <t>Tropika</t>
  </si>
  <si>
    <t>Pegunungan Tropika</t>
  </si>
  <si>
    <t>Kering</t>
  </si>
  <si>
    <t>Lembap</t>
  </si>
  <si>
    <t>Basah</t>
  </si>
  <si>
    <t>Tanah HAC</t>
  </si>
  <si>
    <t>Tanah LAC</t>
  </si>
  <si>
    <t>Tanah Berpasir</t>
  </si>
  <si>
    <t>Tanah Spodic</t>
  </si>
  <si>
    <t>Tanah Vulkanik</t>
  </si>
  <si>
    <t>Tanah Lahan Basah</t>
  </si>
  <si>
    <t>Tanah Lain</t>
  </si>
  <si>
    <t>Silakan tentukan iklimnya</t>
  </si>
  <si>
    <t>Hutan hujan tropis</t>
  </si>
  <si>
    <t>Hutan gugur daun lembap tropis</t>
  </si>
  <si>
    <t>Hutan kering tropis</t>
  </si>
  <si>
    <t>Semak belukar tropis</t>
  </si>
  <si>
    <t>Hutan lembap subtropis</t>
  </si>
  <si>
    <t>Hutan kering subtropis</t>
  </si>
  <si>
    <t>Stepa subtropis</t>
  </si>
  <si>
    <t>Sistem pegunungan subtropis</t>
  </si>
  <si>
    <t>Hutan oseanik temperatur sedang</t>
  </si>
  <si>
    <t>Hutan kontinental temperatur sedang</t>
  </si>
  <si>
    <t>Sistem pegunungan temperatur sedang</t>
  </si>
  <si>
    <t>Hutan konifer boreal</t>
  </si>
  <si>
    <t>Hutan tundra boreal</t>
  </si>
  <si>
    <t>Sistem pegunungan boreal</t>
  </si>
  <si>
    <t>Sistem pegunungan tropis</t>
  </si>
  <si>
    <t>Zona Hutan 1</t>
  </si>
  <si>
    <t>Zona Hutan 2</t>
  </si>
  <si>
    <t>Zona Hutan 3</t>
  </si>
  <si>
    <t>Zona Hutan 4</t>
  </si>
  <si>
    <t>Zona Perkebunan 1</t>
  </si>
  <si>
    <t>Zona Perkebunan 2</t>
  </si>
  <si>
    <t>Zona Perkebunan 3</t>
  </si>
  <si>
    <t>Zona Perkebunan 4</t>
  </si>
  <si>
    <t>Pilih vegetasi</t>
  </si>
  <si>
    <t>Tidak</t>
  </si>
  <si>
    <t>Ya</t>
  </si>
  <si>
    <t>Pilih Penggunaan setelah deforestasi</t>
  </si>
  <si>
    <t>Tanaman Tahunan</t>
  </si>
  <si>
    <t>Tanaman Perenial/Pepohonan</t>
  </si>
  <si>
    <t>Sawah Basah</t>
  </si>
  <si>
    <t>Lahan tidur (set-aside)</t>
  </si>
  <si>
    <t>Padang rumput</t>
  </si>
  <si>
    <t>Lahan rusak</t>
  </si>
  <si>
    <t>Lainnya (nominal)</t>
  </si>
  <si>
    <t>Lainnya (rusak)</t>
  </si>
  <si>
    <t>Pilih penggunaan sebelumnya</t>
  </si>
  <si>
    <t>Tanaman Perenial/Pepohonan (5&lt;thn)</t>
  </si>
  <si>
    <t>Tanaman Perenial/Pepohonan (6-10 thn)</t>
  </si>
  <si>
    <t>Tanaman Perenial/Pepohonan (&gt;10 thn)</t>
  </si>
  <si>
    <t>Pilih Penggunaan Lahan Awal</t>
  </si>
  <si>
    <t>Lahan Tidur (set-aside)</t>
  </si>
  <si>
    <t>Lahan Rusak</t>
  </si>
  <si>
    <t>Lahan Lain</t>
  </si>
  <si>
    <t>Pilih Penggunaan Lahan Akhir</t>
  </si>
  <si>
    <t>Masukkan Penggunaan Lahan awal</t>
  </si>
  <si>
    <t>Masukkan Penggunaan Lahan akhir</t>
  </si>
  <si>
    <t>Final=awal: Periksa!</t>
  </si>
  <si>
    <t>Silakan pilih rejim air</t>
  </si>
  <si>
    <t>Irigasi - Terus terendam</t>
  </si>
  <si>
    <t>Irigasi - Sesekali terendam</t>
  </si>
  <si>
    <t>Tadah hujan dan air dalam</t>
  </si>
  <si>
    <t>Silakan pilih rejim air sebelum musim</t>
  </si>
  <si>
    <t>Silakan pilih jenis Modifikasi Organik</t>
  </si>
  <si>
    <t>Jerami dibakar</t>
  </si>
  <si>
    <t>Jerami dipindahkan</t>
  </si>
  <si>
    <t>Jerami dimasukkan sebentar (&lt;30h) sebelum kultivasi</t>
  </si>
  <si>
    <t>Jerami dimasukkan lama (&gt;30h) sebelum kultivasi</t>
  </si>
  <si>
    <t>Kompos</t>
  </si>
  <si>
    <t>Kompos peternakan</t>
  </si>
  <si>
    <t>Kompos hijau</t>
  </si>
  <si>
    <t>Silakan pilih</t>
  </si>
  <si>
    <t>Kambing</t>
  </si>
  <si>
    <t>Unta</t>
  </si>
  <si>
    <t>Kuda</t>
  </si>
  <si>
    <t>Keledai</t>
  </si>
  <si>
    <t>Unggas</t>
  </si>
  <si>
    <t>Rusa</t>
  </si>
  <si>
    <t>Alpaka</t>
  </si>
  <si>
    <t>Rusak sedang</t>
  </si>
  <si>
    <t>Diperbaiki tanpa manajemen input</t>
  </si>
  <si>
    <t>Diperbaiki dengan manajemen input</t>
  </si>
  <si>
    <t>Pilih kondisi</t>
  </si>
  <si>
    <t>Pilih tingkatan</t>
  </si>
  <si>
    <t>Tidak ada</t>
  </si>
  <si>
    <t>Sangat rendah</t>
  </si>
  <si>
    <t>Rendah</t>
  </si>
  <si>
    <t>Menengah</t>
  </si>
  <si>
    <t>Besar</t>
  </si>
  <si>
    <t>Esktrim</t>
  </si>
  <si>
    <t>Permukaan tanpa IRRS</t>
  </si>
  <si>
    <t>Permukaan dengan IRRS</t>
  </si>
  <si>
    <t>Penyiram air (sprinkle) solid set</t>
  </si>
  <si>
    <t>Penyiram air (sprinkle) permanen</t>
  </si>
  <si>
    <t>Penyiram air (sprinkle) hand-moved</t>
  </si>
  <si>
    <t>Penyiram air (sprinkle) solid roll</t>
  </si>
  <si>
    <t>Penyiram air (sprinkle) center-pivot</t>
  </si>
  <si>
    <t>Penyiram air (sprinkle) traveler</t>
  </si>
  <si>
    <t xml:space="preserve">Trickle </t>
  </si>
  <si>
    <t>Perumahan (beton)</t>
  </si>
  <si>
    <t>Bangunan Pertanian (beton)</t>
  </si>
  <si>
    <t>Bangunan Pertanian (metal)</t>
  </si>
  <si>
    <t>Bangunan Industrial (beton)</t>
  </si>
  <si>
    <t>Bangunan Industrial (metal)</t>
  </si>
  <si>
    <t>Garasi (beton)</t>
  </si>
  <si>
    <t>Garasi (metal)</t>
  </si>
  <si>
    <t>Kantor (beton)</t>
  </si>
  <si>
    <t>Kantor (metal)</t>
  </si>
  <si>
    <t>Lainnya (beton)</t>
  </si>
  <si>
    <t>Lainnya (metal)</t>
  </si>
  <si>
    <t>Jalan untuk lalu lintas menengah (beton)</t>
  </si>
  <si>
    <t>Jalan untuk lalu lintas menengah (aspal)</t>
  </si>
  <si>
    <t>Jalan untuk lalu lintas padat (beton)</t>
  </si>
  <si>
    <t>Jalan untuk lalu lintas padat (aspal)</t>
  </si>
  <si>
    <t>Ofisial (periode 1 2008 - 2012)</t>
  </si>
  <si>
    <t>Ofisial (periode 2 2013 - 2020)</t>
  </si>
  <si>
    <t>Pemutakhiran terakhir untuk GWP100 (IPCC-2013)</t>
  </si>
  <si>
    <t>Non dominan</t>
  </si>
  <si>
    <t>Non tanah</t>
  </si>
  <si>
    <t>Amerika</t>
  </si>
  <si>
    <t>Australia dan Selandia Baru</t>
  </si>
  <si>
    <t>Karibia</t>
  </si>
  <si>
    <t>Asia Tengah</t>
  </si>
  <si>
    <t>Afrika Timur</t>
  </si>
  <si>
    <t>Asia Timur</t>
  </si>
  <si>
    <t>Eropa</t>
  </si>
  <si>
    <t>Uni Eropa</t>
  </si>
  <si>
    <t>Mikronesia</t>
  </si>
  <si>
    <t>Afrika Tengah</t>
  </si>
  <si>
    <t>Afrika Utara</t>
  </si>
  <si>
    <t>Eropa Utara</t>
  </si>
  <si>
    <t>Asia Tenggara</t>
  </si>
  <si>
    <t>Afrika Selatan</t>
  </si>
  <si>
    <t>Asia Selatan</t>
  </si>
  <si>
    <t>Eropa Selatan</t>
  </si>
  <si>
    <t>Afrika Barat</t>
  </si>
  <si>
    <t>Asia Barat</t>
  </si>
  <si>
    <t>Dunia</t>
  </si>
  <si>
    <t>Pisang</t>
  </si>
  <si>
    <t>Jelai (barley)</t>
  </si>
  <si>
    <t>Kacang-kacangan, kering</t>
  </si>
  <si>
    <t>Kacang-kacangan, hijau</t>
  </si>
  <si>
    <t>Wortel dan lobak</t>
  </si>
  <si>
    <t>Kacang mete, dengan kulit</t>
  </si>
  <si>
    <t>Singkong</t>
  </si>
  <si>
    <t>Kembang kol dan brokoli</t>
  </si>
  <si>
    <t>Sereal (Ekui. Beras giling)</t>
  </si>
  <si>
    <t>Sereal, lain-lain</t>
  </si>
  <si>
    <t>Kastanye</t>
  </si>
  <si>
    <t>Buat jeruk, lain-lain</t>
  </si>
  <si>
    <t>Kopi, hijau</t>
  </si>
  <si>
    <t>Kacang tunggak, kering</t>
  </si>
  <si>
    <t>Kurma</t>
  </si>
  <si>
    <t>Terong</t>
  </si>
  <si>
    <t>Tanaman serat, lain-lain</t>
  </si>
  <si>
    <t>Jeruk besar (grapefruit, termasuk pomelo)</t>
  </si>
  <si>
    <t>Anggur</t>
  </si>
  <si>
    <t>Kacang tanah, dengan kulit</t>
  </si>
  <si>
    <t>Sayuran polong, lain-lain</t>
  </si>
  <si>
    <t>Biji rami</t>
  </si>
  <si>
    <t>Jagung</t>
  </si>
  <si>
    <t>Jagung, hijau</t>
  </si>
  <si>
    <t>Mangga, manggis, jambu</t>
  </si>
  <si>
    <t>Padi-padian</t>
  </si>
  <si>
    <t>Haver (oat)</t>
  </si>
  <si>
    <t>Buat kelapa sawit</t>
  </si>
  <si>
    <t>Zaitun</t>
  </si>
  <si>
    <t>Bawang, kering</t>
  </si>
  <si>
    <t xml:space="preserve">Jeruk  </t>
  </si>
  <si>
    <t>Persik dan nektarin</t>
  </si>
  <si>
    <t>Nanas</t>
  </si>
  <si>
    <t>Pisang olah (plaintain)</t>
  </si>
  <si>
    <t>Kentang</t>
  </si>
  <si>
    <t>Legume (pulse), lain-lain</t>
  </si>
  <si>
    <t>Beras, padi</t>
  </si>
  <si>
    <t>Akar dan umbi-umbian</t>
  </si>
  <si>
    <t>Gandum hitam</t>
  </si>
  <si>
    <t>Biji kapas</t>
  </si>
  <si>
    <t>Biji wijen</t>
  </si>
  <si>
    <t>Kacang kedelai</t>
  </si>
  <si>
    <t>Strawberi</t>
  </si>
  <si>
    <t>Bit gula</t>
  </si>
  <si>
    <t>Tebu</t>
  </si>
  <si>
    <t>Biji bunga matahari</t>
  </si>
  <si>
    <t>Ubi jalar</t>
  </si>
  <si>
    <t>Jeruk tangerine, mandarin, clementine</t>
  </si>
  <si>
    <t>The</t>
  </si>
  <si>
    <t>Tembakau, tidak dimanufaktur</t>
  </si>
  <si>
    <t>Tomat</t>
  </si>
  <si>
    <t>Sayuran segar, lain-lain</t>
  </si>
  <si>
    <t>Vicia, vetches</t>
  </si>
  <si>
    <t xml:space="preserve">Gandum  </t>
  </si>
  <si>
    <t>Bakau</t>
  </si>
  <si>
    <t>5.2. Dégradation et gestion des sols organiques (tourbières)</t>
  </si>
  <si>
    <t>5.2.1. Drainage des sols organiques</t>
  </si>
  <si>
    <t>Surfaces where peat is extracted</t>
  </si>
  <si>
    <t>Type de feu</t>
  </si>
  <si>
    <t>Superficie brûlée (ha)</t>
  </si>
  <si>
    <t>Brûlis dirigé</t>
  </si>
  <si>
    <t>5.2.4. Les émissions provenant des incendies des sols organiques (tourbières)</t>
  </si>
  <si>
    <t>Surfaces de sols organiques réhumidifiées (ha)</t>
  </si>
  <si>
    <t>Feu de brousse (drainées)</t>
  </si>
  <si>
    <t>Feu de brousse (non drainées)</t>
  </si>
  <si>
    <t>Total pour les incendies</t>
  </si>
  <si>
    <t>Total pour la réhumectation</t>
  </si>
  <si>
    <t>Zone excavée (ha)</t>
  </si>
  <si>
    <t>Marais côtier</t>
  </si>
  <si>
    <t>Herbier</t>
  </si>
  <si>
    <t>Total pour extracton et excavation</t>
  </si>
  <si>
    <t>Area rewetted (ha)</t>
  </si>
  <si>
    <t>Surface drainée (ha)</t>
  </si>
  <si>
    <t>Surface réhumectée (ha)</t>
  </si>
  <si>
    <t>Please indicate the dominant quality of peat, this can influence the emissions factors below</t>
  </si>
  <si>
    <t>CO Emission Factor</t>
  </si>
  <si>
    <t>CH4 Emission Factor</t>
  </si>
  <si>
    <t>(t C /ha/yr)</t>
  </si>
  <si>
    <t>Facteur d'émission (kg CH4 / ha / an)</t>
  </si>
  <si>
    <t>Émissions hors site</t>
  </si>
  <si>
    <t>Facteur d'émission de CH4 (kg CH4 / ha / an)</t>
  </si>
  <si>
    <t>SVP, indiquez la qualité dominante de la tourbe, cela peut influer sur les facteurs d'émission ci-dessous</t>
  </si>
  <si>
    <t>Les émissions de CH4 associées au drainage</t>
  </si>
  <si>
    <t>Des sols drainés</t>
  </si>
  <si>
    <t>Des fossés</t>
  </si>
  <si>
    <t>Les émissions de N2O associées au drainage</t>
  </si>
  <si>
    <t>Émissions de CO2 provenant de l'utilisation de la tourbe</t>
  </si>
  <si>
    <t>Utilisation énergétique?</t>
  </si>
  <si>
    <t>via les pertes de carbone dissous</t>
  </si>
  <si>
    <t>Densité de la tourbe (t/m3)</t>
  </si>
  <si>
    <t>Le type de sol par défaut est "Mineral"</t>
  </si>
  <si>
    <t>Facteur d'émission</t>
  </si>
  <si>
    <t>(t C / ha / an)</t>
  </si>
  <si>
    <t>Facteurs d'émission pour la réhumectation des sols organiques</t>
  </si>
  <si>
    <t>Facteurs d'émission pour les feux de sols organiques, pour chaque gaz (g par kg de matière sèche brûlé)</t>
  </si>
  <si>
    <t>Emissions factors for organic soil fires for each gas (g per kg dry matter burnt)</t>
  </si>
  <si>
    <t>Facteur d'émission du CO2</t>
  </si>
  <si>
    <t>Facteur d'émission du CO</t>
  </si>
  <si>
    <t>Facteur d'émission du CH4</t>
  </si>
  <si>
    <t>Matière sèche (t MS / ha)</t>
  </si>
  <si>
    <t>% du C perdu après l'excavation</t>
  </si>
  <si>
    <t>Par défaut l'eau utilisée est douce</t>
  </si>
  <si>
    <t>Eau saline?</t>
  </si>
  <si>
    <t>Le sol est organique?</t>
  </si>
  <si>
    <t>(1 m de profondeur par default)</t>
  </si>
  <si>
    <t>(kg CH4 /ha /an)</t>
  </si>
  <si>
    <t>(kg CH4 /ha /yr)</t>
  </si>
  <si>
    <t>Riche en nutriments</t>
  </si>
  <si>
    <t>Pauvre en nutriments</t>
  </si>
  <si>
    <t>Tourbe (des tourbières)</t>
  </si>
  <si>
    <t>Catégorie</t>
  </si>
  <si>
    <t>Prise totale par an (tonnes par an)</t>
  </si>
  <si>
    <t>Les opérations de pêche (basées sur l'intensité de la consommation du carburant  - ICC)</t>
  </si>
  <si>
    <t>Aquaculture (uniquement les émissions de N2O lors de la production de poissons)</t>
  </si>
  <si>
    <t>Total des prises artisanales et côtières</t>
  </si>
  <si>
    <t>Facteur d'emission</t>
  </si>
  <si>
    <t>Quantité perdue (kg de réfrigérant)</t>
  </si>
  <si>
    <t>PRG du réfrigérant</t>
  </si>
  <si>
    <t>Réfrigérant perdu par tonne de prise</t>
  </si>
  <si>
    <t>Quantité (tonnes)</t>
  </si>
  <si>
    <t>Quantité de glace (en tonnes) par tonne de prise</t>
  </si>
  <si>
    <t>Facteur d'émission pour les émissions de N2O provenant de la production de poisson (t N-N2O / t de poisson)</t>
  </si>
  <si>
    <t>Facteur d'émission (tCO2-eq) par tonne de glace</t>
  </si>
  <si>
    <t>Non précisé</t>
  </si>
  <si>
    <t>Crustacés</t>
  </si>
  <si>
    <t>Grands pélagiques</t>
  </si>
  <si>
    <t>Mollusques</t>
  </si>
  <si>
    <t>Salmonidés</t>
  </si>
  <si>
    <t>Petits pélagiques</t>
  </si>
  <si>
    <t>Poissons plats</t>
  </si>
  <si>
    <t>Poissons à nageoires</t>
  </si>
  <si>
    <t>Rico em nutrientes</t>
  </si>
  <si>
    <t>Pobre en nutrientes</t>
  </si>
  <si>
    <t>Não especificado</t>
  </si>
  <si>
    <t>Crustáceos</t>
  </si>
  <si>
    <t>Peixes com nadadeiras</t>
  </si>
  <si>
    <t>Grandes pelágicos</t>
  </si>
  <si>
    <t>Moluscos</t>
  </si>
  <si>
    <t>Salmonídeos</t>
  </si>
  <si>
    <t>Pequenos pelágicos</t>
  </si>
  <si>
    <t>Peixes chatos</t>
  </si>
  <si>
    <t>Floresta</t>
  </si>
  <si>
    <t>Plantação</t>
  </si>
  <si>
    <t>5.2.1. Drenagem de solos orgânicos</t>
  </si>
  <si>
    <t>Quantidade produzida de turfa (t / ano)</t>
  </si>
  <si>
    <t>5.2. Degradação e manejo de solos orgânicos (turfeiras)</t>
  </si>
  <si>
    <t>Percentagem (área) de canais</t>
  </si>
  <si>
    <t>As superfícies onde é extraído a turfa</t>
  </si>
  <si>
    <t>Altura da extração (cm)</t>
  </si>
  <si>
    <t>5.2.3. Re-umidecimento de solos orgânicos (turfeiras)</t>
  </si>
  <si>
    <t>Tipo de fogo</t>
  </si>
  <si>
    <t>Área queimada (ha)</t>
  </si>
  <si>
    <t>Fogo natural (turfa drenada)</t>
  </si>
  <si>
    <t>fogo natural (turfa não drenada)</t>
  </si>
  <si>
    <t>Fogo controlado</t>
  </si>
  <si>
    <t>Total para Fogo</t>
  </si>
  <si>
    <t>Área escavada (ha)</t>
  </si>
  <si>
    <t>Superfícies de solos orgânicos reumedecidos (ha)</t>
  </si>
  <si>
    <t>5.2.4. Emissões dos fogos de solos orgânicos (turfeiras)</t>
  </si>
  <si>
    <t>Total para re-umidecimento</t>
  </si>
  <si>
    <t>Total para extração e escavação</t>
  </si>
  <si>
    <t>Pântanos de maré</t>
  </si>
  <si>
    <t>Sargaços</t>
  </si>
  <si>
    <t>Área drenada (ha)</t>
  </si>
  <si>
    <t>Área reumedecidas (ha)</t>
  </si>
  <si>
    <t>Emissões de CH4 associada à drenagem</t>
  </si>
  <si>
    <t>As emissões de N2O associada à drenagem</t>
  </si>
  <si>
    <t>Fator de emissão (kg CH4 / ha / ano)</t>
  </si>
  <si>
    <t>Emissões fora do local</t>
  </si>
  <si>
    <t>Por favor, indicar a qualidade dominante da turfa, isso pode influenciar os fatores de emissões abaixo</t>
  </si>
  <si>
    <t>A partir dos solos drenados</t>
  </si>
  <si>
    <t>A partir dos canais</t>
  </si>
  <si>
    <t>via perdas de carbono dissolvido</t>
  </si>
  <si>
    <t>Fator de emissão do CH4 (kg CH4 / ha / ano)</t>
  </si>
  <si>
    <t>Emissão de CO2 do uso da turfa</t>
  </si>
  <si>
    <t>Densidade  (t / m3)</t>
  </si>
  <si>
    <t>Uso para Energia?</t>
  </si>
  <si>
    <t>(t C / ha / ano)</t>
  </si>
  <si>
    <t>(kg CH4 / ha / ano)</t>
  </si>
  <si>
    <t>Fatores de emissão para o reumedecimento dos solos orgânicos</t>
  </si>
  <si>
    <t>Fatores de emissão para os fogos em solos orgânicos,para cada gás (g por kg de matéria seca queimada)</t>
  </si>
  <si>
    <t>Fator de emissão do CO2</t>
  </si>
  <si>
    <t>Fator de emissão do CO</t>
  </si>
  <si>
    <t xml:space="preserve">Fator de Emissão do CH4 </t>
  </si>
  <si>
    <t>Matéria seca (t MS / ha)</t>
  </si>
  <si>
    <t>O tipo padrão é "Mineral"</t>
  </si>
  <si>
    <t>(padrão é de 1 m de profundidade)</t>
  </si>
  <si>
    <t>% do C perdido após a escavação</t>
  </si>
  <si>
    <t>Definir como "orgânico"?</t>
  </si>
  <si>
    <t>Fator de emissão</t>
  </si>
  <si>
    <t>Por padrão a água utilizada é doce</t>
  </si>
  <si>
    <t>Definir como salgada?</t>
  </si>
  <si>
    <t>Turfa (das turfeiras)</t>
  </si>
  <si>
    <t>categoria</t>
  </si>
  <si>
    <t>Captura total por ano (toneladas por ano)</t>
  </si>
  <si>
    <t>GWP de refrigerante</t>
  </si>
  <si>
    <t>Quantidade (em toneladas)</t>
  </si>
  <si>
    <t>Quantidade de gelo (em toneladas) por tonelada de captura</t>
  </si>
  <si>
    <t>As operações de pesca (com base na Intensidade de Uso do Combustível - IUC)</t>
  </si>
  <si>
    <t>Vazamento a bordo a partir dos sistemas de refrigeração (as pescas artesanais são excluídas)</t>
  </si>
  <si>
    <t>Aquicultura (somente as emissões de N2O para a produção de peixe)</t>
  </si>
  <si>
    <t>Total para capturas artesanais e costeiras</t>
  </si>
  <si>
    <t>Intensidade de Uso do Combustível - IUC</t>
  </si>
  <si>
    <t>Quantidade perdida (kg refrigerante)</t>
  </si>
  <si>
    <t>Refrigerante perdido por tonelada de captura desembarcada</t>
  </si>
  <si>
    <t>Fator de emissão para as emissões de N2O provenientes da produção de peixe (t N-N2O / t de peixe)</t>
  </si>
  <si>
    <t>% des pescas artisanais</t>
  </si>
  <si>
    <t>Captura total das pescas non-artisanais na parte de cima (peixes, etc.)</t>
  </si>
  <si>
    <t>On-board leakage from refrigeration systems</t>
  </si>
  <si>
    <t>Fuite à bord des systèmes de réfrigération</t>
  </si>
  <si>
    <t>Emissões devido a produção de gelo para a capturas</t>
  </si>
  <si>
    <t>(this corresponds to deforestation of mangroves and should be accounted only here)</t>
  </si>
  <si>
    <t>Fishery&amp;Aquaculture</t>
  </si>
  <si>
    <t>The sections 6.1 (Inputs), 6.2. (Energy) and 6.3. (Construction of new infratructure) can be used to complement this section</t>
  </si>
  <si>
    <t>Les sections  6.1 (Intrants), 6.2. (Énergie) et 6.3. (Construction de nouvelles infratructures) peuvent être utilisées pour compléter cette section</t>
  </si>
  <si>
    <t>As seções 6.1 (Insumos), 6.2. (Energia) e 6.3. (A construção de novas infratructuras) podem ser utilizadas para complementar esta seção</t>
  </si>
  <si>
    <t>Emissions from feeds</t>
  </si>
  <si>
    <t>Production system 1</t>
  </si>
  <si>
    <t>Production system 2</t>
  </si>
  <si>
    <t>Production system 3</t>
  </si>
  <si>
    <t>Production system 4</t>
  </si>
  <si>
    <t>Production system 5</t>
  </si>
  <si>
    <t>Annual production (tonnes per year)</t>
  </si>
  <si>
    <t>Annual quantity of feeds (tonnes per year)</t>
  </si>
  <si>
    <t>Total aquaculture</t>
  </si>
  <si>
    <t>Emissions factor for feed (tCO2-eq / t feed)</t>
  </si>
  <si>
    <t>(tCO2-eq / t catch)</t>
  </si>
  <si>
    <t>(t CO2-eq / t de prise)</t>
  </si>
  <si>
    <t>Fator de emissão (tCO2-eq) por t de gelo</t>
  </si>
  <si>
    <t>(tCO2-eq / t de capturas)</t>
  </si>
  <si>
    <t>Emission factor (tCO2-eq) per t of ice produced</t>
  </si>
  <si>
    <t>Aquaculture (fromm feeds)</t>
  </si>
  <si>
    <t>Fishery &amp; Aquaculture</t>
  </si>
  <si>
    <t>&lt;</t>
  </si>
  <si>
    <t>l /t fish</t>
  </si>
  <si>
    <t>Fuel Use Intensity (FUI) from Parker &amp; Tyedmers (2014)</t>
  </si>
  <si>
    <t>tN2O</t>
  </si>
  <si>
    <t>tCH4</t>
  </si>
  <si>
    <t>Feed n°1</t>
  </si>
  <si>
    <t>Feed n°2</t>
  </si>
  <si>
    <t>Feed n°3</t>
  </si>
  <si>
    <t>Feed n°4</t>
  </si>
  <si>
    <t>Feed n°5</t>
  </si>
  <si>
    <t>Electricity used per tonne of Ice</t>
  </si>
  <si>
    <t>Total from catch</t>
  </si>
  <si>
    <t>Total provenant des captures</t>
  </si>
  <si>
    <t>Total oriundo das capturas</t>
  </si>
  <si>
    <t>Management (will impact FUI)</t>
  </si>
  <si>
    <t>Tropical Mountain</t>
  </si>
  <si>
    <t>Tropical Mountain Dry</t>
  </si>
  <si>
    <t>Tropical Mountain Moist</t>
  </si>
  <si>
    <t>100% = Nominal FUI (see Tier2)</t>
  </si>
  <si>
    <t>% with refrigerant syst.</t>
  </si>
  <si>
    <t>% avec réfrigération</t>
  </si>
  <si>
    <t>Fuel Use Intensity - FUI (l/t catch)</t>
  </si>
  <si>
    <t>Intensité de la Consommation de Carburant - ICC (l/t de prise)</t>
  </si>
  <si>
    <t>subtotal</t>
  </si>
  <si>
    <t>Total fuel consumption (m3/yr)</t>
  </si>
  <si>
    <t>Fish</t>
  </si>
  <si>
    <t>Gestion (impacte l'ICC)</t>
  </si>
  <si>
    <t>100% = ICC nominal (cf Tier 2)</t>
  </si>
  <si>
    <t>Production annuelle (tonnes par an)</t>
  </si>
  <si>
    <t>Emissions dues à la nourriture</t>
  </si>
  <si>
    <t>Quantité annuelle de nourriture (t/an)</t>
  </si>
  <si>
    <t>Total pour l'aquaculture</t>
  </si>
  <si>
    <t>Facteur d'emission de la nourriture (tCO2-eq/t nour.)</t>
  </si>
  <si>
    <t>Consommation total de diesel (m3/an)</t>
  </si>
  <si>
    <t>Tiếng Việt</t>
  </si>
  <si>
    <t>Các lựa chọn trong tính toán của bộ công cụ này thể hiện quan điểm của các tác giả và không nhất thiết thể hiện quan điểm và lựa chọn của Tổ chức Nông lương Liên hợp quốc</t>
  </si>
  <si>
    <t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t>
  </si>
  <si>
    <t>Tiếng Anh</t>
  </si>
  <si>
    <t>Tên dự án</t>
  </si>
  <si>
    <t>Lục địa</t>
  </si>
  <si>
    <t>Khí hậu</t>
  </si>
  <si>
    <t>Chế độ ẩm</t>
  </si>
  <si>
    <t>Kiểu đất đặc thù của vùng</t>
  </si>
  <si>
    <t>Chu kỳ dự án (năm)</t>
  </si>
  <si>
    <t>Pha thực hiên dự án</t>
  </si>
  <si>
    <t>Thời gian hạch toán</t>
  </si>
  <si>
    <t>Đất</t>
  </si>
  <si>
    <t>Phá rừng</t>
  </si>
  <si>
    <t>Bản đổ vùng sinh thái nông nghiệp</t>
  </si>
  <si>
    <t>Loại thực vật</t>
  </si>
  <si>
    <t>loại thực vật có khả năng bị tàn phá</t>
  </si>
  <si>
    <t>Sử dụng lửa?</t>
  </si>
  <si>
    <t>Sử dụng cuối cùng sau phá rừng</t>
  </si>
  <si>
    <t>Diện tích rừng (ha)</t>
  </si>
  <si>
    <t>Diện tích đất rừng bị phá (ha)</t>
  </si>
  <si>
    <t>Tổng phát thải (tCO2e-eq)</t>
  </si>
  <si>
    <t>Cân bằng</t>
  </si>
  <si>
    <t xml:space="preserve">Sản lượng gỗ thu hoạch </t>
  </si>
  <si>
    <t>Ghi chú liên quan đến các động thái của sự thay đổi: "D" là giá trị mặc định/tuyến tính, "I" là thay đổi ngay lập tức, còn "E" là thay đổi theo cấp số nhân (Xin tham khảo thêm trong hướng dẫn)</t>
  </si>
  <si>
    <t>Tổng phá rừng</t>
  </si>
  <si>
    <t>Bắt đầu</t>
  </si>
  <si>
    <t>Không có dự án</t>
  </si>
  <si>
    <t>Có dự án</t>
  </si>
  <si>
    <t>2.2. Trồng rừng và tái sinh rừng</t>
  </si>
  <si>
    <t>Hình thức sử dụng đất trước đó</t>
  </si>
  <si>
    <t>Diện tích rừng sẽ được trồng lại/tái sinh?</t>
  </si>
  <si>
    <t>Tổng rừng tái sinh/trồng</t>
  </si>
  <si>
    <t>2.3. Thay đổi sử dụng đất khác</t>
  </si>
  <si>
    <t>Điền thông tin với các mô tả của bạn</t>
  </si>
  <si>
    <t>Loại hình sử dụng đất ban đầu</t>
  </si>
  <si>
    <t>Loại hình sử dụng đất cuối cùng</t>
  </si>
  <si>
    <t>Các thông điệp</t>
  </si>
  <si>
    <t>Diên tích chuyển đổi (ha)</t>
  </si>
  <si>
    <t>Tổng thay đổi sử dụng đất khác</t>
  </si>
  <si>
    <t>Bạn phải chỉ rõ rằng bạn đang sử dụng các loại thảm thực vật sau:</t>
  </si>
  <si>
    <t>Sử dụng phần này nếu bạn muốn sử dụng phương pháp phân tích với các hệ số Tier 2</t>
  </si>
  <si>
    <t>(các giá trị mặc định được cung cấp để bạn có thông tin, trong khi EX-ACT sẽ sử dụng các giá trị Tier 2 tự động ở bất cứ nơi nào có yêu cầu cụ thể</t>
  </si>
  <si>
    <t>Tất cả các giá trị được thể hiện bằng tấn carbon/ha (tC/ha)</t>
  </si>
  <si>
    <t>Trên mặt đất</t>
  </si>
  <si>
    <t>Dưới mặt đất</t>
  </si>
  <si>
    <t>Xác thực vật</t>
  </si>
  <si>
    <t>Carbon đất</t>
  </si>
  <si>
    <t>Mặc định</t>
  </si>
  <si>
    <t>mà sẽ được trồng</t>
  </si>
  <si>
    <t>Tốc độ tăng trưởng đối với các hệ thống đến 20 năm tuổi</t>
  </si>
  <si>
    <t>Tốc độ tăng trưởng đối với các hệ thống sau 20 năm tuổi</t>
  </si>
  <si>
    <t>3.1.1. Hệ thống cây trồng hàng năm từ các hình thức sử dụng đất khác hoặc được chuyển đổi sang hình thức sử dụng đất khác (điền cụ thể bước 2. LUC ở trên</t>
  </si>
  <si>
    <t>Năng suất?</t>
  </si>
  <si>
    <t>Mô tả</t>
  </si>
  <si>
    <t>Biện pháp thực hành nông học cải tiến</t>
  </si>
  <si>
    <t>Quản lý dinh dưỡng</t>
  </si>
  <si>
    <t>Không làm đất/quản lý chất thải</t>
  </si>
  <si>
    <t>Quản lý nước</t>
  </si>
  <si>
    <t>Quản lý chất thải hữu cơ</t>
  </si>
  <si>
    <t>Năng suất</t>
  </si>
  <si>
    <t>Các khái niệm?</t>
  </si>
  <si>
    <t>Diện tích (ha)</t>
  </si>
  <si>
    <t>Đốt phụ phẩm/sinh khối</t>
  </si>
  <si>
    <t>Hàng năm sau phá rừng</t>
  </si>
  <si>
    <t>Chuyển đổi sang trồng rừng/tái sinh rừng</t>
  </si>
  <si>
    <t>Hàng năm sau sử dụng đất không rừng</t>
  </si>
  <si>
    <t>Chuyển đổi sang các hình thức sử dụng đất khác</t>
  </si>
  <si>
    <t>3.1.2. Hệ thống hàng năm còn lại (tổng diện tích phải không đổi)</t>
  </si>
  <si>
    <t>Tổng số (ha)</t>
  </si>
  <si>
    <t>Tổng các hệ thống hàng năm</t>
  </si>
  <si>
    <t>3.2. Hệ thống cây trồng lâu năm (nông lâm nghiệp, vườn, cây trồng khác</t>
  </si>
  <si>
    <t>3.2.1. Hệ thống cây lâu năm từ hình thức sử dụng đất khác hoặc chuyển đổi sang hình thức sử dụng đất khác (điền đầy đủ như bước 2 ở trên)</t>
  </si>
  <si>
    <t>Cây trồng lâu năm sau khi phá rừng</t>
  </si>
  <si>
    <t>Cây lâu năm sau sử dụng đất không có rừng</t>
  </si>
  <si>
    <t>Tổng các hệ thống cây lâu năm</t>
  </si>
  <si>
    <t>3.2.2. Các hệ thống cây lâu năm còn lại (tổng diện tích không thay đổi)</t>
  </si>
  <si>
    <t>3.3. Các hệ thống lúa ngập nước</t>
  </si>
  <si>
    <t>3.3.1. Các hệ thống lúa ngập nước từ các loại hình sử dụng đất khác hoặc chuyển đổi sang các hình thức sử dụng đất khác (điền các thông tin như bước 2 ở trên)</t>
  </si>
  <si>
    <t>Chu kỳ canh tác (ngày)</t>
  </si>
  <si>
    <t xml:space="preserve">Chế độ nước </t>
  </si>
  <si>
    <t>Trong chu kỳ canh tác</t>
  </si>
  <si>
    <t>Trước chu kỳ canh tác</t>
  </si>
  <si>
    <t>Dạng chất độn hữu cơ (rơm rạ hoặc loại khác)</t>
  </si>
  <si>
    <t>3.2.2. Hệ thống lúa ngập nước còn lại (tổng diện tích không đổi)</t>
  </si>
  <si>
    <t>Tổng các hệ thống ngập nước</t>
  </si>
  <si>
    <t>Lúa sau khi phá rừng</t>
  </si>
  <si>
    <t>Chuyển đổi sang trồng rừng và tái sinh rừng</t>
  </si>
  <si>
    <t>Lúa sau sử dụng đất không rừng</t>
  </si>
  <si>
    <t>Các hệ thống</t>
  </si>
  <si>
    <t>Tốc độ hấp thụ C</t>
  </si>
  <si>
    <t xml:space="preserve"> (t CO2/ha/năm)</t>
  </si>
  <si>
    <t>(tấn chất khô/ha)</t>
  </si>
  <si>
    <t>Hệ thống hàng năm từ (hoặc đến) các hình thức sử dụng đất khác</t>
  </si>
  <si>
    <t xml:space="preserve">Các hệ thống hàng năm còn lại </t>
  </si>
  <si>
    <t>Tốc độ tăng trường (t C/ha/năm)</t>
  </si>
  <si>
    <t>Đốt (số lượng chất thải trồng trọt và chu kỳ đốt)</t>
  </si>
  <si>
    <t>Chu kỳ (năm)</t>
  </si>
  <si>
    <t>Hệ thống cây lâu năm từ (hoặc đến) các hình thức sử dụng đất khác</t>
  </si>
  <si>
    <t>Hệ thống cây lâu năm còn lại</t>
  </si>
  <si>
    <t>Số lượng rơm rạ bị đốt</t>
  </si>
  <si>
    <t>Hệ thống lúa từ (hoặc đến) hình thức sử dụng khác</t>
  </si>
  <si>
    <t>Hệ thống lúa còn lại</t>
  </si>
  <si>
    <t>Chế độ tưới ưu tiên cho canh tác lúa (trình bày lược  đồ chỉ rõ thời gian ngập lụt như bóng mờ)</t>
  </si>
  <si>
    <t>Không ngập lụt trước mùa &lt;180 ngày</t>
  </si>
  <si>
    <t>Không ngập lụt trước mùa &gt;180 ngày</t>
  </si>
  <si>
    <t>Ngập lụt trước mùa (&gt;30 ngày)</t>
  </si>
  <si>
    <t xml:space="preserve">Các lựa chọn quản lý </t>
  </si>
  <si>
    <t>(t/ha/năm)</t>
  </si>
  <si>
    <t>Các khái niệm of các lựa chọn quản lý đất</t>
  </si>
  <si>
    <t>Cải thiện hiệu quả sử dụng N và giảm mất N, điểu chỉnh liều lượng, tỷ lệ áp dụng, thời gian và địa điểm,..</t>
  </si>
  <si>
    <t>Giảm, hạn chế tối thiểu và không làm đất, có và không có che phủ bao gồm nông nghiệp bảo tồn</t>
  </si>
  <si>
    <t>Đo đạc hiệu quả thủy lợi</t>
  </si>
  <si>
    <t>4.1. Hệ thống đồng cỏ</t>
  </si>
  <si>
    <t>4.1.1. Hệ thống đồng cỏ từ hệ thống sử dụng đất khác hoặc chuyển đổi sang hình thức sử dụng đất khác (điền như bước 2 LUC ở trên)</t>
  </si>
  <si>
    <t>4.1.2. Hệ thống đồng cỏ còn lại (tổng diện tích phải không đổi)</t>
  </si>
  <si>
    <t>Tình trạng trước đó</t>
  </si>
  <si>
    <t>Tổng phát thải</t>
  </si>
  <si>
    <t>(năm)</t>
  </si>
  <si>
    <t>Chu kỳ</t>
  </si>
  <si>
    <t>Đồng cỏ sau phá rừng</t>
  </si>
  <si>
    <t>Đồng cỏ sau sử dụng đất không rừng</t>
  </si>
  <si>
    <t>(tCO2eq)</t>
  </si>
  <si>
    <t>Tổng các hệ thống đồng cỏ</t>
  </si>
  <si>
    <t>4.2. Chăn nuôi (và quản lý dinh dưỡng)</t>
  </si>
  <si>
    <t>Các loại chăn nuôi</t>
  </si>
  <si>
    <t>Số đầu gia súc (trung bình/năm)</t>
  </si>
  <si>
    <t>Phương án kỹ thuật giảm phát thải (%)</t>
  </si>
  <si>
    <t>Sản suất (thịt, sữa,..)</t>
  </si>
  <si>
    <t>Các biện pháp cho ăn*</t>
  </si>
  <si>
    <t>Các hoạt chất đặc biệt</t>
  </si>
  <si>
    <t>Chọn giống</t>
  </si>
  <si>
    <t>sản lượng tính bằng tấn sản phẩm/năm</t>
  </si>
  <si>
    <t>Bò sữa</t>
  </si>
  <si>
    <t>Gia súc khác</t>
  </si>
  <si>
    <t>Trâu</t>
  </si>
  <si>
    <t>Cừu</t>
  </si>
  <si>
    <t>Biện pháp nuôi dưỡng: VD: tập trung, bổ sung dầu, hạt có dầu vào khẩu phần ăn, cải thiện chất lượng đồng cỏ,…</t>
  </si>
  <si>
    <t>Các hoạt chất đặc biệt: các hoạt chất đặc biệt và phụ gia trong khẩu phần để giảm phát thải CH4 (như lonophores, vaccines,bST,..)</t>
  </si>
  <si>
    <t>Chọn giống: tăng sản lượng thông qua chọn giống và các biện pháp quản lý tốt hơn (giảm số lượng thay thế bê)</t>
  </si>
  <si>
    <t>Tổng chăn nuôi</t>
  </si>
  <si>
    <t>Dự trữ carbon đất tương ứng</t>
  </si>
  <si>
    <t>Không suy thoái</t>
  </si>
  <si>
    <t>Suy thoái nghiêm trọng</t>
  </si>
  <si>
    <t>Suy thoái trung bình</t>
  </si>
  <si>
    <t>Cải thiện không có quản lý các đầu vào</t>
  </si>
  <si>
    <t>Cải thiện với các cải tiến đầu vào</t>
  </si>
  <si>
    <t>Đốt cháy</t>
  </si>
  <si>
    <t>% chất khô được giải thoát trước đốt</t>
  </si>
  <si>
    <t>Nhiệt độ trung bình năm (MAT) của vùng (bằng °C)</t>
  </si>
  <si>
    <t>(nhiệt độ ảnh hưởng đến phát thải từ quản lý chất hữu cơ)</t>
  </si>
  <si>
    <t>"kiểu" vùng</t>
  </si>
  <si>
    <t>(chọn cụ thể nếu có thể)</t>
  </si>
  <si>
    <t>Yếu tố phát thải N2O từ chất hữu cơ</t>
  </si>
  <si>
    <t>Đồng cỏ, phạm vi hoạt động và nuôi nhốt</t>
  </si>
  <si>
    <t>Khác</t>
  </si>
  <si>
    <t>Lên men dạ cỏ</t>
  </si>
  <si>
    <t>(kg CH4/đầu gia súc/năm)</t>
  </si>
  <si>
    <t>% tương ứng với đồng cỏ, phạm vi và hệ thống nuôi nhốt</t>
  </si>
  <si>
    <t>Mê-tan từ quản lý chất hữu cơ</t>
  </si>
  <si>
    <t>5.1. Suy thoái rừng và quản lý</t>
  </si>
  <si>
    <t>Mức độ suy thoái thảm thực vật</t>
  </si>
  <si>
    <t>Tại thời điểm cuối</t>
  </si>
  <si>
    <t>mà có thể sẽ bị suy thoái</t>
  </si>
  <si>
    <t>Xảy ra cháy và mức độ nghiêm trọng</t>
  </si>
  <si>
    <t>Tổng suy thoái rừng và quản lý</t>
  </si>
  <si>
    <t>(% đốt)</t>
  </si>
  <si>
    <t>Tác động</t>
  </si>
  <si>
    <t>5.2. Suy thoái carbon đất (đất than bùn)</t>
  </si>
  <si>
    <t>5.2.1. Thất thoát hữu cơ đất (đất than bùn)</t>
  </si>
  <si>
    <t>liên quan đến tiêu thoát nước</t>
  </si>
  <si>
    <t>Diện tích bề mặt bị thất thoát carbon đất (ha)</t>
  </si>
  <si>
    <t>Rừng được quản lý</t>
  </si>
  <si>
    <t>Hàng năm</t>
  </si>
  <si>
    <t>Lâu năm</t>
  </si>
  <si>
    <t>Đồng cỏ</t>
  </si>
  <si>
    <t>5.2.2. Khai thác than bùn hoạt tính</t>
  </si>
  <si>
    <t>Kiểu than bùn</t>
  </si>
  <si>
    <t>Than bùn nghèo dinh dưỡng</t>
  </si>
  <si>
    <t>Giầu dinh dưỡng</t>
  </si>
  <si>
    <t>Tổng khai thác</t>
  </si>
  <si>
    <t>Mức độ suy thoái (% sinh khối mất)</t>
  </si>
  <si>
    <t>Phát thải từ mất C từ tiêu thoát hữu cơ đất</t>
  </si>
  <si>
    <t>Yếu tố phát thải (t C/ha/năm)</t>
  </si>
  <si>
    <t>Phát thải tại chỗ từ khai thác than bùn hoạt tính</t>
  </si>
  <si>
    <t>Yếu tố phát thải CO2 (tC/ha/năm)</t>
  </si>
  <si>
    <t>Yếu tố phát thải N2O (kg N2O-N/ha/năm)</t>
  </si>
  <si>
    <t>Mô tả  và các đơn vị để báo cáo</t>
  </si>
  <si>
    <t>Số lượng áp dụng/năm</t>
  </si>
  <si>
    <t>Tổng phát thải tại đồng ruộng (tCO2-eq)</t>
  </si>
  <si>
    <t>Phát thải từ sản xuất, giao thông, bảo quản và chuyển giao (tCO2eq)</t>
  </si>
  <si>
    <t>Áp dụng bón vôi</t>
  </si>
  <si>
    <t>Vôi bột (tấn/năm)</t>
  </si>
  <si>
    <t>không có loại cụ thể (tấn/năm)</t>
  </si>
  <si>
    <t>Phân bón</t>
  </si>
  <si>
    <t>Urea (tấn N/năm-Urea có 46.7%N)</t>
  </si>
  <si>
    <t>Phân bón đạm khác (tấn N/năm)</t>
  </si>
  <si>
    <t>Phân đạm cho lúa có tưới (tấn N/năm)</t>
  </si>
  <si>
    <t>Nước thải (tấn N/năm)</t>
  </si>
  <si>
    <t>Kali (tấn K2O/năm)</t>
  </si>
  <si>
    <t>Thuốc trừ sâu</t>
  </si>
  <si>
    <t>Thuốc trừ cỏ (tấn theo thành phần hoạt chất/năm)</t>
  </si>
  <si>
    <t>Thuốc trừ sâu (tấn theo thành phần hoạt chất/năm)</t>
  </si>
  <si>
    <t>Thuốc diệt nấm (tấn theo thành phần hoạt chất/năm)</t>
  </si>
  <si>
    <t>Tổng đầu vào</t>
  </si>
  <si>
    <t>Phát thải CO2</t>
  </si>
  <si>
    <t>Phát thải N2O</t>
  </si>
  <si>
    <t>6.2. Tiêu thu năng lượng (điện, nhiên liệu...)</t>
  </si>
  <si>
    <t>Số lượng tiêu thụ/năm</t>
  </si>
  <si>
    <t>Điện (MWh/năm)</t>
  </si>
  <si>
    <t>(vui lòng chọn quốc gia xuất xứ)</t>
  </si>
  <si>
    <t>Ga/dầu diesel</t>
  </si>
  <si>
    <t>Xăng</t>
  </si>
  <si>
    <t>Khí ga (LPG/tự nhiên)</t>
  </si>
  <si>
    <t>Cồn</t>
  </si>
  <si>
    <t>Sử dụng khái niệm (Tier2)</t>
  </si>
  <si>
    <t>Chất rắn (tính bằng tấn chất khô/năm)</t>
  </si>
  <si>
    <t>Gỗ</t>
  </si>
  <si>
    <t>Than bùn</t>
  </si>
  <si>
    <t>Tổng năng lượng</t>
  </si>
  <si>
    <t>6.3. Xây dựng hệ thống cơ sở hạ tầng mới (hệ thống thủy lợi, công trình, đường xá)</t>
  </si>
  <si>
    <t>Bề mặt</t>
  </si>
  <si>
    <t>Hệ thống thủy lợi (bằng ha)</t>
  </si>
  <si>
    <t>Công trình và đường xá (tính bằng m2)</t>
  </si>
  <si>
    <t>Hệ thống thủy lợi khai thác dòng chảy-IRRS</t>
  </si>
  <si>
    <t>Tổng xây dựng</t>
  </si>
  <si>
    <t>Các yếu tố phát thải</t>
  </si>
  <si>
    <t>Phát thải trên đồng ruộng</t>
  </si>
  <si>
    <t>Phát thải từ sản xuất, giao thông, bảo quản và chuyển giao</t>
  </si>
  <si>
    <t>Đơn vị</t>
  </si>
  <si>
    <t>tC/tấn vôi</t>
  </si>
  <si>
    <t>tCO2/t thành phần hoạt chất</t>
  </si>
  <si>
    <t>Loại bỏ CO2 từ khí quyển trong quá trình sản xuất urea được ước tính trong quá trình công nghiệp và lĩnh vực sử dụng sản phẩm theo quốc gia sản xuất urea</t>
  </si>
  <si>
    <t>Băng các mặc định, EX-ACT thừa nhận nhập khẩu urea và không tính toán trong phần giảm phát thải nhưng bạn cũng có thể tính toán theo:</t>
  </si>
  <si>
    <t>Có tính toán giảm phát thải từ sản xuất?</t>
  </si>
  <si>
    <t>Yếu tố phát thải từ các quốc gia lựa chon</t>
  </si>
  <si>
    <t>Hãy xác định đúng tên</t>
  </si>
  <si>
    <t>Đơn vị sử dụng</t>
  </si>
  <si>
    <t>tCO2/t chất khô</t>
  </si>
  <si>
    <t>Các hệ thống thủy lợi</t>
  </si>
  <si>
    <t>Công trình và đường xá</t>
  </si>
  <si>
    <t>tCO2/m2</t>
  </si>
  <si>
    <t>Tổng diện tích (ha)</t>
  </si>
  <si>
    <t>Các hợp phần của dự án</t>
  </si>
  <si>
    <t>Tổng bức xạ</t>
  </si>
  <si>
    <t>Tất cả KNK quy đổi ra tCO2eq</t>
  </si>
  <si>
    <t>Tỷ lệ chia sẻ trong cân bằng phát thải KNK</t>
  </si>
  <si>
    <t>Sinh khối</t>
  </si>
  <si>
    <t>Kết quả/năm</t>
  </si>
  <si>
    <t>Thay đổi sử dụng đất</t>
  </si>
  <si>
    <t>Trồng rừng</t>
  </si>
  <si>
    <t>Sử dụng đất khác</t>
  </si>
  <si>
    <t>Nông nghiệp</t>
  </si>
  <si>
    <t>Lúa</t>
  </si>
  <si>
    <t>Đồng cỏ và chăn nuôi</t>
  </si>
  <si>
    <t>Chăn nuôi</t>
  </si>
  <si>
    <t>Suy thoái và quản lý</t>
  </si>
  <si>
    <t>Các đầu vào và Đầu tư</t>
  </si>
  <si>
    <t>Tổng</t>
  </si>
  <si>
    <t>trên ha</t>
  </si>
  <si>
    <t>trên ha/năm</t>
  </si>
  <si>
    <t>CO2 -Sinh khố</t>
  </si>
  <si>
    <t>CO2-Đất</t>
  </si>
  <si>
    <t>CO2-Khác</t>
  </si>
  <si>
    <t>Sử dụng trong đánh giá theo chuỗi đơn giản</t>
  </si>
  <si>
    <t>Bức xạ/hợp phần</t>
  </si>
  <si>
    <t>Cân bằng/hợp phần</t>
  </si>
  <si>
    <t>Tổng khi không có và có dự án và cân bằng</t>
  </si>
  <si>
    <t xml:space="preserve">Tỷ lệ trong cân bằng/KNK (cộng với phát thải CO2 gốc) </t>
  </si>
  <si>
    <t>Đổi mới sử dụng đất/theo loại (ha)</t>
  </si>
  <si>
    <t>Rừng/trồng rừng</t>
  </si>
  <si>
    <t>Các loại đất khác</t>
  </si>
  <si>
    <t>Suy thoái</t>
  </si>
  <si>
    <t>Đất ngập nước</t>
  </si>
  <si>
    <t>Mức độ không chắc chắn</t>
  </si>
  <si>
    <t>Cân bằng thực</t>
  </si>
  <si>
    <t>Tổng không chắc chắn</t>
  </si>
  <si>
    <t>% của tính không chắc chắn</t>
  </si>
  <si>
    <t>Ma trận chi tiết về sự thay đổi</t>
  </si>
  <si>
    <t>Tổng diện tích phải bằng tất cả các trường hợp: Hãy kiểm tra cẩn thận tất cả các hợp phần</t>
  </si>
  <si>
    <t>Các chỉ số khác</t>
  </si>
  <si>
    <t>Diện tích có tưới (ha)</t>
  </si>
  <si>
    <t>Lúa có tưới</t>
  </si>
  <si>
    <t>Cây trồng hàng năm</t>
  </si>
  <si>
    <t>Diện tích đốt lũy kế -ha</t>
  </si>
  <si>
    <t>Từ phá rừng</t>
  </si>
  <si>
    <t>Từ suy thoái rừng</t>
  </si>
  <si>
    <t>Trở lại các kết quả chính</t>
  </si>
  <si>
    <t>Sản xuất</t>
  </si>
  <si>
    <t>tấn sản phẩm</t>
  </si>
  <si>
    <t>Tổng cường độ phát thải</t>
  </si>
  <si>
    <t>CO2eq/tấn sản phẩm</t>
  </si>
  <si>
    <t>Phần trăm con người sử dụng</t>
  </si>
  <si>
    <t>Số lượng sử dụng tương đương</t>
  </si>
  <si>
    <t>Tất cả thay đổi sử dụng đất</t>
  </si>
  <si>
    <t>Chi tiết các phát thải tình bằng tCO2eq cho các pha khác nhau của chuối giá trị</t>
  </si>
  <si>
    <t>Phát thải (tCO2e/tấn sản phẩm)</t>
  </si>
  <si>
    <t>Mức độ sản xuất (phát thải tương ứng được tính toán bằng phần trăm của tổng số sử dụng)</t>
  </si>
  <si>
    <t>Phát thải trực tiếp và gián tiếp (bao gồm thay đổi sử dụng đất (LUC), suy thoái, các đầu vào và đầu tư)</t>
  </si>
  <si>
    <t>Lĩnh CHẾ BIẾN (liệt kê các đầu vào hoặc các quá trình cần thiết)</t>
  </si>
  <si>
    <t>Tên đầu vào/quá trình</t>
  </si>
  <si>
    <t>Phát thải/đầu vào</t>
  </si>
  <si>
    <t>Đầu vào/tấn sản phẩm</t>
  </si>
  <si>
    <t>Tổng CHẾ BIẾN</t>
  </si>
  <si>
    <t>Lĩnh vực GIAO THÔNG (danh mục các đầu vào khác nhau hoặc các quá trình cần thiết)</t>
  </si>
  <si>
    <t>Tổng GIAO THÔNG</t>
  </si>
  <si>
    <t>Điền tên dưới đây</t>
  </si>
  <si>
    <t>Lĩnh vực sử dụng (danh mục các đầu vào khác nhau hoặc các bước cần thiết)</t>
  </si>
  <si>
    <t>Tổng SỬ DỤNG</t>
  </si>
  <si>
    <t>Lĩnh vực CHẤT THẢI (danh mục các đầu vào khác nhau hoặc các bước khác nhau)</t>
  </si>
  <si>
    <t>Tổng CHẤT THẢI</t>
  </si>
  <si>
    <t>Tổng Phát thải được tính bằng tấn CO2eq đối với các pha khác nhau của chuỗi giá trị</t>
  </si>
  <si>
    <t>SẢN XUẤT</t>
  </si>
  <si>
    <t>CHẾ BIẾN</t>
  </si>
  <si>
    <t>GIAO THÔNG</t>
  </si>
  <si>
    <t>SỬ DỤNG</t>
  </si>
  <si>
    <t>CHẤT THẢI</t>
  </si>
  <si>
    <t>Ma trận thay đổi</t>
  </si>
  <si>
    <t>Các loại khoáng đất (ha)</t>
  </si>
  <si>
    <t>Các loại đất hữu cơ (ha)</t>
  </si>
  <si>
    <t>BAN ĐẦU</t>
  </si>
  <si>
    <t>CUỐI CÙNG</t>
  </si>
  <si>
    <t>Tổng ban đầu</t>
  </si>
  <si>
    <t>Tổng cuối cùng</t>
  </si>
  <si>
    <t>Lựa chọn tiềm năng nóng lên toàn cầu (GWP) cho tính toán</t>
  </si>
  <si>
    <t>Phân loại đất</t>
  </si>
  <si>
    <t>Trợ giúp khí hậu: Hỗ trợ xác định loại hình khí hậu với MAT và MAP</t>
  </si>
  <si>
    <t>Nhiệt độ trung bình hàng năm (°C)</t>
  </si>
  <si>
    <t>Lượng mưa trung bình năm (MAP) (mm)</t>
  </si>
  <si>
    <t>Ẩm nếu MAP&gt;PET và Khô PET&gt;MAP</t>
  </si>
  <si>
    <t>MAT và loại khí hậu</t>
  </si>
  <si>
    <t>Ghi chú: Núi vùng nhiệt đới thường khô</t>
  </si>
  <si>
    <t>Vùng khí hậu theo phân vùng của IPCC</t>
  </si>
  <si>
    <t>Không có số liệu</t>
  </si>
  <si>
    <t>MAT mặc định</t>
  </si>
  <si>
    <t>Vùng Khí hậu IPCC đơn giản hóa</t>
  </si>
  <si>
    <t>Mát mẻ</t>
  </si>
  <si>
    <t>Ấm</t>
  </si>
  <si>
    <t>thuộc về Phương bắc</t>
  </si>
  <si>
    <t>(hoặc Bắc cực)</t>
  </si>
  <si>
    <t>Nguồn lực của FAO</t>
  </si>
  <si>
    <t>Bản đồ MAP và MAT</t>
  </si>
  <si>
    <t>Xem thêm ở Bản đồ khí hậu toàn cầu của FAO</t>
  </si>
  <si>
    <t>Tổng lượng mưa trung bình</t>
  </si>
  <si>
    <t>Nhiệt độ bình quân năm</t>
  </si>
  <si>
    <t>Khí hậu địa phương (LocClim)</t>
  </si>
  <si>
    <t>Trang thông tin về Loc Clim</t>
  </si>
  <si>
    <t>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t>
  </si>
  <si>
    <t>Kích vào đây để đi đến ứng dụng</t>
  </si>
  <si>
    <t>Đối với số liệu khí hậu trực tuyến sử dụng nội địa hóa cũng có thể xem trên trang LocClim với các ước tính khí hậu địa phương hàng tháng</t>
  </si>
  <si>
    <t>Chuyển tới trang LocClim</t>
  </si>
  <si>
    <t>Các vùng sinh thái toán cầu</t>
  </si>
  <si>
    <t>Các vùng sinh thái toàn cầu, dựa trên khí hậu quan sát và đặc điểm thảm thực vật (FAO, 2001). Số liệu về hệ thống thông tin địa lý có sẵn tại http://www.fao.org</t>
  </si>
  <si>
    <t>Sa mạc nhiệt đới</t>
  </si>
  <si>
    <t>Sa mạc cận nhiệt đới</t>
  </si>
  <si>
    <t>Thảo nguyên ôn đới</t>
  </si>
  <si>
    <t>Sa mạc ôn đới</t>
  </si>
  <si>
    <t>Bắc cực</t>
  </si>
  <si>
    <t>Vùng</t>
  </si>
  <si>
    <t>Khoản mục</t>
  </si>
  <si>
    <t>(xem Bản đồ dưới đây)</t>
  </si>
  <si>
    <t>Năm</t>
  </si>
  <si>
    <t>Năng suất (t/ha)</t>
  </si>
  <si>
    <t>Các chu kỳ</t>
  </si>
  <si>
    <t>Trung bình</t>
  </si>
  <si>
    <t>Tỷ lệ (%)</t>
  </si>
  <si>
    <t>Các dự báo</t>
  </si>
  <si>
    <t>Số liệu này từ FAOSTAT, nếu bạn cần chi tiết hơn (theo quốc gia), có thể tham khảo từ trang của FAO</t>
  </si>
  <si>
    <t>(EF là kg CH4/ha/ngày)</t>
  </si>
  <si>
    <t>EF-đường cơ sở</t>
  </si>
  <si>
    <t>EF-Trước dự án</t>
  </si>
  <si>
    <t>EF-Trong thực hiện dự án</t>
  </si>
  <si>
    <t>EF-Chất độn hữu cơ</t>
  </si>
  <si>
    <t>tCO2/MWh/năm)</t>
  </si>
  <si>
    <t>Manejo (muda o IUC)</t>
  </si>
  <si>
    <t>Produção anula (t/ano)</t>
  </si>
  <si>
    <t>Emissões dos alimentos</t>
  </si>
  <si>
    <t>Quantitade anual de alimentos (t/ano)</t>
  </si>
  <si>
    <t>Total para a aquicultura</t>
  </si>
  <si>
    <t>fator de Emissão dos alimentos (tCO2-eq/t alim.)</t>
  </si>
  <si>
    <t>Consumo de diesel total (m3/ano)</t>
  </si>
  <si>
    <t>Vui lòng chọn</t>
  </si>
  <si>
    <t>Châu Phi</t>
  </si>
  <si>
    <t>Châu Á (lục địa)</t>
  </si>
  <si>
    <t>Châu Á (tiểu lục địa Ấn Độ)</t>
  </si>
  <si>
    <t>Châu Á (phần các đảo)</t>
  </si>
  <si>
    <t>Trung Đông</t>
  </si>
  <si>
    <t>Tây Âu</t>
  </si>
  <si>
    <t>Đông Âu</t>
  </si>
  <si>
    <t>Châu Đại dương</t>
  </si>
  <si>
    <t>Bắc Mỹ</t>
  </si>
  <si>
    <t>Trung Mỹ</t>
  </si>
  <si>
    <t>Nam Mỹ</t>
  </si>
  <si>
    <t>Phương Bắc</t>
  </si>
  <si>
    <t>Vùng ôn đới mát mẻ</t>
  </si>
  <si>
    <t xml:space="preserve">Vùng ôn đới ấm </t>
  </si>
  <si>
    <t>Nhiệt đới</t>
  </si>
  <si>
    <t>Vùng nhiệt đới miền núi</t>
  </si>
  <si>
    <t>Khô</t>
  </si>
  <si>
    <t xml:space="preserve">Ẩm </t>
  </si>
  <si>
    <t>Ướt</t>
  </si>
  <si>
    <t>Đất HAC</t>
  </si>
  <si>
    <t>Đất LAC</t>
  </si>
  <si>
    <t>Đất cát</t>
  </si>
  <si>
    <t>Đất khoáng</t>
  </si>
  <si>
    <t>Đất núi lửa</t>
  </si>
  <si>
    <t>Đất ngập nước/ đầm lầy</t>
  </si>
  <si>
    <t>Loại đất khác</t>
  </si>
  <si>
    <t>Vui lòng chỉ rõ đặc điểm khí hậu</t>
  </si>
  <si>
    <t>Rừng mưa nhiệt đới</t>
  </si>
  <si>
    <t>Rừng nhiệt đới ẩm lá rụng</t>
  </si>
  <si>
    <t>Rừng nhiệt đới khô</t>
  </si>
  <si>
    <t>Vùng cây bụi nhiệt đới</t>
  </si>
  <si>
    <t>Rừng cận nhiệt đới ẩm ướt</t>
  </si>
  <si>
    <t>Rừng cận nhiệt đới khô</t>
  </si>
  <si>
    <t>Vùng cận nhiệt đới thảo nguyên</t>
  </si>
  <si>
    <t>Các hệ thống núi cận nhiệt đới</t>
  </si>
  <si>
    <t>Rừng ôn đới đại dương</t>
  </si>
  <si>
    <t>Rừng ôn đới lục địa</t>
  </si>
  <si>
    <t>Hệ thống núi ôn đới</t>
  </si>
  <si>
    <t>Rừng tùng bách phương Bắc</t>
  </si>
  <si>
    <t>Vùng rừng lãnh nguyên phương Bắc</t>
  </si>
  <si>
    <t>Hệ thống núi phương Bắc</t>
  </si>
  <si>
    <t>Hệ thống núi nhiệt đới</t>
  </si>
  <si>
    <t>Vùng rừng 1</t>
  </si>
  <si>
    <t>Vùng rừng 2</t>
  </si>
  <si>
    <t>Vùng rừng 3</t>
  </si>
  <si>
    <t>Vùng rừng 4</t>
  </si>
  <si>
    <t>Khu đất trồng 1</t>
  </si>
  <si>
    <t>Khu đất trồng 2</t>
  </si>
  <si>
    <t>Khu đất trồng 3</t>
  </si>
  <si>
    <t>Khu đất trồng 4</t>
  </si>
  <si>
    <t xml:space="preserve">Vui lòng chọn thảm thực vật </t>
  </si>
  <si>
    <t>Không chọn</t>
  </si>
  <si>
    <t>Chọn</t>
  </si>
  <si>
    <t>Chọn loại hình sử dụng sau suy thoái rừng</t>
  </si>
  <si>
    <t>Cây trồng lâu năm/Cây</t>
  </si>
  <si>
    <t>Lúa ngập nước</t>
  </si>
  <si>
    <t>Để qua một bên</t>
  </si>
  <si>
    <t>Khác (trên danh nghĩa)</t>
  </si>
  <si>
    <t>Khác (suy thoái)</t>
  </si>
  <si>
    <t>Vui lòng chọn loại hình sử dụng trước đây</t>
  </si>
  <si>
    <t>Cây trồng lâu năm (&lt; 5 năm)</t>
  </si>
  <si>
    <t>Cây trồng lâu năm (6-10 năm)</t>
  </si>
  <si>
    <t>Cây trồng lâu năm (&gt;10 năm)</t>
  </si>
  <si>
    <t>Đất bị thoái hóa</t>
  </si>
  <si>
    <t>Vui lòng chọn loại hình sử dụng đất ban đầu</t>
  </si>
  <si>
    <t>Vui lòng chọn loại hình sử dụng đất sau cùng</t>
  </si>
  <si>
    <t>Cây trồng lâu năm</t>
  </si>
  <si>
    <t>Điền loại hình sử dụng đất ban đầu</t>
  </si>
  <si>
    <t>Điển loại hình sử dụng đất cuối cùng</t>
  </si>
  <si>
    <t>Sau cùng = Ban đầu: Kiểm tra!</t>
  </si>
  <si>
    <t>Vui lòng chọn chế độ nước</t>
  </si>
  <si>
    <t>Vùng có tưới-Ngập liên tục</t>
  </si>
  <si>
    <t>Vùng có tưới-ngập không liên tục</t>
  </si>
  <si>
    <t>Vùng nước trời và nước sâu</t>
  </si>
  <si>
    <t>Vui lòng chọn chế độ nước trước khi vào vụ</t>
  </si>
  <si>
    <t>Không ngập trước thời vụ  &lt; 180 ngày</t>
  </si>
  <si>
    <t>Không ngập trước thời vụ  &gt; 180 ngày</t>
  </si>
  <si>
    <t>Ngập nước trước vụ &gt; 30 ngày</t>
  </si>
  <si>
    <t>Vui lòng chọn loại chất độn hữu cơ</t>
  </si>
  <si>
    <t>Đốt rơm rạ</t>
  </si>
  <si>
    <t>Thu gom rơm rạ</t>
  </si>
  <si>
    <t>Rơm được ủ nhanh (&lt; 30 ngày) trước vụ trồng</t>
  </si>
  <si>
    <t>Rơm được ủ lâu (&gt; 30 ngày) trước vụ trồng</t>
  </si>
  <si>
    <t>Phân compost</t>
  </si>
  <si>
    <t>Phân chuồng</t>
  </si>
  <si>
    <t>Phân xanh</t>
  </si>
  <si>
    <t>Dê</t>
  </si>
  <si>
    <t>Lạc đà</t>
  </si>
  <si>
    <t>Ngựa</t>
  </si>
  <si>
    <t>La và Lừa</t>
  </si>
  <si>
    <t xml:space="preserve">Gia cầm </t>
  </si>
  <si>
    <t>Hươu, nai</t>
  </si>
  <si>
    <t>Lạc đà nhà Nam Mỹ</t>
  </si>
  <si>
    <t>Không bị suy thoái</t>
  </si>
  <si>
    <t>Bị suy thoái trầm trọng</t>
  </si>
  <si>
    <t>Bị suy thoái trung bình</t>
  </si>
  <si>
    <t>Được cải thiện khi không quản lý đầu vào</t>
  </si>
  <si>
    <t>Cải thiện khi có cải thiện đầu vào</t>
  </si>
  <si>
    <t>Chọn trạng thái</t>
  </si>
  <si>
    <t>Chọn cấp độ</t>
  </si>
  <si>
    <t>Không có</t>
  </si>
  <si>
    <t>Rất thấp</t>
  </si>
  <si>
    <t>Thấp</t>
  </si>
  <si>
    <t>Vừa phải</t>
  </si>
  <si>
    <t>Lớn</t>
  </si>
  <si>
    <t>Rất lớn</t>
  </si>
  <si>
    <t>Bề mặt không có IRRS</t>
  </si>
  <si>
    <t>Bề mặt có IRRS</t>
  </si>
  <si>
    <t>Bón các đầu vào dạng rắn</t>
  </si>
  <si>
    <t>Rải ổn định</t>
  </si>
  <si>
    <t>Rải bằng tay</t>
  </si>
  <si>
    <t>Rải cuộn rắn</t>
  </si>
  <si>
    <t>Rải rạng đứng</t>
  </si>
  <si>
    <t>Rải phân tán lòng vòng</t>
  </si>
  <si>
    <t>Rải tia nước</t>
  </si>
  <si>
    <t>Nhà ở (bê-tông)</t>
  </si>
  <si>
    <t>Công trình nông nghiệp (bên tông)</t>
  </si>
  <si>
    <t>Công trình nông nghiệp (kim loại)</t>
  </si>
  <si>
    <t>Công trình công nghiệp (bê tông)</t>
  </si>
  <si>
    <t>Công trình công nghiệp (kim loại)</t>
  </si>
  <si>
    <t>Nhà để xe (bê tông)</t>
  </si>
  <si>
    <t>Nhà để xe (kim loại)</t>
  </si>
  <si>
    <t>Văn phòng (bê tông)</t>
  </si>
  <si>
    <t>Văn phòng (kim loại)</t>
  </si>
  <si>
    <t>Khác (bê tông)</t>
  </si>
  <si>
    <t>Khác (kim loại)</t>
  </si>
  <si>
    <t>Đường cho mật độ giao thông trung bình (bê tông)</t>
  </si>
  <si>
    <t>Đường cho mật độ giao thông trung bình (nhựa đường)</t>
  </si>
  <si>
    <t>Đường cho mật độ giao thông cao (bê tông)</t>
  </si>
  <si>
    <t>Đường cho mật độ giao thông cao (nhựa đường)</t>
  </si>
  <si>
    <t>Chính thức (Giai đoạn 1: 2008-2012)</t>
  </si>
  <si>
    <t>Chính thức (Giai đoạn 2: 2013-2020)</t>
  </si>
  <si>
    <t>Cập nhật mới nhất cho GWP100 (IPCC-2013)</t>
  </si>
  <si>
    <t>Không chiếm ưu thế</t>
  </si>
  <si>
    <t>Không đất</t>
  </si>
  <si>
    <t>Châu Mỹ</t>
  </si>
  <si>
    <t>Châu Á</t>
  </si>
  <si>
    <t>Úc &amp; Niu Di-lân</t>
  </si>
  <si>
    <t>Vùng Caribe</t>
  </si>
  <si>
    <t>Trung Mỹ</t>
  </si>
  <si>
    <t>Trung Á</t>
  </si>
  <si>
    <t>Đông Phi</t>
  </si>
  <si>
    <t>Đông Á</t>
  </si>
  <si>
    <t>Đông Âu</t>
  </si>
  <si>
    <t>Châu Âu</t>
  </si>
  <si>
    <t>Liên minh châu Âu</t>
  </si>
  <si>
    <t>Tiểu vùng Melanesia của châu Đại Dương</t>
  </si>
  <si>
    <t>Liên bang Micronesia</t>
  </si>
  <si>
    <t>Trung Phi</t>
  </si>
  <si>
    <t>Bắc Phi</t>
  </si>
  <si>
    <t>Bắc Mỹ</t>
  </si>
  <si>
    <t>Bắc Âu</t>
  </si>
  <si>
    <t xml:space="preserve">Vùng Polynesia (phân vùng của châu Đại Dương) </t>
  </si>
  <si>
    <t>Nam Mỹ</t>
  </si>
  <si>
    <t>Đông Nam Á</t>
  </si>
  <si>
    <t>Nam châu Phi</t>
  </si>
  <si>
    <t>Nam Châu Á</t>
  </si>
  <si>
    <t>Nam Âu</t>
  </si>
  <si>
    <t>Tây Phi</t>
  </si>
  <si>
    <t>Tây Á</t>
  </si>
  <si>
    <t>Tây Âu</t>
  </si>
  <si>
    <t>Thế giới</t>
  </si>
  <si>
    <t>Chuối</t>
  </si>
  <si>
    <t>Lúa mạch</t>
  </si>
  <si>
    <t>Đậu (khô)</t>
  </si>
  <si>
    <t>Đậu (còn tươi)</t>
  </si>
  <si>
    <t>Cà rốt và củ cải</t>
  </si>
  <si>
    <t>Hạt điều (chưa tách vỏ)</t>
  </si>
  <si>
    <t>Sắn</t>
  </si>
  <si>
    <t>Xúp lơ và bông cải xanh</t>
  </si>
  <si>
    <t>Ngũ cốc (quy gạo)</t>
  </si>
  <si>
    <t xml:space="preserve">Ngũ cốc </t>
  </si>
  <si>
    <t>Hạt dẻ</t>
  </si>
  <si>
    <t>Cam, quýt</t>
  </si>
  <si>
    <t>Cà phê, tươi</t>
  </si>
  <si>
    <t>Đậu đũa, khô</t>
  </si>
  <si>
    <t>Ngày tháng</t>
  </si>
  <si>
    <t>Cà (cà các loại)</t>
  </si>
  <si>
    <t>Cây lấy sợi</t>
  </si>
  <si>
    <t>Bưởi các loại</t>
  </si>
  <si>
    <t>Nho</t>
  </si>
  <si>
    <t>Lạc (chưa bóc vỏ)</t>
  </si>
  <si>
    <t>Đậu các loại, rau các loại</t>
  </si>
  <si>
    <t>Cây gai, lanh</t>
  </si>
  <si>
    <t>Ngô</t>
  </si>
  <si>
    <t>Ngô, tươi</t>
  </si>
  <si>
    <t>Xoài, măng cụt, ổi</t>
  </si>
  <si>
    <t>Cây chè Pa-ra-goai.</t>
  </si>
  <si>
    <t>Kê</t>
  </si>
  <si>
    <t>Yến mạch</t>
  </si>
  <si>
    <t>Cây loài cọ cho dầu</t>
  </si>
  <si>
    <t>Ô liu</t>
  </si>
  <si>
    <t>Hành các loại, khô</t>
  </si>
  <si>
    <t>Cam</t>
  </si>
  <si>
    <t>Đào và xuân đào</t>
  </si>
  <si>
    <t>Đậu các loại, khô</t>
  </si>
  <si>
    <t>Đậu các loại, tươi</t>
  </si>
  <si>
    <t>Dứa</t>
  </si>
  <si>
    <t>Chuối mễ</t>
  </si>
  <si>
    <t>Khoai tây</t>
  </si>
  <si>
    <t>Đậu lăng</t>
  </si>
  <si>
    <t>Cây quinoa</t>
  </si>
  <si>
    <t>Lúa, gạo</t>
  </si>
  <si>
    <t>Cây có củ</t>
  </si>
  <si>
    <t>Lúa mạch đen</t>
  </si>
  <si>
    <t>Bông hạt</t>
  </si>
  <si>
    <t>Hạt vừng</t>
  </si>
  <si>
    <t>Cây xidan</t>
  </si>
  <si>
    <t>Cao lương</t>
  </si>
  <si>
    <t>Đậu nành</t>
  </si>
  <si>
    <t>Dâu tây</t>
  </si>
  <si>
    <t>Củ cải đường</t>
  </si>
  <si>
    <t>Cây mía</t>
  </si>
  <si>
    <t>Hạt hướng dương</t>
  </si>
  <si>
    <t>Khoai lang</t>
  </si>
  <si>
    <t>Quýt</t>
  </si>
  <si>
    <t>Chè</t>
  </si>
  <si>
    <t>Thuốc lá (chưa chế biến)</t>
  </si>
  <si>
    <t>Cà chua</t>
  </si>
  <si>
    <t>Rau quả tươi</t>
  </si>
  <si>
    <t>Đậu răng ngựa</t>
  </si>
  <si>
    <t>Lùa mì</t>
  </si>
  <si>
    <t>Rừng ngập mặn</t>
  </si>
  <si>
    <t>Tidal marsh</t>
  </si>
  <si>
    <t>Total for extraction and excavation</t>
  </si>
  <si>
    <t>Emissions dues à la production de glace fabriquée à terre</t>
  </si>
  <si>
    <t>Emissions from production of ice produced ashore</t>
  </si>
  <si>
    <t>Total catch with refrigerant systems (fishes, etc.)</t>
  </si>
  <si>
    <t>3.2. Perennial systems (agroforestry, orchards, tree crops…)</t>
  </si>
  <si>
    <t>3.2.1. Perennial systems from other LU or converted to other LU (please fill step 2.LUC previously)</t>
  </si>
  <si>
    <t>Percentage of biomass lost due to drainage</t>
  </si>
  <si>
    <t>Stock</t>
  </si>
  <si>
    <t>total CO2 lost</t>
  </si>
  <si>
    <t>sum</t>
  </si>
  <si>
    <t>Balance Impl</t>
  </si>
  <si>
    <t>% of total catch concerned by ice production</t>
  </si>
  <si>
    <t>Percentage of nominal biomass restored</t>
  </si>
  <si>
    <t>BIOMASS</t>
  </si>
  <si>
    <t>Total C gain</t>
  </si>
  <si>
    <t>total CO2 sequestration per ha</t>
  </si>
  <si>
    <t>Emission (t CO2eq)TOTAL</t>
  </si>
  <si>
    <t>5. Management</t>
  </si>
  <si>
    <t>Management</t>
  </si>
  <si>
    <t>(Correspond à la déforestation de mangroves, cela ne doit être comptabilisé seulement ici)</t>
  </si>
  <si>
    <t>Pourcentage de biomasse perdue lors du drainage</t>
  </si>
  <si>
    <t>Pourcentage restauré par rapport à la biomasse de référence</t>
  </si>
  <si>
    <t>(corresponde a desmatamento de mangues, deve ser compabilizado somente aqui)</t>
  </si>
  <si>
    <t>Percentagem de biomassa perdida devido à drenagem</t>
  </si>
  <si>
    <t>Percentagem  restaurado em relação a biomassa de referência</t>
  </si>
  <si>
    <t>% des prises totales concernés par la production de glace</t>
  </si>
  <si>
    <t>Electricité utilisée par tonne de glace</t>
  </si>
  <si>
    <t>% do total de capturas relacionada a produção de gelo</t>
  </si>
  <si>
    <t>Electricidade utilizada por tonelada de gelo</t>
  </si>
  <si>
    <t>Merci de préciser si nécessaire</t>
  </si>
  <si>
    <t>Por favor seleccione su caso</t>
  </si>
  <si>
    <t>Por favor selecionar se for o caso</t>
  </si>
  <si>
    <t>Coastal</t>
  </si>
  <si>
    <t>6.1. Management of coastal wetlands (Mangroves, Tidal marshes and Seagrass meadow)</t>
  </si>
  <si>
    <t>6.1.1. Extraction and Excavation (port constuction, construction of aquaculture or salt production ponds,…)</t>
  </si>
  <si>
    <t>6.1. Gestion des zones humides côtières (mangroves, les marais littoraux et herbiers)</t>
  </si>
  <si>
    <t>6.1.1. Extraction et excavation (constuction de port,  pour l'aquaculture ou d'étangs pour la  production de sel, ...)</t>
  </si>
  <si>
    <t>6.1. Manejo das zonas húmidas costeiras (manguezais, pântanos de maré e sargaços)</t>
  </si>
  <si>
    <t>6.1.1. Extração e escavação (constução de porto,  de aquicultura ou de lagoas para produção de sal, ...)</t>
  </si>
  <si>
    <t xml:space="preserve">6.1.2. Drainage </t>
  </si>
  <si>
    <t>6.1.2. Drainage</t>
  </si>
  <si>
    <t>6.1.3. Rewetting</t>
  </si>
  <si>
    <t>6.1.3. Réhumectation</t>
  </si>
  <si>
    <t>6.1.2. Drenagem</t>
  </si>
  <si>
    <t>6.1.3. Reumedecimento</t>
  </si>
  <si>
    <t>TIDAL</t>
  </si>
  <si>
    <t>SEAGRASS</t>
  </si>
  <si>
    <t>Coastal Wetlands</t>
  </si>
  <si>
    <t>Coastal wetlands</t>
  </si>
  <si>
    <t>8.1. Fisheries</t>
  </si>
  <si>
    <t>8.1. Pêches</t>
  </si>
  <si>
    <t>8.2. Aquaculture</t>
  </si>
  <si>
    <t>8.1. Pescas</t>
  </si>
  <si>
    <t>8.2. Aquicultura</t>
  </si>
  <si>
    <t>% excavated</t>
  </si>
  <si>
    <t>% drained</t>
  </si>
  <si>
    <t>Maximum area available for drainage</t>
  </si>
  <si>
    <t>Without Project1</t>
  </si>
  <si>
    <t>Without Project2</t>
  </si>
  <si>
    <t>Without Project3</t>
  </si>
  <si>
    <t>With Project1</t>
  </si>
  <si>
    <t>With Project2</t>
  </si>
  <si>
    <t>With Project3</t>
  </si>
  <si>
    <t>By Continent (see below by Gear)</t>
  </si>
  <si>
    <t>All (Average)</t>
  </si>
  <si>
    <t>Gear</t>
  </si>
  <si>
    <t>Gear list</t>
  </si>
  <si>
    <t>Bottom trawls</t>
  </si>
  <si>
    <t>Gillnets</t>
  </si>
  <si>
    <t>Pelagic trawls</t>
  </si>
  <si>
    <t>Pots and traps</t>
  </si>
  <si>
    <t>Surrounding nets</t>
  </si>
  <si>
    <t>Dredges</t>
  </si>
  <si>
    <t>Gear Specific</t>
  </si>
  <si>
    <t>Gear specific</t>
  </si>
  <si>
    <t>Not specific</t>
  </si>
  <si>
    <t>Équipement</t>
  </si>
  <si>
    <t>Non spécifique</t>
  </si>
  <si>
    <t>Crochet et lignes</t>
  </si>
  <si>
    <t>Hooks and lines</t>
  </si>
  <si>
    <t>Dragues</t>
  </si>
  <si>
    <t>Casiers et Pièges</t>
  </si>
  <si>
    <t>Filets tournants</t>
  </si>
  <si>
    <t>Chaluts pélagiques</t>
  </si>
  <si>
    <t>Filets maillants</t>
  </si>
  <si>
    <t>Chaluts de fond</t>
  </si>
  <si>
    <t>Equipamento</t>
  </si>
  <si>
    <t xml:space="preserve">Especifico </t>
  </si>
  <si>
    <t>Não especifico</t>
  </si>
  <si>
    <t>Not Specific</t>
  </si>
  <si>
    <t>Spécifique de l'équipement</t>
  </si>
  <si>
    <t>l/tonne</t>
  </si>
  <si>
    <t>l/tonelada</t>
  </si>
  <si>
    <t>Biomass (1st year)</t>
  </si>
  <si>
    <t>Bomasse (1ere année)</t>
  </si>
  <si>
    <t>Meilleures pratiques agronomiques</t>
  </si>
  <si>
    <t>Region (FAOSTAT)</t>
  </si>
  <si>
    <t>Region (IPCC)</t>
  </si>
  <si>
    <t>Crop (IPCC)</t>
  </si>
  <si>
    <t>Crop (FAOSTAT)</t>
  </si>
  <si>
    <t>Africa + (Total)</t>
  </si>
  <si>
    <t>Beans &amp; pulses</t>
  </si>
  <si>
    <t>Pulses,Total + (Total)</t>
  </si>
  <si>
    <t>--Central America + (Total)</t>
  </si>
  <si>
    <t>Grains</t>
  </si>
  <si>
    <t>Cereals,Total + (Total)</t>
  </si>
  <si>
    <t>--Eastern Asia + (Total)</t>
  </si>
  <si>
    <t>Root crops</t>
  </si>
  <si>
    <t>Roots and Tubers,Total + (Total)</t>
  </si>
  <si>
    <t>--Eastern Europe + (Total)</t>
  </si>
  <si>
    <t>Tubers</t>
  </si>
  <si>
    <t>--Northern America + (Total)</t>
  </si>
  <si>
    <t>Oceania + (Total)</t>
  </si>
  <si>
    <t>Dry bean</t>
  </si>
  <si>
    <t>--South America + (Total)</t>
  </si>
  <si>
    <t>--South-Eastern Asia + (Total)</t>
  </si>
  <si>
    <t>--Southern Asia + (Total)</t>
  </si>
  <si>
    <t>--Western Asia + (Total)</t>
  </si>
  <si>
    <t>Peanut</t>
  </si>
  <si>
    <t>--Western Europe + (Total)</t>
  </si>
  <si>
    <t>Correspondance FAOSTAT Region - IPCC Region</t>
  </si>
  <si>
    <t>Correspondance FAOSTAT Crop - IPCC Crop</t>
  </si>
  <si>
    <t>Residue management</t>
  </si>
  <si>
    <t>The default (tier 1 assumption) is that if the system</t>
  </si>
  <si>
    <t>Burned</t>
  </si>
  <si>
    <t>Retained</t>
  </si>
  <si>
    <t>Exported</t>
  </si>
  <si>
    <t>Crop type</t>
  </si>
  <si>
    <t>Crop type (minor season / intercropping)</t>
  </si>
  <si>
    <t>Main season crop</t>
  </si>
  <si>
    <t>Minor season crop/ intercrop</t>
  </si>
  <si>
    <t>DEFAULT FACTORS FOR ESTIMATION OF N ADDED TO SOILS FROM CROP RESIDUES</t>
  </si>
  <si>
    <t xml:space="preserve">Table 11.2 </t>
  </si>
  <si>
    <t>(IPCC NGGI 2006 - Vol. 4)</t>
  </si>
  <si>
    <t>DRY - dry matter fraction of harvested product</t>
  </si>
  <si>
    <t>Slope</t>
  </si>
  <si>
    <t>Intercept</t>
  </si>
  <si>
    <t>N AG - N content Above Gr Resiudue</t>
  </si>
  <si>
    <t>RBG-BIO - Ratio of below ground residue to above ground biomass</t>
  </si>
  <si>
    <t>N BG - N content of below-ground residue</t>
  </si>
  <si>
    <t>N-fixing forages</t>
  </si>
  <si>
    <t>Non-N-fixing forages</t>
  </si>
  <si>
    <t>Winter wheat</t>
  </si>
  <si>
    <t>Spring wheat</t>
  </si>
  <si>
    <t>NA</t>
  </si>
  <si>
    <t>Alfalfa</t>
  </si>
  <si>
    <t>Non-legume hay</t>
  </si>
  <si>
    <t>Agdm - Aboveground residue dry matter (Mg/ha)</t>
  </si>
  <si>
    <t>area (FAOSTAT)</t>
  </si>
  <si>
    <t>item (FAOSTAT)</t>
  </si>
  <si>
    <t>Chain: area(FAOSTAT)-item(FAOSTAT)</t>
  </si>
  <si>
    <t>Crop type (IPCC)</t>
  </si>
  <si>
    <r>
      <t xml:space="preserve">Yield - kg </t>
    </r>
    <r>
      <rPr>
        <sz val="8"/>
        <rFont val="Arial"/>
        <family val="2"/>
      </rPr>
      <t>(Picking Tier 2 if specified)</t>
    </r>
  </si>
  <si>
    <t>Chain:IPCC Area-FAOSTAT Item</t>
  </si>
  <si>
    <t>Corresponding IPCC area</t>
  </si>
  <si>
    <t>Chain: IPCC area-FAOSTAT item</t>
  </si>
  <si>
    <t>Agave fibres nes</t>
  </si>
  <si>
    <t>Almonds, with shell</t>
  </si>
  <si>
    <t>Anise, badian, fennel, coriander</t>
  </si>
  <si>
    <t>Apples</t>
  </si>
  <si>
    <t>Apricots</t>
  </si>
  <si>
    <t>Areca nuts</t>
  </si>
  <si>
    <t>Artichokes</t>
  </si>
  <si>
    <t>Asparagus</t>
  </si>
  <si>
    <t>Avocados</t>
  </si>
  <si>
    <t>Bambara beans</t>
  </si>
  <si>
    <t>Bastfibres, other</t>
  </si>
  <si>
    <t>Berries nes</t>
  </si>
  <si>
    <t>Blueberries</t>
  </si>
  <si>
    <t>Brazil nuts, with shell</t>
  </si>
  <si>
    <t>Broad beans, horse beans, dry</t>
  </si>
  <si>
    <t>Buckwheat</t>
  </si>
  <si>
    <t>Cabbages and other brassicas</t>
  </si>
  <si>
    <t>Canary seed</t>
  </si>
  <si>
    <t>Carobs</t>
  </si>
  <si>
    <t>Cashewapple</t>
  </si>
  <si>
    <t>Cassava leaves</t>
  </si>
  <si>
    <t>Castor oil seed</t>
  </si>
  <si>
    <t>Cherries</t>
  </si>
  <si>
    <t>Cherries, sour</t>
  </si>
  <si>
    <t>Chestnut</t>
  </si>
  <si>
    <t>Chick peas</t>
  </si>
  <si>
    <t>Chicory roots</t>
  </si>
  <si>
    <t>Chillies and peppers, dry</t>
  </si>
  <si>
    <t>Chillies and peppers, green</t>
  </si>
  <si>
    <t>Cinnamon (canella)</t>
  </si>
  <si>
    <t>Cloves</t>
  </si>
  <si>
    <t>Cocoa, beans</t>
  </si>
  <si>
    <t>Coconuts</t>
  </si>
  <si>
    <t>Coir</t>
  </si>
  <si>
    <t>Cranberries</t>
  </si>
  <si>
    <t>Cucumbers and gherkins</t>
  </si>
  <si>
    <t>Currants</t>
  </si>
  <si>
    <t>Fibre crops nes</t>
  </si>
  <si>
    <t>Figs</t>
  </si>
  <si>
    <t>Flax fibre and tow</t>
  </si>
  <si>
    <t>Fonio</t>
  </si>
  <si>
    <t>Fruit, citrus nes</t>
  </si>
  <si>
    <t>Fruit, fresh nes</t>
  </si>
  <si>
    <t>Fruit, pome nes</t>
  </si>
  <si>
    <t>Fruit, stone nes</t>
  </si>
  <si>
    <t>Fruit, tropical fresh nes</t>
  </si>
  <si>
    <t>Garlic</t>
  </si>
  <si>
    <t>Ginger</t>
  </si>
  <si>
    <t>Gooseberries</t>
  </si>
  <si>
    <t>Grain, mixed</t>
  </si>
  <si>
    <t>Hazelnuts, with shell</t>
  </si>
  <si>
    <t>Hemp tow waste</t>
  </si>
  <si>
    <t>Hempseed</t>
  </si>
  <si>
    <t>Hops</t>
  </si>
  <si>
    <t>Jojoba seed</t>
  </si>
  <si>
    <t>Jute</t>
  </si>
  <si>
    <t>Kapok fruit</t>
  </si>
  <si>
    <t>Karite nuts (sheanuts)</t>
  </si>
  <si>
    <t>Kiwi fruit</t>
  </si>
  <si>
    <t>Kola nuts</t>
  </si>
  <si>
    <t>Leeks, other alliaceous vegetables</t>
  </si>
  <si>
    <t>Lemons and limes</t>
  </si>
  <si>
    <t>Lentils</t>
  </si>
  <si>
    <t>Lettuce and chicory</t>
  </si>
  <si>
    <t>Lupins</t>
  </si>
  <si>
    <t>Manila fibre (abaca)</t>
  </si>
  <si>
    <t>Melons, other (inc.cantaloupes)</t>
  </si>
  <si>
    <t>Melonseed</t>
  </si>
  <si>
    <t>Mushrooms and truffles</t>
  </si>
  <si>
    <t>Mustard seed</t>
  </si>
  <si>
    <t>Nutmeg, mace and cardamoms</t>
  </si>
  <si>
    <t>Nuts, nes</t>
  </si>
  <si>
    <t>Oil, palm fruit</t>
  </si>
  <si>
    <t>Oilseeds nes</t>
  </si>
  <si>
    <t>Okra</t>
  </si>
  <si>
    <t>Onions, shallots, green</t>
  </si>
  <si>
    <t>Papayas</t>
  </si>
  <si>
    <t>Pears</t>
  </si>
  <si>
    <t>Pepper (piper spp.)</t>
  </si>
  <si>
    <t>Peppermint</t>
  </si>
  <si>
    <t>Persimmons</t>
  </si>
  <si>
    <t>Pigeon peas</t>
  </si>
  <si>
    <t>Pistachios</t>
  </si>
  <si>
    <t>Plums and sloes</t>
  </si>
  <si>
    <t>Popcorn</t>
  </si>
  <si>
    <t>Poppy seed</t>
  </si>
  <si>
    <t>Pumpkins, squash and gourds</t>
  </si>
  <si>
    <t>Pyrethrum, dried</t>
  </si>
  <si>
    <t>Quinces</t>
  </si>
  <si>
    <t>Ramie</t>
  </si>
  <si>
    <t>Rapeseed</t>
  </si>
  <si>
    <t>Raspberries</t>
  </si>
  <si>
    <t>Roots and tubers, nes</t>
  </si>
  <si>
    <t>Rubber, natural</t>
  </si>
  <si>
    <t>Safflower seed</t>
  </si>
  <si>
    <t>Spices, nes</t>
  </si>
  <si>
    <t>Spinach</t>
  </si>
  <si>
    <t>String beans</t>
  </si>
  <si>
    <t>Sugar crops, nes</t>
  </si>
  <si>
    <t>Tallowtree seed</t>
  </si>
  <si>
    <t>Tangerines, mandarins, clementines, satsumas</t>
  </si>
  <si>
    <t>Taro (cocoyam)</t>
  </si>
  <si>
    <t>Tung nuts</t>
  </si>
  <si>
    <t>Vanilla</t>
  </si>
  <si>
    <t>Vegetables, fresh nes</t>
  </si>
  <si>
    <t>Vegetables, leguminous nes</t>
  </si>
  <si>
    <t>Walnuts, with shell</t>
  </si>
  <si>
    <t>Watermelons</t>
  </si>
  <si>
    <t>Yams</t>
  </si>
  <si>
    <t>Yautia (cocoyam)</t>
  </si>
  <si>
    <t>FAOSTAT Yield - kg
2012</t>
  </si>
  <si>
    <t>(Picking defaults or Tier 2 if specified)</t>
  </si>
  <si>
    <r>
      <t>R</t>
    </r>
    <r>
      <rPr>
        <b/>
        <vertAlign val="subscript"/>
        <sz val="10"/>
        <rFont val="Arial"/>
        <family val="2"/>
      </rPr>
      <t>BG-BIO</t>
    </r>
    <r>
      <rPr>
        <b/>
        <sz val="10"/>
        <rFont val="Arial"/>
        <family val="2"/>
      </rPr>
      <t xml:space="preserve"> - 
Ratio of BG residue to above ground </t>
    </r>
    <r>
      <rPr>
        <b/>
        <sz val="10"/>
        <color rgb="FFFF0000"/>
        <rFont val="Arial"/>
        <family val="2"/>
      </rPr>
      <t>biomass</t>
    </r>
  </si>
  <si>
    <r>
      <t xml:space="preserve">N </t>
    </r>
    <r>
      <rPr>
        <b/>
        <vertAlign val="subscript"/>
        <sz val="10"/>
        <rFont val="Arial"/>
        <family val="2"/>
      </rPr>
      <t>AG</t>
    </r>
    <r>
      <rPr>
        <b/>
        <sz val="10"/>
        <rFont val="Arial"/>
        <family val="2"/>
      </rPr>
      <t xml:space="preserve"> - 
N content AG Resiudue</t>
    </r>
  </si>
  <si>
    <r>
      <t xml:space="preserve">N </t>
    </r>
    <r>
      <rPr>
        <b/>
        <vertAlign val="subscript"/>
        <sz val="10"/>
        <rFont val="Arial"/>
        <family val="2"/>
      </rPr>
      <t>BG</t>
    </r>
    <r>
      <rPr>
        <b/>
        <sz val="10"/>
        <rFont val="Arial"/>
        <family val="2"/>
      </rPr>
      <t xml:space="preserve"> - 
N content of BG residue</t>
    </r>
  </si>
  <si>
    <r>
      <t>F</t>
    </r>
    <r>
      <rPr>
        <b/>
        <vertAlign val="subscript"/>
        <sz val="10"/>
        <rFont val="Arial"/>
        <family val="2"/>
      </rPr>
      <t>CR</t>
    </r>
    <r>
      <rPr>
        <b/>
        <sz val="10"/>
        <rFont val="Arial"/>
        <family val="2"/>
      </rPr>
      <t xml:space="preserve"> / ha- Annual amount of N in crop residues (kg N /ha)</t>
    </r>
  </si>
  <si>
    <r>
      <t>AG</t>
    </r>
    <r>
      <rPr>
        <b/>
        <u/>
        <vertAlign val="subscript"/>
        <sz val="10"/>
        <rFont val="Arial"/>
        <family val="2"/>
      </rPr>
      <t>DM(T)</t>
    </r>
    <r>
      <rPr>
        <b/>
        <u/>
        <sz val="10"/>
        <rFont val="Arial"/>
        <family val="2"/>
      </rPr>
      <t xml:space="preserve"> - Residue DM - t/ha</t>
    </r>
  </si>
  <si>
    <t>Crop residues</t>
  </si>
  <si>
    <t>(kg N2O-N/ kg N input)</t>
  </si>
  <si>
    <t>N2O emissions from N input</t>
  </si>
  <si>
    <t>Crop (T) 
(yield - kg)</t>
  </si>
  <si>
    <t>Crop residue biomass (t dm/ ha) and N inputs from crop residues (kg N/ha)</t>
  </si>
  <si>
    <t xml:space="preserve">*default = </t>
  </si>
  <si>
    <r>
      <t>R</t>
    </r>
    <r>
      <rPr>
        <b/>
        <vertAlign val="subscript"/>
        <sz val="10"/>
        <rFont val="Arial"/>
        <family val="2"/>
      </rPr>
      <t>BG-BIO</t>
    </r>
    <r>
      <rPr>
        <b/>
        <sz val="10"/>
        <rFont val="Arial"/>
        <family val="2"/>
      </rPr>
      <t xml:space="preserve"> - 
Ratio of BG </t>
    </r>
    <r>
      <rPr>
        <b/>
        <sz val="10"/>
        <color rgb="FFFF0000"/>
        <rFont val="Arial"/>
        <family val="2"/>
      </rPr>
      <t>residue</t>
    </r>
    <r>
      <rPr>
        <b/>
        <sz val="10"/>
        <rFont val="Arial"/>
        <family val="2"/>
      </rPr>
      <t xml:space="preserve"> to above ground </t>
    </r>
    <r>
      <rPr>
        <b/>
        <sz val="10"/>
        <color rgb="FFFF0000"/>
        <rFont val="Arial"/>
        <family val="2"/>
      </rPr>
      <t>biomass</t>
    </r>
  </si>
  <si>
    <t>Main and minor crop</t>
  </si>
  <si>
    <t>Main season crop (exclusively)</t>
  </si>
  <si>
    <t>Dependent Drop-down Lists</t>
  </si>
  <si>
    <t>No_till_residues_management</t>
  </si>
  <si>
    <t>till_impr</t>
  </si>
  <si>
    <t>till_conv</t>
  </si>
  <si>
    <t>Instrumental variable: No till./residues management</t>
  </si>
  <si>
    <t>till_?</t>
  </si>
  <si>
    <t>Default C:N ratio of soil organic matter</t>
  </si>
  <si>
    <t>Equation 11.8</t>
  </si>
  <si>
    <t>Forest Land or Grassland to Cropland</t>
  </si>
  <si>
    <t>Cropland remaining Cropland</t>
  </si>
  <si>
    <t>N Mineralization in Mineral Soils as a result of Loss of Soil C through change in Land Use or Management</t>
  </si>
  <si>
    <t>C:N ratio</t>
  </si>
  <si>
    <t>SOM mineralization due to LUC</t>
  </si>
  <si>
    <t>Type of Land Conversion</t>
  </si>
  <si>
    <r>
      <t>F</t>
    </r>
    <r>
      <rPr>
        <vertAlign val="subscript"/>
        <sz val="10"/>
        <rFont val="Arial"/>
        <family val="2"/>
      </rPr>
      <t>SOM</t>
    </r>
    <r>
      <rPr>
        <sz val="10"/>
        <rFont val="Arial"/>
        <family val="2"/>
      </rPr>
      <t xml:space="preserve"> - kg N mineralized</t>
    </r>
  </si>
  <si>
    <t>Conversion factor N2O-N emissions to N2O emissions</t>
  </si>
  <si>
    <t>N2O=N2O-N * 44 / 28</t>
  </si>
  <si>
    <t>N2O-N_conversion</t>
  </si>
  <si>
    <t>N2O 
kg</t>
  </si>
  <si>
    <t>Fire - N2O</t>
  </si>
  <si>
    <t>Fire - CH4</t>
  </si>
  <si>
    <t>Total CH4 &amp; N2O</t>
  </si>
  <si>
    <t>Phạm vi trách nhiệm</t>
  </si>
  <si>
    <t>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t>
  </si>
  <si>
    <t>Giai đoạn thể hiện tác động</t>
  </si>
  <si>
    <t>Dịch</t>
  </si>
  <si>
    <t>Cây gỗ hoặc bộ phận đã chết</t>
  </si>
  <si>
    <t>3.1. Các hệ thống cây trồng hàng năm (cũng được sử dụng đối với hệ thống cây trồng lâu năm như bông hay mía)</t>
  </si>
  <si>
    <t>Ernterückstände/Biomasse verfügbar zur Verbrennung</t>
  </si>
  <si>
    <t>Tàn dư thực vật có để đốt</t>
  </si>
  <si>
    <t>Sử dụng giống cải tiến, kéo dài thời gian luân canh và tăng phế phụ phẩm cây trồng</t>
  </si>
  <si>
    <t>Sử dụng phân chuồng hoặc chất thải sinh học như vật tư đầu vào</t>
  </si>
  <si>
    <t>Dùng lửa để quản lý?</t>
  </si>
  <si>
    <t>Hình thức sử dụng đồng cỏ cuối cùng</t>
  </si>
  <si>
    <t>Lợn (để bán)</t>
  </si>
  <si>
    <t>Lợn (để làm giống)</t>
  </si>
  <si>
    <t>Tổng cộng cho tiêu thoát</t>
  </si>
  <si>
    <t>Điểm này phù hợp với suy thoái rừng ngập mặn và chỉ nên được tính ở đây</t>
  </si>
  <si>
    <t>6.1. Các vật tư đầu vào (...)</t>
  </si>
  <si>
    <t>Tấn quặng Dolomi /năm</t>
  </si>
  <si>
    <t>Phân ủ (tấn N/năm)</t>
  </si>
  <si>
    <t>Phân lân (tấn P2O5/năm)</t>
  </si>
  <si>
    <t>Dạng lỏng và dạng khí (tính bằng m3/ năm)</t>
  </si>
  <si>
    <t>Tổn thất trong quá trình truyển tải điện</t>
  </si>
  <si>
    <t>Rừng</t>
  </si>
  <si>
    <t>Khu vực trồng</t>
  </si>
  <si>
    <t>5.2. Suy thoái và quản lý đất hữu cơ (đất than bùn)</t>
  </si>
  <si>
    <t>5.2.1. Sự khô hạn và mất nước ở đất hữu cơ</t>
  </si>
  <si>
    <t>SAI</t>
  </si>
  <si>
    <t>Bề mặt than bùn bị khai thác</t>
  </si>
  <si>
    <t>Chiều cao khai thác (cm)</t>
  </si>
  <si>
    <t>Số lượng than bùn sản xuất (t/năm)</t>
  </si>
  <si>
    <t xml:space="preserve">5.2.3. Tái làm ướt đất hữu cơ (đất than bùn) </t>
  </si>
  <si>
    <t>Kiểu cháy</t>
  </si>
  <si>
    <t>Diện tích bị cháy (ha)</t>
  </si>
  <si>
    <t>Cháy tự nhiên (than bùn khô)</t>
  </si>
  <si>
    <t>Cháy tự nhiên (than bùn không khô)</t>
  </si>
  <si>
    <t>Cháy chủ động (có kế hoạch)</t>
  </si>
  <si>
    <t>Diện tích bề mặt đất hữu cơ được tái làm ướt (ha)</t>
  </si>
  <si>
    <t>5.2.4. Phát thải từ quá trình cháy đất hữu cơ (đất than bùn)</t>
  </si>
  <si>
    <t>Tổng số bị cháy</t>
  </si>
  <si>
    <t>Tổng số tái làm ướt</t>
  </si>
  <si>
    <t>5.3. Quản lý đất ngập nước ven biển (rừng ngập mặn, thực vật ven bờ, cửa sông và cói)</t>
  </si>
  <si>
    <t>5.3.1. Khai thác, chuyển đổi (xây dựng cảng, xây dựng ao nuôi trồng thủy sản hoặc đồng muối)</t>
  </si>
  <si>
    <t>Diện tích chuyển đổi (ha)</t>
  </si>
  <si>
    <t>Tổng khai thác và chuyển đổi</t>
  </si>
  <si>
    <t>5.3.2.Cạn nước</t>
  </si>
  <si>
    <t>Thực vật ven bờ</t>
  </si>
  <si>
    <t>Cói hoặc cây cỏ vùng nước lợ</t>
  </si>
  <si>
    <t>Diện tích cạn nước (ha)</t>
  </si>
  <si>
    <t>Diện tích có nước trở lại (ha)</t>
  </si>
  <si>
    <t>5.3.2.Tái làm ướt/ có nước trở lại</t>
  </si>
  <si>
    <t>Hãy chỉ rõ đặc tính nổi trội của than bùn mà có thể ảnh hưởng đến các hệ số phát thải dưới đây</t>
  </si>
  <si>
    <t>Phát thải CH4 liên quan đến mất/cạn nước</t>
  </si>
  <si>
    <t>Từ đất bị khô</t>
  </si>
  <si>
    <t>Từ mương, kênh</t>
  </si>
  <si>
    <t>Phát thải N2O liên quan đến mất/cạn nước</t>
  </si>
  <si>
    <t>Hệ số phát thải (kg CH4/ha/năm)</t>
  </si>
  <si>
    <t>Phát thải không từ thực địa</t>
  </si>
  <si>
    <t>qua việc mất cacbon do nước</t>
  </si>
  <si>
    <t>Hệ số phát thải CH4 (kg CH4/ha/năm)</t>
  </si>
  <si>
    <t>phát thải CO2 từ sử dụng than bùn</t>
  </si>
  <si>
    <t>Hàm lượng than bùn (t/m3)</t>
  </si>
  <si>
    <t>Sử dụng năng lượng?</t>
  </si>
  <si>
    <t>Các hệ số phát thải đối với quá trình làm ướt lại đất hữu cơ</t>
  </si>
  <si>
    <t>Các hệ số phát thải đối với quá trình đốt cháy đất hữu cơ tính cho mỗi loại khí (g trên kg chất hữu cơ khô bị đôt)</t>
  </si>
  <si>
    <t xml:space="preserve">hệ số phát thải CO2 </t>
  </si>
  <si>
    <t>hệ số phát thải CO</t>
  </si>
  <si>
    <t xml:space="preserve">hệ số phát thải CH4  </t>
  </si>
  <si>
    <t>Lượng chất hữu cơ khô bình quân (t DM/ha)</t>
  </si>
  <si>
    <t>Kiểu đất mặc định là "khoáng"</t>
  </si>
  <si>
    <t>(độ sâu mặc định là 1 m)</t>
  </si>
  <si>
    <t>% C mất đi sau khi chuyển đổi/khai thác</t>
  </si>
  <si>
    <t>Chuyển tới "Hữu cơ"?</t>
  </si>
  <si>
    <t>Hệ số phát thải</t>
  </si>
  <si>
    <t>(t C/ha/năm)</t>
  </si>
  <si>
    <t>Mặc định là nước dùng để tái làm ướt là nước ngọt</t>
  </si>
  <si>
    <t>Chuyển sang nước lợ?</t>
  </si>
  <si>
    <t>(kg CH4/ha/ năm)</t>
  </si>
  <si>
    <t>(điều này phù hợp với việc tái trồng rừng ngập mặn và chỉ nên tính ở đây)</t>
  </si>
  <si>
    <t>Phần trăm sinh khối bị mất bởi cạn/mất nước</t>
  </si>
  <si>
    <t>Phần trăm sinh khối được giữ lại</t>
  </si>
  <si>
    <t>Than bùn (từ đất than bùn)</t>
  </si>
  <si>
    <t>7.1. Thủy sản</t>
  </si>
  <si>
    <t>Các mục 6.1. (Đầu vào), 6.2. (Năng lượng) và 6.3. (Xây dựng các hạ tầng mới) có thể được dùng để thay thế mục này</t>
  </si>
  <si>
    <t>Phân nhóm</t>
  </si>
  <si>
    <t>Tổng đánh bắt trong năm (tấn/năm)</t>
  </si>
  <si>
    <t>Hoạt động đánh bắt (dựa vào Hàm lượng Nhiên liệu Sử dụng - FUI - các giá trị)</t>
  </si>
  <si>
    <t>Rò rỉ từ hệ thống làm lạnh trong quá trình ra khơi</t>
  </si>
  <si>
    <t>Phát thải do quá trình sản xuất đá ở trên đất liền</t>
  </si>
  <si>
    <t>Nuôi trồng (chỉ tính phát thải từ N2O trong quá trình nuôi trồng)</t>
  </si>
  <si>
    <t>Tổng đánh bắt với các hệ thống làm lạnh (cá, v v.)</t>
  </si>
  <si>
    <t>Tổng đánh bắt truyền thống và ven bờ</t>
  </si>
  <si>
    <t>Tổng từ đánh bắt</t>
  </si>
  <si>
    <t>Hàm lượng Nhiên liệu Sử dụng - FUI (l/t đánh bắt)</t>
  </si>
  <si>
    <t>(tCO2-eq /t đánh bắt)</t>
  </si>
  <si>
    <t>Số lượng hao hụt (kg hóa chất làm lạnh)</t>
  </si>
  <si>
    <t>GWP của hóa chất làm lạnh</t>
  </si>
  <si>
    <t>Hóa chất làm lạnh bị hao hụt tính trên một tấn đánh bắt cập bờ</t>
  </si>
  <si>
    <t>Số lượng (tấn)</t>
  </si>
  <si>
    <t>Số lượng đá (tấn) cho một tấn sản phẩm đánh bắt</t>
  </si>
  <si>
    <t xml:space="preserve">Hệ số phát thải (tCO2-eq) tính cho việc sản xuất ra một tấn đá </t>
  </si>
  <si>
    <t>Hệ số phát thải đối với phát thải N2O từ nuôi cá (t N-N20 / t cá)</t>
  </si>
  <si>
    <t>% với hệ thống làm lạnh</t>
  </si>
  <si>
    <t>Quản lý (sẽ tác động FUI)</t>
  </si>
  <si>
    <t>Sản lượng hàng năm (tấn /năm)</t>
  </si>
  <si>
    <t>Phát thải từ thức ăn</t>
  </si>
  <si>
    <t>Số lượng thức ăn hàng năm (tấn /năm)</t>
  </si>
  <si>
    <t>Tổng nuôi trồng</t>
  </si>
  <si>
    <t>Hệ số phát thải đối với thức ăn (t CO2-eq / t thức ăn)</t>
  </si>
  <si>
    <t>Tổng năng lượng sử dụng (m3/năm)</t>
  </si>
  <si>
    <t>% tổng lượng đánh bắt liên quan đến sản xuất đá</t>
  </si>
  <si>
    <t>Điện năng tiêu thụ cho 1 tấn đá</t>
  </si>
  <si>
    <t>Rico en nutrientes</t>
  </si>
  <si>
    <t>рыба, богатaя питательными веществами</t>
  </si>
  <si>
    <t>الغنية بالمواد الغذائية</t>
  </si>
  <si>
    <t>рыба, беднaя питательными элементами</t>
  </si>
  <si>
    <t>المواد الغذائية الفقيرة</t>
  </si>
  <si>
    <t xml:space="preserve">ракообразные </t>
  </si>
  <si>
    <t>القشريات</t>
  </si>
  <si>
    <t>Peces de aleta</t>
  </si>
  <si>
    <t>пелагическaя рыбa</t>
  </si>
  <si>
    <t>الأسماك</t>
  </si>
  <si>
    <t>Peces planos</t>
  </si>
  <si>
    <t>камбала - Камбалообразные</t>
  </si>
  <si>
    <t>السمك المفلطح</t>
  </si>
  <si>
    <t>большие пелагическиe рыбы</t>
  </si>
  <si>
    <t>أسماك السطح الكبيرة</t>
  </si>
  <si>
    <t xml:space="preserve">моллюски </t>
  </si>
  <si>
    <t>الرخويات</t>
  </si>
  <si>
    <t>Salmónidos</t>
  </si>
  <si>
    <t>лососевые рыбы</t>
  </si>
  <si>
    <t>السلمون</t>
  </si>
  <si>
    <t>Pequeños pelágicos</t>
  </si>
  <si>
    <t>мелкие пелагические рыбы</t>
  </si>
  <si>
    <t>أسماك السطح الصغيرة</t>
  </si>
  <si>
    <t>no especificado</t>
  </si>
  <si>
    <t>не указано</t>
  </si>
  <si>
    <t>غير محدد</t>
  </si>
  <si>
    <t>пожалуйста, выберите, если применимо</t>
  </si>
  <si>
    <t>يرجى تحديد ما إذا كان قابلا للتطبيق</t>
  </si>
  <si>
    <t>Red de arrastre de fondo</t>
  </si>
  <si>
    <t xml:space="preserve">донный трал </t>
  </si>
  <si>
    <t>شبكة الجر القاعية</t>
  </si>
  <si>
    <t>Red de enmalle</t>
  </si>
  <si>
    <t>жаберные сети</t>
  </si>
  <si>
    <t>شباك خيشومية</t>
  </si>
  <si>
    <t>Anzuelo y líneas</t>
  </si>
  <si>
    <t>крючок и лескa</t>
  </si>
  <si>
    <t>الصنارة والخيط</t>
  </si>
  <si>
    <t>Red de arrastre pelágico</t>
  </si>
  <si>
    <t>пелагичный трал</t>
  </si>
  <si>
    <t>شباك الجر المستخدمة في أعالي المحيطات</t>
  </si>
  <si>
    <t>Nasas y trampas</t>
  </si>
  <si>
    <t xml:space="preserve">ловушки и ковши </t>
  </si>
  <si>
    <t>الفخاخ والسلال</t>
  </si>
  <si>
    <t>Red de cerco</t>
  </si>
  <si>
    <t>окружающиe сети</t>
  </si>
  <si>
    <t>شبكات المحيطة</t>
  </si>
  <si>
    <t>Dragas</t>
  </si>
  <si>
    <t>драги - Земснаряд</t>
  </si>
  <si>
    <t>شبكة لالتقاط المحار</t>
  </si>
  <si>
    <t>No laboreo y retención de residuos</t>
  </si>
  <si>
    <t>Нулевая обработка и удержание остатков</t>
  </si>
  <si>
    <t>الإبقاء على البقايا /  بدون حرث</t>
  </si>
  <si>
    <t>Перестроенные в другие виды ИЗП</t>
  </si>
  <si>
    <t>3.3. Flooded rice systems</t>
  </si>
  <si>
    <t>3.3.1. Flooded rice systems from other LU or converted to other LU (please fill step 2.LUC previously)</t>
  </si>
  <si>
    <t>3.3.2. Flooded rice systems remaining flooded rice systems (total area must remain constant)</t>
  </si>
  <si>
    <t>Residues/Biomass available for burning</t>
  </si>
  <si>
    <t xml:space="preserve">Residuos/Biomasa disponible </t>
  </si>
  <si>
    <t xml:space="preserve">Остатки/имеющиеся биомасса  </t>
  </si>
  <si>
    <t>المخلفات/ الكتلة الحيوية المتوفرة</t>
  </si>
  <si>
    <t>(t Dry Matter per ha)</t>
  </si>
  <si>
    <t>5.1. Forest degradation and management</t>
  </si>
  <si>
    <t>ترى أداة القياس المسبق لتوازن الكربون أنه يتم استيراد اليوريا من الناحية الافتراضية ولا يمثل سببا لهذه البالوعة، ولكن يمكنك أن تفرض ذلك على الحساب:</t>
  </si>
  <si>
    <t xml:space="preserve"> طن ثاني أكسيد الكربون/ ميجاوات ساعة/ سنة</t>
  </si>
  <si>
    <t>Zones côtières</t>
  </si>
  <si>
    <t>Humedales costeros</t>
  </si>
  <si>
    <t>Прибрежные водно-болотные угодья</t>
  </si>
  <si>
    <t>الأراضي الرطبة الساحلية</t>
  </si>
  <si>
    <t>Fisheries and Aquaculture</t>
  </si>
  <si>
    <t>Pêche et acquaculture</t>
  </si>
  <si>
    <t>Pesca y Acuicultura</t>
  </si>
  <si>
    <t>Рыбное хозяйство и Аквакультура</t>
  </si>
  <si>
    <t>مصائد الأسماك وتربية المائيات</t>
  </si>
  <si>
    <t>Traduction des champs : "Debut", "Description", "Changement d'usage", "Production agricole", "Pâturage/ Elevage", "Dégradation et gestion", "Zones côtières", "Intrants et Investissements", "Pêche et acquaculture", "Résultats Detaillés"</t>
  </si>
  <si>
    <t>Traducción de los campos: "Inicio", "Descripción", "Cambio de Uso de Suelo", "Producción agrícola", "Pasto/Ganadería", "Gestión y Degradación", "Humedales costeros", "Insumos e Inversiones", "Pesca y Acuicultura", "Resultados detallados"</t>
  </si>
  <si>
    <t>Перевод: "Cтарт", "Описание", "Изменениe в землепользовании", "Сельскохозяйственнaя Продукция", "Пастбищe/Животноводство", "Деградация  и Управление земель", "Прибрежные водно-болотные угодья", "Поcтуплeния и Инвестиции", "Pыбное хозяйство и Аквакультура", "Подробные результаты"</t>
  </si>
  <si>
    <t>"البداية"، "الوصف"، "تغيير استخدام الأراضي"، "إنتاج المحاصيل للمحاصيل الزراعية"، المراعي / تربية الماشية "،" إدارة وتدهورها "،" الأراضي الرطبة الساحلية"،"المدخلات الزراعية والاستثمارات" "مصايد الأسماك وتربية الأحياء المائية "،" النتائج التفصيلية "</t>
  </si>
  <si>
    <t>Bosque</t>
  </si>
  <si>
    <t>лес</t>
  </si>
  <si>
    <t>غابة</t>
  </si>
  <si>
    <t>Plantación</t>
  </si>
  <si>
    <t xml:space="preserve">плантация   </t>
  </si>
  <si>
    <t>مزرعة</t>
  </si>
  <si>
    <t>Degradación y manejo de suelos orgánicos (turberas)</t>
  </si>
  <si>
    <t>5.2 Деградация и управление органических почв (торфяники)</t>
  </si>
  <si>
    <t xml:space="preserve"> تدهور وإدارة التربة العضوية (الرطبة) 5.2 </t>
  </si>
  <si>
    <t>5.2.1 Drenaje de suelos orgánicos</t>
  </si>
  <si>
    <t>5.2.1. Дренаж органических почв</t>
  </si>
  <si>
    <t>5.2.1. تصريف التربة العضوية</t>
  </si>
  <si>
    <t>Percentaje (área) de zanjas</t>
  </si>
  <si>
    <t>Процент (область) канав</t>
  </si>
  <si>
    <t>النسبة المئوية (منطقة) من الخنادق</t>
  </si>
  <si>
    <t>Superficies donde se extrae la turba</t>
  </si>
  <si>
    <t>Поверхности, где добывается торф</t>
  </si>
  <si>
    <t>المساحة التي أستخلصت منها الأشنة</t>
  </si>
  <si>
    <t>Altura de extracción (cm)</t>
  </si>
  <si>
    <t>высота извлеченного слоя (см)</t>
  </si>
  <si>
    <t>ارتفاع الاستخراج (سم)</t>
  </si>
  <si>
    <t>Cantidad de turberas producida (t/año)</t>
  </si>
  <si>
    <t>Количество вырабатываемого торфа (т/г)</t>
  </si>
  <si>
    <t>كمية الأشنة المنتجة (طن / سنة)</t>
  </si>
  <si>
    <t>Rehumidificación de suelos orgánicos (turberas)</t>
  </si>
  <si>
    <t>5.2.3. Oрошениe органических почв (торфяники)</t>
  </si>
  <si>
    <t xml:space="preserve">5.2.3. ترطيب التربة العضوية </t>
  </si>
  <si>
    <t>Tipo de fuego</t>
  </si>
  <si>
    <t>тип  пожарa</t>
  </si>
  <si>
    <t>نوع الحريق</t>
  </si>
  <si>
    <t>Superficie quemada (ha)</t>
  </si>
  <si>
    <t xml:space="preserve"> сожженная площадь (га)</t>
  </si>
  <si>
    <t>المساحة المحترقة (هكتار)</t>
  </si>
  <si>
    <t>Fuego incontrolado (turba drenada)</t>
  </si>
  <si>
    <t>пожар (осушенный торф)</t>
  </si>
  <si>
    <t>الحرائق الجامحة ( التربة الخثية المجففة)</t>
  </si>
  <si>
    <t xml:space="preserve">Fuego incontrolado (turba no drenada) </t>
  </si>
  <si>
    <t>пожар (бессточный торф)</t>
  </si>
  <si>
    <t>الحرائق الجامحة ( التربة الخثية الغيرالمجففة)</t>
  </si>
  <si>
    <t>Fuego controlado (prescrito)</t>
  </si>
  <si>
    <t>контролируемое выжигание</t>
  </si>
  <si>
    <t>الحرائق الموجهة</t>
  </si>
  <si>
    <t>Superficies de suelos orgánicos rehumidificados</t>
  </si>
  <si>
    <t>Поверхности орошениx органических почв (га)</t>
  </si>
  <si>
    <t>مساحة التربة العضوية المرطبة (هكتار)</t>
  </si>
  <si>
    <t>5.2.4 Emisiones derivadas de incendios de suelos orgánicos (turberas)</t>
  </si>
  <si>
    <t>5.2.4 Выбросы от пожара органических почв (торфяники)</t>
  </si>
  <si>
    <t xml:space="preserve"> الانبعاثات الناتجة عن حريق التربة العضوية (أراضي الخث) 5.2.4  </t>
  </si>
  <si>
    <t>Total para Fuego</t>
  </si>
  <si>
    <t>Итоговые выбросы (пожар)</t>
  </si>
  <si>
    <t>إجمالي نشوب الحريق</t>
  </si>
  <si>
    <t>Total para Rehumidificación</t>
  </si>
  <si>
    <t>Итоговые выбросы (орошение)</t>
  </si>
  <si>
    <t xml:space="preserve">إجمالي الترطيب </t>
  </si>
  <si>
    <t>6.1 Gestión de humedales costeros (Manglares, pantanos mareales y praderas marinas)</t>
  </si>
  <si>
    <t>6.1 Управление прибрежных водно-болотных угодий (мангры, приливныe болота и морский травяный луг)</t>
  </si>
  <si>
    <t xml:space="preserve">إدارة الأراضي الرطبة الساحلية (المنغروف ومستنقعات المد والجزر ومرج الأعشاب البحرية).6.1 </t>
  </si>
  <si>
    <t>6.1.1 Extracción y excavación (contrucción de puertos, para la acuicultura o de estanque para la producción de sal,...)</t>
  </si>
  <si>
    <t>6.1.1 добыча и земляные работы (строительствo порта, строительство аквакультуры или пруды производственныx сол,…)</t>
  </si>
  <si>
    <t xml:space="preserve">  الاستخراج والحفر (بناء الميناء، بناء تربية المائيات أو إنتاج الملح ، ...)6.1.1</t>
  </si>
  <si>
    <t>Área excavada (ha)</t>
  </si>
  <si>
    <t>площадь раскопана (га)</t>
  </si>
  <si>
    <t>منطقة التنقيب (هكتار)</t>
  </si>
  <si>
    <t>Total para extracción y excavación</t>
  </si>
  <si>
    <t>Итог для добычи и копании</t>
  </si>
  <si>
    <t>إجمالي الاستخراج وتنقيب</t>
  </si>
  <si>
    <t>6.1.2 Drenaje</t>
  </si>
  <si>
    <t xml:space="preserve">6.1.2 дренаж </t>
  </si>
  <si>
    <t xml:space="preserve">6.1.2. التجفيف/الصرف </t>
  </si>
  <si>
    <t>Pantano mareal</t>
  </si>
  <si>
    <t xml:space="preserve"> приливныe болота</t>
  </si>
  <si>
    <t>هوْر مدّيّ</t>
  </si>
  <si>
    <t>Praderas marinas</t>
  </si>
  <si>
    <t>морской травяный луг</t>
  </si>
  <si>
    <t>مرج الأعشاب البحرية</t>
  </si>
  <si>
    <t>площадь осушеннa (га)</t>
  </si>
  <si>
    <t>مساحة الصرف (هكتار)</t>
  </si>
  <si>
    <t>Área rehumidificada (ha)</t>
  </si>
  <si>
    <t>площадь орошенa (га)</t>
  </si>
  <si>
    <t xml:space="preserve"> المساحة المرطبة (هكتار)</t>
  </si>
  <si>
    <t>6.1.3 Rehumidificación</t>
  </si>
  <si>
    <t>6.1.3 осушениe</t>
  </si>
  <si>
    <t xml:space="preserve"> الترطيب 6.1.3</t>
  </si>
  <si>
    <t xml:space="preserve">Por favir indique la calidad de turba dominante, eso puede influir sobre los factores de emisión abajo </t>
  </si>
  <si>
    <t>Укажите, пожалуйста, доминирующее качество торфa. Это может повлиять на коэффициенты выбросов ниже</t>
  </si>
  <si>
    <t>يرجى الإشارة إلى النوعية المهيمنة من الخث، (النوعية المهيمنة يمكن أن تؤثر على عوامل الانبعاثات أدناه</t>
  </si>
  <si>
    <t>Emisiones de CH4 asociadas al drenaje</t>
  </si>
  <si>
    <t>Выбросы СН4, связанные с дренажом</t>
  </si>
  <si>
    <t>انبعاثات CH4 المرتبطة بالصرف</t>
  </si>
  <si>
    <t>Desde suelos drenados</t>
  </si>
  <si>
    <t>Из дренированных почв</t>
  </si>
  <si>
    <t>من استنزاف التربة</t>
  </si>
  <si>
    <t>Desde zanjas</t>
  </si>
  <si>
    <t>Из канав</t>
  </si>
  <si>
    <t>من خنادق</t>
  </si>
  <si>
    <t>Emisiones de N2O asociadas al drenaje</t>
  </si>
  <si>
    <t>Выбросы N2O, связанные с дренажом</t>
  </si>
  <si>
    <t>انبعاثات N2O المرتبطة بالصرف</t>
  </si>
  <si>
    <t>Factor de emisión (kilos CH4/ha/año)</t>
  </si>
  <si>
    <t>Коэффициент выбросов (кг CH4 / га / год)</t>
  </si>
  <si>
    <t>عامل الانبعاثات (كلغ CH4 / هكتار / سنة)</t>
  </si>
  <si>
    <t>Fuentes de emisiones externas</t>
  </si>
  <si>
    <t xml:space="preserve">внешниe выбросы </t>
  </si>
  <si>
    <t>انبعاثات خارج الموقع</t>
  </si>
  <si>
    <t>a través de las pérdidas de carbono de origen hídrico</t>
  </si>
  <si>
    <t>потеря углерода в связи с водохозяйственной деятельностью</t>
  </si>
  <si>
    <t>عبر خسائر الكربون التي تنقلها المياه</t>
  </si>
  <si>
    <t>Factor de emisión de CH4  (kilos CH4/ha/año)</t>
  </si>
  <si>
    <t>Коэффициент выбросов CH4 (кг CH4 / га / год)</t>
  </si>
  <si>
    <t>عامل الانبعاثاتCH4 (كلغ CH4 / هكتار / سنة)</t>
  </si>
  <si>
    <t>Emisión de CO2 del uso de turba</t>
  </si>
  <si>
    <t>Выбросы CO2 от использования торфа</t>
  </si>
  <si>
    <t>انبعاثات CO2 من استخدام الخث</t>
  </si>
  <si>
    <t>Densidad de la turba (t/m3)</t>
  </si>
  <si>
    <t>Плотность Торф (т /м3)</t>
  </si>
  <si>
    <t>كثافة الخث (طن / متر مكعب)</t>
  </si>
  <si>
    <t>Uso de energía?</t>
  </si>
  <si>
    <t>использование энергии?</t>
  </si>
  <si>
    <t>استخدام للطاقة؟</t>
  </si>
  <si>
    <t>Factores de emisiones para la rehumidificación de los suelos orgánicos</t>
  </si>
  <si>
    <t>Коэффициенты выбросов для орошения органических почв</t>
  </si>
  <si>
    <t>عوامل الانبعاثات لترطيب التربة العضوية</t>
  </si>
  <si>
    <t>Factor de emisión para los fuegos de suelos orgánicos, para cada gas (g por kilo de materia seca quemada)</t>
  </si>
  <si>
    <t>Коэффициенты выбросов для пожаров органических почв для каждого газа (г на кг сухого вещества сожжена)</t>
  </si>
  <si>
    <t>عوامل انبعاثات حرائق التربة العضوية لكل غاز (غرام لكل كيلوغرام من المادة الجافة المحرقة)</t>
  </si>
  <si>
    <t xml:space="preserve">Factor de emisión de CO2 </t>
  </si>
  <si>
    <t>Коэффициент выбросов CO2</t>
  </si>
  <si>
    <t>CO2 معامل الانبعاث</t>
  </si>
  <si>
    <t>Factor de emisión de CO</t>
  </si>
  <si>
    <t>Коэффициент выбросов CO</t>
  </si>
  <si>
    <t>CO معامل الانبعاث</t>
  </si>
  <si>
    <t xml:space="preserve">Factor de emisión de CH4 </t>
  </si>
  <si>
    <t>Коэффициент выбросов CH4</t>
  </si>
  <si>
    <t>CH4 معامل الانبعاث</t>
  </si>
  <si>
    <t>Materia seca promedio (t MS/ha)</t>
  </si>
  <si>
    <t>Среднее сухого вещества (т DM / га)</t>
  </si>
  <si>
    <t>متوسط المادة الجافة (طن م.ج / هكتار)</t>
  </si>
  <si>
    <t>Tipo de sol predeterminado (default) es "Mineral"</t>
  </si>
  <si>
    <t>значение по умолчанию почва типa "Минерал"</t>
  </si>
  <si>
    <t>نوع التربة الافتراضي هو "المعدنية"</t>
  </si>
  <si>
    <t>(1 m de profundidad como valor predeterminado)</t>
  </si>
  <si>
    <t>(По умолчанию считают 1 м глубины)</t>
  </si>
  <si>
    <t>(القيمة الفرضية للعمق هي متر واحد )</t>
  </si>
  <si>
    <t>% de C perdido después de l'excavación</t>
  </si>
  <si>
    <t>% yглерода теряется после раскопок</t>
  </si>
  <si>
    <t>نسبة الكربون المفقودة بعد الحفر%</t>
  </si>
  <si>
    <t>Органический?</t>
  </si>
  <si>
    <t>تعيين "عضوي"؟</t>
  </si>
  <si>
    <t>Factor de emisión</t>
  </si>
  <si>
    <t>коэффициент выбросов</t>
  </si>
  <si>
    <t>معامل الانبعاث</t>
  </si>
  <si>
    <t>(t C/ha/año)</t>
  </si>
  <si>
    <t>(Т C / га / год)</t>
  </si>
  <si>
    <t>(طن كربون / هكتار / سنة)</t>
  </si>
  <si>
    <t xml:space="preserve">De manera predeterminada el agua utilizada para la rehumidificación es fresca </t>
  </si>
  <si>
    <t xml:space="preserve">По умолчанию, для орошения использована свежая вода </t>
  </si>
  <si>
    <t>نفترض أن المياه المستخدمة للتجفيف عذبة</t>
  </si>
  <si>
    <t>Establecido en solución salina?</t>
  </si>
  <si>
    <t>солевой раствор?</t>
  </si>
  <si>
    <t>تحديد المياه المالحة؟</t>
  </si>
  <si>
    <t>(kilo CH4/ha/año)</t>
  </si>
  <si>
    <t>(Кг CH4 / га / год)</t>
  </si>
  <si>
    <t>(كلغ CH4 / هكتار / سنة)</t>
  </si>
  <si>
    <t>(Esto corresponde a la deforestación de los manglares y debe ser registrada sólo aquí)</t>
  </si>
  <si>
    <t>(Это соответствует вырубке мангровых лесов и должно учитываться только здесь)</t>
  </si>
  <si>
    <t>(هذا الإطار يتوافق مع إزالة الغابات من أشجار المانغروف، وينبغي أخذها في الاعتبار فقط هنا)</t>
  </si>
  <si>
    <t>Porcentaje de biomasa perdida debido al drenaje</t>
  </si>
  <si>
    <t>Процент биомассы, утраченной в результате дренажа</t>
  </si>
  <si>
    <t xml:space="preserve"> نسبة الكتلة الحيوية المفقودة بسبب الصرف </t>
  </si>
  <si>
    <t>Porcentaje de biomasa nominal restaurado</t>
  </si>
  <si>
    <t>Процент номинальной восстановленной биомассы</t>
  </si>
  <si>
    <t>نسبة الكتلة الحيوية الاسمية استعادة</t>
  </si>
  <si>
    <t xml:space="preserve">Surface maximale disponible pour drainage </t>
  </si>
  <si>
    <t>Superficie máxima disponible para el drenaje</t>
  </si>
  <si>
    <t>Максимальная площадь доступна для дренажа</t>
  </si>
  <si>
    <t>المساحة القصوى المتاحة لتصريف المياه</t>
  </si>
  <si>
    <t>Total para rehumidificación</t>
  </si>
  <si>
    <t>Turba (de turberas)</t>
  </si>
  <si>
    <t>Торф (из торфяники)</t>
  </si>
  <si>
    <t>الخث (من أراضي الخث)</t>
  </si>
  <si>
    <t>8.1 Pesca</t>
  </si>
  <si>
    <t xml:space="preserve">8.1 Pыбное хозяйство   </t>
  </si>
  <si>
    <t>8.1. مصائد الأسماك</t>
  </si>
  <si>
    <t>Las secciones 6.1 (Insumos), 6.2 (Energía) e 6.3 (Construcción de nuevas infraestructuras) pueden ser utilizadas para completar esta sección</t>
  </si>
  <si>
    <t>Разделы 6.1 (затраты), 6.2 (энергия) и 6.3 (Строительство новой инфраструктуры) могут быть использованы для дополнения этого раздела</t>
  </si>
  <si>
    <t>الأقسام 6.1 (المدخلات)، 6.2. (الطاقة) و 6.3. (بناء بنية تحتية جديدة) يمكن أن تستخدم لاستكمال هذا القسم</t>
  </si>
  <si>
    <t>Categoría</t>
  </si>
  <si>
    <t xml:space="preserve">разряд </t>
  </si>
  <si>
    <t>فئة</t>
  </si>
  <si>
    <t>Captura total de peces por año (toneladas por año)</t>
  </si>
  <si>
    <t>Общий улов в год (тонн в год)</t>
  </si>
  <si>
    <t>إجمالي حصيلة صيد سنويا (طن سنويا)</t>
  </si>
  <si>
    <t>Operaciones de pesca (basadas sobre la Intensidad del Uso de Combustible - valores IUC)</t>
  </si>
  <si>
    <t>Рыболовные работы (в зависимости от интенсивности использования топлива -ИИТ - значения)</t>
  </si>
  <si>
    <t>عمليات الصيد (على أساس  كثالة استخدام الوقود  - قيم كثالة استخدام الوقود)</t>
  </si>
  <si>
    <t>Pérdida a bordo de los sistemas de refrigeración</t>
  </si>
  <si>
    <t xml:space="preserve"> утечки из системы охлаждения</t>
  </si>
  <si>
    <t xml:space="preserve"> التسربات من أنظمة التبريد على متن السفينة</t>
  </si>
  <si>
    <t>Emisiones debidas a la producción de hielo producido en tierra</t>
  </si>
  <si>
    <t>Выбросы от производства льда производится на берег</t>
  </si>
  <si>
    <t>الانبعاثات الناجمة عن إنتاج الجليد على الشاطئ</t>
  </si>
  <si>
    <t>Acuicultura (sólo las emisiones de N2O durante la producción del pescado)</t>
  </si>
  <si>
    <t>Аквакультура (только выбросы от N2O в процессе производства рыбы)</t>
  </si>
  <si>
    <t>تربية الأحياء المائية (انبعاثات N2O أثناء إنتاج الأسماك)</t>
  </si>
  <si>
    <t>Captura total de peces con sistemas de refrigeración (pescado, etc.)</t>
  </si>
  <si>
    <t>Общий улов при системах охлаждения (рыб и т.д.)</t>
  </si>
  <si>
    <t>إجمالي حصيلة صيد تحت أنظمة التبريد (أسماك، وغيرها)</t>
  </si>
  <si>
    <t>Captura total artisanal y costera</t>
  </si>
  <si>
    <t xml:space="preserve">Общии кустарный и прибрежный улов  </t>
  </si>
  <si>
    <t>إجمالي الصيد الحرفي و الساحلي</t>
  </si>
  <si>
    <t>Total procedente de la captura</t>
  </si>
  <si>
    <t xml:space="preserve">Общие выбросы с улова </t>
  </si>
  <si>
    <t>اجمالى الصيد</t>
  </si>
  <si>
    <t>Intensidad de Uso del Combustible - IUC (l/t de captura)</t>
  </si>
  <si>
    <t>Интенсивность Использования Топливa   - ИИТ / т улова)</t>
  </si>
  <si>
    <t>كثالة استخدام الوقود (لتر / طن الصيد)</t>
  </si>
  <si>
    <t>عامل الانبعاث</t>
  </si>
  <si>
    <t>(tCO2-eq/t de captura de pescado)</t>
  </si>
  <si>
    <t>(TCO2-экв / т улова)</t>
  </si>
  <si>
    <t>(مكافئ / طن الصيد CO2 طن )</t>
  </si>
  <si>
    <t>Cantidad perdida (kilos de refrigerante)</t>
  </si>
  <si>
    <t xml:space="preserve">Потерянное количество  (кг хладагентa)  </t>
  </si>
  <si>
    <t>الكمية خسرت (التبريد كغ)</t>
  </si>
  <si>
    <t>PCA (Potencial de Calentamiento Atmosférico) del refrigerante</t>
  </si>
  <si>
    <t>Потенциал глобального потепления (ПГП) хладагентa</t>
  </si>
  <si>
    <t>GWP المبرد</t>
  </si>
  <si>
    <t xml:space="preserve">  Потерянный хладагент на тонну выгруженного улова</t>
  </si>
  <si>
    <t>التبريد الذي أضيع لكل طن واحد من الصيد</t>
  </si>
  <si>
    <t>Cantidad (toneladas)</t>
  </si>
  <si>
    <t>Количество (тонн)</t>
  </si>
  <si>
    <t>الكمية (طن)</t>
  </si>
  <si>
    <t>Cantidad de hielo (en toneladas) por tonelada de pescado</t>
  </si>
  <si>
    <t>Количество льда (тонн) за тонну улова</t>
  </si>
  <si>
    <t>الكمية من الثلج (طن) لكل طن واحد من الصيد</t>
  </si>
  <si>
    <t>Factor de emisión (tCO2-eq) por tonelada de hielo</t>
  </si>
  <si>
    <t xml:space="preserve">Коэффициент выбросов (т CO2-экв) на тонну произведенного льда </t>
  </si>
  <si>
    <t>عامل الانبعاثات (طن CO2 مكافئ) لطن الواحد من الجليد المنتجة</t>
  </si>
  <si>
    <t>Factor de emisión para las emisiones de N2O que vienen de la producción de pescado (t N-N2O/t de pescado)</t>
  </si>
  <si>
    <t>Коэффициент выбросов для выбросов N2O от производства рыбы (т N-N2O / т рыбы)</t>
  </si>
  <si>
    <t>عامل الانبعاثات لانبعاثات N2O من الإنتاج السمكي (طن N-N2O / طن الأسماك)</t>
  </si>
  <si>
    <t>% con refrigeración</t>
  </si>
  <si>
    <t>% с системой хладагента</t>
  </si>
  <si>
    <t>النسبة المئوية باستخدام  نظام التبريد %</t>
  </si>
  <si>
    <t>Gestión (impacta la IUC)</t>
  </si>
  <si>
    <t>Управление (это повлияет на ИИТ)</t>
  </si>
  <si>
    <t xml:space="preserve"> لإدارة (تؤثر كثالة استخدام الوقود)</t>
  </si>
  <si>
    <t>100% = IUC nominal (cf Tier 2)</t>
  </si>
  <si>
    <t>100% = номинальный ИИТ (смотрите Tier 2)</t>
  </si>
  <si>
    <t>100٪ =  كثالة استخدام الوقود الاسمي (انظر المستوى 2)</t>
  </si>
  <si>
    <t>8.2 Acuicultura</t>
  </si>
  <si>
    <t>8.2 Aквакультура</t>
  </si>
  <si>
    <t>8.2. تربية الأحياء المائية</t>
  </si>
  <si>
    <t>Producción annual (toneladas por año)</t>
  </si>
  <si>
    <t>годовое производство (тонн в год)</t>
  </si>
  <si>
    <t>الإنتاج السنوي (طن سنويا)</t>
  </si>
  <si>
    <t>Emisiones debidas a la alimentación</t>
  </si>
  <si>
    <t>Выбросы от кормов</t>
  </si>
  <si>
    <t>الانبعاثات الناجمة عن الأعلاف</t>
  </si>
  <si>
    <t>Cantidad annual de alimentos (toneladas por año)</t>
  </si>
  <si>
    <t>Годовое количество кормов (тонн в год)</t>
  </si>
  <si>
    <t>الكمية السنوية من الأعلاف (طن سنويا)</t>
  </si>
  <si>
    <t>Total para la acuicultura</t>
  </si>
  <si>
    <t>Итог для аквакультуры</t>
  </si>
  <si>
    <t>تربية الأحياء المائية الإجمالية</t>
  </si>
  <si>
    <t>Factor de emisión de la alimentación (tCO2-eq/t de alimentos)</t>
  </si>
  <si>
    <t>Коэффициент выбросов для корма (тCO2-экв/т корма)</t>
  </si>
  <si>
    <t>عامل الانبعاثات الأعلاف (طن CO2 مكافئ / طن الأعلاف)</t>
  </si>
  <si>
    <t>Consomación total de combustible (m3/año)</t>
  </si>
  <si>
    <t>Общий расход топлива (м3 / год)</t>
  </si>
  <si>
    <t>إجمالي استهلاك الوقود (متر مكعب  / سنة)</t>
  </si>
  <si>
    <t>% de captura de peces total interesado por la producción de hielo</t>
  </si>
  <si>
    <t>% общего улова, который сохраняется благодаря охлаждению</t>
  </si>
  <si>
    <t xml:space="preserve"> % النسبة المئوية من مجموع الصيد المعنية بإنتاج الثلج</t>
  </si>
  <si>
    <t>Electricidad utilizada por tonelada de hielo</t>
  </si>
  <si>
    <t>Электричество используемое на тонну льда</t>
  </si>
  <si>
    <t>هرباء المستخدمة لطن الواحد من الثلج</t>
  </si>
  <si>
    <t>Equipo de pesca</t>
  </si>
  <si>
    <t>рыболовные снасти</t>
  </si>
  <si>
    <t>معدات</t>
  </si>
  <si>
    <t>Específico del equipo</t>
  </si>
  <si>
    <t>специфические рыболовные снасти</t>
  </si>
  <si>
    <t>محددة والعتاد</t>
  </si>
  <si>
    <t>no específico</t>
  </si>
  <si>
    <t>не специфические рыболовные снасти</t>
  </si>
  <si>
    <t>غير محددة</t>
  </si>
  <si>
    <t xml:space="preserve">Eдиница </t>
  </si>
  <si>
    <t>л/тонн</t>
  </si>
  <si>
    <t>لتر / طن</t>
  </si>
  <si>
    <t>Gestion des résidus</t>
  </si>
  <si>
    <t>Gestión de residuos</t>
  </si>
  <si>
    <t xml:space="preserve"> Управление остатками</t>
  </si>
  <si>
    <t>إدارة المخلفات</t>
  </si>
  <si>
    <t>Culture principale</t>
  </si>
  <si>
    <t xml:space="preserve">Temporada agrícola principal </t>
  </si>
  <si>
    <t>Главный сезон урожая</t>
  </si>
  <si>
    <t xml:space="preserve">المحصول الموسمي الرئيسي  </t>
  </si>
  <si>
    <t>Culture secondaire / associée</t>
  </si>
  <si>
    <t>Temporada agrícola secundaria/intercultivo</t>
  </si>
  <si>
    <t>второстепе́нный сезон урожая/совмещение культур</t>
  </si>
  <si>
    <t>محاصيل المواسم الثانوية / زراعة المقمحات</t>
  </si>
  <si>
    <t>Type de culture</t>
  </si>
  <si>
    <t>Tipo de cultivo</t>
  </si>
  <si>
    <t>Tип урожай</t>
  </si>
  <si>
    <t>نوع المحصول</t>
  </si>
  <si>
    <t>Food and Agriculture Organization of the United Nations</t>
  </si>
  <si>
    <t>Organisation des Nations Unis pour l'Alimentation et l'Agriculture</t>
  </si>
  <si>
    <t>Organización de las Naciones Unidas para la Agricultura y la Alimentación</t>
  </si>
  <si>
    <t>Продовольственная и Cельскохозяйственная Oрганизация Объединенных Наций (ФАО)</t>
  </si>
  <si>
    <t>منظمة الأمم المتحدة للأغذية والزراعة  للأغذية والزراعة</t>
  </si>
  <si>
    <t>Documentations en ligne pour l'élaboration de politique</t>
  </si>
  <si>
    <t>Онлайн-справочные материалы  для разработки политики</t>
  </si>
  <si>
    <t>المواد المرجعية المتاحة لصانعي السياسات</t>
  </si>
  <si>
    <t>% creusé</t>
  </si>
  <si>
    <t>% раскопан</t>
  </si>
  <si>
    <t>نسبة التنقيب %</t>
  </si>
  <si>
    <t>% drainé</t>
  </si>
  <si>
    <t>% осушен</t>
  </si>
  <si>
    <t>نسبة الاستنزاف %</t>
  </si>
  <si>
    <t>Materiales de recursos en línea para la formulación de políticas</t>
  </si>
  <si>
    <t>% excavado</t>
  </si>
  <si>
    <t>% drenada</t>
  </si>
  <si>
    <t>3.1.2. Sistemas anuais que permenecem sistemas anuais (área total deve ser igual)</t>
  </si>
  <si>
    <t>3.2.2. Sistemas perenes que permenecem sistemas perenes (área total deve ser igual)</t>
  </si>
  <si>
    <t>3.2.2. Sistemas de arroz irrigado que permenecem sistemas de arroz irrigado (área total deve ser igual)</t>
  </si>
  <si>
    <t>请选择</t>
  </si>
  <si>
    <t>非洲</t>
  </si>
  <si>
    <t>亚洲（大陆）</t>
  </si>
  <si>
    <t>亚洲（南亚次大陆）</t>
  </si>
  <si>
    <t>亚洲（岛国）</t>
  </si>
  <si>
    <t>中东</t>
  </si>
  <si>
    <t>西欧</t>
  </si>
  <si>
    <t>东欧</t>
  </si>
  <si>
    <t>大洋洲</t>
  </si>
  <si>
    <t>北美洲</t>
  </si>
  <si>
    <t>中美洲</t>
  </si>
  <si>
    <t>南美洲</t>
  </si>
  <si>
    <t>暖温带</t>
  </si>
  <si>
    <t>热带</t>
  </si>
  <si>
    <t>热带山地</t>
  </si>
  <si>
    <t>干燥</t>
  </si>
  <si>
    <t>湿润</t>
  </si>
  <si>
    <t>潮湿</t>
  </si>
  <si>
    <t>高活性粘土</t>
  </si>
  <si>
    <t>低活性粘土</t>
  </si>
  <si>
    <t>砂壤</t>
  </si>
  <si>
    <t>灰壤</t>
  </si>
  <si>
    <t>火山壤</t>
  </si>
  <si>
    <t>湿地土</t>
  </si>
  <si>
    <t>其他土壤</t>
  </si>
  <si>
    <t>请具体说明气候类型</t>
  </si>
  <si>
    <t>热带雨林</t>
  </si>
  <si>
    <t>热带湿润落叶林</t>
  </si>
  <si>
    <t>热带干旱林</t>
  </si>
  <si>
    <t>热带稀树林</t>
  </si>
  <si>
    <t>亚热带温热林</t>
  </si>
  <si>
    <t>亚热带干旱林</t>
  </si>
  <si>
    <t>亚热带干旱草原</t>
  </si>
  <si>
    <t>亚热带山地系统</t>
  </si>
  <si>
    <t>温带海洋林</t>
  </si>
  <si>
    <t>温带大陆林</t>
  </si>
  <si>
    <t>温带山地系统</t>
  </si>
  <si>
    <t>热带山地系统</t>
  </si>
  <si>
    <t>森林区1</t>
  </si>
  <si>
    <t>森林区2</t>
  </si>
  <si>
    <t>森林区3</t>
  </si>
  <si>
    <t>森林区4</t>
  </si>
  <si>
    <t>人工林区1</t>
  </si>
  <si>
    <t>人工林区2</t>
  </si>
  <si>
    <t>人工林区3</t>
  </si>
  <si>
    <t>人工林区4</t>
  </si>
  <si>
    <t>选择植被</t>
  </si>
  <si>
    <t>否</t>
  </si>
  <si>
    <t>是</t>
  </si>
  <si>
    <t>选择砍伐后用途</t>
  </si>
  <si>
    <t>一年生作物</t>
  </si>
  <si>
    <t>多年生/木本作物</t>
  </si>
  <si>
    <t>水作稻</t>
  </si>
  <si>
    <t>休耕</t>
  </si>
  <si>
    <t>草场</t>
  </si>
  <si>
    <t>退化</t>
  </si>
  <si>
    <t>其他（名义）</t>
  </si>
  <si>
    <t>其他（退化）</t>
  </si>
  <si>
    <t>选择原用途</t>
  </si>
  <si>
    <t>多年生/木本作物（&lt;5年）</t>
  </si>
  <si>
    <t>多年生/木本作物（6-10年）</t>
  </si>
  <si>
    <t>多年生/木本作物（&gt;10年）</t>
  </si>
  <si>
    <t>退化土地</t>
  </si>
  <si>
    <t>选择土地原始用途</t>
  </si>
  <si>
    <t>其他土地</t>
  </si>
  <si>
    <t>选择土地最终用途</t>
  </si>
  <si>
    <t>填写土地原始用途</t>
  </si>
  <si>
    <t>填写土地最终用途</t>
  </si>
  <si>
    <t>请选择水分管理模式</t>
  </si>
  <si>
    <t>灌溉——持续漫灌</t>
  </si>
  <si>
    <t>灌溉——间歇漫灌</t>
  </si>
  <si>
    <t>雨育和深水</t>
  </si>
  <si>
    <t>请选择季节前水分管理模式</t>
  </si>
  <si>
    <t>季节前非漫灌期&lt;180天</t>
  </si>
  <si>
    <t>季节前非漫灌期&gt;180天</t>
  </si>
  <si>
    <t>季节前漫灌期（&gt;30天）</t>
  </si>
  <si>
    <t>请选择有机物改良类型</t>
  </si>
  <si>
    <t>秸秆燃烧</t>
  </si>
  <si>
    <t>秸秆移除</t>
  </si>
  <si>
    <t>种植前短期（&lt;30天）秸秆还田</t>
  </si>
  <si>
    <t>种植前长期（&gt;30天）秸秆还田</t>
  </si>
  <si>
    <t>堆肥</t>
  </si>
  <si>
    <t>农家肥</t>
  </si>
  <si>
    <t>绿肥</t>
  </si>
  <si>
    <t>山羊</t>
  </si>
  <si>
    <t>骆驼</t>
  </si>
  <si>
    <t>马</t>
  </si>
  <si>
    <t>骡和驴</t>
  </si>
  <si>
    <t>禽</t>
  </si>
  <si>
    <t>鹿</t>
  </si>
  <si>
    <t>羊驼</t>
  </si>
  <si>
    <t>未退化</t>
  </si>
  <si>
    <t>重度退化</t>
  </si>
  <si>
    <t>中度退化</t>
  </si>
  <si>
    <t>无投入品管理改良</t>
  </si>
  <si>
    <t>有投入品管理改良</t>
  </si>
  <si>
    <t>选择状态</t>
  </si>
  <si>
    <t>选择水平</t>
  </si>
  <si>
    <t>无</t>
  </si>
  <si>
    <t>极低</t>
  </si>
  <si>
    <t>低</t>
  </si>
  <si>
    <t>中</t>
  </si>
  <si>
    <t>大</t>
  </si>
  <si>
    <t>极大</t>
  </si>
  <si>
    <t>无灌溉径流回水系统的地表</t>
  </si>
  <si>
    <t>有灌溉径流回水系统的地表</t>
  </si>
  <si>
    <t>固定式喷灌</t>
  </si>
  <si>
    <t>永久性喷灌</t>
  </si>
  <si>
    <t>手工移动喷灌</t>
  </si>
  <si>
    <t>固定卷盘式喷灌</t>
  </si>
  <si>
    <t>圆形喷灌</t>
  </si>
  <si>
    <t>自走式喷灌</t>
  </si>
  <si>
    <t>滴灌</t>
  </si>
  <si>
    <t>房舍（砖混）</t>
  </si>
  <si>
    <t>农用建筑（砖混）</t>
  </si>
  <si>
    <t>农用建筑（金属）</t>
  </si>
  <si>
    <t>工业建筑（砖混）</t>
  </si>
  <si>
    <t>工业建筑（金属）</t>
  </si>
  <si>
    <t>车库（砖混）</t>
  </si>
  <si>
    <t>车库（金属）</t>
  </si>
  <si>
    <t>办公用房（砖混）</t>
  </si>
  <si>
    <t>办公用房（金属）</t>
  </si>
  <si>
    <t>其他（砖混）</t>
  </si>
  <si>
    <t>其他（金属）</t>
  </si>
  <si>
    <t>中交通量道路（混凝土）</t>
  </si>
  <si>
    <t>中交通量道路（沥青）</t>
  </si>
  <si>
    <t>高交通量道路（混凝土）</t>
  </si>
  <si>
    <t>高交通量道路（沥青）</t>
  </si>
  <si>
    <t>官方（第1时段2008-2012）</t>
  </si>
  <si>
    <t>官方（第2时段2013-2020）</t>
  </si>
  <si>
    <t>GWP100最新更新（IPCC-2013）</t>
  </si>
  <si>
    <t>非主要</t>
  </si>
  <si>
    <t>非土壤</t>
  </si>
  <si>
    <t>？</t>
  </si>
  <si>
    <t>美洲</t>
  </si>
  <si>
    <t>亚洲</t>
  </si>
  <si>
    <t>澳大利亚和新西兰</t>
  </si>
  <si>
    <t>加勒比</t>
  </si>
  <si>
    <t>中亚</t>
  </si>
  <si>
    <t>东非</t>
  </si>
  <si>
    <t>东亚</t>
  </si>
  <si>
    <t>欧洲</t>
  </si>
  <si>
    <t>欧盟</t>
  </si>
  <si>
    <t>美拉尼西亚</t>
  </si>
  <si>
    <t>密克罗尼西亚</t>
  </si>
  <si>
    <t>中部非洲</t>
  </si>
  <si>
    <t>北部非洲</t>
  </si>
  <si>
    <t>北欧</t>
  </si>
  <si>
    <t>波利尼西亚</t>
  </si>
  <si>
    <t>东南亚</t>
  </si>
  <si>
    <t>南部非洲</t>
  </si>
  <si>
    <t>南亚</t>
  </si>
  <si>
    <t>南欧</t>
  </si>
  <si>
    <t>西非</t>
  </si>
  <si>
    <t>西亚</t>
  </si>
  <si>
    <t>世界</t>
  </si>
  <si>
    <t>香蕉</t>
  </si>
  <si>
    <t>大麦</t>
  </si>
  <si>
    <t>豆类，干</t>
  </si>
  <si>
    <t>豆类，青</t>
  </si>
  <si>
    <t>胡萝卜和萝卜</t>
  </si>
  <si>
    <t>腰果，带壳</t>
  </si>
  <si>
    <t>木薯</t>
  </si>
  <si>
    <t>花椰菜和西兰花</t>
  </si>
  <si>
    <t>谷物（折合碾米）</t>
  </si>
  <si>
    <t>谷物，他处未涉及者</t>
  </si>
  <si>
    <t>板栗</t>
  </si>
  <si>
    <t>柑橘，他处未涉及者</t>
  </si>
  <si>
    <t>咖啡，青</t>
  </si>
  <si>
    <t>豇豆，干</t>
  </si>
  <si>
    <t>椰枣</t>
  </si>
  <si>
    <t>茄子</t>
  </si>
  <si>
    <t>纤维作物，他处未涉及者</t>
  </si>
  <si>
    <t>西柚（含柚子）</t>
  </si>
  <si>
    <t>葡萄</t>
  </si>
  <si>
    <t>椰子，带壳</t>
  </si>
  <si>
    <t>豆科蔬菜，他处未涉及者</t>
  </si>
  <si>
    <t>亚麻籽</t>
  </si>
  <si>
    <t>玉米</t>
  </si>
  <si>
    <t>玉米，青</t>
  </si>
  <si>
    <t>芒果、山竹、番石榴</t>
  </si>
  <si>
    <t>马黛茶</t>
  </si>
  <si>
    <t>小米</t>
  </si>
  <si>
    <t>燕麦</t>
  </si>
  <si>
    <t>油棕果</t>
  </si>
  <si>
    <t>橄榄</t>
  </si>
  <si>
    <t>洋葱，干</t>
  </si>
  <si>
    <t>橙子</t>
  </si>
  <si>
    <t>桃和油桃</t>
  </si>
  <si>
    <t>豌豆，干</t>
  </si>
  <si>
    <t>豌豆，青</t>
  </si>
  <si>
    <t>菠萝</t>
  </si>
  <si>
    <t>大蕉</t>
  </si>
  <si>
    <t>马铃薯</t>
  </si>
  <si>
    <t>杂豆，他处未涉及者</t>
  </si>
  <si>
    <t>藜麦</t>
  </si>
  <si>
    <t>稻米，稻谷</t>
  </si>
  <si>
    <t>根茎作物，他处未涉及者</t>
  </si>
  <si>
    <t>黑麦</t>
  </si>
  <si>
    <t>籽棉</t>
  </si>
  <si>
    <t>芝麻</t>
  </si>
  <si>
    <t>剑麻</t>
  </si>
  <si>
    <t>高粱</t>
  </si>
  <si>
    <t>大豆</t>
  </si>
  <si>
    <t>草莓</t>
  </si>
  <si>
    <t>甜菜</t>
  </si>
  <si>
    <t>甘蔗</t>
  </si>
  <si>
    <t>葵花籽</t>
  </si>
  <si>
    <t>甘薯</t>
  </si>
  <si>
    <t>柑橘、芦柑、蜜桔</t>
  </si>
  <si>
    <t>茶</t>
  </si>
  <si>
    <t>烟草，未加工</t>
  </si>
  <si>
    <t>西红柿</t>
  </si>
  <si>
    <t>小黑麦</t>
  </si>
  <si>
    <t>鲜蔬菜，他处未涉及者</t>
  </si>
  <si>
    <t>野豌豆</t>
  </si>
  <si>
    <t>小麦</t>
  </si>
  <si>
    <t>(Les valeurs par défaut sont fournis pour votre information seulement,EX-ACT utilisera les valeurs de niveau 2 automatiquement dès qu'elles sont spécifiées)</t>
  </si>
  <si>
    <t>排放系数</t>
  </si>
  <si>
    <t>单位</t>
  </si>
  <si>
    <t>Le retrait de CO2 de l'atmosphère lors de la fabrication de l'urée est estimé dans le secteur des  procédés industriels par le pays où l'urée est produite.</t>
  </si>
  <si>
    <t>平均</t>
  </si>
  <si>
    <t>Pourcentage (surface) occupé par des fossés</t>
  </si>
  <si>
    <t>Surfaces d'extraction de la tourbe</t>
  </si>
  <si>
    <t>Hauteur d'extraction (cm)</t>
  </si>
  <si>
    <t>Quantité de  tourbe produite (t / an)</t>
  </si>
  <si>
    <t>5.2.3. Réhumidification des sols organiques (tourbières)</t>
  </si>
  <si>
    <t>Initial = Final: Vérifiez!</t>
  </si>
  <si>
    <t>Final=Inicial: Compruebe!</t>
  </si>
  <si>
    <t>最终=原始：核对！</t>
  </si>
  <si>
    <t xml:space="preserve">Конечное=Исходное: </t>
  </si>
  <si>
    <t>نهائي=مبدئي: فحص!</t>
  </si>
  <si>
    <t>(S=yes/N=no)</t>
  </si>
  <si>
    <t xml:space="preserve">Zona 1 = </t>
  </si>
  <si>
    <t>Vùng 1=</t>
  </si>
  <si>
    <t xml:space="preserve">Zona 2 = </t>
  </si>
  <si>
    <t>Vùng 2=</t>
  </si>
  <si>
    <t xml:space="preserve">Zona 3 = </t>
  </si>
  <si>
    <t>Vùng 3=</t>
  </si>
  <si>
    <t xml:space="preserve">Zona 4 = </t>
  </si>
  <si>
    <t>Vùng 4=</t>
  </si>
  <si>
    <t>* SRE = Sistema de Retorno via Escoamento</t>
  </si>
  <si>
    <t>*IRSS = Irrigation Runoff Return System</t>
  </si>
  <si>
    <t>Positivo = Fonte / negativo = Sumidouro</t>
  </si>
  <si>
    <t>Positiv = Emissionsquelle / negativ = Sequestration</t>
  </si>
  <si>
    <t>Positif = sumber / negatif = penyerapan</t>
  </si>
  <si>
    <t>Dương=nguồn phát thải/ Âm=nguồn hấp thụ</t>
  </si>
  <si>
    <t>ETP=Evapo-Transpiração Potencial</t>
  </si>
  <si>
    <t>PET=Potensi Evapotranspirasi</t>
  </si>
  <si>
    <t>PET=Độ bốc hơi nước tiềm năng</t>
  </si>
  <si>
    <t>Fator de Emissões diárias para o Arroz (FE) = FE-Base x FE-Pré-temporada x FE-Cultivo x FE Insumos Org.</t>
  </si>
  <si>
    <t>Tägliocher Emissionfaktor (EF) für Nassreis= EF-Baseline x EF-Vorsaison x EF-Anbausaison x EF-organische Inputs</t>
  </si>
  <si>
    <t xml:space="preserve">Faktor emisi harian untuk Beras/Sawah (EF) = EF-Dasar × EF-Sebelum × EF-Selama × EF-Modifikasi Organik </t>
  </si>
  <si>
    <t>Yếu tố phát thải hàng ngày đối với lúa (EF)=EF-Đường cơ sở x EF-trước dự án x EF-trong thời gian thực hiên dự án x EF-Chất độn hữu cơ</t>
  </si>
  <si>
    <t>100%=IUC padrão (ver Tier 2)</t>
  </si>
  <si>
    <t>100% = FUI công bố xem Tier2)</t>
  </si>
  <si>
    <t>No till &amp; residue retention</t>
  </si>
  <si>
    <t>Reduzierte Bodenbearbeitung &amp; Einarbeitung von Ernterückständen</t>
  </si>
  <si>
    <t>NoTill. &amp; manajemen residu</t>
  </si>
  <si>
    <t>Manejo da palha &amp; Plantio direito</t>
  </si>
  <si>
    <t>粮农组织对数据库或软件或有关附属文件的误差或缺失、对程序维护和升级以及可能由此造成的损害均不负任何责任。粮农组织对数据的更新不负有任何责任，对所提供数据中的误差和疏失也不承担责任。但谨请用户将在本产品中发现的误差和缺失向粮农组织进行报告。</t>
    <phoneticPr fontId="8" type="noConversion"/>
  </si>
  <si>
    <t>本工具中对计算方法的选择是由各位原作者做出的，未必反映联合国粮食及农业组织的观点和选择。</t>
    <phoneticPr fontId="8" type="noConversion"/>
  </si>
  <si>
    <t>粮农组织鼓励对本产品的内容加以使用、复制和传播。除另有说明之外，可以复制、下载和印制有关材料用于个人学习、研究和教学目的，或在非商业性产品或服务中加以使用，条件是应对粮农组织作为资料来源和版权所有人予以必要说明，且不得以任何方式做出粮农组织赞同使用者的观点、产品或服务的暗示。有关翻译和改编权以及再销售和其他商业使用权的请求应通过www.fao.org/contact-us/licence-request联系，或致函copyright@fao.org。</t>
    <phoneticPr fontId="8" type="noConversion"/>
  </si>
  <si>
    <t>项目名称</t>
    <phoneticPr fontId="8" type="noConversion"/>
  </si>
  <si>
    <t>大陆</t>
    <phoneticPr fontId="8" type="noConversion"/>
  </si>
  <si>
    <t>气候</t>
    <phoneticPr fontId="8" type="noConversion"/>
  </si>
  <si>
    <t>湿度状况</t>
    <phoneticPr fontId="8" type="noConversion"/>
  </si>
  <si>
    <t>主要区域土壤类型</t>
    <phoneticPr fontId="8" type="noConversion"/>
  </si>
  <si>
    <t>项目期间（年）</t>
    <phoneticPr fontId="8" type="noConversion"/>
  </si>
  <si>
    <t>实施阶段</t>
    <phoneticPr fontId="8" type="noConversion"/>
  </si>
  <si>
    <t>收效阶段</t>
    <phoneticPr fontId="8" type="noConversion"/>
  </si>
  <si>
    <t>核算期间</t>
    <phoneticPr fontId="8" type="noConversion"/>
  </si>
  <si>
    <t>气候？</t>
    <phoneticPr fontId="8" type="noConversion"/>
  </si>
  <si>
    <t>土壤？</t>
    <phoneticPr fontId="8" type="noConversion"/>
  </si>
  <si>
    <t>森林砍伐</t>
    <phoneticPr fontId="8" type="noConversion"/>
  </si>
  <si>
    <t>农业生态区划图</t>
    <phoneticPr fontId="8" type="noConversion"/>
  </si>
  <si>
    <t>将要砍伐的</t>
    <phoneticPr fontId="8" type="noConversion"/>
  </si>
  <si>
    <t>植被类型</t>
    <phoneticPr fontId="8" type="noConversion"/>
  </si>
  <si>
    <t>采伐的木材产品#</t>
    <phoneticPr fontId="8" type="noConversion"/>
  </si>
  <si>
    <t>用火？</t>
    <phoneticPr fontId="8" type="noConversion"/>
  </si>
  <si>
    <t>砍伐后最终用途</t>
    <phoneticPr fontId="8" type="noConversion"/>
  </si>
  <si>
    <t>造林面积（公顷）</t>
    <phoneticPr fontId="8" type="noConversion"/>
  </si>
  <si>
    <t>森林砍伐面积（公顷）</t>
    <phoneticPr fontId="8" type="noConversion"/>
  </si>
  <si>
    <t>余额</t>
    <phoneticPr fontId="8" type="noConversion"/>
  </si>
  <si>
    <t>（干物质吨数/公顷）</t>
  </si>
  <si>
    <t>（是/否）</t>
    <phoneticPr fontId="8" type="noConversion"/>
  </si>
  <si>
    <t>#采伐的木材产品</t>
    <phoneticPr fontId="8" type="noConversion"/>
  </si>
  <si>
    <t>森林砍伐总量</t>
    <phoneticPr fontId="8" type="noConversion"/>
  </si>
  <si>
    <t>开始</t>
    <phoneticPr fontId="8" type="noConversion"/>
  </si>
  <si>
    <t>无</t>
    <phoneticPr fontId="8" type="noConversion"/>
  </si>
  <si>
    <t>有</t>
    <phoneticPr fontId="8" type="noConversion"/>
  </si>
  <si>
    <t>1区=</t>
    <phoneticPr fontId="8" type="noConversion"/>
  </si>
  <si>
    <t>2区=</t>
    <phoneticPr fontId="8" type="noConversion"/>
  </si>
  <si>
    <t>3区=</t>
    <phoneticPr fontId="8" type="noConversion"/>
  </si>
  <si>
    <t>4区=</t>
    <phoneticPr fontId="8" type="noConversion"/>
  </si>
  <si>
    <t>2.2.人工林和再造林</t>
    <phoneticPr fontId="8" type="noConversion"/>
  </si>
  <si>
    <t>前期土地用途</t>
    <phoneticPr fontId="8" type="noConversion"/>
  </si>
  <si>
    <t>将进行人工造林或再造林的面积</t>
    <phoneticPr fontId="8" type="noConversion"/>
  </si>
  <si>
    <t>人工林/再造林总量</t>
    <phoneticPr fontId="8" type="noConversion"/>
  </si>
  <si>
    <t>2.3.其他土地用途变化</t>
    <phoneticPr fontId="8" type="noConversion"/>
  </si>
  <si>
    <t>填写说明</t>
    <phoneticPr fontId="8" type="noConversion"/>
  </si>
  <si>
    <t>起始土地用途</t>
    <phoneticPr fontId="8" type="noConversion"/>
  </si>
  <si>
    <t>最终土地用途</t>
    <phoneticPr fontId="8" type="noConversion"/>
  </si>
  <si>
    <t>讯息</t>
    <phoneticPr fontId="8" type="noConversion"/>
  </si>
  <si>
    <t>改造面积（公顷）</t>
    <phoneticPr fontId="8" type="noConversion"/>
  </si>
  <si>
    <t>其他土地用途变化总量</t>
    <phoneticPr fontId="8" type="noConversion"/>
  </si>
  <si>
    <t>您已说明您在采用下列植被类型</t>
    <phoneticPr fontId="8" type="noConversion"/>
  </si>
  <si>
    <t>若您希望对第2层系数进行更精准分析则使用这一部分</t>
    <phoneticPr fontId="8" type="noConversion"/>
  </si>
  <si>
    <t>所有数值均按每公顷总碳计算（tC/ha）</t>
    <phoneticPr fontId="8" type="noConversion"/>
  </si>
  <si>
    <t>地面以上</t>
    <phoneticPr fontId="8" type="noConversion"/>
  </si>
  <si>
    <t>地面以下</t>
    <phoneticPr fontId="8" type="noConversion"/>
  </si>
  <si>
    <t>枯枝落叶层</t>
    <phoneticPr fontId="8" type="noConversion"/>
  </si>
  <si>
    <t>死树</t>
    <phoneticPr fontId="8" type="noConversion"/>
  </si>
  <si>
    <t>土壤碳</t>
    <phoneticPr fontId="8" type="noConversion"/>
  </si>
  <si>
    <t>第2层</t>
    <phoneticPr fontId="8" type="noConversion"/>
  </si>
  <si>
    <t>将人工种植的</t>
    <phoneticPr fontId="8" type="noConversion"/>
  </si>
  <si>
    <t>20年龄以下系统的生长速度</t>
    <phoneticPr fontId="8" type="noConversion"/>
  </si>
  <si>
    <t>20年龄以上系统的生长速度</t>
    <phoneticPr fontId="8" type="noConversion"/>
  </si>
  <si>
    <t>生物质（第一年）</t>
  </si>
  <si>
    <t>3.1.一年生系统（棉花或甘蔗等多年生系统也将采用）</t>
    <phoneticPr fontId="8" type="noConversion"/>
  </si>
  <si>
    <t>3.1.1.转变自其他土地用途或转变为其他土地用途的一年生系统（请填写步骤2.前期土地用途变化）</t>
    <phoneticPr fontId="8" type="noConversion"/>
  </si>
  <si>
    <t>单产？</t>
    <phoneticPr fontId="8" type="noConversion"/>
  </si>
  <si>
    <t>说明</t>
    <phoneticPr fontId="8" type="noConversion"/>
  </si>
  <si>
    <t>改良后的农艺实践</t>
    <phoneticPr fontId="8" type="noConversion"/>
  </si>
  <si>
    <t>养分管理</t>
    <phoneticPr fontId="8" type="noConversion"/>
  </si>
  <si>
    <t>免耕/残留物管理</t>
    <phoneticPr fontId="8" type="noConversion"/>
  </si>
  <si>
    <t>水分管理</t>
    <phoneticPr fontId="8" type="noConversion"/>
  </si>
  <si>
    <t>粪肥施用</t>
    <phoneticPr fontId="8" type="noConversion"/>
  </si>
  <si>
    <t>单产</t>
    <phoneticPr fontId="8" type="noConversion"/>
  </si>
  <si>
    <t>定义？</t>
    <phoneticPr fontId="8" type="noConversion"/>
  </si>
  <si>
    <t>面积（公顷）</t>
    <phoneticPr fontId="8" type="noConversion"/>
  </si>
  <si>
    <t>残留物或生物质焚烧</t>
    <phoneticPr fontId="8" type="noConversion"/>
  </si>
  <si>
    <t>森林砍伐后一年生</t>
    <phoneticPr fontId="8" type="noConversion"/>
  </si>
  <si>
    <t>转变为A/R</t>
    <phoneticPr fontId="8" type="noConversion"/>
  </si>
  <si>
    <t>非森林土地用途后一年生</t>
    <phoneticPr fontId="8" type="noConversion"/>
  </si>
  <si>
    <t>转变为其他土地用途</t>
    <phoneticPr fontId="8" type="noConversion"/>
  </si>
  <si>
    <t>3.1.2 一年生系统维持一年生系统（总面积必须保持一致）</t>
    <phoneticPr fontId="8" type="noConversion"/>
  </si>
  <si>
    <t>总量（公顷）</t>
    <phoneticPr fontId="8" type="noConversion"/>
  </si>
  <si>
    <t>一年生系统总量</t>
    <phoneticPr fontId="8" type="noConversion"/>
  </si>
  <si>
    <t>3.2. 多年生系统（农用林业、果园、木本作物……）</t>
    <phoneticPr fontId="8" type="noConversion"/>
  </si>
  <si>
    <t>转变自其他土地用途变化或转变为其他土地用途的多年生系统（请填写步骤2. 前期土地用途变化）</t>
    <phoneticPr fontId="8" type="noConversion"/>
  </si>
  <si>
    <t>森林砍伐后多年生</t>
    <phoneticPr fontId="8" type="noConversion"/>
  </si>
  <si>
    <t>非森林土地用途后多年生</t>
    <phoneticPr fontId="8" type="noConversion"/>
  </si>
  <si>
    <t>多年生系统总量</t>
    <phoneticPr fontId="8" type="noConversion"/>
  </si>
  <si>
    <t>3.2.2.多年生系统维持多年生系统（总面积必须保持一致）</t>
    <phoneticPr fontId="8" type="noConversion"/>
  </si>
  <si>
    <t>水作稻系统</t>
    <phoneticPr fontId="8" type="noConversion"/>
  </si>
  <si>
    <t>转变自其它土地用途变化或转变为其他土地用途的水作稻系统（请填写步骤2.前期土地用途变化）</t>
    <phoneticPr fontId="8" type="noConversion"/>
  </si>
  <si>
    <t>耕作期（日）</t>
    <phoneticPr fontId="8" type="noConversion"/>
  </si>
  <si>
    <t>耕作期期间</t>
    <phoneticPr fontId="8" type="noConversion"/>
  </si>
  <si>
    <t>耕作期之前</t>
    <phoneticPr fontId="8" type="noConversion"/>
  </si>
  <si>
    <t>有机物改良类型（秸秆或其他）</t>
    <phoneticPr fontId="8" type="noConversion"/>
  </si>
  <si>
    <t>水作稻系统维持水作稻系统（总面积必须保持一致）</t>
    <phoneticPr fontId="8" type="noConversion"/>
  </si>
  <si>
    <t>水作稻系统总量</t>
    <phoneticPr fontId="8" type="noConversion"/>
  </si>
  <si>
    <t>森林砍伐后稻作</t>
    <phoneticPr fontId="8" type="noConversion"/>
  </si>
  <si>
    <t>非森林土地用途后稻作</t>
    <phoneticPr fontId="8" type="noConversion"/>
  </si>
  <si>
    <t>系统</t>
    <phoneticPr fontId="8" type="noConversion"/>
  </si>
  <si>
    <t>土壤固碳率</t>
    <phoneticPr fontId="8" type="noConversion"/>
  </si>
  <si>
    <t>可供焚烧的残留物/生物质</t>
    <phoneticPr fontId="8" type="noConversion"/>
  </si>
  <si>
    <t>转变自（或转变为）其他土地用途的一年生系统</t>
    <phoneticPr fontId="8" type="noConversion"/>
  </si>
  <si>
    <t>一年生系统维持一年生系统</t>
    <phoneticPr fontId="8" type="noConversion"/>
  </si>
  <si>
    <t>焚烧（残留物数量和周律）</t>
    <phoneticPr fontId="8" type="noConversion"/>
  </si>
  <si>
    <t>周律（年）</t>
    <phoneticPr fontId="8" type="noConversion"/>
  </si>
  <si>
    <t>转变自（或转变为）其他土地用途的多年生系统</t>
    <phoneticPr fontId="8" type="noConversion"/>
  </si>
  <si>
    <t>多年生系统维持多年生系统</t>
    <phoneticPr fontId="8" type="noConversion"/>
  </si>
  <si>
    <t>秸秆焚烧数量</t>
    <phoneticPr fontId="8" type="noConversion"/>
  </si>
  <si>
    <t>转变自（或转变为）其他土地用途的稻作系统</t>
    <phoneticPr fontId="8" type="noConversion"/>
  </si>
  <si>
    <t>稻作系统维持稻作系统</t>
    <phoneticPr fontId="8" type="noConversion"/>
  </si>
  <si>
    <t>进行稻作前的水分管理（图示，灰色部分表示漫灌期）</t>
    <phoneticPr fontId="8" type="noConversion"/>
  </si>
  <si>
    <t>季节前非漫灌期&lt;180天</t>
    <phoneticPr fontId="8" type="noConversion"/>
  </si>
  <si>
    <t>季节前非漫灌期&gt;180天</t>
    <phoneticPr fontId="8" type="noConversion"/>
  </si>
  <si>
    <t>季节前漫灌期（&gt;30天）</t>
    <phoneticPr fontId="8" type="noConversion"/>
  </si>
  <si>
    <t>管理方案</t>
    <phoneticPr fontId="8" type="noConversion"/>
  </si>
  <si>
    <t>（吨/公顷/年）</t>
    <phoneticPr fontId="8" type="noConversion"/>
  </si>
  <si>
    <t>土地管理方案定义</t>
    <phoneticPr fontId="8" type="noConversion"/>
  </si>
  <si>
    <t>使用良种、推广轮作、增加作物残留物</t>
    <phoneticPr fontId="8" type="noConversion"/>
  </si>
  <si>
    <t>提高氮利用率并降低谈损失：微量施肥、调整施用率、施肥时机和地点等……</t>
    <phoneticPr fontId="8" type="noConversion"/>
  </si>
  <si>
    <t>少耕或免耕法的采用，覆盖或不覆盖，包括保护性耕作</t>
    <phoneticPr fontId="8" type="noConversion"/>
  </si>
  <si>
    <t>有效灌溉措施</t>
    <phoneticPr fontId="8" type="noConversion"/>
  </si>
  <si>
    <t>粪肥或有机固态肥作物投入品在田间施用</t>
    <phoneticPr fontId="8" type="noConversion"/>
  </si>
  <si>
    <t>草场系统</t>
    <phoneticPr fontId="8" type="noConversion"/>
  </si>
  <si>
    <t>转变自其它土地用途或转变为其它土地用途的草场系统（请填写步骤2.前期土地用途变化）</t>
    <phoneticPr fontId="8" type="noConversion"/>
  </si>
  <si>
    <t>草场系统维持草场系统（总面积必须保持一致）</t>
    <phoneticPr fontId="8" type="noConversion"/>
  </si>
  <si>
    <t>起始状态</t>
    <phoneticPr fontId="8" type="noConversion"/>
  </si>
  <si>
    <t>管理用火</t>
    <phoneticPr fontId="8" type="noConversion"/>
  </si>
  <si>
    <t>总排放量</t>
    <phoneticPr fontId="8" type="noConversion"/>
  </si>
  <si>
    <t>（年）</t>
    <phoneticPr fontId="8" type="noConversion"/>
  </si>
  <si>
    <t>周律</t>
    <phoneticPr fontId="8" type="noConversion"/>
  </si>
  <si>
    <t>无项目</t>
    <phoneticPr fontId="8" type="noConversion"/>
  </si>
  <si>
    <t>有项目</t>
    <phoneticPr fontId="8" type="noConversion"/>
  </si>
  <si>
    <t>森林砍伐后草场</t>
    <phoneticPr fontId="8" type="noConversion"/>
  </si>
  <si>
    <t>非森林土地用途后草场</t>
    <phoneticPr fontId="8" type="noConversion"/>
  </si>
  <si>
    <t>转变为其它土地用途</t>
    <phoneticPr fontId="8" type="noConversion"/>
  </si>
  <si>
    <t>草场最终状态</t>
    <phoneticPr fontId="8" type="noConversion"/>
  </si>
  <si>
    <t>草场系统总量</t>
    <phoneticPr fontId="8" type="noConversion"/>
  </si>
  <si>
    <t>4.2.牲畜（和粪肥管理）</t>
    <phoneticPr fontId="8" type="noConversion"/>
  </si>
  <si>
    <t>牲畜类别</t>
    <phoneticPr fontId="8" type="noConversion"/>
  </si>
  <si>
    <t>存栏量（年平均）</t>
    <phoneticPr fontId="8" type="noConversion"/>
  </si>
  <si>
    <t>技术缓解方案（%）</t>
    <phoneticPr fontId="8" type="noConversion"/>
  </si>
  <si>
    <t>产量（肉、奶等）</t>
    <phoneticPr fontId="8" type="noConversion"/>
  </si>
  <si>
    <t>饲喂方式*</t>
    <phoneticPr fontId="8" type="noConversion"/>
  </si>
  <si>
    <t>具体药剂*</t>
    <phoneticPr fontId="8" type="noConversion"/>
  </si>
  <si>
    <t>繁育*</t>
    <phoneticPr fontId="8" type="noConversion"/>
  </si>
  <si>
    <t>每年产品吨数</t>
    <phoneticPr fontId="8" type="noConversion"/>
  </si>
  <si>
    <t>奶牛</t>
    <phoneticPr fontId="8" type="noConversion"/>
  </si>
  <si>
    <t>其他牛</t>
    <phoneticPr fontId="8" type="noConversion"/>
  </si>
  <si>
    <t>水牛</t>
    <phoneticPr fontId="8" type="noConversion"/>
  </si>
  <si>
    <t>绵羊</t>
    <phoneticPr fontId="8" type="noConversion"/>
  </si>
  <si>
    <t>猪（上市）</t>
    <phoneticPr fontId="8" type="noConversion"/>
  </si>
  <si>
    <t>猪（繁育）</t>
    <phoneticPr fontId="8" type="noConversion"/>
  </si>
  <si>
    <t>饲喂方式：如更多浓缩料、饲料中添加某些油或油籽、改善草场质量……</t>
    <phoneticPr fontId="8" type="noConversion"/>
  </si>
  <si>
    <t>具体药剂：为减少甲烷排放而使用的具体药剂和饲料添加剂（离子载体、疫苗、生长激素……）</t>
    <phoneticPr fontId="8" type="noConversion"/>
  </si>
  <si>
    <t>繁育：通过繁育和改进管理方式提高生产率（减少小母牛更新数量）</t>
    <phoneticPr fontId="8" type="noConversion"/>
  </si>
  <si>
    <t>牲畜总量</t>
    <phoneticPr fontId="8" type="noConversion"/>
  </si>
  <si>
    <t>相应土壤碳存量</t>
    <phoneticPr fontId="8" type="noConversion"/>
  </si>
  <si>
    <t>未退化</t>
    <phoneticPr fontId="8" type="noConversion"/>
  </si>
  <si>
    <t>严重退化</t>
    <phoneticPr fontId="8" type="noConversion"/>
  </si>
  <si>
    <t>中度退化</t>
    <phoneticPr fontId="8" type="noConversion"/>
  </si>
  <si>
    <t>在未对投入品进行管理的情况下得到改善</t>
    <phoneticPr fontId="8" type="noConversion"/>
  </si>
  <si>
    <t>在对投入品进行管理的情况下得到改善</t>
    <phoneticPr fontId="8" type="noConversion"/>
  </si>
  <si>
    <t>燃烧</t>
    <phoneticPr fontId="8" type="noConversion"/>
  </si>
  <si>
    <t>燃烧前干物质释放量的%</t>
    <phoneticPr fontId="8" type="noConversion"/>
  </si>
  <si>
    <t>本区域年均气温（摄氏度）</t>
    <phoneticPr fontId="8" type="noConversion"/>
  </si>
  <si>
    <t>气温影响粪肥管理的排放</t>
    <phoneticPr fontId="8" type="noConversion"/>
  </si>
  <si>
    <t>区域“类型”</t>
    <phoneticPr fontId="8" type="noConversion"/>
  </si>
  <si>
    <t>（请尽量选择）</t>
    <phoneticPr fontId="8" type="noConversion"/>
  </si>
  <si>
    <t>粪肥一氧化二氮排放系数</t>
    <phoneticPr fontId="8" type="noConversion"/>
  </si>
  <si>
    <t>（kg N-N20/kg N）</t>
    <phoneticPr fontId="8" type="noConversion"/>
  </si>
  <si>
    <t>草场、牧场和围场</t>
    <phoneticPr fontId="8" type="noConversion"/>
  </si>
  <si>
    <t>其他</t>
    <phoneticPr fontId="8" type="noConversion"/>
  </si>
  <si>
    <t>肠胃发酵</t>
    <phoneticPr fontId="8" type="noConversion"/>
  </si>
  <si>
    <t>（甲烷公斤/只/年）</t>
    <phoneticPr fontId="8" type="noConversion"/>
  </si>
  <si>
    <t>各种草场、牧场和围场系统的相应%</t>
    <phoneticPr fontId="8" type="noConversion"/>
  </si>
  <si>
    <t>粪肥管理排放的甲烷</t>
    <phoneticPr fontId="8" type="noConversion"/>
  </si>
  <si>
    <t>5.1.森林退化和管理</t>
    <phoneticPr fontId="8" type="noConversion"/>
  </si>
  <si>
    <t>植被的退化水平</t>
    <phoneticPr fontId="8" type="noConversion"/>
  </si>
  <si>
    <t>最后</t>
    <phoneticPr fontId="8" type="noConversion"/>
  </si>
  <si>
    <t>将退化的</t>
    <phoneticPr fontId="8" type="noConversion"/>
  </si>
  <si>
    <t>林火的发生和严重程度</t>
    <phoneticPr fontId="8" type="noConversion"/>
  </si>
  <si>
    <t>森林退化和管理总量</t>
    <phoneticPr fontId="8" type="noConversion"/>
  </si>
  <si>
    <t>（燃烧%）</t>
    <phoneticPr fontId="8" type="noConversion"/>
  </si>
  <si>
    <t>影响</t>
    <phoneticPr fontId="8" type="noConversion"/>
  </si>
  <si>
    <t>5.2.有机土壤（泥炭地）的退化</t>
    <phoneticPr fontId="8" type="noConversion"/>
  </si>
  <si>
    <t>5.2.1.有机土壤（泥炭地）的排水</t>
    <phoneticPr fontId="8" type="noConversion"/>
  </si>
  <si>
    <t>涉及排水的</t>
    <phoneticPr fontId="8" type="noConversion"/>
  </si>
  <si>
    <t>排水后有机土壤的面积（公顷）</t>
    <phoneticPr fontId="8" type="noConversion"/>
  </si>
  <si>
    <t>实施管理措施的森林</t>
    <phoneticPr fontId="8" type="noConversion"/>
  </si>
  <si>
    <t>一年生</t>
    <phoneticPr fontId="8" type="noConversion"/>
  </si>
  <si>
    <t>多年生</t>
    <phoneticPr fontId="8" type="noConversion"/>
  </si>
  <si>
    <t>草场</t>
    <phoneticPr fontId="8" type="noConversion"/>
  </si>
  <si>
    <t>排水总量</t>
    <phoneticPr fontId="8" type="noConversion"/>
  </si>
  <si>
    <t>5.2.2.主动泥炭采掘</t>
    <phoneticPr fontId="8" type="noConversion"/>
  </si>
  <si>
    <t>泥炭类型</t>
    <phoneticPr fontId="8" type="noConversion"/>
  </si>
  <si>
    <t>贫瘠泥炭</t>
    <phoneticPr fontId="8" type="noConversion"/>
  </si>
  <si>
    <t>养分肥沃</t>
    <phoneticPr fontId="8" type="noConversion"/>
  </si>
  <si>
    <t>采掘总量</t>
    <phoneticPr fontId="8" type="noConversion"/>
  </si>
  <si>
    <t>退化水平（丧失生物质的%）</t>
    <phoneticPr fontId="8" type="noConversion"/>
  </si>
  <si>
    <t>有机土壤排水造成的碳损失排放</t>
    <phoneticPr fontId="8" type="noConversion"/>
  </si>
  <si>
    <t>主动泥炭采掘的现场排放</t>
    <phoneticPr fontId="8" type="noConversion"/>
  </si>
  <si>
    <t>一氧化二氮排放系数（kg N20-N/公顷/年）</t>
    <phoneticPr fontId="8" type="noConversion"/>
  </si>
  <si>
    <t>6.1. 投入品（石灰、化肥、杀虫剂、除草剂……)</t>
    <phoneticPr fontId="8" type="noConversion"/>
  </si>
  <si>
    <t>说明和报告单位</t>
    <phoneticPr fontId="8" type="noConversion"/>
  </si>
  <si>
    <t>每年施用量</t>
    <phoneticPr fontId="8" type="noConversion"/>
  </si>
  <si>
    <t>石灰施肥</t>
    <phoneticPr fontId="8" type="noConversion"/>
  </si>
  <si>
    <t>石灰石（吨/年）</t>
    <phoneticPr fontId="8" type="noConversion"/>
  </si>
  <si>
    <t>白云石（吨/年）</t>
    <phoneticPr fontId="8" type="noConversion"/>
  </si>
  <si>
    <t>未说明（吨/年）</t>
    <phoneticPr fontId="8" type="noConversion"/>
  </si>
  <si>
    <t>化肥</t>
    <phoneticPr fontId="8" type="noConversion"/>
  </si>
  <si>
    <t>尿素（折合氮吨数/年——尿素含氮46.7%）</t>
    <phoneticPr fontId="8" type="noConversion"/>
  </si>
  <si>
    <t>其他氮肥（折合氮吨数/年）</t>
    <phoneticPr fontId="8" type="noConversion"/>
  </si>
  <si>
    <t>水作稻氮肥施用量（折合氮吨数/年）</t>
    <phoneticPr fontId="8" type="noConversion"/>
  </si>
  <si>
    <t>污水污泥（折合氮吨数/年）</t>
    <phoneticPr fontId="8" type="noConversion"/>
  </si>
  <si>
    <t>堆肥（折合氮吨数/年）</t>
    <phoneticPr fontId="8" type="noConversion"/>
  </si>
  <si>
    <t>磷肥（折合五氧化二磷吨数/年）</t>
    <phoneticPr fontId="8" type="noConversion"/>
  </si>
  <si>
    <t>钾肥（折合氧化钾吨数/年）</t>
    <phoneticPr fontId="8" type="noConversion"/>
  </si>
  <si>
    <t>杀虫剂</t>
    <phoneticPr fontId="8" type="noConversion"/>
  </si>
  <si>
    <t>除草剂（有效成分吨数/年）</t>
    <phoneticPr fontId="8" type="noConversion"/>
  </si>
  <si>
    <t>杀昆虫剂（有效成分吨数/年）</t>
    <phoneticPr fontId="8" type="noConversion"/>
  </si>
  <si>
    <t>杀真菌剂（有效成分吨数/年）</t>
    <phoneticPr fontId="8" type="noConversion"/>
  </si>
  <si>
    <t>来自投入品的总量</t>
    <phoneticPr fontId="8" type="noConversion"/>
  </si>
  <si>
    <t>二氧化碳排放</t>
    <phoneticPr fontId="8" type="noConversion"/>
  </si>
  <si>
    <t>一氧化二氮排放</t>
    <phoneticPr fontId="8" type="noConversion"/>
  </si>
  <si>
    <t>6.2.能源消耗（电力、燃料……）</t>
    <phoneticPr fontId="8" type="noConversion"/>
  </si>
  <si>
    <t>每年消耗数量</t>
    <phoneticPr fontId="8" type="noConversion"/>
  </si>
  <si>
    <t>电力（兆瓦时/年）</t>
    <phoneticPr fontId="8" type="noConversion"/>
  </si>
  <si>
    <t>（请在英文清单中选择）</t>
    <phoneticPr fontId="8" type="noConversion"/>
  </si>
  <si>
    <t>液态或气态（立方米/年）</t>
    <phoneticPr fontId="8" type="noConversion"/>
  </si>
  <si>
    <t>轻油/柴油</t>
    <phoneticPr fontId="8" type="noConversion"/>
  </si>
  <si>
    <t>汽油</t>
    <phoneticPr fontId="8" type="noConversion"/>
  </si>
  <si>
    <t>燃气（液化石油气/天然气）</t>
    <phoneticPr fontId="8" type="noConversion"/>
  </si>
  <si>
    <t>丁烷</t>
    <phoneticPr fontId="8" type="noConversion"/>
  </si>
  <si>
    <t>丙烷</t>
    <phoneticPr fontId="8" type="noConversion"/>
  </si>
  <si>
    <t>乙醇</t>
    <phoneticPr fontId="8" type="noConversion"/>
  </si>
  <si>
    <t>用户定义（第2层）</t>
    <phoneticPr fontId="8" type="noConversion"/>
  </si>
  <si>
    <t>固态（干物质吨数/年）</t>
    <phoneticPr fontId="8" type="noConversion"/>
  </si>
  <si>
    <t>木头</t>
    <phoneticPr fontId="8" type="noConversion"/>
  </si>
  <si>
    <t>泥炭</t>
    <phoneticPr fontId="8" type="noConversion"/>
  </si>
  <si>
    <t>来自能源的总量</t>
    <phoneticPr fontId="8" type="noConversion"/>
  </si>
  <si>
    <t>6.3 新基础设施建设（灌溉系统、建筑物、道路）</t>
    <phoneticPr fontId="8" type="noConversion"/>
  </si>
  <si>
    <t>地面面积</t>
    <phoneticPr fontId="8" type="noConversion"/>
  </si>
  <si>
    <t>灌溉系统（公顷）</t>
    <phoneticPr fontId="8" type="noConversion"/>
  </si>
  <si>
    <t>建筑物和道路（平方米）</t>
    <phoneticPr fontId="8" type="noConversion"/>
  </si>
  <si>
    <t>*IRSS=灌溉径流回水系统</t>
    <phoneticPr fontId="8" type="noConversion"/>
  </si>
  <si>
    <t>来自建筑的总量</t>
    <phoneticPr fontId="8" type="noConversion"/>
  </si>
  <si>
    <t>排放系数</t>
    <phoneticPr fontId="8" type="noConversion"/>
  </si>
  <si>
    <t>田间排放量</t>
    <phoneticPr fontId="8" type="noConversion"/>
  </si>
  <si>
    <t>生产、运输、仓储和转场环节的排放</t>
    <phoneticPr fontId="8" type="noConversion"/>
  </si>
  <si>
    <t>单位</t>
    <phoneticPr fontId="8" type="noConversion"/>
  </si>
  <si>
    <t>tC/t 石灰</t>
    <phoneticPr fontId="8" type="noConversion"/>
  </si>
  <si>
    <t>tCO2/t 碳酸钙</t>
    <phoneticPr fontId="8" type="noConversion"/>
  </si>
  <si>
    <t>tC/t 尿素</t>
    <phoneticPr fontId="8" type="noConversion"/>
  </si>
  <si>
    <t>kg N-N2O/kg N</t>
    <phoneticPr fontId="8" type="noConversion"/>
  </si>
  <si>
    <t>tCO2/t 氮</t>
    <phoneticPr fontId="8" type="noConversion"/>
  </si>
  <si>
    <t>tCO2/t 五氧化二磷</t>
    <phoneticPr fontId="8" type="noConversion"/>
  </si>
  <si>
    <t>tCO2/t 氧化钾</t>
    <phoneticPr fontId="8" type="noConversion"/>
  </si>
  <si>
    <t>tCO2/t 有效成分</t>
    <phoneticPr fontId="8" type="noConversion"/>
  </si>
  <si>
    <t>尿素生产过程中大气二氧化碳清除量由尿素生产国在“工业流程和产品使用部分”进行估算</t>
    <phoneticPr fontId="8" type="noConversion"/>
  </si>
  <si>
    <t>默认情况下EX-ACT设定尿素为进口且不考虑这一碳汇，但您也可以坚持进行计算：</t>
    <phoneticPr fontId="8" type="noConversion"/>
  </si>
  <si>
    <t>考虑生产过程碳汇？</t>
    <phoneticPr fontId="8" type="noConversion"/>
  </si>
  <si>
    <t>尿素</t>
    <phoneticPr fontId="8" type="noConversion"/>
  </si>
  <si>
    <t>部分国家排放系数</t>
    <phoneticPr fontId="8" type="noConversion"/>
  </si>
  <si>
    <t>输电过程中的电力损耗</t>
    <phoneticPr fontId="8" type="noConversion"/>
  </si>
  <si>
    <t>%</t>
    <phoneticPr fontId="8" type="noConversion"/>
  </si>
  <si>
    <t>t CO2/m3</t>
    <phoneticPr fontId="8" type="noConversion"/>
  </si>
  <si>
    <t>请给出确切名称</t>
    <phoneticPr fontId="8" type="noConversion"/>
  </si>
  <si>
    <t>所用单位</t>
    <phoneticPr fontId="8" type="noConversion"/>
  </si>
  <si>
    <t>t CO2/t 干物质</t>
    <phoneticPr fontId="8" type="noConversion"/>
  </si>
  <si>
    <t>建筑物和道路</t>
    <phoneticPr fontId="8" type="noConversion"/>
  </si>
  <si>
    <t>kg CO2/ha</t>
    <phoneticPr fontId="8" type="noConversion"/>
  </si>
  <si>
    <t>t CO2/m2</t>
    <phoneticPr fontId="8" type="noConversion"/>
  </si>
  <si>
    <t>总面积（公顷）</t>
    <phoneticPr fontId="8" type="noConversion"/>
  </si>
  <si>
    <t>项目组成部分</t>
    <phoneticPr fontId="8" type="noConversion"/>
  </si>
  <si>
    <t>总通率</t>
    <phoneticPr fontId="8" type="noConversion"/>
  </si>
  <si>
    <t>温室气体总量，折合二氧化碳</t>
    <phoneticPr fontId="8" type="noConversion"/>
  </si>
  <si>
    <t>正值=碳添加/负值=碳沉降</t>
    <phoneticPr fontId="8" type="noConversion"/>
  </si>
  <si>
    <t>各种温室气体在余额中的比重</t>
    <phoneticPr fontId="8" type="noConversion"/>
  </si>
  <si>
    <t>生物质</t>
    <phoneticPr fontId="8" type="noConversion"/>
  </si>
  <si>
    <t>土壤</t>
    <phoneticPr fontId="8" type="noConversion"/>
  </si>
  <si>
    <t>年度结果</t>
    <phoneticPr fontId="8" type="noConversion"/>
  </si>
  <si>
    <t>土地用途变化</t>
    <phoneticPr fontId="8" type="noConversion"/>
  </si>
  <si>
    <t>造林</t>
    <phoneticPr fontId="8" type="noConversion"/>
  </si>
  <si>
    <t>农业</t>
    <phoneticPr fontId="8" type="noConversion"/>
  </si>
  <si>
    <t>多年度</t>
    <phoneticPr fontId="8" type="noConversion"/>
  </si>
  <si>
    <t>稻米</t>
    <phoneticPr fontId="8" type="noConversion"/>
  </si>
  <si>
    <t>草场和牲畜</t>
    <phoneticPr fontId="8" type="noConversion"/>
  </si>
  <si>
    <t>牲畜</t>
    <phoneticPr fontId="8" type="noConversion"/>
  </si>
  <si>
    <t>退化及管理</t>
    <phoneticPr fontId="8" type="noConversion"/>
  </si>
  <si>
    <t>投入和投资</t>
    <phoneticPr fontId="8" type="noConversion"/>
  </si>
  <si>
    <t>合计</t>
    <phoneticPr fontId="8" type="noConversion"/>
  </si>
  <si>
    <t>每公顷</t>
    <phoneticPr fontId="8" type="noConversion"/>
  </si>
  <si>
    <t>每年每公顷</t>
    <phoneticPr fontId="8" type="noConversion"/>
  </si>
  <si>
    <t>二氧化碳-生物质</t>
    <phoneticPr fontId="8" type="noConversion"/>
  </si>
  <si>
    <t>二氧化碳-土壤</t>
    <phoneticPr fontId="8" type="noConversion"/>
  </si>
  <si>
    <t>二氧化碳-其他</t>
    <phoneticPr fontId="8" type="noConversion"/>
  </si>
  <si>
    <t>在简单价值链评估中采用</t>
    <phoneticPr fontId="8" type="noConversion"/>
  </si>
  <si>
    <t>各部分通率</t>
    <phoneticPr fontId="8" type="noConversion"/>
  </si>
  <si>
    <t>各部分余额</t>
    <phoneticPr fontId="8" type="noConversion"/>
  </si>
  <si>
    <t>无项目和有项目的总量和余额</t>
    <phoneticPr fontId="8" type="noConversion"/>
  </si>
  <si>
    <t>各种温室气体在余额中的比重（以及二氧化碳来源）</t>
    <phoneticPr fontId="8" type="noConversion"/>
  </si>
  <si>
    <t>土地利用的地表演变/类别（公顷）</t>
    <phoneticPr fontId="8" type="noConversion"/>
  </si>
  <si>
    <t>森林/人工林</t>
    <phoneticPr fontId="8" type="noConversion"/>
  </si>
  <si>
    <t>其他土地</t>
    <phoneticPr fontId="8" type="noConversion"/>
  </si>
  <si>
    <t>已退化</t>
    <phoneticPr fontId="8" type="noConversion"/>
  </si>
  <si>
    <t>湿地</t>
    <phoneticPr fontId="8" type="noConversion"/>
  </si>
  <si>
    <t>净余额</t>
    <phoneticPr fontId="8" type="noConversion"/>
  </si>
  <si>
    <t>总体不确定度</t>
    <phoneticPr fontId="8" type="noConversion"/>
  </si>
  <si>
    <t>不确定度的%</t>
    <phoneticPr fontId="8" type="noConversion"/>
  </si>
  <si>
    <t>变化详情一览表</t>
    <phoneticPr fontId="8" type="noConversion"/>
  </si>
  <si>
    <t>所有情况下的总面积必须相同：请认真核对所有部分</t>
    <phoneticPr fontId="8" type="noConversion"/>
  </si>
  <si>
    <t>其他指标</t>
    <phoneticPr fontId="8" type="noConversion"/>
  </si>
  <si>
    <t>灌溉面积——公顷</t>
    <phoneticPr fontId="8" type="noConversion"/>
  </si>
  <si>
    <t>水作稻</t>
    <phoneticPr fontId="8" type="noConversion"/>
  </si>
  <si>
    <t>一年生作物</t>
    <phoneticPr fontId="8" type="noConversion"/>
  </si>
  <si>
    <t>焚烧累积面积——公顷</t>
    <phoneticPr fontId="8" type="noConversion"/>
  </si>
  <si>
    <t>来自森林砍伐</t>
    <phoneticPr fontId="8" type="noConversion"/>
  </si>
  <si>
    <t>来自退化</t>
    <phoneticPr fontId="8" type="noConversion"/>
  </si>
  <si>
    <t>返回主要结果</t>
    <phoneticPr fontId="8" type="noConversion"/>
  </si>
  <si>
    <t>产量</t>
    <phoneticPr fontId="8" type="noConversion"/>
  </si>
  <si>
    <t>产品吨数</t>
    <phoneticPr fontId="8" type="noConversion"/>
  </si>
  <si>
    <t>总排放强度</t>
    <phoneticPr fontId="8" type="noConversion"/>
  </si>
  <si>
    <t>每吨产品的总二氧化碳等值</t>
    <phoneticPr fontId="8" type="noConversion"/>
  </si>
  <si>
    <t>人类使用的百分比</t>
    <phoneticPr fontId="8" type="noConversion"/>
  </si>
  <si>
    <t>相应的使用数量</t>
    <phoneticPr fontId="8" type="noConversion"/>
  </si>
  <si>
    <t>所有土地利用变化</t>
    <phoneticPr fontId="8" type="noConversion"/>
  </si>
  <si>
    <t>价值链不同阶段总二氧化碳排放详情</t>
    <phoneticPr fontId="8" type="noConversion"/>
  </si>
  <si>
    <t>排放量（tCO2/t 产品）</t>
    <phoneticPr fontId="8" type="noConversion"/>
  </si>
  <si>
    <t>生产水平（相应排放量按总用量的百分比计算）</t>
    <phoneticPr fontId="8" type="noConversion"/>
  </si>
  <si>
    <t>直接和间接排放（人为土地用途变化、退化、投入品和投资）</t>
    <phoneticPr fontId="8" type="noConversion"/>
  </si>
  <si>
    <t>加工水平（列举必要的投入品或流程）</t>
    <phoneticPr fontId="8" type="noConversion"/>
  </si>
  <si>
    <t>投入品/流程名称</t>
    <phoneticPr fontId="8" type="noConversion"/>
  </si>
  <si>
    <t>各投入品排放量</t>
    <phoneticPr fontId="8" type="noConversion"/>
  </si>
  <si>
    <t>每吨产品的投入品</t>
    <phoneticPr fontId="8" type="noConversion"/>
  </si>
  <si>
    <t>加工合计</t>
    <phoneticPr fontId="8" type="noConversion"/>
  </si>
  <si>
    <t>运输水平（列举必要的投入品或流程）</t>
    <phoneticPr fontId="8" type="noConversion"/>
  </si>
  <si>
    <t>运输合计</t>
    <phoneticPr fontId="8" type="noConversion"/>
  </si>
  <si>
    <t>在下方插入名称</t>
    <phoneticPr fontId="8" type="noConversion"/>
  </si>
  <si>
    <t>使用水平（列举必要的不同投入品或步骤）</t>
    <phoneticPr fontId="8" type="noConversion"/>
  </si>
  <si>
    <t>使用合计</t>
    <phoneticPr fontId="8" type="noConversion"/>
  </si>
  <si>
    <t>废弃物水平（列举必要的不同投入品或步骤）</t>
    <phoneticPr fontId="8" type="noConversion"/>
  </si>
  <si>
    <t>废弃物合计</t>
    <phoneticPr fontId="8" type="noConversion"/>
  </si>
  <si>
    <t>价值链各阶段的总排放量，按总二氧化碳等值计算</t>
    <phoneticPr fontId="8" type="noConversion"/>
  </si>
  <si>
    <t>生产</t>
    <phoneticPr fontId="8" type="noConversion"/>
  </si>
  <si>
    <t>加工</t>
    <phoneticPr fontId="8" type="noConversion"/>
  </si>
  <si>
    <t>运输</t>
    <phoneticPr fontId="8" type="noConversion"/>
  </si>
  <si>
    <t>使用</t>
    <phoneticPr fontId="8" type="noConversion"/>
  </si>
  <si>
    <t>废弃物</t>
    <phoneticPr fontId="8" type="noConversion"/>
  </si>
  <si>
    <t>变化一览表</t>
    <phoneticPr fontId="8" type="noConversion"/>
  </si>
  <si>
    <t>矿物质土壤（公顷）</t>
    <phoneticPr fontId="8" type="noConversion"/>
  </si>
  <si>
    <t>有机土壤（公顷）</t>
    <phoneticPr fontId="8" type="noConversion"/>
  </si>
  <si>
    <t>起始</t>
    <phoneticPr fontId="8" type="noConversion"/>
  </si>
  <si>
    <t>最终</t>
    <phoneticPr fontId="8" type="noConversion"/>
  </si>
  <si>
    <t>起始合计</t>
    <phoneticPr fontId="8" type="noConversion"/>
  </si>
  <si>
    <t>最终合计</t>
    <phoneticPr fontId="8" type="noConversion"/>
  </si>
  <si>
    <t>选择GWP进行计算</t>
    <phoneticPr fontId="8" type="noConversion"/>
  </si>
  <si>
    <t>沿海湿地</t>
  </si>
  <si>
    <t>渔业与水产业</t>
  </si>
  <si>
    <t>“开始”，“描述”，“土地用途变化”，“作物生产”，“草场系统/牲畜”，“管理与退化”，“沿海湿地“，”投入品与投资“，”渔业与水产业“，”详细结果“</t>
  </si>
  <si>
    <t>土壤类别</t>
    <phoneticPr fontId="8" type="noConversion"/>
  </si>
  <si>
    <t>WRB-2006</t>
    <phoneticPr fontId="8" type="noConversion"/>
  </si>
  <si>
    <t>IPCC</t>
    <phoneticPr fontId="8" type="noConversion"/>
  </si>
  <si>
    <t>气候助手：帮助利用年均气温和年均降水来确定气候类别</t>
    <phoneticPr fontId="8" type="noConversion"/>
  </si>
  <si>
    <t>MAT（年均气温）</t>
    <phoneticPr fontId="8" type="noConversion"/>
  </si>
  <si>
    <t>MAP（年均降水）</t>
    <phoneticPr fontId="8" type="noConversion"/>
  </si>
  <si>
    <t>年均气温，摄氏度</t>
    <phoneticPr fontId="8" type="noConversion"/>
  </si>
  <si>
    <t>年均降水，毫米</t>
    <phoneticPr fontId="8" type="noConversion"/>
  </si>
  <si>
    <t>若MAP大于PET则为湿润，若PET大于MAP则为干燥</t>
    <phoneticPr fontId="8" type="noConversion"/>
  </si>
  <si>
    <t>PET=潜在蒸腾量</t>
    <phoneticPr fontId="8" type="noConversion"/>
  </si>
  <si>
    <t>年均气温与气候类别</t>
    <phoneticPr fontId="8" type="noConversion"/>
  </si>
  <si>
    <t>MAT&gt;18</t>
    <phoneticPr fontId="8" type="noConversion"/>
  </si>
  <si>
    <t>10&gt;MAT&gt;18</t>
    <phoneticPr fontId="8" type="noConversion"/>
  </si>
  <si>
    <t>0&gt;MAT&gt;10</t>
    <phoneticPr fontId="8" type="noConversion"/>
  </si>
  <si>
    <t>MAT&lt;0</t>
    <phoneticPr fontId="8" type="noConversion"/>
  </si>
  <si>
    <t>热带山地通常属干燥</t>
    <phoneticPr fontId="8" type="noConversion"/>
  </si>
  <si>
    <t>IPCC气候区划</t>
    <phoneticPr fontId="8" type="noConversion"/>
  </si>
  <si>
    <t>无数据</t>
    <phoneticPr fontId="8" type="noConversion"/>
  </si>
  <si>
    <t>简化IPCC气候区划</t>
    <phoneticPr fontId="8" type="noConversion"/>
  </si>
  <si>
    <t>寒凉</t>
    <phoneticPr fontId="8" type="noConversion"/>
  </si>
  <si>
    <t>温暖</t>
    <phoneticPr fontId="8" type="noConversion"/>
  </si>
  <si>
    <t>（或极地）</t>
    <phoneticPr fontId="8" type="noConversion"/>
  </si>
  <si>
    <t>粮农组织资源：</t>
    <phoneticPr fontId="8" type="noConversion"/>
  </si>
  <si>
    <t>MAP和MAT地图</t>
    <phoneticPr fontId="8" type="noConversion"/>
  </si>
  <si>
    <t>参加粮农组织全球气候地图</t>
    <phoneticPr fontId="8" type="noConversion"/>
  </si>
  <si>
    <t>年均降雨总量</t>
    <phoneticPr fontId="8" type="noConversion"/>
  </si>
  <si>
    <t>年均气温</t>
    <phoneticPr fontId="8" type="noConversion"/>
  </si>
  <si>
    <t>LocClim</t>
    <phoneticPr fontId="8" type="noConversion"/>
  </si>
  <si>
    <t>Web Loc Clim</t>
    <phoneticPr fontId="8" type="noConversion"/>
  </si>
  <si>
    <t>LocClim被开发用于对无观测数据的地方的气候条件进行估算。为此，该程序采用了FAOCLIM2.0的28800个站点。</t>
    <phoneticPr fontId="8" type="noConversion"/>
  </si>
  <si>
    <t>点击此处访问该应用程序</t>
    <phoneticPr fontId="8" type="noConversion"/>
  </si>
  <si>
    <t>有关采用本地化的在线气候数据亦请参见Web LocClim当地月度气候估算</t>
    <phoneticPr fontId="8" type="noConversion"/>
  </si>
  <si>
    <t>前往Web LocClim</t>
    <phoneticPr fontId="8" type="noConversion"/>
  </si>
  <si>
    <t>全球生态区</t>
    <phoneticPr fontId="8" type="noConversion"/>
  </si>
  <si>
    <t>全球生态区，基于所观测的气候和植被类型（粮农组织，2001年）。地理信息系统数据可见：http://www.fao.org。</t>
    <phoneticPr fontId="8" type="noConversion"/>
  </si>
  <si>
    <t>热带沙漠</t>
    <phoneticPr fontId="8" type="noConversion"/>
  </si>
  <si>
    <t>亚热带沙漠</t>
    <phoneticPr fontId="8" type="noConversion"/>
  </si>
  <si>
    <t>温带草甸</t>
    <phoneticPr fontId="8" type="noConversion"/>
  </si>
  <si>
    <t>温带沙漠</t>
    <phoneticPr fontId="8" type="noConversion"/>
  </si>
  <si>
    <t>极地</t>
    <phoneticPr fontId="8" type="noConversion"/>
  </si>
  <si>
    <t>区域</t>
    <phoneticPr fontId="8" type="noConversion"/>
  </si>
  <si>
    <t>条目</t>
    <phoneticPr fontId="8" type="noConversion"/>
  </si>
  <si>
    <t>（参见下方地图）</t>
    <phoneticPr fontId="8" type="noConversion"/>
  </si>
  <si>
    <t>年</t>
    <phoneticPr fontId="8" type="noConversion"/>
  </si>
  <si>
    <t>单产（吨/公顷）</t>
    <phoneticPr fontId="8" type="noConversion"/>
  </si>
  <si>
    <t>时段</t>
    <phoneticPr fontId="8" type="noConversion"/>
  </si>
  <si>
    <t>比率（%）</t>
    <phoneticPr fontId="8" type="noConversion"/>
  </si>
  <si>
    <t>预测</t>
    <phoneticPr fontId="8" type="noConversion"/>
  </si>
  <si>
    <t>数据来自FAOSTAT，欲了解更详细信息（如国别信息）请访问粮农组织网站。</t>
    <phoneticPr fontId="8" type="noConversion"/>
  </si>
  <si>
    <t>每日稻米排放系数=排放系数-基础×排放系数-之前×排放系数-过程中×排放系数-有机改良剂</t>
  </si>
  <si>
    <t>（排放系数 甲烷千克数/公顷/天）</t>
  </si>
  <si>
    <t>排放系数-基础</t>
  </si>
  <si>
    <t>排放系数-之前</t>
  </si>
  <si>
    <t>排放系数-过程中</t>
  </si>
  <si>
    <t>排放系数-有机改良剂</t>
  </si>
  <si>
    <t>森林</t>
  </si>
  <si>
    <t>人工林</t>
  </si>
  <si>
    <t>有机土壤的退化与管理（泥炭地）</t>
  </si>
  <si>
    <t>有机土壤的排水</t>
  </si>
  <si>
    <t>沟渠的百分比</t>
  </si>
  <si>
    <t>泥炭提取的表面</t>
  </si>
  <si>
    <t>提取高度（厘米）</t>
  </si>
  <si>
    <t>泥炭产量（吨/年）</t>
  </si>
  <si>
    <t>有机土壤再润湿（泥炭地）</t>
  </si>
  <si>
    <t>火灾类型</t>
  </si>
  <si>
    <t>烧毁面积（公顷）</t>
  </si>
  <si>
    <t>野火（排干的泥炭）</t>
  </si>
  <si>
    <t>野火（未排干的泥炭）</t>
  </si>
  <si>
    <t>规划火烧</t>
  </si>
  <si>
    <t>再润湿有机土壤的表面（公顷）</t>
  </si>
  <si>
    <t>有机土壤火烧的排放量（泥炭地）</t>
  </si>
  <si>
    <t>火烧总量</t>
  </si>
  <si>
    <t>再湿润总量</t>
  </si>
  <si>
    <t>沿海湿地管理（红树林，潮沼和海草草甸）</t>
  </si>
  <si>
    <t>提取和挖掘（港口建设，养殖业和盐业生产池塘建设……）</t>
  </si>
  <si>
    <t>挖掘面积（公顷）</t>
  </si>
  <si>
    <t>提取和挖掘总面积</t>
  </si>
  <si>
    <t>排水</t>
  </si>
  <si>
    <t>潮沼</t>
  </si>
  <si>
    <t>海草草甸</t>
  </si>
  <si>
    <t>排水面积（公顷）</t>
  </si>
  <si>
    <t>再润湿面积（公顷）</t>
  </si>
  <si>
    <t>再润湿</t>
  </si>
  <si>
    <t>请注明泥炭的主要质量，这会影响下面的排放系数</t>
  </si>
  <si>
    <t>与排水相关的甲烷排放</t>
  </si>
  <si>
    <t>从排干的土壤</t>
  </si>
  <si>
    <t>从沟渠</t>
  </si>
  <si>
    <t>与排水相关的一氧化二氮排放</t>
  </si>
  <si>
    <t>排放系数（甲烷千克数/公顷/年）</t>
  </si>
  <si>
    <t>场外排放</t>
  </si>
  <si>
    <t>通过水运碳损失</t>
  </si>
  <si>
    <t>甲烷排放系数（甲烷千克数/公顷/年）</t>
  </si>
  <si>
    <t>泥炭利用产生的二氧化碳排放</t>
  </si>
  <si>
    <t>泥炭密度（吨/立方米）</t>
  </si>
  <si>
    <t>用作能源？</t>
  </si>
  <si>
    <t>有机土壤再润湿的排放系数</t>
  </si>
  <si>
    <t>有机土壤燃烧的气体排放系数(克/千克干物质燃烧）</t>
  </si>
  <si>
    <t>二氧化碳排放系数</t>
  </si>
  <si>
    <t>一氧化碳排放系数</t>
  </si>
  <si>
    <t>甲烷排放系数</t>
  </si>
  <si>
    <t>平均干物质（干物质吨数/公顷）</t>
  </si>
  <si>
    <t>默认的土壤类型是“矿物”</t>
  </si>
  <si>
    <t>（默认考虑一米深）</t>
  </si>
  <si>
    <t>挖掘后碳损失百分比</t>
  </si>
  <si>
    <t>设置为“有机”？</t>
  </si>
  <si>
    <t>（碳吨数/公顷/年）</t>
  </si>
  <si>
    <t>默认用于再湿水是新鲜的</t>
  </si>
  <si>
    <t>设置为含盐的？</t>
  </si>
  <si>
    <t>（甲烷千克数/公顷/年）</t>
  </si>
  <si>
    <t>（这相当于红树林砍伐，应只在这里考虑）</t>
  </si>
  <si>
    <t>由于排水生物质损失的比例</t>
  </si>
  <si>
    <t>标称生物质的比例恢复</t>
  </si>
  <si>
    <t>可供排水的最大面积</t>
  </si>
  <si>
    <t>再润湿总量</t>
  </si>
  <si>
    <t>泥炭（泥炭地）</t>
  </si>
  <si>
    <t>渔业</t>
  </si>
  <si>
    <t>该部分6.1 （投入品）、6.2  （能源）和6.3 （新基础设施建设）可用于补充本节</t>
  </si>
  <si>
    <t>类别</t>
  </si>
  <si>
    <t>总捕捞量（吨/年）</t>
  </si>
  <si>
    <t>捕捞作业（基于燃料使用强度 - FUI - 值）</t>
  </si>
  <si>
    <t>从制冷系统的船上泄漏</t>
  </si>
  <si>
    <t>在岸冰生产的排放</t>
  </si>
  <si>
    <t>水产业（渔业生产中一氧化二氮排放）</t>
  </si>
  <si>
    <t>制冷剂系统下总捕捞量（鱼等）</t>
  </si>
  <si>
    <t>总手工及沿海捕捞</t>
  </si>
  <si>
    <t>捕捞总量</t>
  </si>
  <si>
    <t>燃料使用强度 - FUI （ 升 /吨捕捞）</t>
  </si>
  <si>
    <t>（吨二氧化碳当量/吨捕捞）</t>
  </si>
  <si>
    <t>数量损失（制冷剂公斤数）</t>
  </si>
  <si>
    <t>制冷剂的全球变暖潜能</t>
  </si>
  <si>
    <t>每吨上岸渔获的制冷剂损失</t>
  </si>
  <si>
    <t>量（吨）</t>
  </si>
  <si>
    <t>冰量（吨）每吨捕捞</t>
  </si>
  <si>
    <t>排放系数（吨二氧化碳当量）每吨产冰</t>
  </si>
  <si>
    <t>排放系数来自鱼生产的一氧化二氮排放（吨 氮-一氧化二氮/吨 鱼）</t>
  </si>
  <si>
    <t>制冷系统下百分比</t>
  </si>
  <si>
    <t>管理（将会影响FUI）</t>
  </si>
  <si>
    <t>100% = 名义FUI（参考第二层）</t>
  </si>
  <si>
    <t>水产业</t>
  </si>
  <si>
    <t>年度生产（吨每年）</t>
  </si>
  <si>
    <t>排放来自饲料</t>
  </si>
  <si>
    <t>年度饲料量（吨每年）</t>
  </si>
  <si>
    <t>总水产</t>
  </si>
  <si>
    <t>饲料排放系数（吨二氧化碳当量/吨饲料）</t>
  </si>
  <si>
    <t>总燃料消耗（立方米/年）</t>
  </si>
  <si>
    <t>冰生产相关的渔获物占总量百分比</t>
  </si>
  <si>
    <t>每吨冰耗电量</t>
  </si>
  <si>
    <t>齿轮</t>
  </si>
  <si>
    <t>特殊齿轮</t>
  </si>
  <si>
    <t>未标明</t>
  </si>
  <si>
    <t>升/吨</t>
  </si>
  <si>
    <t>残留物管理</t>
  </si>
  <si>
    <t>主季作物</t>
  </si>
  <si>
    <t>次季作物/间作</t>
  </si>
  <si>
    <t>作物类型</t>
  </si>
  <si>
    <t>粮农组织</t>
  </si>
  <si>
    <t>关于政策制定的在线资源材料</t>
  </si>
  <si>
    <t>挖掘比例</t>
  </si>
  <si>
    <t>排水比例</t>
  </si>
  <si>
    <t>丰富养分</t>
  </si>
  <si>
    <t>贫乏养分</t>
  </si>
  <si>
    <t>甲壳类动物</t>
  </si>
  <si>
    <t>长须鲸</t>
  </si>
  <si>
    <t>比目鱼</t>
  </si>
  <si>
    <t>大型中上层鱼类</t>
  </si>
  <si>
    <t>软体动物</t>
  </si>
  <si>
    <t>鲑鱼</t>
  </si>
  <si>
    <t>小型中上层鱼类</t>
  </si>
  <si>
    <t>如果适用请选择</t>
  </si>
  <si>
    <t>水底拖网</t>
  </si>
  <si>
    <t>刺网</t>
  </si>
  <si>
    <t>钩和线</t>
  </si>
  <si>
    <t>远洋拖网</t>
  </si>
  <si>
    <t>捕鱼陷阱</t>
  </si>
  <si>
    <t>围网类鱼网</t>
  </si>
  <si>
    <t>挖掘机</t>
  </si>
  <si>
    <t>CO2eq emitted from residues</t>
  </si>
  <si>
    <t>Fire and N2O release</t>
  </si>
  <si>
    <t>Fire &amp; N2O (Fsom)</t>
  </si>
  <si>
    <t>Zonas húmidas costeiras</t>
  </si>
  <si>
    <t>Pesca e Aquicultura</t>
  </si>
  <si>
    <r>
      <t>área máxima</t>
    </r>
    <r>
      <rPr>
        <sz val="10"/>
        <rFont val="Arial"/>
        <family val="2"/>
      </rPr>
      <t xml:space="preserve"> disponível para drenagem</t>
    </r>
  </si>
  <si>
    <t>Total para o reumedecimento</t>
  </si>
  <si>
    <t>Manejo dos residuos</t>
  </si>
  <si>
    <t>Cultura principal</t>
  </si>
  <si>
    <t>Cultura secundaria/entressafra</t>
  </si>
  <si>
    <t>Tipo de cultura</t>
  </si>
  <si>
    <t>Materiais on-line para a formulação de políticas</t>
  </si>
  <si>
    <t>% escavado</t>
  </si>
  <si>
    <t>% drebado</t>
  </si>
  <si>
    <t>As redes de emalhar</t>
  </si>
  <si>
    <t>Anzóis e linhas</t>
  </si>
  <si>
    <t>redes de arrasto pelágico</t>
  </si>
  <si>
    <r>
      <t>Redes de arrasto</t>
    </r>
    <r>
      <rPr>
        <sz val="10"/>
        <rFont val="Arial"/>
        <family val="2"/>
      </rPr>
      <t xml:space="preserve"> de fundo</t>
    </r>
  </si>
  <si>
    <t>Nassas e armadilhas</t>
  </si>
  <si>
    <t>Redes de cerco</t>
  </si>
  <si>
    <t>Biomasa (1er año)</t>
  </si>
  <si>
    <t>Biomassa (1o ano)</t>
  </si>
  <si>
    <t>Non labour &amp;  paillis</t>
  </si>
  <si>
    <t>Aquaculture area</t>
  </si>
  <si>
    <t>Last 5 yr (2009-2013)</t>
  </si>
  <si>
    <t>Dernières 5 années (2009-2013)</t>
  </si>
  <si>
    <t>Últimos 5 años (2009-2013)</t>
  </si>
  <si>
    <t>最近5年（2009-2013）</t>
  </si>
  <si>
    <t>Последние 5 лет (2009-2013)</t>
  </si>
  <si>
    <t>السنوات الخمس الأخيرة (2009-2013)</t>
  </si>
  <si>
    <t>Last 10 yr (2004-2013)</t>
  </si>
  <si>
    <t>Dernières 10 années (2004-2013)</t>
  </si>
  <si>
    <t>Últimos 10 años (2004-2013)</t>
  </si>
  <si>
    <t>最近10年（2004-2013）</t>
  </si>
  <si>
    <t>Последние 10 лет (2004-2013)</t>
  </si>
  <si>
    <t>السنوات العشر الأخيرة (2004-2013)</t>
  </si>
  <si>
    <t>Last 20 yr (1994-2013)</t>
  </si>
  <si>
    <t>Dernières 20 années (1994-2013)</t>
  </si>
  <si>
    <t>Últimos 20 años (1994-2013)</t>
  </si>
  <si>
    <t>最近20年（1994-2013）</t>
  </si>
  <si>
    <t>Последние 20 лет (1994-2013)</t>
  </si>
  <si>
    <t>السنوات العشرين الأخيرة (1994-2013)</t>
  </si>
  <si>
    <t>Last 25yr (1989-2013)</t>
  </si>
  <si>
    <t>Dernières 25 années (1989-2013)</t>
  </si>
  <si>
    <t>Últimos 25 años (1989-2013)</t>
  </si>
  <si>
    <t>最近25年（1989-2013）</t>
  </si>
  <si>
    <t>Последние 25 лет (1989-2013)</t>
  </si>
  <si>
    <t>السنوات الخمس وعشرون الأخيرة (1989-2013)</t>
  </si>
  <si>
    <t>Últimos 25yr (1989-2013)</t>
  </si>
  <si>
    <t>Letzten 25 Jahre (1989-2013)</t>
  </si>
  <si>
    <t>25 thn terakhir (1989-2013)</t>
  </si>
  <si>
    <t>25 năm trước (1989-2013)</t>
  </si>
  <si>
    <t>Últimos 5 anos (2009-2013)</t>
  </si>
  <si>
    <t>Letzten 5 Jahre (2009-2013)</t>
  </si>
  <si>
    <t>5 thn terakhir (2009-2013)</t>
  </si>
  <si>
    <t>5 năm trước (2009-2013)</t>
  </si>
  <si>
    <t>Últimos 10 anos (2004-2013)</t>
  </si>
  <si>
    <t>Letzten 10 Jahre (2004-2013)</t>
  </si>
  <si>
    <t>10 thn terakhir (2004-2013)</t>
  </si>
  <si>
    <t>10 năm trước (2004-2013)</t>
  </si>
  <si>
    <t>Últimos 20 anos (1994-2013)</t>
  </si>
  <si>
    <t>Letzten 20 Jahre (1994-2013)</t>
  </si>
  <si>
    <t>20 thn terakhir (1994-2013)</t>
  </si>
  <si>
    <t>20 năm trước (1994-2013)</t>
  </si>
  <si>
    <t>Sinh khối (năm thứ 1)</t>
  </si>
  <si>
    <t>Đất ngập nước ven biển</t>
  </si>
  <si>
    <t>Đánh bắt và nuôi trồng thủy sản</t>
  </si>
  <si>
    <t>Dịch các lựa chọn: "Bắt đầu", "Mô tả", "Thay đổi sử dụng đất", "Trồng trọt", "Đồng cỏ/Chăn nuôi", "Suy thoái và Phục hồi", "Đất ngập nước ven biển", "Đầu vào và Đầu tư", "Đánh bắt và Nuôi trồng thủy sản", "Kết quả chi tiết"</t>
  </si>
  <si>
    <t>Diện tích tối đa có sẵn cho thoát nước</t>
  </si>
  <si>
    <t>Tổng cộng tái thẩm thấu</t>
  </si>
  <si>
    <t>Dụng cụ (đánh bắt)</t>
  </si>
  <si>
    <t>Dụng cụ cụ thể</t>
  </si>
  <si>
    <t>Không cụ thể</t>
  </si>
  <si>
    <t>l/tấn</t>
  </si>
  <si>
    <t>Quản lý chất thừa thải</t>
  </si>
  <si>
    <t>Vụ trồng trọt chính</t>
  </si>
  <si>
    <t>Vụ trồng trọt phụ/xen canh</t>
  </si>
  <si>
    <t>Loại cây trồng</t>
  </si>
  <si>
    <t>Tổ chức Nông nghiệp và Lương thực của Liên Hiệp Quốc</t>
  </si>
  <si>
    <t xml:space="preserve">Nguồn tài liệu trực tuyến cho hoạch định chính sách </t>
  </si>
  <si>
    <t>% cày xới</t>
  </si>
  <si>
    <t>% thoát nước</t>
  </si>
  <si>
    <t>Giàu dinh dưỡng</t>
  </si>
  <si>
    <t>Nghèo dinh dưỡng</t>
  </si>
  <si>
    <t>Động vật giáp xác</t>
  </si>
  <si>
    <t>Cá vây</t>
  </si>
  <si>
    <t>Cá bơn</t>
  </si>
  <si>
    <t>Cá nổi lớn</t>
  </si>
  <si>
    <t>Nhuyễn thể</t>
  </si>
  <si>
    <t>Cá hồi</t>
  </si>
  <si>
    <t>Cá nổi nhỏ</t>
  </si>
  <si>
    <t>Lựa chọn nếu thích hợp</t>
  </si>
  <si>
    <t>Lưới kéo đáy</t>
  </si>
  <si>
    <t>Lưới rê</t>
  </si>
  <si>
    <t>Móc và dây</t>
  </si>
  <si>
    <t>Lưới kéo tầng nổi</t>
  </si>
  <si>
    <t>Lờ, Bẫy</t>
  </si>
  <si>
    <t>Lưới quây</t>
  </si>
  <si>
    <t>Lưới vét</t>
  </si>
  <si>
    <t>Đậu các loại</t>
  </si>
  <si>
    <t>Ngũ cốc</t>
  </si>
  <si>
    <t>Cây lương thực chính</t>
  </si>
  <si>
    <t>Hãy chọn</t>
  </si>
  <si>
    <t>Đốt</t>
  </si>
  <si>
    <t>Giữ lại</t>
  </si>
  <si>
    <t>Xuất khẩu</t>
  </si>
  <si>
    <t>khống</t>
  </si>
  <si>
    <t>Version 7 - Edición Multilingüe</t>
  </si>
  <si>
    <t>Version 7 - Edition multilingue</t>
  </si>
  <si>
    <t>Version 7 - Multilingual Edition</t>
  </si>
  <si>
    <t>7 版 - 多语言版本</t>
  </si>
  <si>
    <t>Версия 7 - Многоязычное издание</t>
  </si>
  <si>
    <t>الإصدار رقم 7 - طبعة متعددة اللغات</t>
  </si>
  <si>
    <t>Versão 7 - Edição Multilíngue</t>
  </si>
  <si>
    <t>Version 7 - Mehrsprachige Ausgabe</t>
  </si>
  <si>
    <t>Versi 7 - Edisi Multi Bahasa</t>
  </si>
  <si>
    <t>Phiên bản 7 Bản đa ngôn ngữ</t>
  </si>
  <si>
    <t>List Veget-type  in Afforestation</t>
  </si>
  <si>
    <t>List Veget-type in deforestation and forest mgmt</t>
  </si>
  <si>
    <t>Haricots et légumineuses</t>
  </si>
  <si>
    <t>Céréales</t>
  </si>
  <si>
    <t>légumes-racines</t>
  </si>
  <si>
    <t>tubercules</t>
  </si>
  <si>
    <t>Frijoles &amp; legumbres</t>
  </si>
  <si>
    <t>granos</t>
  </si>
  <si>
    <t>cultivos de raíces</t>
  </si>
  <si>
    <t>tubérculos</t>
  </si>
  <si>
    <t>豆类及制品</t>
  </si>
  <si>
    <t>谷类</t>
  </si>
  <si>
    <t>块根作物</t>
  </si>
  <si>
    <t>块茎</t>
  </si>
  <si>
    <t>Стандар</t>
  </si>
  <si>
    <t>Зернобобовые</t>
  </si>
  <si>
    <t>Зерновые</t>
  </si>
  <si>
    <t>Корнеплоды</t>
  </si>
  <si>
    <t>Клубнеплоды</t>
  </si>
  <si>
    <t>القيمة الافتراضية</t>
  </si>
  <si>
    <t>البذور والبقول</t>
  </si>
  <si>
    <t>الحبوب</t>
  </si>
  <si>
    <t>محاصيل جذرية</t>
  </si>
  <si>
    <t>دَرَنات</t>
  </si>
  <si>
    <t>Brûlé</t>
  </si>
  <si>
    <t>Conservé</t>
  </si>
  <si>
    <t>exporté</t>
  </si>
  <si>
    <t>Aucun</t>
  </si>
  <si>
    <t>quemado</t>
  </si>
  <si>
    <t>retenido</t>
  </si>
  <si>
    <t>Exportado</t>
  </si>
  <si>
    <t>Ninguna</t>
  </si>
  <si>
    <t>烧</t>
  </si>
  <si>
    <t>保留</t>
  </si>
  <si>
    <t>出口</t>
  </si>
  <si>
    <t>Сожжено</t>
  </si>
  <si>
    <t>Оставлено на полях</t>
  </si>
  <si>
    <t>Остатки, вывезенные с полей</t>
  </si>
  <si>
    <t>Отсутствует</t>
  </si>
  <si>
    <t>أحرقت</t>
  </si>
  <si>
    <t>احتفاظت بها</t>
  </si>
  <si>
    <t>صدرت</t>
  </si>
  <si>
    <t>لا شيء</t>
  </si>
  <si>
    <t>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t>
  </si>
  <si>
    <t>Road for medium traffic (concrete)</t>
  </si>
  <si>
    <t>Road for medium traffic (asphalt)</t>
  </si>
  <si>
    <t>Route pour traffic moyen (béton)</t>
  </si>
  <si>
    <t>Route pour traffic moyen (asphalte)</t>
  </si>
  <si>
    <t>Route pour traffic intense (béton)</t>
  </si>
  <si>
    <t>Route pour traffic intense (asphalte)</t>
  </si>
  <si>
    <t>You may use this sheet for any additional calculations.</t>
  </si>
  <si>
    <t>Prises totales des pêches avec système de réfrigération (poissons, etc.)</t>
  </si>
  <si>
    <t>Total pour réhumectation</t>
  </si>
  <si>
    <t>By gear (see above by continent)</t>
  </si>
  <si>
    <t>This should concern only area not accounted for elsewhere</t>
  </si>
  <si>
    <t>OPTION 3</t>
  </si>
  <si>
    <t>TIER 2 (T CO2 / MWh)</t>
  </si>
  <si>
    <t>Aquaculture</t>
  </si>
  <si>
    <t>Acuicultura</t>
  </si>
  <si>
    <t>水产</t>
  </si>
  <si>
    <t>Aквакультура</t>
  </si>
  <si>
    <t xml:space="preserve"> تربية الأحياء المائية</t>
  </si>
  <si>
    <t>Aquicultura</t>
  </si>
  <si>
    <t>8.2. Nuôi trồng</t>
  </si>
  <si>
    <t>Nuôi trồng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</si>
</sst>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 _€_-;\-* #,##0.00\ _€_-;_-* &quot;-&quot;??\ _€_-;_-@_-"/>
    <numFmt numFmtId="165" formatCode="0.0"/>
    <numFmt numFmtId="166" formatCode="0.0000"/>
    <numFmt numFmtId="167" formatCode="0.000"/>
    <numFmt numFmtId="168" formatCode="0.0%"/>
    <numFmt numFmtId="169" formatCode="0.00000"/>
    <numFmt numFmtId="170" formatCode="#,##0.0"/>
    <numFmt numFmtId="171" formatCode="#,##0\ "/>
    <numFmt numFmtId="172" formatCode="_-* #,##0\ _€_-;\-* #,##0\ _€_-;_-* &quot;-&quot;??\ _€_-;_-@_-"/>
    <numFmt numFmtId="173" formatCode="0.00000000000000"/>
    <numFmt numFmtId="174" formatCode="0E+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b/>
      <sz val="10"/>
      <color indexed="10"/>
      <name val="Arial"/>
      <family val="2"/>
    </font>
    <font>
      <b/>
      <i/>
      <sz val="10"/>
      <name val="Arial"/>
      <family val="2"/>
    </font>
    <font>
      <sz val="9"/>
      <color indexed="12"/>
      <name val="Arial"/>
      <family val="2"/>
    </font>
    <font>
      <b/>
      <sz val="8"/>
      <color indexed="81"/>
      <name val="Tahoma"/>
      <family val="2"/>
    </font>
    <font>
      <sz val="8"/>
      <name val="Arial"/>
      <family val="2"/>
    </font>
    <font>
      <u/>
      <sz val="10"/>
      <color indexed="12"/>
      <name val="Arial"/>
      <family val="2"/>
    </font>
    <font>
      <b/>
      <sz val="10"/>
      <color indexed="12"/>
      <name val="Arial"/>
      <family val="2"/>
    </font>
    <font>
      <b/>
      <sz val="10"/>
      <color indexed="43"/>
      <name val="Arial"/>
      <family val="2"/>
    </font>
    <font>
      <sz val="10"/>
      <color indexed="43"/>
      <name val="Arial"/>
      <family val="2"/>
    </font>
    <font>
      <u/>
      <sz val="10"/>
      <name val="Arial"/>
      <family val="2"/>
    </font>
    <font>
      <sz val="10"/>
      <name val="Arial"/>
      <family val="2"/>
    </font>
    <font>
      <sz val="10"/>
      <color indexed="22"/>
      <name val="Arial"/>
      <family val="2"/>
    </font>
    <font>
      <sz val="10"/>
      <color indexed="9"/>
      <name val="Arial"/>
      <family val="2"/>
    </font>
    <font>
      <sz val="10"/>
      <color indexed="16"/>
      <name val="Arial"/>
      <family val="2"/>
    </font>
    <font>
      <sz val="14"/>
      <color indexed="12"/>
      <name val="Arial"/>
      <family val="2"/>
    </font>
    <font>
      <sz val="10"/>
      <color indexed="12"/>
      <name val="Arial"/>
      <family val="2"/>
    </font>
    <font>
      <sz val="10"/>
      <color indexed="12"/>
      <name val="Arial"/>
      <family val="2"/>
    </font>
    <font>
      <i/>
      <sz val="10"/>
      <color indexed="12"/>
      <name val="Arial"/>
      <family val="2"/>
    </font>
    <font>
      <sz val="8"/>
      <name val="Arial"/>
      <family val="2"/>
    </font>
    <font>
      <sz val="10"/>
      <color indexed="20"/>
      <name val="Arial"/>
      <family val="2"/>
    </font>
    <font>
      <sz val="10"/>
      <color indexed="20"/>
      <name val="Arial"/>
      <family val="2"/>
    </font>
    <font>
      <vertAlign val="subscript"/>
      <sz val="10"/>
      <name val="Arial"/>
      <family val="2"/>
    </font>
    <font>
      <b/>
      <sz val="10"/>
      <color indexed="20"/>
      <name val="Arial"/>
      <family val="2"/>
    </font>
    <font>
      <u/>
      <sz val="10"/>
      <color indexed="43"/>
      <name val="Arial"/>
      <family val="2"/>
    </font>
    <font>
      <sz val="12"/>
      <name val="Times New Roman"/>
      <family val="1"/>
    </font>
    <font>
      <u/>
      <sz val="10"/>
      <name val="Arial"/>
      <family val="2"/>
    </font>
    <font>
      <sz val="10"/>
      <color indexed="10"/>
      <name val="Arial"/>
      <family val="2"/>
    </font>
    <font>
      <u/>
      <sz val="10"/>
      <color indexed="9"/>
      <name val="Arial"/>
      <family val="2"/>
    </font>
    <font>
      <sz val="10"/>
      <color indexed="10"/>
      <name val="Arial"/>
      <family val="2"/>
    </font>
    <font>
      <sz val="10"/>
      <color indexed="8"/>
      <name val="Arial"/>
      <family val="2"/>
    </font>
    <font>
      <sz val="10"/>
      <color indexed="9"/>
      <name val="Arial"/>
      <family val="2"/>
    </font>
    <font>
      <i/>
      <sz val="10"/>
      <color indexed="43"/>
      <name val="Arial"/>
      <family val="2"/>
    </font>
    <font>
      <b/>
      <sz val="10"/>
      <name val="Arial"/>
      <family val="2"/>
    </font>
    <font>
      <sz val="10"/>
      <name val="Arial"/>
      <family val="2"/>
    </font>
    <font>
      <b/>
      <u/>
      <sz val="10"/>
      <color indexed="43"/>
      <name val="Arial"/>
      <family val="2"/>
    </font>
    <font>
      <i/>
      <sz val="10"/>
      <color indexed="10"/>
      <name val="Arial"/>
      <family val="2"/>
    </font>
    <font>
      <sz val="9"/>
      <name val="Arial"/>
      <family val="2"/>
    </font>
    <font>
      <b/>
      <sz val="10"/>
      <color indexed="61"/>
      <name val="Arial"/>
      <family val="2"/>
    </font>
    <font>
      <b/>
      <sz val="16"/>
      <color indexed="16"/>
      <name val="Verdana"/>
      <family val="2"/>
    </font>
    <font>
      <sz val="10"/>
      <color indexed="17"/>
      <name val="Arial"/>
      <family val="2"/>
    </font>
    <font>
      <b/>
      <sz val="9"/>
      <color indexed="48"/>
      <name val="Arial"/>
      <family val="2"/>
    </font>
    <font>
      <b/>
      <i/>
      <u/>
      <sz val="12"/>
      <name val="Arial"/>
      <family val="2"/>
    </font>
    <font>
      <b/>
      <sz val="10"/>
      <color indexed="9"/>
      <name val="Arial"/>
      <family val="2"/>
    </font>
    <font>
      <i/>
      <sz val="10"/>
      <name val="Arial"/>
      <family val="2"/>
    </font>
    <font>
      <b/>
      <sz val="10"/>
      <color indexed="43"/>
      <name val="Arial Narrow"/>
      <family val="2"/>
    </font>
    <font>
      <sz val="10"/>
      <color indexed="43"/>
      <name val="Arial Narrow"/>
      <family val="2"/>
    </font>
    <font>
      <u/>
      <sz val="10"/>
      <name val="Arial Narrow"/>
      <family val="2"/>
    </font>
    <font>
      <b/>
      <sz val="10"/>
      <color indexed="10"/>
      <name val="Arial Narrow"/>
      <family val="2"/>
    </font>
    <font>
      <sz val="10"/>
      <name val="Arial Narrow"/>
      <family val="2"/>
    </font>
    <font>
      <b/>
      <sz val="10"/>
      <name val="Arial Narrow"/>
      <family val="2"/>
    </font>
    <font>
      <sz val="10"/>
      <color indexed="22"/>
      <name val="Arial Narrow"/>
      <family val="2"/>
    </font>
    <font>
      <sz val="10"/>
      <color indexed="9"/>
      <name val="Arial Narrow"/>
      <family val="2"/>
    </font>
    <font>
      <i/>
      <sz val="10"/>
      <name val="Arial Narrow"/>
      <family val="2"/>
    </font>
    <font>
      <b/>
      <vertAlign val="subscript"/>
      <sz val="10"/>
      <color indexed="43"/>
      <name val="Arial Narrow"/>
      <family val="2"/>
    </font>
    <font>
      <b/>
      <u/>
      <sz val="10"/>
      <name val="Arial"/>
      <family val="2"/>
    </font>
    <font>
      <b/>
      <sz val="14"/>
      <name val="Arial"/>
      <family val="2"/>
    </font>
    <font>
      <sz val="11"/>
      <name val="Arial"/>
      <family val="2"/>
    </font>
    <font>
      <sz val="12"/>
      <name val="Arial"/>
      <family val="2"/>
    </font>
    <font>
      <sz val="10"/>
      <color indexed="10"/>
      <name val="Arial Narrow"/>
      <family val="2"/>
    </font>
    <font>
      <sz val="10"/>
      <color indexed="22"/>
      <name val="Arial"/>
      <family val="2"/>
    </font>
    <font>
      <sz val="10"/>
      <color indexed="16"/>
      <name val="Arial"/>
      <family val="2"/>
    </font>
    <font>
      <b/>
      <sz val="10"/>
      <color indexed="16"/>
      <name val="Arial"/>
      <family val="2"/>
    </font>
    <font>
      <sz val="10"/>
      <color theme="0"/>
      <name val="Arial"/>
      <family val="2"/>
    </font>
    <font>
      <b/>
      <sz val="10"/>
      <color theme="1"/>
      <name val="Arial"/>
      <family val="2"/>
    </font>
    <font>
      <sz val="10"/>
      <color theme="1"/>
      <name val="Arial"/>
      <family val="2"/>
    </font>
    <font>
      <sz val="10"/>
      <color theme="2" tint="-9.9978637043366805E-2"/>
      <name val="Arial"/>
      <family val="2"/>
    </font>
    <font>
      <vertAlign val="subscript"/>
      <sz val="10"/>
      <color theme="2" tint="-9.9978637043366805E-2"/>
      <name val="Arial"/>
      <family val="2"/>
    </font>
    <font>
      <sz val="10"/>
      <color theme="2" tint="-0.249977111117893"/>
      <name val="Arial"/>
      <family val="2"/>
    </font>
    <font>
      <i/>
      <sz val="10"/>
      <color theme="9" tint="-0.249977111117893"/>
      <name val="Arial"/>
      <family val="2"/>
    </font>
    <font>
      <sz val="10"/>
      <color theme="9" tint="-0.249977111117893"/>
      <name val="Arial"/>
      <family val="2"/>
    </font>
    <font>
      <b/>
      <sz val="10"/>
      <color theme="9" tint="-0.249977111117893"/>
      <name val="Arial"/>
      <family val="2"/>
    </font>
    <font>
      <i/>
      <sz val="10"/>
      <color rgb="FF7030A0"/>
      <name val="Arial"/>
      <family val="2"/>
    </font>
    <font>
      <sz val="10"/>
      <color rgb="FFFF0000"/>
      <name val="Arial"/>
      <family val="2"/>
    </font>
    <font>
      <b/>
      <sz val="9"/>
      <color theme="9" tint="-0.249977111117893"/>
      <name val="Arial"/>
      <family val="2"/>
    </font>
    <font>
      <sz val="11"/>
      <color rgb="FFFF0000"/>
      <name val="Arial"/>
      <family val="2"/>
    </font>
    <font>
      <sz val="8"/>
      <color theme="0"/>
      <name val="Arial"/>
      <family val="2"/>
    </font>
    <font>
      <b/>
      <sz val="9"/>
      <name val="Arial"/>
      <family val="2"/>
    </font>
    <font>
      <b/>
      <sz val="8"/>
      <name val="Arial"/>
      <family val="2"/>
    </font>
    <font>
      <sz val="8"/>
      <color theme="1"/>
      <name val="Calibri"/>
      <family val="2"/>
      <scheme val="minor"/>
    </font>
    <font>
      <sz val="9"/>
      <color theme="0"/>
      <name val="Calibri"/>
      <family val="2"/>
      <scheme val="minor"/>
    </font>
    <font>
      <sz val="9"/>
      <color theme="0"/>
      <name val="Arial"/>
      <family val="2"/>
    </font>
    <font>
      <sz val="7"/>
      <color theme="0"/>
      <name val="Arial"/>
      <family val="2"/>
    </font>
    <font>
      <b/>
      <sz val="8"/>
      <color theme="0"/>
      <name val="Arial"/>
      <family val="2"/>
    </font>
    <font>
      <b/>
      <sz val="10"/>
      <color rgb="FFFFFF00"/>
      <name val="Arial"/>
      <family val="2"/>
    </font>
    <font>
      <sz val="10"/>
      <color rgb="FFFFFF00"/>
      <name val="Arial"/>
      <family val="2"/>
    </font>
    <font>
      <u/>
      <sz val="8"/>
      <name val="Arial"/>
      <family val="2"/>
    </font>
    <font>
      <b/>
      <sz val="10"/>
      <color rgb="FFFF0000"/>
      <name val="Arial"/>
      <family val="2"/>
    </font>
    <font>
      <i/>
      <sz val="9"/>
      <name val="Arial"/>
      <family val="2"/>
    </font>
    <font>
      <b/>
      <vertAlign val="subscript"/>
      <sz val="10"/>
      <name val="Arial"/>
      <family val="2"/>
    </font>
    <font>
      <u/>
      <sz val="10"/>
      <color theme="1"/>
      <name val="Arial"/>
      <family val="2"/>
    </font>
    <font>
      <b/>
      <sz val="12"/>
      <color theme="0"/>
      <name val="Arial"/>
      <family val="2"/>
    </font>
    <font>
      <sz val="12"/>
      <color theme="0"/>
      <name val="Arial"/>
      <family val="2"/>
    </font>
    <font>
      <vertAlign val="subscript"/>
      <sz val="12"/>
      <color theme="0"/>
      <name val="Arial"/>
      <family val="2"/>
    </font>
    <font>
      <sz val="10"/>
      <color rgb="FFFF0000"/>
      <name val="Arial Narrow"/>
      <family val="2"/>
    </font>
    <font>
      <i/>
      <sz val="10"/>
      <color rgb="FFFF0000"/>
      <name val="Arial"/>
      <family val="2"/>
    </font>
    <font>
      <b/>
      <i/>
      <sz val="12"/>
      <name val="Arial"/>
      <family val="2"/>
    </font>
    <font>
      <i/>
      <sz val="10"/>
      <color theme="0"/>
      <name val="Arial"/>
      <family val="2"/>
    </font>
    <font>
      <b/>
      <sz val="10"/>
      <color theme="2" tint="-9.9978637043366805E-2"/>
      <name val="Arial"/>
      <family val="2"/>
    </font>
    <font>
      <b/>
      <vertAlign val="subscript"/>
      <sz val="10"/>
      <color theme="2" tint="-9.9978637043366805E-2"/>
      <name val="Arial"/>
      <family val="2"/>
    </font>
    <font>
      <sz val="10"/>
      <color theme="2" tint="-0.499984740745262"/>
      <name val="Arial"/>
      <family val="2"/>
    </font>
    <font>
      <b/>
      <sz val="10"/>
      <color theme="2" tint="-0.499984740745262"/>
      <name val="Arial"/>
      <family val="2"/>
    </font>
    <font>
      <b/>
      <sz val="12"/>
      <color theme="2" tint="-9.9978637043366805E-2"/>
      <name val="Arial"/>
      <family val="2"/>
    </font>
    <font>
      <sz val="12"/>
      <color theme="2" tint="-9.9978637043366805E-2"/>
      <name val="Arial"/>
      <family val="2"/>
    </font>
    <font>
      <u/>
      <sz val="10"/>
      <color theme="2" tint="-0.499984740745262"/>
      <name val="Arial"/>
      <family val="2"/>
    </font>
    <font>
      <b/>
      <sz val="14"/>
      <color theme="2" tint="-9.9978637043366805E-2"/>
      <name val="Arial"/>
      <family val="2"/>
    </font>
    <font>
      <sz val="14"/>
      <color theme="2" tint="-9.9978637043366805E-2"/>
      <name val="Arial"/>
      <family val="2"/>
    </font>
    <font>
      <b/>
      <u/>
      <sz val="10"/>
      <color theme="2" tint="-0.499984740745262"/>
      <name val="Arial"/>
      <family val="2"/>
    </font>
    <font>
      <sz val="16"/>
      <color rgb="FFFFFF99"/>
      <name val="Arial"/>
      <family val="2"/>
    </font>
    <font>
      <b/>
      <i/>
      <sz val="9"/>
      <color theme="0"/>
      <name val="Arial"/>
      <family val="2"/>
    </font>
    <font>
      <sz val="14"/>
      <name val="Arial"/>
      <family val="2"/>
    </font>
    <font>
      <b/>
      <sz val="12"/>
      <name val="Arial"/>
      <family val="2"/>
    </font>
    <font>
      <b/>
      <sz val="11"/>
      <color theme="2" tint="-9.9978637043366805E-2"/>
      <name val="Arial"/>
      <family val="2"/>
    </font>
    <font>
      <sz val="11"/>
      <color theme="2" tint="-9.9978637043366805E-2"/>
      <name val="Arial"/>
      <family val="2"/>
    </font>
    <font>
      <i/>
      <sz val="11"/>
      <color theme="2" tint="-9.9978637043366805E-2"/>
      <name val="Arial"/>
      <family val="2"/>
    </font>
    <font>
      <sz val="14"/>
      <color theme="4"/>
      <name val="Arial"/>
      <family val="2"/>
    </font>
    <font>
      <i/>
      <sz val="12"/>
      <color theme="2" tint="-9.9978637043366805E-2"/>
      <name val="Arial"/>
      <family val="2"/>
    </font>
    <font>
      <b/>
      <sz val="8.5"/>
      <name val="Arial"/>
      <family val="2"/>
    </font>
    <font>
      <b/>
      <sz val="11"/>
      <color theme="4"/>
      <name val="Arial"/>
      <family val="2"/>
    </font>
    <font>
      <b/>
      <sz val="10"/>
      <color theme="0"/>
      <name val="Arial"/>
      <family val="2"/>
    </font>
    <font>
      <b/>
      <sz val="10"/>
      <color theme="1" tint="0.14999847407452621"/>
      <name val="Arial"/>
      <family val="2"/>
    </font>
    <font>
      <b/>
      <sz val="24"/>
      <color theme="0"/>
      <name val="Arial"/>
      <family val="2"/>
    </font>
    <font>
      <b/>
      <sz val="11"/>
      <name val="Arial"/>
      <family val="2"/>
    </font>
    <font>
      <b/>
      <i/>
      <sz val="11"/>
      <color theme="1"/>
      <name val="Arial"/>
      <family val="2"/>
    </font>
    <font>
      <b/>
      <sz val="10"/>
      <color theme="2" tint="-0.249977111117893"/>
      <name val="Arial"/>
      <family val="2"/>
    </font>
    <font>
      <b/>
      <sz val="14"/>
      <color theme="0"/>
      <name val="Arial"/>
      <family val="2"/>
    </font>
    <font>
      <sz val="8"/>
      <color theme="2" tint="-0.249977111117893"/>
      <name val="Arial"/>
      <family val="2"/>
    </font>
    <font>
      <sz val="16"/>
      <name val="Arial"/>
      <family val="2"/>
    </font>
    <font>
      <b/>
      <sz val="9"/>
      <color theme="2" tint="-9.9978637043366805E-2"/>
      <name val="Arial"/>
      <family val="2"/>
    </font>
    <font>
      <sz val="11"/>
      <name val="Calibri"/>
      <family val="2"/>
      <scheme val="minor"/>
    </font>
    <font>
      <sz val="11"/>
      <color rgb="FF000000"/>
      <name val="Calibri"/>
      <family val="2"/>
      <scheme val="minor"/>
    </font>
    <font>
      <sz val="11"/>
      <name val="Calibri"/>
      <family val="3"/>
      <charset val="134"/>
      <scheme val="minor"/>
    </font>
    <font>
      <sz val="10"/>
      <name val="Arial"/>
      <family val="2"/>
    </font>
    <font>
      <b/>
      <sz val="11"/>
      <color theme="2" tint="-0.499984740745262"/>
      <name val="Arial"/>
      <family val="2"/>
    </font>
    <font>
      <b/>
      <sz val="10"/>
      <color theme="0" tint="-0.14999847407452621"/>
      <name val="Arial"/>
      <family val="2"/>
    </font>
    <font>
      <sz val="11"/>
      <color rgb="FF0000FF"/>
      <name val="Calibri"/>
      <family val="2"/>
      <scheme val="minor"/>
    </font>
    <font>
      <sz val="10"/>
      <color theme="1"/>
      <name val="Calibri"/>
      <family val="2"/>
      <scheme val="minor"/>
    </font>
    <font>
      <b/>
      <sz val="11"/>
      <color theme="1"/>
      <name val="Calibri"/>
      <family val="2"/>
      <scheme val="minor"/>
    </font>
    <font>
      <sz val="10"/>
      <color theme="3" tint="-0.249977111117893"/>
      <name val="Arial"/>
      <family val="2"/>
    </font>
    <font>
      <b/>
      <sz val="10"/>
      <color rgb="FFFF0000"/>
      <name val="Arial Narrow"/>
      <family val="2"/>
    </font>
    <font>
      <sz val="10"/>
      <name val="Arial"/>
      <family val="2"/>
    </font>
    <font>
      <b/>
      <sz val="9"/>
      <color theme="1"/>
      <name val="Arial"/>
      <family val="2"/>
    </font>
    <font>
      <b/>
      <u/>
      <vertAlign val="subscript"/>
      <sz val="10"/>
      <name val="Arial"/>
      <family val="2"/>
    </font>
    <font>
      <i/>
      <u/>
      <sz val="10"/>
      <name val="Arial"/>
      <family val="2"/>
    </font>
    <font>
      <b/>
      <i/>
      <sz val="10"/>
      <color theme="2" tint="-9.9978637043366805E-2"/>
      <name val="Arial"/>
      <family val="2"/>
    </font>
    <font>
      <u/>
      <sz val="10"/>
      <color theme="2" tint="-9.9978637043366805E-2"/>
      <name val="Arial"/>
      <family val="2"/>
    </font>
    <font>
      <sz val="9"/>
      <color indexed="48"/>
      <name val="Arial"/>
      <family val="2"/>
    </font>
    <font>
      <sz val="10"/>
      <color theme="5" tint="0.59999389629810485"/>
      <name val="Arial"/>
      <family val="2"/>
    </font>
  </fonts>
  <fills count="8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63"/>
        <bgColor indexed="64"/>
      </patternFill>
    </fill>
    <fill>
      <patternFill patternType="solid">
        <fgColor indexed="45"/>
        <bgColor indexed="64"/>
      </patternFill>
    </fill>
    <fill>
      <patternFill patternType="solid">
        <fgColor indexed="8"/>
        <bgColor indexed="64"/>
      </patternFill>
    </fill>
    <fill>
      <patternFill patternType="solid">
        <fgColor indexed="42"/>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21"/>
        <bgColor indexed="64"/>
      </patternFill>
    </fill>
    <fill>
      <patternFill patternType="solid">
        <fgColor indexed="40"/>
        <bgColor indexed="64"/>
      </patternFill>
    </fill>
    <fill>
      <patternFill patternType="solid">
        <fgColor indexed="15"/>
        <bgColor indexed="64"/>
      </patternFill>
    </fill>
    <fill>
      <patternFill patternType="solid">
        <fgColor indexed="50"/>
        <bgColor indexed="64"/>
      </patternFill>
    </fill>
    <fill>
      <patternFill patternType="solid">
        <fgColor indexed="41"/>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14"/>
        <bgColor indexed="64"/>
      </patternFill>
    </fill>
    <fill>
      <patternFill patternType="solid">
        <fgColor indexed="55"/>
        <bgColor indexed="64"/>
      </patternFill>
    </fill>
    <fill>
      <patternFill patternType="gray0625">
        <fgColor indexed="55"/>
        <bgColor indexed="45"/>
      </patternFill>
    </fill>
    <fill>
      <patternFill patternType="solid">
        <fgColor indexed="6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66"/>
        <bgColor indexed="64"/>
      </patternFill>
    </fill>
    <fill>
      <patternFill patternType="solid">
        <fgColor theme="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99FF99"/>
        <bgColor indexed="64"/>
      </patternFill>
    </fill>
    <fill>
      <patternFill patternType="solid">
        <fgColor rgb="FFCCFF99"/>
        <bgColor indexed="64"/>
      </patternFill>
    </fill>
    <fill>
      <patternFill patternType="solid">
        <fgColor theme="8" tint="0.39997558519241921"/>
        <bgColor indexed="64"/>
      </patternFill>
    </fill>
    <fill>
      <patternFill patternType="solid">
        <fgColor theme="6" tint="-0.49998474074526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2" tint="-0.749992370372631"/>
        <bgColor indexed="64"/>
      </patternFill>
    </fill>
    <fill>
      <patternFill patternType="solid">
        <fgColor theme="5"/>
        <bgColor indexed="64"/>
      </patternFill>
    </fill>
    <fill>
      <patternFill patternType="solid">
        <fgColor rgb="FFFFCCFF"/>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theme="3" tint="0.79998168889431442"/>
        <bgColor indexed="64"/>
      </patternFill>
    </fill>
    <fill>
      <gradientFill type="path" left="0.5" right="0.5" top="0.5" bottom="0.5">
        <stop position="0">
          <color theme="9" tint="-0.25098422193060094"/>
        </stop>
        <stop position="1">
          <color theme="9" tint="0.59999389629810485"/>
        </stop>
      </gradientFill>
    </fill>
    <fill>
      <patternFill patternType="solid">
        <fgColor theme="5" tint="0.79998168889431442"/>
        <bgColor indexed="64"/>
      </patternFill>
    </fill>
    <fill>
      <patternFill patternType="solid">
        <fgColor theme="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2"/>
        <bgColor indexed="64"/>
      </patternFill>
    </fill>
    <fill>
      <patternFill patternType="solid">
        <fgColor theme="5" tint="-0.249977111117893"/>
        <bgColor indexed="64"/>
      </patternFill>
    </fill>
    <fill>
      <patternFill patternType="solid">
        <fgColor rgb="FF92CDDC"/>
        <bgColor indexed="64"/>
      </patternFill>
    </fill>
    <fill>
      <patternFill patternType="solid">
        <fgColor theme="3" tint="-0.249977111117893"/>
        <bgColor indexed="64"/>
      </patternFill>
    </fill>
    <fill>
      <patternFill patternType="solid">
        <fgColor rgb="FFCCECFF"/>
        <bgColor indexed="64"/>
      </patternFill>
    </fill>
    <fill>
      <patternFill patternType="solid">
        <fgColor rgb="FFFF0000"/>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s>
  <cellStyleXfs count="14">
    <xf numFmtId="0" fontId="0" fillId="0" borderId="0"/>
    <xf numFmtId="0" fontId="12" fillId="0" borderId="0" applyNumberFormat="0" applyFill="0" applyBorder="0" applyAlignment="0" applyProtection="0">
      <alignment vertical="top"/>
      <protection locked="0"/>
    </xf>
    <xf numFmtId="0" fontId="17" fillId="0" borderId="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38" fillId="0" borderId="0" applyFont="0" applyFill="0" applyBorder="0" applyAlignment="0" applyProtection="0"/>
    <xf numFmtId="0" fontId="3" fillId="0" borderId="0"/>
    <xf numFmtId="0" fontId="2" fillId="0" borderId="0"/>
    <xf numFmtId="164" fontId="146" fillId="0" borderId="0" applyFont="0" applyFill="0" applyBorder="0" applyAlignment="0" applyProtection="0"/>
  </cellStyleXfs>
  <cellXfs count="4114">
    <xf numFmtId="0" fontId="0" fillId="0" borderId="0" xfId="0"/>
    <xf numFmtId="0" fontId="0" fillId="2" borderId="0" xfId="0" applyFill="1"/>
    <xf numFmtId="0" fontId="5" fillId="2" borderId="1" xfId="0" applyFont="1" applyFill="1" applyBorder="1"/>
    <xf numFmtId="0" fontId="5" fillId="2" borderId="2" xfId="0" applyFont="1" applyFill="1" applyBorder="1"/>
    <xf numFmtId="0" fontId="0" fillId="2" borderId="3" xfId="0" applyFill="1" applyBorder="1"/>
    <xf numFmtId="0" fontId="5" fillId="2" borderId="0" xfId="0" applyFont="1" applyFill="1" applyBorder="1"/>
    <xf numFmtId="0" fontId="0" fillId="2" borderId="0" xfId="0" applyFill="1" applyBorder="1"/>
    <xf numFmtId="0" fontId="0" fillId="2" borderId="4" xfId="0" applyFill="1" applyBorder="1"/>
    <xf numFmtId="0" fontId="0" fillId="2" borderId="6" xfId="0" applyFill="1" applyBorder="1"/>
    <xf numFmtId="0" fontId="0" fillId="2" borderId="0" xfId="0" applyFill="1" applyAlignment="1">
      <alignment horizontal="center"/>
    </xf>
    <xf numFmtId="0" fontId="0" fillId="2" borderId="0" xfId="0" applyFill="1" applyBorder="1" applyAlignment="1">
      <alignment horizontal="center"/>
    </xf>
    <xf numFmtId="0" fontId="5" fillId="3" borderId="9" xfId="0" applyFont="1" applyFill="1" applyBorder="1"/>
    <xf numFmtId="0" fontId="0" fillId="4" borderId="0" xfId="0" applyFill="1"/>
    <xf numFmtId="0" fontId="0" fillId="3" borderId="0" xfId="0" applyFill="1" applyBorder="1"/>
    <xf numFmtId="0" fontId="5" fillId="3" borderId="0" xfId="0" applyFont="1" applyFill="1" applyBorder="1"/>
    <xf numFmtId="0" fontId="5" fillId="2" borderId="0" xfId="0" applyFont="1" applyFill="1"/>
    <xf numFmtId="0" fontId="5" fillId="3" borderId="0" xfId="0" applyFont="1" applyFill="1"/>
    <xf numFmtId="0" fontId="0" fillId="3" borderId="0" xfId="0" applyFill="1"/>
    <xf numFmtId="0" fontId="5" fillId="3" borderId="10" xfId="0" applyFont="1" applyFill="1" applyBorder="1"/>
    <xf numFmtId="0" fontId="0" fillId="2" borderId="0" xfId="0" applyFill="1" applyAlignment="1">
      <alignment horizontal="left"/>
    </xf>
    <xf numFmtId="0" fontId="5" fillId="3" borderId="12" xfId="0" applyFont="1" applyFill="1" applyBorder="1"/>
    <xf numFmtId="0" fontId="0" fillId="6" borderId="0" xfId="0" applyFill="1" applyBorder="1"/>
    <xf numFmtId="0" fontId="0" fillId="3" borderId="13" xfId="0" applyFill="1" applyBorder="1"/>
    <xf numFmtId="0" fontId="0" fillId="3" borderId="14" xfId="0" applyFill="1" applyBorder="1"/>
    <xf numFmtId="0" fontId="5" fillId="3" borderId="15" xfId="0" applyFont="1" applyFill="1" applyBorder="1"/>
    <xf numFmtId="0" fontId="12" fillId="2" borderId="0" xfId="1" applyFill="1" applyAlignment="1" applyProtection="1"/>
    <xf numFmtId="0" fontId="7" fillId="2" borderId="0" xfId="0" applyFont="1" applyFill="1" applyAlignment="1">
      <alignment horizontal="left"/>
    </xf>
    <xf numFmtId="0" fontId="0" fillId="2" borderId="0" xfId="0" applyFill="1" applyBorder="1" applyAlignment="1">
      <alignment horizontal="left"/>
    </xf>
    <xf numFmtId="0" fontId="0" fillId="3" borderId="16" xfId="0" applyFill="1" applyBorder="1"/>
    <xf numFmtId="0" fontId="14" fillId="7" borderId="17" xfId="0" applyFont="1" applyFill="1" applyBorder="1"/>
    <xf numFmtId="0" fontId="0" fillId="3" borderId="0" xfId="0" applyFill="1" applyAlignment="1">
      <alignment horizontal="center"/>
    </xf>
    <xf numFmtId="0" fontId="0" fillId="3" borderId="18" xfId="0" applyFill="1" applyBorder="1" applyAlignment="1">
      <alignment horizontal="center"/>
    </xf>
    <xf numFmtId="0" fontId="0" fillId="2" borderId="0" xfId="0" applyFill="1" applyAlignment="1">
      <alignment vertical="center"/>
    </xf>
    <xf numFmtId="0" fontId="0" fillId="8" borderId="0" xfId="0" applyFill="1" applyAlignment="1">
      <alignment horizontal="center" vertical="center"/>
    </xf>
    <xf numFmtId="0" fontId="0" fillId="8" borderId="0" xfId="0" applyFill="1" applyAlignment="1">
      <alignment vertical="center"/>
    </xf>
    <xf numFmtId="0" fontId="17" fillId="3" borderId="0" xfId="0" applyFont="1" applyFill="1" applyAlignment="1">
      <alignment horizontal="left"/>
    </xf>
    <xf numFmtId="0" fontId="0" fillId="6" borderId="0" xfId="0" applyFill="1" applyAlignment="1">
      <alignment horizontal="center"/>
    </xf>
    <xf numFmtId="165" fontId="17" fillId="6" borderId="0" xfId="0" applyNumberFormat="1" applyFont="1" applyFill="1" applyAlignment="1">
      <alignment horizontal="center"/>
    </xf>
    <xf numFmtId="0" fontId="6" fillId="3" borderId="0" xfId="0" applyFont="1" applyFill="1"/>
    <xf numFmtId="0" fontId="14" fillId="7" borderId="19" xfId="0" applyFont="1" applyFill="1" applyBorder="1" applyAlignment="1">
      <alignment horizontal="center"/>
    </xf>
    <xf numFmtId="0" fontId="14" fillId="7" borderId="19" xfId="0" applyFont="1" applyFill="1" applyBorder="1"/>
    <xf numFmtId="0" fontId="14" fillId="7" borderId="19" xfId="0" applyFont="1" applyFill="1" applyBorder="1" applyAlignment="1">
      <alignment horizontal="left"/>
    </xf>
    <xf numFmtId="0" fontId="14" fillId="7" borderId="19" xfId="0" applyFont="1" applyFill="1" applyBorder="1" applyAlignment="1">
      <alignment horizontal="right"/>
    </xf>
    <xf numFmtId="165" fontId="14" fillId="7" borderId="19" xfId="0" applyNumberFormat="1" applyFont="1" applyFill="1" applyBorder="1" applyAlignment="1">
      <alignment horizontal="center"/>
    </xf>
    <xf numFmtId="165" fontId="14" fillId="7" borderId="20" xfId="0" applyNumberFormat="1" applyFont="1" applyFill="1" applyBorder="1" applyAlignment="1">
      <alignment horizontal="center"/>
    </xf>
    <xf numFmtId="0" fontId="0" fillId="6" borderId="0" xfId="0" applyFill="1"/>
    <xf numFmtId="0" fontId="17" fillId="2" borderId="0" xfId="0" applyFont="1" applyFill="1" applyAlignment="1">
      <alignment horizontal="center"/>
    </xf>
    <xf numFmtId="0" fontId="17" fillId="2" borderId="0" xfId="0" applyFont="1" applyFill="1" applyAlignment="1">
      <alignment horizontal="left"/>
    </xf>
    <xf numFmtId="0" fontId="5" fillId="2" borderId="0" xfId="0" applyFont="1" applyFill="1" applyAlignment="1">
      <alignment horizontal="left"/>
    </xf>
    <xf numFmtId="0" fontId="17" fillId="2" borderId="0" xfId="0" applyFont="1" applyFill="1"/>
    <xf numFmtId="0" fontId="14" fillId="9" borderId="17" xfId="0" applyFont="1" applyFill="1" applyBorder="1"/>
    <xf numFmtId="0" fontId="14" fillId="9" borderId="20" xfId="0" applyFont="1" applyFill="1" applyBorder="1" applyAlignment="1">
      <alignment horizontal="center"/>
    </xf>
    <xf numFmtId="0" fontId="14" fillId="9" borderId="19" xfId="0" applyFont="1" applyFill="1" applyBorder="1" applyAlignment="1">
      <alignment horizontal="center"/>
    </xf>
    <xf numFmtId="0" fontId="14" fillId="9" borderId="19" xfId="0" applyFont="1" applyFill="1" applyBorder="1"/>
    <xf numFmtId="0" fontId="14" fillId="9" borderId="20" xfId="0" applyFont="1" applyFill="1" applyBorder="1"/>
    <xf numFmtId="165" fontId="0" fillId="2" borderId="0" xfId="0" applyNumberFormat="1" applyFill="1" applyAlignment="1">
      <alignment horizontal="center"/>
    </xf>
    <xf numFmtId="0" fontId="0" fillId="3" borderId="20" xfId="0" applyFill="1" applyBorder="1" applyAlignment="1">
      <alignment horizontal="center"/>
    </xf>
    <xf numFmtId="0" fontId="0" fillId="3" borderId="19" xfId="0" applyFill="1" applyBorder="1" applyAlignment="1">
      <alignment horizontal="center"/>
    </xf>
    <xf numFmtId="0" fontId="0" fillId="0" borderId="0" xfId="0" applyAlignment="1">
      <alignment horizontal="center"/>
    </xf>
    <xf numFmtId="0" fontId="0" fillId="0" borderId="0" xfId="0" applyAlignment="1">
      <alignment horizontal="left"/>
    </xf>
    <xf numFmtId="0" fontId="0" fillId="4" borderId="4" xfId="0" applyFill="1" applyBorder="1"/>
    <xf numFmtId="0" fontId="22" fillId="10" borderId="0" xfId="0" applyFont="1" applyFill="1" applyAlignment="1">
      <alignment horizontal="center"/>
    </xf>
    <xf numFmtId="0" fontId="0" fillId="10" borderId="0" xfId="0" applyFill="1" applyAlignment="1">
      <alignment horizontal="center"/>
    </xf>
    <xf numFmtId="0" fontId="0" fillId="10" borderId="0" xfId="0" applyFill="1"/>
    <xf numFmtId="0" fontId="22" fillId="3" borderId="0" xfId="0" applyFont="1" applyFill="1" applyAlignment="1">
      <alignment horizontal="center"/>
    </xf>
    <xf numFmtId="0" fontId="4" fillId="3" borderId="0" xfId="0" applyFont="1" applyFill="1" applyAlignment="1">
      <alignment horizontal="center"/>
    </xf>
    <xf numFmtId="0" fontId="4" fillId="3" borderId="0" xfId="0" applyFont="1" applyFill="1"/>
    <xf numFmtId="0" fontId="23" fillId="3" borderId="0" xfId="0" applyFont="1" applyFill="1" applyBorder="1"/>
    <xf numFmtId="0" fontId="22" fillId="3" borderId="0" xfId="0" applyFont="1" applyFill="1"/>
    <xf numFmtId="0" fontId="0" fillId="3" borderId="0" xfId="0" applyFill="1" applyAlignment="1">
      <alignment horizontal="left"/>
    </xf>
    <xf numFmtId="0" fontId="0" fillId="11" borderId="0" xfId="0" applyFill="1"/>
    <xf numFmtId="0" fontId="0" fillId="11" borderId="0" xfId="0" applyFill="1" applyAlignment="1">
      <alignment horizontal="center"/>
    </xf>
    <xf numFmtId="9" fontId="0" fillId="11" borderId="0" xfId="0" applyNumberFormat="1" applyFill="1" applyAlignment="1">
      <alignment horizontal="center"/>
    </xf>
    <xf numFmtId="0" fontId="22" fillId="11" borderId="0" xfId="0" applyFont="1" applyFill="1" applyAlignment="1">
      <alignment horizontal="center"/>
    </xf>
    <xf numFmtId="0" fontId="4" fillId="11" borderId="0" xfId="0" applyFont="1" applyFill="1" applyAlignment="1">
      <alignment horizontal="center"/>
    </xf>
    <xf numFmtId="0" fontId="5" fillId="3" borderId="0" xfId="0" applyFont="1" applyFill="1" applyAlignment="1">
      <alignment horizontal="center"/>
    </xf>
    <xf numFmtId="9" fontId="5" fillId="3" borderId="0" xfId="0" applyNumberFormat="1" applyFont="1" applyFill="1" applyAlignment="1">
      <alignment horizontal="center"/>
    </xf>
    <xf numFmtId="0" fontId="13" fillId="3" borderId="0" xfId="0" applyFont="1" applyFill="1" applyAlignment="1">
      <alignment horizontal="center"/>
    </xf>
    <xf numFmtId="9" fontId="22" fillId="3" borderId="0" xfId="0" applyNumberFormat="1" applyFont="1" applyFill="1" applyAlignment="1">
      <alignment horizontal="center"/>
    </xf>
    <xf numFmtId="1" fontId="0" fillId="3" borderId="0" xfId="0" applyNumberFormat="1" applyFill="1" applyAlignment="1">
      <alignment horizontal="center"/>
    </xf>
    <xf numFmtId="1" fontId="0" fillId="2" borderId="0" xfId="0" applyNumberFormat="1" applyFill="1"/>
    <xf numFmtId="9" fontId="23" fillId="3" borderId="0" xfId="0" applyNumberFormat="1" applyFont="1" applyFill="1" applyAlignment="1">
      <alignment horizontal="center"/>
    </xf>
    <xf numFmtId="9" fontId="22" fillId="3" borderId="0" xfId="0" applyNumberFormat="1" applyFont="1" applyFill="1" applyAlignment="1">
      <alignment horizontal="left"/>
    </xf>
    <xf numFmtId="0" fontId="22" fillId="3" borderId="0" xfId="0" applyFont="1" applyFill="1" applyAlignment="1">
      <alignment horizontal="left"/>
    </xf>
    <xf numFmtId="0" fontId="17" fillId="3" borderId="0" xfId="0" applyFont="1" applyFill="1" applyAlignment="1">
      <alignment horizontal="center"/>
    </xf>
    <xf numFmtId="0" fontId="17" fillId="3" borderId="0" xfId="0" applyFont="1" applyFill="1"/>
    <xf numFmtId="0" fontId="0" fillId="4" borderId="0" xfId="0" applyFill="1" applyAlignment="1">
      <alignment horizontal="center"/>
    </xf>
    <xf numFmtId="0" fontId="0" fillId="12" borderId="0" xfId="0" applyFill="1"/>
    <xf numFmtId="0" fontId="5" fillId="3" borderId="21" xfId="0" applyFont="1" applyFill="1" applyBorder="1"/>
    <xf numFmtId="0" fontId="0" fillId="6" borderId="0" xfId="0" applyFill="1" applyBorder="1" applyAlignment="1">
      <alignment horizontal="left"/>
    </xf>
    <xf numFmtId="0" fontId="0" fillId="6" borderId="18" xfId="0" applyFill="1" applyBorder="1"/>
    <xf numFmtId="0" fontId="0" fillId="6" borderId="22" xfId="0" applyFill="1" applyBorder="1" applyAlignment="1">
      <alignment horizontal="left"/>
    </xf>
    <xf numFmtId="0" fontId="0" fillId="6" borderId="22" xfId="0" applyFill="1" applyBorder="1"/>
    <xf numFmtId="0" fontId="0" fillId="6" borderId="23" xfId="0" applyFill="1" applyBorder="1"/>
    <xf numFmtId="0" fontId="0" fillId="13" borderId="0" xfId="0" applyFill="1"/>
    <xf numFmtId="0" fontId="0" fillId="12" borderId="0" xfId="0" applyFill="1" applyBorder="1"/>
    <xf numFmtId="0" fontId="4" fillId="12" borderId="0" xfId="0" applyFont="1" applyFill="1" applyAlignment="1">
      <alignment horizontal="left"/>
    </xf>
    <xf numFmtId="0" fontId="4" fillId="3" borderId="0" xfId="0" applyFont="1" applyFill="1" applyAlignment="1">
      <alignment horizontal="left"/>
    </xf>
    <xf numFmtId="0" fontId="5" fillId="3" borderId="0" xfId="0" applyFont="1" applyFill="1" applyAlignment="1">
      <alignment horizontal="left"/>
    </xf>
    <xf numFmtId="0" fontId="0" fillId="12" borderId="0" xfId="0" applyFill="1" applyAlignment="1">
      <alignment horizontal="left"/>
    </xf>
    <xf numFmtId="0" fontId="5" fillId="12" borderId="0" xfId="0" applyFont="1" applyFill="1" applyAlignment="1">
      <alignment horizontal="left"/>
    </xf>
    <xf numFmtId="0" fontId="0" fillId="12" borderId="0" xfId="0" applyFill="1" applyAlignment="1">
      <alignment horizontal="center"/>
    </xf>
    <xf numFmtId="0" fontId="17" fillId="10" borderId="0" xfId="0" applyFont="1" applyFill="1"/>
    <xf numFmtId="0" fontId="23" fillId="3" borderId="0" xfId="0" applyFont="1" applyFill="1"/>
    <xf numFmtId="0" fontId="17" fillId="12" borderId="0" xfId="0" applyFont="1" applyFill="1"/>
    <xf numFmtId="0" fontId="17" fillId="11" borderId="0" xfId="0" applyFont="1" applyFill="1"/>
    <xf numFmtId="0" fontId="17" fillId="4" borderId="0" xfId="0" applyFont="1" applyFill="1"/>
    <xf numFmtId="0" fontId="17" fillId="0" borderId="0" xfId="0" applyFont="1"/>
    <xf numFmtId="0" fontId="0" fillId="6" borderId="24" xfId="0" applyFill="1" applyBorder="1" applyAlignment="1">
      <alignment horizontal="left"/>
    </xf>
    <xf numFmtId="0" fontId="0" fillId="6" borderId="24" xfId="0" applyFill="1" applyBorder="1"/>
    <xf numFmtId="0" fontId="0" fillId="6" borderId="16" xfId="0" applyFill="1" applyBorder="1"/>
    <xf numFmtId="0" fontId="17" fillId="2" borderId="0" xfId="0" applyFont="1" applyFill="1" applyBorder="1"/>
    <xf numFmtId="0" fontId="17" fillId="2" borderId="0" xfId="0" applyFont="1" applyFill="1" applyBorder="1" applyAlignment="1">
      <alignment horizontal="left"/>
    </xf>
    <xf numFmtId="0" fontId="0" fillId="3" borderId="21" xfId="0" applyFill="1" applyBorder="1"/>
    <xf numFmtId="0" fontId="0" fillId="3" borderId="25" xfId="0" applyFill="1" applyBorder="1"/>
    <xf numFmtId="0" fontId="0" fillId="3" borderId="23" xfId="0" applyFill="1" applyBorder="1"/>
    <xf numFmtId="0" fontId="17" fillId="3" borderId="25" xfId="0" applyFont="1" applyFill="1" applyBorder="1"/>
    <xf numFmtId="0" fontId="5" fillId="3" borderId="23" xfId="0" applyFont="1" applyFill="1" applyBorder="1"/>
    <xf numFmtId="0" fontId="5" fillId="3" borderId="28" xfId="0" applyFont="1" applyFill="1" applyBorder="1"/>
    <xf numFmtId="0" fontId="24" fillId="3" borderId="0" xfId="0" applyFont="1" applyFill="1"/>
    <xf numFmtId="0" fontId="22" fillId="3" borderId="0" xfId="0" applyFont="1" applyFill="1" applyBorder="1"/>
    <xf numFmtId="2" fontId="0" fillId="2" borderId="0" xfId="0" applyNumberFormat="1" applyFill="1" applyBorder="1"/>
    <xf numFmtId="0" fontId="0" fillId="3" borderId="25" xfId="0" applyFill="1" applyBorder="1" applyAlignment="1">
      <alignment horizontal="center"/>
    </xf>
    <xf numFmtId="0" fontId="0" fillId="3" borderId="22" xfId="0" applyFill="1" applyBorder="1" applyAlignment="1">
      <alignment horizontal="center"/>
    </xf>
    <xf numFmtId="0" fontId="0" fillId="3" borderId="22" xfId="0" applyFill="1" applyBorder="1"/>
    <xf numFmtId="0" fontId="0" fillId="3" borderId="23" xfId="0" applyFill="1" applyBorder="1" applyAlignment="1">
      <alignment horizontal="center"/>
    </xf>
    <xf numFmtId="0" fontId="0" fillId="3" borderId="21" xfId="0" applyFill="1" applyBorder="1" applyAlignment="1">
      <alignment horizontal="center"/>
    </xf>
    <xf numFmtId="0" fontId="0" fillId="3" borderId="0" xfId="0" applyFill="1" applyBorder="1" applyAlignment="1">
      <alignment horizontal="center"/>
    </xf>
    <xf numFmtId="0" fontId="17" fillId="3" borderId="0" xfId="0" applyFont="1" applyFill="1" applyBorder="1" applyAlignment="1">
      <alignment horizontal="left"/>
    </xf>
    <xf numFmtId="0" fontId="0" fillId="3" borderId="17"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4" fillId="12" borderId="0" xfId="0" applyFont="1" applyFill="1" applyAlignment="1">
      <alignment horizontal="center"/>
    </xf>
    <xf numFmtId="0" fontId="0" fillId="3" borderId="9" xfId="0" applyFill="1" applyBorder="1" applyAlignment="1">
      <alignment horizontal="center"/>
    </xf>
    <xf numFmtId="0" fontId="0" fillId="3" borderId="16" xfId="0" applyFill="1" applyBorder="1" applyAlignment="1">
      <alignment horizontal="left"/>
    </xf>
    <xf numFmtId="0" fontId="0" fillId="3" borderId="24" xfId="0" applyFill="1" applyBorder="1"/>
    <xf numFmtId="0" fontId="5" fillId="2" borderId="0" xfId="0" applyFont="1" applyFill="1" applyBorder="1" applyAlignment="1">
      <alignment horizontal="center" vertical="center"/>
    </xf>
    <xf numFmtId="0" fontId="5" fillId="3" borderId="22" xfId="0" applyFont="1" applyFill="1" applyBorder="1" applyAlignment="1">
      <alignment horizontal="left"/>
    </xf>
    <xf numFmtId="0" fontId="5" fillId="3" borderId="22" xfId="0" applyFont="1" applyFill="1" applyBorder="1"/>
    <xf numFmtId="0" fontId="27" fillId="2" borderId="0" xfId="0" applyFont="1" applyFill="1"/>
    <xf numFmtId="0" fontId="27" fillId="2" borderId="0" xfId="0" applyFont="1" applyFill="1" applyAlignment="1">
      <alignment horizontal="center"/>
    </xf>
    <xf numFmtId="0" fontId="17" fillId="3" borderId="9" xfId="0" applyFont="1" applyFill="1" applyBorder="1" applyAlignment="1">
      <alignment horizontal="center"/>
    </xf>
    <xf numFmtId="0" fontId="17" fillId="3" borderId="22" xfId="0" applyFont="1" applyFill="1" applyBorder="1" applyAlignment="1">
      <alignment horizontal="center"/>
    </xf>
    <xf numFmtId="0" fontId="0" fillId="3" borderId="18" xfId="0" applyFill="1" applyBorder="1" applyAlignment="1">
      <alignment horizontal="left"/>
    </xf>
    <xf numFmtId="0" fontId="17" fillId="3" borderId="22" xfId="0" applyFont="1" applyFill="1" applyBorder="1" applyAlignment="1">
      <alignment horizontal="left"/>
    </xf>
    <xf numFmtId="0" fontId="29" fillId="2" borderId="0" xfId="0" applyFont="1" applyFill="1"/>
    <xf numFmtId="0" fontId="0" fillId="11" borderId="21" xfId="0" applyFill="1" applyBorder="1" applyAlignment="1">
      <alignment horizontal="center"/>
    </xf>
    <xf numFmtId="0" fontId="0" fillId="6" borderId="21" xfId="0" applyFill="1" applyBorder="1" applyAlignment="1">
      <alignment horizontal="center"/>
    </xf>
    <xf numFmtId="0" fontId="0" fillId="6" borderId="25" xfId="0" applyFill="1" applyBorder="1" applyAlignment="1">
      <alignment horizontal="center"/>
    </xf>
    <xf numFmtId="0" fontId="0" fillId="8" borderId="18" xfId="0" applyFill="1" applyBorder="1" applyAlignment="1">
      <alignment horizontal="center"/>
    </xf>
    <xf numFmtId="0" fontId="0" fillId="3" borderId="9" xfId="0" applyFill="1" applyBorder="1"/>
    <xf numFmtId="0" fontId="0" fillId="11" borderId="0" xfId="0" applyFill="1" applyBorder="1" applyAlignment="1">
      <alignment horizontal="center" vertical="center"/>
    </xf>
    <xf numFmtId="0" fontId="0" fillId="11" borderId="18" xfId="0" applyFill="1" applyBorder="1" applyAlignment="1">
      <alignment horizontal="left" vertical="center" wrapText="1"/>
    </xf>
    <xf numFmtId="0" fontId="0" fillId="6" borderId="21" xfId="0" applyFill="1" applyBorder="1"/>
    <xf numFmtId="0" fontId="0" fillId="6" borderId="25" xfId="0" applyFill="1" applyBorder="1"/>
    <xf numFmtId="0" fontId="5" fillId="6" borderId="10" xfId="0" applyFont="1" applyFill="1" applyBorder="1"/>
    <xf numFmtId="0" fontId="0" fillId="6" borderId="29" xfId="0" applyFill="1" applyBorder="1"/>
    <xf numFmtId="0" fontId="0" fillId="6" borderId="29" xfId="0" applyFill="1" applyBorder="1" applyAlignment="1">
      <alignment horizontal="center"/>
    </xf>
    <xf numFmtId="1" fontId="5" fillId="6" borderId="29" xfId="0" applyNumberFormat="1" applyFont="1" applyFill="1" applyBorder="1" applyAlignment="1">
      <alignment horizontal="center"/>
    </xf>
    <xf numFmtId="1" fontId="5" fillId="6" borderId="11" xfId="0" applyNumberFormat="1" applyFont="1" applyFill="1" applyBorder="1" applyAlignment="1">
      <alignment horizontal="center"/>
    </xf>
    <xf numFmtId="0" fontId="14" fillId="9" borderId="0" xfId="0" applyFont="1" applyFill="1"/>
    <xf numFmtId="0" fontId="14" fillId="9" borderId="0" xfId="0" applyFont="1" applyFill="1" applyAlignment="1">
      <alignment horizontal="center"/>
    </xf>
    <xf numFmtId="0" fontId="5" fillId="3" borderId="25" xfId="0" applyFont="1" applyFill="1" applyBorder="1"/>
    <xf numFmtId="0" fontId="0" fillId="5" borderId="28" xfId="0" applyFill="1" applyBorder="1"/>
    <xf numFmtId="0" fontId="0" fillId="5" borderId="26" xfId="0" applyFill="1" applyBorder="1"/>
    <xf numFmtId="0" fontId="0" fillId="5" borderId="27" xfId="0" applyFill="1" applyBorder="1"/>
    <xf numFmtId="0" fontId="0" fillId="2" borderId="13" xfId="0" applyFill="1" applyBorder="1"/>
    <xf numFmtId="0" fontId="0" fillId="2" borderId="14" xfId="0" applyFill="1" applyBorder="1"/>
    <xf numFmtId="0" fontId="0" fillId="2" borderId="5"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3" borderId="26" xfId="0" applyFill="1" applyBorder="1"/>
    <xf numFmtId="0" fontId="0" fillId="3" borderId="27" xfId="0" applyFill="1" applyBorder="1"/>
    <xf numFmtId="0" fontId="5" fillId="12" borderId="9" xfId="0" applyFont="1" applyFill="1" applyBorder="1"/>
    <xf numFmtId="0" fontId="0" fillId="12" borderId="24" xfId="0" applyFill="1" applyBorder="1"/>
    <xf numFmtId="0" fontId="0" fillId="12" borderId="21" xfId="0" applyFill="1" applyBorder="1"/>
    <xf numFmtId="0" fontId="0" fillId="5" borderId="12" xfId="0" applyFill="1" applyBorder="1"/>
    <xf numFmtId="0" fontId="12" fillId="3" borderId="22" xfId="1" applyFill="1" applyBorder="1" applyAlignment="1" applyProtection="1"/>
    <xf numFmtId="0" fontId="5" fillId="3" borderId="24" xfId="0" applyFont="1" applyFill="1" applyBorder="1" applyAlignment="1">
      <alignment horizontal="center"/>
    </xf>
    <xf numFmtId="2" fontId="0" fillId="12" borderId="0" xfId="0" applyNumberFormat="1" applyFill="1" applyAlignment="1">
      <alignment horizontal="center"/>
    </xf>
    <xf numFmtId="0" fontId="0" fillId="12" borderId="4" xfId="0" applyFill="1" applyBorder="1" applyAlignment="1">
      <alignment horizontal="left"/>
    </xf>
    <xf numFmtId="0" fontId="0" fillId="3" borderId="17" xfId="0" applyFill="1" applyBorder="1" applyAlignment="1"/>
    <xf numFmtId="0" fontId="0" fillId="3" borderId="19" xfId="0" applyFill="1" applyBorder="1" applyAlignment="1"/>
    <xf numFmtId="0" fontId="0" fillId="3" borderId="20" xfId="0" applyFill="1" applyBorder="1" applyAlignment="1"/>
    <xf numFmtId="0" fontId="4" fillId="3" borderId="0" xfId="0" applyFont="1" applyFill="1" applyBorder="1" applyAlignment="1">
      <alignment horizontal="center"/>
    </xf>
    <xf numFmtId="0" fontId="4" fillId="3" borderId="0" xfId="0" applyFont="1" applyFill="1" applyBorder="1" applyAlignment="1">
      <alignment horizontal="left"/>
    </xf>
    <xf numFmtId="0" fontId="17" fillId="3" borderId="0" xfId="0" applyFont="1" applyFill="1" applyBorder="1"/>
    <xf numFmtId="0" fontId="22" fillId="3" borderId="0" xfId="0" applyFont="1" applyFill="1" applyBorder="1" applyAlignment="1">
      <alignment horizontal="center"/>
    </xf>
    <xf numFmtId="0" fontId="0" fillId="5" borderId="0" xfId="0" applyFill="1"/>
    <xf numFmtId="0" fontId="0" fillId="5" borderId="0" xfId="0" applyFill="1" applyAlignment="1">
      <alignment horizontal="center"/>
    </xf>
    <xf numFmtId="0" fontId="17" fillId="5" borderId="0" xfId="0" applyFont="1" applyFill="1"/>
    <xf numFmtId="0" fontId="0" fillId="5" borderId="4" xfId="0" applyFill="1" applyBorder="1"/>
    <xf numFmtId="0" fontId="32" fillId="2" borderId="0" xfId="1" applyFont="1" applyFill="1" applyAlignment="1" applyProtection="1"/>
    <xf numFmtId="0" fontId="17" fillId="3" borderId="9" xfId="0" applyFont="1" applyFill="1" applyBorder="1"/>
    <xf numFmtId="0" fontId="17" fillId="3" borderId="24" xfId="0" applyFont="1" applyFill="1" applyBorder="1"/>
    <xf numFmtId="0" fontId="32" fillId="3" borderId="24" xfId="1" applyFont="1" applyFill="1" applyBorder="1" applyAlignment="1" applyProtection="1"/>
    <xf numFmtId="0" fontId="17" fillId="3" borderId="16" xfId="0" applyFont="1" applyFill="1" applyBorder="1"/>
    <xf numFmtId="0" fontId="0" fillId="6" borderId="0" xfId="0" applyFill="1" applyBorder="1" applyAlignment="1">
      <alignment horizontal="center"/>
    </xf>
    <xf numFmtId="0" fontId="0" fillId="6" borderId="22" xfId="0" applyFill="1" applyBorder="1" applyAlignment="1">
      <alignment horizontal="center"/>
    </xf>
    <xf numFmtId="0" fontId="13" fillId="2" borderId="0" xfId="0" applyFont="1" applyFill="1"/>
    <xf numFmtId="0" fontId="23" fillId="2" borderId="0" xfId="0" applyFont="1" applyFill="1"/>
    <xf numFmtId="0" fontId="5" fillId="11" borderId="0" xfId="0" applyFont="1" applyFill="1" applyBorder="1" applyAlignment="1">
      <alignment horizontal="center"/>
    </xf>
    <xf numFmtId="0" fontId="5" fillId="8" borderId="0" xfId="0" applyFont="1" applyFill="1" applyBorder="1" applyAlignment="1">
      <alignment horizontal="center"/>
    </xf>
    <xf numFmtId="0" fontId="17" fillId="3" borderId="18" xfId="0" applyFont="1" applyFill="1" applyBorder="1"/>
    <xf numFmtId="0" fontId="0" fillId="6" borderId="9" xfId="0" applyFill="1" applyBorder="1" applyAlignment="1">
      <alignment horizontal="center"/>
    </xf>
    <xf numFmtId="0" fontId="0" fillId="6" borderId="24" xfId="0" applyFill="1" applyBorder="1" applyAlignment="1">
      <alignment horizontal="center"/>
    </xf>
    <xf numFmtId="0" fontId="17" fillId="3" borderId="24" xfId="0" applyFont="1" applyFill="1" applyBorder="1" applyAlignment="1">
      <alignment horizontal="center"/>
    </xf>
    <xf numFmtId="0" fontId="14" fillId="9" borderId="28" xfId="0" applyFont="1" applyFill="1" applyBorder="1" applyAlignment="1">
      <alignment horizontal="center"/>
    </xf>
    <xf numFmtId="0" fontId="17" fillId="3" borderId="20" xfId="0" applyFont="1" applyFill="1" applyBorder="1"/>
    <xf numFmtId="0" fontId="0" fillId="3" borderId="17" xfId="0" applyFill="1" applyBorder="1" applyAlignment="1">
      <alignment horizontal="left"/>
    </xf>
    <xf numFmtId="0" fontId="33" fillId="2" borderId="0" xfId="0" applyFont="1" applyFill="1"/>
    <xf numFmtId="0" fontId="15" fillId="2" borderId="0" xfId="0" applyFont="1" applyFill="1"/>
    <xf numFmtId="0" fontId="15" fillId="2" borderId="0" xfId="0" applyFont="1" applyFill="1" applyAlignment="1">
      <alignment horizontal="center"/>
    </xf>
    <xf numFmtId="0" fontId="30" fillId="2" borderId="0" xfId="1" applyFont="1" applyFill="1" applyAlignment="1" applyProtection="1"/>
    <xf numFmtId="0" fontId="33" fillId="2" borderId="0" xfId="0" applyFont="1" applyFill="1" applyAlignment="1">
      <alignment horizontal="center"/>
    </xf>
    <xf numFmtId="165" fontId="0" fillId="6" borderId="18" xfId="0" applyNumberFormat="1" applyFill="1" applyBorder="1" applyAlignment="1">
      <alignment horizontal="center"/>
    </xf>
    <xf numFmtId="0" fontId="0" fillId="3" borderId="19" xfId="0" applyFill="1" applyBorder="1"/>
    <xf numFmtId="165" fontId="0" fillId="3" borderId="16" xfId="0" applyNumberFormat="1" applyFill="1" applyBorder="1" applyAlignment="1">
      <alignment horizontal="center"/>
    </xf>
    <xf numFmtId="165" fontId="0" fillId="3" borderId="18" xfId="0" applyNumberFormat="1" applyFill="1" applyBorder="1" applyAlignment="1">
      <alignment horizontal="center"/>
    </xf>
    <xf numFmtId="0" fontId="17" fillId="3" borderId="12" xfId="0" applyFont="1" applyFill="1" applyBorder="1"/>
    <xf numFmtId="0" fontId="17" fillId="3" borderId="26" xfId="0" applyFont="1" applyFill="1" applyBorder="1"/>
    <xf numFmtId="0" fontId="0" fillId="3" borderId="12" xfId="0" applyFill="1" applyBorder="1"/>
    <xf numFmtId="0" fontId="12" fillId="3" borderId="0" xfId="1" applyFill="1" applyBorder="1" applyAlignment="1" applyProtection="1"/>
    <xf numFmtId="0" fontId="0" fillId="4" borderId="21" xfId="0" applyFill="1" applyBorder="1"/>
    <xf numFmtId="0" fontId="0" fillId="8" borderId="0" xfId="0" applyFill="1" applyBorder="1" applyAlignment="1">
      <alignment horizontal="center" vertical="center"/>
    </xf>
    <xf numFmtId="0" fontId="5" fillId="8" borderId="16" xfId="0" applyFont="1" applyFill="1" applyBorder="1" applyAlignment="1">
      <alignment horizontal="center"/>
    </xf>
    <xf numFmtId="0" fontId="5" fillId="11" borderId="16" xfId="0" applyFont="1" applyFill="1" applyBorder="1" applyAlignment="1">
      <alignment horizontal="center"/>
    </xf>
    <xf numFmtId="0" fontId="5" fillId="4" borderId="9" xfId="0" applyFont="1" applyFill="1" applyBorder="1" applyAlignment="1">
      <alignment horizontal="center" vertical="center"/>
    </xf>
    <xf numFmtId="0" fontId="0" fillId="8" borderId="18" xfId="0" applyFill="1" applyBorder="1" applyAlignment="1">
      <alignment vertical="center"/>
    </xf>
    <xf numFmtId="0" fontId="0" fillId="3" borderId="20" xfId="0" applyFill="1" applyBorder="1"/>
    <xf numFmtId="0" fontId="0" fillId="3" borderId="17" xfId="0" applyFill="1" applyBorder="1"/>
    <xf numFmtId="0" fontId="0" fillId="3" borderId="10" xfId="0" applyFill="1" applyBorder="1"/>
    <xf numFmtId="0" fontId="4" fillId="2" borderId="0" xfId="0" applyFont="1" applyFill="1" applyProtection="1"/>
    <xf numFmtId="0" fontId="0" fillId="2" borderId="0" xfId="0" applyFill="1" applyProtection="1"/>
    <xf numFmtId="0" fontId="0" fillId="2" borderId="0" xfId="0" applyFill="1" applyAlignment="1" applyProtection="1">
      <alignment horizontal="center"/>
    </xf>
    <xf numFmtId="0" fontId="5" fillId="3" borderId="17" xfId="0" applyFont="1" applyFill="1" applyBorder="1" applyProtection="1"/>
    <xf numFmtId="0" fontId="5" fillId="3" borderId="9" xfId="0" applyFont="1" applyFill="1" applyBorder="1" applyProtection="1"/>
    <xf numFmtId="0" fontId="0" fillId="3" borderId="16" xfId="0" applyFill="1" applyBorder="1" applyProtection="1"/>
    <xf numFmtId="0" fontId="5" fillId="2" borderId="0" xfId="0" applyFont="1" applyFill="1" applyAlignment="1" applyProtection="1">
      <alignment horizontal="center"/>
    </xf>
    <xf numFmtId="0" fontId="5" fillId="2" borderId="0" xfId="0" applyFont="1" applyFill="1" applyProtection="1"/>
    <xf numFmtId="0" fontId="0" fillId="2" borderId="0" xfId="0" applyFill="1" applyBorder="1" applyProtection="1"/>
    <xf numFmtId="0" fontId="5" fillId="2" borderId="0" xfId="0" applyFont="1" applyFill="1" applyBorder="1" applyProtection="1"/>
    <xf numFmtId="0" fontId="0" fillId="2" borderId="0" xfId="0" applyFill="1" applyBorder="1" applyAlignment="1" applyProtection="1">
      <alignment horizontal="center"/>
    </xf>
    <xf numFmtId="0" fontId="0" fillId="2" borderId="0" xfId="0" applyFill="1" applyBorder="1" applyAlignment="1" applyProtection="1"/>
    <xf numFmtId="0" fontId="4" fillId="2" borderId="0" xfId="0" applyFont="1" applyFill="1" applyAlignment="1" applyProtection="1">
      <alignment horizontal="center"/>
    </xf>
    <xf numFmtId="0" fontId="4" fillId="6" borderId="5" xfId="0" applyFont="1" applyFill="1" applyBorder="1" applyProtection="1"/>
    <xf numFmtId="0" fontId="4" fillId="3" borderId="5" xfId="0" applyFont="1" applyFill="1" applyBorder="1" applyProtection="1"/>
    <xf numFmtId="0" fontId="4" fillId="6" borderId="8" xfId="0" applyFont="1" applyFill="1" applyBorder="1" applyProtection="1"/>
    <xf numFmtId="0" fontId="13" fillId="2" borderId="0" xfId="0" applyFont="1" applyFill="1" applyProtection="1"/>
    <xf numFmtId="0" fontId="0" fillId="11" borderId="9" xfId="0" applyFill="1" applyBorder="1" applyAlignment="1">
      <alignment horizontal="center"/>
    </xf>
    <xf numFmtId="0" fontId="0" fillId="8" borderId="16" xfId="0" applyFill="1" applyBorder="1" applyAlignment="1">
      <alignment horizontal="center"/>
    </xf>
    <xf numFmtId="0" fontId="5" fillId="6" borderId="0" xfId="0" applyFont="1" applyFill="1" applyBorder="1" applyAlignment="1" applyProtection="1"/>
    <xf numFmtId="0" fontId="5" fillId="3" borderId="0" xfId="0" applyFont="1" applyFill="1" applyBorder="1" applyAlignment="1" applyProtection="1"/>
    <xf numFmtId="0" fontId="5" fillId="6" borderId="7" xfId="0" applyFont="1" applyFill="1" applyBorder="1" applyAlignment="1" applyProtection="1"/>
    <xf numFmtId="0" fontId="17" fillId="3" borderId="21" xfId="0" applyFont="1" applyFill="1" applyBorder="1"/>
    <xf numFmtId="0" fontId="17" fillId="3" borderId="16" xfId="0" applyFont="1" applyFill="1" applyBorder="1" applyAlignment="1">
      <alignment horizontal="center"/>
    </xf>
    <xf numFmtId="0" fontId="7" fillId="5" borderId="0" xfId="0" applyFont="1" applyFill="1"/>
    <xf numFmtId="0" fontId="7" fillId="5" borderId="0" xfId="0" applyFont="1" applyFill="1" applyAlignment="1">
      <alignment horizontal="center"/>
    </xf>
    <xf numFmtId="0" fontId="35" fillId="5" borderId="0" xfId="0" applyFont="1" applyFill="1"/>
    <xf numFmtId="0" fontId="0" fillId="4" borderId="12" xfId="0" applyFill="1" applyBorder="1" applyAlignment="1">
      <alignment horizontal="center" vertical="center"/>
    </xf>
    <xf numFmtId="0" fontId="5" fillId="11" borderId="24" xfId="0" applyFont="1" applyFill="1" applyBorder="1" applyAlignment="1">
      <alignment horizontal="left"/>
    </xf>
    <xf numFmtId="0" fontId="5" fillId="11" borderId="0" xfId="0" applyFont="1" applyFill="1" applyBorder="1" applyAlignment="1">
      <alignment horizontal="left"/>
    </xf>
    <xf numFmtId="0" fontId="5" fillId="5" borderId="10" xfId="0" applyFont="1" applyFill="1" applyBorder="1"/>
    <xf numFmtId="0" fontId="5" fillId="5" borderId="29" xfId="0" applyFont="1" applyFill="1" applyBorder="1"/>
    <xf numFmtId="0" fontId="15" fillId="2" borderId="0" xfId="0" applyFont="1" applyFill="1" applyAlignment="1">
      <alignment horizontal="left"/>
    </xf>
    <xf numFmtId="0" fontId="5" fillId="3" borderId="20" xfId="0" applyFont="1" applyFill="1" applyBorder="1" applyAlignment="1">
      <alignment horizontal="center"/>
    </xf>
    <xf numFmtId="0" fontId="0" fillId="6" borderId="9" xfId="0" applyFill="1" applyBorder="1"/>
    <xf numFmtId="0" fontId="0" fillId="3" borderId="0" xfId="0" applyFill="1" applyBorder="1" applyProtection="1"/>
    <xf numFmtId="0" fontId="0" fillId="3" borderId="0" xfId="0" applyFill="1" applyBorder="1" applyAlignment="1" applyProtection="1">
      <alignment horizontal="left"/>
    </xf>
    <xf numFmtId="0" fontId="0" fillId="3" borderId="9" xfId="0" applyFill="1" applyBorder="1" applyProtection="1"/>
    <xf numFmtId="0" fontId="0" fillId="3" borderId="24" xfId="0" applyFill="1" applyBorder="1" applyProtection="1"/>
    <xf numFmtId="0" fontId="0" fillId="3" borderId="21" xfId="0" applyFill="1" applyBorder="1" applyProtection="1"/>
    <xf numFmtId="0" fontId="0" fillId="3" borderId="25" xfId="0" applyFill="1" applyBorder="1" applyProtection="1"/>
    <xf numFmtId="0" fontId="0" fillId="3" borderId="22" xfId="0" applyFill="1" applyBorder="1" applyProtection="1"/>
    <xf numFmtId="0" fontId="0" fillId="6" borderId="23" xfId="0" applyFill="1" applyBorder="1" applyAlignment="1" applyProtection="1">
      <alignment horizontal="center"/>
    </xf>
    <xf numFmtId="0" fontId="17" fillId="11" borderId="9" xfId="0" applyFont="1" applyFill="1" applyBorder="1" applyAlignment="1">
      <alignment horizontal="center"/>
    </xf>
    <xf numFmtId="0" fontId="17" fillId="8" borderId="16" xfId="0" applyFont="1" applyFill="1" applyBorder="1" applyAlignment="1">
      <alignment horizontal="center"/>
    </xf>
    <xf numFmtId="0" fontId="17" fillId="11" borderId="25" xfId="0" applyFont="1" applyFill="1" applyBorder="1" applyAlignment="1">
      <alignment horizontal="center" vertical="center"/>
    </xf>
    <xf numFmtId="0" fontId="17" fillId="3" borderId="0" xfId="0" applyFont="1" applyFill="1" applyBorder="1" applyAlignment="1">
      <alignment horizontal="center"/>
    </xf>
    <xf numFmtId="0" fontId="17" fillId="11" borderId="21" xfId="0" applyFont="1" applyFill="1" applyBorder="1" applyAlignment="1">
      <alignment horizontal="center" vertical="center"/>
    </xf>
    <xf numFmtId="0" fontId="17" fillId="8" borderId="18" xfId="0" applyFont="1" applyFill="1" applyBorder="1" applyAlignment="1">
      <alignment horizontal="center" vertical="center"/>
    </xf>
    <xf numFmtId="0" fontId="0" fillId="3" borderId="20" xfId="0" applyFill="1" applyBorder="1" applyAlignment="1">
      <alignment horizontal="left"/>
    </xf>
    <xf numFmtId="1" fontId="7" fillId="6" borderId="12" xfId="0" applyNumberFormat="1" applyFont="1" applyFill="1" applyBorder="1" applyAlignment="1">
      <alignment horizontal="center"/>
    </xf>
    <xf numFmtId="1" fontId="7" fillId="6" borderId="26" xfId="0" applyNumberFormat="1" applyFont="1" applyFill="1" applyBorder="1" applyAlignment="1">
      <alignment horizontal="center"/>
    </xf>
    <xf numFmtId="1" fontId="7" fillId="6" borderId="27" xfId="0" applyNumberFormat="1" applyFont="1" applyFill="1" applyBorder="1" applyAlignment="1">
      <alignment horizontal="center"/>
    </xf>
    <xf numFmtId="0" fontId="0" fillId="0" borderId="22" xfId="0" applyBorder="1"/>
    <xf numFmtId="0" fontId="17" fillId="3" borderId="25" xfId="0" applyFont="1" applyFill="1" applyBorder="1" applyAlignment="1">
      <alignment horizontal="center"/>
    </xf>
    <xf numFmtId="165" fontId="17" fillId="6" borderId="0" xfId="0" applyNumberFormat="1" applyFont="1" applyFill="1" applyBorder="1" applyAlignment="1">
      <alignment horizontal="center"/>
    </xf>
    <xf numFmtId="165" fontId="5" fillId="6" borderId="0" xfId="0" applyNumberFormat="1" applyFont="1" applyFill="1" applyBorder="1" applyAlignment="1">
      <alignment horizontal="center"/>
    </xf>
    <xf numFmtId="2" fontId="17" fillId="6" borderId="21" xfId="0" applyNumberFormat="1" applyFont="1" applyFill="1" applyBorder="1" applyAlignment="1">
      <alignment horizontal="center"/>
    </xf>
    <xf numFmtId="167" fontId="0" fillId="0" borderId="26" xfId="0" applyNumberFormat="1" applyBorder="1" applyAlignment="1">
      <alignment horizontal="center"/>
    </xf>
    <xf numFmtId="167" fontId="0" fillId="0" borderId="27" xfId="0" applyNumberFormat="1" applyBorder="1" applyAlignment="1">
      <alignment horizontal="center"/>
    </xf>
    <xf numFmtId="0" fontId="0" fillId="6" borderId="17" xfId="0" applyFill="1" applyBorder="1"/>
    <xf numFmtId="0" fontId="0" fillId="6" borderId="19" xfId="0" applyFill="1" applyBorder="1" applyAlignment="1">
      <alignment horizontal="center"/>
    </xf>
    <xf numFmtId="0" fontId="7" fillId="6" borderId="20" xfId="0" applyFont="1" applyFill="1" applyBorder="1"/>
    <xf numFmtId="0" fontId="0" fillId="6" borderId="27" xfId="0" applyFill="1" applyBorder="1"/>
    <xf numFmtId="0" fontId="7" fillId="6" borderId="23" xfId="0" applyFont="1" applyFill="1" applyBorder="1"/>
    <xf numFmtId="2" fontId="0" fillId="6" borderId="24" xfId="0" applyNumberFormat="1" applyFill="1" applyBorder="1" applyAlignment="1">
      <alignment horizontal="center"/>
    </xf>
    <xf numFmtId="2" fontId="0" fillId="6" borderId="0" xfId="0" applyNumberFormat="1" applyFill="1" applyBorder="1" applyAlignment="1">
      <alignment horizontal="center"/>
    </xf>
    <xf numFmtId="2" fontId="0" fillId="6" borderId="22" xfId="0" applyNumberFormat="1" applyFill="1" applyBorder="1" applyAlignment="1">
      <alignment horizontal="center"/>
    </xf>
    <xf numFmtId="0" fontId="5" fillId="8" borderId="24" xfId="0" applyFont="1" applyFill="1" applyBorder="1" applyAlignment="1">
      <alignment horizontal="left"/>
    </xf>
    <xf numFmtId="0" fontId="5" fillId="3" borderId="17" xfId="0" applyFont="1" applyFill="1" applyBorder="1" applyAlignment="1"/>
    <xf numFmtId="0" fontId="14" fillId="9" borderId="0" xfId="0" applyFont="1" applyFill="1" applyAlignment="1">
      <alignment horizontal="left"/>
    </xf>
    <xf numFmtId="0" fontId="17" fillId="6" borderId="0" xfId="0" applyFont="1" applyFill="1"/>
    <xf numFmtId="0" fontId="0" fillId="12" borderId="0" xfId="0" applyFill="1" applyBorder="1" applyAlignment="1">
      <alignment horizontal="center"/>
    </xf>
    <xf numFmtId="0" fontId="0" fillId="15" borderId="0" xfId="0" applyFill="1" applyAlignment="1">
      <alignment horizontal="center"/>
    </xf>
    <xf numFmtId="0" fontId="0" fillId="15" borderId="0" xfId="0" applyFill="1"/>
    <xf numFmtId="0" fontId="17" fillId="15" borderId="0" xfId="0" applyFont="1" applyFill="1"/>
    <xf numFmtId="0" fontId="5" fillId="3" borderId="16" xfId="0" applyFont="1" applyFill="1" applyBorder="1"/>
    <xf numFmtId="0" fontId="5" fillId="3" borderId="19" xfId="0" applyFont="1" applyFill="1" applyBorder="1" applyAlignment="1"/>
    <xf numFmtId="0" fontId="5" fillId="3" borderId="20" xfId="0" applyFont="1" applyFill="1" applyBorder="1" applyAlignment="1"/>
    <xf numFmtId="0" fontId="4" fillId="6" borderId="0" xfId="0" applyFont="1" applyFill="1" applyBorder="1"/>
    <xf numFmtId="0" fontId="4" fillId="6" borderId="0" xfId="0" applyFont="1" applyFill="1" applyAlignment="1">
      <alignment horizontal="center"/>
    </xf>
    <xf numFmtId="0" fontId="4" fillId="6" borderId="0" xfId="0" applyFont="1" applyFill="1"/>
    <xf numFmtId="0" fontId="39" fillId="6" borderId="0" xfId="0" applyFont="1" applyFill="1" applyAlignment="1">
      <alignment horizontal="center"/>
    </xf>
    <xf numFmtId="0" fontId="40" fillId="6" borderId="0" xfId="0" applyFont="1" applyFill="1"/>
    <xf numFmtId="0" fontId="40" fillId="6" borderId="0" xfId="0" applyFont="1" applyFill="1" applyAlignment="1">
      <alignment horizontal="center"/>
    </xf>
    <xf numFmtId="0" fontId="40" fillId="6" borderId="0" xfId="0" applyFont="1" applyFill="1" applyBorder="1"/>
    <xf numFmtId="0" fontId="40" fillId="6" borderId="0" xfId="0" applyFont="1" applyFill="1" applyAlignment="1">
      <alignment horizontal="left"/>
    </xf>
    <xf numFmtId="165" fontId="40" fillId="6" borderId="0" xfId="0" applyNumberFormat="1" applyFont="1" applyFill="1" applyAlignment="1">
      <alignment horizontal="center"/>
    </xf>
    <xf numFmtId="165" fontId="40" fillId="15" borderId="0" xfId="0" applyNumberFormat="1" applyFont="1" applyFill="1" applyAlignment="1">
      <alignment horizontal="left"/>
    </xf>
    <xf numFmtId="165" fontId="40" fillId="15" borderId="0" xfId="0" applyNumberFormat="1" applyFont="1" applyFill="1" applyAlignment="1">
      <alignment horizontal="center"/>
    </xf>
    <xf numFmtId="0" fontId="40" fillId="15" borderId="0" xfId="0" applyFont="1" applyFill="1" applyAlignment="1">
      <alignment horizontal="center"/>
    </xf>
    <xf numFmtId="0" fontId="40" fillId="15" borderId="0" xfId="0" applyFont="1" applyFill="1"/>
    <xf numFmtId="165" fontId="40" fillId="15" borderId="0" xfId="0" applyNumberFormat="1" applyFont="1" applyFill="1"/>
    <xf numFmtId="165" fontId="40" fillId="6" borderId="0" xfId="0" applyNumberFormat="1" applyFont="1" applyFill="1" applyAlignment="1">
      <alignment horizontal="left"/>
    </xf>
    <xf numFmtId="0" fontId="0" fillId="16" borderId="0" xfId="0" applyFill="1"/>
    <xf numFmtId="1" fontId="0" fillId="16" borderId="0" xfId="0" applyNumberFormat="1" applyFill="1" applyAlignment="1">
      <alignment horizontal="center"/>
    </xf>
    <xf numFmtId="0" fontId="0" fillId="16" borderId="0" xfId="0" applyFill="1" applyAlignment="1">
      <alignment horizontal="center"/>
    </xf>
    <xf numFmtId="0" fontId="17" fillId="16" borderId="0" xfId="0" applyFont="1" applyFill="1"/>
    <xf numFmtId="0" fontId="13" fillId="3" borderId="0" xfId="0" applyFont="1" applyFill="1" applyAlignment="1">
      <alignment horizontal="left"/>
    </xf>
    <xf numFmtId="0" fontId="0" fillId="13" borderId="0" xfId="0" applyFill="1" applyBorder="1"/>
    <xf numFmtId="0" fontId="5" fillId="13" borderId="0" xfId="0" applyFont="1" applyFill="1" applyAlignment="1">
      <alignment horizontal="left"/>
    </xf>
    <xf numFmtId="0" fontId="4" fillId="13" borderId="0" xfId="0" applyFont="1" applyFill="1" applyAlignment="1">
      <alignment horizontal="left"/>
    </xf>
    <xf numFmtId="0" fontId="0" fillId="13" borderId="0" xfId="0" applyFill="1" applyAlignment="1">
      <alignment horizontal="left"/>
    </xf>
    <xf numFmtId="0" fontId="0" fillId="13" borderId="0" xfId="0" applyFill="1" applyBorder="1" applyAlignment="1">
      <alignment horizontal="center"/>
    </xf>
    <xf numFmtId="0" fontId="17" fillId="13" borderId="0" xfId="0" applyFont="1" applyFill="1"/>
    <xf numFmtId="0" fontId="17" fillId="13" borderId="0" xfId="0" applyFont="1" applyFill="1" applyAlignment="1">
      <alignment horizontal="left"/>
    </xf>
    <xf numFmtId="2" fontId="0" fillId="13" borderId="0" xfId="0" applyNumberFormat="1" applyFill="1" applyAlignment="1">
      <alignment horizontal="center"/>
    </xf>
    <xf numFmtId="0" fontId="0" fillId="13" borderId="0" xfId="0" applyFill="1" applyAlignment="1">
      <alignment horizontal="center"/>
    </xf>
    <xf numFmtId="0" fontId="0" fillId="13" borderId="4" xfId="0" applyFill="1" applyBorder="1" applyAlignment="1">
      <alignment horizontal="left"/>
    </xf>
    <xf numFmtId="2" fontId="17" fillId="6" borderId="0" xfId="0" applyNumberFormat="1" applyFont="1" applyFill="1" applyBorder="1" applyAlignment="1">
      <alignment horizontal="center"/>
    </xf>
    <xf numFmtId="0" fontId="17" fillId="3" borderId="9" xfId="0" applyFont="1" applyFill="1" applyBorder="1" applyAlignment="1"/>
    <xf numFmtId="0" fontId="17" fillId="3" borderId="24" xfId="0" applyFont="1" applyFill="1" applyBorder="1" applyAlignment="1"/>
    <xf numFmtId="0" fontId="25" fillId="3" borderId="21" xfId="0" applyFont="1" applyFill="1" applyBorder="1"/>
    <xf numFmtId="0" fontId="43" fillId="3" borderId="24" xfId="0" applyFont="1" applyFill="1" applyBorder="1" applyAlignment="1"/>
    <xf numFmtId="0" fontId="4" fillId="13" borderId="0" xfId="0" applyFont="1" applyFill="1" applyAlignment="1">
      <alignment horizontal="center"/>
    </xf>
    <xf numFmtId="0" fontId="11" fillId="3" borderId="19" xfId="0" applyFont="1" applyFill="1" applyBorder="1" applyAlignment="1"/>
    <xf numFmtId="0" fontId="11" fillId="3" borderId="17" xfId="0" applyFont="1" applyFill="1" applyBorder="1" applyAlignment="1"/>
    <xf numFmtId="0" fontId="5" fillId="3" borderId="22" xfId="0" applyFont="1" applyFill="1" applyBorder="1" applyAlignment="1">
      <alignment horizontal="center"/>
    </xf>
    <xf numFmtId="0" fontId="11" fillId="3" borderId="20" xfId="0" applyFont="1" applyFill="1" applyBorder="1" applyAlignment="1"/>
    <xf numFmtId="0" fontId="5" fillId="3" borderId="23" xfId="0" applyFont="1" applyFill="1" applyBorder="1" applyAlignment="1">
      <alignment horizontal="center"/>
    </xf>
    <xf numFmtId="0" fontId="0" fillId="3" borderId="21" xfId="0" applyFill="1" applyBorder="1" applyAlignment="1">
      <alignment horizontal="left"/>
    </xf>
    <xf numFmtId="0" fontId="44" fillId="2" borderId="0" xfId="0" applyFont="1" applyFill="1" applyBorder="1" applyAlignment="1">
      <alignment horizontal="left" vertical="center"/>
    </xf>
    <xf numFmtId="0" fontId="4" fillId="17" borderId="0" xfId="0" applyFont="1" applyFill="1"/>
    <xf numFmtId="0" fontId="4" fillId="17" borderId="0" xfId="0" applyFont="1" applyFill="1" applyAlignment="1">
      <alignment horizontal="center"/>
    </xf>
    <xf numFmtId="9" fontId="0" fillId="17" borderId="0" xfId="0" applyNumberFormat="1" applyFill="1" applyAlignment="1">
      <alignment horizontal="center"/>
    </xf>
    <xf numFmtId="0" fontId="22" fillId="17" borderId="0" xfId="0" applyFont="1" applyFill="1" applyAlignment="1">
      <alignment horizontal="center"/>
    </xf>
    <xf numFmtId="0" fontId="17" fillId="17" borderId="0" xfId="0" applyFont="1" applyFill="1"/>
    <xf numFmtId="0" fontId="0" fillId="17" borderId="0" xfId="0" applyFill="1"/>
    <xf numFmtId="0" fontId="0" fillId="17" borderId="0" xfId="0" applyFill="1" applyAlignment="1">
      <alignment horizontal="center"/>
    </xf>
    <xf numFmtId="1" fontId="0" fillId="17" borderId="0" xfId="0" applyNumberFormat="1" applyFill="1"/>
    <xf numFmtId="1" fontId="4" fillId="17" borderId="0" xfId="0" applyNumberFormat="1" applyFont="1" applyFill="1" applyAlignment="1">
      <alignment horizontal="center"/>
    </xf>
    <xf numFmtId="1" fontId="17" fillId="17" borderId="0" xfId="0" applyNumberFormat="1" applyFont="1" applyFill="1" applyAlignment="1">
      <alignment horizontal="center"/>
    </xf>
    <xf numFmtId="1" fontId="4" fillId="17" borderId="0" xfId="0" quotePrefix="1" applyNumberFormat="1" applyFont="1" applyFill="1" applyAlignment="1">
      <alignment horizontal="center"/>
    </xf>
    <xf numFmtId="9" fontId="4" fillId="17" borderId="0" xfId="0" applyNumberFormat="1" applyFont="1" applyFill="1" applyAlignment="1">
      <alignment horizontal="center"/>
    </xf>
    <xf numFmtId="2" fontId="4" fillId="17" borderId="0" xfId="0" applyNumberFormat="1" applyFont="1" applyFill="1" applyAlignment="1">
      <alignment horizontal="center"/>
    </xf>
    <xf numFmtId="2" fontId="4" fillId="17" borderId="0" xfId="0" quotePrefix="1" applyNumberFormat="1" applyFont="1" applyFill="1" applyAlignment="1">
      <alignment horizontal="center"/>
    </xf>
    <xf numFmtId="1" fontId="0" fillId="3" borderId="0" xfId="0" applyNumberFormat="1" applyFill="1"/>
    <xf numFmtId="1" fontId="4" fillId="3" borderId="0" xfId="0" applyNumberFormat="1" applyFont="1" applyFill="1" applyAlignment="1">
      <alignment horizontal="center"/>
    </xf>
    <xf numFmtId="1" fontId="17" fillId="3" borderId="0" xfId="0" applyNumberFormat="1" applyFont="1" applyFill="1" applyAlignment="1">
      <alignment horizontal="center"/>
    </xf>
    <xf numFmtId="1" fontId="5" fillId="3" borderId="0" xfId="0" applyNumberFormat="1" applyFont="1" applyFill="1"/>
    <xf numFmtId="1" fontId="5" fillId="3" borderId="0" xfId="0" applyNumberFormat="1" applyFont="1" applyFill="1" applyAlignment="1">
      <alignment horizontal="center"/>
    </xf>
    <xf numFmtId="1" fontId="17" fillId="3" borderId="0" xfId="0" applyNumberFormat="1" applyFont="1" applyFill="1" applyAlignment="1">
      <alignment horizontal="left"/>
    </xf>
    <xf numFmtId="1" fontId="17" fillId="3" borderId="0" xfId="0" applyNumberFormat="1" applyFont="1" applyFill="1" applyAlignment="1"/>
    <xf numFmtId="2" fontId="17" fillId="3" borderId="0" xfId="0" applyNumberFormat="1" applyFont="1" applyFill="1" applyAlignment="1"/>
    <xf numFmtId="2" fontId="4" fillId="3" borderId="0" xfId="0" applyNumberFormat="1" applyFont="1" applyFill="1" applyAlignment="1">
      <alignment horizontal="left"/>
    </xf>
    <xf numFmtId="2" fontId="6" fillId="17" borderId="0" xfId="0" applyNumberFormat="1" applyFont="1" applyFill="1" applyAlignment="1">
      <alignment horizontal="center"/>
    </xf>
    <xf numFmtId="1" fontId="4" fillId="3" borderId="18" xfId="0" applyNumberFormat="1" applyFont="1" applyFill="1" applyBorder="1" applyAlignment="1">
      <alignment horizontal="center"/>
    </xf>
    <xf numFmtId="1" fontId="0" fillId="3" borderId="18" xfId="0" applyNumberFormat="1" applyFill="1" applyBorder="1"/>
    <xf numFmtId="1" fontId="6" fillId="17" borderId="0" xfId="0" applyNumberFormat="1" applyFont="1" applyFill="1"/>
    <xf numFmtId="1" fontId="6" fillId="17" borderId="0" xfId="0" applyNumberFormat="1" applyFont="1" applyFill="1" applyAlignment="1">
      <alignment horizontal="center"/>
    </xf>
    <xf numFmtId="1" fontId="17" fillId="17" borderId="0" xfId="0" applyNumberFormat="1" applyFont="1" applyFill="1"/>
    <xf numFmtId="2" fontId="17" fillId="17" borderId="0" xfId="0" applyNumberFormat="1" applyFont="1" applyFill="1" applyAlignment="1">
      <alignment horizontal="center"/>
    </xf>
    <xf numFmtId="2" fontId="17" fillId="17" borderId="18" xfId="0" applyNumberFormat="1" applyFont="1" applyFill="1" applyBorder="1" applyAlignment="1">
      <alignment horizontal="center"/>
    </xf>
    <xf numFmtId="167" fontId="4" fillId="17" borderId="18" xfId="0" applyNumberFormat="1" applyFont="1" applyFill="1" applyBorder="1" applyAlignment="1">
      <alignment horizontal="center"/>
    </xf>
    <xf numFmtId="167" fontId="6" fillId="17" borderId="18" xfId="0" applyNumberFormat="1" applyFont="1" applyFill="1" applyBorder="1" applyAlignment="1">
      <alignment horizontal="center"/>
    </xf>
    <xf numFmtId="167" fontId="17" fillId="17" borderId="18" xfId="0" applyNumberFormat="1" applyFont="1" applyFill="1" applyBorder="1" applyAlignment="1">
      <alignment horizontal="center"/>
    </xf>
    <xf numFmtId="2" fontId="0" fillId="17" borderId="0" xfId="0" applyNumberFormat="1" applyFill="1" applyAlignment="1">
      <alignment horizontal="center"/>
    </xf>
    <xf numFmtId="2" fontId="0" fillId="17" borderId="18" xfId="0" applyNumberFormat="1" applyFill="1" applyBorder="1" applyAlignment="1">
      <alignment horizontal="center"/>
    </xf>
    <xf numFmtId="167" fontId="6" fillId="17" borderId="0" xfId="0" applyNumberFormat="1" applyFont="1" applyFill="1" applyAlignment="1">
      <alignment horizontal="center"/>
    </xf>
    <xf numFmtId="166" fontId="0" fillId="17" borderId="0" xfId="0" applyNumberFormat="1" applyFill="1" applyAlignment="1">
      <alignment horizontal="center"/>
    </xf>
    <xf numFmtId="167" fontId="0" fillId="17" borderId="0" xfId="0" applyNumberFormat="1" applyFill="1" applyAlignment="1">
      <alignment horizontal="center"/>
    </xf>
    <xf numFmtId="167" fontId="0" fillId="17" borderId="18" xfId="0" applyNumberFormat="1" applyFill="1" applyBorder="1" applyAlignment="1">
      <alignment horizontal="center"/>
    </xf>
    <xf numFmtId="166" fontId="6" fillId="17" borderId="0" xfId="0" applyNumberFormat="1" applyFont="1" applyFill="1" applyAlignment="1">
      <alignment horizontal="center"/>
    </xf>
    <xf numFmtId="167" fontId="17" fillId="17" borderId="0" xfId="0" applyNumberFormat="1" applyFont="1" applyFill="1" applyAlignment="1">
      <alignment horizontal="center"/>
    </xf>
    <xf numFmtId="0" fontId="0" fillId="2" borderId="0" xfId="0" applyFill="1" applyAlignment="1"/>
    <xf numFmtId="1" fontId="0" fillId="17" borderId="0" xfId="0" applyNumberFormat="1" applyFill="1" applyAlignment="1">
      <alignment horizontal="center"/>
    </xf>
    <xf numFmtId="9" fontId="17" fillId="6" borderId="0" xfId="0" applyNumberFormat="1" applyFont="1" applyFill="1" applyBorder="1" applyAlignment="1">
      <alignment horizontal="center"/>
    </xf>
    <xf numFmtId="0" fontId="0" fillId="8" borderId="0" xfId="0" applyFill="1" applyBorder="1" applyAlignment="1">
      <alignment vertical="center"/>
    </xf>
    <xf numFmtId="0" fontId="0" fillId="6" borderId="19" xfId="0" applyFill="1" applyBorder="1" applyAlignment="1">
      <alignment horizontal="center" vertical="center"/>
    </xf>
    <xf numFmtId="0" fontId="35" fillId="2" borderId="0" xfId="0" applyFont="1" applyFill="1"/>
    <xf numFmtId="0" fontId="35" fillId="2" borderId="0" xfId="0" applyFont="1" applyFill="1" applyAlignment="1">
      <alignment horizontal="center"/>
    </xf>
    <xf numFmtId="0" fontId="6" fillId="6" borderId="24" xfId="0" applyFont="1" applyFill="1" applyBorder="1" applyAlignment="1">
      <alignment horizontal="left"/>
    </xf>
    <xf numFmtId="0" fontId="6" fillId="6" borderId="17" xfId="0" applyFont="1" applyFill="1" applyBorder="1" applyAlignment="1">
      <alignment horizontal="center"/>
    </xf>
    <xf numFmtId="0" fontId="6" fillId="6" borderId="19" xfId="0" applyFont="1" applyFill="1" applyBorder="1" applyAlignment="1">
      <alignment horizontal="left"/>
    </xf>
    <xf numFmtId="0" fontId="6" fillId="6" borderId="19" xfId="0" applyFont="1" applyFill="1" applyBorder="1" applyAlignment="1">
      <alignment horizontal="center"/>
    </xf>
    <xf numFmtId="0" fontId="6" fillId="6" borderId="24" xfId="0" applyFont="1" applyFill="1" applyBorder="1" applyAlignment="1">
      <alignment horizontal="center"/>
    </xf>
    <xf numFmtId="0" fontId="6" fillId="6" borderId="22" xfId="0" applyFont="1" applyFill="1" applyBorder="1" applyAlignment="1">
      <alignment horizontal="left"/>
    </xf>
    <xf numFmtId="0" fontId="6" fillId="6" borderId="0" xfId="0" applyFont="1" applyFill="1" applyBorder="1" applyAlignment="1">
      <alignment horizontal="center"/>
    </xf>
    <xf numFmtId="0" fontId="0" fillId="6" borderId="12" xfId="0" applyFill="1" applyBorder="1"/>
    <xf numFmtId="0" fontId="17" fillId="3" borderId="27" xfId="0" applyFont="1" applyFill="1" applyBorder="1"/>
    <xf numFmtId="1" fontId="7" fillId="6" borderId="28" xfId="0" applyNumberFormat="1" applyFont="1" applyFill="1" applyBorder="1" applyAlignment="1">
      <alignment horizontal="center"/>
    </xf>
    <xf numFmtId="0" fontId="6" fillId="6" borderId="7" xfId="0" applyFont="1" applyFill="1" applyBorder="1" applyAlignment="1">
      <alignment horizontal="center"/>
    </xf>
    <xf numFmtId="2" fontId="4" fillId="12" borderId="0" xfId="0" applyNumberFormat="1" applyFont="1" applyFill="1" applyAlignment="1">
      <alignment horizontal="left"/>
    </xf>
    <xf numFmtId="2" fontId="0" fillId="3" borderId="9" xfId="0" applyNumberFormat="1" applyFill="1" applyBorder="1" applyAlignment="1">
      <alignment horizontal="center"/>
    </xf>
    <xf numFmtId="2" fontId="0" fillId="3" borderId="21" xfId="0" applyNumberFormat="1" applyFill="1" applyBorder="1" applyAlignment="1">
      <alignment horizontal="center"/>
    </xf>
    <xf numFmtId="2" fontId="0" fillId="3" borderId="25" xfId="0" applyNumberFormat="1" applyFill="1" applyBorder="1" applyAlignment="1">
      <alignment horizontal="center"/>
    </xf>
    <xf numFmtId="165" fontId="17" fillId="3" borderId="21" xfId="0" applyNumberFormat="1" applyFont="1" applyFill="1" applyBorder="1" applyAlignment="1">
      <alignment horizontal="center"/>
    </xf>
    <xf numFmtId="165" fontId="17" fillId="3" borderId="25" xfId="0" applyNumberFormat="1" applyFont="1" applyFill="1" applyBorder="1" applyAlignment="1">
      <alignment horizontal="center"/>
    </xf>
    <xf numFmtId="2" fontId="0" fillId="3" borderId="0" xfId="0" applyNumberFormat="1" applyFill="1" applyBorder="1" applyAlignment="1">
      <alignment horizontal="center"/>
    </xf>
    <xf numFmtId="2" fontId="0" fillId="3" borderId="22" xfId="0" applyNumberFormat="1" applyFill="1" applyBorder="1" applyAlignment="1">
      <alignment horizontal="center"/>
    </xf>
    <xf numFmtId="0" fontId="6" fillId="17" borderId="0" xfId="0" applyFont="1" applyFill="1" applyAlignment="1">
      <alignment horizontal="center"/>
    </xf>
    <xf numFmtId="0" fontId="19" fillId="19" borderId="26" xfId="0" applyFont="1" applyFill="1" applyBorder="1"/>
    <xf numFmtId="0" fontId="19" fillId="19" borderId="27" xfId="0" applyFont="1" applyFill="1" applyBorder="1"/>
    <xf numFmtId="0" fontId="19" fillId="19" borderId="28" xfId="0" applyFont="1" applyFill="1" applyBorder="1"/>
    <xf numFmtId="0" fontId="0" fillId="6" borderId="26" xfId="0" applyFill="1" applyBorder="1"/>
    <xf numFmtId="0" fontId="0" fillId="6" borderId="24" xfId="0" applyFill="1" applyBorder="1" applyAlignment="1">
      <alignment horizontal="center" vertical="center"/>
    </xf>
    <xf numFmtId="0" fontId="50" fillId="6" borderId="0" xfId="0" applyFont="1" applyFill="1" applyBorder="1" applyAlignment="1">
      <alignment horizontal="center"/>
    </xf>
    <xf numFmtId="0" fontId="0" fillId="20" borderId="0" xfId="0" applyFill="1" applyProtection="1"/>
    <xf numFmtId="0" fontId="0" fillId="11" borderId="1" xfId="0" applyFill="1" applyBorder="1" applyProtection="1"/>
    <xf numFmtId="0" fontId="0" fillId="11" borderId="2" xfId="0" applyFill="1" applyBorder="1" applyProtection="1"/>
    <xf numFmtId="0" fontId="5" fillId="2" borderId="0" xfId="0" applyFont="1" applyFill="1" applyBorder="1" applyAlignment="1" applyProtection="1"/>
    <xf numFmtId="0" fontId="5" fillId="2" borderId="0" xfId="0" applyFont="1" applyFill="1" applyBorder="1" applyAlignment="1" applyProtection="1">
      <alignment horizontal="center"/>
    </xf>
    <xf numFmtId="0" fontId="8" fillId="12" borderId="0" xfId="0" applyFont="1" applyFill="1" applyAlignment="1" applyProtection="1">
      <alignment horizontal="left"/>
    </xf>
    <xf numFmtId="0" fontId="0" fillId="12" borderId="0" xfId="0" applyFill="1" applyAlignment="1" applyProtection="1">
      <alignment horizontal="center"/>
    </xf>
    <xf numFmtId="0" fontId="8" fillId="13" borderId="0" xfId="0" applyFont="1" applyFill="1" applyAlignment="1" applyProtection="1">
      <alignment horizontal="left"/>
    </xf>
    <xf numFmtId="0" fontId="0" fillId="13" borderId="0" xfId="0" applyFill="1" applyAlignment="1" applyProtection="1">
      <alignment horizontal="center"/>
    </xf>
    <xf numFmtId="0" fontId="49" fillId="19" borderId="26" xfId="0" applyFont="1" applyFill="1" applyBorder="1" applyProtection="1"/>
    <xf numFmtId="0" fontId="0" fillId="20" borderId="21" xfId="0" applyFill="1" applyBorder="1" applyProtection="1"/>
    <xf numFmtId="0" fontId="19" fillId="19" borderId="26" xfId="0" applyFont="1" applyFill="1" applyBorder="1" applyProtection="1"/>
    <xf numFmtId="0" fontId="19" fillId="19" borderId="27" xfId="0" applyFont="1" applyFill="1" applyBorder="1" applyProtection="1"/>
    <xf numFmtId="0" fontId="0" fillId="11" borderId="4" xfId="0" applyFill="1" applyBorder="1" applyProtection="1"/>
    <xf numFmtId="0" fontId="48" fillId="11" borderId="0" xfId="0" applyFont="1" applyFill="1" applyBorder="1" applyAlignment="1" applyProtection="1">
      <alignment horizontal="center"/>
    </xf>
    <xf numFmtId="0" fontId="0" fillId="11" borderId="5" xfId="0" applyFill="1" applyBorder="1" applyProtection="1"/>
    <xf numFmtId="0" fontId="5" fillId="2" borderId="1" xfId="0" applyFont="1" applyFill="1" applyBorder="1" applyProtection="1"/>
    <xf numFmtId="0" fontId="5" fillId="2" borderId="2" xfId="0" applyFont="1" applyFill="1" applyBorder="1" applyProtection="1"/>
    <xf numFmtId="0" fontId="0" fillId="13" borderId="0" xfId="0" applyFill="1" applyBorder="1" applyAlignment="1" applyProtection="1">
      <alignment horizontal="center"/>
    </xf>
    <xf numFmtId="0" fontId="0" fillId="11" borderId="7" xfId="0" applyFill="1" applyBorder="1" applyProtection="1"/>
    <xf numFmtId="0" fontId="0" fillId="11" borderId="8" xfId="0" applyFill="1" applyBorder="1" applyProtection="1"/>
    <xf numFmtId="0" fontId="5" fillId="2" borderId="6" xfId="0" applyFont="1" applyFill="1" applyBorder="1" applyProtection="1"/>
    <xf numFmtId="0" fontId="0" fillId="2" borderId="7" xfId="0" applyFill="1" applyBorder="1" applyAlignment="1" applyProtection="1">
      <alignment horizontal="center"/>
    </xf>
    <xf numFmtId="0" fontId="0" fillId="2" borderId="7" xfId="0" applyFill="1" applyBorder="1" applyProtection="1"/>
    <xf numFmtId="0" fontId="0" fillId="2" borderId="8" xfId="0" applyFill="1" applyBorder="1" applyProtection="1"/>
    <xf numFmtId="0" fontId="0" fillId="6" borderId="0" xfId="0" applyFill="1" applyBorder="1" applyAlignment="1" applyProtection="1">
      <alignment horizontal="center"/>
    </xf>
    <xf numFmtId="0" fontId="17" fillId="12" borderId="0" xfId="0" applyFont="1" applyFill="1" applyAlignment="1" applyProtection="1">
      <alignment horizontal="center"/>
    </xf>
    <xf numFmtId="0" fontId="0" fillId="2" borderId="3" xfId="0" applyFill="1" applyBorder="1" applyProtection="1"/>
    <xf numFmtId="0" fontId="19" fillId="7" borderId="23" xfId="0" applyFont="1" applyFill="1" applyBorder="1" applyAlignment="1" applyProtection="1">
      <alignment horizontal="center"/>
    </xf>
    <xf numFmtId="0" fontId="6" fillId="12" borderId="21" xfId="0" applyFont="1" applyFill="1" applyBorder="1" applyAlignment="1" applyProtection="1">
      <alignment horizontal="center"/>
    </xf>
    <xf numFmtId="0" fontId="6" fillId="12" borderId="0" xfId="0" applyFont="1" applyFill="1" applyBorder="1" applyAlignment="1" applyProtection="1">
      <alignment horizontal="center"/>
    </xf>
    <xf numFmtId="0" fontId="6" fillId="12" borderId="22" xfId="0" applyFont="1" applyFill="1" applyBorder="1" applyAlignment="1" applyProtection="1">
      <alignment horizontal="center"/>
    </xf>
    <xf numFmtId="0" fontId="6" fillId="12" borderId="30" xfId="0" applyFont="1" applyFill="1" applyBorder="1" applyAlignment="1" applyProtection="1">
      <alignment horizontal="center"/>
    </xf>
    <xf numFmtId="0" fontId="6" fillId="12" borderId="31" xfId="0" applyFont="1" applyFill="1" applyBorder="1" applyAlignment="1" applyProtection="1">
      <alignment horizontal="center"/>
    </xf>
    <xf numFmtId="0" fontId="17" fillId="6" borderId="0" xfId="0" applyFont="1" applyFill="1" applyBorder="1" applyAlignment="1" applyProtection="1">
      <alignment horizontal="center"/>
    </xf>
    <xf numFmtId="0" fontId="17" fillId="2" borderId="0" xfId="0" applyFont="1" applyFill="1" applyBorder="1" applyAlignment="1" applyProtection="1"/>
    <xf numFmtId="0" fontId="0" fillId="2" borderId="4" xfId="0" applyFill="1" applyBorder="1" applyProtection="1"/>
    <xf numFmtId="0" fontId="0" fillId="2" borderId="32" xfId="0" applyFill="1" applyBorder="1" applyProtection="1"/>
    <xf numFmtId="0" fontId="0" fillId="2" borderId="5" xfId="0" applyFill="1" applyBorder="1" applyProtection="1"/>
    <xf numFmtId="0" fontId="6" fillId="13" borderId="33" xfId="0" applyFont="1" applyFill="1" applyBorder="1" applyAlignment="1" applyProtection="1">
      <alignment horizontal="center"/>
    </xf>
    <xf numFmtId="0" fontId="0" fillId="5" borderId="24" xfId="0" applyFill="1" applyBorder="1" applyAlignment="1" applyProtection="1">
      <alignment horizontal="center"/>
    </xf>
    <xf numFmtId="0" fontId="6" fillId="20" borderId="24" xfId="0" applyFont="1" applyFill="1" applyBorder="1" applyAlignment="1" applyProtection="1">
      <alignment horizontal="center"/>
    </xf>
    <xf numFmtId="0" fontId="6" fillId="20" borderId="12" xfId="0" applyFont="1" applyFill="1" applyBorder="1" applyAlignment="1" applyProtection="1">
      <alignment horizontal="center"/>
    </xf>
    <xf numFmtId="0" fontId="6" fillId="20" borderId="0" xfId="0" applyFont="1" applyFill="1" applyBorder="1" applyAlignment="1" applyProtection="1">
      <alignment horizontal="center" vertical="center"/>
    </xf>
    <xf numFmtId="0" fontId="6" fillId="20" borderId="16" xfId="0" applyFont="1" applyFill="1" applyBorder="1" applyAlignment="1" applyProtection="1">
      <alignment horizontal="center" vertical="center"/>
    </xf>
    <xf numFmtId="0" fontId="0" fillId="2" borderId="0" xfId="0" applyFill="1" applyBorder="1" applyAlignment="1" applyProtection="1">
      <alignment vertical="center"/>
    </xf>
    <xf numFmtId="0" fontId="5" fillId="2" borderId="32" xfId="0" applyFont="1" applyFill="1" applyBorder="1" applyProtection="1"/>
    <xf numFmtId="0" fontId="6" fillId="13" borderId="32" xfId="0" applyFont="1" applyFill="1" applyBorder="1" applyAlignment="1" applyProtection="1">
      <alignment horizontal="center"/>
    </xf>
    <xf numFmtId="0" fontId="6" fillId="20" borderId="0" xfId="0" applyFont="1" applyFill="1" applyBorder="1" applyAlignment="1" applyProtection="1">
      <alignment horizontal="center"/>
    </xf>
    <xf numFmtId="0" fontId="0" fillId="5" borderId="0" xfId="0" applyFill="1" applyBorder="1" applyAlignment="1" applyProtection="1">
      <alignment horizontal="center"/>
    </xf>
    <xf numFmtId="0" fontId="6" fillId="20" borderId="26" xfId="0" applyFont="1" applyFill="1" applyBorder="1" applyAlignment="1" applyProtection="1">
      <alignment horizontal="center"/>
    </xf>
    <xf numFmtId="0" fontId="6" fillId="20" borderId="18" xfId="0" applyFont="1" applyFill="1" applyBorder="1" applyAlignment="1" applyProtection="1">
      <alignment horizontal="center" vertical="center"/>
    </xf>
    <xf numFmtId="0" fontId="5" fillId="2" borderId="4" xfId="0" applyFont="1" applyFill="1" applyBorder="1" applyProtection="1"/>
    <xf numFmtId="0" fontId="6" fillId="20" borderId="17" xfId="0" applyFont="1" applyFill="1" applyBorder="1" applyAlignment="1" applyProtection="1">
      <alignment horizontal="center"/>
    </xf>
    <xf numFmtId="0" fontId="6" fillId="20" borderId="19" xfId="0" applyFont="1" applyFill="1" applyBorder="1" applyAlignment="1" applyProtection="1">
      <alignment horizontal="center"/>
    </xf>
    <xf numFmtId="0" fontId="6" fillId="20" borderId="20" xfId="0" applyFont="1" applyFill="1" applyBorder="1" applyAlignment="1" applyProtection="1">
      <alignment horizontal="center"/>
    </xf>
    <xf numFmtId="0" fontId="0" fillId="17" borderId="28" xfId="0" applyFill="1" applyBorder="1" applyAlignment="1" applyProtection="1">
      <alignment horizontal="center"/>
    </xf>
    <xf numFmtId="0" fontId="0" fillId="2" borderId="34" xfId="0" applyFill="1" applyBorder="1" applyProtection="1"/>
    <xf numFmtId="0" fontId="19" fillId="7" borderId="0" xfId="0" applyFont="1" applyFill="1" applyBorder="1" applyAlignment="1" applyProtection="1">
      <alignment horizontal="center"/>
    </xf>
    <xf numFmtId="0" fontId="6" fillId="20" borderId="18" xfId="0" applyFont="1" applyFill="1" applyBorder="1" applyAlignment="1" applyProtection="1">
      <alignment horizontal="center"/>
    </xf>
    <xf numFmtId="0" fontId="0" fillId="2" borderId="6" xfId="0" applyFill="1" applyBorder="1" applyProtection="1"/>
    <xf numFmtId="0" fontId="0" fillId="2" borderId="35" xfId="0" applyFill="1" applyBorder="1" applyProtection="1"/>
    <xf numFmtId="0" fontId="6" fillId="13" borderId="36" xfId="0" applyFont="1" applyFill="1" applyBorder="1" applyAlignment="1" applyProtection="1">
      <alignment horizontal="center"/>
    </xf>
    <xf numFmtId="0" fontId="6" fillId="20" borderId="22" xfId="0" applyFont="1" applyFill="1" applyBorder="1" applyAlignment="1" applyProtection="1">
      <alignment horizontal="center"/>
    </xf>
    <xf numFmtId="0" fontId="0" fillId="6" borderId="0" xfId="0" applyFill="1" applyProtection="1"/>
    <xf numFmtId="0" fontId="0" fillId="6" borderId="0" xfId="0" applyFill="1" applyAlignment="1" applyProtection="1">
      <alignment horizontal="center"/>
    </xf>
    <xf numFmtId="0" fontId="5" fillId="12" borderId="0" xfId="0" applyFont="1" applyFill="1" applyAlignment="1" applyProtection="1">
      <alignment horizontal="center"/>
    </xf>
    <xf numFmtId="0" fontId="19" fillId="19" borderId="0" xfId="0" applyFont="1" applyFill="1" applyBorder="1" applyProtection="1"/>
    <xf numFmtId="0" fontId="19" fillId="19" borderId="7" xfId="0" applyFont="1" applyFill="1" applyBorder="1" applyProtection="1"/>
    <xf numFmtId="0" fontId="5" fillId="20" borderId="7" xfId="0" applyFont="1" applyFill="1" applyBorder="1" applyProtection="1"/>
    <xf numFmtId="0" fontId="19" fillId="19" borderId="37" xfId="0" applyFont="1" applyFill="1" applyBorder="1" applyProtection="1"/>
    <xf numFmtId="0" fontId="0" fillId="8" borderId="1" xfId="0" applyFill="1" applyBorder="1" applyProtection="1"/>
    <xf numFmtId="0" fontId="0" fillId="8" borderId="2" xfId="0" applyFill="1" applyBorder="1" applyProtection="1"/>
    <xf numFmtId="0" fontId="0" fillId="8" borderId="3" xfId="0" applyFill="1" applyBorder="1" applyProtection="1"/>
    <xf numFmtId="0" fontId="0" fillId="8" borderId="4" xfId="0" applyFill="1" applyBorder="1" applyProtection="1"/>
    <xf numFmtId="0" fontId="48" fillId="8" borderId="0" xfId="0" applyFont="1" applyFill="1" applyBorder="1" applyAlignment="1" applyProtection="1">
      <alignment horizontal="center"/>
    </xf>
    <xf numFmtId="0" fontId="0" fillId="8" borderId="5" xfId="0" applyFill="1" applyBorder="1" applyProtection="1"/>
    <xf numFmtId="0" fontId="0" fillId="8" borderId="6" xfId="0" applyFill="1" applyBorder="1" applyProtection="1"/>
    <xf numFmtId="0" fontId="0" fillId="8" borderId="7" xfId="0" applyFill="1" applyBorder="1" applyProtection="1"/>
    <xf numFmtId="0" fontId="0" fillId="8" borderId="8" xfId="0" applyFill="1" applyBorder="1" applyProtection="1"/>
    <xf numFmtId="0" fontId="5" fillId="2" borderId="15" xfId="0" applyFont="1" applyFill="1" applyBorder="1" applyProtection="1"/>
    <xf numFmtId="0" fontId="0" fillId="2" borderId="13" xfId="0" applyFill="1" applyBorder="1" applyProtection="1"/>
    <xf numFmtId="0" fontId="6" fillId="13" borderId="16" xfId="0" applyFont="1" applyFill="1" applyBorder="1" applyAlignment="1" applyProtection="1">
      <alignment horizontal="center"/>
    </xf>
    <xf numFmtId="0" fontId="0" fillId="5" borderId="9" xfId="0" applyFill="1" applyBorder="1" applyAlignment="1" applyProtection="1">
      <alignment horizontal="center"/>
    </xf>
    <xf numFmtId="0" fontId="6" fillId="13" borderId="18" xfId="0" applyFont="1" applyFill="1" applyBorder="1" applyAlignment="1" applyProtection="1">
      <alignment horizontal="center"/>
    </xf>
    <xf numFmtId="0" fontId="6" fillId="0" borderId="0" xfId="0" applyFont="1" applyFill="1" applyProtection="1"/>
    <xf numFmtId="0" fontId="16" fillId="2" borderId="0" xfId="0" applyFont="1" applyFill="1" applyProtection="1"/>
    <xf numFmtId="0" fontId="5" fillId="20" borderId="0" xfId="0" applyFont="1" applyFill="1" applyProtection="1"/>
    <xf numFmtId="0" fontId="0" fillId="7" borderId="28" xfId="0" applyFill="1" applyBorder="1" applyProtection="1"/>
    <xf numFmtId="0" fontId="0" fillId="12" borderId="28" xfId="0" applyFill="1" applyBorder="1" applyProtection="1"/>
    <xf numFmtId="0" fontId="0" fillId="13" borderId="28" xfId="0" applyFill="1" applyBorder="1" applyProtection="1"/>
    <xf numFmtId="0" fontId="0" fillId="20" borderId="28" xfId="0" applyFill="1" applyBorder="1" applyProtection="1"/>
    <xf numFmtId="0" fontId="0" fillId="5" borderId="28" xfId="0" applyFill="1" applyBorder="1" applyProtection="1"/>
    <xf numFmtId="0" fontId="0" fillId="17" borderId="28" xfId="0" applyFill="1" applyBorder="1" applyProtection="1"/>
    <xf numFmtId="1" fontId="5" fillId="6" borderId="4" xfId="0" applyNumberFormat="1" applyFont="1" applyFill="1" applyBorder="1" applyAlignment="1" applyProtection="1">
      <alignment horizontal="center"/>
    </xf>
    <xf numFmtId="1" fontId="5" fillId="3" borderId="4" xfId="0" applyNumberFormat="1" applyFont="1" applyFill="1" applyBorder="1" applyAlignment="1" applyProtection="1">
      <alignment horizontal="center"/>
    </xf>
    <xf numFmtId="1" fontId="5" fillId="6" borderId="6" xfId="0" applyNumberFormat="1" applyFont="1" applyFill="1" applyBorder="1" applyAlignment="1" applyProtection="1">
      <alignment horizontal="center"/>
    </xf>
    <xf numFmtId="0" fontId="0" fillId="6" borderId="0" xfId="0" applyFill="1" applyBorder="1" applyProtection="1"/>
    <xf numFmtId="0" fontId="0" fillId="6" borderId="18" xfId="0" applyFill="1" applyBorder="1" applyProtection="1"/>
    <xf numFmtId="0" fontId="0" fillId="6" borderId="23" xfId="0" applyFill="1" applyBorder="1" applyProtection="1"/>
    <xf numFmtId="0" fontId="6" fillId="18" borderId="4" xfId="0" applyFont="1" applyFill="1" applyBorder="1" applyAlignment="1" applyProtection="1">
      <alignment horizontal="center"/>
      <protection locked="0"/>
    </xf>
    <xf numFmtId="0" fontId="6" fillId="18" borderId="5" xfId="0" applyFont="1" applyFill="1" applyBorder="1" applyAlignment="1" applyProtection="1">
      <alignment horizontal="center"/>
      <protection locked="0"/>
    </xf>
    <xf numFmtId="0" fontId="6" fillId="18" borderId="6" xfId="0" applyFont="1" applyFill="1" applyBorder="1" applyAlignment="1" applyProtection="1">
      <alignment horizontal="center"/>
      <protection locked="0"/>
    </xf>
    <xf numFmtId="0" fontId="6" fillId="18" borderId="8" xfId="0" applyFont="1" applyFill="1" applyBorder="1" applyAlignment="1" applyProtection="1">
      <alignment horizontal="center"/>
      <protection locked="0"/>
    </xf>
    <xf numFmtId="0" fontId="6" fillId="18" borderId="13" xfId="0" applyFont="1" applyFill="1" applyBorder="1" applyAlignment="1" applyProtection="1">
      <alignment horizontal="center"/>
      <protection locked="0"/>
    </xf>
    <xf numFmtId="0" fontId="6" fillId="18" borderId="14" xfId="0" applyFont="1" applyFill="1" applyBorder="1" applyAlignment="1" applyProtection="1">
      <alignment horizontal="center"/>
      <protection locked="0"/>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0" fillId="3" borderId="17" xfId="0" applyFill="1" applyBorder="1" applyAlignment="1" applyProtection="1">
      <alignment horizontal="left"/>
    </xf>
    <xf numFmtId="0" fontId="0" fillId="3" borderId="19" xfId="0" applyFill="1" applyBorder="1" applyAlignment="1" applyProtection="1">
      <alignment horizontal="left"/>
    </xf>
    <xf numFmtId="0" fontId="0" fillId="3" borderId="20" xfId="0" applyFill="1" applyBorder="1" applyAlignment="1" applyProtection="1">
      <alignment horizontal="left"/>
    </xf>
    <xf numFmtId="0" fontId="5" fillId="3" borderId="25" xfId="0" applyFont="1" applyFill="1" applyBorder="1" applyProtection="1"/>
    <xf numFmtId="0" fontId="0" fillId="3" borderId="23" xfId="0" applyFill="1" applyBorder="1" applyProtection="1"/>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0" fillId="3" borderId="19" xfId="0" applyFill="1" applyBorder="1" applyAlignment="1" applyProtection="1">
      <alignment horizontal="center"/>
    </xf>
    <xf numFmtId="0" fontId="0" fillId="3" borderId="0" xfId="0" applyFill="1" applyBorder="1" applyAlignment="1" applyProtection="1">
      <alignment horizontal="center"/>
    </xf>
    <xf numFmtId="0" fontId="0" fillId="3" borderId="23" xfId="0" applyFill="1" applyBorder="1" applyAlignment="1" applyProtection="1">
      <alignment horizontal="center"/>
    </xf>
    <xf numFmtId="0" fontId="0" fillId="3" borderId="21" xfId="0" applyFill="1" applyBorder="1" applyAlignment="1" applyProtection="1">
      <alignment horizontal="center"/>
    </xf>
    <xf numFmtId="0" fontId="0" fillId="3" borderId="20" xfId="0" applyFill="1" applyBorder="1" applyAlignment="1" applyProtection="1">
      <alignment horizontal="center"/>
    </xf>
    <xf numFmtId="0" fontId="5" fillId="3" borderId="22" xfId="0" applyFont="1" applyFill="1" applyBorder="1" applyAlignment="1" applyProtection="1">
      <alignment horizontal="left"/>
    </xf>
    <xf numFmtId="0" fontId="5" fillId="3" borderId="22" xfId="0" applyFont="1" applyFill="1" applyBorder="1" applyProtection="1"/>
    <xf numFmtId="0" fontId="5" fillId="3" borderId="23" xfId="0" applyFont="1" applyFill="1" applyBorder="1" applyProtection="1"/>
    <xf numFmtId="0" fontId="0" fillId="3" borderId="19" xfId="0" applyFill="1" applyBorder="1" applyAlignment="1" applyProtection="1"/>
    <xf numFmtId="0" fontId="0" fillId="3" borderId="20" xfId="0" applyFill="1" applyBorder="1" applyAlignment="1" applyProtection="1"/>
    <xf numFmtId="0" fontId="5" fillId="3" borderId="12" xfId="0" applyFont="1" applyFill="1" applyBorder="1" applyProtection="1"/>
    <xf numFmtId="0" fontId="0" fillId="6" borderId="0" xfId="0" applyFill="1" applyBorder="1" applyAlignment="1" applyProtection="1">
      <alignment horizontal="left"/>
    </xf>
    <xf numFmtId="165" fontId="0" fillId="3" borderId="0" xfId="0" applyNumberFormat="1"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pplyProtection="1">
      <alignment horizontal="center"/>
    </xf>
    <xf numFmtId="0" fontId="0" fillId="3" borderId="24" xfId="0" applyFill="1" applyBorder="1" applyAlignment="1" applyProtection="1">
      <alignment horizontal="center"/>
    </xf>
    <xf numFmtId="0" fontId="0" fillId="3" borderId="16" xfId="0" applyFill="1" applyBorder="1" applyAlignment="1" applyProtection="1">
      <alignment horizontal="center"/>
    </xf>
    <xf numFmtId="0" fontId="0" fillId="6" borderId="24" xfId="0" applyFill="1" applyBorder="1" applyAlignment="1" applyProtection="1">
      <alignment horizontal="left"/>
    </xf>
    <xf numFmtId="0" fontId="0" fillId="6" borderId="24" xfId="0" applyFill="1" applyBorder="1" applyProtection="1"/>
    <xf numFmtId="0" fontId="0" fillId="6" borderId="16" xfId="0" applyFill="1" applyBorder="1" applyProtection="1"/>
    <xf numFmtId="0" fontId="0" fillId="6" borderId="22" xfId="0" applyFill="1" applyBorder="1" applyAlignment="1" applyProtection="1">
      <alignment horizontal="left"/>
    </xf>
    <xf numFmtId="0" fontId="0" fillId="6" borderId="22" xfId="0" applyFill="1" applyBorder="1" applyProtection="1"/>
    <xf numFmtId="165" fontId="0" fillId="3" borderId="22" xfId="0" applyNumberFormat="1" applyFill="1" applyBorder="1" applyAlignment="1" applyProtection="1">
      <alignment horizontal="center"/>
    </xf>
    <xf numFmtId="0" fontId="5" fillId="2" borderId="0" xfId="0" applyFont="1" applyFill="1" applyBorder="1" applyAlignment="1" applyProtection="1">
      <alignment horizontal="center" vertical="center"/>
    </xf>
    <xf numFmtId="0" fontId="0" fillId="2" borderId="0" xfId="0" applyFill="1" applyBorder="1" applyAlignment="1" applyProtection="1">
      <alignment horizontal="left"/>
    </xf>
    <xf numFmtId="2" fontId="0" fillId="2" borderId="0" xfId="0" applyNumberFormat="1" applyFill="1" applyBorder="1" applyProtection="1"/>
    <xf numFmtId="0" fontId="29" fillId="2" borderId="0" xfId="0" applyFont="1" applyFill="1" applyProtection="1"/>
    <xf numFmtId="0" fontId="26" fillId="3" borderId="24" xfId="0" applyFont="1" applyFill="1" applyBorder="1" applyAlignment="1" applyProtection="1">
      <alignment horizontal="center"/>
    </xf>
    <xf numFmtId="0" fontId="26" fillId="3" borderId="24" xfId="0" applyFont="1" applyFill="1" applyBorder="1" applyProtection="1"/>
    <xf numFmtId="1" fontId="26" fillId="3" borderId="24" xfId="0" applyNumberFormat="1" applyFont="1" applyFill="1" applyBorder="1" applyProtection="1"/>
    <xf numFmtId="0" fontId="26" fillId="3" borderId="0" xfId="0" applyFont="1" applyFill="1" applyBorder="1" applyAlignment="1" applyProtection="1">
      <alignment horizontal="center"/>
    </xf>
    <xf numFmtId="0" fontId="26" fillId="3" borderId="0" xfId="0" applyFont="1" applyFill="1" applyBorder="1" applyProtection="1"/>
    <xf numFmtId="1" fontId="26" fillId="3" borderId="0" xfId="0" applyNumberFormat="1" applyFont="1" applyFill="1" applyBorder="1" applyProtection="1"/>
    <xf numFmtId="0" fontId="26" fillId="3" borderId="22" xfId="0" applyFont="1" applyFill="1" applyBorder="1" applyAlignment="1" applyProtection="1">
      <alignment horizontal="center"/>
    </xf>
    <xf numFmtId="0" fontId="26" fillId="3" borderId="22" xfId="0" applyFont="1" applyFill="1" applyBorder="1" applyProtection="1"/>
    <xf numFmtId="1" fontId="26" fillId="3" borderId="22" xfId="0" applyNumberFormat="1" applyFont="1" applyFill="1" applyBorder="1" applyProtection="1"/>
    <xf numFmtId="0" fontId="0" fillId="3" borderId="12" xfId="0" applyFill="1" applyBorder="1" applyProtection="1"/>
    <xf numFmtId="0" fontId="0" fillId="3" borderId="17" xfId="0" applyFill="1" applyBorder="1" applyAlignment="1" applyProtection="1"/>
    <xf numFmtId="0" fontId="0" fillId="3" borderId="26" xfId="0" applyFill="1" applyBorder="1" applyProtection="1"/>
    <xf numFmtId="0" fontId="0" fillId="3" borderId="16" xfId="0" applyFill="1" applyBorder="1" applyAlignment="1" applyProtection="1">
      <alignment horizontal="left"/>
    </xf>
    <xf numFmtId="0" fontId="5" fillId="3" borderId="9" xfId="0" applyFont="1" applyFill="1" applyBorder="1" applyAlignment="1" applyProtection="1"/>
    <xf numFmtId="0" fontId="5" fillId="3" borderId="24" xfId="0" applyFont="1" applyFill="1" applyBorder="1" applyAlignment="1" applyProtection="1"/>
    <xf numFmtId="0" fontId="0" fillId="3" borderId="12" xfId="0" applyFill="1" applyBorder="1" applyAlignment="1" applyProtection="1">
      <alignment horizontal="center"/>
    </xf>
    <xf numFmtId="0" fontId="0" fillId="3" borderId="22" xfId="0" applyFill="1" applyBorder="1" applyAlignment="1" applyProtection="1"/>
    <xf numFmtId="0" fontId="0" fillId="3" borderId="23" xfId="0" applyFill="1" applyBorder="1" applyAlignment="1" applyProtection="1"/>
    <xf numFmtId="0" fontId="0" fillId="3" borderId="25" xfId="0" applyFill="1" applyBorder="1" applyAlignment="1" applyProtection="1"/>
    <xf numFmtId="0" fontId="17" fillId="3" borderId="21" xfId="0" applyFont="1" applyFill="1" applyBorder="1" applyAlignment="1" applyProtection="1">
      <alignment horizontal="center"/>
    </xf>
    <xf numFmtId="0" fontId="0" fillId="3" borderId="27" xfId="0" applyFill="1" applyBorder="1" applyProtection="1"/>
    <xf numFmtId="0" fontId="5" fillId="3" borderId="21" xfId="0" applyFont="1" applyFill="1" applyBorder="1" applyProtection="1"/>
    <xf numFmtId="0" fontId="0" fillId="3" borderId="18" xfId="0" applyFill="1" applyBorder="1" applyAlignment="1" applyProtection="1">
      <alignment horizontal="left"/>
    </xf>
    <xf numFmtId="0" fontId="25" fillId="3" borderId="18" xfId="0" applyFont="1" applyFill="1" applyBorder="1" applyProtection="1"/>
    <xf numFmtId="0" fontId="0" fillId="3" borderId="26" xfId="0" applyFill="1" applyBorder="1" applyAlignment="1" applyProtection="1">
      <alignment horizontal="center"/>
    </xf>
    <xf numFmtId="0" fontId="17" fillId="3" borderId="12" xfId="0" applyFont="1" applyFill="1" applyBorder="1" applyProtection="1"/>
    <xf numFmtId="165" fontId="17" fillId="6" borderId="0" xfId="0" applyNumberFormat="1" applyFont="1" applyFill="1" applyBorder="1" applyAlignment="1" applyProtection="1">
      <alignment horizontal="center"/>
    </xf>
    <xf numFmtId="165" fontId="17" fillId="6" borderId="24" xfId="0" applyNumberFormat="1" applyFont="1" applyFill="1" applyBorder="1" applyAlignment="1" applyProtection="1">
      <alignment horizontal="center"/>
    </xf>
    <xf numFmtId="165" fontId="5" fillId="6" borderId="16" xfId="0" applyNumberFormat="1" applyFont="1" applyFill="1" applyBorder="1" applyAlignment="1" applyProtection="1">
      <alignment horizontal="center"/>
    </xf>
    <xf numFmtId="0" fontId="17" fillId="2" borderId="0" xfId="0" applyFont="1" applyFill="1" applyProtection="1"/>
    <xf numFmtId="0" fontId="17" fillId="3" borderId="26" xfId="0" applyFont="1" applyFill="1" applyBorder="1" applyProtection="1"/>
    <xf numFmtId="165" fontId="5" fillId="6" borderId="18" xfId="0" applyNumberFormat="1" applyFont="1" applyFill="1" applyBorder="1" applyAlignment="1" applyProtection="1">
      <alignment horizontal="center"/>
    </xf>
    <xf numFmtId="165" fontId="17" fillId="6" borderId="21" xfId="0" applyNumberFormat="1" applyFont="1" applyFill="1" applyBorder="1" applyAlignment="1" applyProtection="1">
      <alignment horizontal="center"/>
    </xf>
    <xf numFmtId="0" fontId="17" fillId="3" borderId="21" xfId="0" applyFont="1" applyFill="1" applyBorder="1" applyAlignment="1" applyProtection="1">
      <alignment horizontal="left"/>
    </xf>
    <xf numFmtId="0" fontId="17" fillId="3" borderId="0" xfId="0" applyFont="1" applyFill="1" applyBorder="1" applyAlignment="1" applyProtection="1">
      <alignment horizontal="left"/>
    </xf>
    <xf numFmtId="165" fontId="27" fillId="6" borderId="0" xfId="0" applyNumberFormat="1" applyFont="1" applyFill="1" applyBorder="1" applyAlignment="1" applyProtection="1">
      <alignment horizontal="center"/>
    </xf>
    <xf numFmtId="165" fontId="27" fillId="6" borderId="21" xfId="0" applyNumberFormat="1" applyFont="1" applyFill="1" applyBorder="1" applyAlignment="1" applyProtection="1">
      <alignment horizontal="center"/>
    </xf>
    <xf numFmtId="0" fontId="17" fillId="3" borderId="25" xfId="0" applyFont="1" applyFill="1" applyBorder="1" applyAlignment="1" applyProtection="1">
      <alignment horizontal="left"/>
    </xf>
    <xf numFmtId="0" fontId="17" fillId="3" borderId="22" xfId="0" applyFont="1" applyFill="1" applyBorder="1" applyAlignment="1" applyProtection="1">
      <alignment horizontal="left"/>
    </xf>
    <xf numFmtId="165" fontId="27" fillId="6" borderId="22" xfId="0" applyNumberFormat="1" applyFont="1" applyFill="1" applyBorder="1" applyAlignment="1" applyProtection="1">
      <alignment horizontal="center"/>
    </xf>
    <xf numFmtId="165" fontId="27" fillId="6" borderId="25" xfId="0" applyNumberFormat="1" applyFont="1" applyFill="1" applyBorder="1" applyAlignment="1" applyProtection="1">
      <alignment horizontal="center"/>
    </xf>
    <xf numFmtId="0" fontId="17" fillId="2" borderId="0" xfId="0" applyFont="1" applyFill="1" applyBorder="1" applyProtection="1"/>
    <xf numFmtId="0" fontId="17" fillId="2" borderId="0" xfId="0" applyFont="1" applyFill="1" applyBorder="1" applyAlignment="1" applyProtection="1">
      <alignment horizontal="left"/>
    </xf>
    <xf numFmtId="0" fontId="17" fillId="2" borderId="0" xfId="0" applyFont="1" applyFill="1" applyAlignment="1" applyProtection="1">
      <alignment horizontal="center"/>
    </xf>
    <xf numFmtId="0" fontId="27" fillId="2" borderId="0" xfId="0" applyFont="1" applyFill="1" applyProtection="1"/>
    <xf numFmtId="0" fontId="27" fillId="2" borderId="0" xfId="0" applyFont="1" applyFill="1" applyAlignment="1" applyProtection="1">
      <alignment horizontal="center"/>
    </xf>
    <xf numFmtId="0" fontId="14" fillId="9" borderId="17" xfId="0" applyFont="1" applyFill="1" applyBorder="1" applyProtection="1"/>
    <xf numFmtId="0" fontId="14" fillId="9" borderId="19" xfId="0" applyFont="1" applyFill="1" applyBorder="1" applyAlignment="1" applyProtection="1">
      <alignment horizontal="center"/>
    </xf>
    <xf numFmtId="0" fontId="14" fillId="9" borderId="19" xfId="0" applyFont="1" applyFill="1" applyBorder="1" applyProtection="1"/>
    <xf numFmtId="0" fontId="14" fillId="9" borderId="28" xfId="0" applyFont="1" applyFill="1" applyBorder="1" applyAlignment="1" applyProtection="1">
      <alignment horizontal="center"/>
    </xf>
    <xf numFmtId="0" fontId="5" fillId="3" borderId="9" xfId="0" applyFont="1" applyFill="1" applyBorder="1" applyAlignment="1" applyProtection="1">
      <alignment horizontal="left"/>
    </xf>
    <xf numFmtId="0" fontId="0" fillId="3" borderId="0" xfId="0" applyFill="1" applyProtection="1"/>
    <xf numFmtId="0" fontId="0" fillId="4" borderId="2" xfId="0" applyFill="1" applyBorder="1" applyAlignment="1" applyProtection="1">
      <alignment horizontal="center" vertical="center"/>
    </xf>
    <xf numFmtId="0" fontId="5" fillId="11" borderId="30" xfId="0" applyFont="1" applyFill="1" applyBorder="1" applyAlignment="1" applyProtection="1">
      <alignment horizontal="left"/>
    </xf>
    <xf numFmtId="0" fontId="5" fillId="11" borderId="31" xfId="0" applyFont="1" applyFill="1" applyBorder="1" applyAlignment="1" applyProtection="1">
      <alignment horizontal="center"/>
    </xf>
    <xf numFmtId="0" fontId="5" fillId="8" borderId="30" xfId="0" applyFont="1" applyFill="1" applyBorder="1" applyAlignment="1" applyProtection="1">
      <alignment horizontal="left"/>
    </xf>
    <xf numFmtId="0" fontId="5" fillId="8" borderId="30" xfId="0" applyFont="1" applyFill="1" applyBorder="1" applyAlignment="1" applyProtection="1">
      <alignment horizontal="center"/>
    </xf>
    <xf numFmtId="0" fontId="0" fillId="11" borderId="9" xfId="0" applyFill="1" applyBorder="1" applyAlignment="1" applyProtection="1">
      <alignment horizontal="center"/>
    </xf>
    <xf numFmtId="0" fontId="0" fillId="8" borderId="16" xfId="0" applyFill="1" applyBorder="1" applyAlignment="1" applyProtection="1">
      <alignment horizontal="center"/>
    </xf>
    <xf numFmtId="0" fontId="0" fillId="4" borderId="0" xfId="0" applyFill="1" applyBorder="1" applyAlignment="1" applyProtection="1">
      <alignment horizontal="center" vertical="center"/>
    </xf>
    <xf numFmtId="0" fontId="0" fillId="11" borderId="0" xfId="0" applyFill="1" applyBorder="1" applyAlignment="1" applyProtection="1">
      <alignment horizontal="center" vertical="center"/>
    </xf>
    <xf numFmtId="0" fontId="0" fillId="11" borderId="18" xfId="0" applyFill="1" applyBorder="1" applyAlignment="1" applyProtection="1">
      <alignment horizontal="left" vertical="center" wrapText="1"/>
    </xf>
    <xf numFmtId="0" fontId="0" fillId="8" borderId="0" xfId="0" applyFill="1" applyAlignment="1" applyProtection="1">
      <alignment horizontal="center" vertical="center"/>
    </xf>
    <xf numFmtId="0" fontId="0" fillId="8" borderId="0" xfId="0" applyFill="1" applyAlignment="1" applyProtection="1">
      <alignment vertical="center"/>
    </xf>
    <xf numFmtId="0" fontId="0" fillId="11" borderId="25" xfId="0" applyFill="1" applyBorder="1" applyAlignment="1" applyProtection="1">
      <alignment horizontal="center"/>
    </xf>
    <xf numFmtId="0" fontId="0" fillId="8" borderId="23" xfId="0" applyFill="1" applyBorder="1" applyAlignment="1" applyProtection="1">
      <alignment horizontal="center"/>
    </xf>
    <xf numFmtId="0" fontId="0" fillId="11" borderId="21" xfId="0" applyFill="1" applyBorder="1" applyAlignment="1" applyProtection="1">
      <alignment horizontal="center"/>
    </xf>
    <xf numFmtId="0" fontId="0" fillId="8" borderId="18" xfId="0" applyFill="1" applyBorder="1" applyAlignment="1" applyProtection="1">
      <alignment horizontal="center"/>
    </xf>
    <xf numFmtId="0" fontId="0" fillId="6" borderId="9" xfId="0" applyFill="1" applyBorder="1" applyAlignment="1" applyProtection="1">
      <alignment horizontal="center"/>
    </xf>
    <xf numFmtId="1" fontId="0" fillId="6" borderId="9" xfId="0" applyNumberFormat="1" applyFill="1" applyBorder="1" applyAlignment="1" applyProtection="1">
      <alignment horizontal="center"/>
    </xf>
    <xf numFmtId="1" fontId="0" fillId="6" borderId="24" xfId="0" applyNumberFormat="1" applyFill="1" applyBorder="1" applyAlignment="1" applyProtection="1">
      <alignment horizontal="center"/>
    </xf>
    <xf numFmtId="0" fontId="0" fillId="6" borderId="21" xfId="0" applyFill="1" applyBorder="1" applyAlignment="1" applyProtection="1">
      <alignment horizontal="center"/>
    </xf>
    <xf numFmtId="1" fontId="0" fillId="6" borderId="21" xfId="0" applyNumberFormat="1" applyFill="1" applyBorder="1" applyAlignment="1" applyProtection="1">
      <alignment horizontal="center"/>
    </xf>
    <xf numFmtId="1" fontId="0" fillId="6" borderId="0" xfId="0" applyNumberFormat="1" applyFill="1" applyBorder="1" applyAlignment="1" applyProtection="1">
      <alignment horizontal="center"/>
    </xf>
    <xf numFmtId="0" fontId="0" fillId="6" borderId="25" xfId="0" applyFill="1" applyBorder="1" applyAlignment="1" applyProtection="1">
      <alignment horizontal="center"/>
    </xf>
    <xf numFmtId="0" fontId="0" fillId="6" borderId="22" xfId="0" applyFill="1" applyBorder="1" applyAlignment="1" applyProtection="1">
      <alignment horizontal="center"/>
    </xf>
    <xf numFmtId="1" fontId="0" fillId="6" borderId="25" xfId="0" applyNumberFormat="1" applyFill="1" applyBorder="1" applyAlignment="1" applyProtection="1">
      <alignment horizontal="center"/>
    </xf>
    <xf numFmtId="1" fontId="0" fillId="6" borderId="22" xfId="0" applyNumberFormat="1" applyFill="1" applyBorder="1" applyAlignment="1" applyProtection="1">
      <alignment horizontal="center"/>
    </xf>
    <xf numFmtId="0" fontId="5" fillId="6" borderId="10" xfId="0" applyFont="1" applyFill="1" applyBorder="1" applyProtection="1"/>
    <xf numFmtId="0" fontId="0" fillId="6" borderId="29" xfId="0" applyFill="1" applyBorder="1" applyProtection="1"/>
    <xf numFmtId="0" fontId="0" fillId="6" borderId="29" xfId="0" applyFill="1" applyBorder="1" applyAlignment="1" applyProtection="1">
      <alignment horizontal="center"/>
    </xf>
    <xf numFmtId="1" fontId="5" fillId="6" borderId="29" xfId="0" applyNumberFormat="1" applyFont="1" applyFill="1" applyBorder="1" applyAlignment="1" applyProtection="1">
      <alignment horizontal="center"/>
    </xf>
    <xf numFmtId="1" fontId="5" fillId="6" borderId="11" xfId="0" applyNumberFormat="1" applyFont="1" applyFill="1" applyBorder="1" applyAlignment="1" applyProtection="1">
      <alignment horizontal="center"/>
    </xf>
    <xf numFmtId="0" fontId="35" fillId="2" borderId="0" xfId="0" applyFont="1" applyFill="1" applyProtection="1"/>
    <xf numFmtId="0" fontId="35" fillId="2" borderId="0" xfId="0" applyFont="1" applyFill="1" applyAlignment="1" applyProtection="1">
      <alignment horizontal="center"/>
    </xf>
    <xf numFmtId="0" fontId="7" fillId="2" borderId="0" xfId="0" applyFont="1" applyFill="1" applyAlignment="1" applyProtection="1">
      <alignment horizontal="left"/>
    </xf>
    <xf numFmtId="0" fontId="7" fillId="2" borderId="0" xfId="0" applyFont="1" applyFill="1" applyProtection="1"/>
    <xf numFmtId="0" fontId="26" fillId="21" borderId="15" xfId="0" applyFont="1" applyFill="1" applyBorder="1" applyAlignment="1" applyProtection="1">
      <alignment horizontal="center"/>
      <protection locked="0"/>
    </xf>
    <xf numFmtId="0" fontId="26" fillId="21" borderId="13" xfId="0" applyFont="1" applyFill="1" applyBorder="1" applyAlignment="1" applyProtection="1">
      <alignment horizontal="center"/>
      <protection locked="0"/>
    </xf>
    <xf numFmtId="0" fontId="26" fillId="21" borderId="14" xfId="0" applyFont="1" applyFill="1" applyBorder="1" applyAlignment="1" applyProtection="1">
      <alignment horizontal="center"/>
      <protection locked="0"/>
    </xf>
    <xf numFmtId="0" fontId="26" fillId="21" borderId="1" xfId="0" applyFont="1" applyFill="1" applyBorder="1" applyProtection="1">
      <protection locked="0"/>
    </xf>
    <xf numFmtId="0" fontId="26" fillId="21" borderId="2" xfId="0" applyFont="1" applyFill="1" applyBorder="1" applyProtection="1">
      <protection locked="0"/>
    </xf>
    <xf numFmtId="0" fontId="26" fillId="21" borderId="2" xfId="0" applyFont="1" applyFill="1" applyBorder="1" applyAlignment="1" applyProtection="1">
      <alignment horizontal="center"/>
      <protection locked="0"/>
    </xf>
    <xf numFmtId="0" fontId="26" fillId="21" borderId="3" xfId="0" applyFont="1" applyFill="1" applyBorder="1" applyAlignment="1" applyProtection="1">
      <alignment horizontal="center"/>
      <protection locked="0"/>
    </xf>
    <xf numFmtId="0" fontId="26" fillId="21" borderId="4" xfId="0" applyFont="1" applyFill="1" applyBorder="1" applyProtection="1">
      <protection locked="0"/>
    </xf>
    <xf numFmtId="0" fontId="26" fillId="21" borderId="0" xfId="0" applyFont="1" applyFill="1" applyBorder="1" applyProtection="1">
      <protection locked="0"/>
    </xf>
    <xf numFmtId="0" fontId="26" fillId="21" borderId="0" xfId="0" applyFont="1" applyFill="1" applyBorder="1" applyAlignment="1" applyProtection="1">
      <alignment horizontal="center"/>
      <protection locked="0"/>
    </xf>
    <xf numFmtId="0" fontId="26" fillId="21" borderId="5" xfId="0" applyFont="1" applyFill="1" applyBorder="1" applyAlignment="1" applyProtection="1">
      <alignment horizontal="center"/>
      <protection locked="0"/>
    </xf>
    <xf numFmtId="0" fontId="26" fillId="21" borderId="6" xfId="0" applyFont="1" applyFill="1" applyBorder="1" applyProtection="1">
      <protection locked="0"/>
    </xf>
    <xf numFmtId="0" fontId="26" fillId="21" borderId="7" xfId="0" applyFont="1" applyFill="1" applyBorder="1" applyProtection="1">
      <protection locked="0"/>
    </xf>
    <xf numFmtId="0" fontId="26" fillId="21" borderId="7" xfId="0" applyFont="1" applyFill="1" applyBorder="1" applyAlignment="1" applyProtection="1">
      <alignment horizontal="center"/>
      <protection locked="0"/>
    </xf>
    <xf numFmtId="0" fontId="26" fillId="21" borderId="8" xfId="0" applyFont="1" applyFill="1" applyBorder="1" applyAlignment="1" applyProtection="1">
      <alignment horizontal="center"/>
      <protection locked="0"/>
    </xf>
    <xf numFmtId="0" fontId="17" fillId="18" borderId="15" xfId="0" applyFont="1" applyFill="1" applyBorder="1" applyAlignment="1" applyProtection="1">
      <alignment horizontal="center"/>
      <protection locked="0"/>
    </xf>
    <xf numFmtId="0" fontId="27" fillId="21" borderId="13" xfId="0" applyFont="1" applyFill="1" applyBorder="1" applyAlignment="1" applyProtection="1">
      <alignment horizontal="center"/>
      <protection locked="0"/>
    </xf>
    <xf numFmtId="0" fontId="27" fillId="21" borderId="14" xfId="0" applyFont="1" applyFill="1" applyBorder="1" applyAlignment="1" applyProtection="1">
      <alignment horizontal="center"/>
      <protection locked="0"/>
    </xf>
    <xf numFmtId="0" fontId="6" fillId="21" borderId="0" xfId="0" applyFont="1" applyFill="1" applyBorder="1" applyAlignment="1" applyProtection="1">
      <alignment horizontal="left"/>
      <protection locked="0"/>
    </xf>
    <xf numFmtId="0" fontId="6" fillId="21" borderId="18" xfId="0" applyFont="1" applyFill="1" applyBorder="1" applyProtection="1">
      <protection locked="0"/>
    </xf>
    <xf numFmtId="0" fontId="6" fillId="21" borderId="22" xfId="0" applyFont="1" applyFill="1" applyBorder="1" applyAlignment="1" applyProtection="1">
      <alignment horizontal="left"/>
      <protection locked="0"/>
    </xf>
    <xf numFmtId="0" fontId="6" fillId="21" borderId="23" xfId="0" applyFont="1" applyFill="1" applyBorder="1" applyProtection="1">
      <protection locked="0"/>
    </xf>
    <xf numFmtId="0" fontId="26" fillId="21" borderId="1" xfId="0" applyFont="1" applyFill="1" applyBorder="1" applyAlignment="1" applyProtection="1">
      <alignment horizontal="center"/>
      <protection locked="0"/>
    </xf>
    <xf numFmtId="0" fontId="26" fillId="21" borderId="4" xfId="0" applyFont="1" applyFill="1" applyBorder="1" applyAlignment="1" applyProtection="1">
      <alignment horizontal="center"/>
      <protection locked="0"/>
    </xf>
    <xf numFmtId="0" fontId="26" fillId="21" borderId="6" xfId="0" applyFont="1" applyFill="1" applyBorder="1" applyAlignment="1" applyProtection="1">
      <alignment horizontal="center"/>
      <protection locked="0"/>
    </xf>
    <xf numFmtId="0" fontId="17" fillId="21" borderId="0" xfId="0" applyFont="1" applyFill="1" applyBorder="1" applyAlignment="1" applyProtection="1">
      <protection locked="0"/>
    </xf>
    <xf numFmtId="0" fontId="17" fillId="21" borderId="18" xfId="0" applyFont="1" applyFill="1" applyBorder="1" applyAlignment="1" applyProtection="1">
      <alignment horizontal="center"/>
      <protection locked="0"/>
    </xf>
    <xf numFmtId="0" fontId="17" fillId="21" borderId="23" xfId="0" applyFont="1" applyFill="1" applyBorder="1" applyAlignment="1" applyProtection="1">
      <alignment horizontal="center"/>
      <protection locked="0"/>
    </xf>
    <xf numFmtId="0" fontId="6" fillId="21" borderId="0" xfId="0" applyFont="1" applyFill="1" applyBorder="1" applyProtection="1">
      <protection locked="0"/>
    </xf>
    <xf numFmtId="0" fontId="6" fillId="21" borderId="22" xfId="0" applyFont="1" applyFill="1" applyBorder="1" applyProtection="1">
      <protection locked="0"/>
    </xf>
    <xf numFmtId="0" fontId="12" fillId="2" borderId="0" xfId="1" applyFill="1" applyBorder="1" applyAlignment="1" applyProtection="1"/>
    <xf numFmtId="0" fontId="5" fillId="3" borderId="16" xfId="0" applyFont="1" applyFill="1" applyBorder="1" applyProtection="1"/>
    <xf numFmtId="0" fontId="0" fillId="3" borderId="19" xfId="0" applyFill="1" applyBorder="1" applyProtection="1"/>
    <xf numFmtId="0" fontId="12" fillId="3" borderId="19" xfId="1" applyFill="1" applyBorder="1" applyAlignment="1" applyProtection="1"/>
    <xf numFmtId="0" fontId="0" fillId="3" borderId="20" xfId="0" applyFill="1" applyBorder="1" applyProtection="1"/>
    <xf numFmtId="0" fontId="5" fillId="3" borderId="17" xfId="0" applyFont="1" applyFill="1" applyBorder="1" applyAlignment="1" applyProtection="1">
      <alignment horizontal="left"/>
    </xf>
    <xf numFmtId="0" fontId="7" fillId="3" borderId="21" xfId="0" applyFont="1" applyFill="1" applyBorder="1" applyProtection="1"/>
    <xf numFmtId="0" fontId="0" fillId="3" borderId="18" xfId="0" applyFill="1" applyBorder="1" applyProtection="1"/>
    <xf numFmtId="165" fontId="0" fillId="6" borderId="21" xfId="0" applyNumberFormat="1" applyFill="1" applyBorder="1" applyAlignment="1" applyProtection="1">
      <alignment horizontal="center"/>
    </xf>
    <xf numFmtId="165" fontId="0" fillId="6" borderId="0" xfId="0" applyNumberFormat="1" applyFill="1" applyBorder="1" applyAlignment="1" applyProtection="1">
      <alignment horizontal="center"/>
    </xf>
    <xf numFmtId="165" fontId="0" fillId="6" borderId="18" xfId="0" applyNumberFormat="1" applyFill="1" applyBorder="1" applyAlignment="1" applyProtection="1">
      <alignment horizontal="center"/>
    </xf>
    <xf numFmtId="0" fontId="0" fillId="6" borderId="17" xfId="0" applyFill="1" applyBorder="1" applyAlignment="1" applyProtection="1">
      <alignment horizontal="left"/>
    </xf>
    <xf numFmtId="0" fontId="0" fillId="6" borderId="19" xfId="0" applyFill="1" applyBorder="1" applyProtection="1"/>
    <xf numFmtId="0" fontId="7" fillId="3" borderId="25" xfId="0" applyFont="1" applyFill="1" applyBorder="1" applyProtection="1"/>
    <xf numFmtId="0" fontId="18" fillId="2" borderId="0" xfId="0" applyFont="1" applyFill="1" applyBorder="1" applyAlignment="1" applyProtection="1">
      <alignment horizontal="center"/>
    </xf>
    <xf numFmtId="0" fontId="17" fillId="2" borderId="0" xfId="0" applyFont="1" applyFill="1" applyBorder="1" applyAlignment="1" applyProtection="1">
      <alignment horizontal="center"/>
    </xf>
    <xf numFmtId="0" fontId="5" fillId="3" borderId="38" xfId="0" applyFont="1" applyFill="1" applyBorder="1" applyAlignment="1" applyProtection="1"/>
    <xf numFmtId="0" fontId="5" fillId="3" borderId="39" xfId="0" applyFont="1" applyFill="1" applyBorder="1" applyAlignment="1" applyProtection="1"/>
    <xf numFmtId="0" fontId="5" fillId="3" borderId="40" xfId="0" applyFont="1" applyFill="1" applyBorder="1" applyAlignment="1" applyProtection="1"/>
    <xf numFmtId="0" fontId="0" fillId="3" borderId="9" xfId="0" applyFill="1" applyBorder="1" applyAlignment="1" applyProtection="1">
      <alignment horizontal="left"/>
    </xf>
    <xf numFmtId="0" fontId="12" fillId="3" borderId="22" xfId="1" applyFont="1" applyFill="1" applyBorder="1" applyAlignment="1" applyProtection="1">
      <protection locked="0"/>
    </xf>
    <xf numFmtId="0" fontId="5" fillId="21" borderId="21" xfId="0" applyFont="1" applyFill="1" applyBorder="1" applyProtection="1">
      <protection locked="0"/>
    </xf>
    <xf numFmtId="0" fontId="5" fillId="21" borderId="25" xfId="0" applyFont="1" applyFill="1" applyBorder="1" applyProtection="1">
      <protection locked="0"/>
    </xf>
    <xf numFmtId="0" fontId="12" fillId="0" borderId="0" xfId="1" applyAlignment="1" applyProtection="1">
      <protection locked="0"/>
    </xf>
    <xf numFmtId="0" fontId="12" fillId="2" borderId="0" xfId="1" applyFill="1" applyAlignment="1" applyProtection="1">
      <protection locked="0"/>
    </xf>
    <xf numFmtId="0" fontId="0" fillId="18" borderId="41" xfId="0" applyFill="1" applyBorder="1" applyAlignment="1" applyProtection="1">
      <alignment horizontal="center"/>
      <protection locked="0"/>
    </xf>
    <xf numFmtId="0" fontId="0" fillId="18" borderId="14" xfId="0" applyFill="1" applyBorder="1" applyAlignment="1" applyProtection="1">
      <alignment horizontal="center"/>
      <protection locked="0"/>
    </xf>
    <xf numFmtId="0" fontId="0" fillId="18" borderId="13" xfId="0" applyFill="1" applyBorder="1" applyAlignment="1" applyProtection="1">
      <alignment horizontal="center"/>
      <protection locked="0"/>
    </xf>
    <xf numFmtId="0" fontId="0" fillId="21" borderId="0" xfId="0" applyFill="1" applyBorder="1" applyAlignment="1" applyProtection="1">
      <alignment horizontal="center"/>
      <protection locked="0"/>
    </xf>
    <xf numFmtId="0" fontId="0" fillId="21" borderId="22" xfId="0" applyFill="1" applyBorder="1" applyAlignment="1" applyProtection="1">
      <alignment horizontal="center"/>
      <protection locked="0"/>
    </xf>
    <xf numFmtId="0" fontId="4" fillId="21" borderId="23" xfId="0" applyFont="1" applyFill="1" applyBorder="1" applyAlignment="1" applyProtection="1">
      <alignment horizontal="center"/>
      <protection locked="0"/>
    </xf>
    <xf numFmtId="0" fontId="17" fillId="3" borderId="9" xfId="0" applyFont="1" applyFill="1" applyBorder="1" applyProtection="1"/>
    <xf numFmtId="0" fontId="17" fillId="3" borderId="24" xfId="0" applyFont="1" applyFill="1" applyBorder="1" applyProtection="1"/>
    <xf numFmtId="0" fontId="17" fillId="3" borderId="16" xfId="0" applyFont="1" applyFill="1" applyBorder="1" applyAlignment="1" applyProtection="1">
      <alignment horizontal="center"/>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0" fillId="3" borderId="17" xfId="0" applyFill="1" applyBorder="1" applyAlignment="1" applyProtection="1">
      <alignment horizontal="center"/>
    </xf>
    <xf numFmtId="0" fontId="17" fillId="3" borderId="21" xfId="0" applyFont="1" applyFill="1" applyBorder="1" applyProtection="1"/>
    <xf numFmtId="0" fontId="17" fillId="3" borderId="0" xfId="0" applyFont="1" applyFill="1" applyBorder="1" applyProtection="1"/>
    <xf numFmtId="0" fontId="17" fillId="3" borderId="18" xfId="0" applyFont="1" applyFill="1" applyBorder="1" applyAlignment="1" applyProtection="1">
      <alignment horizontal="center"/>
    </xf>
    <xf numFmtId="0" fontId="17" fillId="3" borderId="0" xfId="0" applyFont="1" applyFill="1" applyBorder="1" applyAlignment="1" applyProtection="1">
      <alignment horizontal="center"/>
    </xf>
    <xf numFmtId="0" fontId="17" fillId="3" borderId="18" xfId="0" applyFont="1" applyFill="1" applyBorder="1" applyProtection="1"/>
    <xf numFmtId="0" fontId="0" fillId="3" borderId="21" xfId="0" applyFill="1" applyBorder="1" applyAlignment="1" applyProtection="1">
      <alignment horizontal="left"/>
    </xf>
    <xf numFmtId="0" fontId="5" fillId="3" borderId="10" xfId="0" applyFont="1" applyFill="1" applyBorder="1" applyProtection="1"/>
    <xf numFmtId="0" fontId="0" fillId="6" borderId="44" xfId="0" applyFill="1" applyBorder="1" applyAlignment="1" applyProtection="1">
      <alignment horizontal="center"/>
    </xf>
    <xf numFmtId="0" fontId="0" fillId="6" borderId="42" xfId="0" applyFill="1" applyBorder="1" applyAlignment="1" applyProtection="1">
      <alignment horizontal="center"/>
    </xf>
    <xf numFmtId="0" fontId="5" fillId="3" borderId="6" xfId="0" applyFont="1" applyFill="1" applyBorder="1" applyProtection="1"/>
    <xf numFmtId="0" fontId="0" fillId="6" borderId="45" xfId="0" applyFill="1" applyBorder="1" applyAlignment="1" applyProtection="1">
      <alignment horizontal="center"/>
    </xf>
    <xf numFmtId="0" fontId="0" fillId="6" borderId="7" xfId="0" applyFill="1" applyBorder="1" applyAlignment="1" applyProtection="1">
      <alignment horizontal="center"/>
    </xf>
    <xf numFmtId="0" fontId="0" fillId="6" borderId="43" xfId="0" applyFill="1" applyBorder="1" applyAlignment="1" applyProtection="1">
      <alignment horizontal="center"/>
    </xf>
    <xf numFmtId="0" fontId="0" fillId="6" borderId="18" xfId="0" applyFill="1" applyBorder="1" applyAlignment="1" applyProtection="1">
      <alignment horizontal="center"/>
    </xf>
    <xf numFmtId="0" fontId="33" fillId="2" borderId="0" xfId="0" applyFont="1" applyFill="1" applyProtection="1"/>
    <xf numFmtId="0" fontId="14" fillId="9" borderId="20" xfId="0" applyFont="1" applyFill="1" applyBorder="1" applyProtection="1"/>
    <xf numFmtId="0" fontId="14" fillId="9" borderId="20" xfId="0" applyFont="1" applyFill="1" applyBorder="1" applyAlignment="1" applyProtection="1">
      <alignment horizontal="center"/>
    </xf>
    <xf numFmtId="0" fontId="5" fillId="3" borderId="24" xfId="0" applyFont="1" applyFill="1" applyBorder="1" applyAlignment="1" applyProtection="1">
      <alignment horizontal="center"/>
    </xf>
    <xf numFmtId="0" fontId="17" fillId="3" borderId="17" xfId="0" applyFont="1" applyFill="1" applyBorder="1" applyAlignment="1" applyProtection="1">
      <alignment horizontal="left"/>
    </xf>
    <xf numFmtId="0" fontId="5" fillId="11" borderId="0" xfId="0" applyFont="1" applyFill="1" applyBorder="1" applyAlignment="1" applyProtection="1">
      <alignment horizontal="left"/>
    </xf>
    <xf numFmtId="0" fontId="5" fillId="11" borderId="0" xfId="0" applyFont="1" applyFill="1" applyBorder="1" applyAlignment="1" applyProtection="1">
      <alignment horizontal="center"/>
    </xf>
    <xf numFmtId="0" fontId="5" fillId="8" borderId="0" xfId="0" applyFont="1" applyFill="1" applyBorder="1" applyAlignment="1" applyProtection="1">
      <alignment horizontal="center"/>
    </xf>
    <xf numFmtId="0" fontId="0" fillId="11" borderId="0" xfId="0" applyFill="1" applyBorder="1" applyAlignment="1" applyProtection="1">
      <alignment horizontal="left" vertical="center" wrapText="1"/>
    </xf>
    <xf numFmtId="0" fontId="0" fillId="8" borderId="0" xfId="0" applyFill="1" applyBorder="1" applyAlignment="1" applyProtection="1">
      <alignment horizontal="center" vertical="center"/>
    </xf>
    <xf numFmtId="0" fontId="0" fillId="8" borderId="0" xfId="0" applyFill="1" applyBorder="1" applyAlignment="1" applyProtection="1">
      <alignment vertical="center"/>
    </xf>
    <xf numFmtId="0" fontId="0" fillId="6" borderId="12" xfId="0" applyFill="1" applyBorder="1" applyProtection="1"/>
    <xf numFmtId="0" fontId="6" fillId="6" borderId="19" xfId="0" applyFont="1" applyFill="1" applyBorder="1" applyAlignment="1" applyProtection="1">
      <alignment horizontal="center"/>
    </xf>
    <xf numFmtId="0" fontId="6" fillId="6" borderId="19" xfId="0" applyFont="1" applyFill="1" applyBorder="1" applyAlignment="1" applyProtection="1">
      <alignment horizontal="left"/>
    </xf>
    <xf numFmtId="0" fontId="0" fillId="6" borderId="26" xfId="0" applyFill="1" applyBorder="1" applyProtection="1"/>
    <xf numFmtId="0" fontId="0" fillId="6" borderId="27" xfId="0" applyFill="1" applyBorder="1" applyProtection="1"/>
    <xf numFmtId="0" fontId="0" fillId="6" borderId="21" xfId="0" applyFill="1" applyBorder="1" applyProtection="1"/>
    <xf numFmtId="0" fontId="0" fillId="6" borderId="17" xfId="0" applyFill="1" applyBorder="1" applyProtection="1"/>
    <xf numFmtId="0" fontId="0" fillId="21" borderId="0" xfId="0" applyFill="1" applyBorder="1" applyProtection="1">
      <protection locked="0"/>
    </xf>
    <xf numFmtId="0" fontId="0" fillId="21" borderId="22" xfId="0" applyFill="1" applyBorder="1" applyProtection="1">
      <protection locked="0"/>
    </xf>
    <xf numFmtId="0" fontId="6" fillId="21" borderId="18" xfId="0" applyFont="1" applyFill="1" applyBorder="1" applyAlignment="1" applyProtection="1">
      <alignment horizontal="left"/>
      <protection locked="0"/>
    </xf>
    <xf numFmtId="0" fontId="6" fillId="21" borderId="23" xfId="0" applyFont="1" applyFill="1" applyBorder="1" applyAlignment="1" applyProtection="1">
      <alignment horizontal="left"/>
      <protection locked="0"/>
    </xf>
    <xf numFmtId="0" fontId="0" fillId="2" borderId="0" xfId="0" applyFill="1" applyAlignment="1" applyProtection="1">
      <alignment horizontal="left"/>
    </xf>
    <xf numFmtId="0" fontId="0" fillId="0" borderId="0" xfId="0" applyProtection="1"/>
    <xf numFmtId="165" fontId="5" fillId="2" borderId="0" xfId="0" applyNumberFormat="1" applyFont="1" applyFill="1" applyBorder="1" applyAlignment="1" applyProtection="1">
      <alignment horizontal="center"/>
    </xf>
    <xf numFmtId="165" fontId="0" fillId="2" borderId="19" xfId="0" applyNumberFormat="1" applyFill="1" applyBorder="1" applyAlignment="1" applyProtection="1">
      <alignment horizontal="center"/>
    </xf>
    <xf numFmtId="0" fontId="0" fillId="0" borderId="0" xfId="0" applyAlignment="1" applyProtection="1">
      <alignment horizontal="center"/>
    </xf>
    <xf numFmtId="0" fontId="0" fillId="0" borderId="0" xfId="0" applyAlignment="1" applyProtection="1">
      <alignment horizontal="left"/>
    </xf>
    <xf numFmtId="0" fontId="5" fillId="2" borderId="0" xfId="0" applyFont="1" applyFill="1" applyAlignment="1" applyProtection="1">
      <alignment horizontal="left"/>
    </xf>
    <xf numFmtId="0" fontId="17" fillId="2" borderId="0" xfId="0" applyFont="1" applyFill="1" applyAlignment="1" applyProtection="1">
      <alignment horizontal="left"/>
    </xf>
    <xf numFmtId="0" fontId="14" fillId="9" borderId="0" xfId="0" applyFont="1" applyFill="1" applyProtection="1"/>
    <xf numFmtId="0" fontId="35" fillId="2" borderId="0" xfId="0" applyFont="1" applyFill="1" applyAlignment="1" applyProtection="1">
      <alignment horizontal="left"/>
    </xf>
    <xf numFmtId="0" fontId="17" fillId="3" borderId="0" xfId="0" applyFont="1" applyFill="1" applyProtection="1"/>
    <xf numFmtId="0" fontId="5" fillId="3" borderId="0" xfId="0" applyFont="1" applyFill="1" applyBorder="1" applyProtection="1"/>
    <xf numFmtId="0" fontId="5" fillId="3" borderId="0" xfId="0" applyFont="1" applyFill="1" applyBorder="1" applyAlignment="1" applyProtection="1">
      <alignment horizontal="left"/>
    </xf>
    <xf numFmtId="0" fontId="17" fillId="3" borderId="9" xfId="0" applyFont="1" applyFill="1" applyBorder="1" applyAlignment="1" applyProtection="1">
      <alignment horizontal="left"/>
    </xf>
    <xf numFmtId="0" fontId="5" fillId="6" borderId="16" xfId="0" applyFont="1" applyFill="1" applyBorder="1" applyAlignment="1" applyProtection="1">
      <alignment horizontal="left"/>
    </xf>
    <xf numFmtId="0" fontId="17" fillId="3" borderId="22" xfId="0" applyFont="1" applyFill="1" applyBorder="1" applyProtection="1"/>
    <xf numFmtId="0" fontId="5" fillId="6" borderId="23" xfId="0" applyFont="1" applyFill="1" applyBorder="1" applyAlignment="1" applyProtection="1">
      <alignment horizontal="left"/>
    </xf>
    <xf numFmtId="165" fontId="5" fillId="2" borderId="0" xfId="0" applyNumberFormat="1" applyFont="1" applyFill="1" applyBorder="1" applyProtection="1"/>
    <xf numFmtId="0" fontId="5" fillId="2" borderId="0" xfId="0" applyFont="1" applyFill="1" applyBorder="1" applyAlignment="1" applyProtection="1">
      <alignment horizontal="left"/>
    </xf>
    <xf numFmtId="0" fontId="17" fillId="3" borderId="24" xfId="0" applyFont="1" applyFill="1" applyBorder="1" applyAlignment="1" applyProtection="1">
      <alignment horizontal="left"/>
    </xf>
    <xf numFmtId="0" fontId="5" fillId="3" borderId="17" xfId="0" applyFont="1" applyFill="1" applyBorder="1" applyAlignment="1" applyProtection="1"/>
    <xf numFmtId="0" fontId="5" fillId="3" borderId="20" xfId="0" applyFont="1" applyFill="1" applyBorder="1" applyProtection="1"/>
    <xf numFmtId="0" fontId="17" fillId="11" borderId="0" xfId="0" applyFont="1" applyFill="1" applyBorder="1" applyAlignment="1" applyProtection="1">
      <alignment horizontal="center" vertical="center"/>
    </xf>
    <xf numFmtId="0" fontId="17" fillId="11" borderId="0" xfId="0" applyFont="1" applyFill="1" applyBorder="1" applyAlignment="1" applyProtection="1">
      <alignment horizontal="left" vertical="center" wrapText="1"/>
    </xf>
    <xf numFmtId="0" fontId="17" fillId="8" borderId="0" xfId="0" applyFont="1" applyFill="1" applyBorder="1" applyAlignment="1" applyProtection="1">
      <alignment horizontal="center" vertical="center"/>
    </xf>
    <xf numFmtId="0" fontId="17" fillId="8" borderId="0" xfId="0" applyFont="1" applyFill="1" applyBorder="1" applyAlignment="1" applyProtection="1">
      <alignment horizontal="left" vertical="center"/>
    </xf>
    <xf numFmtId="0" fontId="0" fillId="11" borderId="21" xfId="0" applyFill="1" applyBorder="1" applyAlignment="1" applyProtection="1">
      <alignment horizontal="center" vertical="center" wrapText="1"/>
    </xf>
    <xf numFmtId="0" fontId="0" fillId="8" borderId="18" xfId="0" applyFill="1" applyBorder="1" applyAlignment="1" applyProtection="1">
      <alignment horizontal="center" vertical="center"/>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167" fontId="37" fillId="9" borderId="22" xfId="0" applyNumberFormat="1" applyFont="1" applyFill="1" applyBorder="1" applyAlignment="1" applyProtection="1">
      <alignment horizontal="center"/>
    </xf>
    <xf numFmtId="0" fontId="19" fillId="2" borderId="0" xfId="0" applyFont="1" applyFill="1" applyAlignment="1" applyProtection="1">
      <alignment horizontal="center"/>
    </xf>
    <xf numFmtId="0" fontId="6" fillId="2" borderId="0" xfId="0" applyFont="1" applyFill="1" applyBorder="1" applyAlignment="1" applyProtection="1">
      <alignment horizontal="center"/>
    </xf>
    <xf numFmtId="165" fontId="20" fillId="2" borderId="0" xfId="0" applyNumberFormat="1" applyFont="1" applyFill="1" applyAlignment="1" applyProtection="1">
      <alignment horizontal="center"/>
    </xf>
    <xf numFmtId="165" fontId="17" fillId="2" borderId="0" xfId="0" applyNumberFormat="1" applyFont="1" applyFill="1" applyAlignment="1" applyProtection="1">
      <alignment horizontal="center"/>
    </xf>
    <xf numFmtId="0" fontId="5" fillId="2" borderId="17" xfId="0" applyFont="1" applyFill="1" applyBorder="1" applyAlignment="1" applyProtection="1">
      <alignment horizontal="left"/>
    </xf>
    <xf numFmtId="0" fontId="5" fillId="2" borderId="19" xfId="0" applyFont="1" applyFill="1" applyBorder="1" applyAlignment="1" applyProtection="1">
      <alignment horizontal="left"/>
    </xf>
    <xf numFmtId="0" fontId="5" fillId="2" borderId="19" xfId="0" applyFont="1" applyFill="1" applyBorder="1" applyAlignment="1" applyProtection="1">
      <alignment horizontal="right"/>
    </xf>
    <xf numFmtId="165" fontId="6" fillId="2" borderId="19" xfId="0" applyNumberFormat="1" applyFont="1" applyFill="1" applyBorder="1" applyAlignment="1" applyProtection="1">
      <alignment horizontal="center"/>
    </xf>
    <xf numFmtId="0" fontId="6" fillId="2" borderId="19" xfId="0" applyFont="1" applyFill="1" applyBorder="1" applyAlignment="1" applyProtection="1">
      <alignment horizontal="center"/>
    </xf>
    <xf numFmtId="0" fontId="6" fillId="2" borderId="19" xfId="0" applyFont="1" applyFill="1" applyBorder="1" applyAlignment="1" applyProtection="1">
      <alignment horizontal="right"/>
    </xf>
    <xf numFmtId="165" fontId="42" fillId="5" borderId="20" xfId="0" applyNumberFormat="1" applyFont="1" applyFill="1" applyBorder="1" applyAlignment="1" applyProtection="1">
      <alignment horizontal="center"/>
    </xf>
    <xf numFmtId="0" fontId="14" fillId="9" borderId="0" xfId="0" applyFont="1" applyFill="1" applyAlignment="1" applyProtection="1">
      <alignment horizontal="left"/>
    </xf>
    <xf numFmtId="0" fontId="15" fillId="9" borderId="0" xfId="0" applyFont="1" applyFill="1" applyAlignment="1" applyProtection="1">
      <alignment horizontal="center"/>
    </xf>
    <xf numFmtId="0" fontId="15" fillId="9" borderId="0" xfId="0" applyFont="1" applyFill="1" applyBorder="1" applyAlignment="1" applyProtection="1">
      <alignment horizontal="center"/>
    </xf>
    <xf numFmtId="0" fontId="38" fillId="9" borderId="0" xfId="0" applyFont="1" applyFill="1" applyBorder="1" applyAlignment="1" applyProtection="1">
      <alignment horizontal="center"/>
    </xf>
    <xf numFmtId="0" fontId="38" fillId="9" borderId="0" xfId="0" applyFont="1" applyFill="1" applyBorder="1" applyAlignment="1" applyProtection="1">
      <alignment horizontal="left"/>
    </xf>
    <xf numFmtId="165" fontId="15" fillId="9" borderId="0" xfId="0" applyNumberFormat="1" applyFont="1" applyFill="1" applyAlignment="1" applyProtection="1">
      <alignment horizontal="center"/>
    </xf>
    <xf numFmtId="0" fontId="37" fillId="2" borderId="0" xfId="0" applyFont="1" applyFill="1" applyAlignment="1" applyProtection="1">
      <alignment horizontal="center"/>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0" fontId="17" fillId="3" borderId="0" xfId="0" applyFont="1" applyFill="1" applyAlignment="1" applyProtection="1">
      <alignment horizontal="center"/>
    </xf>
    <xf numFmtId="0" fontId="17" fillId="3" borderId="19" xfId="0" applyFont="1" applyFill="1" applyBorder="1" applyAlignment="1" applyProtection="1">
      <alignment horizontal="left"/>
    </xf>
    <xf numFmtId="0" fontId="17" fillId="3" borderId="19" xfId="0" applyFont="1" applyFill="1" applyBorder="1" applyAlignment="1" applyProtection="1"/>
    <xf numFmtId="0" fontId="5" fillId="3" borderId="19" xfId="0" applyFont="1" applyFill="1" applyBorder="1" applyAlignment="1" applyProtection="1"/>
    <xf numFmtId="0" fontId="5" fillId="3" borderId="20" xfId="0" applyFont="1" applyFill="1" applyBorder="1" applyAlignment="1" applyProtection="1"/>
    <xf numFmtId="0" fontId="0" fillId="8" borderId="0" xfId="0" applyFill="1" applyBorder="1" applyAlignment="1" applyProtection="1">
      <alignment horizontal="left" vertical="center"/>
    </xf>
    <xf numFmtId="0" fontId="17" fillId="3" borderId="25" xfId="0" applyFont="1" applyFill="1" applyBorder="1" applyProtection="1"/>
    <xf numFmtId="0" fontId="14" fillId="9" borderId="0" xfId="0" applyFont="1" applyFill="1" applyBorder="1" applyProtection="1"/>
    <xf numFmtId="0" fontId="14" fillId="9" borderId="0" xfId="0" applyFont="1" applyFill="1" applyBorder="1" applyAlignment="1" applyProtection="1">
      <alignment horizontal="left"/>
    </xf>
    <xf numFmtId="0" fontId="14" fillId="9" borderId="0" xfId="0" applyFont="1" applyFill="1" applyBorder="1" applyAlignment="1" applyProtection="1">
      <alignment horizontal="center"/>
    </xf>
    <xf numFmtId="165" fontId="17" fillId="6" borderId="9" xfId="0" applyNumberFormat="1" applyFont="1" applyFill="1" applyBorder="1" applyProtection="1"/>
    <xf numFmtId="0" fontId="6" fillId="2" borderId="17" xfId="0" applyFont="1" applyFill="1" applyBorder="1" applyAlignment="1" applyProtection="1">
      <alignment horizontal="right"/>
    </xf>
    <xf numFmtId="0" fontId="17" fillId="3" borderId="16" xfId="0" applyFont="1" applyFill="1" applyBorder="1" applyAlignment="1" applyProtection="1">
      <alignment horizontal="left"/>
    </xf>
    <xf numFmtId="0" fontId="0" fillId="11" borderId="9" xfId="0" applyFill="1" applyBorder="1" applyAlignment="1" applyProtection="1">
      <alignment horizontal="center" vertical="center" wrapText="1"/>
    </xf>
    <xf numFmtId="0" fontId="0" fillId="8" borderId="16" xfId="0" applyFill="1" applyBorder="1" applyAlignment="1" applyProtection="1">
      <alignment horizontal="center" vertical="center"/>
    </xf>
    <xf numFmtId="0" fontId="0" fillId="2" borderId="17" xfId="0" applyFill="1" applyBorder="1" applyAlignment="1" applyProtection="1">
      <alignment horizontal="center"/>
    </xf>
    <xf numFmtId="165" fontId="0" fillId="2" borderId="20" xfId="0" applyNumberFormat="1" applyFill="1" applyBorder="1" applyAlignment="1" applyProtection="1">
      <alignment horizontal="center"/>
    </xf>
    <xf numFmtId="0" fontId="7" fillId="5" borderId="17" xfId="0" applyFont="1" applyFill="1" applyBorder="1" applyProtection="1"/>
    <xf numFmtId="0" fontId="7" fillId="5" borderId="19" xfId="0" applyFont="1" applyFill="1" applyBorder="1" applyProtection="1"/>
    <xf numFmtId="0" fontId="54" fillId="2" borderId="0" xfId="0" applyFont="1" applyFill="1" applyAlignment="1" applyProtection="1">
      <alignment horizontal="left"/>
    </xf>
    <xf numFmtId="0" fontId="55" fillId="2" borderId="0" xfId="0" applyFont="1" applyFill="1" applyProtection="1"/>
    <xf numFmtId="0" fontId="55" fillId="2" borderId="0" xfId="0" applyFont="1" applyFill="1" applyAlignment="1" applyProtection="1">
      <alignment horizontal="center"/>
    </xf>
    <xf numFmtId="0" fontId="55" fillId="2" borderId="0" xfId="0" applyFont="1" applyFill="1" applyAlignment="1" applyProtection="1">
      <alignment horizontal="left"/>
    </xf>
    <xf numFmtId="0" fontId="55" fillId="2" borderId="0" xfId="0" applyFont="1" applyFill="1" applyBorder="1" applyProtection="1"/>
    <xf numFmtId="0" fontId="55" fillId="0" borderId="0" xfId="0" applyFont="1" applyProtection="1"/>
    <xf numFmtId="0" fontId="55" fillId="2" borderId="0" xfId="0" applyFont="1" applyFill="1" applyBorder="1" applyAlignment="1" applyProtection="1">
      <alignment horizontal="right"/>
    </xf>
    <xf numFmtId="0" fontId="51" fillId="9" borderId="17" xfId="0" applyFont="1" applyFill="1" applyBorder="1" applyProtection="1"/>
    <xf numFmtId="0" fontId="51" fillId="9" borderId="20" xfId="0" applyFont="1" applyFill="1" applyBorder="1" applyAlignment="1" applyProtection="1">
      <alignment horizontal="center"/>
    </xf>
    <xf numFmtId="0" fontId="51" fillId="9" borderId="19" xfId="0" applyFont="1" applyFill="1" applyBorder="1" applyAlignment="1" applyProtection="1">
      <alignment horizontal="center"/>
    </xf>
    <xf numFmtId="0" fontId="51" fillId="9" borderId="19" xfId="0" applyFont="1" applyFill="1" applyBorder="1" applyProtection="1"/>
    <xf numFmtId="0" fontId="51" fillId="9" borderId="19" xfId="0" applyFont="1" applyFill="1" applyBorder="1" applyAlignment="1" applyProtection="1">
      <alignment horizontal="left"/>
    </xf>
    <xf numFmtId="0" fontId="56" fillId="2" borderId="0" xfId="0" applyFont="1" applyFill="1" applyProtection="1"/>
    <xf numFmtId="0" fontId="55" fillId="3" borderId="0" xfId="0" applyFont="1" applyFill="1" applyProtection="1"/>
    <xf numFmtId="0" fontId="55" fillId="3" borderId="0" xfId="0" applyFont="1" applyFill="1" applyAlignment="1" applyProtection="1">
      <alignment horizontal="center"/>
    </xf>
    <xf numFmtId="0" fontId="55" fillId="3" borderId="18" xfId="0" applyFont="1" applyFill="1" applyBorder="1" applyAlignment="1" applyProtection="1">
      <alignment horizontal="center"/>
    </xf>
    <xf numFmtId="0" fontId="55" fillId="4" borderId="0" xfId="0" applyFont="1" applyFill="1" applyAlignment="1" applyProtection="1">
      <alignment horizontal="center" vertical="center"/>
    </xf>
    <xf numFmtId="0" fontId="55" fillId="11" borderId="0" xfId="0" applyFont="1" applyFill="1" applyAlignment="1" applyProtection="1">
      <alignment horizontal="center" vertical="center"/>
    </xf>
    <xf numFmtId="0" fontId="55" fillId="11" borderId="0" xfId="0" applyFont="1" applyFill="1" applyAlignment="1" applyProtection="1">
      <alignment horizontal="left" vertical="center" wrapText="1"/>
    </xf>
    <xf numFmtId="0" fontId="55" fillId="2" borderId="0" xfId="0" applyFont="1" applyFill="1" applyAlignment="1" applyProtection="1">
      <alignment vertical="center"/>
    </xf>
    <xf numFmtId="0" fontId="55" fillId="8" borderId="0" xfId="0" applyFont="1" applyFill="1" applyAlignment="1" applyProtection="1">
      <alignment horizontal="center" vertical="center"/>
    </xf>
    <xf numFmtId="0" fontId="55" fillId="8" borderId="0" xfId="0" applyFont="1" applyFill="1" applyAlignment="1" applyProtection="1">
      <alignment vertical="center"/>
    </xf>
    <xf numFmtId="0" fontId="55" fillId="4" borderId="0" xfId="0" applyFont="1" applyFill="1" applyAlignment="1" applyProtection="1">
      <alignment vertical="center"/>
    </xf>
    <xf numFmtId="0" fontId="55" fillId="11" borderId="0" xfId="0" applyFont="1" applyFill="1" applyAlignment="1" applyProtection="1">
      <alignment horizontal="center" vertical="center" wrapText="1"/>
    </xf>
    <xf numFmtId="0" fontId="55" fillId="2" borderId="0" xfId="0" applyFont="1" applyFill="1" applyAlignment="1" applyProtection="1">
      <alignment horizontal="center" vertical="center"/>
    </xf>
    <xf numFmtId="0" fontId="57" fillId="9" borderId="0" xfId="0" applyFont="1" applyFill="1" applyAlignment="1" applyProtection="1">
      <alignment horizontal="center"/>
    </xf>
    <xf numFmtId="0" fontId="55" fillId="21" borderId="0" xfId="0" applyFont="1" applyFill="1" applyBorder="1" applyAlignment="1" applyProtection="1">
      <alignment horizontal="center"/>
      <protection locked="0"/>
    </xf>
    <xf numFmtId="0" fontId="55" fillId="6" borderId="0" xfId="0" applyFont="1" applyFill="1" applyAlignment="1" applyProtection="1">
      <alignment horizontal="center"/>
    </xf>
    <xf numFmtId="165" fontId="55" fillId="6" borderId="0" xfId="0" applyNumberFormat="1" applyFont="1" applyFill="1" applyAlignment="1" applyProtection="1">
      <alignment horizontal="center"/>
    </xf>
    <xf numFmtId="0" fontId="55" fillId="22" borderId="0" xfId="0" applyFont="1" applyFill="1" applyAlignment="1" applyProtection="1">
      <alignment horizontal="center"/>
    </xf>
    <xf numFmtId="0" fontId="55" fillId="2" borderId="17" xfId="0" applyFont="1" applyFill="1" applyBorder="1" applyAlignment="1" applyProtection="1">
      <alignment horizontal="left"/>
    </xf>
    <xf numFmtId="0" fontId="55" fillId="2" borderId="19" xfId="0" applyFont="1" applyFill="1" applyBorder="1" applyAlignment="1" applyProtection="1">
      <alignment horizontal="right"/>
    </xf>
    <xf numFmtId="0" fontId="55" fillId="2" borderId="19" xfId="0" applyFont="1" applyFill="1" applyBorder="1" applyAlignment="1" applyProtection="1">
      <alignment horizontal="center"/>
    </xf>
    <xf numFmtId="0" fontId="55" fillId="2" borderId="0" xfId="0" applyFont="1" applyFill="1" applyAlignment="1" applyProtection="1">
      <alignment horizontal="right"/>
    </xf>
    <xf numFmtId="0" fontId="55" fillId="3" borderId="0" xfId="0" applyFont="1" applyFill="1" applyBorder="1" applyProtection="1"/>
    <xf numFmtId="165" fontId="55" fillId="2" borderId="19" xfId="0" applyNumberFormat="1" applyFont="1" applyFill="1" applyBorder="1" applyAlignment="1" applyProtection="1">
      <alignment horizontal="center"/>
    </xf>
    <xf numFmtId="165" fontId="58" fillId="9" borderId="0" xfId="0" applyNumberFormat="1" applyFont="1" applyFill="1" applyAlignment="1" applyProtection="1">
      <alignment horizontal="center"/>
    </xf>
    <xf numFmtId="0" fontId="55" fillId="22" borderId="0" xfId="0" applyFont="1" applyFill="1" applyAlignment="1" applyProtection="1">
      <alignment horizontal="center"/>
      <protection locked="0"/>
    </xf>
    <xf numFmtId="0" fontId="55" fillId="21" borderId="18" xfId="0" applyFont="1" applyFill="1" applyBorder="1" applyAlignment="1" applyProtection="1">
      <alignment horizontal="center"/>
      <protection locked="0"/>
    </xf>
    <xf numFmtId="0" fontId="55" fillId="6" borderId="0" xfId="0" applyFont="1" applyFill="1" applyProtection="1"/>
    <xf numFmtId="165" fontId="55" fillId="2" borderId="0" xfId="0" applyNumberFormat="1" applyFont="1" applyFill="1" applyProtection="1"/>
    <xf numFmtId="0" fontId="58" fillId="9" borderId="0" xfId="0" applyFont="1" applyFill="1" applyAlignment="1" applyProtection="1">
      <alignment horizontal="center"/>
    </xf>
    <xf numFmtId="0" fontId="55" fillId="2" borderId="0" xfId="0" applyFont="1" applyFill="1" applyBorder="1" applyAlignment="1" applyProtection="1">
      <alignment horizontal="center"/>
    </xf>
    <xf numFmtId="0" fontId="59" fillId="2" borderId="0" xfId="0" applyFont="1" applyFill="1" applyAlignment="1" applyProtection="1">
      <alignment horizontal="left"/>
    </xf>
    <xf numFmtId="0" fontId="55" fillId="2" borderId="0" xfId="0" applyFont="1" applyFill="1" applyBorder="1" applyAlignment="1" applyProtection="1">
      <alignment horizontal="left"/>
    </xf>
    <xf numFmtId="0" fontId="56" fillId="5" borderId="10" xfId="0" applyFont="1" applyFill="1" applyBorder="1" applyProtection="1"/>
    <xf numFmtId="0" fontId="56" fillId="5" borderId="29" xfId="0" applyFont="1" applyFill="1" applyBorder="1" applyProtection="1"/>
    <xf numFmtId="0" fontId="55" fillId="0" borderId="0" xfId="0" applyFont="1" applyAlignment="1" applyProtection="1">
      <alignment horizontal="center"/>
    </xf>
    <xf numFmtId="0" fontId="55" fillId="0" borderId="0" xfId="0" applyFont="1" applyAlignment="1" applyProtection="1">
      <alignment horizontal="left"/>
    </xf>
    <xf numFmtId="2" fontId="26" fillId="3" borderId="0" xfId="0" applyNumberFormat="1" applyFont="1" applyFill="1" applyBorder="1" applyAlignment="1">
      <alignment horizontal="center"/>
    </xf>
    <xf numFmtId="2" fontId="0" fillId="2" borderId="0" xfId="0" applyNumberFormat="1" applyFill="1"/>
    <xf numFmtId="2" fontId="26" fillId="21" borderId="15" xfId="0" applyNumberFormat="1" applyFont="1" applyFill="1" applyBorder="1" applyAlignment="1" applyProtection="1">
      <alignment horizontal="center"/>
      <protection locked="0"/>
    </xf>
    <xf numFmtId="2" fontId="26" fillId="3" borderId="24" xfId="0" applyNumberFormat="1" applyFont="1" applyFill="1" applyBorder="1" applyAlignment="1">
      <alignment horizontal="center"/>
    </xf>
    <xf numFmtId="2" fontId="26" fillId="21" borderId="13" xfId="0" applyNumberFormat="1" applyFont="1" applyFill="1" applyBorder="1" applyAlignment="1" applyProtection="1">
      <alignment horizontal="center"/>
      <protection locked="0"/>
    </xf>
    <xf numFmtId="2" fontId="26" fillId="21" borderId="14" xfId="0" applyNumberFormat="1" applyFont="1" applyFill="1" applyBorder="1" applyAlignment="1" applyProtection="1">
      <alignment horizontal="center"/>
      <protection locked="0"/>
    </xf>
    <xf numFmtId="2" fontId="26" fillId="3" borderId="22" xfId="0" applyNumberFormat="1" applyFont="1" applyFill="1" applyBorder="1" applyAlignment="1">
      <alignment horizontal="center"/>
    </xf>
    <xf numFmtId="0" fontId="17" fillId="21" borderId="7" xfId="0" applyFont="1" applyFill="1" applyBorder="1" applyAlignment="1" applyProtection="1">
      <alignment horizontal="center"/>
      <protection locked="0"/>
    </xf>
    <xf numFmtId="0" fontId="17" fillId="21" borderId="0" xfId="0" applyFont="1" applyFill="1" applyBorder="1" applyAlignment="1" applyProtection="1">
      <alignment horizontal="center"/>
      <protection locked="0"/>
    </xf>
    <xf numFmtId="0" fontId="23" fillId="0" borderId="0" xfId="0" applyFont="1" applyFill="1"/>
    <xf numFmtId="0" fontId="17" fillId="3" borderId="25" xfId="0" applyFont="1" applyFill="1" applyBorder="1" applyAlignment="1">
      <alignment horizontal="right"/>
    </xf>
    <xf numFmtId="0" fontId="5" fillId="3" borderId="6" xfId="0" applyFont="1" applyFill="1" applyBorder="1"/>
    <xf numFmtId="0" fontId="17" fillId="3" borderId="23" xfId="0" applyFont="1" applyFill="1" applyBorder="1" applyAlignment="1">
      <alignment horizontal="center"/>
    </xf>
    <xf numFmtId="0" fontId="17" fillId="3" borderId="23" xfId="0" applyFont="1" applyFill="1" applyBorder="1" applyAlignment="1">
      <alignment horizontal="right"/>
    </xf>
    <xf numFmtId="0" fontId="17" fillId="21" borderId="4" xfId="0" applyFont="1" applyFill="1" applyBorder="1" applyProtection="1">
      <protection locked="0"/>
    </xf>
    <xf numFmtId="0" fontId="17" fillId="21" borderId="6" xfId="0" applyFont="1" applyFill="1" applyBorder="1" applyProtection="1">
      <protection locked="0"/>
    </xf>
    <xf numFmtId="0" fontId="17" fillId="21" borderId="21" xfId="0" applyFont="1" applyFill="1" applyBorder="1" applyProtection="1">
      <protection locked="0"/>
    </xf>
    <xf numFmtId="0" fontId="17" fillId="21" borderId="25" xfId="0" applyFont="1" applyFill="1" applyBorder="1" applyProtection="1">
      <protection locked="0"/>
    </xf>
    <xf numFmtId="0" fontId="0" fillId="4" borderId="27" xfId="0" applyFill="1" applyBorder="1" applyAlignment="1">
      <alignment horizontal="center" vertical="center"/>
    </xf>
    <xf numFmtId="0" fontId="0" fillId="6" borderId="17" xfId="0" applyFill="1" applyBorder="1" applyAlignment="1">
      <alignment horizontal="center"/>
    </xf>
    <xf numFmtId="0" fontId="5" fillId="8" borderId="0" xfId="0" applyFont="1" applyFill="1" applyBorder="1" applyAlignment="1" applyProtection="1">
      <alignment horizontal="left"/>
    </xf>
    <xf numFmtId="0" fontId="0" fillId="6" borderId="17" xfId="0" applyFill="1" applyBorder="1" applyAlignment="1" applyProtection="1">
      <alignment horizontal="center"/>
    </xf>
    <xf numFmtId="0" fontId="6" fillId="6" borderId="24" xfId="0" applyFont="1" applyFill="1" applyBorder="1" applyAlignment="1" applyProtection="1">
      <alignment horizontal="center"/>
    </xf>
    <xf numFmtId="0" fontId="0" fillId="6" borderId="19" xfId="0" applyFill="1" applyBorder="1" applyAlignment="1" applyProtection="1">
      <alignment horizontal="center"/>
    </xf>
    <xf numFmtId="0" fontId="7" fillId="6" borderId="19" xfId="0" applyFont="1" applyFill="1" applyBorder="1" applyProtection="1"/>
    <xf numFmtId="0" fontId="4" fillId="6" borderId="22" xfId="0" applyFont="1" applyFill="1" applyBorder="1" applyAlignment="1">
      <alignment horizontal="center"/>
    </xf>
    <xf numFmtId="0" fontId="4" fillId="6" borderId="19" xfId="0" applyFont="1" applyFill="1" applyBorder="1" applyAlignment="1">
      <alignment horizontal="center"/>
    </xf>
    <xf numFmtId="0" fontId="7" fillId="2" borderId="0" xfId="0" applyFont="1" applyFill="1" applyAlignment="1">
      <alignment horizontal="center"/>
    </xf>
    <xf numFmtId="0" fontId="0" fillId="3" borderId="27" xfId="0" applyFill="1" applyBorder="1" applyAlignment="1">
      <alignment horizontal="center"/>
    </xf>
    <xf numFmtId="1" fontId="7" fillId="6" borderId="11" xfId="0" applyNumberFormat="1" applyFont="1" applyFill="1" applyBorder="1" applyAlignment="1" applyProtection="1">
      <alignment horizontal="center"/>
    </xf>
    <xf numFmtId="165" fontId="0" fillId="3" borderId="0" xfId="0" applyNumberFormat="1" applyFill="1" applyBorder="1" applyAlignment="1">
      <alignment horizontal="center"/>
    </xf>
    <xf numFmtId="0" fontId="17" fillId="8" borderId="22" xfId="0" applyFont="1" applyFill="1" applyBorder="1" applyAlignment="1">
      <alignment horizontal="center" vertical="center"/>
    </xf>
    <xf numFmtId="0" fontId="0" fillId="3" borderId="27" xfId="0" applyFill="1" applyBorder="1" applyAlignment="1">
      <alignment horizontal="center" vertical="center"/>
    </xf>
    <xf numFmtId="1" fontId="0" fillId="2" borderId="0" xfId="0" applyNumberFormat="1" applyFill="1" applyAlignment="1" applyProtection="1">
      <alignment horizontal="center"/>
    </xf>
    <xf numFmtId="1" fontId="0" fillId="2" borderId="0" xfId="0" applyNumberFormat="1" applyFill="1" applyAlignment="1">
      <alignment horizontal="center"/>
    </xf>
    <xf numFmtId="1" fontId="26" fillId="21" borderId="15" xfId="0" applyNumberFormat="1" applyFont="1" applyFill="1" applyBorder="1" applyAlignment="1" applyProtection="1">
      <alignment horizontal="center"/>
      <protection locked="0"/>
    </xf>
    <xf numFmtId="1" fontId="26" fillId="21" borderId="13" xfId="0" applyNumberFormat="1" applyFont="1" applyFill="1" applyBorder="1" applyAlignment="1" applyProtection="1">
      <alignment horizontal="center"/>
      <protection locked="0"/>
    </xf>
    <xf numFmtId="1" fontId="26" fillId="21" borderId="14" xfId="0" applyNumberFormat="1" applyFont="1" applyFill="1" applyBorder="1" applyAlignment="1" applyProtection="1">
      <alignment horizontal="center"/>
      <protection locked="0"/>
    </xf>
    <xf numFmtId="2" fontId="0" fillId="21" borderId="15" xfId="0" applyNumberFormat="1" applyFill="1" applyBorder="1" applyAlignment="1" applyProtection="1">
      <alignment horizontal="center"/>
      <protection locked="0"/>
    </xf>
    <xf numFmtId="2" fontId="0" fillId="21" borderId="13" xfId="0" applyNumberFormat="1" applyFill="1" applyBorder="1" applyAlignment="1" applyProtection="1">
      <alignment horizontal="center"/>
      <protection locked="0"/>
    </xf>
    <xf numFmtId="2" fontId="0" fillId="21" borderId="14" xfId="0" applyNumberFormat="1" applyFill="1" applyBorder="1" applyAlignment="1" applyProtection="1">
      <alignment horizontal="center"/>
      <protection locked="0"/>
    </xf>
    <xf numFmtId="0" fontId="17" fillId="3" borderId="45" xfId="0" applyFont="1" applyFill="1" applyBorder="1"/>
    <xf numFmtId="0" fontId="17" fillId="3" borderId="44" xfId="0" applyFont="1" applyFill="1" applyBorder="1"/>
    <xf numFmtId="0" fontId="17" fillId="21" borderId="29" xfId="0" applyFont="1" applyFill="1" applyBorder="1" applyAlignment="1" applyProtection="1">
      <alignment horizontal="center"/>
      <protection locked="0"/>
    </xf>
    <xf numFmtId="1" fontId="7" fillId="6" borderId="41" xfId="0" applyNumberFormat="1" applyFont="1" applyFill="1" applyBorder="1" applyAlignment="1">
      <alignment horizontal="center"/>
    </xf>
    <xf numFmtId="0" fontId="17" fillId="3" borderId="44" xfId="0" applyFont="1" applyFill="1" applyBorder="1" applyProtection="1"/>
    <xf numFmtId="0" fontId="17" fillId="3" borderId="35" xfId="0" applyFont="1" applyFill="1" applyBorder="1" applyProtection="1"/>
    <xf numFmtId="0" fontId="17" fillId="6" borderId="13" xfId="0" applyFont="1" applyFill="1" applyBorder="1" applyAlignment="1" applyProtection="1">
      <alignment horizontal="center"/>
    </xf>
    <xf numFmtId="0" fontId="17" fillId="6" borderId="14" xfId="0" applyFont="1" applyFill="1" applyBorder="1" applyAlignment="1" applyProtection="1">
      <alignment horizontal="center"/>
    </xf>
    <xf numFmtId="2" fontId="0" fillId="6" borderId="18" xfId="0" applyNumberFormat="1" applyFill="1" applyBorder="1" applyAlignment="1">
      <alignment horizontal="center"/>
    </xf>
    <xf numFmtId="2" fontId="0" fillId="6" borderId="23" xfId="0" applyNumberFormat="1" applyFill="1" applyBorder="1" applyAlignment="1">
      <alignment horizontal="center"/>
    </xf>
    <xf numFmtId="165" fontId="17" fillId="2" borderId="0" xfId="0" applyNumberFormat="1" applyFont="1" applyFill="1" applyProtection="1"/>
    <xf numFmtId="1" fontId="20" fillId="6" borderId="17" xfId="0" applyNumberFormat="1" applyFont="1" applyFill="1" applyBorder="1" applyAlignment="1" applyProtection="1">
      <alignment horizontal="center"/>
    </xf>
    <xf numFmtId="1" fontId="20" fillId="6" borderId="28" xfId="0" applyNumberFormat="1" applyFont="1" applyFill="1" applyBorder="1" applyAlignment="1" applyProtection="1">
      <alignment horizontal="center"/>
    </xf>
    <xf numFmtId="1" fontId="7" fillId="5" borderId="20" xfId="0" applyNumberFormat="1" applyFont="1" applyFill="1" applyBorder="1" applyAlignment="1" applyProtection="1">
      <alignment horizontal="center"/>
    </xf>
    <xf numFmtId="0" fontId="17" fillId="18" borderId="1" xfId="0" applyFont="1" applyFill="1" applyBorder="1" applyAlignment="1" applyProtection="1">
      <alignment horizontal="center"/>
      <protection locked="0"/>
    </xf>
    <xf numFmtId="0" fontId="17" fillId="18" borderId="2" xfId="0" applyFont="1" applyFill="1" applyBorder="1" applyAlignment="1" applyProtection="1">
      <alignment horizontal="center"/>
      <protection locked="0"/>
    </xf>
    <xf numFmtId="2" fontId="37" fillId="9" borderId="0" xfId="0" applyNumberFormat="1" applyFont="1" applyFill="1" applyBorder="1" applyAlignment="1" applyProtection="1">
      <alignment horizontal="center"/>
    </xf>
    <xf numFmtId="0" fontId="17" fillId="18" borderId="3" xfId="0" applyFont="1" applyFill="1" applyBorder="1" applyAlignment="1" applyProtection="1">
      <alignment horizontal="center"/>
      <protection locked="0"/>
    </xf>
    <xf numFmtId="0" fontId="17" fillId="18" borderId="6" xfId="0" applyFont="1" applyFill="1" applyBorder="1" applyAlignment="1" applyProtection="1">
      <alignment horizontal="center"/>
      <protection locked="0"/>
    </xf>
    <xf numFmtId="0" fontId="17" fillId="18" borderId="7" xfId="0" applyFont="1" applyFill="1" applyBorder="1" applyAlignment="1" applyProtection="1">
      <alignment horizontal="center"/>
      <protection locked="0"/>
    </xf>
    <xf numFmtId="0" fontId="17" fillId="18" borderId="14" xfId="0" applyFont="1" applyFill="1" applyBorder="1" applyAlignment="1" applyProtection="1">
      <alignment horizontal="center"/>
      <protection locked="0"/>
    </xf>
    <xf numFmtId="0" fontId="17" fillId="21" borderId="39" xfId="0" applyFont="1" applyFill="1" applyBorder="1" applyAlignment="1" applyProtection="1">
      <alignment horizontal="center"/>
      <protection locked="0"/>
    </xf>
    <xf numFmtId="0" fontId="17" fillId="21" borderId="10" xfId="0" applyFont="1" applyFill="1" applyBorder="1" applyProtection="1">
      <protection locked="0"/>
    </xf>
    <xf numFmtId="0" fontId="27" fillId="3" borderId="9" xfId="0" applyFont="1" applyFill="1" applyBorder="1" applyAlignment="1" applyProtection="1">
      <alignment horizontal="left" vertical="center"/>
      <protection locked="0"/>
    </xf>
    <xf numFmtId="0" fontId="27" fillId="3" borderId="24" xfId="0" applyFont="1" applyFill="1" applyBorder="1" applyProtection="1">
      <protection locked="0"/>
    </xf>
    <xf numFmtId="0" fontId="27" fillId="3" borderId="21" xfId="0" applyFont="1" applyFill="1" applyBorder="1" applyAlignment="1" applyProtection="1">
      <alignment horizontal="left" vertical="center"/>
      <protection locked="0"/>
    </xf>
    <xf numFmtId="0" fontId="27" fillId="3" borderId="0" xfId="0" applyFont="1" applyFill="1" applyBorder="1" applyProtection="1">
      <protection locked="0"/>
    </xf>
    <xf numFmtId="0" fontId="27" fillId="3" borderId="25" xfId="0" applyFont="1" applyFill="1" applyBorder="1" applyAlignment="1" applyProtection="1">
      <alignment horizontal="left" vertical="center"/>
      <protection locked="0"/>
    </xf>
    <xf numFmtId="0" fontId="27" fillId="3" borderId="22" xfId="0" applyFont="1" applyFill="1" applyBorder="1" applyProtection="1">
      <protection locked="0"/>
    </xf>
    <xf numFmtId="0" fontId="4" fillId="18" borderId="13" xfId="0" applyFont="1" applyFill="1" applyBorder="1" applyAlignment="1" applyProtection="1">
      <alignment horizontal="center"/>
      <protection locked="0"/>
    </xf>
    <xf numFmtId="0" fontId="4" fillId="18" borderId="14" xfId="0" applyFont="1" applyFill="1" applyBorder="1" applyAlignment="1" applyProtection="1">
      <alignment horizontal="center"/>
      <protection locked="0"/>
    </xf>
    <xf numFmtId="0" fontId="27" fillId="3" borderId="25" xfId="0" applyFont="1" applyFill="1" applyBorder="1" applyProtection="1">
      <protection locked="0"/>
    </xf>
    <xf numFmtId="0" fontId="0" fillId="2" borderId="15" xfId="0" applyFill="1" applyBorder="1" applyAlignment="1">
      <alignment horizontal="center"/>
    </xf>
    <xf numFmtId="0" fontId="22" fillId="11" borderId="0" xfId="0" applyFont="1" applyFill="1" applyBorder="1"/>
    <xf numFmtId="0" fontId="22" fillId="11" borderId="0" xfId="0" applyFont="1" applyFill="1" applyAlignment="1">
      <alignment horizontal="left"/>
    </xf>
    <xf numFmtId="0" fontId="22" fillId="11" borderId="0" xfId="0" applyFont="1" applyFill="1"/>
    <xf numFmtId="0" fontId="22" fillId="10" borderId="0" xfId="0" applyFont="1" applyFill="1" applyBorder="1"/>
    <xf numFmtId="0" fontId="22" fillId="10" borderId="0" xfId="0" applyFont="1" applyFill="1" applyAlignment="1">
      <alignment horizontal="left"/>
    </xf>
    <xf numFmtId="0" fontId="22" fillId="10" borderId="0" xfId="0" applyFont="1" applyFill="1"/>
    <xf numFmtId="1" fontId="0" fillId="10" borderId="0" xfId="0" applyNumberFormat="1" applyFill="1" applyAlignment="1">
      <alignment horizontal="center"/>
    </xf>
    <xf numFmtId="0" fontId="17" fillId="10" borderId="0" xfId="0" applyFont="1" applyFill="1" applyAlignment="1">
      <alignment horizontal="center"/>
    </xf>
    <xf numFmtId="1" fontId="17" fillId="10" borderId="0" xfId="0" applyNumberFormat="1" applyFont="1" applyFill="1" applyAlignment="1">
      <alignment horizontal="left"/>
    </xf>
    <xf numFmtId="1" fontId="0" fillId="10" borderId="0" xfId="0" applyNumberFormat="1" applyFill="1"/>
    <xf numFmtId="1" fontId="0" fillId="10" borderId="18" xfId="0" applyNumberFormat="1" applyFill="1" applyBorder="1"/>
    <xf numFmtId="1" fontId="4" fillId="10" borderId="0" xfId="0" applyNumberFormat="1" applyFont="1" applyFill="1" applyAlignment="1">
      <alignment horizontal="center"/>
    </xf>
    <xf numFmtId="0" fontId="17" fillId="3" borderId="19" xfId="0" applyFont="1" applyFill="1" applyBorder="1"/>
    <xf numFmtId="0" fontId="22" fillId="4" borderId="0" xfId="0" applyFont="1" applyFill="1" applyAlignment="1">
      <alignment horizontal="center"/>
    </xf>
    <xf numFmtId="0" fontId="22" fillId="4" borderId="0" xfId="0" applyFont="1" applyFill="1"/>
    <xf numFmtId="0" fontId="4" fillId="4" borderId="0" xfId="0" applyFont="1" applyFill="1" applyAlignment="1">
      <alignment horizontal="center"/>
    </xf>
    <xf numFmtId="0" fontId="0" fillId="12" borderId="0" xfId="0" applyFill="1" applyBorder="1" applyAlignment="1">
      <alignment horizontal="left"/>
    </xf>
    <xf numFmtId="0" fontId="4" fillId="4" borderId="0" xfId="0" applyFont="1" applyFill="1" applyAlignment="1">
      <alignment horizontal="left"/>
    </xf>
    <xf numFmtId="0" fontId="4" fillId="4" borderId="0" xfId="0" applyFont="1" applyFill="1" applyAlignment="1"/>
    <xf numFmtId="0" fontId="22" fillId="4" borderId="0" xfId="0" applyFont="1" applyFill="1" applyAlignment="1">
      <alignment horizontal="left"/>
    </xf>
    <xf numFmtId="0" fontId="0" fillId="4" borderId="0" xfId="0" applyFill="1" applyBorder="1"/>
    <xf numFmtId="0" fontId="0" fillId="4" borderId="0" xfId="0" applyFill="1" applyBorder="1" applyAlignment="1">
      <alignment horizontal="center"/>
    </xf>
    <xf numFmtId="0" fontId="17" fillId="4" borderId="0" xfId="0" applyFont="1" applyFill="1" applyAlignment="1">
      <alignment horizontal="center"/>
    </xf>
    <xf numFmtId="0" fontId="22" fillId="5" borderId="0" xfId="0" applyFont="1" applyFill="1"/>
    <xf numFmtId="0" fontId="22" fillId="5" borderId="0" xfId="0" applyFont="1" applyFill="1" applyAlignment="1">
      <alignment horizontal="center"/>
    </xf>
    <xf numFmtId="0" fontId="23" fillId="5" borderId="0" xfId="0" applyFont="1" applyFill="1"/>
    <xf numFmtId="0" fontId="22" fillId="5" borderId="0" xfId="0" applyFont="1" applyFill="1" applyAlignment="1">
      <alignment horizontal="left"/>
    </xf>
    <xf numFmtId="0" fontId="5" fillId="4" borderId="0" xfId="0" applyFont="1" applyFill="1"/>
    <xf numFmtId="0" fontId="23" fillId="4" borderId="0" xfId="0" applyFont="1" applyFill="1"/>
    <xf numFmtId="0" fontId="0" fillId="0" borderId="0" xfId="0" applyFill="1" applyBorder="1"/>
    <xf numFmtId="0" fontId="0" fillId="2" borderId="15" xfId="0" applyFill="1" applyBorder="1"/>
    <xf numFmtId="0" fontId="36" fillId="3" borderId="13" xfId="0" applyFont="1" applyFill="1" applyBorder="1" applyAlignment="1">
      <alignment horizontal="center"/>
    </xf>
    <xf numFmtId="0" fontId="22" fillId="3" borderId="13" xfId="0" applyFont="1" applyFill="1" applyBorder="1" applyAlignment="1">
      <alignment horizontal="left"/>
    </xf>
    <xf numFmtId="0" fontId="22" fillId="3" borderId="14" xfId="0" applyFont="1" applyFill="1" applyBorder="1" applyAlignment="1">
      <alignment horizontal="left"/>
    </xf>
    <xf numFmtId="0" fontId="0" fillId="18" borderId="15" xfId="0" applyFill="1" applyBorder="1"/>
    <xf numFmtId="0" fontId="17" fillId="18" borderId="15" xfId="0" applyFont="1" applyFill="1" applyBorder="1"/>
    <xf numFmtId="0" fontId="17" fillId="18" borderId="13" xfId="0" applyFont="1" applyFill="1" applyBorder="1" applyProtection="1"/>
    <xf numFmtId="0" fontId="5" fillId="12" borderId="21" xfId="0" applyFont="1" applyFill="1" applyBorder="1"/>
    <xf numFmtId="0" fontId="0" fillId="10" borderId="41" xfId="0" applyFill="1" applyBorder="1"/>
    <xf numFmtId="0" fontId="0" fillId="10" borderId="13" xfId="0" applyFill="1" applyBorder="1"/>
    <xf numFmtId="0" fontId="17" fillId="10" borderId="13" xfId="0" applyFont="1" applyFill="1" applyBorder="1"/>
    <xf numFmtId="165" fontId="5" fillId="6" borderId="18" xfId="0" applyNumberFormat="1" applyFont="1" applyFill="1" applyBorder="1" applyAlignment="1">
      <alignment horizontal="center"/>
    </xf>
    <xf numFmtId="2" fontId="17" fillId="6" borderId="25" xfId="0" applyNumberFormat="1" applyFont="1" applyFill="1" applyBorder="1" applyAlignment="1">
      <alignment horizontal="center"/>
    </xf>
    <xf numFmtId="2" fontId="17" fillId="6" borderId="22" xfId="0" applyNumberFormat="1" applyFont="1" applyFill="1" applyBorder="1" applyAlignment="1">
      <alignment horizontal="center"/>
    </xf>
    <xf numFmtId="0" fontId="17" fillId="21" borderId="22" xfId="0" applyFont="1" applyFill="1" applyBorder="1" applyAlignment="1" applyProtection="1">
      <protection locked="0"/>
    </xf>
    <xf numFmtId="0" fontId="0" fillId="21" borderId="24" xfId="0" applyFill="1" applyBorder="1" applyProtection="1">
      <protection locked="0"/>
    </xf>
    <xf numFmtId="0" fontId="37" fillId="19" borderId="26" xfId="0" applyFont="1" applyFill="1" applyBorder="1"/>
    <xf numFmtId="0" fontId="37" fillId="19" borderId="27" xfId="0" applyFont="1" applyFill="1" applyBorder="1"/>
    <xf numFmtId="0" fontId="37" fillId="19" borderId="28" xfId="0" applyFont="1" applyFill="1" applyBorder="1"/>
    <xf numFmtId="0" fontId="7" fillId="3" borderId="9" xfId="0" applyFont="1" applyFill="1" applyBorder="1" applyProtection="1"/>
    <xf numFmtId="165" fontId="0" fillId="6" borderId="9" xfId="0" applyNumberFormat="1" applyFill="1" applyBorder="1" applyAlignment="1" applyProtection="1">
      <alignment horizontal="center"/>
    </xf>
    <xf numFmtId="165" fontId="0" fillId="6" borderId="25" xfId="0" applyNumberFormat="1" applyFill="1" applyBorder="1" applyAlignment="1" applyProtection="1">
      <alignment horizontal="center"/>
    </xf>
    <xf numFmtId="165" fontId="0" fillId="6" borderId="22" xfId="0" applyNumberFormat="1" applyFill="1" applyBorder="1" applyAlignment="1" applyProtection="1">
      <alignment horizontal="center"/>
    </xf>
    <xf numFmtId="165" fontId="0" fillId="6" borderId="23" xfId="0" applyNumberFormat="1" applyFill="1" applyBorder="1" applyAlignment="1" applyProtection="1">
      <alignment horizontal="center"/>
    </xf>
    <xf numFmtId="0" fontId="0" fillId="8" borderId="26" xfId="0" applyFill="1" applyBorder="1"/>
    <xf numFmtId="0" fontId="0" fillId="8" borderId="27" xfId="0" applyFill="1" applyBorder="1"/>
    <xf numFmtId="0" fontId="0" fillId="8" borderId="28" xfId="0" applyFill="1" applyBorder="1"/>
    <xf numFmtId="49" fontId="17" fillId="3" borderId="0" xfId="0" applyNumberFormat="1" applyFont="1" applyFill="1" applyBorder="1"/>
    <xf numFmtId="0" fontId="17" fillId="3" borderId="17" xfId="0" applyFont="1" applyFill="1" applyBorder="1" applyProtection="1"/>
    <xf numFmtId="0" fontId="5" fillId="3" borderId="19" xfId="0" applyFont="1" applyFill="1" applyBorder="1" applyProtection="1"/>
    <xf numFmtId="0" fontId="5" fillId="3" borderId="19" xfId="0" applyFont="1" applyFill="1" applyBorder="1" applyAlignment="1" applyProtection="1">
      <alignment horizontal="left"/>
    </xf>
    <xf numFmtId="0" fontId="0" fillId="4" borderId="21" xfId="0" applyFill="1" applyBorder="1" applyAlignment="1" applyProtection="1">
      <alignment horizontal="center" vertical="center"/>
    </xf>
    <xf numFmtId="0" fontId="0" fillId="4" borderId="45" xfId="0" applyFill="1" applyBorder="1" applyAlignment="1" applyProtection="1">
      <alignment horizontal="center" vertical="center"/>
    </xf>
    <xf numFmtId="0" fontId="0" fillId="0" borderId="0" xfId="0" applyBorder="1"/>
    <xf numFmtId="0" fontId="0" fillId="3" borderId="26" xfId="0" applyFill="1" applyBorder="1" applyAlignment="1">
      <alignment horizontal="center"/>
    </xf>
    <xf numFmtId="0" fontId="27" fillId="3" borderId="0" xfId="0" applyFont="1" applyFill="1" applyBorder="1" applyProtection="1"/>
    <xf numFmtId="0" fontId="17" fillId="18" borderId="13" xfId="0" applyFont="1" applyFill="1" applyBorder="1" applyAlignment="1" applyProtection="1">
      <protection locked="0"/>
    </xf>
    <xf numFmtId="0" fontId="17" fillId="18" borderId="14" xfId="0" applyFont="1" applyFill="1" applyBorder="1" applyAlignment="1" applyProtection="1">
      <protection locked="0"/>
    </xf>
    <xf numFmtId="0" fontId="4" fillId="10" borderId="0" xfId="0" applyFont="1" applyFill="1" applyAlignment="1">
      <alignment horizontal="left"/>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9" xfId="0" applyFont="1" applyFill="1" applyBorder="1" applyAlignment="1">
      <alignment horizontal="left"/>
    </xf>
    <xf numFmtId="1" fontId="7" fillId="6" borderId="41" xfId="0" applyNumberFormat="1" applyFont="1" applyFill="1" applyBorder="1" applyAlignment="1" applyProtection="1">
      <alignment horizontal="center"/>
    </xf>
    <xf numFmtId="1" fontId="7" fillId="6" borderId="16" xfId="0" applyNumberFormat="1" applyFont="1" applyFill="1" applyBorder="1" applyAlignment="1">
      <alignment horizontal="center"/>
    </xf>
    <xf numFmtId="1" fontId="7" fillId="6" borderId="18" xfId="0" applyNumberFormat="1" applyFont="1" applyFill="1" applyBorder="1" applyAlignment="1">
      <alignment horizontal="center"/>
    </xf>
    <xf numFmtId="1" fontId="7" fillId="6" borderId="23" xfId="0" applyNumberFormat="1" applyFont="1" applyFill="1" applyBorder="1" applyAlignment="1">
      <alignment horizontal="center"/>
    </xf>
    <xf numFmtId="165" fontId="17" fillId="3" borderId="18" xfId="0" applyNumberFormat="1" applyFont="1" applyFill="1" applyBorder="1" applyAlignment="1" applyProtection="1">
      <alignment horizontal="center"/>
    </xf>
    <xf numFmtId="165" fontId="17" fillId="3" borderId="23" xfId="0" applyNumberFormat="1" applyFont="1" applyFill="1" applyBorder="1" applyAlignment="1" applyProtection="1">
      <alignment horizontal="center"/>
    </xf>
    <xf numFmtId="0" fontId="0" fillId="5" borderId="32" xfId="0" applyFill="1" applyBorder="1" applyProtection="1"/>
    <xf numFmtId="0" fontId="0" fillId="5" borderId="5" xfId="0" applyFill="1" applyBorder="1" applyProtection="1"/>
    <xf numFmtId="0" fontId="5" fillId="5" borderId="32" xfId="0" applyFont="1" applyFill="1" applyBorder="1" applyProtection="1"/>
    <xf numFmtId="0" fontId="5" fillId="17" borderId="4" xfId="0" applyFont="1" applyFill="1" applyBorder="1" applyProtection="1"/>
    <xf numFmtId="0" fontId="0" fillId="17" borderId="5" xfId="0" applyFill="1" applyBorder="1" applyProtection="1"/>
    <xf numFmtId="0" fontId="0" fillId="6" borderId="15" xfId="0" applyFill="1" applyBorder="1" applyAlignment="1">
      <alignment horizontal="center"/>
    </xf>
    <xf numFmtId="0" fontId="0" fillId="6" borderId="13" xfId="0" applyFill="1" applyBorder="1" applyAlignment="1">
      <alignment horizontal="center"/>
    </xf>
    <xf numFmtId="0" fontId="0" fillId="6" borderId="14" xfId="0" applyFill="1" applyBorder="1" applyAlignment="1">
      <alignment horizontal="center"/>
    </xf>
    <xf numFmtId="0" fontId="5" fillId="23" borderId="10" xfId="0" applyFont="1" applyFill="1" applyBorder="1"/>
    <xf numFmtId="0" fontId="5" fillId="23" borderId="29" xfId="0" applyFont="1" applyFill="1" applyBorder="1"/>
    <xf numFmtId="0" fontId="5" fillId="23" borderId="11" xfId="0" applyFont="1" applyFill="1" applyBorder="1"/>
    <xf numFmtId="0" fontId="5" fillId="24" borderId="1" xfId="0" applyFont="1" applyFill="1" applyBorder="1" applyProtection="1"/>
    <xf numFmtId="0" fontId="0" fillId="24" borderId="3" xfId="0" applyFill="1" applyBorder="1" applyProtection="1"/>
    <xf numFmtId="0" fontId="5" fillId="23" borderId="2" xfId="0" applyFont="1" applyFill="1" applyBorder="1" applyAlignment="1">
      <alignment horizontal="center"/>
    </xf>
    <xf numFmtId="0" fontId="5" fillId="23" borderId="3" xfId="0" applyFont="1" applyFill="1" applyBorder="1" applyAlignment="1">
      <alignment horizontal="center"/>
    </xf>
    <xf numFmtId="0" fontId="5" fillId="23" borderId="6" xfId="0" applyFont="1" applyFill="1" applyBorder="1" applyAlignment="1">
      <alignment horizontal="center"/>
    </xf>
    <xf numFmtId="0" fontId="5" fillId="23" borderId="7" xfId="0" applyFont="1" applyFill="1" applyBorder="1" applyAlignment="1">
      <alignment horizontal="center"/>
    </xf>
    <xf numFmtId="0" fontId="5" fillId="23" borderId="8" xfId="0" applyFont="1" applyFill="1" applyBorder="1" applyAlignment="1">
      <alignment horizontal="center"/>
    </xf>
    <xf numFmtId="1" fontId="0" fillId="6" borderId="1" xfId="0" applyNumberFormat="1" applyFill="1" applyBorder="1" applyAlignment="1">
      <alignment horizontal="center"/>
    </xf>
    <xf numFmtId="1" fontId="0" fillId="6" borderId="2" xfId="0" applyNumberFormat="1" applyFill="1" applyBorder="1" applyAlignment="1">
      <alignment horizontal="center"/>
    </xf>
    <xf numFmtId="1" fontId="0" fillId="6" borderId="3" xfId="0" applyNumberFormat="1" applyFill="1" applyBorder="1" applyAlignment="1">
      <alignment horizontal="center"/>
    </xf>
    <xf numFmtId="1" fontId="0" fillId="6" borderId="5" xfId="0" applyNumberFormat="1" applyFill="1" applyBorder="1" applyAlignment="1">
      <alignment horizontal="center"/>
    </xf>
    <xf numFmtId="1" fontId="7" fillId="6" borderId="10" xfId="0" applyNumberFormat="1" applyFont="1" applyFill="1" applyBorder="1" applyAlignment="1" applyProtection="1">
      <alignment horizontal="center"/>
    </xf>
    <xf numFmtId="1" fontId="0" fillId="3" borderId="5" xfId="0" applyNumberFormat="1" applyFill="1" applyBorder="1" applyAlignment="1">
      <alignment horizontal="center"/>
    </xf>
    <xf numFmtId="1" fontId="0" fillId="6" borderId="5" xfId="0" quotePrefix="1" applyNumberFormat="1" applyFill="1" applyBorder="1" applyAlignment="1">
      <alignment horizontal="center"/>
    </xf>
    <xf numFmtId="0" fontId="7" fillId="6" borderId="10" xfId="0" applyFont="1" applyFill="1" applyBorder="1"/>
    <xf numFmtId="0" fontId="7" fillId="6" borderId="11" xfId="0" applyFont="1" applyFill="1" applyBorder="1" applyAlignment="1">
      <alignment horizontal="center"/>
    </xf>
    <xf numFmtId="0" fontId="4" fillId="6" borderId="11" xfId="0" applyFont="1" applyFill="1" applyBorder="1" applyProtection="1"/>
    <xf numFmtId="0" fontId="5" fillId="2" borderId="6" xfId="0" applyFont="1" applyFill="1" applyBorder="1" applyAlignment="1" applyProtection="1"/>
    <xf numFmtId="0" fontId="4" fillId="2" borderId="8" xfId="0" applyFont="1" applyFill="1" applyBorder="1" applyProtection="1"/>
    <xf numFmtId="0" fontId="0" fillId="23" borderId="1" xfId="0" applyFill="1" applyBorder="1"/>
    <xf numFmtId="0" fontId="0" fillId="23" borderId="3" xfId="0" applyFill="1" applyBorder="1"/>
    <xf numFmtId="1" fontId="0" fillId="6" borderId="8" xfId="0" applyNumberFormat="1" applyFill="1" applyBorder="1" applyAlignment="1">
      <alignment horizontal="center"/>
    </xf>
    <xf numFmtId="0" fontId="5" fillId="3" borderId="17" xfId="0" applyFont="1" applyFill="1" applyBorder="1" applyAlignment="1">
      <alignment horizontal="left"/>
    </xf>
    <xf numFmtId="0" fontId="19" fillId="2" borderId="0" xfId="0" applyFont="1" applyFill="1"/>
    <xf numFmtId="0" fontId="19" fillId="2" borderId="0" xfId="0" applyFont="1" applyFill="1" applyAlignment="1">
      <alignment horizontal="center"/>
    </xf>
    <xf numFmtId="1" fontId="19" fillId="2" borderId="0" xfId="0" applyNumberFormat="1" applyFont="1" applyFill="1" applyAlignment="1">
      <alignment horizontal="center"/>
    </xf>
    <xf numFmtId="0" fontId="19" fillId="2" borderId="0" xfId="0" applyFont="1" applyFill="1" applyProtection="1"/>
    <xf numFmtId="0" fontId="19" fillId="2" borderId="0" xfId="0" applyFont="1" applyFill="1" applyAlignment="1">
      <alignment horizontal="left"/>
    </xf>
    <xf numFmtId="0" fontId="19" fillId="2" borderId="0" xfId="0" applyFont="1" applyFill="1" applyBorder="1" applyAlignment="1" applyProtection="1">
      <alignment horizontal="center"/>
    </xf>
    <xf numFmtId="0" fontId="0" fillId="6" borderId="4" xfId="0" applyFill="1" applyBorder="1"/>
    <xf numFmtId="0" fontId="0" fillId="6" borderId="5" xfId="0" applyFill="1" applyBorder="1"/>
    <xf numFmtId="0" fontId="0" fillId="6" borderId="6" xfId="0" applyFill="1" applyBorder="1"/>
    <xf numFmtId="0" fontId="5" fillId="6" borderId="1" xfId="0" applyFont="1" applyFill="1" applyBorder="1" applyProtection="1"/>
    <xf numFmtId="0" fontId="0" fillId="6" borderId="2" xfId="0" applyFill="1" applyBorder="1" applyAlignment="1"/>
    <xf numFmtId="0" fontId="0" fillId="6" borderId="3" xfId="0" applyFill="1" applyBorder="1" applyAlignment="1"/>
    <xf numFmtId="0" fontId="5" fillId="6" borderId="4" xfId="0" applyFont="1" applyFill="1" applyBorder="1" applyProtection="1"/>
    <xf numFmtId="0" fontId="0" fillId="6" borderId="5" xfId="0" applyFill="1" applyBorder="1" applyAlignment="1">
      <alignment horizontal="left"/>
    </xf>
    <xf numFmtId="0" fontId="5" fillId="6" borderId="6" xfId="0" applyFont="1" applyFill="1" applyBorder="1" applyProtection="1"/>
    <xf numFmtId="0" fontId="0" fillId="6" borderId="7" xfId="0" applyFill="1" applyBorder="1" applyAlignment="1">
      <alignment horizontal="left"/>
    </xf>
    <xf numFmtId="0" fontId="0" fillId="6" borderId="8" xfId="0" applyFill="1" applyBorder="1" applyAlignment="1">
      <alignment horizontal="left"/>
    </xf>
    <xf numFmtId="1" fontId="5" fillId="5" borderId="29" xfId="0" applyNumberFormat="1" applyFont="1" applyFill="1" applyBorder="1" applyAlignment="1">
      <alignment horizontal="center"/>
    </xf>
    <xf numFmtId="1" fontId="55" fillId="2" borderId="0" xfId="0" applyNumberFormat="1" applyFont="1" applyFill="1" applyAlignment="1" applyProtection="1">
      <alignment horizontal="center"/>
    </xf>
    <xf numFmtId="1" fontId="55" fillId="3" borderId="0" xfId="0" applyNumberFormat="1" applyFont="1" applyFill="1" applyAlignment="1" applyProtection="1">
      <alignment horizontal="center"/>
    </xf>
    <xf numFmtId="1" fontId="55" fillId="3" borderId="0" xfId="0" applyNumberFormat="1" applyFont="1" applyFill="1" applyAlignment="1" applyProtection="1">
      <alignment horizontal="center" vertical="center"/>
    </xf>
    <xf numFmtId="1" fontId="55" fillId="2" borderId="0" xfId="0" applyNumberFormat="1" applyFont="1" applyFill="1" applyBorder="1" applyAlignment="1" applyProtection="1">
      <alignment horizontal="center"/>
    </xf>
    <xf numFmtId="165" fontId="17" fillId="2" borderId="19" xfId="0" applyNumberFormat="1" applyFont="1" applyFill="1" applyBorder="1" applyAlignment="1" applyProtection="1">
      <alignment horizontal="center"/>
    </xf>
    <xf numFmtId="0" fontId="17" fillId="2" borderId="19" xfId="0" applyFont="1" applyFill="1" applyBorder="1" applyAlignment="1" applyProtection="1">
      <alignment horizontal="center"/>
    </xf>
    <xf numFmtId="0" fontId="17" fillId="2" borderId="19" xfId="0" applyFont="1" applyFill="1" applyBorder="1" applyAlignment="1" applyProtection="1">
      <alignment horizontal="right"/>
    </xf>
    <xf numFmtId="165" fontId="35" fillId="5" borderId="20" xfId="0" applyNumberFormat="1" applyFont="1" applyFill="1" applyBorder="1" applyAlignment="1" applyProtection="1">
      <alignment horizontal="center"/>
    </xf>
    <xf numFmtId="0" fontId="4" fillId="23" borderId="4" xfId="0" applyFont="1" applyFill="1" applyBorder="1" applyAlignment="1" applyProtection="1">
      <alignment horizontal="center"/>
    </xf>
    <xf numFmtId="0" fontId="0" fillId="23" borderId="0" xfId="0" applyFill="1" applyBorder="1" applyAlignment="1">
      <alignment horizontal="center"/>
    </xf>
    <xf numFmtId="0" fontId="0" fillId="23" borderId="5" xfId="0" applyFill="1" applyBorder="1" applyAlignment="1">
      <alignment horizontal="center"/>
    </xf>
    <xf numFmtId="1" fontId="4" fillId="6" borderId="1" xfId="0" applyNumberFormat="1" applyFont="1" applyFill="1" applyBorder="1" applyAlignment="1" applyProtection="1">
      <alignment horizontal="center"/>
    </xf>
    <xf numFmtId="1" fontId="4" fillId="6" borderId="4" xfId="0" applyNumberFormat="1" applyFont="1" applyFill="1" applyBorder="1" applyAlignment="1" applyProtection="1">
      <alignment horizontal="center"/>
    </xf>
    <xf numFmtId="1" fontId="4" fillId="6" borderId="6" xfId="0" applyNumberFormat="1" applyFont="1" applyFill="1" applyBorder="1" applyAlignment="1" applyProtection="1">
      <alignment horizontal="center"/>
    </xf>
    <xf numFmtId="0" fontId="7" fillId="6" borderId="41" xfId="0" applyFont="1" applyFill="1" applyBorder="1" applyProtection="1"/>
    <xf numFmtId="0" fontId="5" fillId="6" borderId="41" xfId="0" applyFont="1" applyFill="1" applyBorder="1"/>
    <xf numFmtId="165" fontId="5" fillId="6" borderId="10" xfId="0" applyNumberFormat="1" applyFont="1" applyFill="1" applyBorder="1" applyAlignment="1" applyProtection="1">
      <alignment horizontal="center"/>
    </xf>
    <xf numFmtId="165" fontId="5" fillId="6" borderId="29" xfId="0" applyNumberFormat="1" applyFont="1" applyFill="1" applyBorder="1" applyAlignment="1" applyProtection="1">
      <alignment horizontal="center"/>
    </xf>
    <xf numFmtId="165" fontId="5" fillId="6" borderId="11" xfId="0" applyNumberFormat="1" applyFont="1" applyFill="1" applyBorder="1" applyAlignment="1" applyProtection="1">
      <alignment horizontal="center"/>
    </xf>
    <xf numFmtId="165" fontId="5" fillId="2" borderId="0" xfId="0" applyNumberFormat="1" applyFont="1" applyFill="1" applyAlignment="1" applyProtection="1">
      <alignment horizontal="center"/>
    </xf>
    <xf numFmtId="0" fontId="37" fillId="2" borderId="0" xfId="0" applyFont="1" applyFill="1" applyAlignment="1">
      <alignment horizontal="center"/>
    </xf>
    <xf numFmtId="0" fontId="37" fillId="2" borderId="0" xfId="0" applyFont="1" applyFill="1"/>
    <xf numFmtId="0" fontId="17" fillId="6" borderId="16" xfId="0" applyFont="1" applyFill="1" applyBorder="1" applyAlignment="1">
      <alignment horizontal="left"/>
    </xf>
    <xf numFmtId="0" fontId="17" fillId="6" borderId="18" xfId="0" applyFont="1" applyFill="1" applyBorder="1" applyAlignment="1">
      <alignment horizontal="left"/>
    </xf>
    <xf numFmtId="0" fontId="17" fillId="6" borderId="23" xfId="0" applyFont="1" applyFill="1" applyBorder="1" applyAlignment="1">
      <alignment horizontal="left"/>
    </xf>
    <xf numFmtId="0" fontId="37" fillId="2" borderId="0" xfId="0" applyFont="1" applyFill="1" applyProtection="1"/>
    <xf numFmtId="0" fontId="4" fillId="2" borderId="0" xfId="0" applyFont="1" applyFill="1" applyBorder="1" applyProtection="1"/>
    <xf numFmtId="1" fontId="55" fillId="2" borderId="0" xfId="0" applyNumberFormat="1" applyFont="1" applyFill="1" applyProtection="1"/>
    <xf numFmtId="0" fontId="55" fillId="0" borderId="0" xfId="0" applyFont="1" applyFill="1" applyBorder="1" applyProtection="1"/>
    <xf numFmtId="0" fontId="56" fillId="0" borderId="0" xfId="0" applyFont="1" applyFill="1" applyAlignment="1" applyProtection="1">
      <alignment horizontal="left"/>
    </xf>
    <xf numFmtId="0" fontId="7" fillId="6" borderId="29" xfId="0" applyFont="1" applyFill="1" applyBorder="1" applyAlignment="1" applyProtection="1"/>
    <xf numFmtId="0" fontId="55" fillId="6" borderId="0" xfId="0" applyFont="1" applyFill="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1" fontId="55" fillId="6" borderId="0" xfId="0" applyNumberFormat="1" applyFont="1" applyFill="1" applyAlignment="1" applyProtection="1">
      <alignment horizontal="center" vertical="center"/>
    </xf>
    <xf numFmtId="1" fontId="51" fillId="9" borderId="19" xfId="0" applyNumberFormat="1" applyFont="1" applyFill="1" applyBorder="1" applyProtection="1"/>
    <xf numFmtId="1" fontId="55" fillId="4" borderId="0" xfId="0" applyNumberFormat="1" applyFont="1" applyFill="1" applyAlignment="1" applyProtection="1">
      <alignment horizontal="center" vertical="center"/>
    </xf>
    <xf numFmtId="1" fontId="55" fillId="11" borderId="0" xfId="0" applyNumberFormat="1" applyFont="1" applyFill="1" applyAlignment="1" applyProtection="1">
      <alignment horizontal="center" vertical="center"/>
    </xf>
    <xf numFmtId="1" fontId="56" fillId="2" borderId="0" xfId="0" applyNumberFormat="1" applyFont="1" applyFill="1" applyProtection="1"/>
    <xf numFmtId="1" fontId="54" fillId="2" borderId="0" xfId="0" applyNumberFormat="1" applyFont="1" applyFill="1" applyAlignment="1" applyProtection="1">
      <alignment horizontal="left"/>
    </xf>
    <xf numFmtId="1" fontId="55" fillId="6" borderId="0" xfId="0" applyNumberFormat="1" applyFont="1" applyFill="1" applyAlignment="1" applyProtection="1">
      <alignment horizontal="center"/>
    </xf>
    <xf numFmtId="1" fontId="55" fillId="2" borderId="0" xfId="0" applyNumberFormat="1" applyFont="1" applyFill="1" applyBorder="1" applyProtection="1"/>
    <xf numFmtId="1" fontId="55" fillId="0" borderId="0" xfId="0" applyNumberFormat="1" applyFont="1" applyProtection="1"/>
    <xf numFmtId="1" fontId="55" fillId="2" borderId="0" xfId="0" applyNumberFormat="1" applyFont="1" applyFill="1" applyAlignment="1" applyProtection="1">
      <alignment horizontal="left"/>
    </xf>
    <xf numFmtId="1" fontId="55" fillId="8" borderId="0" xfId="0" applyNumberFormat="1" applyFont="1" applyFill="1" applyAlignment="1" applyProtection="1">
      <alignment horizontal="center" vertical="center"/>
    </xf>
    <xf numFmtId="0" fontId="61" fillId="2" borderId="0" xfId="0" applyFont="1" applyFill="1"/>
    <xf numFmtId="0" fontId="0" fillId="2" borderId="0" xfId="0" applyFill="1" applyAlignment="1">
      <alignment horizontal="justify" vertical="top" wrapText="1"/>
    </xf>
    <xf numFmtId="0" fontId="0" fillId="2" borderId="0" xfId="0" applyFill="1" applyAlignment="1">
      <alignment vertical="center" wrapText="1"/>
    </xf>
    <xf numFmtId="0" fontId="5" fillId="23" borderId="4" xfId="0" applyFont="1" applyFill="1" applyBorder="1" applyAlignment="1">
      <alignment horizontal="center"/>
    </xf>
    <xf numFmtId="0" fontId="5" fillId="23" borderId="0" xfId="0" applyFont="1" applyFill="1" applyBorder="1" applyAlignment="1">
      <alignment horizontal="center"/>
    </xf>
    <xf numFmtId="0" fontId="5" fillId="23" borderId="5" xfId="0" applyFont="1" applyFill="1" applyBorder="1" applyAlignment="1">
      <alignment horizontal="center"/>
    </xf>
    <xf numFmtId="0" fontId="0" fillId="2" borderId="0" xfId="0" applyFill="1" applyAlignment="1">
      <alignment vertical="top"/>
    </xf>
    <xf numFmtId="0" fontId="0" fillId="2" borderId="0" xfId="0" applyFill="1" applyAlignment="1">
      <alignment vertical="top" wrapText="1"/>
    </xf>
    <xf numFmtId="0" fontId="12" fillId="12" borderId="1" xfId="1" applyFill="1" applyBorder="1" applyAlignment="1" applyProtection="1">
      <protection locked="0"/>
    </xf>
    <xf numFmtId="0" fontId="12" fillId="12" borderId="3" xfId="1" applyFill="1" applyBorder="1" applyAlignment="1" applyProtection="1">
      <protection locked="0"/>
    </xf>
    <xf numFmtId="0" fontId="12" fillId="13" borderId="4" xfId="1" applyFill="1" applyBorder="1" applyAlignment="1" applyProtection="1">
      <protection locked="0"/>
    </xf>
    <xf numFmtId="0" fontId="12" fillId="13" borderId="5" xfId="1" applyFill="1" applyBorder="1" applyAlignment="1" applyProtection="1">
      <protection locked="0"/>
    </xf>
    <xf numFmtId="0" fontId="34" fillId="20" borderId="5" xfId="1" applyFont="1" applyFill="1" applyBorder="1" applyAlignment="1" applyProtection="1">
      <protection locked="0"/>
    </xf>
    <xf numFmtId="0" fontId="4" fillId="5" borderId="4" xfId="0" applyFont="1" applyFill="1" applyBorder="1" applyAlignment="1" applyProtection="1"/>
    <xf numFmtId="0" fontId="4" fillId="5" borderId="5" xfId="0" applyFont="1" applyFill="1" applyBorder="1" applyAlignment="1" applyProtection="1"/>
    <xf numFmtId="0" fontId="12" fillId="17" borderId="4" xfId="1" applyFill="1" applyBorder="1" applyAlignment="1" applyProtection="1">
      <protection locked="0"/>
    </xf>
    <xf numFmtId="0" fontId="12" fillId="17" borderId="5" xfId="1" applyFill="1" applyBorder="1" applyAlignment="1" applyProtection="1">
      <protection locked="0"/>
    </xf>
    <xf numFmtId="0" fontId="19" fillId="14" borderId="4" xfId="1" applyFont="1" applyFill="1" applyBorder="1" applyAlignment="1" applyProtection="1"/>
    <xf numFmtId="0" fontId="19" fillId="14" borderId="5" xfId="1" applyFont="1" applyFill="1" applyBorder="1" applyAlignment="1" applyProtection="1"/>
    <xf numFmtId="0" fontId="0" fillId="2" borderId="0" xfId="0" applyFill="1" applyAlignment="1">
      <alignment horizontal="justify" vertical="top"/>
    </xf>
    <xf numFmtId="0" fontId="62" fillId="2" borderId="0" xfId="0" applyFont="1" applyFill="1" applyAlignment="1">
      <alignment horizontal="justify" vertical="top" wrapText="1"/>
    </xf>
    <xf numFmtId="1" fontId="63" fillId="6" borderId="0" xfId="0" applyNumberFormat="1" applyFont="1" applyFill="1" applyBorder="1" applyAlignment="1">
      <alignment horizontal="center"/>
    </xf>
    <xf numFmtId="1" fontId="63" fillId="3" borderId="0" xfId="0" applyNumberFormat="1" applyFont="1" applyFill="1" applyBorder="1" applyAlignment="1">
      <alignment horizontal="center"/>
    </xf>
    <xf numFmtId="1" fontId="63" fillId="6" borderId="2" xfId="0" applyNumberFormat="1" applyFont="1" applyFill="1" applyBorder="1" applyAlignment="1">
      <alignment horizontal="center"/>
    </xf>
    <xf numFmtId="1" fontId="63" fillId="6" borderId="3" xfId="0" applyNumberFormat="1" applyFont="1" applyFill="1" applyBorder="1" applyAlignment="1">
      <alignment horizontal="center"/>
    </xf>
    <xf numFmtId="1" fontId="63" fillId="6" borderId="5" xfId="0" applyNumberFormat="1" applyFont="1" applyFill="1" applyBorder="1" applyAlignment="1">
      <alignment horizontal="center"/>
    </xf>
    <xf numFmtId="1" fontId="63" fillId="3" borderId="4" xfId="0" applyNumberFormat="1" applyFont="1" applyFill="1" applyBorder="1" applyAlignment="1">
      <alignment horizontal="center"/>
    </xf>
    <xf numFmtId="1" fontId="63" fillId="3" borderId="5" xfId="0" applyNumberFormat="1" applyFont="1" applyFill="1" applyBorder="1" applyAlignment="1">
      <alignment horizontal="center"/>
    </xf>
    <xf numFmtId="1" fontId="63" fillId="6" borderId="5" xfId="0" quotePrefix="1" applyNumberFormat="1" applyFont="1" applyFill="1" applyBorder="1" applyAlignment="1">
      <alignment horizontal="center"/>
    </xf>
    <xf numFmtId="1" fontId="63" fillId="6" borderId="8" xfId="0" quotePrefix="1" applyNumberFormat="1" applyFont="1" applyFill="1" applyBorder="1" applyAlignment="1">
      <alignment horizontal="center"/>
    </xf>
    <xf numFmtId="1" fontId="63" fillId="8" borderId="1" xfId="0" applyNumberFormat="1" applyFont="1" applyFill="1" applyBorder="1" applyAlignment="1">
      <alignment horizontal="center"/>
    </xf>
    <xf numFmtId="1" fontId="63" fillId="8" borderId="2" xfId="0" applyNumberFormat="1" applyFont="1" applyFill="1" applyBorder="1" applyAlignment="1">
      <alignment horizontal="center"/>
    </xf>
    <xf numFmtId="0" fontId="0" fillId="23" borderId="2" xfId="0" applyFill="1" applyBorder="1" applyAlignment="1">
      <alignment vertical="center" wrapText="1"/>
    </xf>
    <xf numFmtId="0" fontId="0" fillId="6" borderId="2" xfId="0" applyFill="1" applyBorder="1" applyAlignment="1">
      <alignment vertical="center" wrapText="1"/>
    </xf>
    <xf numFmtId="0" fontId="0" fillId="6" borderId="0" xfId="0" applyFill="1" applyBorder="1" applyAlignment="1">
      <alignment vertical="center" wrapText="1"/>
    </xf>
    <xf numFmtId="0" fontId="0" fillId="6" borderId="7" xfId="0" applyFill="1" applyBorder="1"/>
    <xf numFmtId="0" fontId="0" fillId="3" borderId="0" xfId="0" applyFill="1" applyBorder="1" applyAlignment="1">
      <alignment vertical="center" wrapText="1"/>
    </xf>
    <xf numFmtId="0" fontId="0" fillId="2" borderId="3"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vertical="center" wrapText="1"/>
    </xf>
    <xf numFmtId="0" fontId="0" fillId="2" borderId="1" xfId="0" applyFill="1" applyBorder="1" applyAlignment="1">
      <alignment vertical="center"/>
    </xf>
    <xf numFmtId="0" fontId="4" fillId="3" borderId="22" xfId="0" applyFont="1" applyFill="1" applyBorder="1" applyAlignment="1" applyProtection="1">
      <alignment horizontal="left"/>
      <protection locked="0"/>
    </xf>
    <xf numFmtId="0" fontId="0" fillId="2" borderId="0" xfId="0" applyFill="1" applyAlignment="1">
      <alignment horizontal="center" vertical="top"/>
    </xf>
    <xf numFmtId="0" fontId="0" fillId="2" borderId="0" xfId="0" applyFill="1" applyAlignment="1">
      <alignment horizontal="center" vertical="top" wrapText="1"/>
    </xf>
    <xf numFmtId="0" fontId="0" fillId="23" borderId="0" xfId="0" applyFill="1" applyBorder="1" applyAlignment="1">
      <alignment vertical="center" wrapText="1"/>
    </xf>
    <xf numFmtId="0" fontId="0" fillId="3" borderId="24" xfId="0" applyFill="1" applyBorder="1" applyAlignment="1">
      <alignment horizontal="left"/>
    </xf>
    <xf numFmtId="0" fontId="0" fillId="3" borderId="12" xfId="0" applyFill="1" applyBorder="1" applyAlignment="1">
      <alignment horizontal="center"/>
    </xf>
    <xf numFmtId="165" fontId="0" fillId="6" borderId="42" xfId="0" applyNumberFormat="1" applyFill="1" applyBorder="1" applyAlignment="1">
      <alignment horizontal="center"/>
    </xf>
    <xf numFmtId="2" fontId="0" fillId="6" borderId="49" xfId="0" applyNumberFormat="1" applyFill="1" applyBorder="1" applyAlignment="1">
      <alignment horizontal="center"/>
    </xf>
    <xf numFmtId="0" fontId="17" fillId="3" borderId="49" xfId="0" applyFont="1" applyFill="1" applyBorder="1"/>
    <xf numFmtId="0" fontId="17" fillId="11" borderId="24" xfId="0" applyFont="1" applyFill="1" applyBorder="1" applyAlignment="1">
      <alignment horizontal="center"/>
    </xf>
    <xf numFmtId="0" fontId="7" fillId="6" borderId="19" xfId="0" applyFont="1" applyFill="1" applyBorder="1"/>
    <xf numFmtId="0" fontId="7" fillId="6" borderId="22" xfId="0" applyFont="1" applyFill="1" applyBorder="1"/>
    <xf numFmtId="165" fontId="0" fillId="6" borderId="43" xfId="0" applyNumberFormat="1" applyFill="1" applyBorder="1" applyAlignment="1">
      <alignment horizontal="center"/>
    </xf>
    <xf numFmtId="2" fontId="0" fillId="6" borderId="35" xfId="0" applyNumberFormat="1" applyFill="1" applyBorder="1" applyAlignment="1">
      <alignment horizontal="center"/>
    </xf>
    <xf numFmtId="2" fontId="0" fillId="6" borderId="34" xfId="0" applyNumberFormat="1" applyFill="1" applyBorder="1" applyAlignment="1">
      <alignment horizontal="center"/>
    </xf>
    <xf numFmtId="165" fontId="0" fillId="6" borderId="46" xfId="0" applyNumberFormat="1" applyFill="1" applyBorder="1" applyAlignment="1">
      <alignment horizontal="center"/>
    </xf>
    <xf numFmtId="2" fontId="0" fillId="6" borderId="50" xfId="0" applyNumberFormat="1" applyFill="1" applyBorder="1" applyAlignment="1">
      <alignment horizontal="center"/>
    </xf>
    <xf numFmtId="165" fontId="44" fillId="6" borderId="18" xfId="0" applyNumberFormat="1" applyFont="1" applyFill="1" applyBorder="1" applyAlignment="1" applyProtection="1">
      <alignment horizontal="center"/>
    </xf>
    <xf numFmtId="165" fontId="44" fillId="6" borderId="23" xfId="0" applyNumberFormat="1" applyFont="1" applyFill="1" applyBorder="1" applyAlignment="1" applyProtection="1">
      <alignment horizontal="center"/>
    </xf>
    <xf numFmtId="1" fontId="63" fillId="25" borderId="1" xfId="0" applyNumberFormat="1" applyFont="1" applyFill="1" applyBorder="1" applyAlignment="1">
      <alignment horizontal="center"/>
    </xf>
    <xf numFmtId="1" fontId="63" fillId="25" borderId="2" xfId="0" applyNumberFormat="1" applyFont="1" applyFill="1" applyBorder="1" applyAlignment="1">
      <alignment horizontal="center"/>
    </xf>
    <xf numFmtId="0" fontId="0" fillId="25" borderId="0" xfId="0" applyFill="1" applyAlignment="1">
      <alignment vertical="center"/>
    </xf>
    <xf numFmtId="0" fontId="0" fillId="25" borderId="0" xfId="0" applyFill="1"/>
    <xf numFmtId="0" fontId="64" fillId="6" borderId="6" xfId="0" applyFont="1" applyFill="1" applyBorder="1"/>
    <xf numFmtId="0" fontId="64" fillId="6" borderId="7" xfId="0" applyFont="1" applyFill="1" applyBorder="1"/>
    <xf numFmtId="2" fontId="37" fillId="9" borderId="24" xfId="0" applyNumberFormat="1" applyFont="1" applyFill="1" applyBorder="1" applyAlignment="1" applyProtection="1">
      <alignment horizontal="center"/>
    </xf>
    <xf numFmtId="0" fontId="40" fillId="18" borderId="0" xfId="0" applyFont="1" applyFill="1" applyBorder="1"/>
    <xf numFmtId="0" fontId="40" fillId="18" borderId="0" xfId="0" applyFont="1" applyFill="1" applyAlignment="1">
      <alignment horizontal="center"/>
    </xf>
    <xf numFmtId="0" fontId="40" fillId="18" borderId="0" xfId="0" applyFont="1" applyFill="1"/>
    <xf numFmtId="165" fontId="40" fillId="18" borderId="0" xfId="0" applyNumberFormat="1" applyFont="1" applyFill="1" applyAlignment="1">
      <alignment horizontal="left"/>
    </xf>
    <xf numFmtId="167" fontId="40" fillId="15" borderId="0" xfId="0" applyNumberFormat="1" applyFont="1" applyFill="1" applyAlignment="1">
      <alignment horizontal="center"/>
    </xf>
    <xf numFmtId="2" fontId="37" fillId="3" borderId="0" xfId="0" applyNumberFormat="1" applyFont="1" applyFill="1" applyBorder="1" applyAlignment="1" applyProtection="1">
      <alignment horizontal="center"/>
    </xf>
    <xf numFmtId="0" fontId="4" fillId="21" borderId="24" xfId="0" applyFont="1" applyFill="1" applyBorder="1" applyAlignment="1" applyProtection="1">
      <alignment horizontal="center"/>
      <protection locked="0"/>
    </xf>
    <xf numFmtId="0" fontId="0" fillId="5" borderId="19" xfId="0" applyFill="1" applyBorder="1" applyProtection="1"/>
    <xf numFmtId="0" fontId="4" fillId="21" borderId="22" xfId="0" applyFont="1" applyFill="1" applyBorder="1" applyAlignment="1" applyProtection="1">
      <alignment horizontal="center"/>
      <protection locked="0"/>
    </xf>
    <xf numFmtId="167" fontId="37" fillId="9" borderId="24" xfId="0" applyNumberFormat="1" applyFont="1" applyFill="1" applyBorder="1" applyAlignment="1" applyProtection="1">
      <alignment horizontal="center"/>
    </xf>
    <xf numFmtId="167" fontId="37" fillId="9" borderId="0" xfId="0" applyNumberFormat="1" applyFont="1" applyFill="1" applyBorder="1" applyAlignment="1" applyProtection="1">
      <alignment horizontal="center"/>
    </xf>
    <xf numFmtId="0" fontId="5" fillId="3" borderId="9" xfId="0" applyFont="1" applyFill="1" applyBorder="1" applyAlignment="1" applyProtection="1">
      <alignment horizontal="center"/>
    </xf>
    <xf numFmtId="0" fontId="5" fillId="3" borderId="16" xfId="0" applyFont="1" applyFill="1" applyBorder="1" applyAlignment="1" applyProtection="1">
      <alignment horizontal="center"/>
    </xf>
    <xf numFmtId="0" fontId="0" fillId="2" borderId="0" xfId="0" applyFill="1" applyAlignment="1">
      <alignment horizontal="right"/>
    </xf>
    <xf numFmtId="0" fontId="34" fillId="20" borderId="4" xfId="1" applyFont="1" applyFill="1" applyBorder="1" applyAlignment="1" applyProtection="1">
      <protection locked="0"/>
    </xf>
    <xf numFmtId="0" fontId="17" fillId="3" borderId="25" xfId="0" applyFont="1" applyFill="1" applyBorder="1" applyAlignment="1" applyProtection="1">
      <alignment horizontal="center"/>
    </xf>
    <xf numFmtId="0" fontId="17" fillId="3" borderId="22" xfId="0" applyFont="1" applyFill="1" applyBorder="1" applyAlignment="1" applyProtection="1">
      <alignment horizontal="center"/>
    </xf>
    <xf numFmtId="2" fontId="0" fillId="2" borderId="0" xfId="0" applyNumberFormat="1" applyFill="1" applyBorder="1" applyAlignment="1" applyProtection="1">
      <alignment horizontal="center"/>
    </xf>
    <xf numFmtId="0" fontId="5" fillId="3" borderId="12" xfId="0" applyFont="1" applyFill="1" applyBorder="1" applyAlignment="1">
      <alignment horizontal="center"/>
    </xf>
    <xf numFmtId="0" fontId="33" fillId="2" borderId="0" xfId="0" applyFont="1" applyFill="1" applyAlignment="1" applyProtection="1">
      <alignment horizontal="center"/>
    </xf>
    <xf numFmtId="165" fontId="0" fillId="6" borderId="11" xfId="0" applyNumberFormat="1" applyFill="1" applyBorder="1" applyAlignment="1" applyProtection="1">
      <alignment horizontal="center"/>
    </xf>
    <xf numFmtId="165" fontId="0" fillId="6" borderId="8" xfId="0" applyNumberFormat="1" applyFill="1" applyBorder="1" applyAlignment="1" applyProtection="1">
      <alignment horizontal="center"/>
    </xf>
    <xf numFmtId="0" fontId="17" fillId="3" borderId="26" xfId="0" applyFont="1" applyFill="1" applyBorder="1" applyAlignment="1" applyProtection="1">
      <alignment horizontal="center"/>
    </xf>
    <xf numFmtId="3" fontId="17" fillId="6" borderId="9" xfId="0" applyNumberFormat="1" applyFont="1" applyFill="1" applyBorder="1" applyAlignment="1">
      <alignment horizontal="center"/>
    </xf>
    <xf numFmtId="3" fontId="17" fillId="6" borderId="24" xfId="0" applyNumberFormat="1" applyFont="1" applyFill="1" applyBorder="1" applyAlignment="1">
      <alignment horizontal="center"/>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25" xfId="0" applyNumberFormat="1" applyFont="1" applyFill="1" applyBorder="1" applyAlignment="1">
      <alignment horizontal="center"/>
    </xf>
    <xf numFmtId="3" fontId="17" fillId="6" borderId="22" xfId="0" applyNumberFormat="1" applyFont="1" applyFill="1" applyBorder="1" applyAlignment="1">
      <alignment horizontal="center"/>
    </xf>
    <xf numFmtId="3" fontId="17" fillId="18" borderId="21" xfId="0" applyNumberFormat="1" applyFont="1" applyFill="1" applyBorder="1" applyAlignment="1" applyProtection="1">
      <alignment horizontal="center"/>
      <protection locked="0"/>
    </xf>
    <xf numFmtId="3" fontId="17" fillId="18" borderId="0" xfId="0" applyNumberFormat="1" applyFont="1" applyFill="1" applyBorder="1" applyAlignment="1" applyProtection="1">
      <alignment horizontal="center"/>
      <protection locked="0"/>
    </xf>
    <xf numFmtId="3" fontId="17" fillId="18" borderId="25" xfId="0" applyNumberFormat="1" applyFont="1" applyFill="1" applyBorder="1" applyAlignment="1" applyProtection="1">
      <alignment horizontal="center"/>
      <protection locked="0"/>
    </xf>
    <xf numFmtId="3" fontId="17" fillId="18" borderId="22" xfId="0" applyNumberFormat="1" applyFont="1" applyFill="1" applyBorder="1" applyAlignment="1" applyProtection="1">
      <alignment horizontal="center"/>
      <protection locked="0"/>
    </xf>
    <xf numFmtId="3" fontId="17" fillId="2" borderId="19" xfId="0" applyNumberFormat="1" applyFont="1" applyFill="1" applyBorder="1" applyAlignment="1">
      <alignment horizontal="center"/>
    </xf>
    <xf numFmtId="3" fontId="7" fillId="5" borderId="41" xfId="0" applyNumberFormat="1" applyFont="1" applyFill="1" applyBorder="1" applyAlignment="1">
      <alignment horizontal="center"/>
    </xf>
    <xf numFmtId="165" fontId="35" fillId="2" borderId="0" xfId="0" applyNumberFormat="1" applyFont="1" applyFill="1" applyBorder="1" applyAlignment="1">
      <alignment horizontal="left"/>
    </xf>
    <xf numFmtId="0" fontId="17" fillId="3" borderId="19" xfId="0" applyFont="1" applyFill="1" applyBorder="1" applyAlignment="1">
      <alignment horizontal="center"/>
    </xf>
    <xf numFmtId="1" fontId="55" fillId="2" borderId="39" xfId="0" applyNumberFormat="1" applyFont="1" applyFill="1" applyBorder="1" applyProtection="1"/>
    <xf numFmtId="0" fontId="4" fillId="2" borderId="0" xfId="0" applyFont="1" applyFill="1" applyBorder="1" applyAlignment="1" applyProtection="1">
      <alignment horizontal="center"/>
    </xf>
    <xf numFmtId="165" fontId="17" fillId="6" borderId="22" xfId="0" applyNumberFormat="1" applyFont="1" applyFill="1" applyBorder="1" applyAlignment="1">
      <alignment horizontal="center"/>
    </xf>
    <xf numFmtId="165" fontId="5" fillId="6" borderId="23" xfId="0" applyNumberFormat="1" applyFont="1" applyFill="1" applyBorder="1" applyAlignment="1">
      <alignment horizontal="center"/>
    </xf>
    <xf numFmtId="165" fontId="5" fillId="6" borderId="22" xfId="0" applyNumberFormat="1" applyFont="1" applyFill="1" applyBorder="1" applyAlignment="1">
      <alignment horizontal="center"/>
    </xf>
    <xf numFmtId="2" fontId="27" fillId="6" borderId="21" xfId="0" applyNumberFormat="1" applyFont="1" applyFill="1" applyBorder="1" applyAlignment="1" applyProtection="1">
      <alignment horizontal="center"/>
    </xf>
    <xf numFmtId="2" fontId="27" fillId="6" borderId="25" xfId="0" applyNumberFormat="1"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17" fillId="3" borderId="27" xfId="0" applyFont="1" applyFill="1" applyBorder="1" applyProtection="1"/>
    <xf numFmtId="0" fontId="0" fillId="21" borderId="17" xfId="0" applyFill="1" applyBorder="1"/>
    <xf numFmtId="0" fontId="0" fillId="21" borderId="20" xfId="0" applyFill="1" applyBorder="1"/>
    <xf numFmtId="0" fontId="0" fillId="21" borderId="21" xfId="0" applyFill="1" applyBorder="1"/>
    <xf numFmtId="0" fontId="0" fillId="21" borderId="18" xfId="0" applyFill="1" applyBorder="1"/>
    <xf numFmtId="0" fontId="0" fillId="21" borderId="25" xfId="0" applyFill="1" applyBorder="1"/>
    <xf numFmtId="1" fontId="26" fillId="3" borderId="24" xfId="0" applyNumberFormat="1" applyFont="1" applyFill="1" applyBorder="1" applyAlignment="1" applyProtection="1">
      <alignment horizontal="center"/>
    </xf>
    <xf numFmtId="1" fontId="26" fillId="3" borderId="0" xfId="0" applyNumberFormat="1" applyFont="1" applyFill="1" applyBorder="1" applyAlignment="1" applyProtection="1">
      <alignment horizontal="center"/>
    </xf>
    <xf numFmtId="1" fontId="26" fillId="3" borderId="22" xfId="0" applyNumberFormat="1" applyFont="1" applyFill="1" applyBorder="1" applyAlignment="1" applyProtection="1">
      <alignment horizontal="center"/>
    </xf>
    <xf numFmtId="0" fontId="17" fillId="21" borderId="21" xfId="0" applyFont="1" applyFill="1" applyBorder="1" applyAlignment="1" applyProtection="1">
      <protection locked="0"/>
    </xf>
    <xf numFmtId="0" fontId="17" fillId="21" borderId="25" xfId="0" applyFont="1" applyFill="1" applyBorder="1" applyAlignment="1" applyProtection="1">
      <protection locked="0"/>
    </xf>
    <xf numFmtId="165" fontId="0" fillId="2" borderId="0" xfId="0" applyNumberFormat="1" applyFill="1" applyAlignment="1" applyProtection="1">
      <alignment horizontal="center"/>
    </xf>
    <xf numFmtId="0" fontId="0" fillId="3" borderId="17" xfId="0" applyFill="1" applyBorder="1" applyProtection="1"/>
    <xf numFmtId="0" fontId="17" fillId="3" borderId="17" xfId="0" applyFont="1" applyFill="1" applyBorder="1" applyAlignment="1" applyProtection="1"/>
    <xf numFmtId="165" fontId="0" fillId="3" borderId="0" xfId="0" applyNumberFormat="1" applyFill="1" applyAlignment="1" applyProtection="1">
      <alignment horizontal="center"/>
    </xf>
    <xf numFmtId="0" fontId="0" fillId="3" borderId="27" xfId="0" applyFill="1" applyBorder="1" applyAlignment="1" applyProtection="1">
      <alignment horizontal="center"/>
    </xf>
    <xf numFmtId="165" fontId="0" fillId="3" borderId="12" xfId="0" applyNumberFormat="1" applyFill="1" applyBorder="1" applyAlignment="1" applyProtection="1">
      <alignment horizontal="center"/>
    </xf>
    <xf numFmtId="165" fontId="0" fillId="3" borderId="26" xfId="0" applyNumberFormat="1" applyFill="1" applyBorder="1" applyAlignment="1" applyProtection="1">
      <alignment horizontal="center"/>
    </xf>
    <xf numFmtId="165" fontId="0" fillId="3" borderId="27" xfId="0" applyNumberFormat="1" applyFill="1" applyBorder="1" applyAlignment="1" applyProtection="1">
      <alignment horizontal="center"/>
    </xf>
    <xf numFmtId="165" fontId="17" fillId="6" borderId="25" xfId="0" applyNumberFormat="1" applyFont="1" applyFill="1" applyBorder="1" applyAlignment="1" applyProtection="1">
      <alignment horizontal="center"/>
    </xf>
    <xf numFmtId="0" fontId="17" fillId="6" borderId="51" xfId="0" applyFont="1" applyFill="1" applyBorder="1" applyAlignment="1" applyProtection="1">
      <alignment horizontal="center"/>
    </xf>
    <xf numFmtId="0" fontId="0" fillId="0" borderId="0" xfId="0" applyFill="1" applyBorder="1" applyAlignment="1" applyProtection="1"/>
    <xf numFmtId="0" fontId="5" fillId="3" borderId="39" xfId="0" applyFont="1" applyFill="1" applyBorder="1" applyAlignment="1" applyProtection="1">
      <alignment horizontal="left"/>
    </xf>
    <xf numFmtId="0" fontId="5" fillId="11" borderId="23" xfId="0" applyFont="1" applyFill="1" applyBorder="1" applyAlignment="1">
      <alignment horizontal="center"/>
    </xf>
    <xf numFmtId="0" fontId="50" fillId="18" borderId="13" xfId="0" applyFont="1" applyFill="1" applyBorder="1" applyAlignment="1" applyProtection="1">
      <alignment horizontal="center"/>
      <protection locked="0"/>
    </xf>
    <xf numFmtId="0" fontId="50" fillId="18" borderId="14" xfId="0"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0" fillId="3" borderId="23" xfId="0" applyFill="1" applyBorder="1" applyAlignment="1" applyProtection="1">
      <alignment horizontal="left"/>
    </xf>
    <xf numFmtId="1" fontId="19" fillId="7" borderId="23" xfId="0" applyNumberFormat="1" applyFont="1" applyFill="1" applyBorder="1" applyAlignment="1" applyProtection="1">
      <alignment horizontal="center"/>
    </xf>
    <xf numFmtId="0" fontId="12" fillId="12" borderId="4" xfId="1" applyFill="1" applyBorder="1" applyAlignment="1" applyProtection="1">
      <alignment horizontal="left"/>
      <protection locked="0"/>
    </xf>
    <xf numFmtId="0" fontId="12" fillId="12" borderId="5" xfId="1" applyFill="1" applyBorder="1" applyAlignment="1" applyProtection="1">
      <alignment horizontal="left"/>
      <protection locked="0"/>
    </xf>
    <xf numFmtId="0" fontId="12" fillId="12" borderId="4" xfId="1" applyFill="1" applyBorder="1" applyAlignment="1" applyProtection="1">
      <protection locked="0"/>
    </xf>
    <xf numFmtId="0" fontId="12" fillId="12" borderId="5" xfId="1" applyFill="1" applyBorder="1" applyAlignment="1" applyProtection="1">
      <protection locked="0"/>
    </xf>
    <xf numFmtId="2" fontId="0" fillId="2" borderId="4" xfId="0" applyNumberFormat="1" applyFill="1" applyBorder="1" applyAlignment="1">
      <alignment vertical="center"/>
    </xf>
    <xf numFmtId="0" fontId="14" fillId="9" borderId="24" xfId="0" applyFont="1" applyFill="1" applyBorder="1" applyAlignment="1">
      <alignment horizontal="center"/>
    </xf>
    <xf numFmtId="0" fontId="14" fillId="9" borderId="24" xfId="0" applyFont="1" applyFill="1" applyBorder="1"/>
    <xf numFmtId="0" fontId="5" fillId="11" borderId="22" xfId="0" applyFont="1" applyFill="1" applyBorder="1" applyAlignment="1">
      <alignment horizontal="left"/>
    </xf>
    <xf numFmtId="0" fontId="5" fillId="8" borderId="22" xfId="0" applyFont="1" applyFill="1" applyBorder="1" applyAlignment="1">
      <alignment horizontal="left"/>
    </xf>
    <xf numFmtId="0" fontId="5" fillId="8" borderId="22" xfId="0" applyFont="1" applyFill="1" applyBorder="1" applyAlignment="1">
      <alignment horizontal="center"/>
    </xf>
    <xf numFmtId="0" fontId="0" fillId="4" borderId="9" xfId="0" applyFill="1" applyBorder="1" applyAlignment="1">
      <alignment horizontal="center" vertical="center"/>
    </xf>
    <xf numFmtId="0" fontId="0" fillId="4" borderId="25" xfId="0" applyFill="1" applyBorder="1" applyAlignment="1">
      <alignment horizontal="center" vertical="center"/>
    </xf>
    <xf numFmtId="0" fontId="12" fillId="3" borderId="22" xfId="1" applyFont="1" applyFill="1" applyBorder="1" applyAlignment="1" applyProtection="1"/>
    <xf numFmtId="0" fontId="27" fillId="3" borderId="9" xfId="0" applyFont="1" applyFill="1" applyBorder="1" applyAlignment="1" applyProtection="1">
      <alignment horizontal="left" vertical="center"/>
    </xf>
    <xf numFmtId="0" fontId="27" fillId="3" borderId="24" xfId="0" applyFont="1" applyFill="1" applyBorder="1" applyProtection="1"/>
    <xf numFmtId="0" fontId="27" fillId="3" borderId="21" xfId="0" applyFont="1" applyFill="1" applyBorder="1" applyAlignment="1" applyProtection="1">
      <alignment horizontal="left" vertical="center"/>
    </xf>
    <xf numFmtId="0" fontId="27" fillId="3" borderId="25" xfId="0" applyFont="1" applyFill="1" applyBorder="1" applyProtection="1"/>
    <xf numFmtId="0" fontId="27" fillId="3" borderId="22" xfId="0" applyFont="1" applyFill="1" applyBorder="1" applyProtection="1"/>
    <xf numFmtId="0" fontId="6" fillId="6" borderId="16" xfId="0" applyFont="1" applyFill="1" applyBorder="1" applyAlignment="1" applyProtection="1">
      <alignment horizontal="center"/>
    </xf>
    <xf numFmtId="0" fontId="6" fillId="6" borderId="12" xfId="0" applyFont="1" applyFill="1" applyBorder="1" applyAlignment="1" applyProtection="1">
      <alignment horizontal="center"/>
    </xf>
    <xf numFmtId="1" fontId="7" fillId="6" borderId="12" xfId="0" applyNumberFormat="1" applyFont="1" applyFill="1" applyBorder="1" applyAlignment="1" applyProtection="1">
      <alignment horizontal="center"/>
    </xf>
    <xf numFmtId="0" fontId="6" fillId="6" borderId="18" xfId="0" applyFont="1" applyFill="1" applyBorder="1" applyAlignment="1" applyProtection="1">
      <alignment horizontal="center"/>
    </xf>
    <xf numFmtId="1" fontId="6" fillId="6" borderId="26" xfId="0" applyNumberFormat="1" applyFont="1" applyFill="1" applyBorder="1" applyAlignment="1" applyProtection="1">
      <alignment horizontal="center"/>
    </xf>
    <xf numFmtId="1" fontId="7" fillId="6" borderId="26" xfId="0" applyNumberFormat="1" applyFont="1" applyFill="1" applyBorder="1" applyAlignment="1" applyProtection="1">
      <alignment horizontal="center"/>
    </xf>
    <xf numFmtId="0" fontId="6" fillId="6" borderId="23" xfId="0" applyFont="1" applyFill="1" applyBorder="1" applyAlignment="1" applyProtection="1">
      <alignment horizontal="center"/>
    </xf>
    <xf numFmtId="1" fontId="6" fillId="6" borderId="27" xfId="0" applyNumberFormat="1" applyFont="1" applyFill="1" applyBorder="1" applyAlignment="1" applyProtection="1">
      <alignment horizontal="center"/>
    </xf>
    <xf numFmtId="1" fontId="7" fillId="6" borderId="27" xfId="0" applyNumberFormat="1" applyFont="1" applyFill="1" applyBorder="1" applyAlignment="1" applyProtection="1">
      <alignment horizontal="center"/>
    </xf>
    <xf numFmtId="0" fontId="14" fillId="9" borderId="16" xfId="0" applyFont="1" applyFill="1" applyBorder="1" applyProtection="1"/>
    <xf numFmtId="0" fontId="18" fillId="3" borderId="21" xfId="0" applyFont="1" applyFill="1" applyBorder="1" applyProtection="1"/>
    <xf numFmtId="0" fontId="0" fillId="3" borderId="43" xfId="0" applyFill="1" applyBorder="1" applyProtection="1"/>
    <xf numFmtId="0" fontId="0" fillId="11" borderId="45" xfId="0" applyFill="1" applyBorder="1" applyAlignment="1" applyProtection="1">
      <alignment horizontal="center" vertical="center"/>
    </xf>
    <xf numFmtId="0" fontId="0" fillId="11" borderId="7" xfId="0" applyFill="1" applyBorder="1" applyAlignment="1" applyProtection="1">
      <alignment horizontal="center" vertical="center"/>
    </xf>
    <xf numFmtId="0" fontId="0" fillId="8" borderId="7" xfId="0" applyFill="1" applyBorder="1" applyAlignment="1" applyProtection="1">
      <alignment horizontal="center" vertical="center"/>
    </xf>
    <xf numFmtId="0" fontId="5" fillId="3" borderId="44" xfId="0" applyFont="1" applyFill="1" applyBorder="1" applyProtection="1"/>
    <xf numFmtId="2" fontId="0" fillId="6" borderId="0" xfId="0" applyNumberFormat="1" applyFill="1" applyBorder="1" applyAlignment="1" applyProtection="1">
      <alignment horizontal="center"/>
    </xf>
    <xf numFmtId="2" fontId="0" fillId="6" borderId="9" xfId="0" applyNumberFormat="1" applyFill="1" applyBorder="1" applyAlignment="1" applyProtection="1">
      <alignment horizontal="center"/>
    </xf>
    <xf numFmtId="2" fontId="0" fillId="6" borderId="16" xfId="0" applyNumberFormat="1" applyFill="1" applyBorder="1" applyAlignment="1" applyProtection="1">
      <alignment horizontal="center"/>
    </xf>
    <xf numFmtId="2" fontId="0" fillId="6" borderId="21" xfId="0" applyNumberFormat="1" applyFill="1" applyBorder="1" applyAlignment="1" applyProtection="1">
      <alignment horizontal="center"/>
    </xf>
    <xf numFmtId="2" fontId="0" fillId="6" borderId="18" xfId="0" applyNumberFormat="1" applyFill="1" applyBorder="1" applyAlignment="1" applyProtection="1">
      <alignment horizontal="center"/>
    </xf>
    <xf numFmtId="167" fontId="0" fillId="6" borderId="23" xfId="0" applyNumberFormat="1" applyFill="1" applyBorder="1" applyAlignment="1" applyProtection="1">
      <alignment horizontal="center"/>
    </xf>
    <xf numFmtId="2" fontId="0" fillId="6" borderId="22" xfId="0" applyNumberFormat="1" applyFill="1" applyBorder="1" applyAlignment="1" applyProtection="1">
      <alignment horizontal="center"/>
    </xf>
    <xf numFmtId="2" fontId="0" fillId="6" borderId="25" xfId="0" applyNumberFormat="1" applyFill="1" applyBorder="1" applyAlignment="1" applyProtection="1">
      <alignment horizontal="center"/>
    </xf>
    <xf numFmtId="2" fontId="0" fillId="6" borderId="23" xfId="0" applyNumberFormat="1" applyFill="1" applyBorder="1" applyAlignment="1" applyProtection="1">
      <alignment horizontal="center"/>
    </xf>
    <xf numFmtId="0" fontId="4" fillId="4" borderId="9" xfId="0" applyFont="1" applyFill="1" applyBorder="1" applyAlignment="1" applyProtection="1">
      <alignment horizontal="center" vertical="center"/>
    </xf>
    <xf numFmtId="0" fontId="5" fillId="11" borderId="9" xfId="0" applyFont="1" applyFill="1" applyBorder="1" applyAlignment="1" applyProtection="1">
      <alignment horizontal="left"/>
    </xf>
    <xf numFmtId="0" fontId="5" fillId="11" borderId="16" xfId="0" applyFont="1" applyFill="1" applyBorder="1" applyAlignment="1" applyProtection="1">
      <alignment horizontal="center"/>
    </xf>
    <xf numFmtId="0" fontId="5" fillId="8" borderId="24" xfId="0" applyFont="1" applyFill="1" applyBorder="1" applyAlignment="1" applyProtection="1">
      <alignment horizontal="left"/>
    </xf>
    <xf numFmtId="0" fontId="5" fillId="8" borderId="16" xfId="0" applyFont="1" applyFill="1" applyBorder="1" applyAlignment="1" applyProtection="1">
      <alignment horizontal="center"/>
    </xf>
    <xf numFmtId="0" fontId="4" fillId="4" borderId="25" xfId="0" applyFont="1" applyFill="1" applyBorder="1" applyAlignment="1" applyProtection="1">
      <alignment horizontal="center" vertical="center"/>
    </xf>
    <xf numFmtId="0" fontId="0" fillId="11" borderId="25" xfId="0" applyFill="1" applyBorder="1" applyAlignment="1" applyProtection="1">
      <alignment horizontal="center" vertical="center"/>
    </xf>
    <xf numFmtId="0" fontId="0" fillId="11" borderId="23" xfId="0" applyFill="1" applyBorder="1" applyAlignment="1" applyProtection="1">
      <alignment horizontal="left" vertical="center" wrapText="1"/>
    </xf>
    <xf numFmtId="0" fontId="0" fillId="8" borderId="22" xfId="0" applyFill="1" applyBorder="1" applyAlignment="1" applyProtection="1">
      <alignment horizontal="center" vertical="center"/>
    </xf>
    <xf numFmtId="0" fontId="0" fillId="8" borderId="23" xfId="0" applyFill="1" applyBorder="1" applyAlignment="1" applyProtection="1">
      <alignment vertical="center"/>
    </xf>
    <xf numFmtId="0" fontId="0" fillId="3" borderId="23" xfId="0" applyFill="1" applyBorder="1" applyAlignment="1" applyProtection="1">
      <alignment horizontal="center" vertical="center"/>
    </xf>
    <xf numFmtId="0" fontId="4" fillId="6" borderId="17" xfId="0" applyFont="1" applyFill="1" applyBorder="1" applyAlignment="1" applyProtection="1">
      <alignment horizontal="center"/>
    </xf>
    <xf numFmtId="0" fontId="0" fillId="6" borderId="17" xfId="0" applyFill="1" applyBorder="1" applyAlignment="1" applyProtection="1">
      <alignment horizontal="center" vertical="center"/>
    </xf>
    <xf numFmtId="0" fontId="6" fillId="6" borderId="20" xfId="0" applyFont="1" applyFill="1" applyBorder="1" applyAlignment="1" applyProtection="1">
      <alignment horizontal="left"/>
    </xf>
    <xf numFmtId="0" fontId="0" fillId="6" borderId="19" xfId="0" applyFill="1" applyBorder="1" applyAlignment="1" applyProtection="1">
      <alignment horizontal="center" vertical="center"/>
    </xf>
    <xf numFmtId="1" fontId="7" fillId="6" borderId="28" xfId="0" applyNumberFormat="1" applyFont="1" applyFill="1" applyBorder="1" applyAlignment="1" applyProtection="1">
      <alignment horizontal="center"/>
    </xf>
    <xf numFmtId="0" fontId="6" fillId="6" borderId="16" xfId="0" applyFont="1" applyFill="1" applyBorder="1" applyAlignment="1" applyProtection="1">
      <alignment horizontal="left"/>
    </xf>
    <xf numFmtId="0" fontId="0" fillId="6" borderId="24" xfId="0" applyFill="1" applyBorder="1" applyAlignment="1" applyProtection="1">
      <alignment horizontal="center" vertical="center"/>
    </xf>
    <xf numFmtId="1" fontId="0" fillId="2" borderId="0" xfId="0" applyNumberFormat="1" applyFill="1" applyProtection="1"/>
    <xf numFmtId="0" fontId="0" fillId="6" borderId="25" xfId="0" applyFill="1" applyBorder="1" applyProtection="1"/>
    <xf numFmtId="0" fontId="5" fillId="6" borderId="10" xfId="0" applyFont="1" applyFill="1" applyBorder="1" applyAlignment="1" applyProtection="1">
      <alignment horizontal="left"/>
    </xf>
    <xf numFmtId="1" fontId="0" fillId="6" borderId="29" xfId="0" applyNumberFormat="1" applyFill="1" applyBorder="1" applyAlignment="1" applyProtection="1">
      <alignment horizontal="center"/>
    </xf>
    <xf numFmtId="1" fontId="0" fillId="6" borderId="11" xfId="0" applyNumberFormat="1" applyFill="1" applyBorder="1" applyAlignment="1" applyProtection="1">
      <alignment horizontal="center"/>
    </xf>
    <xf numFmtId="0" fontId="33" fillId="2" borderId="0" xfId="0" applyFont="1" applyFill="1" applyBorder="1" applyAlignment="1" applyProtection="1">
      <alignment horizontal="center"/>
    </xf>
    <xf numFmtId="0" fontId="37" fillId="2" borderId="0" xfId="0" applyFont="1" applyFill="1" applyBorder="1" applyProtection="1"/>
    <xf numFmtId="0" fontId="4" fillId="6" borderId="9" xfId="0" applyFont="1" applyFill="1" applyBorder="1" applyAlignment="1" applyProtection="1">
      <alignment horizontal="center"/>
    </xf>
    <xf numFmtId="0" fontId="4" fillId="11" borderId="4" xfId="0" applyFont="1" applyFill="1" applyBorder="1" applyAlignment="1" applyProtection="1">
      <alignment horizontal="center"/>
    </xf>
    <xf numFmtId="0" fontId="5" fillId="11" borderId="17" xfId="0" applyFont="1" applyFill="1" applyBorder="1" applyProtection="1"/>
    <xf numFmtId="0" fontId="0" fillId="11" borderId="20" xfId="0" applyFill="1" applyBorder="1" applyProtection="1"/>
    <xf numFmtId="0" fontId="0" fillId="8" borderId="19" xfId="0" applyFill="1" applyBorder="1" applyProtection="1"/>
    <xf numFmtId="1" fontId="17" fillId="2" borderId="0" xfId="0" applyNumberFormat="1" applyFont="1" applyFill="1" applyAlignment="1" applyProtection="1">
      <alignment horizontal="left"/>
    </xf>
    <xf numFmtId="1" fontId="0" fillId="6" borderId="10" xfId="0" applyNumberFormat="1" applyFill="1" applyBorder="1" applyAlignment="1">
      <alignment horizontal="center"/>
    </xf>
    <xf numFmtId="1" fontId="0" fillId="6" borderId="29" xfId="0" applyNumberFormat="1" applyFill="1" applyBorder="1" applyAlignment="1">
      <alignment horizontal="center"/>
    </xf>
    <xf numFmtId="0" fontId="0" fillId="3" borderId="12" xfId="0" applyFill="1" applyBorder="1" applyAlignment="1" applyProtection="1">
      <alignment horizontal="right"/>
    </xf>
    <xf numFmtId="0" fontId="6" fillId="6" borderId="19" xfId="0" applyFont="1" applyFill="1" applyBorder="1" applyProtection="1"/>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0" fillId="2" borderId="0" xfId="0" applyFill="1" applyAlignment="1" applyProtection="1">
      <alignment horizontal="right"/>
    </xf>
    <xf numFmtId="0" fontId="17" fillId="3" borderId="16" xfId="0" applyFont="1" applyFill="1" applyBorder="1" applyProtection="1"/>
    <xf numFmtId="0" fontId="17" fillId="11" borderId="9" xfId="0" applyFont="1" applyFill="1" applyBorder="1" applyAlignment="1" applyProtection="1">
      <alignment horizontal="center"/>
    </xf>
    <xf numFmtId="0" fontId="17" fillId="8" borderId="16" xfId="0" applyFont="1" applyFill="1" applyBorder="1" applyAlignment="1" applyProtection="1">
      <alignment horizontal="center"/>
    </xf>
    <xf numFmtId="0" fontId="17" fillId="11" borderId="21" xfId="0" applyFont="1" applyFill="1" applyBorder="1" applyAlignment="1" applyProtection="1">
      <alignment horizontal="center"/>
    </xf>
    <xf numFmtId="0" fontId="17" fillId="8" borderId="18" xfId="0" applyFont="1" applyFill="1" applyBorder="1" applyAlignment="1" applyProtection="1">
      <alignment horizontal="center"/>
    </xf>
    <xf numFmtId="165" fontId="17" fillId="6" borderId="16" xfId="0" applyNumberFormat="1" applyFont="1"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17" fillId="2" borderId="39" xfId="0" applyFont="1" applyFill="1" applyBorder="1"/>
    <xf numFmtId="0" fontId="17" fillId="3" borderId="2" xfId="0" applyFont="1" applyFill="1" applyBorder="1" applyAlignment="1"/>
    <xf numFmtId="0" fontId="17" fillId="11" borderId="0" xfId="0" applyFont="1" applyFill="1" applyAlignment="1">
      <alignment horizontal="center" vertical="center" wrapText="1"/>
    </xf>
    <xf numFmtId="0" fontId="17" fillId="8" borderId="0" xfId="0" applyFont="1" applyFill="1" applyAlignment="1">
      <alignment horizontal="center" vertical="center"/>
    </xf>
    <xf numFmtId="0" fontId="17" fillId="2" borderId="0" xfId="0" applyFont="1" applyFill="1" applyAlignment="1">
      <alignment vertical="center"/>
    </xf>
    <xf numFmtId="0" fontId="17" fillId="3" borderId="0" xfId="0" applyFont="1" applyFill="1" applyAlignment="1">
      <alignment horizontal="center" vertical="center"/>
    </xf>
    <xf numFmtId="3" fontId="17" fillId="6" borderId="0" xfId="0" applyNumberFormat="1" applyFont="1" applyFill="1" applyAlignment="1">
      <alignment horizontal="center"/>
    </xf>
    <xf numFmtId="1" fontId="17" fillId="2" borderId="0" xfId="0" applyNumberFormat="1" applyFont="1" applyFill="1"/>
    <xf numFmtId="1" fontId="35" fillId="6" borderId="0" xfId="0" applyNumberFormat="1" applyFont="1" applyFill="1" applyAlignment="1">
      <alignment horizontal="center"/>
    </xf>
    <xf numFmtId="3" fontId="17" fillId="2" borderId="0" xfId="0" applyNumberFormat="1" applyFont="1" applyFill="1"/>
    <xf numFmtId="3" fontId="35" fillId="6" borderId="0" xfId="0" applyNumberFormat="1" applyFont="1" applyFill="1" applyAlignment="1">
      <alignment horizontal="center"/>
    </xf>
    <xf numFmtId="3" fontId="17" fillId="2" borderId="19" xfId="0" applyNumberFormat="1" applyFont="1" applyFill="1" applyBorder="1"/>
    <xf numFmtId="3" fontId="35" fillId="5" borderId="20" xfId="0" applyNumberFormat="1" applyFont="1" applyFill="1" applyBorder="1" applyAlignment="1">
      <alignment horizontal="center"/>
    </xf>
    <xf numFmtId="0" fontId="55" fillId="2" borderId="39" xfId="0" applyFont="1" applyFill="1" applyBorder="1" applyProtection="1"/>
    <xf numFmtId="1" fontId="55" fillId="2" borderId="39" xfId="0" applyNumberFormat="1" applyFont="1" applyFill="1" applyBorder="1" applyAlignment="1" applyProtection="1">
      <alignment horizontal="center"/>
    </xf>
    <xf numFmtId="1" fontId="65" fillId="6" borderId="0" xfId="0" applyNumberFormat="1" applyFont="1" applyFill="1" applyAlignment="1" applyProtection="1">
      <alignment horizontal="center"/>
    </xf>
    <xf numFmtId="1" fontId="65" fillId="5" borderId="20" xfId="0" applyNumberFormat="1" applyFont="1" applyFill="1" applyBorder="1" applyAlignment="1" applyProtection="1">
      <alignment horizontal="center"/>
    </xf>
    <xf numFmtId="1" fontId="55" fillId="2" borderId="19" xfId="0" applyNumberFormat="1" applyFont="1" applyFill="1" applyBorder="1" applyAlignment="1" applyProtection="1">
      <alignment horizontal="center"/>
    </xf>
    <xf numFmtId="1" fontId="56" fillId="5" borderId="29" xfId="0" applyNumberFormat="1" applyFont="1" applyFill="1" applyBorder="1" applyProtection="1"/>
    <xf numFmtId="1" fontId="55" fillId="2" borderId="19" xfId="0" applyNumberFormat="1" applyFont="1" applyFill="1" applyBorder="1" applyProtection="1"/>
    <xf numFmtId="165" fontId="55" fillId="2" borderId="0" xfId="0" applyNumberFormat="1" applyFont="1" applyFill="1" applyBorder="1" applyAlignment="1" applyProtection="1">
      <alignment horizontal="center"/>
    </xf>
    <xf numFmtId="0" fontId="52" fillId="9" borderId="19" xfId="0" applyFont="1" applyFill="1" applyBorder="1" applyProtection="1"/>
    <xf numFmtId="1" fontId="52" fillId="9" borderId="20" xfId="0" applyNumberFormat="1" applyFont="1" applyFill="1" applyBorder="1" applyAlignment="1" applyProtection="1">
      <alignment horizontal="center"/>
    </xf>
    <xf numFmtId="1" fontId="17" fillId="2" borderId="19" xfId="0" applyNumberFormat="1" applyFont="1" applyFill="1" applyBorder="1"/>
    <xf numFmtId="1" fontId="17" fillId="2" borderId="0" xfId="0" applyNumberFormat="1" applyFont="1" applyFill="1" applyBorder="1" applyAlignment="1">
      <alignment horizontal="center"/>
    </xf>
    <xf numFmtId="1" fontId="17" fillId="2" borderId="0" xfId="0" applyNumberFormat="1" applyFont="1" applyFill="1" applyBorder="1"/>
    <xf numFmtId="165" fontId="17" fillId="2" borderId="0" xfId="0" applyNumberFormat="1" applyFont="1" applyFill="1" applyBorder="1" applyAlignment="1">
      <alignment horizontal="center"/>
    </xf>
    <xf numFmtId="0" fontId="14" fillId="7" borderId="20" xfId="0" applyFont="1" applyFill="1" applyBorder="1"/>
    <xf numFmtId="0" fontId="5" fillId="0" borderId="0" xfId="0" applyFont="1"/>
    <xf numFmtId="0" fontId="35" fillId="2" borderId="0" xfId="0" applyFont="1" applyFill="1" applyAlignment="1">
      <alignment horizontal="left"/>
    </xf>
    <xf numFmtId="0" fontId="17" fillId="2" borderId="0" xfId="0" applyFont="1" applyFill="1" applyBorder="1" applyAlignment="1">
      <alignment horizontal="center"/>
    </xf>
    <xf numFmtId="0" fontId="17" fillId="2" borderId="7" xfId="0" applyFont="1" applyFill="1" applyBorder="1" applyAlignment="1">
      <alignment horizontal="center"/>
    </xf>
    <xf numFmtId="0" fontId="17" fillId="3" borderId="18" xfId="0" applyFont="1" applyFill="1" applyBorder="1" applyAlignment="1">
      <alignment horizontal="center"/>
    </xf>
    <xf numFmtId="0" fontId="17" fillId="4" borderId="26" xfId="0" applyFont="1" applyFill="1" applyBorder="1" applyAlignment="1">
      <alignment horizontal="center" vertical="center"/>
    </xf>
    <xf numFmtId="0" fontId="17" fillId="4" borderId="0" xfId="0" applyFont="1" applyFill="1" applyAlignment="1">
      <alignment horizontal="center" vertical="center"/>
    </xf>
    <xf numFmtId="0" fontId="35" fillId="2" borderId="0" xfId="0" applyFont="1" applyFill="1" applyAlignment="1">
      <alignment horizontal="left" vertical="center"/>
    </xf>
    <xf numFmtId="0" fontId="32" fillId="3" borderId="0" xfId="0" applyFont="1" applyFill="1" applyAlignment="1">
      <alignment vertical="center"/>
    </xf>
    <xf numFmtId="0" fontId="17" fillId="11" borderId="0" xfId="0" applyFont="1" applyFill="1" applyBorder="1" applyAlignment="1">
      <alignment horizontal="center" vertical="center"/>
    </xf>
    <xf numFmtId="0" fontId="17" fillId="11" borderId="23" xfId="0" applyFont="1" applyFill="1" applyBorder="1" applyAlignment="1">
      <alignment horizontal="left" vertical="center" wrapText="1"/>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66" fillId="9" borderId="0" xfId="0" applyFont="1" applyFill="1" applyAlignment="1">
      <alignment horizontal="center"/>
    </xf>
    <xf numFmtId="0" fontId="37" fillId="21" borderId="0" xfId="0" applyFont="1" applyFill="1" applyAlignment="1" applyProtection="1">
      <alignment horizontal="center"/>
      <protection locked="0"/>
    </xf>
    <xf numFmtId="1" fontId="66" fillId="9" borderId="0" xfId="0" applyNumberFormat="1" applyFont="1" applyFill="1" applyAlignment="1">
      <alignment horizontal="center"/>
    </xf>
    <xf numFmtId="0" fontId="37" fillId="3" borderId="0" xfId="0" applyFont="1" applyFill="1" applyAlignment="1">
      <alignment horizontal="center"/>
    </xf>
    <xf numFmtId="0" fontId="17" fillId="2" borderId="17" xfId="0" applyFont="1" applyFill="1" applyBorder="1" applyAlignment="1">
      <alignment horizontal="left"/>
    </xf>
    <xf numFmtId="0" fontId="17" fillId="2" borderId="19" xfId="0" applyFont="1" applyFill="1" applyBorder="1" applyAlignment="1">
      <alignment horizontal="right"/>
    </xf>
    <xf numFmtId="0" fontId="17" fillId="2" borderId="0" xfId="0" applyFont="1" applyFill="1" applyBorder="1" applyAlignment="1">
      <alignment horizontal="right"/>
    </xf>
    <xf numFmtId="0" fontId="37" fillId="2" borderId="0" xfId="0" applyFont="1" applyFill="1" applyBorder="1" applyAlignment="1">
      <alignment horizontal="left"/>
    </xf>
    <xf numFmtId="0" fontId="17" fillId="11" borderId="0" xfId="0" applyFont="1" applyFill="1" applyAlignment="1">
      <alignment horizontal="center" vertical="center"/>
    </xf>
    <xf numFmtId="0" fontId="17" fillId="11" borderId="0" xfId="0" applyFont="1" applyFill="1" applyAlignment="1">
      <alignment horizontal="left" vertical="center" wrapText="1"/>
    </xf>
    <xf numFmtId="0" fontId="17" fillId="8" borderId="25" xfId="0" applyFont="1" applyFill="1" applyBorder="1" applyAlignment="1">
      <alignment horizontal="center" vertical="center"/>
    </xf>
    <xf numFmtId="0" fontId="17" fillId="8" borderId="23" xfId="0" applyFont="1" applyFill="1" applyBorder="1" applyAlignment="1">
      <alignment horizontal="left" vertical="center"/>
    </xf>
    <xf numFmtId="0" fontId="17" fillId="2" borderId="25" xfId="0" applyFont="1" applyFill="1" applyBorder="1" applyAlignment="1">
      <alignment horizontal="left"/>
    </xf>
    <xf numFmtId="0" fontId="17" fillId="2" borderId="19" xfId="0" applyFont="1" applyFill="1" applyBorder="1" applyAlignment="1">
      <alignment horizontal="center"/>
    </xf>
    <xf numFmtId="0" fontId="17" fillId="2" borderId="39" xfId="0" applyFont="1" applyFill="1" applyBorder="1" applyAlignment="1"/>
    <xf numFmtId="0" fontId="17" fillId="2" borderId="7" xfId="0" applyFont="1" applyFill="1" applyBorder="1" applyAlignment="1"/>
    <xf numFmtId="0" fontId="17" fillId="11" borderId="30" xfId="0" applyFont="1" applyFill="1" applyBorder="1" applyAlignment="1"/>
    <xf numFmtId="0" fontId="17" fillId="11" borderId="31" xfId="0" applyFont="1" applyFill="1" applyBorder="1" applyAlignment="1"/>
    <xf numFmtId="0" fontId="17" fillId="8" borderId="52" xfId="0" applyFont="1" applyFill="1" applyBorder="1" applyAlignment="1"/>
    <xf numFmtId="0" fontId="17" fillId="8" borderId="31" xfId="0" applyFont="1" applyFill="1" applyBorder="1" applyAlignment="1"/>
    <xf numFmtId="0" fontId="17" fillId="3" borderId="30" xfId="0" applyFont="1" applyFill="1" applyBorder="1" applyAlignment="1"/>
    <xf numFmtId="0" fontId="17" fillId="8" borderId="0" xfId="0" applyFont="1" applyFill="1" applyAlignment="1">
      <alignment horizontal="left" vertical="center"/>
    </xf>
    <xf numFmtId="0" fontId="43" fillId="6" borderId="24" xfId="0" applyFont="1" applyFill="1" applyBorder="1" applyAlignment="1"/>
    <xf numFmtId="0" fontId="43" fillId="6" borderId="16" xfId="0" applyFont="1" applyFill="1" applyBorder="1" applyAlignment="1"/>
    <xf numFmtId="167" fontId="37" fillId="9" borderId="0" xfId="0" applyNumberFormat="1" applyFont="1" applyFill="1" applyAlignment="1"/>
    <xf numFmtId="1" fontId="17" fillId="6" borderId="0" xfId="0" applyNumberFormat="1" applyFont="1" applyFill="1" applyAlignment="1">
      <alignment horizontal="center"/>
    </xf>
    <xf numFmtId="0" fontId="43" fillId="6" borderId="0" xfId="0" applyFont="1" applyFill="1" applyBorder="1" applyAlignment="1"/>
    <xf numFmtId="0" fontId="43" fillId="6" borderId="18" xfId="0" applyFont="1" applyFill="1" applyBorder="1" applyAlignment="1">
      <alignment horizontal="left"/>
    </xf>
    <xf numFmtId="0" fontId="17" fillId="6" borderId="0" xfId="0" applyFont="1" applyFill="1" applyBorder="1" applyAlignment="1">
      <alignment horizontal="left"/>
    </xf>
    <xf numFmtId="0" fontId="43" fillId="6" borderId="22" xfId="0" applyFont="1" applyFill="1" applyBorder="1" applyAlignment="1"/>
    <xf numFmtId="0" fontId="43" fillId="6" borderId="23" xfId="0" applyFont="1" applyFill="1" applyBorder="1" applyAlignment="1">
      <alignment horizontal="left"/>
    </xf>
    <xf numFmtId="0" fontId="43" fillId="6" borderId="18" xfId="0" applyFont="1" applyFill="1" applyBorder="1" applyAlignment="1"/>
    <xf numFmtId="0" fontId="43" fillId="6" borderId="23" xfId="0" applyFont="1" applyFill="1" applyBorder="1" applyAlignment="1"/>
    <xf numFmtId="1" fontId="17" fillId="6" borderId="21" xfId="0" applyNumberFormat="1" applyFont="1" applyFill="1" applyBorder="1" applyAlignment="1" applyProtection="1">
      <alignment horizontal="center"/>
    </xf>
    <xf numFmtId="1" fontId="17" fillId="6" borderId="18" xfId="0" applyNumberFormat="1" applyFont="1" applyFill="1" applyBorder="1" applyAlignment="1" applyProtection="1">
      <alignment horizontal="center"/>
    </xf>
    <xf numFmtId="1" fontId="17" fillId="6" borderId="17" xfId="0" applyNumberFormat="1" applyFont="1" applyFill="1" applyBorder="1" applyAlignment="1" applyProtection="1">
      <alignment horizontal="center"/>
    </xf>
    <xf numFmtId="1" fontId="17" fillId="6" borderId="20" xfId="0" applyNumberFormat="1" applyFont="1" applyFill="1" applyBorder="1" applyAlignment="1" applyProtection="1">
      <alignment horizontal="center"/>
    </xf>
    <xf numFmtId="0" fontId="5" fillId="5" borderId="19" xfId="0" applyFont="1" applyFill="1" applyBorder="1" applyAlignment="1" applyProtection="1">
      <alignment horizontal="left"/>
    </xf>
    <xf numFmtId="1" fontId="5" fillId="5" borderId="19" xfId="0" applyNumberFormat="1" applyFont="1" applyFill="1" applyBorder="1" applyAlignment="1" applyProtection="1">
      <alignment horizontal="center"/>
    </xf>
    <xf numFmtId="0" fontId="5" fillId="5" borderId="19" xfId="0" applyFont="1" applyFill="1" applyBorder="1" applyAlignment="1" applyProtection="1">
      <alignment horizontal="center"/>
    </xf>
    <xf numFmtId="1" fontId="4" fillId="6" borderId="9" xfId="0" applyNumberFormat="1" applyFont="1" applyFill="1" applyBorder="1" applyAlignment="1" applyProtection="1">
      <alignment horizontal="center"/>
    </xf>
    <xf numFmtId="1" fontId="4" fillId="6" borderId="16" xfId="0" applyNumberFormat="1" applyFont="1" applyFill="1" applyBorder="1" applyAlignment="1" applyProtection="1">
      <alignment horizontal="center"/>
    </xf>
    <xf numFmtId="1" fontId="4" fillId="6" borderId="21" xfId="0" applyNumberFormat="1" applyFont="1" applyFill="1" applyBorder="1" applyAlignment="1" applyProtection="1">
      <alignment horizontal="center"/>
    </xf>
    <xf numFmtId="1" fontId="4" fillId="6" borderId="18" xfId="0" applyNumberFormat="1" applyFont="1" applyFill="1" applyBorder="1" applyAlignment="1" applyProtection="1">
      <alignment horizontal="center"/>
    </xf>
    <xf numFmtId="1" fontId="4" fillId="6" borderId="25" xfId="0" applyNumberFormat="1" applyFont="1" applyFill="1" applyBorder="1" applyAlignment="1" applyProtection="1">
      <alignment horizontal="center"/>
    </xf>
    <xf numFmtId="1" fontId="4" fillId="6" borderId="23" xfId="0" applyNumberFormat="1" applyFont="1" applyFill="1" applyBorder="1" applyAlignment="1" applyProtection="1">
      <alignment horizontal="center"/>
    </xf>
    <xf numFmtId="1" fontId="4" fillId="6" borderId="20" xfId="0" applyNumberFormat="1" applyFont="1" applyFill="1" applyBorder="1" applyAlignment="1" applyProtection="1">
      <alignment horizontal="center"/>
    </xf>
    <xf numFmtId="1" fontId="4" fillId="6" borderId="0" xfId="0" applyNumberFormat="1" applyFont="1" applyFill="1" applyBorder="1" applyAlignment="1" applyProtection="1">
      <alignment horizontal="center"/>
    </xf>
    <xf numFmtId="1" fontId="4" fillId="6" borderId="22" xfId="0" applyNumberFormat="1" applyFont="1" applyFill="1" applyBorder="1" applyAlignment="1" applyProtection="1">
      <alignment horizontal="center"/>
    </xf>
    <xf numFmtId="1" fontId="4" fillId="6" borderId="19" xfId="0" applyNumberFormat="1" applyFont="1" applyFill="1" applyBorder="1" applyAlignment="1" applyProtection="1">
      <alignment horizontal="center"/>
    </xf>
    <xf numFmtId="1" fontId="4" fillId="6" borderId="9" xfId="0" applyNumberFormat="1" applyFont="1" applyFill="1" applyBorder="1" applyAlignment="1">
      <alignment horizontal="center"/>
    </xf>
    <xf numFmtId="1" fontId="4" fillId="6" borderId="24" xfId="0" applyNumberFormat="1" applyFont="1" applyFill="1" applyBorder="1" applyAlignment="1">
      <alignment horizontal="center"/>
    </xf>
    <xf numFmtId="1" fontId="4" fillId="6" borderId="16" xfId="0" applyNumberFormat="1" applyFont="1" applyFill="1" applyBorder="1" applyAlignment="1">
      <alignment horizontal="center"/>
    </xf>
    <xf numFmtId="1" fontId="4" fillId="6" borderId="21" xfId="0" applyNumberFormat="1" applyFont="1" applyFill="1" applyBorder="1" applyAlignment="1">
      <alignment horizontal="center"/>
    </xf>
    <xf numFmtId="1" fontId="4" fillId="6" borderId="18" xfId="0" applyNumberFormat="1" applyFont="1" applyFill="1" applyBorder="1" applyAlignment="1">
      <alignment horizontal="center"/>
    </xf>
    <xf numFmtId="1" fontId="4" fillId="6" borderId="25" xfId="0" applyNumberFormat="1" applyFont="1" applyFill="1" applyBorder="1" applyAlignment="1">
      <alignment horizontal="center"/>
    </xf>
    <xf numFmtId="1" fontId="4" fillId="6" borderId="23" xfId="0" applyNumberFormat="1" applyFont="1" applyFill="1" applyBorder="1" applyAlignment="1">
      <alignment horizontal="center"/>
    </xf>
    <xf numFmtId="1" fontId="4" fillId="6" borderId="0" xfId="0" applyNumberFormat="1" applyFont="1" applyFill="1" applyBorder="1" applyAlignment="1">
      <alignment horizontal="center"/>
    </xf>
    <xf numFmtId="1" fontId="4" fillId="6" borderId="22" xfId="0" applyNumberFormat="1" applyFont="1" applyFill="1" applyBorder="1" applyAlignment="1">
      <alignment horizontal="center"/>
    </xf>
    <xf numFmtId="1" fontId="4" fillId="6" borderId="20" xfId="0" applyNumberFormat="1" applyFont="1" applyFill="1" applyBorder="1" applyAlignment="1">
      <alignment horizontal="center"/>
    </xf>
    <xf numFmtId="1" fontId="4" fillId="6" borderId="19" xfId="0" applyNumberFormat="1" applyFont="1" applyFill="1" applyBorder="1" applyAlignment="1">
      <alignment horizontal="center"/>
    </xf>
    <xf numFmtId="1" fontId="4" fillId="6" borderId="17" xfId="0" applyNumberFormat="1" applyFont="1" applyFill="1" applyBorder="1" applyAlignment="1">
      <alignment horizontal="center"/>
    </xf>
    <xf numFmtId="1" fontId="4" fillId="6" borderId="24" xfId="0" applyNumberFormat="1" applyFont="1" applyFill="1" applyBorder="1" applyAlignment="1" applyProtection="1">
      <alignment horizontal="center"/>
    </xf>
    <xf numFmtId="0" fontId="4" fillId="11" borderId="9" xfId="0" applyFont="1" applyFill="1" applyBorder="1" applyAlignment="1" applyProtection="1">
      <alignment horizontal="center"/>
    </xf>
    <xf numFmtId="0" fontId="4" fillId="8" borderId="16" xfId="0" applyFont="1" applyFill="1" applyBorder="1" applyAlignment="1" applyProtection="1">
      <alignment horizontal="center"/>
    </xf>
    <xf numFmtId="0" fontId="4" fillId="11" borderId="21" xfId="0" applyFont="1" applyFill="1" applyBorder="1" applyAlignment="1" applyProtection="1">
      <alignment horizontal="center"/>
    </xf>
    <xf numFmtId="0" fontId="4" fillId="8" borderId="18" xfId="0" applyFont="1" applyFill="1" applyBorder="1" applyAlignment="1" applyProtection="1">
      <alignment horizontal="center"/>
    </xf>
    <xf numFmtId="0" fontId="4" fillId="11" borderId="9" xfId="0" applyFont="1" applyFill="1" applyBorder="1" applyAlignment="1">
      <alignment horizontal="center"/>
    </xf>
    <xf numFmtId="0" fontId="4" fillId="8" borderId="16" xfId="0" applyFont="1" applyFill="1" applyBorder="1" applyAlignment="1">
      <alignment horizontal="center"/>
    </xf>
    <xf numFmtId="0" fontId="4" fillId="11" borderId="21" xfId="0" applyFont="1" applyFill="1" applyBorder="1" applyAlignment="1">
      <alignment horizontal="center"/>
    </xf>
    <xf numFmtId="0" fontId="4" fillId="8" borderId="18" xfId="0" applyFont="1" applyFill="1" applyBorder="1" applyAlignment="1">
      <alignment horizontal="center"/>
    </xf>
    <xf numFmtId="1" fontId="17" fillId="6" borderId="24"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 fontId="17" fillId="6" borderId="22" xfId="0" applyNumberFormat="1" applyFont="1" applyFill="1" applyBorder="1" applyAlignment="1" applyProtection="1">
      <alignment horizontal="center"/>
    </xf>
    <xf numFmtId="0" fontId="0" fillId="6" borderId="20" xfId="0" applyFill="1" applyBorder="1" applyAlignment="1" applyProtection="1">
      <alignment horizontal="center"/>
    </xf>
    <xf numFmtId="0" fontId="6" fillId="6" borderId="24" xfId="0" applyFont="1" applyFill="1" applyBorder="1"/>
    <xf numFmtId="0" fontId="6" fillId="6" borderId="19" xfId="0" applyFont="1" applyFill="1" applyBorder="1"/>
    <xf numFmtId="0" fontId="6" fillId="6" borderId="22" xfId="0" applyFont="1" applyFill="1" applyBorder="1"/>
    <xf numFmtId="0" fontId="6" fillId="6" borderId="24" xfId="0" applyFont="1" applyFill="1" applyBorder="1" applyProtection="1"/>
    <xf numFmtId="1" fontId="17" fillId="6" borderId="9" xfId="0" applyNumberFormat="1" applyFont="1" applyFill="1" applyBorder="1" applyAlignment="1">
      <alignment horizontal="center"/>
    </xf>
    <xf numFmtId="1" fontId="17" fillId="6" borderId="21" xfId="0" applyNumberFormat="1" applyFont="1" applyFill="1" applyBorder="1" applyAlignment="1">
      <alignment horizontal="center"/>
    </xf>
    <xf numFmtId="1" fontId="17" fillId="6" borderId="25" xfId="0" applyNumberFormat="1" applyFont="1" applyFill="1" applyBorder="1" applyAlignment="1">
      <alignment horizontal="center"/>
    </xf>
    <xf numFmtId="1" fontId="4" fillId="6" borderId="17" xfId="0" applyNumberFormat="1" applyFont="1" applyFill="1" applyBorder="1" applyAlignment="1" applyProtection="1">
      <alignment horizontal="center"/>
    </xf>
    <xf numFmtId="1" fontId="17" fillId="6" borderId="19" xfId="0" applyNumberFormat="1" applyFont="1" applyFill="1" applyBorder="1" applyAlignment="1" applyProtection="1">
      <alignment horizontal="center"/>
    </xf>
    <xf numFmtId="0" fontId="40" fillId="2" borderId="0" xfId="0" applyFont="1" applyFill="1" applyProtection="1"/>
    <xf numFmtId="0" fontId="4" fillId="6" borderId="3" xfId="0" applyFont="1" applyFill="1" applyBorder="1" applyProtection="1"/>
    <xf numFmtId="1" fontId="7" fillId="6" borderId="6" xfId="0" applyNumberFormat="1" applyFont="1" applyFill="1" applyBorder="1" applyAlignment="1" applyProtection="1">
      <alignment horizontal="left"/>
    </xf>
    <xf numFmtId="0" fontId="7" fillId="6" borderId="7" xfId="0" applyFont="1" applyFill="1" applyBorder="1" applyAlignment="1" applyProtection="1"/>
    <xf numFmtId="0" fontId="4" fillId="6" borderId="2" xfId="0" applyFont="1" applyFill="1" applyBorder="1" applyProtection="1"/>
    <xf numFmtId="0" fontId="4" fillId="6" borderId="7" xfId="0" applyFont="1" applyFill="1" applyBorder="1" applyProtection="1"/>
    <xf numFmtId="168" fontId="7" fillId="6" borderId="8" xfId="3" applyNumberFormat="1" applyFont="1" applyFill="1" applyBorder="1" applyAlignment="1" applyProtection="1">
      <alignment horizontal="center"/>
    </xf>
    <xf numFmtId="0" fontId="67" fillId="2" borderId="0" xfId="0" applyFont="1" applyFill="1"/>
    <xf numFmtId="0" fontId="5" fillId="3" borderId="52" xfId="0" applyFont="1" applyFill="1" applyBorder="1"/>
    <xf numFmtId="0" fontId="33" fillId="2" borderId="0" xfId="0" applyFont="1" applyFill="1" applyBorder="1" applyProtection="1"/>
    <xf numFmtId="0" fontId="20" fillId="2" borderId="0" xfId="0" applyFont="1" applyFill="1"/>
    <xf numFmtId="0" fontId="67" fillId="2" borderId="0" xfId="0" applyFont="1" applyFill="1" applyProtection="1"/>
    <xf numFmtId="0" fontId="67" fillId="2" borderId="0" xfId="0" applyFont="1" applyFill="1" applyAlignment="1" applyProtection="1">
      <alignment horizontal="center"/>
    </xf>
    <xf numFmtId="0" fontId="5" fillId="23" borderId="10" xfId="0" applyFont="1" applyFill="1" applyBorder="1" applyProtection="1"/>
    <xf numFmtId="0" fontId="5" fillId="23" borderId="29" xfId="0" applyFont="1" applyFill="1" applyBorder="1" applyProtection="1"/>
    <xf numFmtId="0" fontId="5" fillId="23" borderId="11" xfId="0" applyFont="1" applyFill="1" applyBorder="1" applyProtection="1"/>
    <xf numFmtId="0" fontId="0" fillId="6" borderId="2" xfId="0" applyFill="1" applyBorder="1" applyAlignment="1" applyProtection="1"/>
    <xf numFmtId="0" fontId="0" fillId="6" borderId="3" xfId="0" applyFill="1" applyBorder="1" applyAlignment="1" applyProtection="1"/>
    <xf numFmtId="0" fontId="0" fillId="6" borderId="15" xfId="0" applyFill="1" applyBorder="1" applyAlignment="1" applyProtection="1">
      <alignment horizontal="center"/>
    </xf>
    <xf numFmtId="0" fontId="0" fillId="6" borderId="4" xfId="0" applyFill="1" applyBorder="1" applyProtection="1"/>
    <xf numFmtId="0" fontId="0" fillId="6" borderId="5" xfId="0" applyFill="1" applyBorder="1" applyProtection="1"/>
    <xf numFmtId="0" fontId="0" fillId="6" borderId="13" xfId="0" applyFill="1" applyBorder="1" applyAlignment="1" applyProtection="1">
      <alignment horizontal="center"/>
    </xf>
    <xf numFmtId="0" fontId="0" fillId="6" borderId="5" xfId="0" applyFill="1" applyBorder="1" applyAlignment="1" applyProtection="1">
      <alignment horizontal="left"/>
    </xf>
    <xf numFmtId="0" fontId="0" fillId="6" borderId="6" xfId="0" applyFill="1" applyBorder="1" applyProtection="1"/>
    <xf numFmtId="0" fontId="0" fillId="6" borderId="8" xfId="0" applyFill="1" applyBorder="1" applyProtection="1"/>
    <xf numFmtId="0" fontId="0" fillId="6" borderId="14" xfId="0" applyFill="1" applyBorder="1" applyAlignment="1" applyProtection="1">
      <alignment horizontal="center"/>
    </xf>
    <xf numFmtId="0" fontId="0" fillId="8" borderId="5" xfId="0" applyFill="1" applyBorder="1" applyAlignment="1" applyProtection="1">
      <alignment horizontal="center"/>
    </xf>
    <xf numFmtId="1" fontId="0" fillId="6" borderId="5" xfId="0" applyNumberFormat="1" applyFill="1" applyBorder="1" applyAlignment="1" applyProtection="1">
      <alignment horizontal="center"/>
    </xf>
    <xf numFmtId="0" fontId="12" fillId="12" borderId="4" xfId="1" applyFill="1" applyBorder="1" applyAlignment="1" applyProtection="1">
      <alignment horizontal="left"/>
    </xf>
    <xf numFmtId="0" fontId="12" fillId="12" borderId="5" xfId="1" applyFill="1" applyBorder="1" applyAlignment="1" applyProtection="1">
      <alignment horizontal="left"/>
    </xf>
    <xf numFmtId="1" fontId="0" fillId="3" borderId="4" xfId="0" applyNumberFormat="1" applyFill="1" applyBorder="1" applyAlignment="1" applyProtection="1">
      <alignment horizontal="center"/>
    </xf>
    <xf numFmtId="1" fontId="0" fillId="3" borderId="5" xfId="0" applyNumberFormat="1" applyFill="1" applyBorder="1" applyAlignment="1" applyProtection="1">
      <alignment horizontal="center"/>
    </xf>
    <xf numFmtId="1" fontId="0" fillId="6" borderId="8" xfId="0" applyNumberFormat="1" applyFill="1" applyBorder="1" applyAlignment="1" applyProtection="1">
      <alignment horizontal="center"/>
    </xf>
    <xf numFmtId="0" fontId="5" fillId="6" borderId="41" xfId="0" applyFont="1" applyFill="1" applyBorder="1" applyProtection="1"/>
    <xf numFmtId="0" fontId="6" fillId="6" borderId="26" xfId="0" applyFont="1" applyFill="1" applyBorder="1" applyAlignment="1" applyProtection="1">
      <alignment horizontal="center"/>
    </xf>
    <xf numFmtId="0" fontId="6" fillId="6" borderId="27" xfId="0" applyFont="1" applyFill="1" applyBorder="1" applyAlignment="1" applyProtection="1">
      <alignment horizontal="center"/>
    </xf>
    <xf numFmtId="0" fontId="4" fillId="6" borderId="22" xfId="0" applyFont="1" applyFill="1" applyBorder="1" applyAlignment="1" applyProtection="1">
      <alignment horizontal="center"/>
    </xf>
    <xf numFmtId="0" fontId="0" fillId="11" borderId="22" xfId="0" applyFill="1" applyBorder="1" applyAlignment="1">
      <alignment horizontal="left" vertical="center" wrapText="1"/>
    </xf>
    <xf numFmtId="0" fontId="17" fillId="6" borderId="19" xfId="0" applyFont="1" applyFill="1" applyBorder="1" applyAlignment="1" applyProtection="1">
      <alignment horizontal="left"/>
      <protection locked="0"/>
    </xf>
    <xf numFmtId="165" fontId="0" fillId="2" borderId="0" xfId="0" applyNumberFormat="1" applyFill="1" applyProtection="1"/>
    <xf numFmtId="165" fontId="17" fillId="6" borderId="18" xfId="0" applyNumberFormat="1" applyFont="1" applyFill="1" applyBorder="1" applyAlignment="1">
      <alignment horizontal="center"/>
    </xf>
    <xf numFmtId="165" fontId="17" fillId="6" borderId="23" xfId="0" applyNumberFormat="1" applyFont="1" applyFill="1" applyBorder="1" applyAlignment="1">
      <alignment horizontal="center"/>
    </xf>
    <xf numFmtId="0" fontId="17" fillId="18" borderId="8" xfId="0" applyFont="1" applyFill="1" applyBorder="1" applyAlignment="1" applyProtection="1">
      <alignment horizontal="center"/>
      <protection locked="0"/>
    </xf>
    <xf numFmtId="0" fontId="17" fillId="3" borderId="30" xfId="0" applyFont="1" applyFill="1" applyBorder="1" applyAlignment="1">
      <alignment horizontal="center"/>
    </xf>
    <xf numFmtId="0" fontId="19" fillId="9" borderId="0" xfId="0" applyFont="1" applyFill="1"/>
    <xf numFmtId="0" fontId="17" fillId="3" borderId="22" xfId="0" applyFont="1" applyFill="1" applyBorder="1"/>
    <xf numFmtId="0" fontId="58" fillId="21" borderId="0" xfId="0" applyFont="1" applyFill="1" applyAlignment="1" applyProtection="1">
      <alignment horizontal="center"/>
      <protection locked="0"/>
    </xf>
    <xf numFmtId="0" fontId="0" fillId="3" borderId="24" xfId="0" applyFill="1" applyBorder="1" applyAlignment="1" applyProtection="1">
      <alignment horizontal="left" vertical="center"/>
    </xf>
    <xf numFmtId="0" fontId="55" fillId="3" borderId="0" xfId="0" applyFont="1" applyFill="1" applyBorder="1" applyAlignment="1" applyProtection="1">
      <alignment horizontal="center"/>
    </xf>
    <xf numFmtId="0" fontId="55" fillId="3" borderId="21" xfId="0" applyFont="1" applyFill="1" applyBorder="1" applyAlignment="1" applyProtection="1">
      <alignment horizontal="center"/>
    </xf>
    <xf numFmtId="0" fontId="0" fillId="9" borderId="0" xfId="0" applyFill="1"/>
    <xf numFmtId="2" fontId="57" fillId="9" borderId="0" xfId="0" applyNumberFormat="1" applyFont="1" applyFill="1" applyAlignment="1" applyProtection="1">
      <alignment horizontal="center"/>
    </xf>
    <xf numFmtId="2" fontId="0" fillId="11" borderId="0" xfId="0" applyNumberFormat="1" applyFill="1" applyAlignment="1">
      <alignment horizontal="center"/>
    </xf>
    <xf numFmtId="0" fontId="0" fillId="3" borderId="18" xfId="0" applyFill="1" applyBorder="1"/>
    <xf numFmtId="0" fontId="0" fillId="21" borderId="21" xfId="0" applyFill="1" applyBorder="1" applyAlignment="1">
      <alignment horizontal="center"/>
    </xf>
    <xf numFmtId="0" fontId="0" fillId="21" borderId="25" xfId="0" applyFill="1" applyBorder="1" applyAlignment="1">
      <alignment horizontal="center"/>
    </xf>
    <xf numFmtId="2" fontId="57" fillId="9" borderId="9" xfId="0" applyNumberFormat="1" applyFont="1" applyFill="1" applyBorder="1" applyAlignment="1" applyProtection="1">
      <alignment horizontal="center"/>
    </xf>
    <xf numFmtId="0" fontId="55" fillId="21" borderId="24" xfId="0" applyFont="1" applyFill="1" applyBorder="1" applyAlignment="1" applyProtection="1">
      <alignment horizontal="center"/>
      <protection locked="0"/>
    </xf>
    <xf numFmtId="2" fontId="57" fillId="9" borderId="25" xfId="0" applyNumberFormat="1" applyFont="1" applyFill="1" applyBorder="1" applyAlignment="1" applyProtection="1">
      <alignment horizontal="center"/>
    </xf>
    <xf numFmtId="0" fontId="55" fillId="21" borderId="22" xfId="0" applyFont="1" applyFill="1" applyBorder="1" applyAlignment="1" applyProtection="1">
      <alignment horizontal="center"/>
      <protection locked="0"/>
    </xf>
    <xf numFmtId="0" fontId="17" fillId="6" borderId="9" xfId="0" applyFont="1" applyFill="1" applyBorder="1" applyAlignment="1" applyProtection="1">
      <alignment horizontal="center"/>
      <protection locked="0"/>
    </xf>
    <xf numFmtId="0" fontId="17" fillId="6" borderId="24" xfId="0" applyFont="1" applyFill="1" applyBorder="1" applyAlignment="1" applyProtection="1">
      <alignment horizontal="center"/>
      <protection locked="0"/>
    </xf>
    <xf numFmtId="0" fontId="17" fillId="6" borderId="25" xfId="0" applyFont="1" applyFill="1" applyBorder="1" applyAlignment="1" applyProtection="1">
      <alignment horizontal="center"/>
      <protection locked="0"/>
    </xf>
    <xf numFmtId="0" fontId="17" fillId="6" borderId="22" xfId="0" applyFont="1" applyFill="1" applyBorder="1" applyAlignment="1" applyProtection="1">
      <alignment horizontal="center"/>
      <protection locked="0"/>
    </xf>
    <xf numFmtId="3" fontId="5" fillId="5" borderId="29" xfId="0" applyNumberFormat="1" applyFont="1" applyFill="1" applyBorder="1" applyAlignment="1">
      <alignment horizontal="center"/>
    </xf>
    <xf numFmtId="0" fontId="17" fillId="3" borderId="28" xfId="0" applyFont="1" applyFill="1" applyBorder="1"/>
    <xf numFmtId="0" fontId="17" fillId="3" borderId="26" xfId="0" applyFont="1" applyFill="1" applyBorder="1" applyAlignment="1">
      <alignment horizontal="center"/>
    </xf>
    <xf numFmtId="0" fontId="17" fillId="3" borderId="27" xfId="0" applyFont="1" applyFill="1" applyBorder="1" applyAlignment="1">
      <alignment horizontal="center" vertical="center"/>
    </xf>
    <xf numFmtId="0" fontId="0" fillId="6" borderId="19" xfId="0" applyFill="1" applyBorder="1"/>
    <xf numFmtId="0" fontId="0" fillId="6" borderId="20" xfId="0" applyFill="1" applyBorder="1" applyAlignment="1">
      <alignment horizontal="center"/>
    </xf>
    <xf numFmtId="0" fontId="12" fillId="26" borderId="5" xfId="1" applyFill="1" applyBorder="1" applyAlignment="1" applyProtection="1">
      <alignment horizontal="left"/>
    </xf>
    <xf numFmtId="0" fontId="34" fillId="26" borderId="32" xfId="1" applyFont="1" applyFill="1" applyBorder="1" applyAlignment="1" applyProtection="1"/>
    <xf numFmtId="0" fontId="0" fillId="6" borderId="1" xfId="0" applyFill="1" applyBorder="1" applyProtection="1"/>
    <xf numFmtId="0" fontId="17" fillId="6" borderId="8" xfId="0" applyFont="1" applyFill="1" applyBorder="1" applyAlignment="1" applyProtection="1">
      <alignment horizontal="center"/>
    </xf>
    <xf numFmtId="0" fontId="17" fillId="6" borderId="3" xfId="0" applyFont="1" applyFill="1" applyBorder="1" applyAlignment="1" applyProtection="1">
      <alignment horizontal="center"/>
    </xf>
    <xf numFmtId="0" fontId="0" fillId="26" borderId="29" xfId="0" applyFill="1" applyBorder="1" applyProtection="1"/>
    <xf numFmtId="0" fontId="19" fillId="26" borderId="10" xfId="0" applyFont="1" applyFill="1" applyBorder="1" applyProtection="1"/>
    <xf numFmtId="0" fontId="5" fillId="23" borderId="1" xfId="0" applyFont="1" applyFill="1" applyBorder="1" applyProtection="1"/>
    <xf numFmtId="0" fontId="0" fillId="23" borderId="2" xfId="0" applyFill="1" applyBorder="1" applyProtection="1"/>
    <xf numFmtId="0" fontId="0" fillId="23" borderId="3" xfId="0" applyFill="1" applyBorder="1" applyProtection="1"/>
    <xf numFmtId="0" fontId="0" fillId="6" borderId="7" xfId="0" applyFill="1" applyBorder="1" applyProtection="1"/>
    <xf numFmtId="0" fontId="5" fillId="23" borderId="1" xfId="0" applyFont="1" applyFill="1" applyBorder="1"/>
    <xf numFmtId="0" fontId="0" fillId="23" borderId="2" xfId="0" applyFill="1" applyBorder="1"/>
    <xf numFmtId="0" fontId="0" fillId="6" borderId="41" xfId="0" applyFill="1" applyBorder="1" applyAlignment="1" applyProtection="1">
      <alignment horizontal="center"/>
    </xf>
    <xf numFmtId="1" fontId="0" fillId="6" borderId="4" xfId="0" quotePrefix="1" applyNumberFormat="1" applyFill="1" applyBorder="1" applyAlignment="1">
      <alignment horizontal="center"/>
    </xf>
    <xf numFmtId="1" fontId="63" fillId="25" borderId="4" xfId="0" quotePrefix="1" applyNumberFormat="1" applyFont="1" applyFill="1" applyBorder="1" applyAlignment="1">
      <alignment horizontal="center"/>
    </xf>
    <xf numFmtId="1" fontId="63" fillId="8" borderId="4" xfId="0" quotePrefix="1" applyNumberFormat="1" applyFont="1" applyFill="1" applyBorder="1" applyAlignment="1">
      <alignment horizontal="center"/>
    </xf>
    <xf numFmtId="1" fontId="40" fillId="15" borderId="0" xfId="0" applyNumberFormat="1" applyFont="1" applyFill="1"/>
    <xf numFmtId="167" fontId="19" fillId="3" borderId="24" xfId="0" applyNumberFormat="1" applyFont="1" applyFill="1" applyBorder="1" applyAlignment="1" applyProtection="1">
      <alignment horizontal="center"/>
      <protection locked="0"/>
    </xf>
    <xf numFmtId="0" fontId="17" fillId="3" borderId="24" xfId="0" applyFont="1" applyFill="1" applyBorder="1" applyAlignment="1" applyProtection="1">
      <alignment horizontal="left"/>
      <protection locked="0"/>
    </xf>
    <xf numFmtId="0" fontId="17" fillId="3" borderId="24" xfId="0" applyFont="1" applyFill="1" applyBorder="1" applyAlignment="1" applyProtection="1">
      <alignment horizontal="center"/>
      <protection locked="0"/>
    </xf>
    <xf numFmtId="165" fontId="7" fillId="3" borderId="24" xfId="0" applyNumberFormat="1" applyFont="1" applyFill="1" applyBorder="1" applyAlignment="1" applyProtection="1">
      <alignment horizontal="center"/>
    </xf>
    <xf numFmtId="1" fontId="17" fillId="3" borderId="18" xfId="0" applyNumberFormat="1" applyFont="1" applyFill="1" applyBorder="1" applyAlignment="1" applyProtection="1">
      <alignment horizontal="center"/>
    </xf>
    <xf numFmtId="0" fontId="0" fillId="6" borderId="5" xfId="0" applyFill="1" applyBorder="1" applyAlignment="1">
      <alignment horizontal="center"/>
    </xf>
    <xf numFmtId="0" fontId="0" fillId="6" borderId="8" xfId="0" applyFill="1" applyBorder="1" applyAlignment="1">
      <alignment horizontal="center"/>
    </xf>
    <xf numFmtId="0" fontId="0" fillId="23" borderId="4" xfId="0" applyFill="1" applyBorder="1"/>
    <xf numFmtId="0" fontId="0" fillId="23" borderId="5" xfId="0" applyFill="1" applyBorder="1"/>
    <xf numFmtId="0" fontId="19" fillId="26" borderId="0" xfId="0" applyFont="1" applyFill="1" applyProtection="1"/>
    <xf numFmtId="0" fontId="19" fillId="26" borderId="0" xfId="0" applyFont="1" applyFill="1" applyAlignment="1" applyProtection="1">
      <alignment horizontal="right"/>
    </xf>
    <xf numFmtId="0" fontId="5" fillId="13" borderId="0" xfId="0" applyFont="1" applyFill="1" applyAlignment="1" applyProtection="1">
      <alignment horizontal="center"/>
    </xf>
    <xf numFmtId="2" fontId="27" fillId="6" borderId="0" xfId="0" applyNumberFormat="1" applyFont="1" applyFill="1" applyBorder="1" applyAlignment="1" applyProtection="1">
      <alignment horizontal="center"/>
    </xf>
    <xf numFmtId="2" fontId="27" fillId="6" borderId="22" xfId="0" applyNumberFormat="1" applyFont="1" applyFill="1" applyBorder="1" applyAlignment="1" applyProtection="1">
      <alignment horizontal="center"/>
    </xf>
    <xf numFmtId="165" fontId="5" fillId="6" borderId="0" xfId="0" applyNumberFormat="1" applyFont="1" applyFill="1" applyBorder="1" applyAlignment="1" applyProtection="1">
      <alignment horizontal="center"/>
    </xf>
    <xf numFmtId="165" fontId="29" fillId="6" borderId="0" xfId="0" applyNumberFormat="1" applyFont="1" applyFill="1" applyBorder="1" applyAlignment="1" applyProtection="1">
      <alignment horizontal="center"/>
    </xf>
    <xf numFmtId="165" fontId="29" fillId="6" borderId="22" xfId="0" applyNumberFormat="1" applyFont="1" applyFill="1" applyBorder="1" applyAlignment="1" applyProtection="1">
      <alignment horizontal="center"/>
    </xf>
    <xf numFmtId="167" fontId="0" fillId="6" borderId="18" xfId="0" applyNumberFormat="1" applyFill="1" applyBorder="1" applyAlignment="1">
      <alignment horizontal="center"/>
    </xf>
    <xf numFmtId="167" fontId="0" fillId="6" borderId="23" xfId="0" applyNumberFormat="1" applyFill="1" applyBorder="1" applyAlignment="1">
      <alignment horizontal="center"/>
    </xf>
    <xf numFmtId="0" fontId="0" fillId="6" borderId="16" xfId="0" applyFill="1" applyBorder="1" applyAlignment="1">
      <alignment horizontal="center"/>
    </xf>
    <xf numFmtId="0" fontId="0" fillId="6" borderId="18" xfId="0" applyFill="1" applyBorder="1" applyAlignment="1">
      <alignment horizontal="center"/>
    </xf>
    <xf numFmtId="0" fontId="0" fillId="6" borderId="23" xfId="0" applyFill="1" applyBorder="1" applyAlignment="1">
      <alignment horizontal="center"/>
    </xf>
    <xf numFmtId="0" fontId="0" fillId="6" borderId="12" xfId="0" applyFill="1" applyBorder="1" applyAlignment="1">
      <alignment horizontal="center"/>
    </xf>
    <xf numFmtId="0" fontId="0" fillId="6" borderId="27" xfId="0" applyFill="1" applyBorder="1" applyAlignment="1">
      <alignment horizontal="center"/>
    </xf>
    <xf numFmtId="1" fontId="17" fillId="6" borderId="24" xfId="0" applyNumberFormat="1" applyFont="1" applyFill="1" applyBorder="1" applyAlignment="1">
      <alignment horizontal="center"/>
    </xf>
    <xf numFmtId="1" fontId="17" fillId="6" borderId="0" xfId="0" applyNumberFormat="1" applyFont="1" applyFill="1" applyBorder="1" applyAlignment="1">
      <alignment horizontal="center"/>
    </xf>
    <xf numFmtId="1" fontId="17" fillId="6" borderId="22" xfId="0" applyNumberFormat="1" applyFont="1" applyFill="1" applyBorder="1" applyAlignment="1">
      <alignment horizontal="center"/>
    </xf>
    <xf numFmtId="1" fontId="0" fillId="6" borderId="3" xfId="0" applyNumberFormat="1" applyFill="1" applyBorder="1" applyAlignment="1" applyProtection="1">
      <alignment horizontal="center"/>
    </xf>
    <xf numFmtId="0" fontId="37" fillId="2" borderId="0" xfId="0" applyFont="1" applyFill="1" applyBorder="1" applyAlignment="1" applyProtection="1">
      <alignment horizontal="center"/>
    </xf>
    <xf numFmtId="0" fontId="0" fillId="11" borderId="19" xfId="0" applyFill="1" applyBorder="1" applyProtection="1"/>
    <xf numFmtId="0" fontId="0" fillId="21" borderId="21" xfId="0" applyFill="1" applyBorder="1" applyAlignment="1" applyProtection="1">
      <alignment horizontal="center"/>
      <protection locked="0"/>
    </xf>
    <xf numFmtId="0" fontId="17" fillId="21" borderId="18" xfId="0" applyFont="1" applyFill="1" applyBorder="1" applyAlignment="1" applyProtection="1">
      <alignment horizontal="center"/>
    </xf>
    <xf numFmtId="0" fontId="0" fillId="21" borderId="25" xfId="0" applyFill="1" applyBorder="1" applyAlignment="1" applyProtection="1">
      <alignment horizontal="center"/>
      <protection locked="0"/>
    </xf>
    <xf numFmtId="0" fontId="17" fillId="21" borderId="23" xfId="0" applyFont="1" applyFill="1" applyBorder="1" applyAlignment="1" applyProtection="1">
      <alignment horizontal="center"/>
    </xf>
    <xf numFmtId="0" fontId="0" fillId="8" borderId="20" xfId="0" applyFill="1" applyBorder="1" applyProtection="1"/>
    <xf numFmtId="0" fontId="4" fillId="3" borderId="17" xfId="0" applyFont="1" applyFill="1" applyBorder="1" applyAlignment="1" applyProtection="1">
      <alignment horizontal="left"/>
    </xf>
    <xf numFmtId="0" fontId="4" fillId="3" borderId="19" xfId="0" applyFont="1" applyFill="1" applyBorder="1" applyProtection="1"/>
    <xf numFmtId="0" fontId="4" fillId="3" borderId="20" xfId="0" applyFont="1" applyFill="1" applyBorder="1" applyProtection="1"/>
    <xf numFmtId="0" fontId="5" fillId="8" borderId="19" xfId="0" applyFont="1" applyFill="1" applyBorder="1" applyProtection="1"/>
    <xf numFmtId="0" fontId="17" fillId="3" borderId="25" xfId="0" applyFont="1" applyFill="1" applyBorder="1" applyAlignment="1" applyProtection="1"/>
    <xf numFmtId="0" fontId="5" fillId="3" borderId="23" xfId="0" applyFont="1" applyFill="1" applyBorder="1" applyAlignment="1" applyProtection="1"/>
    <xf numFmtId="1" fontId="7" fillId="6" borderId="16" xfId="0" applyNumberFormat="1" applyFont="1" applyFill="1" applyBorder="1" applyAlignment="1" applyProtection="1">
      <alignment horizontal="center"/>
    </xf>
    <xf numFmtId="1" fontId="7" fillId="6" borderId="18" xfId="0" applyNumberFormat="1" applyFont="1" applyFill="1" applyBorder="1" applyAlignment="1" applyProtection="1">
      <alignment horizontal="center"/>
    </xf>
    <xf numFmtId="1" fontId="7" fillId="6" borderId="23" xfId="0" applyNumberFormat="1" applyFont="1" applyFill="1" applyBorder="1" applyAlignment="1" applyProtection="1">
      <alignment horizontal="center"/>
    </xf>
    <xf numFmtId="165" fontId="5" fillId="6" borderId="22" xfId="0" applyNumberFormat="1" applyFont="1" applyFill="1" applyBorder="1" applyAlignment="1" applyProtection="1">
      <alignment horizontal="center"/>
    </xf>
    <xf numFmtId="165" fontId="5" fillId="6" borderId="23" xfId="0" applyNumberFormat="1" applyFont="1" applyFill="1" applyBorder="1" applyAlignment="1" applyProtection="1">
      <alignment horizontal="center"/>
    </xf>
    <xf numFmtId="0" fontId="17" fillId="3" borderId="53" xfId="0" applyFont="1" applyFill="1" applyBorder="1"/>
    <xf numFmtId="0" fontId="17" fillId="21" borderId="1" xfId="0" applyFont="1" applyFill="1" applyBorder="1" applyProtection="1">
      <protection locked="0"/>
    </xf>
    <xf numFmtId="0" fontId="17" fillId="21" borderId="2" xfId="0" applyFont="1" applyFill="1" applyBorder="1" applyAlignment="1" applyProtection="1">
      <alignment horizontal="center"/>
      <protection locked="0"/>
    </xf>
    <xf numFmtId="0" fontId="17" fillId="21" borderId="28" xfId="0" applyFont="1" applyFill="1" applyBorder="1" applyProtection="1">
      <protection locked="0"/>
    </xf>
    <xf numFmtId="166" fontId="40" fillId="15" borderId="0" xfId="0" applyNumberFormat="1" applyFont="1" applyFill="1" applyAlignment="1">
      <alignment horizontal="center"/>
    </xf>
    <xf numFmtId="0" fontId="17" fillId="15" borderId="0" xfId="2" applyFont="1" applyFill="1"/>
    <xf numFmtId="0" fontId="17" fillId="15" borderId="0" xfId="2" applyFont="1" applyFill="1" applyAlignment="1">
      <alignment horizontal="left"/>
    </xf>
    <xf numFmtId="0" fontId="0" fillId="27" borderId="0" xfId="0" applyFill="1"/>
    <xf numFmtId="0" fontId="46" fillId="27" borderId="0" xfId="0" applyFont="1" applyFill="1"/>
    <xf numFmtId="0" fontId="45" fillId="27" borderId="0" xfId="0" applyFont="1" applyFill="1"/>
    <xf numFmtId="0" fontId="5" fillId="27" borderId="0" xfId="0" applyFont="1" applyFill="1"/>
    <xf numFmtId="0" fontId="0" fillId="27" borderId="0" xfId="0" applyFill="1" applyAlignment="1"/>
    <xf numFmtId="0" fontId="0" fillId="30" borderId="0" xfId="0" applyFill="1"/>
    <xf numFmtId="0" fontId="0" fillId="30" borderId="0" xfId="0" applyFill="1" applyAlignment="1">
      <alignment horizontal="center"/>
    </xf>
    <xf numFmtId="0" fontId="0" fillId="30" borderId="17" xfId="0" applyFill="1" applyBorder="1"/>
    <xf numFmtId="0" fontId="0" fillId="30" borderId="28" xfId="0" applyFill="1" applyBorder="1" applyAlignment="1">
      <alignment horizontal="center"/>
    </xf>
    <xf numFmtId="0" fontId="17" fillId="30" borderId="0" xfId="0" applyFont="1" applyFill="1"/>
    <xf numFmtId="0" fontId="21" fillId="30" borderId="0" xfId="0" applyFont="1" applyFill="1"/>
    <xf numFmtId="0" fontId="22" fillId="30" borderId="0" xfId="0" applyFont="1" applyFill="1" applyAlignment="1">
      <alignment horizontal="center"/>
    </xf>
    <xf numFmtId="0" fontId="5" fillId="30" borderId="12" xfId="0" applyFont="1" applyFill="1" applyBorder="1"/>
    <xf numFmtId="0" fontId="0" fillId="30" borderId="0" xfId="0" applyFill="1" applyProtection="1"/>
    <xf numFmtId="0" fontId="5" fillId="30" borderId="0" xfId="0" applyFont="1" applyFill="1" applyProtection="1"/>
    <xf numFmtId="0" fontId="7" fillId="30" borderId="0" xfId="0" applyFont="1" applyFill="1" applyAlignment="1" applyProtection="1">
      <alignment horizontal="left"/>
    </xf>
    <xf numFmtId="0" fontId="0" fillId="30" borderId="0" xfId="0" applyFill="1" applyAlignment="1" applyProtection="1">
      <alignment horizontal="left"/>
    </xf>
    <xf numFmtId="0" fontId="0" fillId="30" borderId="0" xfId="0" applyFill="1" applyAlignment="1" applyProtection="1">
      <alignment horizontal="center"/>
    </xf>
    <xf numFmtId="0" fontId="35" fillId="30" borderId="0" xfId="0" applyFont="1" applyFill="1" applyProtection="1"/>
    <xf numFmtId="0" fontId="37" fillId="30" borderId="0" xfId="0" applyFont="1" applyFill="1" applyProtection="1"/>
    <xf numFmtId="0" fontId="14" fillId="30" borderId="0" xfId="0" applyFont="1" applyFill="1" applyAlignment="1" applyProtection="1">
      <alignment horizontal="left"/>
    </xf>
    <xf numFmtId="0" fontId="15" fillId="30" borderId="0" xfId="0" applyFont="1" applyFill="1" applyProtection="1"/>
    <xf numFmtId="0" fontId="15" fillId="30" borderId="0" xfId="0" applyFont="1" applyFill="1" applyAlignment="1" applyProtection="1">
      <alignment horizontal="left"/>
    </xf>
    <xf numFmtId="0" fontId="15" fillId="30" borderId="0" xfId="0" applyFont="1" applyFill="1" applyAlignment="1" applyProtection="1">
      <alignment horizontal="center"/>
    </xf>
    <xf numFmtId="0" fontId="54" fillId="30" borderId="0" xfId="0" applyFont="1" applyFill="1" applyAlignment="1" applyProtection="1">
      <alignment horizontal="left"/>
    </xf>
    <xf numFmtId="0" fontId="55" fillId="30" borderId="0" xfId="0" applyFont="1" applyFill="1" applyProtection="1"/>
    <xf numFmtId="0" fontId="55" fillId="30" borderId="0" xfId="0" applyFont="1" applyFill="1" applyAlignment="1" applyProtection="1">
      <alignment horizontal="center"/>
    </xf>
    <xf numFmtId="1" fontId="55" fillId="30" borderId="0" xfId="0" applyNumberFormat="1" applyFont="1" applyFill="1" applyProtection="1"/>
    <xf numFmtId="0" fontId="55" fillId="30" borderId="0" xfId="0" applyFont="1" applyFill="1" applyAlignment="1" applyProtection="1">
      <alignment horizontal="left"/>
    </xf>
    <xf numFmtId="1" fontId="55" fillId="30" borderId="0" xfId="0" applyNumberFormat="1" applyFont="1" applyFill="1" applyAlignment="1" applyProtection="1">
      <alignment horizontal="center"/>
    </xf>
    <xf numFmtId="0" fontId="58" fillId="30" borderId="0" xfId="0" applyFont="1" applyFill="1" applyProtection="1"/>
    <xf numFmtId="0" fontId="51" fillId="30" borderId="0" xfId="0" applyFont="1" applyFill="1" applyAlignment="1" applyProtection="1">
      <alignment horizontal="left"/>
    </xf>
    <xf numFmtId="0" fontId="52" fillId="30" borderId="0" xfId="0" applyFont="1" applyFill="1" applyProtection="1"/>
    <xf numFmtId="0" fontId="52" fillId="30" borderId="0" xfId="0" applyFont="1" applyFill="1" applyAlignment="1" applyProtection="1">
      <alignment horizontal="center"/>
    </xf>
    <xf numFmtId="1" fontId="52" fillId="30" borderId="0" xfId="0" applyNumberFormat="1" applyFont="1" applyFill="1" applyProtection="1"/>
    <xf numFmtId="1" fontId="52" fillId="30" borderId="0" xfId="0" applyNumberFormat="1" applyFont="1" applyFill="1" applyAlignment="1" applyProtection="1">
      <alignment horizontal="center"/>
    </xf>
    <xf numFmtId="0" fontId="7" fillId="30" borderId="0" xfId="0" applyFont="1" applyFill="1" applyAlignment="1">
      <alignment horizontal="left"/>
    </xf>
    <xf numFmtId="0" fontId="0" fillId="30" borderId="0" xfId="0" applyFill="1" applyAlignment="1">
      <alignment horizontal="left"/>
    </xf>
    <xf numFmtId="0" fontId="37" fillId="30" borderId="0" xfId="0" applyFont="1" applyFill="1"/>
    <xf numFmtId="0" fontId="14" fillId="30" borderId="0" xfId="0" applyFont="1" applyFill="1" applyAlignment="1">
      <alignment horizontal="left"/>
    </xf>
    <xf numFmtId="0" fontId="15" fillId="30" borderId="0" xfId="0" applyFont="1" applyFill="1"/>
    <xf numFmtId="0" fontId="15" fillId="30" borderId="0" xfId="0" applyFont="1" applyFill="1" applyAlignment="1">
      <alignment horizontal="center"/>
    </xf>
    <xf numFmtId="0" fontId="15" fillId="30" borderId="0" xfId="0" applyFont="1" applyFill="1" applyAlignment="1">
      <alignment horizontal="left"/>
    </xf>
    <xf numFmtId="0" fontId="33" fillId="30" borderId="0" xfId="0" applyFont="1" applyFill="1"/>
    <xf numFmtId="0" fontId="19" fillId="30" borderId="0" xfId="0" applyFont="1" applyFill="1"/>
    <xf numFmtId="0" fontId="35" fillId="30" borderId="0" xfId="0" applyFont="1" applyFill="1" applyAlignment="1" applyProtection="1">
      <alignment horizontal="center"/>
    </xf>
    <xf numFmtId="0" fontId="37" fillId="30" borderId="0" xfId="0" applyFont="1" applyFill="1" applyBorder="1" applyProtection="1"/>
    <xf numFmtId="0" fontId="5" fillId="30" borderId="0" xfId="0" applyFont="1" applyFill="1" applyAlignment="1" applyProtection="1">
      <alignment horizontal="center"/>
    </xf>
    <xf numFmtId="0" fontId="7" fillId="30" borderId="0" xfId="0" applyFont="1" applyFill="1" applyProtection="1"/>
    <xf numFmtId="0" fontId="49" fillId="30" borderId="0" xfId="0" applyFont="1" applyFill="1" applyBorder="1" applyProtection="1"/>
    <xf numFmtId="0" fontId="49" fillId="30" borderId="0" xfId="0" applyFont="1" applyFill="1" applyProtection="1"/>
    <xf numFmtId="165" fontId="0" fillId="30" borderId="0" xfId="0" applyNumberFormat="1" applyFill="1" applyAlignment="1">
      <alignment horizontal="center"/>
    </xf>
    <xf numFmtId="0" fontId="5" fillId="30" borderId="0" xfId="0" applyFont="1" applyFill="1"/>
    <xf numFmtId="0" fontId="5" fillId="30" borderId="0" xfId="0" applyFont="1" applyFill="1" applyAlignment="1">
      <alignment horizontal="center"/>
    </xf>
    <xf numFmtId="165" fontId="5" fillId="30" borderId="0" xfId="0" applyNumberFormat="1" applyFont="1" applyFill="1" applyAlignment="1">
      <alignment horizontal="center"/>
    </xf>
    <xf numFmtId="0" fontId="49" fillId="30" borderId="0" xfId="0" applyFont="1" applyFill="1"/>
    <xf numFmtId="0" fontId="67" fillId="30" borderId="0" xfId="0" applyFont="1" applyFill="1" applyProtection="1"/>
    <xf numFmtId="0" fontId="67" fillId="30" borderId="0" xfId="0" applyFont="1" applyFill="1" applyAlignment="1" applyProtection="1">
      <alignment horizontal="center"/>
    </xf>
    <xf numFmtId="0" fontId="33" fillId="30" borderId="0" xfId="0" applyFont="1" applyFill="1" applyAlignment="1" applyProtection="1">
      <alignment horizontal="center"/>
    </xf>
    <xf numFmtId="0" fontId="19" fillId="30" borderId="0" xfId="0" applyFont="1" applyFill="1" applyAlignment="1" applyProtection="1">
      <alignment horizontal="center"/>
    </xf>
    <xf numFmtId="0" fontId="19" fillId="30" borderId="0" xfId="0" applyFont="1" applyFill="1" applyProtection="1"/>
    <xf numFmtId="0" fontId="33" fillId="30" borderId="0" xfId="0" applyFont="1" applyFill="1" applyProtection="1"/>
    <xf numFmtId="0" fontId="20" fillId="30" borderId="0" xfId="0" applyFont="1" applyFill="1"/>
    <xf numFmtId="0" fontId="68" fillId="30" borderId="0" xfId="0" applyFont="1" applyFill="1"/>
    <xf numFmtId="0" fontId="4" fillId="30" borderId="0" xfId="0" applyFont="1" applyFill="1" applyProtection="1"/>
    <xf numFmtId="0" fontId="4" fillId="30" borderId="0" xfId="0" applyFont="1" applyFill="1" applyAlignment="1" applyProtection="1">
      <alignment horizontal="center"/>
    </xf>
    <xf numFmtId="0" fontId="19" fillId="30" borderId="0" xfId="0" applyFont="1" applyFill="1" applyAlignment="1">
      <alignment horizontal="center"/>
    </xf>
    <xf numFmtId="0" fontId="67" fillId="30" borderId="0" xfId="0" applyFont="1" applyFill="1"/>
    <xf numFmtId="0" fontId="12" fillId="30" borderId="0" xfId="1" applyFill="1" applyAlignment="1" applyProtection="1"/>
    <xf numFmtId="0" fontId="40" fillId="30" borderId="0" xfId="0" applyFont="1" applyFill="1" applyProtection="1"/>
    <xf numFmtId="0" fontId="5" fillId="30" borderId="17" xfId="0" applyFont="1" applyFill="1" applyBorder="1" applyProtection="1"/>
    <xf numFmtId="0" fontId="0" fillId="30" borderId="19" xfId="0" applyFill="1" applyBorder="1" applyProtection="1"/>
    <xf numFmtId="0" fontId="0" fillId="30" borderId="20" xfId="0" applyFill="1" applyBorder="1" applyAlignment="1" applyProtection="1">
      <alignment horizontal="center"/>
    </xf>
    <xf numFmtId="0" fontId="4" fillId="27" borderId="0" xfId="0" applyFont="1" applyFill="1" applyProtection="1"/>
    <xf numFmtId="0" fontId="0" fillId="27" borderId="0" xfId="0" applyFill="1" applyBorder="1" applyProtection="1"/>
    <xf numFmtId="0" fontId="5" fillId="27" borderId="0" xfId="0" applyFont="1" applyFill="1" applyBorder="1" applyProtection="1"/>
    <xf numFmtId="0" fontId="0" fillId="27" borderId="0" xfId="0" applyFill="1" applyBorder="1" applyAlignment="1" applyProtection="1">
      <alignment horizontal="center"/>
    </xf>
    <xf numFmtId="0" fontId="0" fillId="27" borderId="0" xfId="0" applyFill="1" applyBorder="1" applyAlignment="1" applyProtection="1"/>
    <xf numFmtId="0" fontId="4" fillId="27" borderId="0" xfId="0" applyFont="1" applyFill="1" applyAlignment="1" applyProtection="1">
      <alignment horizontal="center"/>
    </xf>
    <xf numFmtId="0" fontId="13" fillId="27" borderId="0" xfId="0" applyFont="1" applyFill="1" applyBorder="1" applyProtection="1"/>
    <xf numFmtId="0" fontId="13" fillId="27" borderId="0" xfId="0" applyFont="1" applyFill="1" applyProtection="1"/>
    <xf numFmtId="0" fontId="7" fillId="27" borderId="0" xfId="0" applyFont="1" applyFill="1" applyBorder="1" applyProtection="1"/>
    <xf numFmtId="0" fontId="5" fillId="27" borderId="0" xfId="0" applyFont="1" applyFill="1" applyBorder="1" applyAlignment="1" applyProtection="1">
      <alignment horizontal="center"/>
    </xf>
    <xf numFmtId="0" fontId="17" fillId="27" borderId="0" xfId="0" applyFont="1" applyFill="1" applyBorder="1" applyProtection="1"/>
    <xf numFmtId="0" fontId="4" fillId="27" borderId="0" xfId="0" applyFont="1" applyFill="1" applyBorder="1" applyProtection="1"/>
    <xf numFmtId="0" fontId="5" fillId="31" borderId="0" xfId="0" applyFont="1" applyFill="1" applyBorder="1" applyProtection="1"/>
    <xf numFmtId="0" fontId="4" fillId="27" borderId="0" xfId="0" applyFont="1" applyFill="1" applyBorder="1" applyAlignment="1" applyProtection="1">
      <alignment horizontal="center"/>
    </xf>
    <xf numFmtId="0" fontId="34" fillId="27" borderId="0" xfId="1" applyFont="1" applyFill="1" applyBorder="1" applyAlignment="1" applyProtection="1"/>
    <xf numFmtId="0" fontId="19" fillId="27" borderId="0" xfId="1" applyFont="1" applyFill="1" applyBorder="1" applyAlignment="1" applyProtection="1"/>
    <xf numFmtId="0" fontId="5" fillId="31" borderId="0" xfId="0" applyFont="1" applyFill="1" applyBorder="1" applyAlignment="1" applyProtection="1">
      <alignment horizontal="right"/>
    </xf>
    <xf numFmtId="0" fontId="0" fillId="34" borderId="0" xfId="0" applyFill="1" applyBorder="1" applyAlignment="1" applyProtection="1">
      <alignment horizontal="center"/>
      <protection locked="0"/>
    </xf>
    <xf numFmtId="0" fontId="0" fillId="31" borderId="0" xfId="0" applyFill="1" applyBorder="1" applyProtection="1"/>
    <xf numFmtId="0" fontId="0" fillId="29" borderId="0" xfId="0" applyFill="1" applyBorder="1" applyAlignment="1" applyProtection="1">
      <alignment horizontal="left"/>
    </xf>
    <xf numFmtId="0" fontId="0" fillId="29" borderId="0" xfId="0" applyFill="1" applyBorder="1" applyProtection="1"/>
    <xf numFmtId="0" fontId="0" fillId="29" borderId="0" xfId="0" applyFill="1" applyBorder="1" applyAlignment="1" applyProtection="1">
      <alignment horizontal="center"/>
    </xf>
    <xf numFmtId="0" fontId="4" fillId="29" borderId="0" xfId="0" applyFont="1" applyFill="1" applyBorder="1" applyProtection="1"/>
    <xf numFmtId="0" fontId="17" fillId="29" borderId="0" xfId="0" applyFont="1" applyFill="1" applyBorder="1" applyProtection="1"/>
    <xf numFmtId="0" fontId="17" fillId="34" borderId="0" xfId="0" applyFont="1" applyFill="1" applyBorder="1" applyAlignment="1" applyProtection="1">
      <protection locked="0"/>
    </xf>
    <xf numFmtId="0" fontId="17" fillId="37" borderId="0" xfId="0" applyFont="1" applyFill="1" applyProtection="1"/>
    <xf numFmtId="0" fontId="5" fillId="29" borderId="0" xfId="0" applyFont="1" applyFill="1" applyBorder="1" applyProtection="1"/>
    <xf numFmtId="0" fontId="5" fillId="29" borderId="22" xfId="0" applyFont="1" applyFill="1" applyBorder="1" applyAlignment="1" applyProtection="1"/>
    <xf numFmtId="0" fontId="17" fillId="30" borderId="0" xfId="0" applyFont="1" applyFill="1" applyBorder="1" applyProtection="1"/>
    <xf numFmtId="0" fontId="76" fillId="37" borderId="0" xfId="0" quotePrefix="1" applyFont="1" applyFill="1" applyProtection="1"/>
    <xf numFmtId="0" fontId="76" fillId="3" borderId="9" xfId="0" applyFont="1" applyFill="1" applyBorder="1" applyProtection="1"/>
    <xf numFmtId="0" fontId="76" fillId="6" borderId="15" xfId="0" applyFont="1" applyFill="1" applyBorder="1" applyAlignment="1" applyProtection="1">
      <alignment horizontal="center"/>
    </xf>
    <xf numFmtId="0" fontId="76" fillId="6" borderId="24" xfId="0" applyFont="1" applyFill="1" applyBorder="1" applyAlignment="1" applyProtection="1">
      <alignment horizontal="center"/>
    </xf>
    <xf numFmtId="165" fontId="76" fillId="3" borderId="16" xfId="0" applyNumberFormat="1" applyFont="1" applyFill="1" applyBorder="1" applyAlignment="1" applyProtection="1">
      <alignment horizontal="center"/>
    </xf>
    <xf numFmtId="165" fontId="76" fillId="6" borderId="24" xfId="0" applyNumberFormat="1" applyFont="1" applyFill="1" applyBorder="1" applyAlignment="1" applyProtection="1">
      <alignment horizontal="center"/>
    </xf>
    <xf numFmtId="165" fontId="77" fillId="6" borderId="24" xfId="0" applyNumberFormat="1" applyFont="1" applyFill="1" applyBorder="1" applyAlignment="1" applyProtection="1">
      <alignment horizontal="center"/>
    </xf>
    <xf numFmtId="2" fontId="76" fillId="6" borderId="9" xfId="0" applyNumberFormat="1" applyFont="1" applyFill="1" applyBorder="1" applyAlignment="1" applyProtection="1">
      <alignment horizontal="center"/>
    </xf>
    <xf numFmtId="165" fontId="77" fillId="6" borderId="16" xfId="0" applyNumberFormat="1" applyFont="1" applyFill="1" applyBorder="1" applyAlignment="1" applyProtection="1">
      <alignment horizontal="center"/>
    </xf>
    <xf numFmtId="165" fontId="76" fillId="6" borderId="9" xfId="0" applyNumberFormat="1" applyFont="1" applyFill="1" applyBorder="1" applyAlignment="1" applyProtection="1">
      <alignment horizontal="center"/>
    </xf>
    <xf numFmtId="0" fontId="76" fillId="2" borderId="0" xfId="0" applyFont="1" applyFill="1" applyProtection="1"/>
    <xf numFmtId="0" fontId="76" fillId="3" borderId="21" xfId="0" applyFont="1" applyFill="1" applyBorder="1" applyProtection="1"/>
    <xf numFmtId="0" fontId="4"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1" fontId="4" fillId="29" borderId="0" xfId="0" applyNumberFormat="1" applyFont="1" applyFill="1" applyBorder="1" applyAlignment="1" applyProtection="1">
      <alignment horizontal="center"/>
    </xf>
    <xf numFmtId="3" fontId="4" fillId="29" borderId="0" xfId="0" applyNumberFormat="1" applyFont="1" applyFill="1" applyBorder="1" applyAlignment="1" applyProtection="1">
      <alignment horizontal="center"/>
    </xf>
    <xf numFmtId="3" fontId="4" fillId="27" borderId="0" xfId="0" applyNumberFormat="1" applyFont="1" applyFill="1" applyBorder="1" applyAlignment="1" applyProtection="1">
      <alignment horizontal="center"/>
    </xf>
    <xf numFmtId="0" fontId="4" fillId="30" borderId="0" xfId="0" applyFont="1" applyFill="1" applyBorder="1" applyProtection="1"/>
    <xf numFmtId="0" fontId="4" fillId="30" borderId="0" xfId="0" applyFont="1" applyFill="1" applyBorder="1" applyAlignment="1" applyProtection="1">
      <alignment horizontal="center"/>
    </xf>
    <xf numFmtId="0" fontId="71" fillId="27" borderId="0" xfId="0" applyFont="1" applyFill="1" applyProtection="1"/>
    <xf numFmtId="0" fontId="71" fillId="27" borderId="0" xfId="0" applyFont="1" applyFill="1" applyAlignment="1" applyProtection="1">
      <alignment horizontal="center"/>
    </xf>
    <xf numFmtId="0" fontId="71" fillId="30" borderId="0" xfId="0" applyFont="1" applyFill="1" applyProtection="1"/>
    <xf numFmtId="0" fontId="4" fillId="29" borderId="0" xfId="0" applyFont="1" applyFill="1" applyProtection="1"/>
    <xf numFmtId="0" fontId="5" fillId="29" borderId="0" xfId="0" applyFont="1" applyFill="1" applyProtection="1"/>
    <xf numFmtId="0" fontId="5" fillId="29" borderId="0" xfId="0" applyFont="1" applyFill="1" applyBorder="1" applyAlignment="1" applyProtection="1">
      <alignment horizontal="left"/>
    </xf>
    <xf numFmtId="0" fontId="76" fillId="37" borderId="0" xfId="0" quotePrefix="1" applyFont="1" applyFill="1"/>
    <xf numFmtId="0" fontId="76" fillId="3" borderId="9" xfId="0" applyFont="1" applyFill="1" applyBorder="1"/>
    <xf numFmtId="165" fontId="76" fillId="3" borderId="9" xfId="0" applyNumberFormat="1" applyFont="1" applyFill="1" applyBorder="1" applyAlignment="1">
      <alignment horizontal="center"/>
    </xf>
    <xf numFmtId="0" fontId="76" fillId="21" borderId="16" xfId="0" applyFont="1" applyFill="1" applyBorder="1" applyAlignment="1" applyProtection="1">
      <alignment horizontal="center"/>
      <protection locked="0"/>
    </xf>
    <xf numFmtId="2" fontId="76" fillId="6" borderId="24" xfId="0" applyNumberFormat="1" applyFont="1" applyFill="1" applyBorder="1" applyAlignment="1">
      <alignment horizontal="center"/>
    </xf>
    <xf numFmtId="165" fontId="76" fillId="6" borderId="24" xfId="0" applyNumberFormat="1" applyFont="1" applyFill="1" applyBorder="1" applyAlignment="1">
      <alignment horizontal="center"/>
    </xf>
    <xf numFmtId="165" fontId="77" fillId="6" borderId="24" xfId="0" applyNumberFormat="1" applyFont="1" applyFill="1" applyBorder="1" applyAlignment="1">
      <alignment horizontal="center"/>
    </xf>
    <xf numFmtId="2" fontId="76" fillId="6" borderId="9" xfId="0" applyNumberFormat="1" applyFont="1" applyFill="1" applyBorder="1" applyAlignment="1">
      <alignment horizontal="center"/>
    </xf>
    <xf numFmtId="165" fontId="77" fillId="6" borderId="16" xfId="0" applyNumberFormat="1" applyFont="1" applyFill="1" applyBorder="1" applyAlignment="1">
      <alignment horizontal="center"/>
    </xf>
    <xf numFmtId="0" fontId="76" fillId="2" borderId="0" xfId="0" applyFont="1" applyFill="1"/>
    <xf numFmtId="1" fontId="76" fillId="2" borderId="0" xfId="0" applyNumberFormat="1" applyFont="1" applyFill="1" applyAlignment="1">
      <alignment horizontal="center"/>
    </xf>
    <xf numFmtId="0" fontId="76" fillId="3" borderId="21" xfId="0" applyFont="1" applyFill="1" applyBorder="1"/>
    <xf numFmtId="165" fontId="76" fillId="3" borderId="21" xfId="0" applyNumberFormat="1" applyFont="1" applyFill="1" applyBorder="1" applyAlignment="1">
      <alignment horizontal="center"/>
    </xf>
    <xf numFmtId="0" fontId="76" fillId="21" borderId="18" xfId="0" applyFont="1" applyFill="1" applyBorder="1" applyAlignment="1" applyProtection="1">
      <alignment horizontal="center"/>
      <protection locked="0"/>
    </xf>
    <xf numFmtId="2" fontId="76" fillId="6" borderId="0" xfId="0" applyNumberFormat="1" applyFont="1" applyFill="1" applyBorder="1" applyAlignment="1">
      <alignment horizontal="center"/>
    </xf>
    <xf numFmtId="1" fontId="77" fillId="6" borderId="24" xfId="0" applyNumberFormat="1" applyFont="1" applyFill="1" applyBorder="1" applyAlignment="1" applyProtection="1">
      <alignment horizontal="center"/>
    </xf>
    <xf numFmtId="1" fontId="77" fillId="6" borderId="21" xfId="0" applyNumberFormat="1" applyFont="1" applyFill="1" applyBorder="1" applyAlignment="1" applyProtection="1">
      <alignment horizontal="center"/>
    </xf>
    <xf numFmtId="0" fontId="78" fillId="27" borderId="0" xfId="0" applyFont="1" applyFill="1" applyBorder="1" applyProtection="1"/>
    <xf numFmtId="0" fontId="71" fillId="29" borderId="0" xfId="0" applyFont="1" applyFill="1" applyBorder="1" applyAlignment="1" applyProtection="1">
      <alignment horizontal="center"/>
    </xf>
    <xf numFmtId="0" fontId="70" fillId="27" borderId="0" xfId="0" applyFont="1" applyFill="1" applyProtection="1"/>
    <xf numFmtId="0" fontId="70" fillId="29" borderId="0" xfId="0" applyFont="1" applyFill="1" applyProtection="1"/>
    <xf numFmtId="1" fontId="79" fillId="37" borderId="9" xfId="0" applyNumberFormat="1" applyFont="1" applyFill="1" applyBorder="1" applyAlignment="1">
      <alignment horizontal="center"/>
    </xf>
    <xf numFmtId="1" fontId="79" fillId="37" borderId="16" xfId="0" applyNumberFormat="1" applyFont="1" applyFill="1" applyBorder="1" applyAlignment="1">
      <alignment horizontal="center"/>
    </xf>
    <xf numFmtId="1" fontId="79" fillId="37" borderId="24" xfId="0" applyNumberFormat="1" applyFont="1" applyFill="1" applyBorder="1" applyAlignment="1" applyProtection="1">
      <alignment horizontal="center"/>
    </xf>
    <xf numFmtId="1" fontId="79" fillId="37" borderId="16" xfId="0" applyNumberFormat="1" applyFont="1" applyFill="1" applyBorder="1" applyAlignment="1" applyProtection="1">
      <alignment horizontal="center"/>
    </xf>
    <xf numFmtId="0" fontId="0" fillId="29" borderId="0" xfId="0" applyFont="1" applyFill="1" applyBorder="1" applyAlignment="1" applyProtection="1">
      <alignment horizontal="center"/>
    </xf>
    <xf numFmtId="0" fontId="17" fillId="18" borderId="21" xfId="0" applyFont="1" applyFill="1" applyBorder="1" applyAlignment="1" applyProtection="1">
      <protection locked="0"/>
    </xf>
    <xf numFmtId="0" fontId="17" fillId="18" borderId="18" xfId="0" applyFont="1" applyFill="1" applyBorder="1" applyAlignment="1" applyProtection="1">
      <protection locked="0"/>
    </xf>
    <xf numFmtId="0" fontId="17" fillId="18" borderId="25" xfId="0" applyFont="1" applyFill="1" applyBorder="1" applyAlignment="1" applyProtection="1">
      <protection locked="0"/>
    </xf>
    <xf numFmtId="0" fontId="17" fillId="18" borderId="23" xfId="0" applyFont="1" applyFill="1" applyBorder="1" applyAlignment="1" applyProtection="1">
      <protection locked="0"/>
    </xf>
    <xf numFmtId="0" fontId="76" fillId="37" borderId="16" xfId="0" applyFont="1" applyFill="1" applyBorder="1" applyAlignment="1" applyProtection="1">
      <protection locked="0"/>
    </xf>
    <xf numFmtId="0" fontId="76" fillId="37" borderId="18" xfId="0" applyFont="1" applyFill="1" applyBorder="1" applyAlignment="1" applyProtection="1">
      <protection locked="0"/>
    </xf>
    <xf numFmtId="0" fontId="17" fillId="37" borderId="16" xfId="0" applyFont="1" applyFill="1" applyBorder="1" applyAlignment="1" applyProtection="1">
      <protection locked="0"/>
    </xf>
    <xf numFmtId="0" fontId="17" fillId="37" borderId="18" xfId="0" applyFont="1" applyFill="1" applyBorder="1" applyAlignment="1" applyProtection="1">
      <protection locked="0"/>
    </xf>
    <xf numFmtId="0" fontId="17" fillId="37" borderId="15" xfId="0" applyFont="1" applyFill="1" applyBorder="1" applyAlignment="1" applyProtection="1">
      <protection locked="0"/>
    </xf>
    <xf numFmtId="0" fontId="6" fillId="37" borderId="15" xfId="0" applyFont="1" applyFill="1" applyBorder="1" applyAlignment="1" applyProtection="1">
      <alignment horizontal="center"/>
      <protection locked="0"/>
    </xf>
    <xf numFmtId="1" fontId="77" fillId="37" borderId="9" xfId="0" applyNumberFormat="1" applyFont="1" applyFill="1" applyBorder="1" applyAlignment="1" applyProtection="1">
      <alignment horizontal="center"/>
    </xf>
    <xf numFmtId="1" fontId="77" fillId="37" borderId="24" xfId="0" applyNumberFormat="1" applyFont="1" applyFill="1" applyBorder="1" applyAlignment="1" applyProtection="1">
      <alignment horizontal="center"/>
    </xf>
    <xf numFmtId="165" fontId="76" fillId="37" borderId="0" xfId="0" applyNumberFormat="1" applyFont="1" applyFill="1" applyBorder="1" applyAlignment="1" applyProtection="1">
      <alignment horizontal="center"/>
    </xf>
    <xf numFmtId="0" fontId="12" fillId="27" borderId="0" xfId="1" applyFill="1" applyBorder="1" applyAlignment="1" applyProtection="1"/>
    <xf numFmtId="0" fontId="12" fillId="27" borderId="0" xfId="1" applyFill="1" applyBorder="1" applyAlignment="1" applyProtection="1">
      <alignment horizontal="right"/>
    </xf>
    <xf numFmtId="0" fontId="34" fillId="27" borderId="0" xfId="1" applyFont="1" applyFill="1" applyBorder="1" applyAlignment="1" applyProtection="1">
      <alignment horizontal="right"/>
    </xf>
    <xf numFmtId="0" fontId="4" fillId="29" borderId="0" xfId="0" applyFont="1" applyFill="1" applyBorder="1" applyAlignment="1" applyProtection="1">
      <alignment horizontal="left"/>
    </xf>
    <xf numFmtId="0" fontId="5" fillId="30" borderId="0" xfId="1" applyFont="1" applyFill="1" applyBorder="1" applyAlignment="1" applyProtection="1"/>
    <xf numFmtId="0" fontId="16" fillId="27" borderId="0" xfId="1" applyFont="1" applyFill="1" applyBorder="1" applyAlignment="1" applyProtection="1"/>
    <xf numFmtId="0" fontId="17" fillId="27" borderId="0" xfId="1" applyFont="1" applyFill="1" applyBorder="1" applyAlignment="1" applyProtection="1"/>
    <xf numFmtId="0" fontId="5" fillId="29" borderId="0" xfId="1" applyFont="1" applyFill="1" applyBorder="1" applyAlignment="1" applyProtection="1">
      <alignment horizontal="left"/>
    </xf>
    <xf numFmtId="0" fontId="70" fillId="38" borderId="0" xfId="0" applyFont="1" applyFill="1" applyProtection="1"/>
    <xf numFmtId="0" fontId="4" fillId="38" borderId="0" xfId="0" applyFont="1" applyFill="1" applyBorder="1" applyProtection="1"/>
    <xf numFmtId="0" fontId="4" fillId="38" borderId="0" xfId="0" applyFont="1" applyFill="1" applyBorder="1" applyAlignment="1" applyProtection="1">
      <alignment horizontal="center"/>
    </xf>
    <xf numFmtId="0" fontId="0" fillId="37" borderId="10" xfId="0" applyFill="1" applyBorder="1" applyAlignment="1" applyProtection="1">
      <alignment horizontal="center"/>
      <protection locked="0"/>
    </xf>
    <xf numFmtId="0" fontId="17" fillId="37" borderId="41" xfId="2" applyFill="1" applyBorder="1" applyAlignment="1" applyProtection="1">
      <alignment horizontal="center"/>
      <protection locked="0"/>
    </xf>
    <xf numFmtId="0" fontId="17" fillId="3" borderId="26" xfId="2" applyFont="1" applyFill="1" applyBorder="1" applyAlignment="1">
      <alignment horizontal="center"/>
    </xf>
    <xf numFmtId="0" fontId="17" fillId="3" borderId="12" xfId="2" applyFont="1" applyFill="1" applyBorder="1" applyAlignment="1">
      <alignment horizontal="center"/>
    </xf>
    <xf numFmtId="3" fontId="4" fillId="29" borderId="0" xfId="0" applyNumberFormat="1" applyFont="1" applyFill="1" applyAlignment="1" applyProtection="1">
      <alignment horizontal="center"/>
    </xf>
    <xf numFmtId="0" fontId="0" fillId="37" borderId="4" xfId="0" applyFill="1" applyBorder="1" applyAlignment="1" applyProtection="1">
      <alignment horizontal="center"/>
      <protection locked="0"/>
    </xf>
    <xf numFmtId="0" fontId="17" fillId="37" borderId="12" xfId="2" applyFill="1" applyBorder="1" applyAlignment="1" applyProtection="1">
      <alignment horizontal="center"/>
      <protection locked="0"/>
    </xf>
    <xf numFmtId="0" fontId="17" fillId="37" borderId="13" xfId="0" applyFont="1" applyFill="1" applyBorder="1" applyAlignment="1" applyProtection="1">
      <alignment horizontal="center"/>
      <protection locked="0"/>
    </xf>
    <xf numFmtId="0" fontId="80" fillId="29" borderId="0" xfId="0" applyFont="1" applyFill="1" applyAlignment="1" applyProtection="1">
      <alignment horizontal="left"/>
    </xf>
    <xf numFmtId="0" fontId="81" fillId="0" borderId="0" xfId="2" applyFont="1"/>
    <xf numFmtId="0" fontId="17" fillId="0" borderId="0" xfId="2"/>
    <xf numFmtId="0" fontId="17" fillId="0" borderId="0" xfId="2" applyNumberFormat="1"/>
    <xf numFmtId="0" fontId="79" fillId="0" borderId="0" xfId="2" applyFont="1"/>
    <xf numFmtId="0" fontId="11" fillId="29" borderId="0" xfId="2" applyFont="1" applyFill="1" applyProtection="1"/>
    <xf numFmtId="0" fontId="11" fillId="29" borderId="0" xfId="2" applyFont="1" applyFill="1" applyBorder="1" applyProtection="1"/>
    <xf numFmtId="0" fontId="11" fillId="39" borderId="0" xfId="2" applyFont="1" applyFill="1" applyBorder="1" applyProtection="1"/>
    <xf numFmtId="165" fontId="11" fillId="39" borderId="0" xfId="2" applyNumberFormat="1" applyFont="1" applyFill="1" applyBorder="1" applyAlignment="1" applyProtection="1">
      <alignment horizontal="center"/>
    </xf>
    <xf numFmtId="0" fontId="82" fillId="40" borderId="0" xfId="2" applyFont="1" applyFill="1" applyBorder="1" applyProtection="1"/>
    <xf numFmtId="0" fontId="82" fillId="40" borderId="0" xfId="2" applyFont="1" applyFill="1" applyBorder="1" applyAlignment="1" applyProtection="1">
      <alignment horizontal="center"/>
    </xf>
    <xf numFmtId="0" fontId="17" fillId="27" borderId="0" xfId="2" applyFill="1" applyProtection="1"/>
    <xf numFmtId="0" fontId="43" fillId="27" borderId="0" xfId="2" applyFont="1" applyFill="1" applyProtection="1"/>
    <xf numFmtId="0" fontId="11" fillId="27" borderId="0" xfId="2" applyFont="1" applyFill="1" applyProtection="1"/>
    <xf numFmtId="0" fontId="43" fillId="27" borderId="0" xfId="2" applyFont="1" applyFill="1" applyBorder="1" applyProtection="1"/>
    <xf numFmtId="0" fontId="11" fillId="27" borderId="0" xfId="2" applyFont="1" applyFill="1" applyBorder="1" applyProtection="1"/>
    <xf numFmtId="0" fontId="43" fillId="39" borderId="0" xfId="2" applyFont="1" applyFill="1" applyBorder="1" applyProtection="1"/>
    <xf numFmtId="0" fontId="11" fillId="27" borderId="0" xfId="2" applyFont="1" applyFill="1" applyBorder="1" applyAlignment="1" applyProtection="1">
      <alignment horizontal="center"/>
    </xf>
    <xf numFmtId="0" fontId="83" fillId="29" borderId="0" xfId="2" applyFont="1" applyFill="1" applyProtection="1"/>
    <xf numFmtId="0" fontId="5" fillId="29" borderId="0" xfId="2" applyFont="1" applyFill="1" applyProtection="1"/>
    <xf numFmtId="0" fontId="84" fillId="29" borderId="0" xfId="2" applyFont="1" applyFill="1" applyProtection="1"/>
    <xf numFmtId="0" fontId="85" fillId="29" borderId="0" xfId="2" applyFont="1" applyFill="1" applyBorder="1" applyProtection="1"/>
    <xf numFmtId="0" fontId="86" fillId="40" borderId="0" xfId="2" applyFont="1" applyFill="1" applyBorder="1" applyProtection="1"/>
    <xf numFmtId="0" fontId="87" fillId="40" borderId="0" xfId="2" applyFont="1" applyFill="1" applyBorder="1" applyProtection="1"/>
    <xf numFmtId="0" fontId="88" fillId="40" borderId="0" xfId="2" applyFont="1" applyFill="1" applyBorder="1" applyAlignment="1" applyProtection="1">
      <alignment horizontal="center"/>
    </xf>
    <xf numFmtId="0" fontId="89" fillId="29" borderId="0" xfId="2" applyFont="1" applyFill="1" applyBorder="1" applyProtection="1"/>
    <xf numFmtId="0" fontId="90" fillId="29" borderId="0" xfId="0" applyFont="1" applyFill="1" applyProtection="1"/>
    <xf numFmtId="0" fontId="70" fillId="42" borderId="0" xfId="0" applyFont="1" applyFill="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5" fillId="37" borderId="0" xfId="0" applyFont="1" applyFill="1" applyBorder="1" applyProtection="1"/>
    <xf numFmtId="0" fontId="17" fillId="37" borderId="1" xfId="0" applyFont="1" applyFill="1" applyBorder="1" applyAlignment="1" applyProtection="1">
      <alignment horizontal="center"/>
      <protection locked="0"/>
    </xf>
    <xf numFmtId="0" fontId="17" fillId="42" borderId="0" xfId="0" applyFont="1" applyFill="1" applyAlignment="1" applyProtection="1">
      <alignment horizontal="right"/>
    </xf>
    <xf numFmtId="0" fontId="4" fillId="42" borderId="0" xfId="0" applyFont="1" applyFill="1" applyProtection="1"/>
    <xf numFmtId="3" fontId="4" fillId="42" borderId="0" xfId="0" applyNumberFormat="1" applyFont="1" applyFill="1" applyAlignment="1" applyProtection="1">
      <alignment horizontal="center"/>
    </xf>
    <xf numFmtId="0" fontId="0" fillId="37" borderId="0" xfId="0" applyFill="1" applyProtection="1"/>
    <xf numFmtId="0" fontId="0" fillId="29" borderId="24" xfId="0" applyFont="1" applyFill="1" applyBorder="1" applyAlignment="1" applyProtection="1"/>
    <xf numFmtId="0" fontId="61" fillId="29" borderId="0" xfId="0" applyFont="1" applyFill="1" applyBorder="1" applyAlignment="1" applyProtection="1">
      <alignment horizontal="right"/>
    </xf>
    <xf numFmtId="0" fontId="4" fillId="42" borderId="0" xfId="0" applyFont="1" applyFill="1" applyAlignment="1" applyProtection="1">
      <alignment horizontal="center"/>
    </xf>
    <xf numFmtId="0" fontId="0" fillId="37" borderId="1" xfId="0" applyFill="1" applyBorder="1" applyAlignment="1" applyProtection="1">
      <alignment horizontal="center"/>
      <protection locked="0"/>
    </xf>
    <xf numFmtId="0" fontId="0" fillId="37" borderId="29" xfId="0" applyFill="1" applyBorder="1" applyAlignment="1" applyProtection="1">
      <protection locked="0"/>
    </xf>
    <xf numFmtId="0" fontId="0" fillId="37" borderId="42" xfId="0" applyFill="1" applyBorder="1" applyAlignment="1" applyProtection="1">
      <protection locked="0"/>
    </xf>
    <xf numFmtId="0" fontId="0" fillId="37" borderId="46" xfId="0" applyFill="1" applyBorder="1" applyAlignment="1" applyProtection="1">
      <protection locked="0"/>
    </xf>
    <xf numFmtId="0" fontId="0" fillId="37" borderId="2" xfId="0" applyFill="1" applyBorder="1" applyAlignment="1" applyProtection="1">
      <protection locked="0"/>
    </xf>
    <xf numFmtId="0" fontId="0" fillId="37" borderId="18" xfId="0" applyFill="1" applyBorder="1" applyAlignment="1" applyProtection="1">
      <protection locked="0"/>
    </xf>
    <xf numFmtId="0" fontId="0" fillId="37" borderId="0" xfId="0" applyFill="1" applyBorder="1" applyAlignment="1" applyProtection="1">
      <protection locked="0"/>
    </xf>
    <xf numFmtId="0" fontId="0" fillId="37" borderId="43" xfId="0" applyFill="1" applyBorder="1" applyAlignment="1" applyProtection="1">
      <protection locked="0"/>
    </xf>
    <xf numFmtId="0" fontId="0" fillId="37" borderId="7" xfId="0" applyFill="1" applyBorder="1" applyAlignment="1" applyProtection="1">
      <protection locked="0"/>
    </xf>
    <xf numFmtId="0" fontId="6" fillId="37" borderId="1" xfId="0" applyFont="1" applyFill="1" applyBorder="1" applyAlignment="1" applyProtection="1">
      <alignment horizontal="center"/>
      <protection locked="0"/>
    </xf>
    <xf numFmtId="0" fontId="0" fillId="37" borderId="0" xfId="0" applyFill="1" applyAlignment="1">
      <alignment horizontal="center"/>
    </xf>
    <xf numFmtId="0" fontId="4" fillId="29" borderId="0" xfId="0" applyFont="1" applyFill="1" applyAlignment="1" applyProtection="1"/>
    <xf numFmtId="3" fontId="17" fillId="29" borderId="0" xfId="0" applyNumberFormat="1" applyFont="1" applyFill="1" applyAlignment="1" applyProtection="1">
      <alignment horizontal="center"/>
    </xf>
    <xf numFmtId="0" fontId="43" fillId="29" borderId="0" xfId="0" applyFont="1" applyFill="1" applyBorder="1" applyAlignment="1" applyProtection="1">
      <alignment horizontal="right"/>
    </xf>
    <xf numFmtId="0" fontId="17" fillId="29" borderId="0" xfId="0" applyFont="1" applyFill="1" applyProtection="1"/>
    <xf numFmtId="3" fontId="4" fillId="29" borderId="22" xfId="0" applyNumberFormat="1" applyFont="1" applyFill="1" applyBorder="1" applyAlignment="1" applyProtection="1">
      <alignment horizontal="center"/>
    </xf>
    <xf numFmtId="0" fontId="93" fillId="2" borderId="0" xfId="0" applyFont="1" applyFill="1" applyAlignment="1">
      <alignment horizontal="center"/>
    </xf>
    <xf numFmtId="0" fontId="79" fillId="2" borderId="0" xfId="0" applyFont="1" applyFill="1" applyAlignment="1">
      <alignment horizontal="left"/>
    </xf>
    <xf numFmtId="0" fontId="79" fillId="30" borderId="0" xfId="0" applyFont="1" applyFill="1" applyAlignment="1">
      <alignment horizontal="center"/>
    </xf>
    <xf numFmtId="0" fontId="79" fillId="30" borderId="0" xfId="0" applyFont="1" applyFill="1"/>
    <xf numFmtId="0" fontId="0" fillId="0" borderId="0" xfId="0"/>
    <xf numFmtId="0" fontId="0" fillId="2" borderId="0" xfId="0" applyFill="1"/>
    <xf numFmtId="0" fontId="17" fillId="2" borderId="0" xfId="0" applyFont="1" applyFill="1" applyAlignment="1">
      <alignment horizontal="center"/>
    </xf>
    <xf numFmtId="0" fontId="17" fillId="2" borderId="0" xfId="0" applyFont="1" applyFill="1" applyAlignment="1">
      <alignment horizontal="left"/>
    </xf>
    <xf numFmtId="0" fontId="17" fillId="2" borderId="0" xfId="0" applyFont="1" applyFill="1"/>
    <xf numFmtId="0" fontId="0" fillId="0" borderId="0" xfId="0" applyAlignment="1">
      <alignment horizontal="center"/>
    </xf>
    <xf numFmtId="0" fontId="0" fillId="11" borderId="0" xfId="0" applyFill="1"/>
    <xf numFmtId="0" fontId="17" fillId="0" borderId="0" xfId="0" applyFont="1"/>
    <xf numFmtId="0" fontId="17" fillId="2" borderId="0" xfId="0" applyFont="1" applyFill="1" applyBorder="1" applyAlignment="1">
      <alignment horizontal="left"/>
    </xf>
    <xf numFmtId="0" fontId="17" fillId="3" borderId="0" xfId="0" applyFont="1" applyFill="1" applyBorder="1" applyAlignment="1">
      <alignment horizontal="left"/>
    </xf>
    <xf numFmtId="0" fontId="17" fillId="3" borderId="24" xfId="0" applyFont="1" applyFill="1" applyBorder="1" applyAlignment="1">
      <alignment horizontal="center"/>
    </xf>
    <xf numFmtId="0" fontId="17" fillId="3" borderId="16" xfId="0" applyFont="1" applyFill="1" applyBorder="1" applyAlignment="1">
      <alignment horizontal="center"/>
    </xf>
    <xf numFmtId="0" fontId="17" fillId="3" borderId="0" xfId="0" applyFont="1" applyFill="1" applyBorder="1" applyAlignment="1">
      <alignment horizontal="center"/>
    </xf>
    <xf numFmtId="0" fontId="17" fillId="2" borderId="0" xfId="0" applyFont="1" applyFill="1" applyBorder="1" applyProtection="1"/>
    <xf numFmtId="0" fontId="17" fillId="21" borderId="0" xfId="0" applyFont="1" applyFill="1" applyBorder="1" applyAlignment="1" applyProtection="1">
      <alignment horizontal="center"/>
      <protection locked="0"/>
    </xf>
    <xf numFmtId="0" fontId="17" fillId="6" borderId="18" xfId="0" applyFont="1" applyFill="1" applyBorder="1" applyAlignment="1">
      <alignment horizontal="left"/>
    </xf>
    <xf numFmtId="3" fontId="17" fillId="6" borderId="21" xfId="0" applyNumberFormat="1" applyFont="1" applyFill="1" applyBorder="1" applyAlignment="1">
      <alignment horizontal="center"/>
    </xf>
    <xf numFmtId="3" fontId="17" fillId="6" borderId="0" xfId="0" applyNumberFormat="1" applyFont="1" applyFill="1" applyBorder="1" applyAlignment="1">
      <alignment horizontal="center"/>
    </xf>
    <xf numFmtId="3" fontId="17" fillId="6" borderId="0" xfId="0" applyNumberFormat="1" applyFont="1" applyFill="1" applyAlignment="1">
      <alignment horizontal="center"/>
    </xf>
    <xf numFmtId="3" fontId="17" fillId="2" borderId="0" xfId="0" applyNumberFormat="1" applyFont="1" applyFill="1"/>
    <xf numFmtId="0" fontId="33" fillId="2" borderId="0" xfId="0" applyFont="1" applyFill="1" applyAlignment="1">
      <alignment horizontal="left"/>
    </xf>
    <xf numFmtId="0" fontId="17" fillId="8" borderId="21" xfId="0" applyFont="1" applyFill="1" applyBorder="1" applyAlignment="1">
      <alignment horizontal="center" vertical="center"/>
    </xf>
    <xf numFmtId="0" fontId="17" fillId="8" borderId="18" xfId="0" applyFont="1" applyFill="1" applyBorder="1" applyAlignment="1">
      <alignment horizontal="left" vertical="center"/>
    </xf>
    <xf numFmtId="0" fontId="17" fillId="2" borderId="0" xfId="0" applyFont="1" applyFill="1" applyBorder="1" applyAlignment="1">
      <alignment horizontal="right"/>
    </xf>
    <xf numFmtId="0" fontId="17" fillId="2" borderId="0" xfId="0" applyFont="1" applyFill="1" applyBorder="1" applyProtection="1">
      <protection locked="0"/>
    </xf>
    <xf numFmtId="0" fontId="17" fillId="6" borderId="0" xfId="0" applyFont="1" applyFill="1" applyBorder="1" applyAlignment="1">
      <alignment horizontal="left"/>
    </xf>
    <xf numFmtId="0" fontId="79" fillId="2" borderId="0" xfId="0" applyFont="1" applyFill="1"/>
    <xf numFmtId="0" fontId="79" fillId="2" borderId="0" xfId="0" applyFont="1" applyFill="1" applyAlignment="1">
      <alignment horizontal="center"/>
    </xf>
    <xf numFmtId="0" fontId="93" fillId="2" borderId="0" xfId="0" applyFont="1" applyFill="1"/>
    <xf numFmtId="0" fontId="79" fillId="2" borderId="0" xfId="0" applyFont="1" applyFill="1" applyAlignment="1">
      <alignment vertical="center"/>
    </xf>
    <xf numFmtId="0" fontId="17" fillId="3" borderId="9" xfId="0" applyFont="1" applyFill="1" applyBorder="1" applyAlignment="1">
      <alignment horizontal="left"/>
    </xf>
    <xf numFmtId="0" fontId="17" fillId="3" borderId="24" xfId="0" applyFont="1" applyFill="1" applyBorder="1" applyAlignment="1">
      <alignment horizontal="left"/>
    </xf>
    <xf numFmtId="0" fontId="17" fillId="3" borderId="21" xfId="0" applyFont="1" applyFill="1" applyBorder="1" applyAlignment="1">
      <alignment horizontal="left"/>
    </xf>
    <xf numFmtId="0" fontId="17" fillId="3" borderId="25" xfId="0" applyFont="1" applyFill="1" applyBorder="1" applyAlignment="1">
      <alignment horizontal="left"/>
    </xf>
    <xf numFmtId="9" fontId="19" fillId="21" borderId="0" xfId="3" applyFont="1" applyFill="1" applyBorder="1" applyAlignment="1" applyProtection="1">
      <alignment horizontal="center"/>
      <protection locked="0"/>
    </xf>
    <xf numFmtId="9" fontId="69" fillId="44" borderId="0" xfId="3" applyFont="1" applyFill="1" applyBorder="1" applyAlignment="1">
      <alignment horizontal="center"/>
    </xf>
    <xf numFmtId="9" fontId="69" fillId="44" borderId="22" xfId="3" applyFont="1" applyFill="1" applyBorder="1" applyAlignment="1">
      <alignment horizontal="center"/>
    </xf>
    <xf numFmtId="9" fontId="19" fillId="21" borderId="22" xfId="3" applyFont="1" applyFill="1" applyBorder="1" applyAlignment="1" applyProtection="1">
      <alignment horizontal="center"/>
      <protection locked="0"/>
    </xf>
    <xf numFmtId="0" fontId="79" fillId="2" borderId="0" xfId="0" applyFont="1" applyFill="1" applyAlignment="1">
      <alignment horizontal="center" vertical="center"/>
    </xf>
    <xf numFmtId="1" fontId="79" fillId="2" borderId="0" xfId="0" applyNumberFormat="1" applyFont="1" applyFill="1" applyAlignment="1">
      <alignment horizontal="center"/>
    </xf>
    <xf numFmtId="1" fontId="79" fillId="2" borderId="0" xfId="0" applyNumberFormat="1" applyFont="1" applyFill="1"/>
    <xf numFmtId="166" fontId="66" fillId="9" borderId="0" xfId="0" applyNumberFormat="1" applyFont="1" applyFill="1" applyAlignment="1">
      <alignment horizontal="center"/>
    </xf>
    <xf numFmtId="0" fontId="17" fillId="3" borderId="0" xfId="2" applyFont="1" applyFill="1" applyAlignment="1">
      <alignment horizontal="left"/>
    </xf>
    <xf numFmtId="0" fontId="17" fillId="3" borderId="0" xfId="2" applyFont="1" applyFill="1"/>
    <xf numFmtId="3" fontId="17" fillId="6" borderId="0" xfId="2" applyNumberFormat="1" applyFont="1" applyFill="1" applyAlignment="1">
      <alignment horizontal="center"/>
    </xf>
    <xf numFmtId="0" fontId="17" fillId="3" borderId="22" xfId="2" applyFont="1" applyFill="1" applyBorder="1"/>
    <xf numFmtId="0" fontId="17" fillId="0" borderId="0" xfId="2"/>
    <xf numFmtId="0" fontId="17" fillId="10" borderId="0" xfId="2" applyFill="1" applyAlignment="1">
      <alignment horizontal="center"/>
    </xf>
    <xf numFmtId="0" fontId="17" fillId="10" borderId="0" xfId="2" applyFill="1"/>
    <xf numFmtId="1" fontId="17" fillId="17" borderId="0" xfId="2" applyNumberFormat="1" applyFill="1"/>
    <xf numFmtId="1" fontId="17" fillId="10" borderId="0" xfId="2" applyNumberFormat="1" applyFill="1" applyAlignment="1">
      <alignment horizontal="center"/>
    </xf>
    <xf numFmtId="0" fontId="17" fillId="29" borderId="0" xfId="2" applyFill="1"/>
    <xf numFmtId="0" fontId="17" fillId="29" borderId="0" xfId="2" applyFill="1" applyAlignment="1">
      <alignment horizontal="center"/>
    </xf>
    <xf numFmtId="0" fontId="17" fillId="29" borderId="0" xfId="2" applyFont="1" applyFill="1"/>
    <xf numFmtId="1" fontId="17" fillId="29" borderId="0" xfId="2" applyNumberFormat="1" applyFill="1" applyAlignment="1">
      <alignment horizontal="center"/>
    </xf>
    <xf numFmtId="0" fontId="17" fillId="17" borderId="0" xfId="2" applyFont="1" applyFill="1"/>
    <xf numFmtId="0" fontId="22" fillId="17" borderId="0" xfId="2" applyFont="1" applyFill="1" applyAlignment="1">
      <alignment horizontal="center"/>
    </xf>
    <xf numFmtId="0" fontId="17" fillId="17" borderId="0" xfId="2" applyFill="1"/>
    <xf numFmtId="0" fontId="17" fillId="17" borderId="0" xfId="2" applyFill="1" applyAlignment="1">
      <alignment horizontal="center"/>
    </xf>
    <xf numFmtId="11" fontId="17" fillId="39" borderId="0" xfId="2" applyNumberFormat="1" applyFill="1" applyAlignment="1">
      <alignment horizontal="center"/>
    </xf>
    <xf numFmtId="0" fontId="79" fillId="17" borderId="0" xfId="2" applyFont="1" applyFill="1"/>
    <xf numFmtId="169" fontId="66" fillId="9" borderId="0" xfId="0" applyNumberFormat="1" applyFont="1" applyFill="1" applyAlignment="1">
      <alignment horizontal="center"/>
    </xf>
    <xf numFmtId="0" fontId="5" fillId="27" borderId="0" xfId="0" applyFont="1" applyFill="1" applyProtection="1"/>
    <xf numFmtId="0" fontId="6" fillId="43" borderId="15" xfId="0" applyFont="1" applyFill="1" applyBorder="1" applyProtection="1">
      <protection locked="0"/>
    </xf>
    <xf numFmtId="9" fontId="17" fillId="34" borderId="0" xfId="0" applyNumberFormat="1" applyFont="1" applyFill="1" applyBorder="1" applyAlignment="1" applyProtection="1">
      <alignment horizontal="center"/>
      <protection locked="0"/>
    </xf>
    <xf numFmtId="0" fontId="83" fillId="29" borderId="0" xfId="0" applyFont="1" applyFill="1" applyProtection="1"/>
    <xf numFmtId="0" fontId="17" fillId="43" borderId="1" xfId="0" applyFont="1" applyFill="1" applyBorder="1" applyAlignment="1" applyProtection="1">
      <alignment horizontal="center"/>
      <protection locked="0"/>
    </xf>
    <xf numFmtId="0" fontId="17" fillId="43" borderId="15" xfId="0" applyFont="1" applyFill="1" applyBorder="1" applyAlignment="1" applyProtection="1">
      <alignment horizontal="center"/>
      <protection locked="0"/>
    </xf>
    <xf numFmtId="0" fontId="17" fillId="2" borderId="0" xfId="0" applyFont="1" applyFill="1" applyAlignment="1"/>
    <xf numFmtId="9" fontId="17" fillId="43" borderId="1" xfId="0" applyNumberFormat="1" applyFont="1" applyFill="1" applyBorder="1" applyAlignment="1" applyProtection="1">
      <alignment horizontal="center"/>
      <protection locked="0"/>
    </xf>
    <xf numFmtId="9" fontId="17" fillId="43" borderId="3" xfId="0" applyNumberFormat="1" applyFont="1" applyFill="1" applyBorder="1" applyAlignment="1" applyProtection="1">
      <alignment horizontal="center"/>
      <protection locked="0"/>
    </xf>
    <xf numFmtId="9" fontId="17" fillId="43" borderId="4" xfId="0" applyNumberFormat="1" applyFont="1" applyFill="1" applyBorder="1" applyAlignment="1" applyProtection="1">
      <alignment horizontal="center"/>
      <protection locked="0"/>
    </xf>
    <xf numFmtId="9" fontId="17" fillId="43" borderId="5" xfId="0" applyNumberFormat="1" applyFont="1" applyFill="1" applyBorder="1" applyAlignment="1" applyProtection="1">
      <alignment horizontal="center"/>
      <protection locked="0"/>
    </xf>
    <xf numFmtId="9" fontId="17" fillId="43" borderId="6" xfId="0" applyNumberFormat="1" applyFont="1" applyFill="1" applyBorder="1" applyAlignment="1" applyProtection="1">
      <alignment horizontal="center"/>
      <protection locked="0"/>
    </xf>
    <xf numFmtId="9" fontId="17" fillId="43" borderId="8" xfId="0" applyNumberFormat="1" applyFont="1" applyFill="1" applyBorder="1" applyAlignment="1" applyProtection="1">
      <alignment horizontal="center"/>
      <protection locked="0"/>
    </xf>
    <xf numFmtId="9" fontId="17" fillId="43" borderId="15" xfId="0" applyNumberFormat="1" applyFont="1" applyFill="1" applyBorder="1" applyAlignment="1" applyProtection="1">
      <alignment horizontal="center"/>
      <protection locked="0"/>
    </xf>
    <xf numFmtId="9" fontId="17" fillId="43" borderId="13" xfId="0" applyNumberFormat="1" applyFont="1" applyFill="1" applyBorder="1" applyAlignment="1" applyProtection="1">
      <alignment horizontal="center"/>
      <protection locked="0"/>
    </xf>
    <xf numFmtId="9" fontId="17" fillId="43" borderId="14" xfId="0" applyNumberFormat="1" applyFont="1" applyFill="1" applyBorder="1" applyAlignment="1" applyProtection="1">
      <alignment horizontal="center"/>
      <protection locked="0"/>
    </xf>
    <xf numFmtId="3" fontId="17" fillId="37" borderId="15" xfId="0" applyNumberFormat="1" applyFont="1" applyFill="1" applyBorder="1" applyAlignment="1" applyProtection="1">
      <alignment horizontal="center"/>
      <protection locked="0"/>
    </xf>
    <xf numFmtId="3" fontId="43" fillId="29" borderId="0" xfId="0" applyNumberFormat="1" applyFont="1" applyFill="1" applyAlignment="1" applyProtection="1">
      <alignment horizontal="center"/>
    </xf>
    <xf numFmtId="0" fontId="43" fillId="27" borderId="0" xfId="0" applyFont="1" applyFill="1" applyProtection="1"/>
    <xf numFmtId="0" fontId="43" fillId="29" borderId="0" xfId="0" applyFont="1" applyFill="1" applyProtection="1"/>
    <xf numFmtId="0" fontId="17" fillId="30" borderId="0" xfId="0" applyFont="1" applyFill="1" applyBorder="1" applyAlignment="1" applyProtection="1">
      <alignment horizontal="center"/>
    </xf>
    <xf numFmtId="3" fontId="17" fillId="27" borderId="0" xfId="0" applyNumberFormat="1" applyFont="1" applyFill="1" applyBorder="1" applyAlignment="1" applyProtection="1">
      <alignment horizontal="center"/>
    </xf>
    <xf numFmtId="0" fontId="17" fillId="27" borderId="0" xfId="0" applyFont="1" applyFill="1" applyProtection="1"/>
    <xf numFmtId="3" fontId="43" fillId="29" borderId="0" xfId="0" applyNumberFormat="1" applyFont="1" applyFill="1" applyBorder="1" applyAlignment="1" applyProtection="1">
      <alignment horizontal="center"/>
    </xf>
    <xf numFmtId="0" fontId="17" fillId="29" borderId="0" xfId="0" applyFont="1" applyFill="1" applyBorder="1" applyAlignment="1" applyProtection="1"/>
    <xf numFmtId="3" fontId="55" fillId="43" borderId="1" xfId="0" applyNumberFormat="1" applyFont="1" applyFill="1" applyBorder="1" applyAlignment="1" applyProtection="1">
      <alignment horizontal="center"/>
      <protection locked="0"/>
    </xf>
    <xf numFmtId="3" fontId="55" fillId="43" borderId="15" xfId="0" applyNumberFormat="1" applyFont="1" applyFill="1" applyBorder="1" applyAlignment="1" applyProtection="1">
      <alignment horizontal="center"/>
      <protection locked="0"/>
    </xf>
    <xf numFmtId="1" fontId="55" fillId="43" borderId="15" xfId="0" applyNumberFormat="1" applyFont="1" applyFill="1" applyBorder="1" applyAlignment="1" applyProtection="1">
      <alignment horizontal="center"/>
      <protection locked="0"/>
    </xf>
    <xf numFmtId="1" fontId="55" fillId="43" borderId="1" xfId="0" applyNumberFormat="1" applyFont="1" applyFill="1" applyBorder="1" applyAlignment="1" applyProtection="1">
      <alignment horizontal="center"/>
      <protection locked="0"/>
    </xf>
    <xf numFmtId="3" fontId="17" fillId="29" borderId="0" xfId="0" applyNumberFormat="1" applyFont="1" applyFill="1" applyBorder="1" applyAlignment="1" applyProtection="1">
      <alignment horizontal="left" wrapText="1"/>
    </xf>
    <xf numFmtId="0" fontId="17" fillId="29" borderId="0" xfId="0" applyFont="1" applyFill="1" applyBorder="1" applyAlignment="1" applyProtection="1">
      <alignment horizontal="left"/>
    </xf>
    <xf numFmtId="0" fontId="43" fillId="29" borderId="0" xfId="0" applyFont="1" applyFill="1" applyAlignment="1" applyProtection="1">
      <alignment horizontal="center"/>
    </xf>
    <xf numFmtId="0" fontId="43" fillId="29" borderId="0" xfId="0" applyFont="1" applyFill="1" applyAlignment="1" applyProtection="1"/>
    <xf numFmtId="0" fontId="17" fillId="29" borderId="0" xfId="0" applyFont="1" applyFill="1" applyAlignment="1" applyProtection="1"/>
    <xf numFmtId="3" fontId="4" fillId="27" borderId="0" xfId="0" applyNumberFormat="1" applyFont="1" applyFill="1" applyAlignment="1" applyProtection="1">
      <alignment horizontal="center"/>
    </xf>
    <xf numFmtId="3" fontId="43" fillId="27" borderId="0" xfId="0" applyNumberFormat="1" applyFont="1" applyFill="1" applyProtection="1"/>
    <xf numFmtId="0" fontId="6" fillId="37" borderId="10" xfId="0" applyFont="1" applyFill="1" applyBorder="1" applyAlignment="1" applyProtection="1">
      <alignment horizontal="center"/>
      <protection locked="0"/>
    </xf>
    <xf numFmtId="0" fontId="6" fillId="37" borderId="11" xfId="0" applyFont="1" applyFill="1" applyBorder="1" applyAlignment="1" applyProtection="1">
      <alignment horizontal="center"/>
      <protection locked="0"/>
    </xf>
    <xf numFmtId="0" fontId="6" fillId="37" borderId="41" xfId="0" applyFont="1" applyFill="1" applyBorder="1" applyAlignment="1" applyProtection="1">
      <alignment horizontal="center"/>
      <protection locked="0"/>
    </xf>
    <xf numFmtId="0" fontId="17" fillId="37" borderId="15" xfId="0" applyFont="1" applyFill="1" applyBorder="1" applyAlignment="1" applyProtection="1">
      <alignment horizontal="center"/>
      <protection locked="0"/>
    </xf>
    <xf numFmtId="0" fontId="17" fillId="37" borderId="2" xfId="0" applyFont="1" applyFill="1" applyBorder="1" applyAlignment="1" applyProtection="1">
      <alignment horizontal="center"/>
      <protection locked="0"/>
    </xf>
    <xf numFmtId="0" fontId="17" fillId="37" borderId="6" xfId="0" applyFont="1" applyFill="1" applyBorder="1" applyAlignment="1" applyProtection="1">
      <alignment horizontal="center"/>
      <protection locked="0"/>
    </xf>
    <xf numFmtId="0" fontId="17" fillId="37" borderId="7" xfId="0" applyFont="1" applyFill="1" applyBorder="1" applyAlignment="1" applyProtection="1">
      <alignment horizontal="center"/>
      <protection locked="0"/>
    </xf>
    <xf numFmtId="165" fontId="4" fillId="29" borderId="0" xfId="0" applyNumberFormat="1" applyFont="1" applyFill="1" applyAlignment="1" applyProtection="1">
      <alignment horizontal="center"/>
    </xf>
    <xf numFmtId="0" fontId="5" fillId="28" borderId="0" xfId="0" applyFont="1" applyFill="1" applyBorder="1" applyProtection="1"/>
    <xf numFmtId="0" fontId="5" fillId="28" borderId="0" xfId="0" applyFont="1" applyFill="1" applyBorder="1" applyAlignment="1" applyProtection="1">
      <alignment horizontal="center"/>
    </xf>
    <xf numFmtId="0" fontId="5" fillId="28" borderId="0" xfId="0" applyFont="1" applyFill="1" applyProtection="1"/>
    <xf numFmtId="0" fontId="5" fillId="28" borderId="0" xfId="0" applyFont="1" applyFill="1" applyAlignment="1" applyProtection="1">
      <alignment horizontal="center"/>
    </xf>
    <xf numFmtId="0" fontId="77" fillId="37" borderId="15" xfId="0" applyFont="1" applyFill="1" applyBorder="1" applyAlignment="1" applyProtection="1">
      <alignment horizontal="center"/>
      <protection locked="0"/>
    </xf>
    <xf numFmtId="0" fontId="4" fillId="37" borderId="15" xfId="0" applyFont="1" applyFill="1" applyBorder="1" applyAlignment="1" applyProtection="1">
      <alignment horizontal="center"/>
      <protection locked="0"/>
    </xf>
    <xf numFmtId="0" fontId="0" fillId="37" borderId="15" xfId="0" applyFill="1" applyBorder="1" applyAlignment="1" applyProtection="1">
      <alignment horizontal="center"/>
      <protection locked="0"/>
    </xf>
    <xf numFmtId="0" fontId="76" fillId="37" borderId="2" xfId="0" applyFont="1" applyFill="1" applyBorder="1" applyAlignment="1" applyProtection="1">
      <protection locked="0"/>
    </xf>
    <xf numFmtId="0" fontId="76" fillId="37" borderId="0" xfId="0" applyFont="1" applyFill="1" applyBorder="1" applyAlignment="1" applyProtection="1">
      <protection locked="0"/>
    </xf>
    <xf numFmtId="0" fontId="17" fillId="37" borderId="0" xfId="0" applyFont="1" applyFill="1" applyBorder="1" applyAlignment="1" applyProtection="1">
      <protection locked="0"/>
    </xf>
    <xf numFmtId="0" fontId="17" fillId="37" borderId="7" xfId="0" applyFont="1" applyFill="1" applyBorder="1" applyAlignment="1" applyProtection="1">
      <protection locked="0"/>
    </xf>
    <xf numFmtId="0" fontId="0" fillId="27" borderId="0" xfId="0" applyFont="1" applyFill="1" applyAlignment="1" applyProtection="1">
      <alignment horizontal="center"/>
    </xf>
    <xf numFmtId="3" fontId="83" fillId="29" borderId="0" xfId="0" applyNumberFormat="1" applyFont="1" applyFill="1" applyBorder="1" applyAlignment="1" applyProtection="1">
      <alignment horizontal="center"/>
    </xf>
    <xf numFmtId="0" fontId="83" fillId="29" borderId="0" xfId="0" applyFont="1" applyFill="1" applyBorder="1" applyAlignment="1" applyProtection="1">
      <alignment vertical="center" wrapText="1"/>
    </xf>
    <xf numFmtId="0" fontId="17" fillId="43" borderId="15" xfId="0" applyFont="1" applyFill="1" applyBorder="1" applyAlignment="1" applyProtection="1">
      <protection locked="0"/>
    </xf>
    <xf numFmtId="0" fontId="0" fillId="43" borderId="15" xfId="0" applyFill="1" applyBorder="1" applyAlignment="1" applyProtection="1">
      <alignment horizontal="center"/>
      <protection locked="0"/>
    </xf>
    <xf numFmtId="3" fontId="0" fillId="43" borderId="24" xfId="0" applyNumberFormat="1" applyFill="1" applyBorder="1" applyAlignment="1" applyProtection="1">
      <alignment horizontal="center"/>
      <protection locked="0"/>
    </xf>
    <xf numFmtId="3" fontId="50" fillId="43" borderId="15" xfId="0" applyNumberFormat="1" applyFont="1" applyFill="1" applyBorder="1" applyAlignment="1" applyProtection="1">
      <alignment horizontal="center"/>
      <protection locked="0"/>
    </xf>
    <xf numFmtId="0" fontId="43" fillId="29" borderId="0" xfId="0" applyFont="1" applyFill="1" applyBorder="1" applyAlignment="1" applyProtection="1">
      <alignment horizontal="center"/>
    </xf>
    <xf numFmtId="0" fontId="5" fillId="29" borderId="22" xfId="0" applyFont="1" applyFill="1" applyBorder="1" applyAlignment="1" applyProtection="1">
      <alignment horizontal="left"/>
    </xf>
    <xf numFmtId="3" fontId="83" fillId="29" borderId="0" xfId="0" applyNumberFormat="1" applyFont="1" applyFill="1" applyAlignment="1" applyProtection="1">
      <alignment horizontal="center"/>
    </xf>
    <xf numFmtId="3" fontId="5" fillId="29" borderId="22" xfId="0" applyNumberFormat="1" applyFont="1" applyFill="1" applyBorder="1" applyAlignment="1" applyProtection="1">
      <alignment wrapText="1"/>
    </xf>
    <xf numFmtId="0" fontId="17" fillId="43" borderId="3" xfId="0" applyFont="1" applyFill="1" applyBorder="1" applyAlignment="1" applyProtection="1">
      <alignment horizontal="center"/>
      <protection locked="0"/>
    </xf>
    <xf numFmtId="0" fontId="71" fillId="2" borderId="0" xfId="0" applyFont="1" applyFill="1" applyProtection="1"/>
    <xf numFmtId="0" fontId="71" fillId="2" borderId="0" xfId="0" applyFont="1" applyFill="1" applyProtection="1">
      <protection locked="0"/>
    </xf>
    <xf numFmtId="0" fontId="17" fillId="27" borderId="0" xfId="0" applyFont="1" applyFill="1"/>
    <xf numFmtId="0" fontId="0" fillId="41" borderId="0" xfId="0" applyFill="1"/>
    <xf numFmtId="0" fontId="17" fillId="29" borderId="0" xfId="0" applyFont="1" applyFill="1" applyAlignment="1">
      <alignment horizontal="right"/>
    </xf>
    <xf numFmtId="3" fontId="0" fillId="27" borderId="0" xfId="0" applyNumberFormat="1" applyFill="1" applyAlignment="1">
      <alignment horizontal="center"/>
    </xf>
    <xf numFmtId="0" fontId="0" fillId="27" borderId="0" xfId="0" applyFill="1" applyAlignment="1">
      <alignment horizontal="center"/>
    </xf>
    <xf numFmtId="165" fontId="0" fillId="27" borderId="0" xfId="0" applyNumberFormat="1" applyFill="1"/>
    <xf numFmtId="3" fontId="0" fillId="27" borderId="0" xfId="0" applyNumberFormat="1" applyFill="1"/>
    <xf numFmtId="3" fontId="0" fillId="29" borderId="0" xfId="0" applyNumberFormat="1" applyFill="1" applyAlignment="1">
      <alignment horizontal="center"/>
    </xf>
    <xf numFmtId="1" fontId="0" fillId="29" borderId="0" xfId="0" applyNumberFormat="1" applyFill="1" applyAlignment="1">
      <alignment horizontal="center"/>
    </xf>
    <xf numFmtId="0" fontId="0" fillId="32" borderId="0" xfId="0" applyFill="1"/>
    <xf numFmtId="3" fontId="0" fillId="32" borderId="0" xfId="0" applyNumberFormat="1" applyFill="1" applyAlignment="1">
      <alignment horizontal="center"/>
    </xf>
    <xf numFmtId="3" fontId="0" fillId="41" borderId="0" xfId="0" applyNumberFormat="1" applyFill="1" applyAlignment="1">
      <alignment horizontal="center"/>
    </xf>
    <xf numFmtId="0" fontId="5" fillId="41" borderId="0" xfId="0" applyFont="1" applyFill="1" applyBorder="1" applyAlignment="1">
      <alignment horizontal="center"/>
    </xf>
    <xf numFmtId="165" fontId="0" fillId="41" borderId="0" xfId="0" applyNumberFormat="1" applyFill="1" applyAlignment="1">
      <alignment horizontal="center"/>
    </xf>
    <xf numFmtId="3" fontId="0" fillId="41" borderId="0" xfId="0" applyNumberFormat="1" applyFill="1" applyAlignment="1"/>
    <xf numFmtId="0" fontId="5" fillId="29" borderId="0" xfId="0" applyFont="1" applyFill="1"/>
    <xf numFmtId="0" fontId="5" fillId="32" borderId="0" xfId="0" applyFont="1" applyFill="1"/>
    <xf numFmtId="165" fontId="0" fillId="32" borderId="0" xfId="0" applyNumberFormat="1" applyFill="1" applyAlignment="1">
      <alignment horizontal="center"/>
    </xf>
    <xf numFmtId="0" fontId="5" fillId="41" borderId="22" xfId="0" applyFont="1" applyFill="1" applyBorder="1" applyAlignment="1"/>
    <xf numFmtId="3" fontId="5" fillId="29" borderId="0" xfId="0" applyNumberFormat="1" applyFont="1" applyFill="1" applyAlignment="1">
      <alignment horizontal="center"/>
    </xf>
    <xf numFmtId="0" fontId="72" fillId="27" borderId="0" xfId="0" applyFont="1" applyFill="1"/>
    <xf numFmtId="0" fontId="6" fillId="34" borderId="0" xfId="0" applyFont="1" applyFill="1" applyBorder="1" applyProtection="1">
      <protection locked="0"/>
    </xf>
    <xf numFmtId="0" fontId="0" fillId="0" borderId="0" xfId="0"/>
    <xf numFmtId="0" fontId="0" fillId="3" borderId="0" xfId="0" applyFill="1" applyBorder="1"/>
    <xf numFmtId="0" fontId="0" fillId="3" borderId="23" xfId="0" applyFill="1" applyBorder="1"/>
    <xf numFmtId="0" fontId="17" fillId="3" borderId="18" xfId="0" applyFont="1" applyFill="1" applyBorder="1"/>
    <xf numFmtId="0" fontId="17" fillId="3" borderId="21" xfId="0" applyFont="1" applyFill="1" applyBorder="1"/>
    <xf numFmtId="0" fontId="14" fillId="9" borderId="24" xfId="0" applyFont="1" applyFill="1" applyBorder="1"/>
    <xf numFmtId="1" fontId="4" fillId="6" borderId="16" xfId="0" applyNumberFormat="1" applyFont="1" applyFill="1" applyBorder="1" applyAlignment="1">
      <alignment horizontal="center"/>
    </xf>
    <xf numFmtId="0" fontId="0" fillId="3" borderId="18" xfId="0" applyFill="1" applyBorder="1"/>
    <xf numFmtId="0" fontId="0" fillId="11" borderId="21" xfId="0" applyFill="1" applyBorder="1" applyAlignment="1"/>
    <xf numFmtId="0" fontId="14" fillId="9" borderId="9" xfId="0" applyFont="1" applyFill="1" applyBorder="1"/>
    <xf numFmtId="0" fontId="4" fillId="8" borderId="0" xfId="0" applyFont="1" applyFill="1" applyBorder="1" applyAlignment="1">
      <alignment horizontal="center"/>
    </xf>
    <xf numFmtId="0" fontId="14" fillId="9" borderId="16" xfId="0" applyFont="1" applyFill="1" applyBorder="1"/>
    <xf numFmtId="0" fontId="17" fillId="11" borderId="25" xfId="0" applyFont="1" applyFill="1" applyBorder="1" applyAlignment="1"/>
    <xf numFmtId="0" fontId="17" fillId="8" borderId="22" xfId="0" applyFont="1" applyFill="1" applyBorder="1" applyAlignment="1">
      <alignment horizontal="center"/>
    </xf>
    <xf numFmtId="1" fontId="5" fillId="6" borderId="41" xfId="0" applyNumberFormat="1" applyFont="1" applyFill="1" applyBorder="1" applyAlignment="1">
      <alignment horizontal="center"/>
    </xf>
    <xf numFmtId="1" fontId="4" fillId="6" borderId="12" xfId="0" applyNumberFormat="1" applyFont="1" applyFill="1" applyBorder="1" applyAlignment="1">
      <alignment horizontal="center"/>
    </xf>
    <xf numFmtId="0" fontId="0" fillId="29" borderId="0" xfId="0" applyFill="1"/>
    <xf numFmtId="0" fontId="17" fillId="29" borderId="0" xfId="0" applyFont="1" applyFill="1"/>
    <xf numFmtId="0" fontId="0" fillId="45" borderId="0" xfId="0" applyFill="1"/>
    <xf numFmtId="0" fontId="5" fillId="29" borderId="0" xfId="0" applyFont="1" applyFill="1" applyBorder="1" applyAlignment="1" applyProtection="1"/>
    <xf numFmtId="0" fontId="5" fillId="41" borderId="0" xfId="0" applyFont="1" applyFill="1" applyBorder="1" applyAlignment="1" applyProtection="1"/>
    <xf numFmtId="0" fontId="5" fillId="41" borderId="0" xfId="0" applyFont="1" applyFill="1"/>
    <xf numFmtId="0" fontId="5" fillId="32" borderId="0" xfId="0" applyFont="1" applyFill="1" applyAlignment="1">
      <alignment horizontal="center"/>
    </xf>
    <xf numFmtId="0" fontId="5" fillId="41" borderId="0" xfId="0" applyFont="1" applyFill="1" applyAlignment="1">
      <alignment horizontal="center"/>
    </xf>
    <xf numFmtId="0" fontId="5" fillId="29" borderId="0" xfId="0" applyFont="1" applyFill="1" applyAlignment="1"/>
    <xf numFmtId="0" fontId="5" fillId="41" borderId="0" xfId="0" applyFont="1" applyFill="1" applyAlignment="1"/>
    <xf numFmtId="1" fontId="0" fillId="30" borderId="0" xfId="0" applyNumberFormat="1" applyFill="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5" fillId="6" borderId="18" xfId="0" applyFont="1" applyFill="1" applyBorder="1" applyAlignment="1" applyProtection="1">
      <alignment horizontal="left"/>
    </xf>
    <xf numFmtId="171" fontId="17" fillId="37" borderId="1" xfId="0" applyNumberFormat="1" applyFont="1" applyFill="1" applyBorder="1" applyAlignment="1" applyProtection="1">
      <alignment horizontal="center"/>
      <protection locked="0"/>
    </xf>
    <xf numFmtId="171" fontId="17" fillId="37" borderId="3" xfId="0" applyNumberFormat="1" applyFont="1" applyFill="1" applyBorder="1" applyAlignment="1" applyProtection="1">
      <alignment horizontal="center"/>
      <protection locked="0"/>
    </xf>
    <xf numFmtId="171" fontId="17" fillId="39" borderId="0" xfId="0" applyNumberFormat="1" applyFont="1" applyFill="1" applyBorder="1" applyAlignment="1" applyProtection="1">
      <alignment horizontal="center"/>
      <protection locked="0"/>
    </xf>
    <xf numFmtId="0" fontId="0" fillId="39" borderId="0" xfId="0" applyFill="1" applyAlignment="1">
      <alignment horizontal="center"/>
    </xf>
    <xf numFmtId="171" fontId="79" fillId="2" borderId="0" xfId="0" applyNumberFormat="1" applyFont="1" applyFill="1"/>
    <xf numFmtId="0" fontId="4" fillId="29" borderId="22" xfId="0" applyFont="1" applyFill="1" applyBorder="1" applyProtection="1"/>
    <xf numFmtId="1" fontId="0" fillId="37" borderId="0" xfId="0" applyNumberFormat="1" applyFill="1" applyBorder="1" applyAlignment="1" applyProtection="1">
      <alignment horizontal="center"/>
    </xf>
    <xf numFmtId="1" fontId="0" fillId="37" borderId="0" xfId="0" applyNumberFormat="1" applyFill="1" applyAlignment="1" applyProtection="1">
      <alignment horizontal="center"/>
    </xf>
    <xf numFmtId="0" fontId="0" fillId="39" borderId="0" xfId="0" applyFill="1" applyAlignment="1" applyProtection="1">
      <alignment horizontal="center"/>
    </xf>
    <xf numFmtId="0" fontId="0" fillId="46" borderId="0" xfId="0" applyFill="1"/>
    <xf numFmtId="3" fontId="0" fillId="46" borderId="0" xfId="0" applyNumberFormat="1" applyFill="1" applyAlignment="1">
      <alignment horizontal="center"/>
    </xf>
    <xf numFmtId="2" fontId="0" fillId="46" borderId="0" xfId="0" applyNumberFormat="1" applyFill="1" applyAlignment="1">
      <alignment horizontal="center"/>
    </xf>
    <xf numFmtId="3" fontId="0" fillId="29" borderId="0" xfId="0" applyNumberFormat="1" applyFill="1" applyAlignment="1">
      <alignment horizontal="right"/>
    </xf>
    <xf numFmtId="0" fontId="4" fillId="34" borderId="0" xfId="0" applyFont="1" applyFill="1" applyBorder="1" applyAlignment="1" applyProtection="1">
      <alignment horizont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5" fillId="29" borderId="0" xfId="0" applyFont="1" applyFill="1" applyAlignment="1" applyProtection="1">
      <alignment horizontal="center"/>
    </xf>
    <xf numFmtId="0" fontId="12" fillId="30" borderId="0" xfId="1" applyFill="1" applyAlignment="1" applyProtection="1">
      <alignment horizontal="center"/>
    </xf>
    <xf numFmtId="0" fontId="17" fillId="29" borderId="0" xfId="0" applyFont="1" applyFill="1" applyAlignment="1" applyProtection="1">
      <alignment horizontal="center"/>
    </xf>
    <xf numFmtId="3" fontId="43" fillId="41" borderId="0" xfId="0" applyNumberFormat="1" applyFont="1" applyFill="1" applyAlignment="1">
      <alignment horizontal="center"/>
    </xf>
    <xf numFmtId="0" fontId="11" fillId="29" borderId="0" xfId="0" applyFont="1" applyFill="1" applyBorder="1" applyAlignment="1" applyProtection="1">
      <alignment horizontal="center" vertical="center"/>
    </xf>
    <xf numFmtId="0" fontId="11" fillId="29" borderId="0" xfId="0" applyFont="1" applyFill="1" applyBorder="1" applyAlignment="1" applyProtection="1">
      <alignment vertical="center"/>
    </xf>
    <xf numFmtId="49" fontId="11" fillId="29" borderId="0" xfId="0" applyNumberFormat="1" applyFont="1" applyFill="1" applyBorder="1" applyAlignment="1" applyProtection="1">
      <alignment horizontal="center" vertical="center"/>
    </xf>
    <xf numFmtId="0" fontId="4" fillId="34" borderId="0" xfId="0" applyFont="1" applyFill="1" applyAlignment="1" applyProtection="1">
      <alignment horizontal="center"/>
      <protection locked="0"/>
    </xf>
    <xf numFmtId="49" fontId="17" fillId="29" borderId="0" xfId="0" applyNumberFormat="1" applyFont="1" applyFill="1" applyBorder="1" applyAlignment="1" applyProtection="1">
      <alignment horizontal="left" vertical="center"/>
    </xf>
    <xf numFmtId="49" fontId="17" fillId="29" borderId="0" xfId="0" applyNumberFormat="1" applyFont="1" applyFill="1" applyBorder="1" applyAlignment="1" applyProtection="1">
      <alignment horizontal="center" vertical="center"/>
    </xf>
    <xf numFmtId="0" fontId="43" fillId="29" borderId="0" xfId="0" applyFont="1" applyFill="1" applyBorder="1" applyProtection="1"/>
    <xf numFmtId="3" fontId="4" fillId="34" borderId="0" xfId="0" applyNumberFormat="1" applyFont="1" applyFill="1" applyAlignment="1" applyProtection="1">
      <alignment horizontal="center"/>
      <protection locked="0"/>
    </xf>
    <xf numFmtId="49" fontId="5" fillId="29" borderId="0" xfId="0" applyNumberFormat="1" applyFont="1" applyFill="1" applyBorder="1" applyAlignment="1" applyProtection="1">
      <alignment horizontal="center" vertical="center"/>
    </xf>
    <xf numFmtId="49" fontId="43" fillId="29" borderId="0" xfId="0" applyNumberFormat="1" applyFont="1" applyFill="1" applyBorder="1" applyAlignment="1" applyProtection="1">
      <alignment horizontal="center" vertical="center"/>
    </xf>
    <xf numFmtId="3" fontId="43" fillId="34" borderId="0" xfId="0" applyNumberFormat="1" applyFont="1" applyFill="1" applyAlignment="1" applyProtection="1">
      <alignment horizontal="center"/>
      <protection locked="0"/>
    </xf>
    <xf numFmtId="9" fontId="43" fillId="34" borderId="0" xfId="0" applyNumberFormat="1" applyFont="1" applyFill="1" applyAlignment="1" applyProtection="1">
      <alignment horizontal="center"/>
      <protection locked="0"/>
    </xf>
    <xf numFmtId="0" fontId="4" fillId="27" borderId="0" xfId="0" applyFont="1" applyFill="1" applyAlignment="1" applyProtection="1">
      <alignment horizontal="center"/>
      <protection locked="0"/>
    </xf>
    <xf numFmtId="0" fontId="0" fillId="29" borderId="0" xfId="0" applyFill="1" applyProtection="1"/>
    <xf numFmtId="0" fontId="0" fillId="35" borderId="0" xfId="0" applyFill="1" applyProtection="1"/>
    <xf numFmtId="0" fontId="31" fillId="29" borderId="0" xfId="0" applyFont="1" applyFill="1" applyProtection="1"/>
    <xf numFmtId="14" fontId="12" fillId="29" borderId="0" xfId="1" applyNumberFormat="1" applyFill="1" applyAlignment="1" applyProtection="1"/>
    <xf numFmtId="0" fontId="8" fillId="41" borderId="0" xfId="0" applyFont="1" applyFill="1" applyBorder="1" applyProtection="1"/>
    <xf numFmtId="0" fontId="6" fillId="41" borderId="0" xfId="0" applyFont="1" applyFill="1" applyBorder="1" applyProtection="1"/>
    <xf numFmtId="0" fontId="0" fillId="41" borderId="0" xfId="0" applyFill="1" applyBorder="1" applyProtection="1"/>
    <xf numFmtId="0" fontId="0" fillId="35" borderId="0" xfId="0" applyFill="1" applyBorder="1" applyProtection="1"/>
    <xf numFmtId="0" fontId="5" fillId="35" borderId="0" xfId="0" applyFont="1" applyFill="1" applyBorder="1" applyProtection="1"/>
    <xf numFmtId="0" fontId="9" fillId="35" borderId="0" xfId="0" applyFont="1" applyFill="1" applyBorder="1" applyAlignment="1" applyProtection="1">
      <alignment horizontal="left"/>
    </xf>
    <xf numFmtId="0" fontId="17" fillId="35" borderId="0" xfId="0" applyFont="1" applyFill="1" applyBorder="1" applyProtection="1"/>
    <xf numFmtId="0" fontId="5" fillId="41" borderId="0" xfId="0" applyFont="1" applyFill="1" applyBorder="1" applyProtection="1"/>
    <xf numFmtId="0" fontId="13" fillId="32" borderId="0" xfId="0" applyFont="1" applyFill="1" applyBorder="1" applyProtection="1"/>
    <xf numFmtId="0" fontId="0" fillId="32" borderId="0" xfId="0" applyFill="1" applyBorder="1" applyProtection="1"/>
    <xf numFmtId="0" fontId="5" fillId="32" borderId="0" xfId="0" applyFont="1" applyFill="1" applyBorder="1" applyProtection="1"/>
    <xf numFmtId="0" fontId="74" fillId="29" borderId="0" xfId="0" applyFont="1" applyFill="1" applyProtection="1"/>
    <xf numFmtId="0" fontId="74" fillId="30" borderId="0" xfId="0" applyFont="1" applyFill="1" applyProtection="1"/>
    <xf numFmtId="0" fontId="91" fillId="29" borderId="0" xfId="0" applyFont="1" applyFill="1" applyProtection="1"/>
    <xf numFmtId="0" fontId="5" fillId="29" borderId="0" xfId="0" applyFont="1" applyFill="1" applyBorder="1" applyAlignment="1" applyProtection="1">
      <alignment horizontal="center"/>
    </xf>
    <xf numFmtId="0" fontId="4" fillId="32" borderId="0" xfId="0" applyFont="1" applyFill="1" applyBorder="1" applyAlignment="1" applyProtection="1">
      <alignment horizontal="center"/>
      <protection locked="0"/>
    </xf>
    <xf numFmtId="0" fontId="5" fillId="35" borderId="0" xfId="1" applyFont="1" applyFill="1" applyBorder="1" applyAlignment="1" applyProtection="1"/>
    <xf numFmtId="0" fontId="17" fillId="35" borderId="0" xfId="1" applyFont="1" applyFill="1" applyBorder="1" applyAlignment="1" applyProtection="1"/>
    <xf numFmtId="0" fontId="4" fillId="35" borderId="0" xfId="0" applyFont="1" applyFill="1" applyBorder="1" applyProtection="1"/>
    <xf numFmtId="0" fontId="4" fillId="41" borderId="0" xfId="0" applyFont="1" applyFill="1" applyBorder="1" applyProtection="1"/>
    <xf numFmtId="165" fontId="0" fillId="32" borderId="0" xfId="0" applyNumberFormat="1" applyFill="1" applyBorder="1" applyAlignment="1" applyProtection="1">
      <alignment horizontal="center"/>
      <protection locked="0"/>
    </xf>
    <xf numFmtId="0" fontId="0" fillId="37" borderId="0" xfId="0" applyFill="1" applyBorder="1" applyAlignment="1" applyProtection="1">
      <alignment horizontal="center"/>
    </xf>
    <xf numFmtId="165" fontId="0" fillId="37" borderId="0" xfId="0" applyNumberFormat="1" applyFill="1" applyBorder="1" applyAlignment="1" applyProtection="1">
      <alignment horizontal="center"/>
    </xf>
    <xf numFmtId="0" fontId="0" fillId="37" borderId="18" xfId="0" applyFill="1" applyBorder="1" applyAlignment="1" applyProtection="1">
      <alignment horizontal="center"/>
    </xf>
    <xf numFmtId="0" fontId="17" fillId="41" borderId="0" xfId="1" applyFont="1" applyFill="1" applyBorder="1" applyAlignment="1" applyProtection="1"/>
    <xf numFmtId="0" fontId="17" fillId="41" borderId="0" xfId="0" applyFont="1" applyFill="1" applyBorder="1" applyProtection="1"/>
    <xf numFmtId="0" fontId="5" fillId="29" borderId="0" xfId="0" applyFont="1" applyFill="1" applyBorder="1" applyAlignment="1" applyProtection="1">
      <alignment horizontal="center"/>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0" fontId="0" fillId="29" borderId="24" xfId="0" applyFont="1" applyFill="1" applyBorder="1" applyAlignment="1" applyProtection="1">
      <alignment horizontal="center"/>
    </xf>
    <xf numFmtId="0" fontId="17" fillId="29" borderId="0" xfId="0" applyFont="1" applyFill="1" applyAlignment="1" applyProtection="1">
      <alignment horizontal="center"/>
    </xf>
    <xf numFmtId="0" fontId="4" fillId="35" borderId="0" xfId="0" applyFont="1" applyFill="1" applyProtection="1"/>
    <xf numFmtId="0" fontId="5" fillId="35" borderId="0" xfId="0" applyFont="1" applyFill="1" applyProtection="1"/>
    <xf numFmtId="0" fontId="4" fillId="35" borderId="0" xfId="0" applyFont="1" applyFill="1" applyAlignment="1" applyProtection="1">
      <alignment horizontal="center"/>
    </xf>
    <xf numFmtId="0" fontId="0" fillId="29" borderId="0" xfId="0" applyFont="1" applyFill="1" applyBorder="1" applyProtection="1"/>
    <xf numFmtId="0" fontId="4" fillId="32" borderId="0" xfId="0" applyFont="1" applyFill="1" applyBorder="1" applyProtection="1"/>
    <xf numFmtId="3" fontId="4" fillId="32" borderId="0" xfId="0" applyNumberFormat="1" applyFont="1" applyFill="1" applyBorder="1" applyAlignment="1" applyProtection="1">
      <alignment horizontal="center"/>
    </xf>
    <xf numFmtId="0" fontId="43" fillId="32" borderId="0" xfId="0" applyFont="1" applyFill="1" applyBorder="1" applyProtection="1"/>
    <xf numFmtId="0" fontId="16" fillId="28" borderId="0" xfId="1" applyFont="1" applyFill="1" applyBorder="1" applyAlignment="1" applyProtection="1"/>
    <xf numFmtId="0" fontId="4" fillId="28" borderId="0" xfId="0" applyFont="1" applyFill="1" applyProtection="1"/>
    <xf numFmtId="0" fontId="4" fillId="41" borderId="0" xfId="0" applyFont="1" applyFill="1" applyProtection="1"/>
    <xf numFmtId="0" fontId="5" fillId="41" borderId="0" xfId="0" applyFont="1" applyFill="1" applyProtection="1"/>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70" fillId="42" borderId="0" xfId="1" applyFont="1" applyFill="1" applyBorder="1" applyAlignment="1" applyProtection="1">
      <alignment horizontal="left"/>
    </xf>
    <xf numFmtId="0" fontId="5" fillId="41" borderId="0" xfId="1" applyFont="1" applyFill="1" applyBorder="1" applyAlignment="1" applyProtection="1">
      <alignment horizontal="left"/>
    </xf>
    <xf numFmtId="0" fontId="71" fillId="41" borderId="0" xfId="0" applyFont="1" applyFill="1" applyProtection="1"/>
    <xf numFmtId="0" fontId="17" fillId="41" borderId="0" xfId="0" applyFont="1" applyFill="1" applyBorder="1" applyAlignment="1" applyProtection="1">
      <alignment horizontal="center"/>
    </xf>
    <xf numFmtId="0" fontId="71" fillId="41" borderId="0" xfId="0" applyFont="1" applyFill="1" applyAlignment="1" applyProtection="1">
      <alignment horizontal="center"/>
    </xf>
    <xf numFmtId="0" fontId="0" fillId="41" borderId="0" xfId="0" applyFont="1" applyFill="1" applyBorder="1" applyAlignment="1" applyProtection="1">
      <alignment horizontal="center"/>
    </xf>
    <xf numFmtId="0" fontId="0" fillId="41" borderId="0" xfId="0" applyFont="1" applyFill="1" applyBorder="1" applyProtection="1"/>
    <xf numFmtId="3" fontId="71" fillId="41" borderId="0" xfId="0" applyNumberFormat="1" applyFont="1" applyFill="1" applyAlignment="1" applyProtection="1">
      <alignment horizontal="center"/>
    </xf>
    <xf numFmtId="0" fontId="5" fillId="29" borderId="0" xfId="1" applyFont="1" applyFill="1" applyBorder="1" applyAlignment="1" applyProtection="1"/>
    <xf numFmtId="0" fontId="17" fillId="29" borderId="0" xfId="1" applyFont="1" applyFill="1" applyBorder="1" applyAlignment="1" applyProtection="1"/>
    <xf numFmtId="0" fontId="61" fillId="29" borderId="0" xfId="0" applyFont="1" applyFill="1" applyBorder="1" applyAlignment="1" applyProtection="1"/>
    <xf numFmtId="165" fontId="0" fillId="29" borderId="0" xfId="0" applyNumberFormat="1" applyFill="1" applyBorder="1" applyAlignment="1" applyProtection="1">
      <alignment horizontal="center"/>
    </xf>
    <xf numFmtId="165" fontId="4" fillId="29" borderId="0" xfId="0" applyNumberFormat="1" applyFont="1" applyFill="1" applyBorder="1" applyAlignment="1" applyProtection="1">
      <alignment horizontal="center"/>
    </xf>
    <xf numFmtId="0" fontId="5" fillId="41" borderId="0" xfId="0" applyFont="1" applyFill="1" applyBorder="1" applyAlignment="1" applyProtection="1">
      <alignment horizontal="left"/>
    </xf>
    <xf numFmtId="3" fontId="4" fillId="41" borderId="0" xfId="0" applyNumberFormat="1" applyFont="1" applyFill="1" applyBorder="1" applyAlignment="1" applyProtection="1">
      <alignment horizontal="center"/>
    </xf>
    <xf numFmtId="0" fontId="4" fillId="29" borderId="0" xfId="0" applyFont="1" applyFill="1" applyAlignment="1" applyProtection="1">
      <alignment horizontal="center"/>
    </xf>
    <xf numFmtId="1" fontId="17" fillId="6" borderId="23" xfId="0" applyNumberFormat="1" applyFont="1" applyFill="1" applyBorder="1" applyAlignment="1" applyProtection="1">
      <alignment horizontal="center"/>
    </xf>
    <xf numFmtId="2" fontId="5" fillId="43" borderId="0" xfId="0" applyNumberFormat="1" applyFont="1" applyFill="1" applyBorder="1" applyAlignment="1">
      <alignment horizontal="center"/>
    </xf>
    <xf numFmtId="2" fontId="5" fillId="43" borderId="18" xfId="0" applyNumberFormat="1" applyFont="1" applyFill="1" applyBorder="1" applyAlignment="1">
      <alignment horizontal="center"/>
    </xf>
    <xf numFmtId="0" fontId="5" fillId="35" borderId="0" xfId="0" applyFont="1" applyFill="1" applyAlignment="1" applyProtection="1">
      <alignment horizontal="center"/>
    </xf>
    <xf numFmtId="0" fontId="61" fillId="35" borderId="0" xfId="0" applyFont="1" applyFill="1" applyAlignment="1" applyProtection="1">
      <alignment horizontal="center"/>
    </xf>
    <xf numFmtId="0" fontId="61" fillId="35" borderId="0" xfId="0" applyFont="1" applyFill="1" applyProtection="1"/>
    <xf numFmtId="2" fontId="5" fillId="43" borderId="24" xfId="0" applyNumberFormat="1" applyFont="1" applyFill="1" applyBorder="1" applyAlignment="1">
      <alignment horizontal="center"/>
    </xf>
    <xf numFmtId="2" fontId="5" fillId="43" borderId="16" xfId="0" applyNumberFormat="1" applyFont="1" applyFill="1" applyBorder="1" applyAlignment="1">
      <alignment horizontal="center"/>
    </xf>
    <xf numFmtId="0" fontId="0" fillId="37" borderId="0" xfId="0" applyFill="1" applyBorder="1" applyAlignment="1">
      <alignment horizontal="center"/>
    </xf>
    <xf numFmtId="0" fontId="0" fillId="37" borderId="18" xfId="0" applyFill="1" applyBorder="1" applyAlignment="1">
      <alignment horizontal="center"/>
    </xf>
    <xf numFmtId="2" fontId="76" fillId="6" borderId="16" xfId="0" applyNumberFormat="1" applyFont="1" applyFill="1" applyBorder="1" applyAlignment="1">
      <alignment horizontal="center"/>
    </xf>
    <xf numFmtId="0" fontId="6" fillId="43" borderId="24" xfId="0" applyFont="1" applyFill="1" applyBorder="1" applyAlignment="1" applyProtection="1">
      <alignment horizontal="left"/>
      <protection locked="0"/>
    </xf>
    <xf numFmtId="0" fontId="4" fillId="32" borderId="0" xfId="0" applyFont="1" applyFill="1" applyAlignment="1" applyProtection="1">
      <alignment horizontal="center"/>
    </xf>
    <xf numFmtId="0" fontId="70" fillId="30" borderId="0" xfId="0" applyFont="1" applyFill="1" applyProtection="1"/>
    <xf numFmtId="0" fontId="17" fillId="30" borderId="0" xfId="0" applyFont="1" applyFill="1" applyProtection="1"/>
    <xf numFmtId="3" fontId="4" fillId="30" borderId="0" xfId="0" applyNumberFormat="1" applyFont="1" applyFill="1" applyAlignment="1" applyProtection="1">
      <alignment horizontal="center"/>
    </xf>
    <xf numFmtId="0" fontId="17" fillId="36" borderId="0" xfId="0" applyFont="1" applyFill="1" applyBorder="1" applyProtection="1">
      <protection locked="0"/>
    </xf>
    <xf numFmtId="0" fontId="5" fillId="29" borderId="0" xfId="0" applyFont="1" applyFill="1" applyAlignment="1" applyProtection="1"/>
    <xf numFmtId="0" fontId="17"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37" borderId="16" xfId="0" applyFont="1" applyFill="1" applyBorder="1" applyAlignment="1">
      <alignment horizontal="center"/>
    </xf>
    <xf numFmtId="0" fontId="6" fillId="37" borderId="0" xfId="0" applyFont="1" applyFill="1" applyBorder="1" applyAlignment="1" applyProtection="1">
      <alignment horizontal="left"/>
      <protection locked="0"/>
    </xf>
    <xf numFmtId="0" fontId="6" fillId="37" borderId="0" xfId="0" applyFont="1" applyFill="1" applyBorder="1" applyProtection="1">
      <protection locked="0"/>
    </xf>
    <xf numFmtId="0" fontId="5" fillId="42" borderId="0" xfId="1" applyFont="1" applyFill="1" applyBorder="1" applyAlignment="1" applyProtection="1"/>
    <xf numFmtId="0" fontId="17" fillId="42" borderId="0" xfId="0" applyFont="1" applyFill="1" applyBorder="1" applyProtection="1"/>
    <xf numFmtId="0" fontId="70" fillId="47" borderId="0" xfId="0" applyFont="1" applyFill="1" applyProtection="1"/>
    <xf numFmtId="0" fontId="71" fillId="47" borderId="0" xfId="0" applyFont="1" applyFill="1" applyProtection="1"/>
    <xf numFmtId="0" fontId="71" fillId="47" borderId="0" xfId="0" applyFont="1" applyFill="1" applyAlignment="1" applyProtection="1">
      <alignment horizontal="center"/>
    </xf>
    <xf numFmtId="0" fontId="70" fillId="48" borderId="0" xfId="0" applyFont="1" applyFill="1" applyProtection="1"/>
    <xf numFmtId="0" fontId="71" fillId="48" borderId="0" xfId="0" applyFont="1" applyFill="1" applyProtection="1"/>
    <xf numFmtId="0" fontId="71" fillId="48" borderId="0" xfId="0" applyFont="1" applyFill="1" applyAlignment="1" applyProtection="1">
      <alignment horizontal="center"/>
    </xf>
    <xf numFmtId="0" fontId="70" fillId="47" borderId="0" xfId="0" applyFont="1" applyFill="1" applyAlignment="1" applyProtection="1"/>
    <xf numFmtId="0" fontId="70" fillId="47" borderId="0" xfId="0" applyFont="1" applyFill="1" applyAlignment="1" applyProtection="1">
      <alignment horizontal="center"/>
    </xf>
    <xf numFmtId="0" fontId="5" fillId="47" borderId="0" xfId="0" applyFont="1" applyFill="1" applyBorder="1" applyAlignment="1" applyProtection="1">
      <alignment horizontal="center"/>
    </xf>
    <xf numFmtId="0" fontId="17" fillId="47" borderId="0" xfId="0" applyFont="1" applyFill="1" applyBorder="1" applyAlignment="1" applyProtection="1">
      <alignment horizontal="center"/>
    </xf>
    <xf numFmtId="0" fontId="4" fillId="47" borderId="0" xfId="0" applyFont="1" applyFill="1" applyBorder="1" applyProtection="1"/>
    <xf numFmtId="3" fontId="71" fillId="47" borderId="0" xfId="0" applyNumberFormat="1" applyFont="1" applyFill="1" applyAlignment="1" applyProtection="1">
      <alignment horizontal="center"/>
    </xf>
    <xf numFmtId="0" fontId="5" fillId="47" borderId="0" xfId="0" applyFont="1" applyFill="1" applyBorder="1" applyAlignment="1" applyProtection="1">
      <alignment horizontal="left"/>
    </xf>
    <xf numFmtId="3" fontId="4" fillId="47" borderId="0" xfId="0" applyNumberFormat="1" applyFont="1" applyFill="1" applyBorder="1" applyAlignment="1" applyProtection="1">
      <alignment horizontal="center"/>
    </xf>
    <xf numFmtId="0" fontId="17" fillId="48" borderId="0" xfId="0" applyFont="1" applyFill="1" applyBorder="1" applyProtection="1"/>
    <xf numFmtId="0" fontId="4" fillId="47" borderId="0" xfId="0" applyFont="1" applyFill="1" applyProtection="1"/>
    <xf numFmtId="0" fontId="4" fillId="47" borderId="0" xfId="0" applyFont="1" applyFill="1" applyAlignment="1" applyProtection="1">
      <alignment horizontal="center"/>
    </xf>
    <xf numFmtId="0" fontId="4" fillId="28" borderId="0" xfId="0" applyFont="1" applyFill="1" applyAlignment="1" applyProtection="1">
      <alignment horizontal="center"/>
    </xf>
    <xf numFmtId="0" fontId="0" fillId="28" borderId="0" xfId="0" applyFont="1" applyFill="1" applyBorder="1" applyAlignment="1" applyProtection="1">
      <alignment horizontal="center"/>
    </xf>
    <xf numFmtId="0" fontId="17" fillId="28" borderId="0" xfId="0" applyFont="1" applyFill="1" applyBorder="1" applyAlignment="1" applyProtection="1">
      <alignment horizontal="center"/>
    </xf>
    <xf numFmtId="0" fontId="4" fillId="28" borderId="0" xfId="0" applyFont="1" applyFill="1" applyBorder="1" applyProtection="1"/>
    <xf numFmtId="3" fontId="4" fillId="28" borderId="0" xfId="0" applyNumberFormat="1" applyFont="1" applyFill="1" applyAlignment="1" applyProtection="1">
      <alignment horizontal="center"/>
    </xf>
    <xf numFmtId="0" fontId="70" fillId="28" borderId="0" xfId="0" applyFont="1" applyFill="1" applyProtection="1"/>
    <xf numFmtId="0" fontId="11" fillId="28" borderId="0" xfId="0" applyFont="1" applyFill="1" applyBorder="1" applyAlignment="1" applyProtection="1">
      <alignment horizontal="center" vertical="center"/>
    </xf>
    <xf numFmtId="0" fontId="43" fillId="28" borderId="22" xfId="0" applyFont="1" applyFill="1" applyBorder="1" applyProtection="1"/>
    <xf numFmtId="0" fontId="11" fillId="28" borderId="22" xfId="0" applyFont="1" applyFill="1" applyBorder="1" applyAlignment="1" applyProtection="1">
      <alignment horizontal="center" vertical="center"/>
    </xf>
    <xf numFmtId="0" fontId="11" fillId="28" borderId="22" xfId="0" applyFont="1" applyFill="1" applyBorder="1" applyAlignment="1" applyProtection="1">
      <alignment vertical="center"/>
    </xf>
    <xf numFmtId="0" fontId="11" fillId="28" borderId="0" xfId="0" applyFont="1" applyFill="1" applyBorder="1" applyAlignment="1" applyProtection="1">
      <alignment vertical="center"/>
    </xf>
    <xf numFmtId="0" fontId="17" fillId="28" borderId="0" xfId="0" applyFont="1" applyFill="1" applyAlignment="1" applyProtection="1">
      <alignment horizontal="center"/>
    </xf>
    <xf numFmtId="0" fontId="43" fillId="28" borderId="24" xfId="0" applyFont="1" applyFill="1" applyBorder="1" applyAlignment="1" applyProtection="1"/>
    <xf numFmtId="0" fontId="17" fillId="28" borderId="0" xfId="0" applyFont="1" applyFill="1" applyBorder="1" applyProtection="1"/>
    <xf numFmtId="0" fontId="0" fillId="28" borderId="0" xfId="0" applyFill="1" applyBorder="1" applyProtection="1"/>
    <xf numFmtId="0" fontId="4" fillId="47" borderId="0" xfId="0" applyFont="1" applyFill="1" applyBorder="1" applyAlignment="1" applyProtection="1">
      <alignment horizontal="center"/>
    </xf>
    <xf numFmtId="0" fontId="77" fillId="28" borderId="0" xfId="0" applyFont="1" applyFill="1" applyAlignment="1" applyProtection="1">
      <alignment horizontal="left"/>
    </xf>
    <xf numFmtId="0" fontId="0" fillId="37" borderId="29" xfId="0" applyFill="1" applyBorder="1" applyAlignment="1" applyProtection="1">
      <alignment horizontal="center"/>
      <protection locked="0"/>
    </xf>
    <xf numFmtId="2" fontId="0" fillId="37" borderId="44" xfId="0" applyNumberFormat="1" applyFill="1" applyBorder="1" applyAlignment="1" applyProtection="1">
      <alignment horizontal="center"/>
      <protection locked="0"/>
    </xf>
    <xf numFmtId="0" fontId="0" fillId="37" borderId="42" xfId="0" applyFill="1" applyBorder="1" applyAlignment="1" applyProtection="1">
      <alignment horizontal="center"/>
      <protection locked="0"/>
    </xf>
    <xf numFmtId="0" fontId="0" fillId="28" borderId="0" xfId="0" applyFont="1" applyFill="1" applyBorder="1" applyAlignment="1" applyProtection="1"/>
    <xf numFmtId="0" fontId="5" fillId="28" borderId="0" xfId="1" applyFont="1" applyFill="1" applyBorder="1" applyAlignment="1" applyProtection="1"/>
    <xf numFmtId="0" fontId="17" fillId="28" borderId="0" xfId="1" applyFont="1" applyFill="1" applyBorder="1" applyAlignment="1" applyProtection="1"/>
    <xf numFmtId="0" fontId="5" fillId="28" borderId="0" xfId="0" applyFont="1" applyFill="1" applyAlignment="1" applyProtection="1"/>
    <xf numFmtId="0" fontId="61" fillId="28" borderId="0" xfId="0" applyFont="1" applyFill="1" applyBorder="1" applyAlignment="1" applyProtection="1"/>
    <xf numFmtId="0" fontId="0" fillId="37" borderId="48" xfId="0"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7" fillId="29" borderId="0" xfId="0" applyFont="1" applyFill="1" applyBorder="1" applyAlignment="1" applyProtection="1">
      <alignment horizontal="center"/>
    </xf>
    <xf numFmtId="0" fontId="0" fillId="49" borderId="0" xfId="0" applyFill="1"/>
    <xf numFmtId="0" fontId="17" fillId="49" borderId="0" xfId="2" applyFill="1" applyProtection="1"/>
    <xf numFmtId="0" fontId="43" fillId="49" borderId="0" xfId="2" applyFont="1" applyFill="1" applyProtection="1"/>
    <xf numFmtId="0" fontId="11" fillId="49" borderId="0" xfId="2" applyFont="1" applyFill="1" applyProtection="1"/>
    <xf numFmtId="0" fontId="0" fillId="49" borderId="0" xfId="0" applyFill="1" applyProtection="1"/>
    <xf numFmtId="0" fontId="4" fillId="49" borderId="0" xfId="0" applyFont="1" applyFill="1" applyProtection="1"/>
    <xf numFmtId="0" fontId="4" fillId="49" borderId="0" xfId="0" applyFont="1" applyFill="1" applyAlignment="1" applyProtection="1">
      <alignment horizontal="center"/>
    </xf>
    <xf numFmtId="0" fontId="5" fillId="49" borderId="0" xfId="0" applyFont="1" applyFill="1" applyBorder="1" applyProtection="1"/>
    <xf numFmtId="0" fontId="5" fillId="49" borderId="0" xfId="0" applyFont="1" applyFill="1" applyBorder="1" applyAlignment="1" applyProtection="1">
      <alignment horizontal="center"/>
    </xf>
    <xf numFmtId="0" fontId="69" fillId="49" borderId="0" xfId="0" applyFont="1" applyFill="1" applyAlignment="1" applyProtection="1">
      <alignment horizontal="left"/>
    </xf>
    <xf numFmtId="0" fontId="17" fillId="49" borderId="0" xfId="0" applyFont="1" applyFill="1" applyAlignment="1" applyProtection="1">
      <alignment horizontal="center"/>
    </xf>
    <xf numFmtId="0" fontId="0" fillId="29" borderId="0" xfId="0" applyFont="1" applyFill="1" applyBorder="1" applyAlignment="1" applyProtection="1"/>
    <xf numFmtId="0" fontId="98" fillId="49" borderId="0" xfId="0" applyFont="1" applyFill="1"/>
    <xf numFmtId="0" fontId="97" fillId="49" borderId="0" xfId="0" applyFont="1" applyFill="1" applyBorder="1" applyProtection="1"/>
    <xf numFmtId="0" fontId="98" fillId="49" borderId="0" xfId="0" applyFont="1" applyFill="1" applyBorder="1" applyProtection="1"/>
    <xf numFmtId="0" fontId="98" fillId="49" borderId="0" xfId="0" applyFont="1" applyFill="1" applyBorder="1" applyAlignment="1" applyProtection="1">
      <alignment horizontal="right"/>
    </xf>
    <xf numFmtId="0" fontId="5" fillId="29" borderId="0" xfId="0"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61" fillId="29"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32" borderId="0" xfId="0" applyFont="1" applyFill="1" applyProtection="1"/>
    <xf numFmtId="0" fontId="4" fillId="48" borderId="0" xfId="0" applyFont="1" applyFill="1" applyProtection="1"/>
    <xf numFmtId="0" fontId="17" fillId="48" borderId="0" xfId="0" applyFont="1" applyFill="1" applyAlignment="1" applyProtection="1">
      <alignment horizontal="right"/>
    </xf>
    <xf numFmtId="3" fontId="4" fillId="48" borderId="0" xfId="0" applyNumberFormat="1" applyFont="1" applyFill="1" applyAlignment="1" applyProtection="1">
      <alignment horizontal="center"/>
    </xf>
    <xf numFmtId="0" fontId="6" fillId="37" borderId="24" xfId="0" applyFont="1" applyFill="1" applyBorder="1" applyAlignment="1" applyProtection="1">
      <alignment horizontal="left"/>
      <protection locked="0"/>
    </xf>
    <xf numFmtId="0" fontId="17" fillId="50" borderId="0" xfId="0" applyFont="1" applyFill="1" applyBorder="1" applyAlignment="1" applyProtection="1">
      <alignment horizontal="center"/>
      <protection locked="0"/>
    </xf>
    <xf numFmtId="0" fontId="79" fillId="37" borderId="0" xfId="0" applyFont="1" applyFill="1" applyAlignment="1" applyProtection="1">
      <alignment horizontal="center"/>
      <protection locked="0"/>
    </xf>
    <xf numFmtId="0" fontId="6" fillId="37" borderId="18" xfId="0" applyFont="1" applyFill="1" applyBorder="1" applyAlignment="1" applyProtection="1">
      <alignment horizontal="left"/>
      <protection locked="0"/>
    </xf>
    <xf numFmtId="0" fontId="79" fillId="2" borderId="0" xfId="0" applyFont="1" applyFill="1" applyBorder="1" applyAlignment="1">
      <alignment horizontal="left"/>
    </xf>
    <xf numFmtId="168" fontId="69" fillId="44" borderId="0" xfId="3" applyNumberFormat="1" applyFont="1" applyFill="1" applyBorder="1" applyAlignment="1">
      <alignment horizontal="center"/>
    </xf>
    <xf numFmtId="165" fontId="17" fillId="17" borderId="0" xfId="2" applyNumberFormat="1" applyFont="1" applyFill="1" applyAlignment="1">
      <alignment horizontal="center"/>
    </xf>
    <xf numFmtId="10" fontId="69" fillId="9" borderId="0" xfId="3" applyNumberFormat="1" applyFont="1" applyFill="1" applyBorder="1" applyAlignment="1">
      <alignment horizontal="center"/>
    </xf>
    <xf numFmtId="2" fontId="17" fillId="2" borderId="0" xfId="0" applyNumberFormat="1" applyFont="1" applyFill="1" applyBorder="1" applyProtection="1">
      <protection locked="0"/>
    </xf>
    <xf numFmtId="9" fontId="0" fillId="32" borderId="0" xfId="0" applyNumberFormat="1" applyFill="1" applyBorder="1" applyAlignment="1" applyProtection="1">
      <alignment horizontal="center"/>
      <protection locked="0"/>
    </xf>
    <xf numFmtId="9" fontId="79" fillId="43" borderId="0" xfId="3" applyFont="1" applyFill="1" applyBorder="1" applyAlignment="1" applyProtection="1">
      <alignment horizontal="center"/>
      <protection locked="0"/>
    </xf>
    <xf numFmtId="0" fontId="79" fillId="2" borderId="0" xfId="0" applyFont="1" applyFill="1" applyBorder="1" applyAlignment="1">
      <alignment horizontal="right"/>
    </xf>
    <xf numFmtId="1" fontId="79" fillId="2" borderId="0" xfId="0" applyNumberFormat="1" applyFont="1" applyFill="1" applyBorder="1" applyAlignment="1">
      <alignment horizontal="center"/>
    </xf>
    <xf numFmtId="0" fontId="79" fillId="0" borderId="0" xfId="0" applyFont="1"/>
    <xf numFmtId="1" fontId="79" fillId="2" borderId="0" xfId="0" applyNumberFormat="1" applyFont="1" applyFill="1" applyBorder="1"/>
    <xf numFmtId="165" fontId="79" fillId="2" borderId="0" xfId="0" applyNumberFormat="1" applyFont="1" applyFill="1" applyBorder="1" applyAlignment="1">
      <alignment horizontal="left"/>
    </xf>
    <xf numFmtId="165" fontId="79" fillId="2" borderId="0" xfId="0" applyNumberFormat="1" applyFont="1" applyFill="1" applyBorder="1" applyAlignment="1">
      <alignment horizontal="center"/>
    </xf>
    <xf numFmtId="0" fontId="6" fillId="21" borderId="10" xfId="0" applyFont="1" applyFill="1" applyBorder="1" applyAlignment="1" applyProtection="1">
      <protection locked="0"/>
    </xf>
    <xf numFmtId="0" fontId="6" fillId="21" borderId="11" xfId="0" applyFont="1" applyFill="1" applyBorder="1" applyAlignment="1" applyProtection="1">
      <protection locked="0"/>
    </xf>
    <xf numFmtId="165" fontId="0" fillId="32" borderId="0" xfId="0" applyNumberFormat="1" applyFill="1" applyBorder="1" applyAlignment="1" applyProtection="1">
      <alignment horizontal="center"/>
      <protection locked="0"/>
    </xf>
    <xf numFmtId="0" fontId="5" fillId="41" borderId="0" xfId="0" applyFont="1" applyFill="1" applyAlignment="1" applyProtection="1">
      <alignment vertical="center"/>
    </xf>
    <xf numFmtId="0" fontId="17" fillId="41" borderId="0" xfId="0" applyFont="1" applyFill="1" applyProtection="1"/>
    <xf numFmtId="0" fontId="11" fillId="41" borderId="0" xfId="0" applyFont="1" applyFill="1" applyBorder="1" applyAlignment="1" applyProtection="1">
      <alignment horizontal="center" vertical="center"/>
    </xf>
    <xf numFmtId="9" fontId="4" fillId="41" borderId="0" xfId="0" applyNumberFormat="1" applyFont="1" applyFill="1" applyAlignment="1" applyProtection="1">
      <alignment horizontal="center"/>
    </xf>
    <xf numFmtId="0" fontId="17" fillId="41" borderId="0" xfId="0" applyFont="1" applyFill="1" applyAlignment="1" applyProtection="1">
      <alignment horizontal="left"/>
    </xf>
    <xf numFmtId="0" fontId="94" fillId="41" borderId="0" xfId="0" applyFont="1" applyFill="1" applyBorder="1" applyAlignment="1" applyProtection="1">
      <protection locked="0"/>
    </xf>
    <xf numFmtId="0" fontId="4" fillId="41" borderId="0" xfId="0" applyFont="1" applyFill="1" applyBorder="1" applyAlignment="1" applyProtection="1">
      <alignment horizontal="center"/>
    </xf>
    <xf numFmtId="0" fontId="17" fillId="41" borderId="0" xfId="0" applyFont="1" applyFill="1" applyBorder="1" applyAlignment="1" applyProtection="1">
      <alignment horizontal="left"/>
    </xf>
    <xf numFmtId="0" fontId="17" fillId="41" borderId="0" xfId="0" applyFont="1" applyFill="1" applyAlignment="1" applyProtection="1">
      <alignment horizontal="center"/>
    </xf>
    <xf numFmtId="0" fontId="77" fillId="41" borderId="0" xfId="0" applyFont="1" applyFill="1" applyProtection="1"/>
    <xf numFmtId="0" fontId="5" fillId="41" borderId="0" xfId="0" applyFont="1" applyFill="1" applyAlignment="1" applyProtection="1">
      <alignment horizontal="center"/>
    </xf>
    <xf numFmtId="0" fontId="61" fillId="41" borderId="0" xfId="0" applyFont="1" applyFill="1" applyBorder="1" applyAlignment="1" applyProtection="1">
      <alignment horizontal="center"/>
    </xf>
    <xf numFmtId="0" fontId="11" fillId="41" borderId="0" xfId="1" applyFont="1" applyFill="1" applyBorder="1" applyAlignment="1" applyProtection="1">
      <alignment horizontal="center" vertical="center"/>
    </xf>
    <xf numFmtId="0" fontId="83" fillId="41" borderId="0" xfId="0" applyFont="1" applyFill="1" applyProtection="1"/>
    <xf numFmtId="0" fontId="11" fillId="41" borderId="0" xfId="0" applyFont="1" applyFill="1" applyAlignment="1" applyProtection="1"/>
    <xf numFmtId="0" fontId="11" fillId="41" borderId="0" xfId="0" applyFont="1" applyFill="1" applyAlignment="1" applyProtection="1">
      <alignment horizontal="left"/>
    </xf>
    <xf numFmtId="0" fontId="84" fillId="41" borderId="0" xfId="0" applyFont="1" applyFill="1" applyAlignment="1" applyProtection="1">
      <alignment horizontal="center"/>
    </xf>
    <xf numFmtId="0" fontId="4" fillId="41" borderId="0" xfId="0" applyFont="1" applyFill="1" applyAlignment="1" applyProtection="1">
      <alignment horizontal="center"/>
    </xf>
    <xf numFmtId="0" fontId="11" fillId="41" borderId="0" xfId="0" applyFont="1" applyFill="1" applyBorder="1" applyAlignment="1" applyProtection="1">
      <alignment horizontal="right" vertical="center"/>
    </xf>
    <xf numFmtId="0" fontId="11" fillId="41" borderId="0" xfId="0" applyFont="1" applyFill="1" applyAlignment="1" applyProtection="1">
      <alignment horizontal="center"/>
    </xf>
    <xf numFmtId="0" fontId="11" fillId="41" borderId="0" xfId="0" applyFont="1" applyFill="1" applyAlignment="1" applyProtection="1">
      <alignment horizontal="right"/>
    </xf>
    <xf numFmtId="0" fontId="16" fillId="41" borderId="0" xfId="0" applyFont="1" applyFill="1" applyProtection="1"/>
    <xf numFmtId="3" fontId="11" fillId="41" borderId="0" xfId="0" applyNumberFormat="1" applyFont="1" applyFill="1" applyAlignment="1" applyProtection="1">
      <alignment horizontal="center"/>
    </xf>
    <xf numFmtId="3" fontId="4" fillId="41" borderId="0" xfId="0" applyNumberFormat="1" applyFont="1" applyFill="1" applyAlignment="1" applyProtection="1">
      <alignment horizontal="center"/>
    </xf>
    <xf numFmtId="0" fontId="4" fillId="41" borderId="0" xfId="0" applyFont="1" applyFill="1" applyAlignment="1" applyProtection="1">
      <alignment horizontal="left"/>
    </xf>
    <xf numFmtId="0" fontId="79" fillId="37" borderId="0" xfId="0" applyFont="1" applyFill="1" applyAlignment="1">
      <alignment horizontal="center"/>
    </xf>
    <xf numFmtId="0" fontId="5" fillId="41" borderId="0" xfId="0" applyFont="1" applyFill="1" applyBorder="1" applyAlignment="1" applyProtection="1">
      <alignment horizontal="center"/>
    </xf>
    <xf numFmtId="0" fontId="0" fillId="41" borderId="0" xfId="0" applyFill="1" applyBorder="1" applyAlignment="1" applyProtection="1"/>
    <xf numFmtId="0" fontId="5" fillId="41" borderId="0" xfId="0" applyFont="1" applyFill="1" applyAlignment="1" applyProtection="1"/>
    <xf numFmtId="0" fontId="96" fillId="41" borderId="0" xfId="0" applyFont="1" applyFill="1" applyProtection="1"/>
    <xf numFmtId="0" fontId="0" fillId="41" borderId="0" xfId="0" applyFill="1" applyBorder="1" applyAlignment="1" applyProtection="1">
      <alignment horizontal="center"/>
    </xf>
    <xf numFmtId="0" fontId="17" fillId="41" borderId="0" xfId="0" applyFont="1" applyFill="1" applyBorder="1" applyAlignment="1" applyProtection="1">
      <alignment horizontal="center"/>
    </xf>
    <xf numFmtId="0" fontId="70" fillId="41" borderId="0" xfId="0" applyFont="1" applyFill="1" applyProtection="1"/>
    <xf numFmtId="0" fontId="92" fillId="41" borderId="0" xfId="1" applyFont="1" applyFill="1" applyBorder="1" applyAlignment="1" applyProtection="1">
      <alignment horizontal="center" vertical="center"/>
    </xf>
    <xf numFmtId="0" fontId="11" fillId="41" borderId="0" xfId="0" applyFont="1" applyFill="1" applyBorder="1" applyAlignment="1" applyProtection="1">
      <alignment vertical="center"/>
    </xf>
    <xf numFmtId="0" fontId="61" fillId="41" borderId="0" xfId="0" applyFont="1" applyFill="1" applyBorder="1" applyAlignment="1" applyProtection="1">
      <alignment horizontal="right"/>
    </xf>
    <xf numFmtId="49" fontId="11" fillId="41" borderId="0" xfId="0" applyNumberFormat="1" applyFont="1" applyFill="1" applyBorder="1" applyAlignment="1" applyProtection="1">
      <alignment horizontal="center" vertical="center"/>
    </xf>
    <xf numFmtId="3" fontId="4" fillId="41" borderId="0" xfId="0" applyNumberFormat="1" applyFont="1" applyFill="1" applyProtection="1"/>
    <xf numFmtId="0" fontId="0" fillId="41" borderId="24" xfId="0" applyFont="1" applyFill="1" applyBorder="1" applyAlignment="1" applyProtection="1">
      <alignment horizontal="center"/>
    </xf>
    <xf numFmtId="0" fontId="80" fillId="41" borderId="0" xfId="0" applyFont="1" applyFill="1" applyAlignment="1" applyProtection="1">
      <alignment horizontal="left"/>
    </xf>
    <xf numFmtId="2" fontId="0" fillId="32" borderId="0" xfId="0" applyNumberFormat="1" applyFill="1" applyBorder="1" applyAlignment="1" applyProtection="1">
      <alignment horizontal="center"/>
      <protection locked="0"/>
    </xf>
    <xf numFmtId="0" fontId="0" fillId="29" borderId="0" xfId="0" applyFill="1" applyBorder="1"/>
    <xf numFmtId="0" fontId="0" fillId="29" borderId="0" xfId="0" applyFill="1" applyBorder="1" applyAlignment="1">
      <alignment horizontal="center"/>
    </xf>
    <xf numFmtId="1" fontId="0" fillId="32" borderId="0" xfId="0" applyNumberFormat="1" applyFill="1" applyBorder="1" applyAlignment="1" applyProtection="1">
      <alignment horizontal="center"/>
      <protection locked="0"/>
    </xf>
    <xf numFmtId="1" fontId="17" fillId="29" borderId="0" xfId="0" applyNumberFormat="1" applyFont="1" applyFill="1" applyBorder="1" applyAlignment="1" applyProtection="1">
      <alignment horizontal="center"/>
    </xf>
    <xf numFmtId="0" fontId="0" fillId="43" borderId="18" xfId="0" applyFill="1" applyBorder="1"/>
    <xf numFmtId="3" fontId="17" fillId="34" borderId="0" xfId="0" applyNumberFormat="1" applyFont="1" applyFill="1" applyAlignment="1" applyProtection="1">
      <alignment horizontal="center"/>
      <protection locked="0"/>
    </xf>
    <xf numFmtId="0" fontId="4" fillId="50" borderId="0" xfId="0" applyFont="1" applyFill="1" applyAlignment="1" applyProtection="1">
      <alignment horizontal="center"/>
      <protection locked="0"/>
    </xf>
    <xf numFmtId="0" fontId="4" fillId="50" borderId="0" xfId="0" applyFont="1" applyFill="1" applyProtection="1">
      <protection locked="0"/>
    </xf>
    <xf numFmtId="3" fontId="4" fillId="50" borderId="0" xfId="0" applyNumberFormat="1" applyFont="1" applyFill="1" applyAlignment="1" applyProtection="1">
      <alignment horizontal="center"/>
      <protection locked="0"/>
    </xf>
    <xf numFmtId="3" fontId="11" fillId="50" borderId="0" xfId="0" applyNumberFormat="1" applyFont="1" applyFill="1" applyAlignment="1" applyProtection="1">
      <alignment horizontal="center"/>
      <protection locked="0"/>
    </xf>
    <xf numFmtId="0" fontId="11"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17" fillId="29" borderId="0" xfId="0" applyFont="1" applyFill="1" applyBorder="1" applyAlignment="1" applyProtection="1">
      <alignment horizontal="center"/>
    </xf>
    <xf numFmtId="0" fontId="4" fillId="41" borderId="0" xfId="0" applyFont="1" applyFill="1" applyAlignment="1" applyProtection="1">
      <alignment horizontal="center"/>
    </xf>
    <xf numFmtId="0" fontId="17" fillId="41" borderId="0" xfId="0" applyFont="1" applyFill="1" applyBorder="1" applyAlignment="1" applyProtection="1">
      <alignment horizontal="center"/>
    </xf>
    <xf numFmtId="0" fontId="17" fillId="28" borderId="0" xfId="0" applyFont="1" applyFill="1" applyBorder="1" applyAlignment="1" applyProtection="1">
      <alignment horizontal="center"/>
    </xf>
    <xf numFmtId="0" fontId="17" fillId="29" borderId="0" xfId="0" applyFont="1" applyFill="1" applyAlignment="1" applyProtection="1">
      <alignment horizontal="center"/>
    </xf>
    <xf numFmtId="0" fontId="17" fillId="42" borderId="0" xfId="0" applyFont="1" applyFill="1" applyBorder="1" applyAlignment="1" applyProtection="1">
      <alignment horizontal="center"/>
    </xf>
    <xf numFmtId="0" fontId="17" fillId="41" borderId="0" xfId="0" applyFont="1" applyFill="1" applyBorder="1" applyAlignment="1" applyProtection="1">
      <alignment horizontal="center" vertical="center"/>
    </xf>
    <xf numFmtId="49" fontId="17" fillId="41" borderId="0" xfId="0" applyNumberFormat="1" applyFont="1" applyFill="1" applyBorder="1" applyAlignment="1" applyProtection="1">
      <alignment horizontal="left" vertical="center"/>
    </xf>
    <xf numFmtId="3" fontId="43" fillId="41" borderId="0" xfId="0" applyNumberFormat="1" applyFont="1" applyFill="1" applyBorder="1" applyAlignment="1" applyProtection="1">
      <alignment horizontal="center"/>
    </xf>
    <xf numFmtId="3" fontId="17" fillId="41" borderId="0" xfId="0" applyNumberFormat="1" applyFont="1" applyFill="1" applyBorder="1" applyAlignment="1" applyProtection="1">
      <alignment wrapText="1"/>
    </xf>
    <xf numFmtId="49" fontId="17" fillId="41" borderId="0" xfId="0" applyNumberFormat="1" applyFont="1" applyFill="1" applyBorder="1" applyAlignment="1" applyProtection="1">
      <alignment horizontal="center" vertical="center"/>
    </xf>
    <xf numFmtId="0" fontId="6" fillId="43" borderId="0" xfId="0" applyFont="1" applyFill="1" applyBorder="1" applyAlignment="1" applyProtection="1">
      <alignment horizontal="left"/>
      <protection locked="0"/>
    </xf>
    <xf numFmtId="165" fontId="0" fillId="41" borderId="0" xfId="0" applyNumberForma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17" fillId="28"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Border="1" applyAlignment="1" applyProtection="1">
      <alignment horizontal="center"/>
    </xf>
    <xf numFmtId="0" fontId="100" fillId="37" borderId="0" xfId="0" applyFont="1" applyFill="1" applyAlignment="1" applyProtection="1">
      <alignment horizontal="center"/>
      <protection locked="0"/>
    </xf>
    <xf numFmtId="2" fontId="4" fillId="41" borderId="0" xfId="0" applyNumberFormat="1" applyFont="1" applyFill="1" applyAlignment="1" applyProtection="1">
      <alignment horizontal="center"/>
    </xf>
    <xf numFmtId="0" fontId="100" fillId="37" borderId="24" xfId="0" applyFont="1" applyFill="1" applyBorder="1" applyAlignment="1" applyProtection="1">
      <alignment horizontal="center"/>
      <protection locked="0"/>
    </xf>
    <xf numFmtId="3" fontId="43" fillId="32" borderId="0" xfId="0" applyNumberFormat="1" applyFont="1" applyFill="1" applyProtection="1"/>
    <xf numFmtId="0" fontId="17" fillId="37" borderId="24" xfId="0" applyFont="1" applyFill="1" applyBorder="1" applyAlignment="1" applyProtection="1">
      <alignment horizontal="left"/>
      <protection locked="0"/>
    </xf>
    <xf numFmtId="0" fontId="17" fillId="37" borderId="22" xfId="0" applyFont="1" applyFill="1" applyBorder="1" applyAlignment="1" applyProtection="1">
      <alignment horizontal="left"/>
      <protection locked="0"/>
    </xf>
    <xf numFmtId="0" fontId="17" fillId="37" borderId="16" xfId="0" applyFont="1" applyFill="1" applyBorder="1" applyAlignment="1" applyProtection="1">
      <alignment horizontal="left"/>
      <protection locked="0"/>
    </xf>
    <xf numFmtId="0" fontId="17" fillId="37" borderId="23" xfId="0" applyFont="1" applyFill="1" applyBorder="1" applyAlignment="1" applyProtection="1">
      <alignment horizontal="left"/>
      <protection locked="0"/>
    </xf>
    <xf numFmtId="0" fontId="17" fillId="30" borderId="0" xfId="0" applyFont="1" applyFill="1" applyAlignment="1" applyProtection="1">
      <alignment horizontal="right"/>
    </xf>
    <xf numFmtId="3" fontId="17" fillId="41" borderId="0" xfId="0" applyNumberFormat="1" applyFont="1" applyFill="1" applyBorder="1" applyAlignment="1" applyProtection="1">
      <alignment horizontal="center" wrapText="1"/>
    </xf>
    <xf numFmtId="3" fontId="5" fillId="41" borderId="0" xfId="0" applyNumberFormat="1" applyFont="1" applyFill="1" applyBorder="1" applyAlignment="1" applyProtection="1">
      <alignment horizontal="left"/>
    </xf>
    <xf numFmtId="3" fontId="43" fillId="41" borderId="0" xfId="0" applyNumberFormat="1" applyFont="1" applyFill="1" applyBorder="1" applyAlignment="1" applyProtection="1">
      <alignment horizontal="left"/>
    </xf>
    <xf numFmtId="3" fontId="17" fillId="41" borderId="0" xfId="0" applyNumberFormat="1" applyFont="1" applyFill="1" applyBorder="1" applyAlignment="1" applyProtection="1">
      <alignment horizontal="left"/>
    </xf>
    <xf numFmtId="0" fontId="17" fillId="48" borderId="0" xfId="0" applyFont="1" applyFill="1" applyBorder="1" applyAlignment="1" applyProtection="1">
      <alignment horizontal="center"/>
    </xf>
    <xf numFmtId="0" fontId="4" fillId="48" borderId="0" xfId="0" applyFont="1" applyFill="1" applyAlignment="1" applyProtection="1">
      <alignment horizontal="center"/>
    </xf>
    <xf numFmtId="0" fontId="17" fillId="28" borderId="0" xfId="0" applyFont="1" applyFill="1" applyBorder="1" applyAlignment="1" applyProtection="1">
      <alignment horizontal="center" vertical="center"/>
    </xf>
    <xf numFmtId="0" fontId="17" fillId="28" borderId="0" xfId="0" applyFont="1" applyFill="1" applyProtection="1"/>
    <xf numFmtId="49" fontId="17" fillId="28" borderId="0" xfId="0" applyNumberFormat="1" applyFont="1" applyFill="1" applyBorder="1" applyAlignment="1" applyProtection="1">
      <alignment horizontal="left" vertical="center"/>
    </xf>
    <xf numFmtId="3" fontId="43" fillId="28" borderId="0" xfId="0" applyNumberFormat="1" applyFont="1" applyFill="1" applyBorder="1" applyAlignment="1" applyProtection="1">
      <alignment horizontal="center"/>
    </xf>
    <xf numFmtId="3" fontId="17" fillId="28" borderId="0" xfId="0" applyNumberFormat="1" applyFont="1" applyFill="1" applyBorder="1" applyAlignment="1" applyProtection="1">
      <alignment wrapText="1"/>
    </xf>
    <xf numFmtId="49" fontId="17" fillId="28" borderId="0" xfId="0" applyNumberFormat="1" applyFont="1" applyFill="1" applyBorder="1" applyAlignment="1" applyProtection="1">
      <alignment horizontal="center" vertical="center"/>
    </xf>
    <xf numFmtId="0" fontId="17" fillId="28" borderId="0" xfId="0" applyFont="1" applyFill="1" applyAlignment="1" applyProtection="1">
      <alignment horizontal="center"/>
    </xf>
    <xf numFmtId="3" fontId="17" fillId="28" borderId="0" xfId="0" applyNumberFormat="1" applyFont="1" applyFill="1" applyBorder="1" applyAlignment="1" applyProtection="1">
      <alignment horizontal="center" wrapText="1"/>
    </xf>
    <xf numFmtId="165" fontId="4" fillId="28" borderId="0" xfId="0" applyNumberFormat="1" applyFont="1" applyFill="1" applyAlignment="1" applyProtection="1">
      <alignment horizontal="center"/>
    </xf>
    <xf numFmtId="170" fontId="4" fillId="28" borderId="0" xfId="0" applyNumberFormat="1" applyFont="1" applyFill="1" applyAlignment="1" applyProtection="1">
      <alignment horizontal="center"/>
    </xf>
    <xf numFmtId="0" fontId="55" fillId="37" borderId="0" xfId="0" applyFont="1" applyFill="1" applyAlignment="1" applyProtection="1">
      <alignment horizontal="left"/>
      <protection locked="0"/>
    </xf>
    <xf numFmtId="0" fontId="16" fillId="29" borderId="0" xfId="0" applyFont="1" applyFill="1" applyBorder="1" applyAlignment="1" applyProtection="1">
      <alignment horizontal="center"/>
    </xf>
    <xf numFmtId="0" fontId="83" fillId="29" borderId="0" xfId="0" applyFont="1" applyFill="1" applyBorder="1" applyAlignment="1" applyProtection="1">
      <alignment vertical="center"/>
    </xf>
    <xf numFmtId="0" fontId="17" fillId="27" borderId="0" xfId="0" applyFont="1" applyFill="1" applyAlignment="1" applyProtection="1">
      <alignment horizontal="center"/>
    </xf>
    <xf numFmtId="0" fontId="100" fillId="43" borderId="0" xfId="0" applyFont="1" applyFill="1" applyAlignment="1" applyProtection="1">
      <alignment horizontal="center"/>
      <protection locked="0"/>
    </xf>
    <xf numFmtId="0" fontId="43" fillId="29" borderId="0" xfId="0" applyFont="1" applyFill="1" applyAlignment="1" applyProtection="1">
      <alignment horizontal="right"/>
    </xf>
    <xf numFmtId="2" fontId="4" fillId="29" borderId="0" xfId="0" applyNumberFormat="1" applyFont="1" applyFill="1" applyAlignment="1" applyProtection="1">
      <alignment horizontal="center"/>
    </xf>
    <xf numFmtId="2" fontId="55" fillId="22" borderId="0" xfId="0" applyNumberFormat="1" applyFont="1" applyFill="1" applyAlignment="1" applyProtection="1">
      <alignment horizontal="center"/>
      <protection locked="0"/>
    </xf>
    <xf numFmtId="3" fontId="43" fillId="29" borderId="0" xfId="0" applyNumberFormat="1"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5" fillId="41" borderId="0" xfId="0" applyFont="1" applyFill="1" applyAlignment="1" applyProtection="1">
      <alignment horizontal="center"/>
    </xf>
    <xf numFmtId="0" fontId="17" fillId="29" borderId="0" xfId="0" applyFont="1" applyFill="1" applyAlignment="1" applyProtection="1">
      <alignment horizontal="center"/>
    </xf>
    <xf numFmtId="0" fontId="5" fillId="46" borderId="0" xfId="0" applyFont="1" applyFill="1" applyAlignment="1">
      <alignment horizontal="center"/>
    </xf>
    <xf numFmtId="0" fontId="0" fillId="41" borderId="0" xfId="0" applyFont="1" applyFill="1" applyProtection="1"/>
    <xf numFmtId="167" fontId="4" fillId="41" borderId="0" xfId="0" applyNumberFormat="1" applyFont="1" applyFill="1" applyAlignment="1" applyProtection="1">
      <alignment horizontal="center"/>
    </xf>
    <xf numFmtId="0" fontId="0" fillId="41" borderId="0" xfId="0" applyFont="1" applyFill="1" applyAlignment="1" applyProtection="1">
      <alignment horizontal="center"/>
    </xf>
    <xf numFmtId="165" fontId="93" fillId="43" borderId="0" xfId="0" applyNumberFormat="1" applyFont="1" applyFill="1" applyBorder="1" applyAlignment="1" applyProtection="1">
      <alignment horizontal="center"/>
      <protection locked="0"/>
    </xf>
    <xf numFmtId="167" fontId="79" fillId="43" borderId="23" xfId="0" applyNumberFormat="1" applyFont="1" applyFill="1" applyBorder="1" applyAlignment="1" applyProtection="1">
      <alignment horizontal="center"/>
    </xf>
    <xf numFmtId="0" fontId="101" fillId="43" borderId="22" xfId="0" applyFont="1" applyFill="1" applyBorder="1" applyAlignment="1" applyProtection="1">
      <alignment horizontal="left"/>
      <protection locked="0"/>
    </xf>
    <xf numFmtId="0" fontId="79" fillId="43" borderId="24" xfId="0" applyFont="1" applyFill="1" applyBorder="1" applyAlignment="1" applyProtection="1">
      <alignment horizontal="left"/>
      <protection locked="0"/>
    </xf>
    <xf numFmtId="2" fontId="19" fillId="21" borderId="24" xfId="0" applyNumberFormat="1" applyFont="1" applyFill="1" applyBorder="1" applyAlignment="1" applyProtection="1">
      <alignment horizontal="center"/>
      <protection locked="0"/>
    </xf>
    <xf numFmtId="0" fontId="4" fillId="41" borderId="0" xfId="0" applyFont="1" applyFill="1" applyAlignment="1" applyProtection="1">
      <alignment horizontal="right"/>
    </xf>
    <xf numFmtId="165" fontId="79" fillId="43" borderId="24" xfId="0" applyNumberFormat="1" applyFont="1" applyFill="1" applyBorder="1" applyAlignment="1" applyProtection="1">
      <alignment horizontal="center"/>
    </xf>
    <xf numFmtId="0" fontId="79" fillId="43" borderId="24" xfId="0" applyFont="1" applyFill="1" applyBorder="1" applyAlignment="1" applyProtection="1">
      <alignment horizontal="center"/>
      <protection locked="0"/>
    </xf>
    <xf numFmtId="49" fontId="79" fillId="2" borderId="0" xfId="0" applyNumberFormat="1" applyFont="1" applyFill="1"/>
    <xf numFmtId="0" fontId="17" fillId="45" borderId="0" xfId="0" applyFont="1" applyFill="1" applyBorder="1" applyAlignment="1" applyProtection="1">
      <alignment horizontal="left"/>
    </xf>
    <xf numFmtId="0" fontId="0" fillId="45" borderId="0" xfId="0" applyFill="1" applyBorder="1"/>
    <xf numFmtId="0" fontId="79" fillId="30" borderId="0" xfId="0" applyFont="1" applyFill="1" applyProtection="1"/>
    <xf numFmtId="0" fontId="93" fillId="30" borderId="0" xfId="0" applyFont="1" applyFill="1" applyProtection="1"/>
    <xf numFmtId="0" fontId="79" fillId="2" borderId="0" xfId="0" applyFont="1" applyFill="1" applyProtection="1"/>
    <xf numFmtId="0" fontId="93" fillId="2" borderId="0" xfId="0" applyFont="1" applyFill="1" applyProtection="1"/>
    <xf numFmtId="1" fontId="93" fillId="2" borderId="0" xfId="0" applyNumberFormat="1" applyFont="1" applyFill="1" applyBorder="1" applyAlignment="1" applyProtection="1">
      <alignment horizontal="center"/>
    </xf>
    <xf numFmtId="1" fontId="93" fillId="2" borderId="0" xfId="0" applyNumberFormat="1" applyFont="1" applyFill="1" applyBorder="1" applyAlignment="1">
      <alignment horizontal="center"/>
    </xf>
    <xf numFmtId="1" fontId="93" fillId="2" borderId="0" xfId="0" applyNumberFormat="1" applyFont="1" applyFill="1"/>
    <xf numFmtId="1" fontId="93" fillId="2" borderId="0" xfId="0" applyNumberFormat="1" applyFont="1" applyFill="1" applyAlignment="1">
      <alignment horizontal="center"/>
    </xf>
    <xf numFmtId="1" fontId="93" fillId="2" borderId="0" xfId="0" applyNumberFormat="1" applyFont="1" applyFill="1" applyProtection="1"/>
    <xf numFmtId="0" fontId="79" fillId="2" borderId="0" xfId="0" applyFont="1" applyFill="1" applyAlignment="1" applyProtection="1">
      <alignment horizontal="center"/>
    </xf>
    <xf numFmtId="1" fontId="79" fillId="2" borderId="0" xfId="0" applyNumberFormat="1" applyFont="1" applyFill="1" applyBorder="1" applyAlignment="1" applyProtection="1">
      <alignment horizontal="center"/>
    </xf>
    <xf numFmtId="1" fontId="79" fillId="2" borderId="0" xfId="0" applyNumberFormat="1" applyFont="1" applyFill="1" applyProtection="1"/>
    <xf numFmtId="1" fontId="79" fillId="2" borderId="0" xfId="0" applyNumberFormat="1" applyFont="1" applyFill="1" applyAlignment="1" applyProtection="1">
      <alignment horizontal="center"/>
    </xf>
    <xf numFmtId="0" fontId="93" fillId="2" borderId="0" xfId="0" applyFont="1" applyFill="1" applyAlignment="1" applyProtection="1">
      <alignment horizontal="center"/>
    </xf>
    <xf numFmtId="1" fontId="93" fillId="2" borderId="0" xfId="0" applyNumberFormat="1" applyFont="1" applyFill="1" applyAlignment="1" applyProtection="1">
      <alignment horizontal="center"/>
    </xf>
    <xf numFmtId="0" fontId="79" fillId="2" borderId="0" xfId="0" applyFont="1" applyFill="1" applyBorder="1" applyAlignment="1" applyProtection="1">
      <alignment horizontal="center"/>
    </xf>
    <xf numFmtId="0" fontId="79" fillId="2" borderId="0" xfId="0" applyFont="1" applyFill="1" applyBorder="1" applyAlignment="1" applyProtection="1">
      <alignment horizontal="right"/>
    </xf>
    <xf numFmtId="0" fontId="17" fillId="45" borderId="0" xfId="0" applyFont="1" applyFill="1"/>
    <xf numFmtId="0" fontId="93" fillId="30" borderId="0" xfId="0" applyFont="1" applyFill="1"/>
    <xf numFmtId="1" fontId="79" fillId="2" borderId="0" xfId="0" applyNumberFormat="1" applyFont="1" applyFill="1" applyAlignment="1">
      <alignment horizontal="left"/>
    </xf>
    <xf numFmtId="165" fontId="79" fillId="2" borderId="0" xfId="0" applyNumberFormat="1" applyFont="1" applyFill="1" applyAlignment="1">
      <alignment horizontal="center"/>
    </xf>
    <xf numFmtId="0" fontId="79" fillId="2" borderId="0" xfId="0" applyFont="1" applyFill="1" applyAlignment="1" applyProtection="1">
      <alignment horizontal="left"/>
    </xf>
    <xf numFmtId="0" fontId="79" fillId="2" borderId="0" xfId="0" applyFont="1" applyFill="1" applyBorder="1" applyProtection="1"/>
    <xf numFmtId="0" fontId="0" fillId="51" borderId="0" xfId="0" applyFill="1"/>
    <xf numFmtId="0" fontId="17" fillId="51" borderId="0" xfId="0" applyFont="1" applyFill="1" applyBorder="1" applyAlignment="1" applyProtection="1">
      <alignment horizontal="right"/>
    </xf>
    <xf numFmtId="0" fontId="17" fillId="51" borderId="0" xfId="0" applyFont="1" applyFill="1" applyAlignment="1">
      <alignment horizontal="right"/>
    </xf>
    <xf numFmtId="0" fontId="0" fillId="53" borderId="0" xfId="0" applyFill="1"/>
    <xf numFmtId="0" fontId="4" fillId="32" borderId="0" xfId="0" applyFont="1" applyFill="1" applyBorder="1" applyAlignment="1" applyProtection="1">
      <alignment horizontal="center"/>
    </xf>
    <xf numFmtId="0" fontId="5" fillId="53" borderId="0" xfId="0" applyFont="1" applyFill="1" applyAlignment="1">
      <alignment horizontal="center"/>
    </xf>
    <xf numFmtId="3" fontId="0" fillId="53" borderId="0" xfId="0" applyNumberFormat="1" applyFill="1" applyAlignment="1">
      <alignment horizontal="center"/>
    </xf>
    <xf numFmtId="0" fontId="0" fillId="52" borderId="0" xfId="0" applyFill="1" applyProtection="1"/>
    <xf numFmtId="165" fontId="0" fillId="52" borderId="0" xfId="0" applyNumberFormat="1" applyFill="1" applyBorder="1" applyAlignment="1" applyProtection="1">
      <alignment horizontal="center"/>
    </xf>
    <xf numFmtId="0" fontId="5" fillId="54" borderId="0" xfId="0" applyFont="1" applyFill="1"/>
    <xf numFmtId="0" fontId="5" fillId="52" borderId="0" xfId="0" applyFont="1" applyFill="1" applyBorder="1" applyProtection="1"/>
    <xf numFmtId="0" fontId="0" fillId="52" borderId="0" xfId="0" applyFill="1" applyBorder="1" applyProtection="1"/>
    <xf numFmtId="0" fontId="17" fillId="52" borderId="0" xfId="0" applyFont="1" applyFill="1" applyBorder="1" applyAlignment="1" applyProtection="1">
      <alignment horizontal="center"/>
    </xf>
    <xf numFmtId="0" fontId="5" fillId="52" borderId="0" xfId="0" applyFont="1" applyFill="1" applyBorder="1" applyAlignment="1" applyProtection="1">
      <alignment horizontal="center"/>
    </xf>
    <xf numFmtId="165" fontId="6" fillId="32" borderId="0" xfId="0" applyNumberFormat="1" applyFont="1" applyFill="1" applyBorder="1" applyAlignment="1" applyProtection="1">
      <alignment horizontal="center"/>
      <protection locked="0"/>
    </xf>
    <xf numFmtId="0" fontId="17" fillId="52" borderId="0" xfId="0" applyFont="1" applyFill="1" applyBorder="1" applyProtection="1"/>
    <xf numFmtId="0" fontId="17" fillId="52" borderId="0" xfId="0" applyFont="1" applyFill="1" applyProtection="1"/>
    <xf numFmtId="0" fontId="0" fillId="39" borderId="0" xfId="0" applyFill="1" applyBorder="1" applyProtection="1"/>
    <xf numFmtId="0" fontId="17" fillId="39" borderId="0" xfId="0" applyFont="1" applyFill="1" applyBorder="1" applyProtection="1"/>
    <xf numFmtId="0" fontId="6" fillId="32" borderId="0" xfId="0" applyFont="1" applyFill="1" applyBorder="1" applyAlignment="1" applyProtection="1">
      <alignment horizontal="left"/>
      <protection locked="0"/>
    </xf>
    <xf numFmtId="0" fontId="5" fillId="52" borderId="0" xfId="0" applyFont="1" applyFill="1" applyProtection="1"/>
    <xf numFmtId="0" fontId="5" fillId="52" borderId="0" xfId="0" applyFont="1" applyFill="1" applyAlignment="1" applyProtection="1">
      <alignment horizontal="center"/>
    </xf>
    <xf numFmtId="0" fontId="5" fillId="54" borderId="0" xfId="0" applyFont="1" applyFill="1" applyProtection="1"/>
    <xf numFmtId="0" fontId="0" fillId="54" borderId="0" xfId="0" applyFill="1" applyProtection="1"/>
    <xf numFmtId="0" fontId="5" fillId="54" borderId="0" xfId="0" applyFont="1" applyFill="1" applyAlignment="1" applyProtection="1">
      <alignment horizontal="center"/>
    </xf>
    <xf numFmtId="0" fontId="5" fillId="52" borderId="0" xfId="0" applyFont="1" applyFill="1" applyBorder="1" applyAlignment="1" applyProtection="1">
      <alignment horizontal="right"/>
    </xf>
    <xf numFmtId="0" fontId="5" fillId="52" borderId="0" xfId="0" applyFont="1" applyFill="1" applyAlignment="1" applyProtection="1">
      <alignment horizontal="right"/>
    </xf>
    <xf numFmtId="2" fontId="17" fillId="52" borderId="0" xfId="0" applyNumberFormat="1" applyFont="1" applyFill="1" applyBorder="1" applyAlignment="1" applyProtection="1">
      <alignment horizontal="center"/>
    </xf>
    <xf numFmtId="2" fontId="5" fillId="52" borderId="0" xfId="0" applyNumberFormat="1" applyFont="1" applyFill="1" applyBorder="1" applyAlignment="1" applyProtection="1">
      <alignment horizontal="center"/>
    </xf>
    <xf numFmtId="2" fontId="5" fillId="52" borderId="0" xfId="0" applyNumberFormat="1" applyFont="1" applyFill="1" applyAlignment="1" applyProtection="1">
      <alignment horizontal="center"/>
    </xf>
    <xf numFmtId="2" fontId="0" fillId="52" borderId="0" xfId="0" applyNumberFormat="1" applyFill="1" applyProtection="1"/>
    <xf numFmtId="2" fontId="0" fillId="54" borderId="0" xfId="0" applyNumberFormat="1" applyFill="1" applyProtection="1"/>
    <xf numFmtId="2" fontId="0" fillId="52" borderId="0" xfId="0" applyNumberFormat="1" applyFill="1" applyBorder="1" applyProtection="1"/>
    <xf numFmtId="2" fontId="0" fillId="39" borderId="0" xfId="0" applyNumberFormat="1" applyFill="1" applyBorder="1" applyProtection="1"/>
    <xf numFmtId="2" fontId="5" fillId="52" borderId="0" xfId="0" applyNumberFormat="1" applyFont="1" applyFill="1" applyBorder="1" applyProtection="1"/>
    <xf numFmtId="0" fontId="0" fillId="53" borderId="0" xfId="0" applyFill="1" applyProtection="1"/>
    <xf numFmtId="0" fontId="5" fillId="53" borderId="0" xfId="0" applyFont="1" applyFill="1" applyAlignment="1" applyProtection="1">
      <alignment horizontal="center"/>
    </xf>
    <xf numFmtId="2" fontId="5" fillId="54" borderId="0" xfId="0" applyNumberFormat="1" applyFont="1" applyFill="1" applyAlignment="1" applyProtection="1">
      <alignment horizontal="center"/>
    </xf>
    <xf numFmtId="2" fontId="5" fillId="54" borderId="0" xfId="0" applyNumberFormat="1" applyFont="1" applyFill="1" applyAlignment="1">
      <alignment horizontal="center"/>
    </xf>
    <xf numFmtId="0" fontId="5" fillId="29" borderId="0" xfId="0" applyFont="1" applyFill="1" applyAlignment="1">
      <alignment horizontal="right"/>
    </xf>
    <xf numFmtId="1" fontId="19" fillId="55" borderId="0" xfId="0" applyNumberFormat="1" applyFont="1" applyFill="1" applyBorder="1" applyAlignment="1" applyProtection="1">
      <alignment horizontal="center"/>
    </xf>
    <xf numFmtId="1" fontId="19" fillId="42" borderId="0" xfId="0" applyNumberFormat="1" applyFont="1" applyFill="1" applyBorder="1" applyAlignment="1" applyProtection="1">
      <alignment horizontal="center"/>
    </xf>
    <xf numFmtId="0" fontId="6" fillId="56" borderId="0" xfId="0" applyFont="1" applyFill="1" applyBorder="1" applyAlignment="1" applyProtection="1">
      <alignment horizontal="center"/>
    </xf>
    <xf numFmtId="0" fontId="0" fillId="56" borderId="0" xfId="0" applyFill="1"/>
    <xf numFmtId="0" fontId="0" fillId="43" borderId="0" xfId="0" applyFill="1" applyBorder="1" applyAlignment="1" applyProtection="1">
      <alignment horizontal="center"/>
    </xf>
    <xf numFmtId="0" fontId="0" fillId="39" borderId="0" xfId="0" applyFill="1" applyBorder="1" applyAlignment="1" applyProtection="1">
      <alignment horizontal="center"/>
    </xf>
    <xf numFmtId="0" fontId="17" fillId="39" borderId="0" xfId="0" applyFont="1" applyFill="1" applyBorder="1" applyAlignment="1" applyProtection="1">
      <alignment horizontal="center"/>
    </xf>
    <xf numFmtId="0" fontId="0" fillId="39" borderId="0" xfId="0" applyFill="1"/>
    <xf numFmtId="0" fontId="0" fillId="57" borderId="0" xfId="0" applyFill="1"/>
    <xf numFmtId="0" fontId="6" fillId="57" borderId="0" xfId="0" applyFont="1" applyFill="1" applyBorder="1" applyAlignment="1" applyProtection="1">
      <alignment horizontal="center"/>
    </xf>
    <xf numFmtId="1" fontId="17" fillId="39" borderId="0" xfId="0" applyNumberFormat="1" applyFont="1" applyFill="1" applyBorder="1" applyAlignment="1" applyProtection="1">
      <alignment horizontal="center"/>
    </xf>
    <xf numFmtId="0" fontId="5" fillId="50" borderId="0" xfId="0" applyFont="1" applyFill="1" applyBorder="1" applyProtection="1"/>
    <xf numFmtId="0" fontId="0" fillId="50" borderId="0" xfId="0" applyFill="1" applyBorder="1" applyProtection="1"/>
    <xf numFmtId="0" fontId="0" fillId="45" borderId="0" xfId="0" applyFill="1" applyBorder="1" applyAlignment="1" applyProtection="1">
      <alignment horizontal="center"/>
    </xf>
    <xf numFmtId="0" fontId="0" fillId="45" borderId="0" xfId="0" applyFill="1" applyBorder="1" applyProtection="1"/>
    <xf numFmtId="0" fontId="5" fillId="45" borderId="0" xfId="0" applyFont="1" applyFill="1" applyBorder="1" applyAlignment="1" applyProtection="1">
      <alignment horizontal="center"/>
    </xf>
    <xf numFmtId="0" fontId="5" fillId="47" borderId="0" xfId="0" applyFont="1" applyFill="1" applyBorder="1" applyProtection="1"/>
    <xf numFmtId="0" fontId="102" fillId="47" borderId="0" xfId="0" applyFont="1" applyFill="1" applyBorder="1" applyAlignment="1" applyProtection="1">
      <alignment horizontal="center"/>
    </xf>
    <xf numFmtId="0" fontId="6" fillId="53" borderId="0" xfId="0" applyFont="1" applyFill="1" applyBorder="1" applyAlignment="1" applyProtection="1">
      <alignment horizontal="center"/>
    </xf>
    <xf numFmtId="0" fontId="19" fillId="58" borderId="0" xfId="0" applyFont="1" applyFill="1" applyBorder="1" applyProtection="1"/>
    <xf numFmtId="0" fontId="19" fillId="58" borderId="0" xfId="0" applyFont="1" applyFill="1" applyBorder="1" applyAlignment="1" applyProtection="1">
      <alignment horizontal="right"/>
    </xf>
    <xf numFmtId="0" fontId="69" fillId="58" borderId="0" xfId="0" applyFont="1" applyFill="1" applyBorder="1" applyAlignment="1" applyProtection="1">
      <alignment horizontal="center"/>
    </xf>
    <xf numFmtId="0" fontId="103" fillId="59" borderId="0" xfId="0" applyFont="1" applyFill="1" applyBorder="1" applyAlignment="1" applyProtection="1">
      <alignment horizontal="center"/>
    </xf>
    <xf numFmtId="0" fontId="5" fillId="60" borderId="0" xfId="0" applyFont="1" applyFill="1" applyBorder="1" applyProtection="1"/>
    <xf numFmtId="0" fontId="102" fillId="60" borderId="0" xfId="0" applyFont="1" applyFill="1" applyBorder="1" applyAlignment="1" applyProtection="1">
      <alignment horizontal="center"/>
    </xf>
    <xf numFmtId="0" fontId="5" fillId="45" borderId="0" xfId="0" applyFont="1" applyFill="1"/>
    <xf numFmtId="0" fontId="4" fillId="29" borderId="0" xfId="0" applyFont="1" applyFill="1" applyAlignment="1" applyProtection="1">
      <alignment horizontal="center"/>
    </xf>
    <xf numFmtId="0" fontId="17" fillId="34" borderId="0" xfId="0" applyFont="1" applyFill="1" applyBorder="1" applyAlignment="1" applyProtection="1">
      <alignment horizontal="center"/>
      <protection locked="0"/>
    </xf>
    <xf numFmtId="168" fontId="17" fillId="2" borderId="0" xfId="0" applyNumberFormat="1" applyFont="1" applyFill="1" applyBorder="1" applyProtection="1">
      <protection locked="0"/>
    </xf>
    <xf numFmtId="9" fontId="79" fillId="2" borderId="0" xfId="0" applyNumberFormat="1" applyFont="1" applyFill="1" applyBorder="1" applyAlignment="1">
      <alignment horizontal="left"/>
    </xf>
    <xf numFmtId="0" fontId="17" fillId="32" borderId="0" xfId="0" applyFont="1" applyFill="1" applyBorder="1" applyAlignment="1" applyProtection="1">
      <alignment horizontal="center"/>
      <protection locked="0"/>
    </xf>
    <xf numFmtId="3" fontId="17" fillId="29" borderId="0" xfId="0" applyNumberFormat="1" applyFont="1" applyFill="1" applyProtection="1"/>
    <xf numFmtId="0" fontId="5" fillId="29" borderId="0" xfId="0" applyFont="1" applyFill="1" applyAlignment="1" applyProtection="1">
      <alignment horizontal="left"/>
    </xf>
    <xf numFmtId="3" fontId="0" fillId="45" borderId="0" xfId="0" applyNumberFormat="1" applyFill="1"/>
    <xf numFmtId="3" fontId="0" fillId="51" borderId="0" xfId="0" applyNumberFormat="1" applyFill="1"/>
    <xf numFmtId="3" fontId="0" fillId="29" borderId="0" xfId="0" applyNumberFormat="1" applyFill="1"/>
    <xf numFmtId="3" fontId="0" fillId="30" borderId="0" xfId="0" applyNumberFormat="1" applyFill="1"/>
    <xf numFmtId="0" fontId="17" fillId="41" borderId="0" xfId="0" applyFont="1" applyFill="1" applyAlignment="1" applyProtection="1">
      <alignment horizontal="right"/>
    </xf>
    <xf numFmtId="3" fontId="72" fillId="27" borderId="0" xfId="0" applyNumberFormat="1" applyFont="1" applyFill="1" applyAlignment="1">
      <alignment horizontal="center"/>
    </xf>
    <xf numFmtId="2" fontId="72" fillId="27" borderId="0" xfId="0" applyNumberFormat="1" applyFont="1" applyFill="1" applyAlignment="1">
      <alignment horizontal="center"/>
    </xf>
    <xf numFmtId="165" fontId="72" fillId="27" borderId="0" xfId="0" applyNumberFormat="1" applyFont="1" applyFill="1" applyAlignment="1">
      <alignment horizontal="center"/>
    </xf>
    <xf numFmtId="0" fontId="108" fillId="55" borderId="0" xfId="1" applyFont="1" applyFill="1" applyBorder="1" applyAlignment="1" applyProtection="1"/>
    <xf numFmtId="0" fontId="109" fillId="55" borderId="0" xfId="0" applyFont="1" applyFill="1" applyBorder="1" applyProtection="1"/>
    <xf numFmtId="0" fontId="109" fillId="55" borderId="0" xfId="0" applyFont="1" applyFill="1" applyBorder="1" applyAlignment="1" applyProtection="1">
      <alignment horizontal="center"/>
    </xf>
    <xf numFmtId="0" fontId="108" fillId="58" borderId="0" xfId="1" applyFont="1" applyFill="1" applyBorder="1" applyAlignment="1" applyProtection="1"/>
    <xf numFmtId="0" fontId="109" fillId="58" borderId="0" xfId="0" applyFont="1" applyFill="1" applyBorder="1" applyProtection="1"/>
    <xf numFmtId="0" fontId="109" fillId="58" borderId="0" xfId="0" applyFont="1" applyFill="1" applyBorder="1" applyAlignment="1" applyProtection="1">
      <alignment horizontal="center"/>
    </xf>
    <xf numFmtId="0" fontId="108" fillId="48" borderId="0" xfId="1" applyFont="1" applyFill="1" applyBorder="1" applyAlignment="1" applyProtection="1"/>
    <xf numFmtId="0" fontId="109" fillId="48" borderId="0" xfId="0" applyFont="1" applyFill="1" applyBorder="1" applyProtection="1"/>
    <xf numFmtId="0" fontId="109" fillId="48" borderId="0" xfId="0" applyFont="1" applyFill="1" applyBorder="1" applyAlignment="1" applyProtection="1">
      <alignment horizontal="center"/>
    </xf>
    <xf numFmtId="0" fontId="106" fillId="29" borderId="0" xfId="0" applyFont="1" applyFill="1" applyBorder="1" applyProtection="1"/>
    <xf numFmtId="0" fontId="106" fillId="29" borderId="0" xfId="1" applyFont="1" applyFill="1" applyBorder="1" applyAlignment="1" applyProtection="1"/>
    <xf numFmtId="165" fontId="106" fillId="29" borderId="0" xfId="0" applyNumberFormat="1" applyFont="1" applyFill="1" applyBorder="1" applyAlignment="1" applyProtection="1">
      <alignment horizontal="center"/>
    </xf>
    <xf numFmtId="0" fontId="110" fillId="29" borderId="0" xfId="1" applyFont="1" applyFill="1" applyBorder="1" applyAlignment="1" applyProtection="1">
      <alignment horizontal="right"/>
    </xf>
    <xf numFmtId="0" fontId="107" fillId="29" borderId="0" xfId="0" applyFont="1" applyFill="1" applyBorder="1" applyProtection="1"/>
    <xf numFmtId="0" fontId="4" fillId="41" borderId="0" xfId="0" applyFont="1" applyFill="1" applyAlignment="1" applyProtection="1">
      <alignment horizontal="center"/>
    </xf>
    <xf numFmtId="0" fontId="108" fillId="30" borderId="0" xfId="1" applyFont="1" applyFill="1" applyBorder="1" applyAlignment="1" applyProtection="1"/>
    <xf numFmtId="0" fontId="109" fillId="30" borderId="0" xfId="0" applyFont="1" applyFill="1" applyBorder="1" applyProtection="1"/>
    <xf numFmtId="0" fontId="111" fillId="30" borderId="0" xfId="1" applyFont="1" applyFill="1" applyBorder="1" applyAlignment="1" applyProtection="1"/>
    <xf numFmtId="0" fontId="112" fillId="30" borderId="0" xfId="0" applyFont="1" applyFill="1" applyBorder="1" applyProtection="1"/>
    <xf numFmtId="0" fontId="108" fillId="42" borderId="0" xfId="1" applyFont="1" applyFill="1" applyBorder="1" applyAlignment="1" applyProtection="1">
      <alignment horizontal="left"/>
    </xf>
    <xf numFmtId="0" fontId="108" fillId="48" borderId="0" xfId="0" applyFont="1" applyFill="1" applyProtection="1"/>
    <xf numFmtId="0" fontId="5" fillId="58" borderId="0" xfId="1" applyFont="1" applyFill="1" applyBorder="1" applyAlignment="1" applyProtection="1"/>
    <xf numFmtId="0" fontId="17" fillId="58" borderId="0" xfId="0" applyFont="1" applyFill="1" applyBorder="1" applyProtection="1"/>
    <xf numFmtId="0" fontId="17" fillId="58" borderId="0" xfId="0" applyFont="1" applyFill="1" applyBorder="1" applyAlignment="1" applyProtection="1">
      <alignment horizontal="center"/>
    </xf>
    <xf numFmtId="0" fontId="108" fillId="42" borderId="0" xfId="1" applyFont="1" applyFill="1" applyBorder="1" applyAlignment="1" applyProtection="1"/>
    <xf numFmtId="0" fontId="108" fillId="55" borderId="0" xfId="1" applyFont="1" applyFill="1" applyBorder="1" applyAlignment="1" applyProtection="1">
      <alignment horizontal="center"/>
    </xf>
    <xf numFmtId="0" fontId="108" fillId="61" borderId="0" xfId="1" applyFont="1" applyFill="1" applyBorder="1" applyAlignment="1" applyProtection="1"/>
    <xf numFmtId="0" fontId="17" fillId="61" borderId="0" xfId="0" applyFont="1" applyFill="1" applyBorder="1" applyProtection="1"/>
    <xf numFmtId="0" fontId="4" fillId="61" borderId="0" xfId="0" applyFont="1" applyFill="1" applyBorder="1" applyAlignment="1" applyProtection="1">
      <alignment horizontal="center"/>
    </xf>
    <xf numFmtId="0" fontId="109" fillId="42" borderId="0" xfId="0" applyFont="1" applyFill="1" applyBorder="1" applyProtection="1"/>
    <xf numFmtId="0" fontId="109" fillId="42" borderId="0" xfId="0" applyFont="1" applyFill="1" applyBorder="1" applyAlignment="1" applyProtection="1">
      <alignment horizontal="center"/>
    </xf>
    <xf numFmtId="0" fontId="109" fillId="42" borderId="0" xfId="0" applyFont="1" applyFill="1" applyProtection="1"/>
    <xf numFmtId="0" fontId="109" fillId="42" borderId="0" xfId="0" applyFont="1" applyFill="1" applyAlignment="1" applyProtection="1">
      <alignment horizontal="center"/>
    </xf>
    <xf numFmtId="3" fontId="109" fillId="42" borderId="0" xfId="0" applyNumberFormat="1" applyFont="1" applyFill="1" applyAlignment="1" applyProtection="1">
      <alignment horizontal="center"/>
    </xf>
    <xf numFmtId="0" fontId="108" fillId="30" borderId="0" xfId="0" applyFont="1" applyFill="1" applyAlignment="1">
      <alignment horizontal="right"/>
    </xf>
    <xf numFmtId="0" fontId="109" fillId="30" borderId="0" xfId="0" applyFont="1" applyFill="1"/>
    <xf numFmtId="0" fontId="108" fillId="30" borderId="0" xfId="0" applyFont="1" applyFill="1"/>
    <xf numFmtId="0" fontId="106" fillId="35" borderId="0" xfId="0" applyFont="1" applyFill="1" applyBorder="1" applyProtection="1"/>
    <xf numFmtId="0" fontId="106" fillId="35" borderId="0" xfId="0" applyFont="1" applyFill="1" applyProtection="1"/>
    <xf numFmtId="2" fontId="106" fillId="35" borderId="0" xfId="0" applyNumberFormat="1" applyFont="1" applyFill="1" applyBorder="1" applyAlignment="1">
      <alignment horizontal="center"/>
    </xf>
    <xf numFmtId="2" fontId="106" fillId="35" borderId="0" xfId="0" applyNumberFormat="1" applyFont="1" applyFill="1" applyAlignment="1" applyProtection="1">
      <alignment horizontal="center"/>
    </xf>
    <xf numFmtId="0" fontId="106" fillId="35" borderId="0" xfId="0" applyFont="1" applyFill="1" applyBorder="1" applyAlignment="1">
      <alignment horizontal="center"/>
    </xf>
    <xf numFmtId="0" fontId="17" fillId="12" borderId="21" xfId="0" applyFont="1" applyFill="1" applyBorder="1"/>
    <xf numFmtId="0" fontId="11" fillId="28" borderId="0" xfId="0" applyFont="1" applyFill="1" applyBorder="1" applyAlignment="1" applyProtection="1"/>
    <xf numFmtId="0" fontId="106" fillId="29" borderId="0" xfId="0" applyFont="1" applyFill="1" applyProtection="1"/>
    <xf numFmtId="0" fontId="106" fillId="29" borderId="0" xfId="0" applyFont="1" applyFill="1" applyAlignment="1" applyProtection="1">
      <alignment horizontal="center"/>
    </xf>
    <xf numFmtId="0" fontId="106" fillId="41" borderId="0" xfId="0" applyFont="1" applyFill="1" applyBorder="1" applyProtection="1"/>
    <xf numFmtId="0" fontId="106" fillId="41" borderId="0" xfId="0" applyFont="1" applyFill="1" applyProtection="1"/>
    <xf numFmtId="0" fontId="106" fillId="41" borderId="0" xfId="0" applyFont="1" applyFill="1" applyAlignment="1" applyProtection="1">
      <alignment horizontal="center"/>
    </xf>
    <xf numFmtId="0" fontId="106" fillId="28" borderId="0" xfId="0" applyFont="1" applyFill="1" applyProtection="1"/>
    <xf numFmtId="0" fontId="106" fillId="28" borderId="0" xfId="0" applyFont="1" applyFill="1" applyAlignment="1" applyProtection="1">
      <alignment horizontal="center"/>
    </xf>
    <xf numFmtId="0" fontId="113" fillId="29" borderId="0" xfId="0" applyFont="1" applyFill="1" applyBorder="1" applyAlignment="1" applyProtection="1">
      <alignment horizontal="center"/>
    </xf>
    <xf numFmtId="2" fontId="106" fillId="29" borderId="0" xfId="0" applyNumberFormat="1" applyFont="1" applyFill="1" applyBorder="1" applyAlignment="1" applyProtection="1">
      <alignment horizontal="center"/>
    </xf>
    <xf numFmtId="0" fontId="4" fillId="41"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1" fontId="79" fillId="30" borderId="0" xfId="0" applyNumberFormat="1" applyFont="1" applyFill="1" applyProtection="1"/>
    <xf numFmtId="0" fontId="93" fillId="2" borderId="0" xfId="0" applyFont="1" applyFill="1" applyBorder="1" applyProtection="1"/>
    <xf numFmtId="1" fontId="79" fillId="2" borderId="0" xfId="0" applyNumberFormat="1" applyFont="1" applyFill="1" applyBorder="1" applyProtection="1"/>
    <xf numFmtId="165" fontId="93" fillId="2" borderId="0" xfId="0" applyNumberFormat="1" applyFont="1" applyFill="1" applyBorder="1" applyAlignment="1" applyProtection="1">
      <alignment horizontal="center"/>
    </xf>
    <xf numFmtId="165" fontId="93" fillId="2" borderId="0" xfId="0" applyNumberFormat="1" applyFont="1" applyFill="1" applyAlignment="1" applyProtection="1">
      <alignment horizontal="center"/>
    </xf>
    <xf numFmtId="165" fontId="79" fillId="2" borderId="0" xfId="0" applyNumberFormat="1" applyFont="1" applyFill="1" applyAlignment="1" applyProtection="1">
      <alignment horizontal="center"/>
    </xf>
    <xf numFmtId="0" fontId="79" fillId="2" borderId="0" xfId="0" applyFont="1" applyFill="1" applyBorder="1" applyAlignment="1" applyProtection="1">
      <alignment horizontal="center" vertical="center"/>
    </xf>
    <xf numFmtId="165" fontId="79" fillId="2" borderId="0" xfId="0" applyNumberFormat="1" applyFont="1" applyFill="1" applyProtection="1"/>
    <xf numFmtId="0" fontId="79" fillId="0" borderId="0" xfId="0" applyFont="1" applyProtection="1"/>
    <xf numFmtId="0" fontId="0" fillId="27" borderId="0" xfId="0" applyFill="1" applyAlignment="1">
      <alignment vertical="top" wrapText="1"/>
    </xf>
    <xf numFmtId="0" fontId="4" fillId="2" borderId="0" xfId="0" applyFont="1" applyFill="1" applyBorder="1" applyAlignment="1">
      <alignment horizontal="center"/>
    </xf>
    <xf numFmtId="0" fontId="4" fillId="2" borderId="5" xfId="0" applyFont="1" applyFill="1" applyBorder="1" applyAlignment="1">
      <alignment horizontal="center"/>
    </xf>
    <xf numFmtId="167" fontId="19" fillId="21" borderId="24" xfId="0" applyNumberFormat="1" applyFont="1" applyFill="1" applyBorder="1" applyAlignment="1" applyProtection="1">
      <alignment horizontal="center"/>
      <protection locked="0"/>
    </xf>
    <xf numFmtId="3" fontId="100" fillId="43" borderId="10" xfId="0" applyNumberFormat="1" applyFont="1" applyFill="1" applyBorder="1" applyAlignment="1" applyProtection="1">
      <alignment horizontal="center"/>
      <protection locked="0"/>
    </xf>
    <xf numFmtId="1" fontId="100" fillId="43" borderId="41" xfId="0" applyNumberFormat="1" applyFont="1" applyFill="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vertical="center" wrapText="1"/>
    </xf>
    <xf numFmtId="165" fontId="0" fillId="32" borderId="0" xfId="0" applyNumberFormat="1" applyFill="1" applyBorder="1" applyAlignment="1" applyProtection="1">
      <alignment horizontal="center"/>
      <protection locked="0"/>
    </xf>
    <xf numFmtId="0" fontId="4" fillId="0" borderId="0" xfId="0" applyFont="1"/>
    <xf numFmtId="0" fontId="0" fillId="54" borderId="0" xfId="0" applyFill="1" applyAlignment="1">
      <alignment horizontal="center" vertical="center" wrapText="1"/>
    </xf>
    <xf numFmtId="0" fontId="0" fillId="54" borderId="0" xfId="0" applyFill="1" applyAlignment="1">
      <alignment horizontal="center" vertical="center"/>
    </xf>
    <xf numFmtId="0" fontId="4" fillId="54" borderId="0" xfId="0" applyFont="1" applyFill="1"/>
    <xf numFmtId="0" fontId="4" fillId="29" borderId="0" xfId="0" applyFont="1" applyFill="1" applyBorder="1" applyAlignment="1" applyProtection="1">
      <alignment horizontal="center" vertical="center"/>
    </xf>
    <xf numFmtId="0" fontId="0" fillId="0" borderId="0" xfId="0" applyAlignment="1">
      <alignment wrapText="1"/>
    </xf>
    <xf numFmtId="0" fontId="4" fillId="61" borderId="0" xfId="0" applyFont="1" applyFill="1" applyBorder="1" applyProtection="1"/>
    <xf numFmtId="165" fontId="4" fillId="38" borderId="0" xfId="0" applyNumberFormat="1" applyFont="1" applyFill="1" applyBorder="1" applyAlignment="1" applyProtection="1">
      <alignment horizontal="center"/>
    </xf>
    <xf numFmtId="0" fontId="5" fillId="38" borderId="0" xfId="0" applyFont="1" applyFill="1" applyBorder="1" applyAlignment="1" applyProtection="1">
      <alignment horizontal="left"/>
    </xf>
    <xf numFmtId="9" fontId="4" fillId="38" borderId="0" xfId="0" applyNumberFormat="1" applyFont="1" applyFill="1" applyBorder="1" applyAlignment="1" applyProtection="1">
      <alignment horizontal="center"/>
    </xf>
    <xf numFmtId="165" fontId="0" fillId="37" borderId="18" xfId="0" applyNumberFormat="1" applyFill="1" applyBorder="1" applyAlignment="1" applyProtection="1">
      <alignment horizontal="center"/>
    </xf>
    <xf numFmtId="0" fontId="0" fillId="37" borderId="27" xfId="0" applyFill="1" applyBorder="1" applyAlignment="1" applyProtection="1">
      <alignment horizontal="center"/>
    </xf>
    <xf numFmtId="0" fontId="0" fillId="37" borderId="17" xfId="0" applyFill="1" applyBorder="1" applyAlignment="1" applyProtection="1">
      <alignment horizontal="center"/>
    </xf>
    <xf numFmtId="0" fontId="4" fillId="64" borderId="0" xfId="0" applyFont="1" applyFill="1" applyBorder="1" applyAlignment="1" applyProtection="1">
      <alignment horizontal="center"/>
    </xf>
    <xf numFmtId="0" fontId="4" fillId="27" borderId="0" xfId="0" applyFont="1" applyFill="1" applyBorder="1" applyAlignment="1" applyProtection="1">
      <alignment horizontal="right"/>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0" fillId="0" borderId="0" xfId="0" applyFill="1"/>
    <xf numFmtId="0" fontId="5" fillId="29" borderId="0" xfId="0" applyFont="1" applyFill="1" applyBorder="1" applyAlignment="1" applyProtection="1">
      <alignment horizontal="center"/>
    </xf>
    <xf numFmtId="0" fontId="5" fillId="28" borderId="0" xfId="0" applyFont="1" applyFill="1" applyBorder="1" applyAlignment="1" applyProtection="1">
      <alignment horizontal="left"/>
    </xf>
    <xf numFmtId="0" fontId="5" fillId="28" borderId="0" xfId="0" applyFont="1" applyFill="1" applyAlignment="1" applyProtection="1">
      <alignment horizontal="left"/>
    </xf>
    <xf numFmtId="0" fontId="4" fillId="34" borderId="0" xfId="0" applyFont="1" applyFill="1" applyBorder="1" applyAlignment="1" applyProtection="1">
      <protection locked="0"/>
    </xf>
    <xf numFmtId="0" fontId="5" fillId="41" borderId="0" xfId="0" applyFont="1" applyFill="1" applyAlignment="1" applyProtection="1">
      <alignment horizontal="center"/>
    </xf>
    <xf numFmtId="0" fontId="5" fillId="41" borderId="0" xfId="0" applyFont="1" applyFill="1" applyAlignment="1" applyProtection="1">
      <alignment horizontal="center"/>
    </xf>
    <xf numFmtId="0" fontId="5" fillId="42" borderId="0" xfId="0" applyFont="1" applyFill="1" applyAlignment="1" applyProtection="1">
      <alignment horizontal="left"/>
    </xf>
    <xf numFmtId="0" fontId="0" fillId="28" borderId="24" xfId="0" applyFont="1" applyFill="1" applyBorder="1" applyAlignment="1" applyProtection="1">
      <alignment horizontal="center"/>
    </xf>
    <xf numFmtId="0" fontId="4" fillId="66" borderId="0" xfId="0" applyFont="1" applyFill="1" applyProtection="1"/>
    <xf numFmtId="0" fontId="4" fillId="66" borderId="0" xfId="0" applyFont="1" applyFill="1" applyAlignment="1" applyProtection="1">
      <alignment horizontal="center"/>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70" fillId="29" borderId="22" xfId="0" applyFont="1" applyFill="1" applyBorder="1" applyProtection="1"/>
    <xf numFmtId="0" fontId="17" fillId="37" borderId="18" xfId="0" applyFont="1" applyFill="1" applyBorder="1" applyAlignment="1">
      <alignment horizontal="center"/>
    </xf>
    <xf numFmtId="2" fontId="0" fillId="6" borderId="16" xfId="0" applyNumberFormat="1" applyFill="1" applyBorder="1" applyAlignment="1">
      <alignment horizontal="center"/>
    </xf>
    <xf numFmtId="0" fontId="17" fillId="37" borderId="20" xfId="0" applyFont="1" applyFill="1" applyBorder="1" applyAlignment="1">
      <alignment horizontal="center"/>
    </xf>
    <xf numFmtId="0" fontId="17" fillId="28" borderId="0" xfId="0" applyFont="1" applyFill="1" applyAlignment="1" applyProtection="1">
      <alignment horizontal="right"/>
    </xf>
    <xf numFmtId="0" fontId="96" fillId="29" borderId="0" xfId="0" applyFont="1" applyFill="1" applyAlignment="1" applyProtection="1">
      <alignment horizontal="left"/>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3" fontId="17" fillId="29" borderId="0" xfId="0" applyNumberFormat="1" applyFont="1" applyFill="1" applyBorder="1" applyAlignment="1" applyProtection="1">
      <alignment horizontal="center"/>
    </xf>
    <xf numFmtId="0" fontId="70" fillId="29" borderId="0" xfId="0" applyNumberFormat="1" applyFont="1" applyFill="1" applyProtection="1"/>
    <xf numFmtId="0" fontId="11" fillId="29" borderId="0" xfId="0" applyNumberFormat="1" applyFont="1" applyFill="1" applyBorder="1" applyAlignment="1" applyProtection="1">
      <alignment horizontal="center" vertical="center"/>
    </xf>
    <xf numFmtId="0" fontId="4" fillId="29" borderId="22" xfId="0" applyNumberFormat="1" applyFont="1" applyFill="1" applyBorder="1" applyAlignment="1" applyProtection="1">
      <alignment horizontal="left" vertical="center"/>
    </xf>
    <xf numFmtId="0" fontId="17" fillId="29" borderId="22" xfId="0" applyNumberFormat="1" applyFont="1" applyFill="1" applyBorder="1" applyAlignment="1" applyProtection="1">
      <alignment horizontal="center" vertical="center"/>
    </xf>
    <xf numFmtId="0" fontId="17" fillId="29" borderId="22" xfId="0" applyNumberFormat="1" applyFont="1" applyFill="1" applyBorder="1" applyAlignment="1" applyProtection="1">
      <alignment vertical="center"/>
    </xf>
    <xf numFmtId="0" fontId="17" fillId="29" borderId="22" xfId="0" applyNumberFormat="1" applyFont="1" applyFill="1" applyBorder="1" applyAlignment="1" applyProtection="1">
      <alignment horizontal="center"/>
    </xf>
    <xf numFmtId="0" fontId="4" fillId="29" borderId="0" xfId="0" applyNumberFormat="1" applyFont="1" applyFill="1" applyAlignment="1" applyProtection="1"/>
    <xf numFmtId="0" fontId="17" fillId="29" borderId="22" xfId="0" applyNumberFormat="1" applyFont="1" applyFill="1" applyBorder="1" applyAlignment="1" applyProtection="1">
      <alignment horizontal="left"/>
    </xf>
    <xf numFmtId="0" fontId="17" fillId="29" borderId="22" xfId="0" applyNumberFormat="1" applyFont="1" applyFill="1" applyBorder="1" applyAlignment="1" applyProtection="1"/>
    <xf numFmtId="0" fontId="4" fillId="29" borderId="0" xfId="0" applyNumberFormat="1" applyFont="1" applyFill="1" applyAlignment="1" applyProtection="1">
      <alignment horizontal="center"/>
    </xf>
    <xf numFmtId="0" fontId="4" fillId="29" borderId="22" xfId="0" applyNumberFormat="1" applyFont="1" applyFill="1" applyBorder="1" applyProtection="1"/>
    <xf numFmtId="0" fontId="4" fillId="29" borderId="22" xfId="0" applyNumberFormat="1" applyFont="1" applyFill="1" applyBorder="1" applyAlignment="1" applyProtection="1">
      <alignment horizontal="center"/>
    </xf>
    <xf numFmtId="0" fontId="4" fillId="29" borderId="0" xfId="0" applyNumberFormat="1" applyFont="1" applyFill="1" applyBorder="1" applyAlignment="1" applyProtection="1">
      <alignment horizontal="center"/>
    </xf>
    <xf numFmtId="0" fontId="5" fillId="29" borderId="22" xfId="0" applyNumberFormat="1" applyFont="1" applyFill="1" applyBorder="1" applyAlignment="1" applyProtection="1"/>
    <xf numFmtId="0" fontId="5"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horizontal="left" vertical="center"/>
    </xf>
    <xf numFmtId="0" fontId="17" fillId="29" borderId="0" xfId="0" applyNumberFormat="1" applyFont="1" applyFill="1" applyBorder="1" applyAlignment="1" applyProtection="1">
      <alignment horizontal="center" vertical="center"/>
    </xf>
    <xf numFmtId="0" fontId="17" fillId="29" borderId="0" xfId="0" applyNumberFormat="1" applyFont="1" applyFill="1" applyAlignment="1" applyProtection="1">
      <alignment horizontal="center"/>
    </xf>
    <xf numFmtId="0" fontId="0" fillId="29" borderId="0" xfId="0" applyNumberFormat="1" applyFill="1" applyBorder="1" applyAlignment="1" applyProtection="1">
      <alignment horizontal="center" vertical="center"/>
    </xf>
    <xf numFmtId="0" fontId="17" fillId="29" borderId="0" xfId="0" applyNumberFormat="1" applyFont="1" applyFill="1" applyProtection="1"/>
    <xf numFmtId="0" fontId="0" fillId="29" borderId="0" xfId="0" applyNumberFormat="1" applyFont="1" applyFill="1" applyBorder="1" applyAlignment="1" applyProtection="1">
      <alignment horizontal="center"/>
    </xf>
    <xf numFmtId="0" fontId="0" fillId="29" borderId="24" xfId="0" applyNumberFormat="1" applyFont="1" applyFill="1" applyBorder="1" applyAlignment="1" applyProtection="1"/>
    <xf numFmtId="0" fontId="0" fillId="29" borderId="0" xfId="0" applyNumberFormat="1" applyFont="1" applyFill="1" applyBorder="1" applyAlignment="1" applyProtection="1"/>
    <xf numFmtId="0" fontId="17" fillId="29" borderId="0" xfId="0" applyNumberFormat="1" applyFont="1" applyFill="1" applyBorder="1" applyAlignment="1" applyProtection="1">
      <alignment horizontal="center"/>
    </xf>
    <xf numFmtId="0" fontId="17" fillId="29" borderId="0" xfId="0" applyNumberFormat="1" applyFont="1" applyFill="1" applyBorder="1" applyAlignment="1" applyProtection="1">
      <alignment vertical="center"/>
    </xf>
    <xf numFmtId="0" fontId="71" fillId="29" borderId="0" xfId="0" applyNumberFormat="1" applyFont="1" applyFill="1" applyProtection="1"/>
    <xf numFmtId="0" fontId="4" fillId="29" borderId="22" xfId="0" applyNumberFormat="1" applyFont="1" applyFill="1" applyBorder="1" applyAlignment="1" applyProtection="1">
      <alignment horizontal="left"/>
    </xf>
    <xf numFmtId="0" fontId="0" fillId="29" borderId="24" xfId="0" applyNumberFormat="1" applyFont="1" applyFill="1" applyBorder="1" applyAlignment="1" applyProtection="1">
      <alignment horizontal="right"/>
    </xf>
    <xf numFmtId="3" fontId="0" fillId="29" borderId="24" xfId="0" applyNumberFormat="1" applyFont="1" applyFill="1" applyBorder="1" applyAlignment="1" applyProtection="1">
      <alignment horizontal="right"/>
    </xf>
    <xf numFmtId="0" fontId="4" fillId="29" borderId="0" xfId="0" applyNumberFormat="1" applyFont="1" applyFill="1" applyBorder="1" applyAlignment="1" applyProtection="1">
      <alignment horizontal="left" vertical="center"/>
    </xf>
    <xf numFmtId="3" fontId="17" fillId="41" borderId="0" xfId="0" applyNumberFormat="1" applyFont="1" applyFill="1" applyBorder="1" applyAlignment="1" applyProtection="1">
      <alignment horizontal="center"/>
    </xf>
    <xf numFmtId="3" fontId="11" fillId="41" borderId="0" xfId="0" applyNumberFormat="1" applyFont="1" applyFill="1" applyBorder="1" applyAlignment="1" applyProtection="1">
      <alignment horizontal="center" vertical="center"/>
    </xf>
    <xf numFmtId="3" fontId="11" fillId="41" borderId="0" xfId="0" quotePrefix="1" applyNumberFormat="1" applyFont="1" applyFill="1" applyBorder="1" applyAlignment="1" applyProtection="1">
      <alignment horizontal="center"/>
    </xf>
    <xf numFmtId="0" fontId="17" fillId="41" borderId="0" xfId="0" applyFont="1" applyFill="1" applyAlignment="1" applyProtection="1">
      <alignment horizontal="left" vertical="center"/>
    </xf>
    <xf numFmtId="0" fontId="5" fillId="42" borderId="0" xfId="0" applyFont="1" applyFill="1" applyProtection="1"/>
    <xf numFmtId="0" fontId="4" fillId="27" borderId="0" xfId="0" applyFont="1" applyFill="1" applyBorder="1" applyAlignment="1" applyProtection="1">
      <alignment horizontal="left"/>
    </xf>
    <xf numFmtId="3" fontId="17" fillId="29" borderId="22" xfId="0" applyNumberFormat="1" applyFont="1" applyFill="1" applyBorder="1" applyAlignment="1" applyProtection="1">
      <alignment horizontal="left"/>
    </xf>
    <xf numFmtId="0" fontId="17" fillId="66" borderId="1" xfId="0" applyFont="1" applyFill="1" applyBorder="1" applyAlignment="1" applyProtection="1">
      <alignment horizontal="center"/>
      <protection locked="0"/>
    </xf>
    <xf numFmtId="0" fontId="17" fillId="66" borderId="15" xfId="0" applyFont="1" applyFill="1" applyBorder="1" applyAlignment="1" applyProtection="1">
      <alignment horizontal="center"/>
      <protection locked="0"/>
    </xf>
    <xf numFmtId="0" fontId="4" fillId="29" borderId="0" xfId="0" applyFont="1" applyFill="1" applyAlignment="1" applyProtection="1">
      <alignment horizontal="center"/>
    </xf>
    <xf numFmtId="0" fontId="4" fillId="28" borderId="0" xfId="0" applyFont="1" applyFill="1" applyAlignment="1" applyProtection="1">
      <alignment horizontal="center"/>
    </xf>
    <xf numFmtId="0" fontId="4" fillId="64" borderId="0" xfId="0" applyFont="1" applyFill="1" applyBorder="1" applyAlignment="1" applyProtection="1">
      <alignment horizontal="left"/>
    </xf>
    <xf numFmtId="0" fontId="83" fillId="29" borderId="22" xfId="0" applyFont="1" applyFill="1" applyBorder="1" applyAlignment="1" applyProtection="1">
      <alignment vertical="center" wrapText="1"/>
    </xf>
    <xf numFmtId="0" fontId="0" fillId="0" borderId="0" xfId="0" applyFill="1" applyAlignment="1">
      <alignment horizontal="left" vertical="center" wrapText="1"/>
    </xf>
    <xf numFmtId="0" fontId="0" fillId="0" borderId="0" xfId="0" applyFont="1" applyFill="1" applyAlignment="1">
      <alignment horizontal="left" vertical="center" wrapText="1"/>
    </xf>
    <xf numFmtId="0" fontId="4" fillId="0" borderId="0" xfId="0" applyFont="1" applyFill="1" applyAlignment="1">
      <alignment horizontal="left" vertical="center" wrapText="1"/>
    </xf>
    <xf numFmtId="0" fontId="5" fillId="30" borderId="0" xfId="0" applyFont="1" applyFill="1" applyAlignment="1" applyProtection="1">
      <alignment horizontal="left"/>
    </xf>
    <xf numFmtId="3" fontId="17" fillId="29" borderId="0" xfId="0" applyNumberFormat="1" applyFont="1" applyFill="1" applyBorder="1" applyAlignment="1" applyProtection="1"/>
    <xf numFmtId="3" fontId="17" fillId="28" borderId="0" xfId="0" applyNumberFormat="1" applyFont="1" applyFill="1" applyBorder="1" applyAlignment="1" applyProtection="1">
      <alignment horizontal="center"/>
    </xf>
    <xf numFmtId="0" fontId="4" fillId="28" borderId="0" xfId="0" applyFont="1" applyFill="1" applyAlignment="1" applyProtection="1">
      <alignment horizontal="left"/>
    </xf>
    <xf numFmtId="0" fontId="11" fillId="2" borderId="0" xfId="0" applyFont="1" applyFill="1" applyProtection="1"/>
    <xf numFmtId="0" fontId="6" fillId="28" borderId="0" xfId="0" applyFont="1" applyFill="1" applyProtection="1"/>
    <xf numFmtId="0" fontId="6" fillId="28" borderId="0" xfId="0" applyFont="1" applyFill="1" applyAlignment="1" applyProtection="1">
      <alignment horizontal="left"/>
    </xf>
    <xf numFmtId="0" fontId="5" fillId="48" borderId="0" xfId="0" applyFont="1" applyFill="1" applyAlignment="1" applyProtection="1">
      <alignment horizontal="left"/>
    </xf>
    <xf numFmtId="0" fontId="17" fillId="29" borderId="0" xfId="0" applyFont="1" applyFill="1" applyAlignment="1" applyProtection="1">
      <alignment horizontal="right"/>
    </xf>
    <xf numFmtId="0" fontId="5" fillId="29" borderId="0" xfId="0" applyFont="1" applyFill="1" applyAlignment="1" applyProtection="1">
      <alignment horizontal="right"/>
    </xf>
    <xf numFmtId="0" fontId="4" fillId="28" borderId="0" xfId="0" applyFont="1" applyFill="1" applyAlignment="1">
      <alignment horizontal="right"/>
    </xf>
    <xf numFmtId="3" fontId="4" fillId="28" borderId="0" xfId="0" applyNumberFormat="1" applyFont="1" applyFill="1" applyAlignment="1" applyProtection="1">
      <alignment horizontal="left"/>
    </xf>
    <xf numFmtId="3" fontId="5" fillId="28" borderId="0" xfId="0" applyNumberFormat="1" applyFont="1" applyFill="1" applyAlignment="1" applyProtection="1">
      <alignment horizontal="left"/>
    </xf>
    <xf numFmtId="1" fontId="17" fillId="41" borderId="0" xfId="0" applyNumberFormat="1" applyFont="1" applyFill="1" applyBorder="1" applyAlignment="1" applyProtection="1">
      <alignment horizontal="center"/>
    </xf>
    <xf numFmtId="0" fontId="118" fillId="30" borderId="0" xfId="0" applyFont="1" applyFill="1" applyAlignment="1">
      <alignment horizontal="right"/>
    </xf>
    <xf numFmtId="0" fontId="119" fillId="30" borderId="0" xfId="0" applyFont="1" applyFill="1"/>
    <xf numFmtId="0" fontId="120" fillId="30" borderId="0" xfId="0" applyFont="1" applyFill="1" applyAlignment="1">
      <alignment horizontal="left"/>
    </xf>
    <xf numFmtId="0" fontId="120" fillId="30" borderId="0" xfId="0" applyFont="1" applyFill="1"/>
    <xf numFmtId="0" fontId="4" fillId="28" borderId="0" xfId="0" applyFont="1" applyFill="1" applyAlignment="1">
      <alignment horizontal="center" vertical="center" wrapText="1"/>
    </xf>
    <xf numFmtId="3" fontId="5" fillId="29" borderId="0" xfId="0" applyNumberFormat="1" applyFont="1" applyFill="1"/>
    <xf numFmtId="0" fontId="4" fillId="70" borderId="0" xfId="0" applyFont="1" applyFill="1" applyProtection="1"/>
    <xf numFmtId="0" fontId="4" fillId="70" borderId="0" xfId="0" applyFont="1" applyFill="1" applyAlignment="1" applyProtection="1">
      <alignment horizontal="center"/>
    </xf>
    <xf numFmtId="0" fontId="63" fillId="70" borderId="0" xfId="0" applyFont="1" applyFill="1" applyProtection="1"/>
    <xf numFmtId="0" fontId="5" fillId="71" borderId="0" xfId="0" applyFont="1" applyFill="1" applyProtection="1"/>
    <xf numFmtId="0" fontId="4" fillId="71" borderId="0" xfId="0" applyFont="1" applyFill="1" applyProtection="1"/>
    <xf numFmtId="0" fontId="4" fillId="71" borderId="0" xfId="0" applyFont="1" applyFill="1" applyAlignment="1" applyProtection="1">
      <alignment horizontal="center"/>
    </xf>
    <xf numFmtId="3" fontId="5" fillId="32" borderId="0" xfId="0" applyNumberFormat="1" applyFont="1" applyFill="1" applyAlignment="1">
      <alignment horizontal="center"/>
    </xf>
    <xf numFmtId="0" fontId="8" fillId="27" borderId="0" xfId="0" applyFont="1" applyFill="1"/>
    <xf numFmtId="0" fontId="122" fillId="30" borderId="0" xfId="0" applyFont="1" applyFill="1" applyAlignment="1">
      <alignment horizontal="left"/>
    </xf>
    <xf numFmtId="0" fontId="122" fillId="30" borderId="0" xfId="0" applyFont="1" applyFill="1"/>
    <xf numFmtId="0" fontId="12" fillId="49" borderId="0" xfId="1" applyFill="1" applyAlignment="1" applyProtection="1"/>
    <xf numFmtId="0" fontId="0" fillId="27" borderId="0" xfId="0" applyFill="1" applyAlignment="1">
      <alignment vertical="center" wrapText="1"/>
    </xf>
    <xf numFmtId="0" fontId="4" fillId="27" borderId="0" xfId="0" applyFont="1" applyFill="1"/>
    <xf numFmtId="0" fontId="4" fillId="29" borderId="0" xfId="0" applyFont="1" applyFill="1"/>
    <xf numFmtId="0" fontId="5" fillId="41" borderId="0" xfId="0" applyFont="1" applyFill="1" applyBorder="1" applyAlignment="1" applyProtection="1">
      <alignment horizontal="center"/>
    </xf>
    <xf numFmtId="0" fontId="11" fillId="29" borderId="0" xfId="0" applyFont="1" applyFill="1"/>
    <xf numFmtId="0" fontId="43" fillId="52" borderId="0" xfId="0" applyFont="1" applyFill="1" applyBorder="1" applyProtection="1"/>
    <xf numFmtId="0" fontId="0" fillId="66" borderId="0" xfId="0" applyFill="1"/>
    <xf numFmtId="0" fontId="0" fillId="50" borderId="21" xfId="0" applyFill="1" applyBorder="1" applyProtection="1"/>
    <xf numFmtId="0" fontId="0" fillId="39" borderId="0" xfId="0" applyFill="1" applyBorder="1" applyAlignment="1" applyProtection="1">
      <alignment horizontal="right"/>
    </xf>
    <xf numFmtId="0" fontId="103" fillId="49" borderId="0" xfId="0" applyFont="1" applyFill="1"/>
    <xf numFmtId="0" fontId="103" fillId="49" borderId="0" xfId="0" applyFont="1" applyFill="1" applyAlignment="1">
      <alignment horizontal="right"/>
    </xf>
    <xf numFmtId="0" fontId="103" fillId="49" borderId="0" xfId="0" applyFont="1" applyFill="1" applyBorder="1" applyProtection="1"/>
    <xf numFmtId="0" fontId="103" fillId="49" borderId="0" xfId="1" applyFont="1" applyFill="1" applyAlignment="1" applyProtection="1"/>
    <xf numFmtId="0" fontId="103" fillId="49" borderId="0" xfId="2" applyFont="1" applyFill="1" applyProtection="1"/>
    <xf numFmtId="0" fontId="0" fillId="54" borderId="0" xfId="0" applyFill="1" applyAlignment="1">
      <alignment wrapText="1"/>
    </xf>
    <xf numFmtId="0" fontId="4" fillId="54" borderId="0" xfId="0" applyFont="1" applyFill="1" applyAlignment="1">
      <alignment wrapText="1"/>
    </xf>
    <xf numFmtId="0" fontId="126" fillId="64" borderId="0" xfId="1" applyFont="1" applyFill="1" applyBorder="1" applyAlignment="1" applyProtection="1">
      <alignment horizontal="center"/>
    </xf>
    <xf numFmtId="0" fontId="103" fillId="29" borderId="0" xfId="1" applyFont="1" applyFill="1" applyAlignment="1" applyProtection="1"/>
    <xf numFmtId="0" fontId="12" fillId="29" borderId="0" xfId="1" applyFill="1" applyAlignment="1" applyProtection="1"/>
    <xf numFmtId="0" fontId="12" fillId="29" borderId="0" xfId="1" applyFill="1" applyAlignment="1" applyProtection="1">
      <alignment horizontal="center"/>
    </xf>
    <xf numFmtId="0" fontId="117" fillId="29" borderId="0" xfId="0" applyFont="1" applyFill="1" applyProtection="1"/>
    <xf numFmtId="0" fontId="129" fillId="29" borderId="0" xfId="0" applyFont="1" applyFill="1" applyAlignment="1" applyProtection="1">
      <alignment horizontal="right"/>
    </xf>
    <xf numFmtId="0" fontId="71" fillId="29" borderId="0" xfId="0" applyFont="1" applyFill="1" applyProtection="1"/>
    <xf numFmtId="0" fontId="0" fillId="32" borderId="0" xfId="0" applyFill="1" applyProtection="1"/>
    <xf numFmtId="0" fontId="6" fillId="35" borderId="0" xfId="0" applyFont="1" applyFill="1" applyBorder="1" applyAlignment="1" applyProtection="1">
      <alignment horizontal="left"/>
    </xf>
    <xf numFmtId="0" fontId="117" fillId="66" borderId="0" xfId="0" applyFont="1" applyFill="1" applyProtection="1"/>
    <xf numFmtId="0" fontId="0" fillId="66" borderId="0" xfId="0" applyFill="1" applyProtection="1"/>
    <xf numFmtId="0" fontId="5" fillId="66" borderId="0" xfId="0" applyFont="1" applyFill="1" applyAlignment="1" applyProtection="1"/>
    <xf numFmtId="0" fontId="61" fillId="66" borderId="0" xfId="0" applyFont="1" applyFill="1" applyProtection="1"/>
    <xf numFmtId="0" fontId="8" fillId="66" borderId="0" xfId="0" applyFont="1" applyFill="1" applyAlignment="1" applyProtection="1"/>
    <xf numFmtId="0" fontId="5" fillId="66" borderId="0" xfId="0" applyFont="1" applyFill="1" applyAlignment="1" applyProtection="1">
      <alignment horizontal="left"/>
    </xf>
    <xf numFmtId="0" fontId="74" fillId="29" borderId="0" xfId="0" applyFont="1" applyFill="1" applyBorder="1" applyProtection="1"/>
    <xf numFmtId="0" fontId="130" fillId="29" borderId="0" xfId="0" applyFont="1" applyFill="1" applyBorder="1" applyProtection="1"/>
    <xf numFmtId="0" fontId="74" fillId="29" borderId="0" xfId="0" applyFont="1" applyFill="1" applyBorder="1" applyAlignment="1" applyProtection="1">
      <alignment horizontal="left"/>
    </xf>
    <xf numFmtId="0" fontId="74" fillId="29" borderId="0" xfId="0" applyFont="1" applyFill="1" applyBorder="1" applyAlignment="1" applyProtection="1">
      <alignment horizontal="center"/>
    </xf>
    <xf numFmtId="0" fontId="4" fillId="0" borderId="1" xfId="0" applyFont="1" applyBorder="1"/>
    <xf numFmtId="0" fontId="0" fillId="0" borderId="3" xfId="0" applyBorder="1"/>
    <xf numFmtId="0" fontId="0" fillId="29" borderId="4" xfId="0" applyFill="1" applyBorder="1"/>
    <xf numFmtId="0" fontId="0" fillId="29" borderId="5" xfId="0" applyFill="1" applyBorder="1"/>
    <xf numFmtId="0" fontId="0" fillId="29" borderId="6" xfId="0" applyFill="1" applyBorder="1"/>
    <xf numFmtId="0" fontId="0" fillId="29" borderId="8" xfId="0" applyFill="1" applyBorder="1"/>
    <xf numFmtId="0" fontId="36" fillId="35" borderId="0" xfId="0" applyFont="1" applyFill="1" applyBorder="1" applyAlignment="1" applyProtection="1">
      <alignment horizontal="center"/>
    </xf>
    <xf numFmtId="0" fontId="62" fillId="66" borderId="0" xfId="0" applyFont="1" applyFill="1" applyAlignment="1" applyProtection="1">
      <alignment horizontal="center"/>
    </xf>
    <xf numFmtId="0" fontId="62" fillId="66" borderId="0" xfId="0" applyFont="1" applyFill="1" applyAlignment="1" applyProtection="1">
      <alignment horizontal="right"/>
    </xf>
    <xf numFmtId="0" fontId="128" fillId="66" borderId="0" xfId="0" applyFont="1" applyFill="1" applyAlignment="1" applyProtection="1">
      <alignment horizontal="right"/>
    </xf>
    <xf numFmtId="0" fontId="69" fillId="66" borderId="0" xfId="0" applyFont="1" applyFill="1" applyBorder="1" applyProtection="1"/>
    <xf numFmtId="0" fontId="69" fillId="66" borderId="0" xfId="0" applyFont="1" applyFill="1" applyProtection="1"/>
    <xf numFmtId="0" fontId="12" fillId="32" borderId="0" xfId="1" applyFill="1" applyBorder="1" applyAlignment="1" applyProtection="1">
      <alignment horizontal="left"/>
      <protection locked="0"/>
    </xf>
    <xf numFmtId="0" fontId="0" fillId="32" borderId="0" xfId="0" applyFill="1" applyBorder="1" applyAlignment="1" applyProtection="1">
      <alignment horizontal="left"/>
    </xf>
    <xf numFmtId="0" fontId="4" fillId="29" borderId="0" xfId="0" applyFont="1" applyFill="1" applyAlignment="1" applyProtection="1">
      <alignment horizontal="right"/>
    </xf>
    <xf numFmtId="0" fontId="0" fillId="29" borderId="0" xfId="0" applyFill="1" applyAlignment="1" applyProtection="1">
      <alignment horizontal="right"/>
    </xf>
    <xf numFmtId="0" fontId="4" fillId="0" borderId="0" xfId="2" applyFont="1"/>
    <xf numFmtId="0" fontId="79" fillId="68" borderId="0" xfId="2" applyFont="1" applyFill="1"/>
    <xf numFmtId="0" fontId="17" fillId="68" borderId="0" xfId="2" applyFill="1"/>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132" fillId="29" borderId="0" xfId="2" applyFont="1" applyFill="1" applyBorder="1" applyProtection="1"/>
    <xf numFmtId="0" fontId="4" fillId="54" borderId="0" xfId="0" applyFont="1" applyFill="1" applyAlignment="1">
      <alignment horizontal="center" vertical="center" wrapText="1"/>
    </xf>
    <xf numFmtId="0" fontId="5" fillId="64" borderId="0" xfId="0" applyFont="1" applyFill="1" applyBorder="1" applyAlignment="1" applyProtection="1">
      <alignment horizontal="center"/>
    </xf>
    <xf numFmtId="0" fontId="5" fillId="2" borderId="1" xfId="0" applyFont="1" applyFill="1" applyBorder="1" applyAlignment="1" applyProtection="1"/>
    <xf numFmtId="0" fontId="5" fillId="2" borderId="3" xfId="0" applyFont="1" applyFill="1" applyBorder="1" applyAlignment="1" applyProtection="1"/>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37" borderId="0" xfId="0" applyFont="1" applyFill="1"/>
    <xf numFmtId="1" fontId="79" fillId="6" borderId="1" xfId="0" applyNumberFormat="1" applyFont="1" applyFill="1" applyBorder="1" applyAlignment="1">
      <alignment horizontal="center"/>
    </xf>
    <xf numFmtId="1" fontId="81" fillId="8" borderId="1" xfId="0" applyNumberFormat="1" applyFont="1" applyFill="1" applyBorder="1" applyAlignment="1">
      <alignment horizontal="center"/>
    </xf>
    <xf numFmtId="1" fontId="33" fillId="2" borderId="0" xfId="0" applyNumberFormat="1" applyFont="1" applyFill="1" applyProtection="1"/>
    <xf numFmtId="1" fontId="79" fillId="6" borderId="2" xfId="0" applyNumberFormat="1" applyFont="1" applyFill="1" applyBorder="1" applyAlignment="1">
      <alignment horizontal="center"/>
    </xf>
    <xf numFmtId="1" fontId="81" fillId="8" borderId="2" xfId="0" applyNumberFormat="1" applyFont="1" applyFill="1" applyBorder="1" applyAlignment="1">
      <alignment horizontal="center"/>
    </xf>
    <xf numFmtId="1" fontId="79" fillId="6" borderId="3" xfId="0" applyNumberFormat="1" applyFont="1" applyFill="1" applyBorder="1" applyAlignment="1">
      <alignment horizontal="center"/>
    </xf>
    <xf numFmtId="0" fontId="134" fillId="30" borderId="0" xfId="0" applyFont="1" applyFill="1" applyAlignment="1">
      <alignment horizontal="right"/>
    </xf>
    <xf numFmtId="1" fontId="4" fillId="2" borderId="0" xfId="0" applyNumberFormat="1" applyFont="1" applyFill="1" applyProtection="1"/>
    <xf numFmtId="1" fontId="81" fillId="6" borderId="2" xfId="0" applyNumberFormat="1" applyFont="1" applyFill="1" applyBorder="1" applyAlignment="1">
      <alignment horizontal="center"/>
    </xf>
    <xf numFmtId="1" fontId="79" fillId="6" borderId="5" xfId="0" applyNumberFormat="1" applyFont="1" applyFill="1" applyBorder="1" applyAlignment="1">
      <alignment horizontal="center"/>
    </xf>
    <xf numFmtId="0" fontId="79" fillId="30" borderId="0" xfId="0" applyFont="1" applyFill="1" applyAlignment="1" applyProtection="1">
      <alignment horizontal="center"/>
    </xf>
    <xf numFmtId="0" fontId="5" fillId="28" borderId="0" xfId="0" applyFont="1" applyFill="1" applyBorder="1" applyAlignment="1" applyProtection="1">
      <alignment horizontal="center"/>
    </xf>
    <xf numFmtId="0" fontId="0" fillId="41" borderId="0" xfId="0" applyFill="1" applyAlignment="1">
      <alignment horizontal="center"/>
    </xf>
    <xf numFmtId="0" fontId="5" fillId="41" borderId="0" xfId="0" applyFont="1" applyFill="1" applyAlignment="1">
      <alignment horizontal="left"/>
    </xf>
    <xf numFmtId="0" fontId="97" fillId="49" borderId="0" xfId="0" applyFont="1" applyFill="1" applyBorder="1" applyAlignment="1" applyProtection="1">
      <alignment horizontal="left"/>
    </xf>
    <xf numFmtId="0" fontId="17" fillId="41" borderId="0" xfId="1" applyFont="1" applyFill="1" applyBorder="1" applyAlignment="1" applyProtection="1">
      <alignment horizontal="left"/>
    </xf>
    <xf numFmtId="0" fontId="5" fillId="41" borderId="0" xfId="0" applyFont="1" applyFill="1" applyAlignment="1" applyProtection="1">
      <alignment horizontal="left"/>
    </xf>
    <xf numFmtId="0" fontId="5" fillId="41" borderId="0" xfId="0" applyFont="1" applyFill="1" applyAlignment="1" applyProtection="1">
      <alignment horizontal="left" vertical="center"/>
    </xf>
    <xf numFmtId="0" fontId="5" fillId="35" borderId="0" xfId="0" applyFont="1" applyFill="1" applyAlignment="1" applyProtection="1">
      <alignment horizontal="left"/>
    </xf>
    <xf numFmtId="0" fontId="70" fillId="29" borderId="0" xfId="0" applyFont="1" applyFill="1" applyAlignment="1" applyProtection="1">
      <alignment horizontal="left"/>
    </xf>
    <xf numFmtId="0" fontId="5" fillId="28" borderId="0" xfId="1" applyFont="1" applyFill="1" applyBorder="1" applyAlignment="1" applyProtection="1">
      <alignment horizontal="left"/>
    </xf>
    <xf numFmtId="0" fontId="0" fillId="34" borderId="0" xfId="0" applyFill="1"/>
    <xf numFmtId="0" fontId="135" fillId="54" borderId="0" xfId="0" applyFont="1" applyFill="1" applyAlignment="1">
      <alignment horizontal="center" vertical="center" wrapText="1"/>
    </xf>
    <xf numFmtId="0" fontId="5" fillId="23" borderId="47" xfId="0" applyFont="1" applyFill="1" applyBorder="1" applyAlignment="1">
      <alignment horizontal="center"/>
    </xf>
    <xf numFmtId="0" fontId="5" fillId="23" borderId="30" xfId="0" applyFont="1" applyFill="1" applyBorder="1" applyAlignment="1">
      <alignment horizontal="center"/>
    </xf>
    <xf numFmtId="0" fontId="79" fillId="2" borderId="0" xfId="0" applyFont="1" applyFill="1" applyBorder="1" applyAlignment="1" applyProtection="1"/>
    <xf numFmtId="0" fontId="79" fillId="2" borderId="0" xfId="0" applyFont="1" applyFill="1" applyBorder="1" applyAlignment="1" applyProtection="1">
      <alignment horizontal="left" vertical="center"/>
    </xf>
    <xf numFmtId="1" fontId="81" fillId="8" borderId="4" xfId="0" applyNumberFormat="1" applyFont="1" applyFill="1" applyBorder="1" applyAlignment="1">
      <alignment horizontal="center"/>
    </xf>
    <xf numFmtId="1" fontId="81" fillId="8" borderId="0" xfId="0" applyNumberFormat="1" applyFont="1" applyFill="1" applyBorder="1" applyAlignment="1">
      <alignment horizontal="center"/>
    </xf>
    <xf numFmtId="1" fontId="81" fillId="6" borderId="0" xfId="0" applyNumberFormat="1" applyFont="1" applyFill="1" applyBorder="1" applyAlignment="1">
      <alignment horizontal="center"/>
    </xf>
    <xf numFmtId="1" fontId="81" fillId="6" borderId="5" xfId="0" applyNumberFormat="1" applyFont="1" applyFill="1" applyBorder="1" applyAlignment="1">
      <alignment horizontal="center"/>
    </xf>
    <xf numFmtId="0" fontId="79" fillId="2" borderId="0" xfId="0" applyFont="1" applyFill="1" applyBorder="1" applyAlignment="1" applyProtection="1">
      <alignment horizontal="left"/>
    </xf>
    <xf numFmtId="1" fontId="63" fillId="50" borderId="5" xfId="0" quotePrefix="1" applyNumberFormat="1" applyFont="1" applyFill="1" applyBorder="1" applyAlignment="1">
      <alignment horizontal="center"/>
    </xf>
    <xf numFmtId="1" fontId="63" fillId="50" borderId="8" xfId="0" quotePrefix="1" applyNumberFormat="1" applyFont="1" applyFill="1" applyBorder="1" applyAlignment="1">
      <alignment horizontal="center"/>
    </xf>
    <xf numFmtId="1" fontId="0" fillId="50" borderId="5" xfId="0" quotePrefix="1" applyNumberFormat="1" applyFill="1" applyBorder="1" applyAlignment="1">
      <alignment horizontal="center"/>
    </xf>
    <xf numFmtId="1" fontId="0" fillId="50" borderId="8" xfId="0" quotePrefix="1" applyNumberFormat="1" applyFill="1" applyBorder="1" applyAlignment="1">
      <alignment horizontal="center"/>
    </xf>
    <xf numFmtId="1" fontId="0" fillId="50" borderId="7" xfId="0" quotePrefix="1" applyNumberFormat="1" applyFill="1" applyBorder="1" applyAlignment="1">
      <alignment horizontal="center"/>
    </xf>
    <xf numFmtId="0" fontId="0" fillId="50" borderId="7" xfId="0" applyFill="1" applyBorder="1"/>
    <xf numFmtId="1" fontId="81" fillId="6" borderId="3" xfId="0" applyNumberFormat="1" applyFont="1" applyFill="1" applyBorder="1" applyAlignment="1">
      <alignment horizontal="center"/>
    </xf>
    <xf numFmtId="0" fontId="79" fillId="6" borderId="0" xfId="0" applyFont="1" applyFill="1" applyBorder="1" applyAlignment="1">
      <alignment vertical="center" wrapText="1"/>
    </xf>
    <xf numFmtId="165" fontId="64" fillId="6" borderId="8" xfId="0" applyNumberFormat="1" applyFont="1" applyFill="1" applyBorder="1" applyAlignment="1">
      <alignment horizontal="center"/>
    </xf>
    <xf numFmtId="1" fontId="79" fillId="2" borderId="0" xfId="0" applyNumberFormat="1" applyFont="1" applyFill="1" applyBorder="1" applyAlignment="1" applyProtection="1">
      <alignment horizontal="left"/>
    </xf>
    <xf numFmtId="3" fontId="79" fillId="2" borderId="0" xfId="0" applyNumberFormat="1" applyFont="1" applyFill="1"/>
    <xf numFmtId="0" fontId="100" fillId="30" borderId="0" xfId="0" applyFont="1" applyFill="1" applyProtection="1"/>
    <xf numFmtId="0" fontId="100" fillId="30" borderId="0" xfId="0" applyFont="1" applyFill="1" applyAlignment="1" applyProtection="1">
      <alignment horizontal="left"/>
    </xf>
    <xf numFmtId="0" fontId="100" fillId="2" borderId="0" xfId="0" applyFont="1" applyFill="1" applyProtection="1"/>
    <xf numFmtId="0" fontId="100" fillId="2" borderId="0" xfId="0" applyFont="1" applyFill="1" applyAlignment="1" applyProtection="1">
      <alignment horizontal="left"/>
    </xf>
    <xf numFmtId="0" fontId="100" fillId="2" borderId="0" xfId="0" applyFont="1" applyFill="1" applyBorder="1" applyProtection="1"/>
    <xf numFmtId="0" fontId="79" fillId="2" borderId="0" xfId="0" applyFont="1" applyFill="1" applyBorder="1"/>
    <xf numFmtId="0" fontId="79" fillId="2" borderId="0" xfId="0" applyFont="1" applyFill="1" applyBorder="1" applyAlignment="1">
      <alignment horizontal="center"/>
    </xf>
    <xf numFmtId="1" fontId="100" fillId="2" borderId="0" xfId="0" applyNumberFormat="1" applyFont="1" applyFill="1" applyAlignment="1" applyProtection="1">
      <alignment horizontal="left"/>
    </xf>
    <xf numFmtId="1" fontId="100" fillId="2" borderId="0" xfId="0" applyNumberFormat="1" applyFont="1" applyFill="1" applyProtection="1"/>
    <xf numFmtId="0" fontId="0" fillId="0" borderId="0" xfId="0" applyFill="1" applyAlignment="1">
      <alignment wrapText="1"/>
    </xf>
    <xf numFmtId="0" fontId="0" fillId="54" borderId="0" xfId="0" applyFill="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4" fillId="0" borderId="0" xfId="0" applyFont="1" applyAlignment="1">
      <alignment horizontal="center" wrapText="1"/>
    </xf>
    <xf numFmtId="0" fontId="0" fillId="0" borderId="0" xfId="0" applyFill="1" applyBorder="1" applyAlignment="1">
      <alignment horizontal="center" wrapText="1"/>
    </xf>
    <xf numFmtId="0" fontId="4" fillId="0" borderId="0" xfId="0" applyFont="1" applyFill="1" applyAlignment="1">
      <alignment horizontal="center" wrapText="1"/>
    </xf>
    <xf numFmtId="0" fontId="4" fillId="5" borderId="0" xfId="0" applyFont="1" applyFill="1"/>
    <xf numFmtId="0" fontId="0" fillId="62" borderId="0" xfId="0" applyFill="1" applyAlignment="1">
      <alignment horizontal="center" vertical="center"/>
    </xf>
    <xf numFmtId="0" fontId="0" fillId="50" borderId="0" xfId="0" applyFill="1" applyAlignment="1">
      <alignment horizontal="center" vertical="center"/>
    </xf>
    <xf numFmtId="0" fontId="4" fillId="54" borderId="0" xfId="0" applyFont="1" applyFill="1" applyAlignment="1">
      <alignment horizontal="center" vertical="center"/>
    </xf>
    <xf numFmtId="0" fontId="4" fillId="15" borderId="0" xfId="0" applyFont="1" applyFill="1"/>
    <xf numFmtId="0" fontId="4" fillId="38" borderId="0" xfId="0" applyFont="1" applyFill="1" applyBorder="1" applyAlignment="1" applyProtection="1">
      <alignment horizontal="left"/>
    </xf>
    <xf numFmtId="0" fontId="0" fillId="29" borderId="0" xfId="0" applyFill="1" applyAlignment="1">
      <alignment horizontal="center"/>
    </xf>
    <xf numFmtId="165" fontId="5" fillId="29" borderId="0" xfId="0" applyNumberFormat="1" applyFont="1" applyFill="1" applyAlignment="1">
      <alignment horizontal="center"/>
    </xf>
    <xf numFmtId="0" fontId="4" fillId="34" borderId="0" xfId="0" applyFont="1" applyFill="1" applyBorder="1" applyAlignment="1" applyProtection="1">
      <alignment horizontal="center"/>
      <protection locked="0"/>
    </xf>
    <xf numFmtId="0" fontId="0" fillId="41" borderId="0" xfId="0" applyFill="1" applyBorder="1" applyAlignment="1" applyProtection="1">
      <alignment horizontal="left"/>
    </xf>
    <xf numFmtId="0" fontId="17" fillId="41" borderId="0" xfId="0" applyFont="1" applyFill="1" applyBorder="1" applyAlignment="1" applyProtection="1">
      <alignment horizontal="left" vertical="center"/>
    </xf>
    <xf numFmtId="3" fontId="17" fillId="41" borderId="0" xfId="0" applyNumberFormat="1" applyFont="1" applyFill="1" applyBorder="1" applyAlignment="1" applyProtection="1">
      <alignment horizontal="left" wrapText="1"/>
    </xf>
    <xf numFmtId="0" fontId="70" fillId="41" borderId="0" xfId="0" applyFont="1" applyFill="1" applyAlignment="1" applyProtection="1">
      <alignment horizontal="left"/>
    </xf>
    <xf numFmtId="0" fontId="5" fillId="29" borderId="0" xfId="0" applyFont="1" applyFill="1" applyBorder="1" applyAlignment="1" applyProtection="1">
      <alignment horizontal="left" vertical="center"/>
    </xf>
    <xf numFmtId="49" fontId="5" fillId="29" borderId="0" xfId="0" applyNumberFormat="1" applyFont="1" applyFill="1" applyBorder="1" applyAlignment="1" applyProtection="1">
      <alignment horizontal="left" vertical="center"/>
    </xf>
    <xf numFmtId="0" fontId="4" fillId="27" borderId="0" xfId="0" applyFont="1" applyFill="1" applyAlignment="1" applyProtection="1">
      <alignment horizontal="left"/>
    </xf>
    <xf numFmtId="0" fontId="0" fillId="41" borderId="0" xfId="0" applyFill="1" applyBorder="1" applyAlignment="1">
      <alignment horizontal="left"/>
    </xf>
    <xf numFmtId="0" fontId="4" fillId="41" borderId="0" xfId="0" applyFont="1" applyFill="1" applyBorder="1" applyAlignment="1" applyProtection="1">
      <alignment horizontal="left"/>
    </xf>
    <xf numFmtId="0" fontId="70" fillId="28" borderId="0" xfId="0" applyFont="1" applyFill="1" applyAlignment="1" applyProtection="1">
      <alignment horizontal="left"/>
    </xf>
    <xf numFmtId="0" fontId="17" fillId="29" borderId="0" xfId="0" applyFont="1" applyFill="1" applyBorder="1" applyAlignment="1" applyProtection="1">
      <alignment horizontal="left" vertical="center"/>
    </xf>
    <xf numFmtId="0" fontId="43" fillId="29" borderId="0" xfId="0" applyFont="1" applyFill="1" applyBorder="1" applyAlignment="1" applyProtection="1">
      <alignment horizontal="left"/>
    </xf>
    <xf numFmtId="0" fontId="0" fillId="41" borderId="0" xfId="0" applyFont="1" applyFill="1" applyAlignment="1" applyProtection="1">
      <alignment horizontal="left"/>
    </xf>
    <xf numFmtId="0" fontId="17" fillId="29" borderId="0" xfId="1" applyFont="1" applyFill="1" applyBorder="1" applyAlignment="1" applyProtection="1">
      <alignment horizontal="left"/>
    </xf>
    <xf numFmtId="0" fontId="4" fillId="29" borderId="0" xfId="0" applyFont="1" applyFill="1" applyAlignment="1" applyProtection="1">
      <alignment horizontal="left"/>
    </xf>
    <xf numFmtId="0" fontId="0" fillId="29" borderId="0" xfId="0" applyFill="1" applyAlignment="1">
      <alignment horizontal="left"/>
    </xf>
    <xf numFmtId="0" fontId="5" fillId="30" borderId="0" xfId="0" applyFont="1" applyFill="1" applyAlignment="1">
      <alignment horizontal="left"/>
    </xf>
    <xf numFmtId="0" fontId="5" fillId="52" borderId="0" xfId="0" applyFont="1" applyFill="1" applyAlignment="1" applyProtection="1">
      <alignment horizontal="left"/>
    </xf>
    <xf numFmtId="0" fontId="0" fillId="52" borderId="0" xfId="0" applyFill="1" applyAlignment="1" applyProtection="1">
      <alignment horizontal="left"/>
    </xf>
    <xf numFmtId="0" fontId="5" fillId="54" borderId="0" xfId="0" applyFont="1" applyFill="1" applyAlignment="1" applyProtection="1">
      <alignment horizontal="left"/>
    </xf>
    <xf numFmtId="0" fontId="17" fillId="52" borderId="0" xfId="0" applyFont="1" applyFill="1" applyAlignment="1" applyProtection="1">
      <alignment horizontal="left"/>
    </xf>
    <xf numFmtId="0" fontId="5" fillId="39" borderId="0" xfId="0" applyFont="1" applyFill="1" applyBorder="1" applyAlignment="1" applyProtection="1">
      <alignment horizontal="left"/>
    </xf>
    <xf numFmtId="0" fontId="5" fillId="53" borderId="0" xfId="0" applyFont="1" applyFill="1" applyAlignment="1" applyProtection="1">
      <alignment horizontal="left"/>
    </xf>
    <xf numFmtId="0" fontId="8" fillId="66" borderId="0" xfId="0" applyFont="1" applyFill="1" applyAlignment="1">
      <alignment horizontal="left"/>
    </xf>
    <xf numFmtId="0" fontId="8" fillId="27" borderId="0" xfId="0" applyFont="1" applyFill="1" applyAlignment="1">
      <alignment horizontal="left"/>
    </xf>
    <xf numFmtId="0" fontId="5" fillId="38" borderId="0" xfId="0" applyFont="1" applyFill="1" applyBorder="1" applyAlignment="1" applyProtection="1"/>
    <xf numFmtId="0" fontId="4" fillId="34" borderId="0" xfId="0" applyFont="1" applyFill="1" applyAlignment="1" applyProtection="1">
      <alignment horizontal="center"/>
      <protection locked="0"/>
    </xf>
    <xf numFmtId="0" fontId="4" fillId="50"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106" fillId="41" borderId="0" xfId="0" applyFont="1" applyFill="1" applyAlignment="1" applyProtection="1">
      <alignment horizontal="center"/>
    </xf>
    <xf numFmtId="0" fontId="4" fillId="41" borderId="0" xfId="0" applyFont="1" applyFill="1" applyAlignment="1" applyProtection="1">
      <alignment horizontal="center"/>
    </xf>
    <xf numFmtId="1" fontId="17" fillId="6" borderId="23" xfId="0" applyNumberFormat="1" applyFont="1" applyFill="1" applyBorder="1" applyAlignment="1" applyProtection="1">
      <alignment horizontal="center"/>
    </xf>
    <xf numFmtId="165" fontId="0" fillId="32" borderId="0" xfId="0" applyNumberFormat="1" applyFill="1" applyBorder="1" applyAlignment="1" applyProtection="1">
      <alignment horizontal="center"/>
      <protection locked="0"/>
    </xf>
    <xf numFmtId="0" fontId="4" fillId="41" borderId="0" xfId="0" applyFont="1" applyFill="1" applyAlignment="1" applyProtection="1">
      <alignment horizontal="center"/>
    </xf>
    <xf numFmtId="0" fontId="4" fillId="3" borderId="18" xfId="0" applyFont="1" applyFill="1" applyBorder="1" applyAlignment="1">
      <alignment horizontal="center"/>
    </xf>
    <xf numFmtId="0" fontId="79" fillId="3" borderId="0" xfId="0" applyFont="1" applyFill="1" applyAlignment="1">
      <alignment horizontal="center"/>
    </xf>
    <xf numFmtId="0" fontId="79" fillId="3" borderId="18" xfId="0" applyFont="1" applyFill="1" applyBorder="1" applyAlignment="1">
      <alignment horizontal="center"/>
    </xf>
    <xf numFmtId="0" fontId="79" fillId="3" borderId="0" xfId="0" applyFont="1" applyFill="1" applyAlignment="1">
      <alignment horizontal="left"/>
    </xf>
    <xf numFmtId="0" fontId="79" fillId="3" borderId="18" xfId="0" applyFont="1" applyFill="1" applyBorder="1" applyAlignment="1">
      <alignment horizontal="left"/>
    </xf>
    <xf numFmtId="3" fontId="79" fillId="6" borderId="0" xfId="0" applyNumberFormat="1" applyFont="1" applyFill="1" applyAlignment="1">
      <alignment horizontal="center"/>
    </xf>
    <xf numFmtId="0" fontId="5" fillId="41" borderId="0" xfId="0" applyFont="1" applyFill="1" applyAlignment="1" applyProtection="1">
      <alignment wrapText="1"/>
    </xf>
    <xf numFmtId="165" fontId="4" fillId="32" borderId="0" xfId="0" applyNumberFormat="1" applyFont="1" applyFill="1" applyBorder="1" applyAlignment="1" applyProtection="1">
      <alignment horizontal="center"/>
      <protection locked="0"/>
    </xf>
    <xf numFmtId="0" fontId="5" fillId="41" borderId="22" xfId="0" applyFont="1" applyFill="1" applyBorder="1" applyProtection="1"/>
    <xf numFmtId="0" fontId="17" fillId="41" borderId="22" xfId="0" applyFont="1" applyFill="1" applyBorder="1" applyAlignment="1" applyProtection="1">
      <alignment horizontal="center"/>
    </xf>
    <xf numFmtId="0" fontId="4" fillId="41" borderId="22" xfId="0" applyFont="1" applyFill="1" applyBorder="1" applyAlignment="1" applyProtection="1">
      <alignment horizontal="center"/>
    </xf>
    <xf numFmtId="3" fontId="4" fillId="41" borderId="0" xfId="0" applyNumberFormat="1" applyFont="1" applyFill="1" applyAlignment="1" applyProtection="1">
      <alignment horizontal="center" wrapText="1"/>
    </xf>
    <xf numFmtId="0" fontId="4" fillId="41" borderId="22" xfId="0" applyFont="1" applyFill="1" applyBorder="1" applyProtection="1"/>
    <xf numFmtId="0" fontId="17" fillId="41" borderId="22" xfId="0" applyFont="1" applyFill="1" applyBorder="1" applyAlignment="1" applyProtection="1">
      <alignment horizontal="left"/>
    </xf>
    <xf numFmtId="0" fontId="5" fillId="41" borderId="0" xfId="0" applyFont="1" applyFill="1" applyAlignment="1" applyProtection="1">
      <alignment vertical="top" wrapText="1"/>
    </xf>
    <xf numFmtId="0" fontId="79" fillId="11" borderId="0" xfId="0" applyFont="1" applyFill="1" applyAlignment="1">
      <alignment horizontal="center" vertical="center" wrapText="1"/>
    </xf>
    <xf numFmtId="0" fontId="79" fillId="8" borderId="0" xfId="0" applyFont="1" applyFill="1" applyAlignment="1">
      <alignment horizontal="center" vertical="center"/>
    </xf>
    <xf numFmtId="0" fontId="79" fillId="3" borderId="24" xfId="0" applyFont="1" applyFill="1" applyBorder="1" applyAlignment="1">
      <alignment horizontal="center"/>
    </xf>
    <xf numFmtId="0" fontId="79" fillId="3" borderId="16" xfId="0" applyFont="1" applyFill="1" applyBorder="1" applyAlignment="1">
      <alignment horizontal="center"/>
    </xf>
    <xf numFmtId="0" fontId="79" fillId="3" borderId="0" xfId="0" applyFont="1" applyFill="1" applyBorder="1" applyAlignment="1">
      <alignment horizontal="center"/>
    </xf>
    <xf numFmtId="0" fontId="79" fillId="3" borderId="24" xfId="0" applyFont="1" applyFill="1" applyBorder="1" applyAlignment="1">
      <alignment horizontal="left"/>
    </xf>
    <xf numFmtId="0" fontId="79" fillId="3" borderId="16" xfId="0" applyFont="1" applyFill="1" applyBorder="1" applyAlignment="1">
      <alignment horizontal="left"/>
    </xf>
    <xf numFmtId="0" fontId="79" fillId="3" borderId="0" xfId="0" applyFont="1" applyFill="1" applyBorder="1" applyAlignment="1">
      <alignment horizontal="left"/>
    </xf>
    <xf numFmtId="3" fontId="79" fillId="6" borderId="0" xfId="0" applyNumberFormat="1" applyFont="1" applyFill="1" applyBorder="1" applyAlignment="1">
      <alignment horizontal="center"/>
    </xf>
    <xf numFmtId="3" fontId="79" fillId="6" borderId="21" xfId="0" applyNumberFormat="1" applyFont="1" applyFill="1" applyBorder="1" applyAlignment="1">
      <alignment horizontal="center"/>
    </xf>
    <xf numFmtId="0" fontId="0" fillId="30" borderId="0" xfId="0" applyFill="1" applyBorder="1"/>
    <xf numFmtId="0" fontId="116" fillId="30" borderId="0" xfId="0" applyFont="1" applyFill="1" applyBorder="1"/>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54" borderId="0" xfId="0" applyFont="1" applyFill="1" applyAlignment="1">
      <alignment horizontal="center" wrapText="1"/>
    </xf>
    <xf numFmtId="0" fontId="5" fillId="47" borderId="0" xfId="1" applyFont="1" applyFill="1" applyBorder="1" applyAlignment="1" applyProtection="1">
      <alignment horizontal="left"/>
    </xf>
    <xf numFmtId="0" fontId="17" fillId="47" borderId="0" xfId="1" applyFont="1" applyFill="1" applyBorder="1" applyAlignment="1" applyProtection="1"/>
    <xf numFmtId="0" fontId="17" fillId="47" borderId="0" xfId="0" applyFont="1" applyFill="1" applyBorder="1" applyProtection="1"/>
    <xf numFmtId="0" fontId="0" fillId="34" borderId="0" xfId="0" applyFill="1" applyBorder="1" applyAlignment="1" applyProtection="1">
      <alignment horizontal="left"/>
      <protection locked="0"/>
    </xf>
    <xf numFmtId="0" fontId="4" fillId="71" borderId="0" xfId="0" applyFont="1" applyFill="1" applyAlignment="1" applyProtection="1">
      <alignment horizontal="left"/>
    </xf>
    <xf numFmtId="165" fontId="0" fillId="71" borderId="24" xfId="0" applyNumberFormat="1" applyFill="1" applyBorder="1" applyAlignment="1" applyProtection="1">
      <alignment horizontal="center"/>
    </xf>
    <xf numFmtId="165" fontId="0" fillId="71" borderId="16" xfId="0" applyNumberFormat="1" applyFill="1" applyBorder="1" applyAlignment="1" applyProtection="1">
      <alignment horizontal="center"/>
    </xf>
    <xf numFmtId="0" fontId="17" fillId="29" borderId="0" xfId="0" applyNumberFormat="1" applyFont="1" applyFill="1" applyAlignment="1" applyProtection="1">
      <alignment horizontal="center"/>
    </xf>
    <xf numFmtId="0" fontId="106" fillId="28" borderId="0" xfId="0" applyFont="1" applyFill="1" applyBorder="1" applyAlignment="1" applyProtection="1">
      <alignment horizontal="left"/>
    </xf>
    <xf numFmtId="0" fontId="96" fillId="28" borderId="0" xfId="0" applyFont="1" applyFill="1" applyAlignment="1" applyProtection="1">
      <alignment horizontal="left"/>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17" fillId="28" borderId="0" xfId="0" applyFont="1" applyFill="1" applyAlignment="1" applyProtection="1">
      <alignment horizontal="center"/>
    </xf>
    <xf numFmtId="0" fontId="11" fillId="29" borderId="0" xfId="0" applyNumberFormat="1" applyFont="1" applyFill="1" applyBorder="1" applyAlignment="1" applyProtection="1">
      <alignment horizontal="right"/>
    </xf>
    <xf numFmtId="0" fontId="84" fillId="29" borderId="0" xfId="0" applyNumberFormat="1" applyFont="1" applyFill="1" applyBorder="1" applyAlignment="1" applyProtection="1">
      <alignment horizontal="center"/>
    </xf>
    <xf numFmtId="0" fontId="43" fillId="29" borderId="0" xfId="0" applyNumberFormat="1" applyFont="1" applyFill="1" applyAlignment="1" applyProtection="1"/>
    <xf numFmtId="0" fontId="43" fillId="29" borderId="0" xfId="0" applyNumberFormat="1" applyFont="1" applyFill="1" applyAlignment="1" applyProtection="1">
      <alignment horizontal="center"/>
    </xf>
    <xf numFmtId="2" fontId="71" fillId="37" borderId="48" xfId="0" applyNumberFormat="1" applyFont="1" applyFill="1" applyBorder="1" applyAlignment="1">
      <alignment horizontal="center"/>
    </xf>
    <xf numFmtId="2" fontId="4" fillId="28" borderId="0" xfId="0" applyNumberFormat="1" applyFont="1" applyFill="1" applyAlignment="1" applyProtection="1">
      <alignment horizontal="center"/>
    </xf>
    <xf numFmtId="2" fontId="106" fillId="28" borderId="0" xfId="0" applyNumberFormat="1" applyFont="1" applyFill="1" applyAlignment="1" applyProtection="1">
      <alignment horizontal="center"/>
    </xf>
    <xf numFmtId="0" fontId="0" fillId="0" borderId="0" xfId="0" applyFill="1" applyAlignment="1">
      <alignment horizontal="center" vertical="center" wrapText="1"/>
    </xf>
    <xf numFmtId="0" fontId="79" fillId="66" borderId="0" xfId="0" applyFont="1" applyFill="1" applyProtection="1"/>
    <xf numFmtId="0" fontId="142" fillId="0" borderId="0" xfId="0" applyFont="1" applyAlignment="1">
      <alignment horizontal="center" wrapText="1"/>
    </xf>
    <xf numFmtId="0" fontId="142" fillId="0" borderId="0" xfId="0" applyFont="1" applyAlignment="1">
      <alignment horizontal="center" vertical="center" wrapText="1"/>
    </xf>
    <xf numFmtId="0" fontId="93" fillId="35" borderId="0" xfId="0" applyFont="1" applyFill="1" applyBorder="1" applyAlignment="1" applyProtection="1">
      <alignment horizontal="left"/>
    </xf>
    <xf numFmtId="0" fontId="93" fillId="35" borderId="0" xfId="0" applyFont="1" applyFill="1" applyBorder="1" applyProtection="1"/>
    <xf numFmtId="0" fontId="7" fillId="35" borderId="0" xfId="0" applyFont="1" applyFill="1" applyBorder="1" applyAlignment="1" applyProtection="1"/>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21" xfId="0" applyFill="1" applyBorder="1" applyAlignment="1" applyProtection="1">
      <alignment horizontal="center"/>
    </xf>
    <xf numFmtId="0" fontId="108" fillId="40" borderId="0" xfId="1" applyFont="1" applyFill="1" applyBorder="1" applyAlignment="1" applyProtection="1"/>
    <xf numFmtId="0" fontId="17" fillId="40" borderId="0" xfId="0" applyFont="1" applyFill="1" applyBorder="1" applyProtection="1"/>
    <xf numFmtId="0" fontId="17" fillId="40" borderId="0" xfId="0" applyFont="1" applyFill="1" applyBorder="1" applyAlignment="1" applyProtection="1">
      <alignment horizontal="center"/>
    </xf>
    <xf numFmtId="0" fontId="8" fillId="43" borderId="0" xfId="0" applyFont="1" applyFill="1" applyProtection="1"/>
    <xf numFmtId="0" fontId="8" fillId="43" borderId="0" xfId="0" applyFont="1" applyFill="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72" borderId="0" xfId="0" applyFill="1"/>
    <xf numFmtId="0" fontId="4" fillId="62" borderId="0" xfId="0" applyFont="1" applyFill="1"/>
    <xf numFmtId="0" fontId="0" fillId="62" borderId="0" xfId="0" applyFill="1"/>
    <xf numFmtId="0" fontId="4" fillId="42" borderId="0" xfId="0" applyFont="1" applyFill="1"/>
    <xf numFmtId="0" fontId="0" fillId="42" borderId="0" xfId="0" applyFill="1"/>
    <xf numFmtId="0" fontId="144" fillId="42" borderId="0" xfId="0" applyFont="1" applyFill="1"/>
    <xf numFmtId="0" fontId="144" fillId="62" borderId="0" xfId="0" applyFont="1" applyFill="1"/>
    <xf numFmtId="0" fontId="144" fillId="0" borderId="0" xfId="0" applyFont="1"/>
    <xf numFmtId="1" fontId="0" fillId="0" borderId="0" xfId="0" applyNumberFormat="1"/>
    <xf numFmtId="0" fontId="5" fillId="73" borderId="0" xfId="0" applyFont="1" applyFill="1" applyProtection="1"/>
    <xf numFmtId="0" fontId="4" fillId="73" borderId="0" xfId="0" applyFont="1" applyFill="1" applyProtection="1"/>
    <xf numFmtId="3" fontId="5" fillId="73" borderId="0" xfId="0" applyNumberFormat="1" applyFont="1" applyFill="1" applyProtection="1"/>
    <xf numFmtId="2" fontId="5" fillId="73" borderId="0" xfId="0" applyNumberFormat="1" applyFont="1" applyFill="1" applyAlignment="1" applyProtection="1">
      <alignment horizontal="center"/>
    </xf>
    <xf numFmtId="3" fontId="4" fillId="73" borderId="0" xfId="0" applyNumberFormat="1" applyFont="1" applyFill="1" applyProtection="1"/>
    <xf numFmtId="166" fontId="4" fillId="73" borderId="0" xfId="0" applyNumberFormat="1" applyFont="1" applyFill="1" applyProtection="1"/>
    <xf numFmtId="1" fontId="4" fillId="73" borderId="0" xfId="0" applyNumberFormat="1" applyFont="1" applyFill="1" applyAlignment="1" applyProtection="1">
      <alignment horizontal="center"/>
    </xf>
    <xf numFmtId="0" fontId="5" fillId="72" borderId="0" xfId="0" applyFont="1" applyFill="1"/>
    <xf numFmtId="0" fontId="4" fillId="72" borderId="0" xfId="0" applyFont="1" applyFill="1"/>
    <xf numFmtId="0" fontId="0" fillId="72" borderId="9" xfId="0" applyFill="1" applyBorder="1"/>
    <xf numFmtId="0" fontId="0" fillId="72" borderId="16" xfId="0" applyFill="1" applyBorder="1" applyAlignment="1">
      <alignment horizontal="center"/>
    </xf>
    <xf numFmtId="0" fontId="0" fillId="72" borderId="9" xfId="0" applyFill="1" applyBorder="1" applyAlignment="1">
      <alignment horizontal="center"/>
    </xf>
    <xf numFmtId="0" fontId="0" fillId="72" borderId="16" xfId="0" applyFill="1" applyBorder="1"/>
    <xf numFmtId="0" fontId="0" fillId="72" borderId="21" xfId="0" applyFill="1" applyBorder="1" applyAlignment="1">
      <alignment horizontal="center"/>
    </xf>
    <xf numFmtId="0" fontId="0" fillId="72" borderId="18" xfId="0" applyFill="1" applyBorder="1" applyAlignment="1">
      <alignment horizontal="center"/>
    </xf>
    <xf numFmtId="0" fontId="0" fillId="72" borderId="21" xfId="0" applyFill="1" applyBorder="1"/>
    <xf numFmtId="0" fontId="0" fillId="72" borderId="18" xfId="0" applyFill="1" applyBorder="1"/>
    <xf numFmtId="1" fontId="0" fillId="72" borderId="21" xfId="0" applyNumberFormat="1" applyFill="1" applyBorder="1" applyAlignment="1">
      <alignment horizontal="center"/>
    </xf>
    <xf numFmtId="1" fontId="143" fillId="72" borderId="18" xfId="0" applyNumberFormat="1" applyFont="1" applyFill="1" applyBorder="1" applyAlignment="1">
      <alignment horizontal="center"/>
    </xf>
    <xf numFmtId="1" fontId="0" fillId="72" borderId="18" xfId="0" applyNumberFormat="1" applyFill="1" applyBorder="1" applyAlignment="1">
      <alignment horizontal="center"/>
    </xf>
    <xf numFmtId="1" fontId="0" fillId="72" borderId="0" xfId="0" applyNumberFormat="1" applyFill="1"/>
    <xf numFmtId="1" fontId="0" fillId="72" borderId="21" xfId="0" applyNumberFormat="1" applyFill="1" applyBorder="1"/>
    <xf numFmtId="1" fontId="0" fillId="72" borderId="18" xfId="0" applyNumberFormat="1" applyFill="1" applyBorder="1"/>
    <xf numFmtId="1" fontId="0" fillId="72" borderId="25" xfId="0" applyNumberFormat="1" applyFill="1" applyBorder="1" applyAlignment="1">
      <alignment horizontal="center"/>
    </xf>
    <xf numFmtId="1" fontId="0" fillId="72" borderId="23" xfId="0" applyNumberFormat="1" applyFill="1" applyBorder="1" applyAlignment="1">
      <alignment horizontal="center"/>
    </xf>
    <xf numFmtId="1" fontId="0" fillId="72" borderId="25" xfId="0" applyNumberFormat="1" applyFill="1" applyBorder="1"/>
    <xf numFmtId="1" fontId="0" fillId="72" borderId="23" xfId="0" applyNumberFormat="1" applyFill="1" applyBorder="1" applyAlignment="1">
      <alignment horizontal="right"/>
    </xf>
    <xf numFmtId="0" fontId="17" fillId="74" borderId="9" xfId="0" applyFont="1" applyFill="1" applyBorder="1" applyProtection="1"/>
    <xf numFmtId="0" fontId="4" fillId="3" borderId="21" xfId="0" applyFont="1" applyFill="1" applyBorder="1" applyAlignment="1" applyProtection="1">
      <alignment horizontal="left"/>
    </xf>
    <xf numFmtId="0" fontId="4" fillId="3" borderId="19" xfId="0" applyFont="1" applyFill="1" applyBorder="1" applyAlignment="1" applyProtection="1">
      <alignment horizontal="left"/>
    </xf>
    <xf numFmtId="165" fontId="17" fillId="37" borderId="1" xfId="0" applyNumberFormat="1" applyFont="1" applyFill="1" applyBorder="1" applyAlignment="1" applyProtection="1">
      <alignment horizontal="center"/>
      <protection locked="0"/>
    </xf>
    <xf numFmtId="165" fontId="17" fillId="37" borderId="15" xfId="0" applyNumberFormat="1" applyFont="1" applyFill="1" applyBorder="1" applyAlignment="1" applyProtection="1">
      <alignment horizontal="center"/>
      <protection locked="0"/>
    </xf>
    <xf numFmtId="2" fontId="0" fillId="63" borderId="0" xfId="0" applyNumberFormat="1" applyFill="1"/>
    <xf numFmtId="1" fontId="0" fillId="63" borderId="0" xfId="0" applyNumberFormat="1" applyFill="1"/>
    <xf numFmtId="0" fontId="4" fillId="3" borderId="9" xfId="0" applyFont="1" applyFill="1" applyBorder="1" applyProtection="1"/>
    <xf numFmtId="1" fontId="17" fillId="3" borderId="9" xfId="0" applyNumberFormat="1" applyFont="1" applyFill="1" applyBorder="1" applyProtection="1"/>
    <xf numFmtId="0" fontId="0" fillId="75" borderId="0" xfId="0" applyFill="1"/>
    <xf numFmtId="0" fontId="79" fillId="75" borderId="0" xfId="0" applyFont="1" applyFill="1" applyAlignment="1">
      <alignment horizontal="left"/>
    </xf>
    <xf numFmtId="0" fontId="79" fillId="75" borderId="0" xfId="0" applyFont="1" applyFill="1" applyAlignment="1">
      <alignment horizontal="center"/>
    </xf>
    <xf numFmtId="0" fontId="79" fillId="75" borderId="0" xfId="0" applyFont="1" applyFill="1" applyAlignment="1">
      <alignment horizontal="center" vertical="center"/>
    </xf>
    <xf numFmtId="1" fontId="79" fillId="75" borderId="0" xfId="0" applyNumberFormat="1" applyFont="1" applyFill="1" applyAlignment="1">
      <alignment horizontal="center"/>
    </xf>
    <xf numFmtId="1" fontId="0" fillId="75" borderId="0" xfId="0" applyNumberFormat="1" applyFill="1" applyAlignment="1">
      <alignment horizontal="center"/>
    </xf>
    <xf numFmtId="1" fontId="17" fillId="3" borderId="9" xfId="0" applyNumberFormat="1" applyFont="1" applyFill="1" applyBorder="1" applyAlignment="1" applyProtection="1">
      <alignment horizontal="center"/>
    </xf>
    <xf numFmtId="0" fontId="17" fillId="11" borderId="24" xfId="0" applyFont="1" applyFill="1" applyBorder="1" applyAlignment="1" applyProtection="1"/>
    <xf numFmtId="0" fontId="17" fillId="8" borderId="24" xfId="0" applyFont="1" applyFill="1" applyBorder="1" applyAlignment="1" applyProtection="1"/>
    <xf numFmtId="0" fontId="17" fillId="8" borderId="16" xfId="0" applyFont="1" applyFill="1" applyBorder="1" applyAlignment="1" applyProtection="1"/>
    <xf numFmtId="0" fontId="4" fillId="11" borderId="24" xfId="0" applyFont="1" applyFill="1" applyBorder="1" applyAlignment="1" applyProtection="1"/>
    <xf numFmtId="167" fontId="0" fillId="0" borderId="0" xfId="0" applyNumberFormat="1"/>
    <xf numFmtId="2" fontId="0" fillId="0" borderId="0" xfId="0" applyNumberFormat="1"/>
    <xf numFmtId="165" fontId="4" fillId="0" borderId="0" xfId="0" applyNumberFormat="1" applyFont="1" applyAlignment="1">
      <alignment horizontal="center"/>
    </xf>
    <xf numFmtId="165" fontId="0" fillId="43" borderId="0" xfId="0" applyNumberFormat="1" applyFill="1" applyAlignment="1">
      <alignment horizontal="center"/>
    </xf>
    <xf numFmtId="167" fontId="4" fillId="73" borderId="0" xfId="0" applyNumberFormat="1" applyFont="1" applyFill="1" applyAlignment="1" applyProtection="1">
      <alignment horizontal="center"/>
    </xf>
    <xf numFmtId="0" fontId="16" fillId="73" borderId="0" xfId="0" applyFont="1" applyFill="1" applyProtection="1"/>
    <xf numFmtId="166" fontId="0" fillId="43" borderId="0" xfId="0" applyNumberFormat="1" applyFill="1" applyAlignment="1">
      <alignment horizontal="center"/>
    </xf>
    <xf numFmtId="2" fontId="0" fillId="75" borderId="0" xfId="0" applyNumberFormat="1" applyFill="1" applyAlignment="1">
      <alignment horizontal="center"/>
    </xf>
    <xf numFmtId="165" fontId="79" fillId="43" borderId="0" xfId="0" applyNumberFormat="1" applyFont="1" applyFill="1" applyAlignment="1">
      <alignment horizontal="center"/>
    </xf>
    <xf numFmtId="0" fontId="4" fillId="3" borderId="0" xfId="0" applyFont="1" applyFill="1" applyBorder="1" applyAlignment="1" applyProtection="1">
      <alignment horizontal="center"/>
    </xf>
    <xf numFmtId="1" fontId="0" fillId="43" borderId="0" xfId="0" applyNumberFormat="1" applyFill="1" applyAlignment="1">
      <alignment horizontal="center"/>
    </xf>
    <xf numFmtId="1" fontId="0" fillId="63" borderId="0" xfId="0" applyNumberFormat="1" applyFill="1" applyAlignment="1">
      <alignment horizontal="center"/>
    </xf>
    <xf numFmtId="0" fontId="93" fillId="12" borderId="0" xfId="0" applyFont="1" applyFill="1" applyAlignment="1">
      <alignment horizontal="center"/>
    </xf>
    <xf numFmtId="0" fontId="93" fillId="11" borderId="0" xfId="0" applyFont="1" applyFill="1" applyAlignment="1">
      <alignment horizontal="center"/>
    </xf>
    <xf numFmtId="0" fontId="93" fillId="12" borderId="0" xfId="0" applyFont="1" applyFill="1" applyAlignment="1">
      <alignment horizontal="left"/>
    </xf>
    <xf numFmtId="0" fontId="93" fillId="12" borderId="0" xfId="0" applyFont="1" applyFill="1" applyAlignment="1"/>
    <xf numFmtId="0" fontId="79" fillId="11" borderId="0" xfId="0" applyFont="1" applyFill="1" applyAlignment="1">
      <alignment horizontal="center"/>
    </xf>
    <xf numFmtId="0" fontId="4" fillId="3" borderId="12" xfId="0" applyFont="1" applyFill="1" applyBorder="1"/>
    <xf numFmtId="2" fontId="79" fillId="11" borderId="0" xfId="0" applyNumberFormat="1" applyFont="1" applyFill="1" applyAlignment="1">
      <alignment horizontal="center"/>
    </xf>
    <xf numFmtId="2" fontId="93" fillId="11" borderId="0" xfId="0" applyNumberFormat="1" applyFont="1" applyFill="1" applyAlignment="1">
      <alignment horizontal="center"/>
    </xf>
    <xf numFmtId="0" fontId="79" fillId="12" borderId="0" xfId="0" applyFont="1" applyFill="1"/>
    <xf numFmtId="0" fontId="93" fillId="12" borderId="0" xfId="0" applyFont="1" applyFill="1"/>
    <xf numFmtId="0" fontId="4" fillId="3" borderId="26" xfId="0" applyFont="1" applyFill="1" applyBorder="1"/>
    <xf numFmtId="2" fontId="145" fillId="9" borderId="0" xfId="0" applyNumberFormat="1" applyFont="1" applyFill="1" applyAlignment="1" applyProtection="1">
      <alignment horizontal="center"/>
    </xf>
    <xf numFmtId="165" fontId="93" fillId="11" borderId="0" xfId="0" applyNumberFormat="1" applyFont="1" applyFill="1" applyAlignment="1">
      <alignment horizontal="center"/>
    </xf>
    <xf numFmtId="0" fontId="0" fillId="37" borderId="0" xfId="0" applyFill="1"/>
    <xf numFmtId="0" fontId="4" fillId="0" borderId="0" xfId="0" applyFont="1" applyAlignment="1">
      <alignment horizontal="center" vertical="center"/>
    </xf>
    <xf numFmtId="0" fontId="0" fillId="73" borderId="0" xfId="0" applyFill="1" applyAlignment="1">
      <alignment horizontal="center" vertical="center"/>
    </xf>
    <xf numFmtId="2" fontId="100" fillId="37" borderId="0" xfId="0" applyNumberFormat="1" applyFont="1" applyFill="1" applyAlignment="1" applyProtection="1">
      <alignment horizontal="center"/>
      <protection locked="0"/>
    </xf>
    <xf numFmtId="3" fontId="4" fillId="41" borderId="0" xfId="0" applyNumberFormat="1" applyFont="1" applyFill="1" applyBorder="1" applyAlignment="1" applyProtection="1">
      <alignment horizontal="left" wrapText="1"/>
    </xf>
    <xf numFmtId="0" fontId="17" fillId="41" borderId="22" xfId="0" applyFont="1" applyFill="1" applyBorder="1" applyProtection="1"/>
    <xf numFmtId="0" fontId="4" fillId="29" borderId="22" xfId="0" applyFont="1" applyFill="1" applyBorder="1" applyAlignment="1" applyProtection="1">
      <alignment horizontal="left"/>
    </xf>
    <xf numFmtId="0" fontId="17" fillId="29" borderId="22" xfId="0" applyFont="1" applyFill="1" applyBorder="1" applyAlignment="1" applyProtection="1"/>
    <xf numFmtId="0" fontId="17" fillId="29" borderId="22" xfId="0" applyFont="1" applyFill="1" applyBorder="1" applyAlignment="1" applyProtection="1">
      <alignment horizontal="center"/>
    </xf>
    <xf numFmtId="3" fontId="17" fillId="41" borderId="22" xfId="0" applyNumberFormat="1" applyFont="1" applyFill="1" applyBorder="1" applyAlignment="1" applyProtection="1">
      <alignment wrapText="1"/>
    </xf>
    <xf numFmtId="3" fontId="5" fillId="41" borderId="0" xfId="0" applyNumberFormat="1" applyFont="1" applyFill="1" applyBorder="1" applyAlignment="1" applyProtection="1">
      <alignment vertical="top"/>
    </xf>
    <xf numFmtId="0" fontId="79" fillId="11" borderId="0" xfId="0" applyFont="1" applyFill="1"/>
    <xf numFmtId="2" fontId="79" fillId="11" borderId="0" xfId="0" applyNumberFormat="1" applyFont="1" applyFill="1"/>
    <xf numFmtId="1" fontId="79" fillId="11" borderId="0" xfId="0" applyNumberFormat="1" applyFont="1" applyFill="1" applyAlignment="1">
      <alignment horizontal="center"/>
    </xf>
    <xf numFmtId="9" fontId="4" fillId="34" borderId="0" xfId="0" applyNumberFormat="1" applyFont="1" applyFill="1" applyBorder="1" applyAlignment="1" applyProtection="1">
      <alignment horizontal="center"/>
      <protection locked="0"/>
    </xf>
    <xf numFmtId="2" fontId="4" fillId="27" borderId="0" xfId="0" applyNumberFormat="1" applyFont="1" applyFill="1" applyProtection="1"/>
    <xf numFmtId="0" fontId="5" fillId="41" borderId="22" xfId="0" applyFont="1" applyFill="1" applyBorder="1" applyAlignment="1" applyProtection="1">
      <alignment horizontal="left"/>
    </xf>
    <xf numFmtId="1" fontId="145" fillId="9" borderId="0" xfId="0" applyNumberFormat="1" applyFont="1" applyFill="1" applyAlignment="1" applyProtection="1">
      <alignment horizontal="center"/>
    </xf>
    <xf numFmtId="1" fontId="4" fillId="41" borderId="0" xfId="0" applyNumberFormat="1" applyFont="1" applyFill="1" applyAlignment="1" applyProtection="1">
      <alignment horizontal="center"/>
    </xf>
    <xf numFmtId="0" fontId="17" fillId="27" borderId="1" xfId="0" applyFont="1" applyFill="1" applyBorder="1" applyAlignment="1" applyProtection="1">
      <alignment horizontal="center"/>
      <protection locked="0"/>
    </xf>
    <xf numFmtId="0" fontId="6" fillId="27" borderId="0" xfId="0" applyFont="1" applyFill="1" applyBorder="1" applyAlignment="1" applyProtection="1">
      <alignment horizontal="left"/>
      <protection locked="0"/>
    </xf>
    <xf numFmtId="0" fontId="17" fillId="27" borderId="15" xfId="0" applyFont="1" applyFill="1" applyBorder="1" applyAlignment="1" applyProtection="1">
      <alignment horizontal="center"/>
      <protection locked="0"/>
    </xf>
    <xf numFmtId="0" fontId="4" fillId="3" borderId="9" xfId="0" applyFont="1" applyFill="1" applyBorder="1"/>
    <xf numFmtId="3" fontId="17" fillId="41" borderId="22" xfId="0" applyNumberFormat="1" applyFont="1" applyFill="1" applyBorder="1" applyAlignment="1" applyProtection="1"/>
    <xf numFmtId="0" fontId="4" fillId="2" borderId="0" xfId="0" applyFont="1" applyFill="1"/>
    <xf numFmtId="9" fontId="0" fillId="27" borderId="0" xfId="0" applyNumberFormat="1" applyFill="1"/>
    <xf numFmtId="3" fontId="0" fillId="2" borderId="0" xfId="0" applyNumberFormat="1" applyFill="1"/>
    <xf numFmtId="0" fontId="4" fillId="2" borderId="0" xfId="0" quotePrefix="1" applyFont="1" applyFill="1"/>
    <xf numFmtId="0" fontId="4" fillId="2" borderId="4" xfId="0" applyFont="1" applyFill="1" applyBorder="1" applyAlignment="1">
      <alignment horizontal="center"/>
    </xf>
    <xf numFmtId="0" fontId="79" fillId="2" borderId="5" xfId="0" applyFont="1" applyFill="1" applyBorder="1" applyAlignment="1">
      <alignment horizontal="center"/>
    </xf>
    <xf numFmtId="3" fontId="0" fillId="2" borderId="4" xfId="0" applyNumberFormat="1" applyFill="1" applyBorder="1" applyAlignment="1">
      <alignment horizontal="center"/>
    </xf>
    <xf numFmtId="3" fontId="0" fillId="2" borderId="0" xfId="0" applyNumberFormat="1" applyFill="1" applyBorder="1" applyAlignment="1">
      <alignment horizontal="center"/>
    </xf>
    <xf numFmtId="3" fontId="79" fillId="2" borderId="5" xfId="0" applyNumberFormat="1" applyFont="1" applyFill="1" applyBorder="1" applyAlignment="1">
      <alignment horizontal="center"/>
    </xf>
    <xf numFmtId="0" fontId="0" fillId="2" borderId="2" xfId="0" applyFill="1" applyBorder="1" applyAlignment="1">
      <alignment horizontal="center"/>
    </xf>
    <xf numFmtId="0" fontId="79" fillId="2" borderId="3" xfId="0" applyFont="1" applyFill="1" applyBorder="1" applyAlignment="1">
      <alignment horizontal="center"/>
    </xf>
    <xf numFmtId="3" fontId="0" fillId="2" borderId="54" xfId="0" applyNumberFormat="1" applyFill="1" applyBorder="1" applyAlignment="1">
      <alignment horizontal="center"/>
    </xf>
    <xf numFmtId="0" fontId="4" fillId="2" borderId="22" xfId="0" applyFont="1" applyFill="1" applyBorder="1" applyAlignment="1">
      <alignment horizontal="center"/>
    </xf>
    <xf numFmtId="0" fontId="79" fillId="2" borderId="56" xfId="0" applyFont="1" applyFill="1" applyBorder="1" applyAlignment="1">
      <alignment horizontal="center"/>
    </xf>
    <xf numFmtId="0" fontId="0" fillId="2" borderId="54" xfId="0" applyFill="1" applyBorder="1" applyAlignment="1">
      <alignment horizontal="center"/>
    </xf>
    <xf numFmtId="0" fontId="0" fillId="2" borderId="6" xfId="0" applyFill="1" applyBorder="1" applyAlignment="1">
      <alignment horizontal="center"/>
    </xf>
    <xf numFmtId="0" fontId="79" fillId="2" borderId="8" xfId="0" applyFont="1" applyFill="1" applyBorder="1" applyAlignment="1">
      <alignment horizontal="center"/>
    </xf>
    <xf numFmtId="0" fontId="4" fillId="41" borderId="0" xfId="1" applyFont="1" applyFill="1" applyBorder="1" applyAlignment="1" applyProtection="1">
      <alignment vertical="top"/>
    </xf>
    <xf numFmtId="0" fontId="4" fillId="65" borderId="0" xfId="0" applyFont="1" applyFill="1" applyBorder="1"/>
    <xf numFmtId="0" fontId="0" fillId="65" borderId="0" xfId="0" applyFill="1" applyBorder="1"/>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5"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2" fontId="0" fillId="65" borderId="0" xfId="0" applyNumberFormat="1" applyFill="1" applyBorder="1" applyAlignment="1">
      <alignment horizontal="center"/>
    </xf>
    <xf numFmtId="165" fontId="145" fillId="9" borderId="0" xfId="0" applyNumberFormat="1" applyFont="1" applyFill="1" applyAlignment="1" applyProtection="1">
      <alignment horizontal="center"/>
    </xf>
    <xf numFmtId="165" fontId="79" fillId="11" borderId="0" xfId="0" applyNumberFormat="1" applyFont="1" applyFill="1"/>
    <xf numFmtId="2" fontId="4" fillId="41" borderId="0" xfId="0" applyNumberFormat="1" applyFont="1" applyFill="1" applyBorder="1" applyAlignment="1" applyProtection="1">
      <alignment horizontal="center"/>
    </xf>
    <xf numFmtId="1" fontId="93" fillId="11" borderId="0" xfId="0" applyNumberFormat="1" applyFont="1" applyFill="1" applyAlignment="1">
      <alignment horizontal="center"/>
    </xf>
    <xf numFmtId="0" fontId="4" fillId="41" borderId="22" xfId="0" applyFont="1" applyFill="1" applyBorder="1" applyAlignment="1" applyProtection="1">
      <alignment horizontal="left"/>
    </xf>
    <xf numFmtId="165" fontId="4" fillId="41" borderId="0" xfId="0" applyNumberFormat="1" applyFont="1" applyFill="1" applyAlignment="1" applyProtection="1">
      <alignment horizontal="center"/>
    </xf>
    <xf numFmtId="0" fontId="4" fillId="73" borderId="0" xfId="0" applyFont="1" applyFill="1" applyBorder="1" applyProtection="1"/>
    <xf numFmtId="1" fontId="125" fillId="40" borderId="0" xfId="0" applyNumberFormat="1" applyFont="1" applyFill="1" applyBorder="1" applyAlignment="1" applyProtection="1">
      <alignment horizontal="center"/>
    </xf>
    <xf numFmtId="1" fontId="125" fillId="40" borderId="0" xfId="0" applyNumberFormat="1" applyFont="1" applyFill="1" applyBorder="1" applyAlignment="1" applyProtection="1">
      <alignment horizontal="right"/>
    </xf>
    <xf numFmtId="1" fontId="69" fillId="40" borderId="0"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5" fillId="41" borderId="0" xfId="0" applyFont="1" applyFill="1" applyBorder="1" applyAlignment="1" applyProtection="1">
      <alignment horizontal="center"/>
    </xf>
    <xf numFmtId="0" fontId="17" fillId="3" borderId="0" xfId="0" applyFont="1" applyFill="1" applyAlignment="1">
      <alignment horizontal="center"/>
    </xf>
    <xf numFmtId="0" fontId="17" fillId="3" borderId="30" xfId="0" applyFont="1" applyFill="1" applyBorder="1" applyAlignment="1">
      <alignment horizontal="center"/>
    </xf>
    <xf numFmtId="0" fontId="4" fillId="34" borderId="0" xfId="0" applyFont="1" applyFill="1" applyBorder="1" applyAlignment="1" applyProtection="1">
      <alignment horizontal="center"/>
      <protection locked="0"/>
    </xf>
    <xf numFmtId="0" fontId="5" fillId="41" borderId="22" xfId="0" applyFont="1" applyFill="1" applyBorder="1" applyAlignment="1" applyProtection="1">
      <alignment horizontal="center"/>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61" fillId="41" borderId="0" xfId="0" applyFont="1" applyFill="1" applyBorder="1" applyAlignment="1" applyProtection="1">
      <alignment horizontal="center"/>
    </xf>
    <xf numFmtId="0" fontId="4" fillId="41" borderId="0" xfId="0" applyFont="1" applyFill="1" applyAlignment="1" applyProtection="1">
      <alignment horizontal="center"/>
    </xf>
    <xf numFmtId="0" fontId="17" fillId="3" borderId="0" xfId="0" applyFont="1" applyFill="1" applyAlignment="1">
      <alignment horizontal="center"/>
    </xf>
    <xf numFmtId="165" fontId="100" fillId="37" borderId="0" xfId="0" applyNumberFormat="1" applyFont="1" applyFill="1" applyAlignment="1" applyProtection="1">
      <alignment horizontal="center"/>
      <protection locked="0"/>
    </xf>
    <xf numFmtId="2" fontId="0" fillId="41" borderId="0" xfId="0" applyNumberFormat="1" applyFill="1" applyBorder="1" applyAlignment="1" applyProtection="1">
      <alignment horizontal="center"/>
    </xf>
    <xf numFmtId="0" fontId="0" fillId="71" borderId="0" xfId="0" applyFill="1"/>
    <xf numFmtId="2" fontId="100" fillId="9" borderId="0" xfId="0" applyNumberFormat="1" applyFont="1" applyFill="1" applyAlignment="1" applyProtection="1">
      <alignment horizontal="center"/>
    </xf>
    <xf numFmtId="0" fontId="17" fillId="67" borderId="1" xfId="0" applyFont="1" applyFill="1" applyBorder="1" applyAlignment="1" applyProtection="1">
      <alignment horizontal="center"/>
      <protection locked="0"/>
    </xf>
    <xf numFmtId="0" fontId="16" fillId="41" borderId="22" xfId="0" applyFont="1" applyFill="1" applyBorder="1" applyProtection="1"/>
    <xf numFmtId="1" fontId="100" fillId="9" borderId="0" xfId="0" applyNumberFormat="1" applyFont="1" applyFill="1" applyAlignment="1" applyProtection="1">
      <alignment horizontal="center"/>
    </xf>
    <xf numFmtId="0" fontId="100" fillId="21" borderId="0" xfId="0" applyFont="1" applyFill="1" applyAlignment="1" applyProtection="1">
      <alignment horizontal="center"/>
      <protection locked="0"/>
    </xf>
    <xf numFmtId="0" fontId="4" fillId="2" borderId="1" xfId="0" applyFont="1" applyFill="1" applyBorder="1" applyAlignment="1">
      <alignment horizontal="center"/>
    </xf>
    <xf numFmtId="3" fontId="79" fillId="2" borderId="0" xfId="0" applyNumberFormat="1" applyFont="1" applyFill="1" applyAlignment="1">
      <alignment horizontal="left"/>
    </xf>
    <xf numFmtId="0" fontId="79" fillId="2" borderId="1" xfId="0" applyFont="1" applyFill="1" applyBorder="1"/>
    <xf numFmtId="0" fontId="79" fillId="2" borderId="2" xfId="0" applyFont="1" applyFill="1" applyBorder="1"/>
    <xf numFmtId="0" fontId="79" fillId="2" borderId="3" xfId="0" applyFont="1" applyFill="1" applyBorder="1"/>
    <xf numFmtId="1" fontId="79" fillId="2" borderId="4" xfId="0" applyNumberFormat="1" applyFont="1" applyFill="1" applyBorder="1" applyAlignment="1">
      <alignment horizontal="center"/>
    </xf>
    <xf numFmtId="0" fontId="79" fillId="2" borderId="5" xfId="0" applyFont="1" applyFill="1" applyBorder="1"/>
    <xf numFmtId="0" fontId="79" fillId="2" borderId="4" xfId="0" applyFont="1" applyFill="1" applyBorder="1"/>
    <xf numFmtId="0" fontId="79" fillId="2" borderId="6" xfId="0" applyFont="1" applyFill="1" applyBorder="1"/>
    <xf numFmtId="0" fontId="79" fillId="2" borderId="7" xfId="0" applyFont="1" applyFill="1" applyBorder="1"/>
    <xf numFmtId="3" fontId="79" fillId="2" borderId="7" xfId="0" applyNumberFormat="1" applyFont="1" applyFill="1" applyBorder="1"/>
    <xf numFmtId="0" fontId="79" fillId="2" borderId="8" xfId="0" applyFont="1" applyFill="1" applyBorder="1"/>
    <xf numFmtId="0" fontId="17" fillId="27" borderId="0" xfId="0" applyFont="1" applyFill="1" applyBorder="1" applyAlignment="1" applyProtection="1"/>
    <xf numFmtId="3" fontId="17" fillId="41" borderId="0" xfId="0" applyNumberFormat="1" applyFont="1" applyFill="1" applyBorder="1" applyAlignment="1" applyProtection="1"/>
    <xf numFmtId="0" fontId="5" fillId="41" borderId="0" xfId="0" applyFont="1" applyFill="1" applyAlignment="1" applyProtection="1">
      <alignment horizontal="right"/>
    </xf>
    <xf numFmtId="0" fontId="4" fillId="12" borderId="0" xfId="0" applyFont="1" applyFill="1"/>
    <xf numFmtId="0" fontId="79" fillId="12" borderId="0" xfId="0" applyFont="1" applyFill="1" applyAlignment="1">
      <alignment horizontal="center"/>
    </xf>
    <xf numFmtId="0" fontId="5" fillId="3" borderId="21" xfId="0" applyFont="1" applyFill="1" applyBorder="1" applyAlignment="1" applyProtection="1">
      <alignment horizontal="left"/>
    </xf>
    <xf numFmtId="3" fontId="0" fillId="37" borderId="24" xfId="0" applyNumberFormat="1" applyFill="1" applyBorder="1" applyAlignment="1" applyProtection="1">
      <alignment horizontal="center"/>
      <protection locked="0"/>
    </xf>
    <xf numFmtId="0" fontId="5" fillId="3" borderId="24" xfId="0" applyFont="1" applyFill="1" applyBorder="1" applyAlignment="1" applyProtection="1">
      <alignment horizontal="left" vertical="center"/>
    </xf>
    <xf numFmtId="3" fontId="4" fillId="6" borderId="0" xfId="0" applyNumberFormat="1" applyFont="1" applyFill="1" applyAlignment="1">
      <alignment horizontal="center"/>
    </xf>
    <xf numFmtId="1" fontId="0" fillId="41" borderId="0" xfId="0" applyNumberFormat="1" applyFill="1" applyBorder="1" applyAlignment="1" applyProtection="1">
      <alignment horizontal="center"/>
    </xf>
    <xf numFmtId="1" fontId="100" fillId="21" borderId="0" xfId="0" applyNumberFormat="1" applyFont="1" applyFill="1" applyAlignment="1" applyProtection="1">
      <alignment horizontal="center"/>
      <protection locked="0"/>
    </xf>
    <xf numFmtId="0" fontId="4" fillId="3" borderId="22" xfId="0" applyFont="1" applyFill="1" applyBorder="1"/>
    <xf numFmtId="0" fontId="0" fillId="34" borderId="0" xfId="0" applyFill="1" applyBorder="1" applyAlignment="1" applyProtection="1">
      <alignment horizontal="center"/>
      <protection locked="0"/>
    </xf>
    <xf numFmtId="165" fontId="17" fillId="6" borderId="0"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 fontId="79" fillId="33" borderId="17" xfId="0" applyNumberFormat="1" applyFont="1" applyFill="1" applyBorder="1" applyAlignment="1" applyProtection="1">
      <alignment horizontal="center"/>
    </xf>
    <xf numFmtId="1" fontId="79" fillId="33" borderId="20" xfId="0" applyNumberFormat="1" applyFont="1" applyFill="1" applyBorder="1" applyAlignment="1" applyProtection="1">
      <alignment horizontal="center"/>
    </xf>
    <xf numFmtId="0" fontId="4" fillId="6" borderId="16" xfId="0" applyFont="1" applyFill="1" applyBorder="1" applyAlignment="1">
      <alignment horizontal="left"/>
    </xf>
    <xf numFmtId="167" fontId="33" fillId="2" borderId="0" xfId="0" applyNumberFormat="1" applyFont="1" applyFill="1" applyProtection="1"/>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5" fillId="41"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9" borderId="0" xfId="0" applyFont="1" applyFill="1" applyAlignment="1" applyProtection="1">
      <alignment horizontal="center"/>
    </xf>
    <xf numFmtId="0" fontId="4" fillId="41" borderId="0" xfId="0" applyFont="1" applyFill="1" applyAlignment="1" applyProtection="1">
      <alignment horizontal="center"/>
    </xf>
    <xf numFmtId="0" fontId="0" fillId="3" borderId="0" xfId="0" applyFill="1" applyBorder="1" applyAlignment="1" applyProtection="1">
      <alignment horizontal="center"/>
    </xf>
    <xf numFmtId="1" fontId="17" fillId="6" borderId="16" xfId="0" applyNumberFormat="1" applyFont="1" applyFill="1" applyBorder="1" applyAlignment="1" applyProtection="1">
      <alignment horizontal="center"/>
    </xf>
    <xf numFmtId="3" fontId="43" fillId="41" borderId="0" xfId="0" applyNumberFormat="1" applyFont="1" applyFill="1" applyBorder="1" applyAlignment="1" applyProtection="1">
      <alignment horizontal="center"/>
    </xf>
    <xf numFmtId="165" fontId="17" fillId="62" borderId="9" xfId="0" applyNumberFormat="1" applyFont="1" applyFill="1" applyBorder="1" applyAlignment="1" applyProtection="1">
      <alignment horizontal="center"/>
    </xf>
    <xf numFmtId="1" fontId="5" fillId="6" borderId="24" xfId="0" applyNumberFormat="1" applyFont="1" applyFill="1" applyBorder="1" applyAlignment="1" applyProtection="1">
      <alignment horizontal="center"/>
    </xf>
    <xf numFmtId="165" fontId="17" fillId="62" borderId="24" xfId="0" applyNumberFormat="1" applyFont="1" applyFill="1" applyBorder="1" applyAlignment="1" applyProtection="1">
      <alignment horizontal="center"/>
    </xf>
    <xf numFmtId="165" fontId="17" fillId="62" borderId="0" xfId="0" applyNumberFormat="1" applyFont="1" applyFill="1" applyBorder="1" applyAlignment="1" applyProtection="1">
      <alignment horizontal="center"/>
    </xf>
    <xf numFmtId="165" fontId="17" fillId="62" borderId="21" xfId="0" applyNumberFormat="1" applyFont="1" applyFill="1" applyBorder="1" applyAlignment="1" applyProtection="1">
      <alignment horizontal="center"/>
    </xf>
    <xf numFmtId="165" fontId="4" fillId="62" borderId="24" xfId="0" applyNumberFormat="1" applyFont="1" applyFill="1" applyBorder="1" applyAlignment="1" applyProtection="1">
      <alignment horizontal="center"/>
    </xf>
    <xf numFmtId="1" fontId="79" fillId="62" borderId="0" xfId="0" applyNumberFormat="1" applyFont="1" applyFill="1" applyAlignment="1" applyProtection="1">
      <alignment horizontal="center"/>
    </xf>
    <xf numFmtId="3" fontId="79" fillId="2" borderId="0" xfId="0" applyNumberFormat="1" applyFont="1" applyFill="1" applyProtection="1"/>
    <xf numFmtId="1" fontId="79" fillId="62" borderId="0" xfId="0" applyNumberFormat="1" applyFont="1" applyFill="1" applyProtection="1"/>
    <xf numFmtId="0" fontId="4" fillId="62" borderId="0" xfId="0" applyFont="1" applyFill="1" applyProtection="1"/>
    <xf numFmtId="0" fontId="33" fillId="62" borderId="0" xfId="0" applyFont="1" applyFill="1" applyProtection="1"/>
    <xf numFmtId="14" fontId="0" fillId="62" borderId="0" xfId="0" applyNumberFormat="1" applyFill="1" applyProtection="1"/>
    <xf numFmtId="0" fontId="0" fillId="69" borderId="0" xfId="0" applyFill="1" applyAlignment="1">
      <alignment horizontal="center"/>
    </xf>
    <xf numFmtId="0" fontId="4" fillId="34" borderId="0" xfId="0" applyFont="1" applyFill="1" applyBorder="1" applyAlignment="1" applyProtection="1">
      <alignment horizontal="center"/>
      <protection locked="0"/>
    </xf>
    <xf numFmtId="0" fontId="5" fillId="29" borderId="0" xfId="0" applyFont="1" applyFill="1" applyBorder="1" applyAlignment="1" applyProtection="1">
      <alignment horizontal="center"/>
    </xf>
    <xf numFmtId="0" fontId="0" fillId="34" borderId="0" xfId="0" applyFill="1" applyBorder="1" applyAlignment="1" applyProtection="1">
      <alignment horizontal="center"/>
      <protection locked="0"/>
    </xf>
    <xf numFmtId="0" fontId="4" fillId="29" borderId="0" xfId="0" applyFont="1" applyFill="1" applyAlignment="1" applyProtection="1">
      <alignment horizontal="center"/>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3" fontId="4" fillId="41" borderId="0" xfId="0" applyNumberFormat="1" applyFont="1" applyFill="1" applyBorder="1" applyAlignment="1" applyProtection="1">
      <alignment horizontal="left"/>
    </xf>
    <xf numFmtId="3" fontId="43" fillId="41" borderId="22" xfId="0" applyNumberFormat="1" applyFont="1" applyFill="1" applyBorder="1" applyAlignment="1" applyProtection="1">
      <alignment horizontal="center"/>
    </xf>
    <xf numFmtId="0" fontId="4" fillId="21" borderId="0" xfId="0" applyFont="1" applyFill="1" applyBorder="1" applyAlignment="1" applyProtection="1">
      <alignment horizontal="center"/>
      <protection locked="0"/>
    </xf>
    <xf numFmtId="2" fontId="4" fillId="3" borderId="19" xfId="0" applyNumberFormat="1" applyFont="1" applyFill="1" applyBorder="1" applyAlignment="1" applyProtection="1">
      <alignment horizontal="center"/>
    </xf>
    <xf numFmtId="3" fontId="17" fillId="3" borderId="26" xfId="0" applyNumberFormat="1" applyFont="1" applyFill="1" applyBorder="1" applyProtection="1"/>
    <xf numFmtId="0" fontId="0" fillId="32" borderId="0" xfId="0" applyFill="1" applyBorder="1" applyAlignment="1" applyProtection="1">
      <alignment horizontal="center"/>
      <protection locked="0"/>
    </xf>
    <xf numFmtId="0" fontId="4" fillId="57" borderId="0" xfId="0" applyFont="1" applyFill="1" applyProtection="1"/>
    <xf numFmtId="0" fontId="93" fillId="3" borderId="22" xfId="0" applyFont="1" applyFill="1" applyBorder="1"/>
    <xf numFmtId="167" fontId="79" fillId="2" borderId="0" xfId="0" applyNumberFormat="1" applyFont="1" applyFill="1" applyAlignment="1">
      <alignment horizontal="center"/>
    </xf>
    <xf numFmtId="166" fontId="0" fillId="6" borderId="18" xfId="0" applyNumberFormat="1" applyFill="1" applyBorder="1" applyAlignment="1">
      <alignment horizontal="center"/>
    </xf>
    <xf numFmtId="166" fontId="0" fillId="6" borderId="23" xfId="0" applyNumberFormat="1" applyFill="1" applyBorder="1" applyAlignment="1">
      <alignment horizontal="center"/>
    </xf>
    <xf numFmtId="172" fontId="4" fillId="41" borderId="0" xfId="13" applyNumberFormat="1" applyFont="1" applyFill="1" applyBorder="1" applyAlignment="1" applyProtection="1">
      <alignment horizontal="center"/>
    </xf>
    <xf numFmtId="172" fontId="4" fillId="32" borderId="0" xfId="13" applyNumberFormat="1" applyFont="1" applyFill="1" applyBorder="1" applyProtection="1"/>
    <xf numFmtId="0" fontId="108" fillId="76" borderId="0" xfId="1" applyFont="1" applyFill="1" applyBorder="1" applyAlignment="1" applyProtection="1">
      <alignment horizontal="left"/>
    </xf>
    <xf numFmtId="0" fontId="4" fillId="76" borderId="0" xfId="0" applyFont="1" applyFill="1" applyProtection="1"/>
    <xf numFmtId="0" fontId="4" fillId="76" borderId="0" xfId="0" applyFont="1" applyFill="1" applyAlignment="1" applyProtection="1">
      <alignment horizontal="center"/>
    </xf>
    <xf numFmtId="0" fontId="4" fillId="57" borderId="0" xfId="0" applyFont="1" applyFill="1" applyAlignment="1" applyProtection="1">
      <alignment horizontal="center"/>
    </xf>
    <xf numFmtId="0" fontId="4" fillId="46" borderId="0" xfId="0" applyFont="1" applyFill="1" applyProtection="1"/>
    <xf numFmtId="0" fontId="0" fillId="21" borderId="0" xfId="0" applyFill="1" applyBorder="1"/>
    <xf numFmtId="0" fontId="0" fillId="43" borderId="0" xfId="0" applyFill="1" applyBorder="1"/>
    <xf numFmtId="0" fontId="4" fillId="18" borderId="13" xfId="0" applyFont="1" applyFill="1" applyBorder="1" applyProtection="1"/>
    <xf numFmtId="0" fontId="5" fillId="3" borderId="0" xfId="0" applyFont="1" applyFill="1" applyBorder="1" applyAlignment="1" applyProtection="1">
      <alignment horizontal="center" vertical="center"/>
    </xf>
    <xf numFmtId="0" fontId="0" fillId="57" borderId="0" xfId="0" applyFill="1" applyAlignment="1">
      <alignment horizontal="center"/>
    </xf>
    <xf numFmtId="0" fontId="17" fillId="57" borderId="0" xfId="0" applyFont="1" applyFill="1"/>
    <xf numFmtId="0" fontId="4" fillId="57" borderId="0" xfId="0" applyFont="1" applyFill="1"/>
    <xf numFmtId="0" fontId="4" fillId="57" borderId="0" xfId="0" applyFont="1" applyFill="1" applyAlignment="1">
      <alignment horizontal="center"/>
    </xf>
    <xf numFmtId="0" fontId="22" fillId="57" borderId="0" xfId="0" applyFont="1" applyFill="1" applyAlignment="1">
      <alignment horizontal="center"/>
    </xf>
    <xf numFmtId="0" fontId="93" fillId="4" borderId="0" xfId="0" applyFont="1" applyFill="1" applyAlignment="1">
      <alignment horizontal="center"/>
    </xf>
    <xf numFmtId="0" fontId="93" fillId="37" borderId="0" xfId="0" applyFont="1" applyFill="1"/>
    <xf numFmtId="0" fontId="13" fillId="37" borderId="0" xfId="0" applyFont="1" applyFill="1"/>
    <xf numFmtId="0" fontId="79" fillId="3" borderId="21" xfId="0" applyFont="1" applyFill="1" applyBorder="1" applyAlignment="1" applyProtection="1">
      <alignment horizontal="center"/>
    </xf>
    <xf numFmtId="165" fontId="79" fillId="3" borderId="0" xfId="0" applyNumberFormat="1" applyFont="1" applyFill="1" applyBorder="1" applyAlignment="1" applyProtection="1">
      <alignment horizontal="center"/>
    </xf>
    <xf numFmtId="0" fontId="4" fillId="10" borderId="13" xfId="0" applyFont="1" applyFill="1" applyBorder="1"/>
    <xf numFmtId="0" fontId="5" fillId="3" borderId="0" xfId="0" applyFont="1" applyFill="1" applyBorder="1" applyAlignment="1">
      <alignment horizontal="center" vertical="center"/>
    </xf>
    <xf numFmtId="0" fontId="0" fillId="46" borderId="0" xfId="0" applyFill="1" applyAlignment="1">
      <alignment horizontal="left"/>
    </xf>
    <xf numFmtId="0" fontId="0" fillId="46" borderId="0" xfId="0" applyFill="1" applyAlignment="1">
      <alignment horizontal="center"/>
    </xf>
    <xf numFmtId="0" fontId="17" fillId="46" borderId="0" xfId="0" applyFont="1" applyFill="1"/>
    <xf numFmtId="0" fontId="0" fillId="46" borderId="4" xfId="0" applyFill="1" applyBorder="1" applyAlignment="1">
      <alignment horizontal="left"/>
    </xf>
    <xf numFmtId="0" fontId="0" fillId="46" borderId="0" xfId="0" applyFill="1" applyBorder="1" applyAlignment="1">
      <alignment horizontal="center"/>
    </xf>
    <xf numFmtId="0" fontId="22" fillId="27" borderId="0" xfId="0" applyFont="1" applyFill="1" applyAlignment="1">
      <alignment horizontal="center"/>
    </xf>
    <xf numFmtId="165" fontId="0" fillId="46" borderId="0" xfId="0" applyNumberFormat="1" applyFill="1" applyAlignment="1">
      <alignment horizontal="center"/>
    </xf>
    <xf numFmtId="165" fontId="0" fillId="37" borderId="0" xfId="0" applyNumberFormat="1" applyFill="1" applyAlignment="1">
      <alignment horizontal="center"/>
    </xf>
    <xf numFmtId="0" fontId="4" fillId="46" borderId="0" xfId="0" applyFont="1" applyFill="1" applyAlignment="1">
      <alignment horizontal="center"/>
    </xf>
    <xf numFmtId="165" fontId="0" fillId="32" borderId="0" xfId="0" applyNumberFormat="1" applyFill="1" applyBorder="1" applyAlignment="1" applyProtection="1">
      <alignment horizontal="center"/>
      <protection locked="0"/>
    </xf>
    <xf numFmtId="0" fontId="17" fillId="3" borderId="30" xfId="0" applyFont="1" applyFill="1" applyBorder="1" applyAlignment="1">
      <alignment horizontal="center"/>
    </xf>
    <xf numFmtId="0" fontId="5" fillId="46" borderId="0" xfId="0" applyFont="1" applyFill="1" applyAlignment="1">
      <alignment horizontal="center"/>
    </xf>
    <xf numFmtId="0" fontId="0" fillId="37" borderId="24" xfId="0" applyFill="1" applyBorder="1" applyAlignment="1" applyProtection="1">
      <alignment horizontal="center"/>
    </xf>
    <xf numFmtId="165" fontId="17" fillId="62" borderId="16" xfId="0" applyNumberFormat="1" applyFont="1" applyFill="1" applyBorder="1" applyAlignment="1" applyProtection="1">
      <alignment horizontal="center"/>
    </xf>
    <xf numFmtId="165" fontId="17" fillId="62" borderId="18" xfId="0" applyNumberFormat="1" applyFont="1" applyFill="1" applyBorder="1" applyAlignment="1" applyProtection="1">
      <alignment horizontal="center"/>
    </xf>
    <xf numFmtId="0" fontId="4" fillId="3" borderId="0" xfId="0" applyFont="1" applyFill="1" applyBorder="1" applyAlignment="1" applyProtection="1">
      <alignment horizontal="left"/>
    </xf>
    <xf numFmtId="0" fontId="4" fillId="3" borderId="22" xfId="0" applyFont="1" applyFill="1" applyBorder="1" applyAlignment="1" applyProtection="1">
      <alignment horizontal="left"/>
    </xf>
    <xf numFmtId="0" fontId="5" fillId="46" borderId="0" xfId="0" applyFont="1" applyFill="1" applyProtection="1"/>
    <xf numFmtId="0" fontId="4" fillId="46" borderId="0" xfId="1" applyFont="1" applyFill="1" applyBorder="1" applyAlignment="1" applyProtection="1">
      <alignment vertical="top"/>
    </xf>
    <xf numFmtId="165" fontId="4" fillId="46" borderId="0" xfId="0" applyNumberFormat="1" applyFont="1" applyFill="1" applyAlignment="1" applyProtection="1">
      <alignment horizontal="center"/>
    </xf>
    <xf numFmtId="0" fontId="0" fillId="65" borderId="0" xfId="0" applyFill="1" applyAlignment="1">
      <alignment horizontal="center"/>
    </xf>
    <xf numFmtId="0" fontId="0" fillId="65" borderId="0" xfId="0" applyFill="1"/>
    <xf numFmtId="0" fontId="4" fillId="46" borderId="0" xfId="0" applyFont="1" applyFill="1" applyAlignment="1" applyProtection="1">
      <alignment horizontal="left"/>
    </xf>
    <xf numFmtId="0" fontId="19" fillId="76" borderId="0" xfId="0" applyFont="1" applyFill="1" applyBorder="1"/>
    <xf numFmtId="0" fontId="5" fillId="46" borderId="0" xfId="0" applyFont="1" applyFill="1" applyAlignment="1" applyProtection="1">
      <alignment horizontal="left"/>
    </xf>
    <xf numFmtId="0" fontId="5" fillId="46" borderId="0" xfId="0" applyFont="1" applyFill="1" applyBorder="1" applyAlignment="1" applyProtection="1">
      <alignment horizontal="center"/>
    </xf>
    <xf numFmtId="0" fontId="61" fillId="46" borderId="0" xfId="0" applyFont="1" applyFill="1" applyBorder="1" applyAlignment="1" applyProtection="1">
      <alignment horizontal="center"/>
    </xf>
    <xf numFmtId="0" fontId="4" fillId="27" borderId="0" xfId="0" applyFont="1" applyFill="1" applyAlignment="1">
      <alignment horizontal="center"/>
    </xf>
    <xf numFmtId="9" fontId="4" fillId="46" borderId="0" xfId="0" applyNumberFormat="1" applyFont="1" applyFill="1" applyAlignment="1" applyProtection="1">
      <alignment horizontal="center"/>
    </xf>
    <xf numFmtId="0" fontId="4" fillId="66" borderId="0" xfId="0" applyFont="1" applyFill="1"/>
    <xf numFmtId="0" fontId="0" fillId="76" borderId="0" xfId="0" applyFill="1"/>
    <xf numFmtId="0" fontId="4" fillId="46" borderId="0" xfId="0" applyFont="1" applyFill="1"/>
    <xf numFmtId="0" fontId="4" fillId="65" borderId="0" xfId="0" applyFont="1" applyFill="1"/>
    <xf numFmtId="165" fontId="0" fillId="65" borderId="0" xfId="0" applyNumberFormat="1" applyFill="1"/>
    <xf numFmtId="0" fontId="0" fillId="66" borderId="0" xfId="0" applyFill="1" applyAlignment="1">
      <alignment horizontal="center"/>
    </xf>
    <xf numFmtId="172" fontId="0" fillId="46" borderId="0" xfId="13" applyNumberFormat="1" applyFont="1" applyFill="1" applyAlignment="1">
      <alignment horizontal="center"/>
    </xf>
    <xf numFmtId="172" fontId="0" fillId="66" borderId="0" xfId="0" applyNumberFormat="1" applyFill="1"/>
    <xf numFmtId="3" fontId="0" fillId="65" borderId="0" xfId="13" applyNumberFormat="1" applyFont="1" applyFill="1" applyAlignment="1">
      <alignment horizontal="center"/>
    </xf>
    <xf numFmtId="3" fontId="0" fillId="65" borderId="0" xfId="0" applyNumberFormat="1" applyFill="1" applyAlignment="1">
      <alignment horizontal="center"/>
    </xf>
    <xf numFmtId="3" fontId="4" fillId="46" borderId="0" xfId="0" applyNumberFormat="1" applyFont="1" applyFill="1" applyAlignment="1" applyProtection="1">
      <alignment horizontal="center"/>
    </xf>
    <xf numFmtId="0" fontId="5" fillId="57" borderId="0" xfId="0" applyFont="1" applyFill="1" applyAlignment="1" applyProtection="1">
      <alignment horizontal="left"/>
    </xf>
    <xf numFmtId="0" fontId="5" fillId="57" borderId="0" xfId="0" applyFont="1" applyFill="1" applyAlignment="1" applyProtection="1">
      <alignment horizontal="center"/>
    </xf>
    <xf numFmtId="0" fontId="5" fillId="57" borderId="0" xfId="0" applyFont="1" applyFill="1" applyProtection="1"/>
    <xf numFmtId="3" fontId="5" fillId="57" borderId="0" xfId="0" applyNumberFormat="1" applyFont="1" applyFill="1" applyAlignment="1" applyProtection="1">
      <alignment horizontal="center"/>
    </xf>
    <xf numFmtId="0" fontId="4" fillId="41" borderId="0" xfId="0" applyFont="1" applyFill="1" applyAlignment="1" applyProtection="1">
      <alignment horizontal="center"/>
    </xf>
    <xf numFmtId="0" fontId="5" fillId="66" borderId="0" xfId="0" applyFont="1" applyFill="1"/>
    <xf numFmtId="0" fontId="4" fillId="65" borderId="0" xfId="0" applyFont="1" applyFill="1" applyAlignment="1">
      <alignment horizontal="center"/>
    </xf>
    <xf numFmtId="0" fontId="4" fillId="57" borderId="0" xfId="0" applyFont="1" applyFill="1" applyAlignment="1">
      <alignment horizontal="right"/>
    </xf>
    <xf numFmtId="1" fontId="0" fillId="66" borderId="0" xfId="0" applyNumberFormat="1" applyFill="1"/>
    <xf numFmtId="172" fontId="0" fillId="66" borderId="0" xfId="13" applyNumberFormat="1" applyFont="1" applyFill="1"/>
    <xf numFmtId="1" fontId="0" fillId="46" borderId="0" xfId="0" applyNumberFormat="1" applyFill="1" applyAlignment="1">
      <alignment horizontal="center"/>
    </xf>
    <xf numFmtId="0" fontId="17" fillId="3" borderId="7" xfId="0" applyFont="1" applyFill="1" applyBorder="1" applyAlignment="1"/>
    <xf numFmtId="0" fontId="0" fillId="66" borderId="0" xfId="0" applyFill="1" applyAlignment="1"/>
    <xf numFmtId="1" fontId="4" fillId="66" borderId="0" xfId="0" applyNumberFormat="1" applyFont="1" applyFill="1"/>
    <xf numFmtId="3" fontId="0" fillId="66" borderId="0" xfId="0" applyNumberFormat="1" applyFill="1"/>
    <xf numFmtId="0" fontId="0" fillId="57" borderId="0" xfId="0" applyFill="1" applyAlignment="1">
      <alignment horizontal="right"/>
    </xf>
    <xf numFmtId="3" fontId="0" fillId="57" borderId="0" xfId="0" applyNumberFormat="1" applyFill="1"/>
    <xf numFmtId="1" fontId="0" fillId="66" borderId="0" xfId="0" applyNumberFormat="1" applyFill="1" applyAlignment="1"/>
    <xf numFmtId="0" fontId="5" fillId="57" borderId="0" xfId="0" applyFont="1" applyFill="1" applyAlignment="1">
      <alignment horizontal="center"/>
    </xf>
    <xf numFmtId="3" fontId="5" fillId="65" borderId="0" xfId="13" applyNumberFormat="1" applyFont="1" applyFill="1" applyAlignment="1">
      <alignment horizontal="center"/>
    </xf>
    <xf numFmtId="0" fontId="5" fillId="65" borderId="0" xfId="0" applyFont="1" applyFill="1" applyAlignment="1">
      <alignment horizontal="center"/>
    </xf>
    <xf numFmtId="0" fontId="5" fillId="66" borderId="0" xfId="0" applyFont="1" applyFill="1" applyAlignment="1">
      <alignment horizontal="center"/>
    </xf>
    <xf numFmtId="172" fontId="5" fillId="46" borderId="0" xfId="13" applyNumberFormat="1" applyFont="1" applyFill="1" applyAlignment="1">
      <alignment horizontal="center"/>
    </xf>
    <xf numFmtId="3" fontId="4" fillId="65" borderId="0" xfId="13" applyNumberFormat="1" applyFont="1" applyFill="1" applyAlignment="1">
      <alignment horizontal="center"/>
    </xf>
    <xf numFmtId="3" fontId="4" fillId="65" borderId="0" xfId="0" applyNumberFormat="1" applyFont="1" applyFill="1" applyAlignment="1">
      <alignment horizontal="center"/>
    </xf>
    <xf numFmtId="0" fontId="5" fillId="46" borderId="0" xfId="0" applyFont="1" applyFill="1"/>
    <xf numFmtId="0" fontId="17" fillId="3" borderId="22" xfId="0" applyFont="1" applyFill="1" applyBorder="1" applyAlignment="1"/>
    <xf numFmtId="0" fontId="4" fillId="66" borderId="0" xfId="0" applyFont="1" applyFill="1" applyAlignment="1">
      <alignment horizontal="center"/>
    </xf>
    <xf numFmtId="3" fontId="0" fillId="66" borderId="0" xfId="0" applyNumberFormat="1" applyFill="1" applyAlignment="1">
      <alignment horizontal="center"/>
    </xf>
    <xf numFmtId="172" fontId="0" fillId="66" borderId="0" xfId="0" applyNumberFormat="1" applyFill="1" applyAlignment="1"/>
    <xf numFmtId="0" fontId="4" fillId="77" borderId="0" xfId="0" applyFont="1" applyFill="1" applyAlignment="1">
      <alignment horizontal="center" vertical="center" wrapText="1"/>
    </xf>
    <xf numFmtId="0" fontId="4" fillId="0" borderId="0" xfId="0" applyFont="1" applyAlignment="1">
      <alignment horizontal="center"/>
    </xf>
    <xf numFmtId="0" fontId="5" fillId="41" borderId="0" xfId="0" applyFont="1" applyFill="1" applyAlignment="1" applyProtection="1">
      <alignment horizontal="center"/>
    </xf>
    <xf numFmtId="0" fontId="5" fillId="46" borderId="0" xfId="0" applyFont="1" applyFill="1" applyAlignment="1" applyProtection="1">
      <alignment horizontal="center"/>
    </xf>
    <xf numFmtId="0" fontId="5" fillId="46" borderId="0" xfId="0" applyFont="1" applyFill="1" applyAlignment="1" applyProtection="1">
      <alignment horizontal="right"/>
    </xf>
    <xf numFmtId="0" fontId="4" fillId="40" borderId="0" xfId="0" applyFont="1" applyFill="1" applyAlignment="1" applyProtection="1">
      <alignment horizontal="center"/>
    </xf>
    <xf numFmtId="0" fontId="4" fillId="73" borderId="0" xfId="0" applyFont="1" applyFill="1" applyAlignment="1" applyProtection="1">
      <alignment horizontal="left"/>
    </xf>
    <xf numFmtId="0" fontId="0" fillId="39" borderId="0" xfId="0" applyFill="1" applyAlignment="1">
      <alignment horizontal="center" vertical="center" wrapText="1"/>
    </xf>
    <xf numFmtId="0" fontId="4" fillId="39" borderId="0" xfId="0" applyFont="1" applyFill="1" applyAlignment="1">
      <alignment horizontal="center" vertical="center" wrapText="1"/>
    </xf>
    <xf numFmtId="0" fontId="0" fillId="39" borderId="0" xfId="0" applyFill="1" applyAlignment="1">
      <alignment wrapText="1"/>
    </xf>
    <xf numFmtId="0" fontId="0" fillId="39" borderId="0" xfId="0" applyFill="1" applyAlignment="1">
      <alignment horizontal="center" vertical="center"/>
    </xf>
    <xf numFmtId="9" fontId="4" fillId="32" borderId="0" xfId="0" applyNumberFormat="1" applyFont="1" applyFill="1" applyAlignment="1" applyProtection="1">
      <alignment horizontal="center"/>
      <protection locked="0"/>
    </xf>
    <xf numFmtId="0" fontId="4" fillId="34" borderId="0" xfId="0" applyFont="1" applyFill="1" applyAlignment="1" applyProtection="1">
      <alignment horizontal="center"/>
      <protection locked="0"/>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4" fillId="73" borderId="0" xfId="0" applyFont="1" applyFill="1" applyAlignment="1" applyProtection="1">
      <alignment horizontal="center" vertical="top" wrapText="1"/>
    </xf>
    <xf numFmtId="165" fontId="0" fillId="32" borderId="0" xfId="0" applyNumberFormat="1" applyFill="1" applyBorder="1" applyAlignment="1" applyProtection="1">
      <alignment horizontal="center"/>
      <protection locked="0"/>
    </xf>
    <xf numFmtId="0" fontId="0" fillId="3" borderId="0" xfId="0" applyFill="1" applyBorder="1" applyAlignment="1" applyProtection="1">
      <alignment horizontal="center"/>
    </xf>
    <xf numFmtId="0" fontId="4" fillId="73" borderId="0" xfId="0" applyFont="1" applyFill="1" applyAlignment="1" applyProtection="1">
      <alignment horizontal="center"/>
    </xf>
    <xf numFmtId="0" fontId="104" fillId="27" borderId="0" xfId="0" applyFont="1" applyFill="1" applyAlignment="1"/>
    <xf numFmtId="0" fontId="4" fillId="27" borderId="0" xfId="0" applyFont="1" applyFill="1" applyBorder="1" applyAlignment="1" applyProtection="1">
      <alignment horizontal="center"/>
      <protection locked="0"/>
    </xf>
    <xf numFmtId="1" fontId="4" fillId="27" borderId="0" xfId="0" applyNumberFormat="1" applyFont="1" applyFill="1" applyAlignment="1" applyProtection="1">
      <alignment horizontal="center"/>
    </xf>
    <xf numFmtId="0" fontId="108" fillId="78" borderId="0" xfId="1" applyFont="1" applyFill="1" applyBorder="1" applyAlignment="1" applyProtection="1"/>
    <xf numFmtId="0" fontId="17" fillId="78" borderId="0" xfId="0" applyFont="1" applyFill="1" applyBorder="1" applyProtection="1"/>
    <xf numFmtId="1" fontId="4" fillId="73" borderId="0" xfId="0" applyNumberFormat="1" applyFont="1" applyFill="1" applyProtection="1"/>
    <xf numFmtId="0" fontId="17" fillId="78" borderId="0" xfId="0" applyFont="1" applyFill="1" applyBorder="1" applyAlignment="1" applyProtection="1">
      <alignment horizontal="center"/>
    </xf>
    <xf numFmtId="0" fontId="4" fillId="39" borderId="0" xfId="0" applyFont="1" applyFill="1" applyProtection="1"/>
    <xf numFmtId="165" fontId="4" fillId="73" borderId="0" xfId="0" applyNumberFormat="1" applyFont="1" applyFill="1" applyAlignment="1" applyProtection="1">
      <alignment horizontal="center"/>
    </xf>
    <xf numFmtId="0" fontId="4" fillId="36" borderId="0" xfId="0" applyFont="1" applyFill="1" applyBorder="1" applyProtection="1">
      <protection locked="0"/>
    </xf>
    <xf numFmtId="0" fontId="0" fillId="34" borderId="0" xfId="0" applyFill="1" applyBorder="1" applyAlignment="1" applyProtection="1">
      <alignment horizontal="center"/>
      <protection locked="0"/>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79" fillId="29" borderId="0" xfId="0" applyFont="1" applyFill="1" applyProtection="1"/>
    <xf numFmtId="0" fontId="61" fillId="73" borderId="0" xfId="0" applyFont="1" applyFill="1" applyAlignment="1" applyProtection="1"/>
    <xf numFmtId="0" fontId="4" fillId="73" borderId="22" xfId="0" applyFont="1" applyFill="1" applyBorder="1" applyAlignment="1" applyProtection="1">
      <alignment horizontal="left"/>
    </xf>
    <xf numFmtId="0" fontId="4" fillId="73" borderId="22" xfId="0" applyFont="1" applyFill="1" applyBorder="1" applyProtection="1"/>
    <xf numFmtId="0" fontId="5" fillId="39" borderId="0" xfId="0" applyFont="1" applyFill="1" applyProtection="1"/>
    <xf numFmtId="0" fontId="5" fillId="73" borderId="22" xfId="0" applyFont="1" applyFill="1" applyBorder="1" applyProtection="1"/>
    <xf numFmtId="0" fontId="4" fillId="39" borderId="22" xfId="0" applyFont="1" applyFill="1" applyBorder="1" applyProtection="1"/>
    <xf numFmtId="3" fontId="4" fillId="73" borderId="22" xfId="0" applyNumberFormat="1" applyFont="1" applyFill="1" applyBorder="1" applyProtection="1"/>
    <xf numFmtId="0" fontId="4" fillId="39" borderId="0" xfId="0" applyFont="1" applyFill="1" applyAlignment="1" applyProtection="1">
      <alignment horizontal="center"/>
    </xf>
    <xf numFmtId="2" fontId="4" fillId="73" borderId="0" xfId="0" applyNumberFormat="1" applyFont="1" applyFill="1" applyAlignment="1" applyProtection="1">
      <alignment horizontal="center"/>
    </xf>
    <xf numFmtId="165" fontId="17" fillId="3" borderId="9" xfId="0" applyNumberFormat="1" applyFont="1" applyFill="1" applyBorder="1" applyProtection="1"/>
    <xf numFmtId="165" fontId="4" fillId="73" borderId="0" xfId="0" applyNumberFormat="1" applyFont="1" applyFill="1" applyProtection="1"/>
    <xf numFmtId="0" fontId="5" fillId="73" borderId="0" xfId="0" applyFont="1" applyFill="1" applyAlignment="1" applyProtection="1">
      <alignment horizontal="left"/>
    </xf>
    <xf numFmtId="0" fontId="0" fillId="73" borderId="0" xfId="0" applyFill="1" applyAlignment="1">
      <alignment horizontal="center" vertical="center" wrapText="1"/>
    </xf>
    <xf numFmtId="0" fontId="4" fillId="73" borderId="0" xfId="0" applyFont="1" applyFill="1" applyAlignment="1">
      <alignment horizontal="center" vertical="center" wrapText="1"/>
    </xf>
    <xf numFmtId="0" fontId="0" fillId="73" borderId="0" xfId="0" applyFill="1" applyAlignment="1">
      <alignment horizontal="center" wrapText="1"/>
    </xf>
    <xf numFmtId="0" fontId="0" fillId="73" borderId="0" xfId="0" applyFill="1" applyAlignment="1">
      <alignment wrapText="1"/>
    </xf>
    <xf numFmtId="0" fontId="4" fillId="34" borderId="0" xfId="0" applyFont="1" applyFill="1" applyAlignment="1" applyProtection="1">
      <alignment horizontal="center"/>
      <protection locked="0"/>
    </xf>
    <xf numFmtId="0" fontId="5" fillId="27" borderId="0" xfId="0" applyFont="1" applyFill="1" applyAlignment="1" applyProtection="1">
      <alignment horizontal="center"/>
    </xf>
    <xf numFmtId="0" fontId="5" fillId="46" borderId="0" xfId="0" applyFont="1" applyFill="1" applyAlignment="1" applyProtection="1">
      <alignment wrapText="1"/>
    </xf>
    <xf numFmtId="0" fontId="5" fillId="27" borderId="0" xfId="0" applyFont="1" applyFill="1" applyAlignment="1" applyProtection="1">
      <alignment wrapText="1"/>
    </xf>
    <xf numFmtId="165" fontId="4" fillId="27" borderId="0" xfId="0" applyNumberFormat="1" applyFont="1" applyFill="1" applyAlignment="1" applyProtection="1">
      <alignment horizontal="center"/>
    </xf>
    <xf numFmtId="165" fontId="0" fillId="27" borderId="0" xfId="0" applyNumberFormat="1" applyFill="1" applyBorder="1" applyAlignment="1" applyProtection="1">
      <alignment horizontal="center"/>
      <protection locked="0"/>
    </xf>
    <xf numFmtId="3" fontId="43" fillId="41" borderId="0" xfId="0" applyNumberFormat="1" applyFont="1" applyFill="1" applyBorder="1" applyAlignment="1" applyProtection="1">
      <alignment horizontal="center"/>
    </xf>
    <xf numFmtId="0" fontId="17" fillId="3" borderId="30" xfId="0" applyFont="1" applyFill="1" applyBorder="1" applyAlignment="1">
      <alignment horizontal="center"/>
    </xf>
    <xf numFmtId="0" fontId="104" fillId="27" borderId="0" xfId="0" applyFont="1" applyFill="1" applyAlignment="1">
      <alignment horizontal="center"/>
    </xf>
    <xf numFmtId="9" fontId="4" fillId="32" borderId="0" xfId="0" applyNumberFormat="1" applyFont="1" applyFill="1" applyBorder="1" applyAlignment="1" applyProtection="1">
      <alignment horizontal="center"/>
      <protection locked="0"/>
    </xf>
    <xf numFmtId="0" fontId="0" fillId="46" borderId="0" xfId="0" applyFill="1" applyAlignment="1">
      <alignment horizontal="center"/>
    </xf>
    <xf numFmtId="1" fontId="0" fillId="65" borderId="0" xfId="0" applyNumberFormat="1" applyFill="1" applyAlignment="1">
      <alignment horizontal="center"/>
    </xf>
    <xf numFmtId="1" fontId="0" fillId="65" borderId="0" xfId="0" applyNumberFormat="1" applyFill="1"/>
    <xf numFmtId="0" fontId="4" fillId="66" borderId="24" xfId="0" applyFont="1" applyFill="1" applyBorder="1" applyAlignment="1" applyProtection="1">
      <alignment horizontal="left"/>
      <protection locked="0"/>
    </xf>
    <xf numFmtId="165" fontId="4" fillId="66" borderId="0" xfId="0" applyNumberFormat="1" applyFont="1" applyFill="1" applyAlignment="1">
      <alignment horizontal="center"/>
    </xf>
    <xf numFmtId="165" fontId="0" fillId="65" borderId="0" xfId="0" applyNumberFormat="1" applyFill="1" applyAlignment="1">
      <alignment horizontal="left"/>
    </xf>
    <xf numFmtId="0" fontId="61" fillId="46" borderId="0" xfId="0" applyFont="1" applyFill="1" applyAlignment="1" applyProtection="1">
      <alignment wrapText="1"/>
    </xf>
    <xf numFmtId="0" fontId="61" fillId="46" borderId="0" xfId="0" applyFont="1" applyFill="1" applyAlignment="1" applyProtection="1"/>
    <xf numFmtId="0" fontId="4" fillId="46" borderId="0" xfId="0" applyFont="1" applyFill="1" applyAlignment="1">
      <alignment horizontal="left"/>
    </xf>
    <xf numFmtId="165" fontId="0" fillId="66" borderId="0" xfId="0" applyNumberFormat="1" applyFill="1"/>
    <xf numFmtId="1" fontId="0" fillId="39" borderId="0" xfId="0" applyNumberFormat="1" applyFill="1" applyAlignment="1">
      <alignment horizontal="center"/>
    </xf>
    <xf numFmtId="0" fontId="0" fillId="27" borderId="0" xfId="0" applyFill="1" applyProtection="1"/>
    <xf numFmtId="0" fontId="4" fillId="34" borderId="0" xfId="0"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4" fillId="46" borderId="0" xfId="0" applyFont="1" applyFill="1" applyAlignment="1">
      <alignment horizontal="center"/>
    </xf>
    <xf numFmtId="0" fontId="0" fillId="46" borderId="0" xfId="0" applyFill="1" applyAlignment="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34" fillId="14" borderId="5" xfId="1" applyFont="1" applyFill="1" applyBorder="1" applyAlignment="1" applyProtection="1">
      <alignment horizontal="right"/>
    </xf>
    <xf numFmtId="0" fontId="34" fillId="14" borderId="8" xfId="1" applyFont="1" applyFill="1" applyBorder="1" applyAlignment="1" applyProtection="1">
      <alignment horizontal="right"/>
      <protection locked="0"/>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1" fontId="0" fillId="6" borderId="7" xfId="0"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165" fontId="0" fillId="32" borderId="0" xfId="0" applyNumberFormat="1" applyFill="1" applyBorder="1" applyAlignment="1" applyProtection="1">
      <alignment horizontal="center"/>
      <protection locked="0"/>
    </xf>
    <xf numFmtId="0" fontId="4" fillId="28" borderId="0" xfId="0" applyFont="1" applyFill="1" applyAlignment="1" applyProtection="1">
      <alignment horizontal="center"/>
    </xf>
    <xf numFmtId="0" fontId="4" fillId="34" borderId="0" xfId="0" applyFont="1" applyFill="1" applyAlignment="1" applyProtection="1">
      <alignment horizontal="center"/>
      <protection locked="0"/>
    </xf>
    <xf numFmtId="0" fontId="4" fillId="46" borderId="0" xfId="0" applyFont="1" applyFill="1" applyAlignment="1" applyProtection="1">
      <alignment horizontal="center"/>
    </xf>
    <xf numFmtId="0" fontId="101" fillId="46" borderId="0" xfId="0" applyFont="1" applyFill="1" applyAlignment="1">
      <alignment horizontal="center"/>
    </xf>
    <xf numFmtId="0" fontId="79" fillId="46" borderId="0" xfId="0" applyFont="1" applyFill="1" applyAlignment="1">
      <alignment horizontal="center"/>
    </xf>
    <xf numFmtId="3" fontId="4" fillId="46" borderId="0" xfId="0" applyNumberFormat="1" applyFont="1" applyFill="1"/>
    <xf numFmtId="0" fontId="108" fillId="27" borderId="0" xfId="1" applyFont="1" applyFill="1" applyBorder="1" applyAlignment="1" applyProtection="1">
      <alignment horizontal="left"/>
    </xf>
    <xf numFmtId="0" fontId="5" fillId="27" borderId="0" xfId="1" applyFont="1" applyFill="1" applyBorder="1" applyAlignment="1" applyProtection="1"/>
    <xf numFmtId="0" fontId="4" fillId="27" borderId="0" xfId="0" applyFont="1" applyFill="1" applyAlignment="1" applyProtection="1">
      <alignment horizontal="center"/>
    </xf>
    <xf numFmtId="0" fontId="5" fillId="27" borderId="0" xfId="0" applyFont="1" applyFill="1" applyAlignment="1" applyProtection="1">
      <alignment horizontal="left"/>
    </xf>
    <xf numFmtId="3" fontId="5" fillId="27" borderId="0" xfId="0" applyNumberFormat="1" applyFont="1" applyFill="1" applyAlignment="1" applyProtection="1">
      <alignment horizontal="center"/>
    </xf>
    <xf numFmtId="9" fontId="4" fillId="27" borderId="0" xfId="0" applyNumberFormat="1" applyFont="1" applyFill="1" applyBorder="1" applyAlignment="1" applyProtection="1">
      <alignment horizontal="center"/>
      <protection locked="0"/>
    </xf>
    <xf numFmtId="0" fontId="43" fillId="27" borderId="0" xfId="0" applyFont="1" applyFill="1" applyBorder="1" applyProtection="1"/>
    <xf numFmtId="165" fontId="0" fillId="65" borderId="0" xfId="0" applyNumberFormat="1" applyFill="1" applyAlignment="1">
      <alignment horizontal="center"/>
    </xf>
    <xf numFmtId="0" fontId="7" fillId="6" borderId="4" xfId="0" applyFont="1" applyFill="1" applyBorder="1" applyProtection="1"/>
    <xf numFmtId="0" fontId="34" fillId="14" borderId="6" xfId="1" applyFont="1" applyFill="1" applyBorder="1" applyAlignment="1" applyProtection="1">
      <alignment horizontal="left"/>
      <protection locked="0"/>
    </xf>
    <xf numFmtId="1" fontId="7" fillId="6" borderId="0" xfId="0" applyNumberFormat="1" applyFont="1" applyFill="1" applyBorder="1" applyAlignment="1" applyProtection="1">
      <alignment horizontal="center"/>
    </xf>
    <xf numFmtId="0" fontId="7" fillId="6" borderId="0" xfId="0" applyFont="1" applyFill="1" applyBorder="1" applyAlignment="1" applyProtection="1"/>
    <xf numFmtId="1" fontId="7" fillId="6" borderId="6" xfId="0" applyNumberFormat="1" applyFont="1" applyFill="1" applyBorder="1" applyAlignment="1" applyProtection="1">
      <alignment horizontal="center"/>
    </xf>
    <xf numFmtId="1" fontId="7" fillId="6" borderId="7" xfId="0" applyNumberFormat="1" applyFont="1" applyFill="1" applyBorder="1" applyAlignment="1" applyProtection="1">
      <alignment horizontal="center"/>
    </xf>
    <xf numFmtId="1" fontId="7" fillId="6" borderId="8" xfId="0" applyNumberFormat="1" applyFont="1" applyFill="1" applyBorder="1" applyAlignment="1" applyProtection="1">
      <alignment horizontal="center"/>
    </xf>
    <xf numFmtId="1" fontId="7" fillId="6" borderId="6" xfId="0" applyNumberFormat="1" applyFont="1" applyFill="1" applyBorder="1" applyAlignment="1">
      <alignment horizontal="center"/>
    </xf>
    <xf numFmtId="1" fontId="7" fillId="6" borderId="7" xfId="0" applyNumberFormat="1" applyFont="1" applyFill="1" applyBorder="1" applyAlignment="1">
      <alignment horizontal="center"/>
    </xf>
    <xf numFmtId="1" fontId="7" fillId="6" borderId="8" xfId="0" applyNumberFormat="1" applyFont="1" applyFill="1" applyBorder="1" applyAlignment="1">
      <alignment horizontal="center"/>
    </xf>
    <xf numFmtId="0" fontId="0" fillId="54" borderId="8" xfId="0" applyFill="1" applyBorder="1"/>
    <xf numFmtId="0" fontId="4" fillId="54" borderId="7" xfId="0" applyFont="1" applyFill="1" applyBorder="1" applyProtection="1"/>
    <xf numFmtId="0" fontId="4" fillId="54" borderId="8" xfId="0" applyFont="1" applyFill="1" applyBorder="1" applyProtection="1"/>
    <xf numFmtId="1" fontId="5" fillId="6" borderId="1" xfId="0" applyNumberFormat="1" applyFont="1" applyFill="1" applyBorder="1" applyAlignment="1" applyProtection="1">
      <alignment horizontal="center"/>
    </xf>
    <xf numFmtId="0" fontId="5" fillId="6" borderId="2" xfId="0" applyFont="1" applyFill="1" applyBorder="1" applyAlignment="1" applyProtection="1"/>
    <xf numFmtId="0" fontId="5" fillId="54" borderId="7" xfId="0" applyFont="1" applyFill="1" applyBorder="1" applyAlignment="1" applyProtection="1"/>
    <xf numFmtId="1" fontId="4" fillId="54" borderId="7" xfId="0" applyNumberFormat="1" applyFont="1" applyFill="1" applyBorder="1" applyAlignment="1" applyProtection="1">
      <alignment horizontal="center"/>
    </xf>
    <xf numFmtId="1" fontId="4" fillId="54" borderId="6" xfId="0" applyNumberFormat="1" applyFont="1" applyFill="1" applyBorder="1" applyAlignment="1" applyProtection="1">
      <alignment horizontal="center"/>
    </xf>
    <xf numFmtId="1" fontId="0" fillId="54" borderId="6" xfId="0" applyNumberFormat="1" applyFill="1" applyBorder="1" applyAlignment="1">
      <alignment horizontal="center"/>
    </xf>
    <xf numFmtId="1" fontId="4" fillId="6" borderId="0" xfId="0" quotePrefix="1" applyNumberFormat="1" applyFont="1" applyFill="1" applyBorder="1" applyAlignment="1">
      <alignment horizontal="center"/>
    </xf>
    <xf numFmtId="1" fontId="63" fillId="6" borderId="0" xfId="0" quotePrefix="1" applyNumberFormat="1" applyFont="1" applyFill="1" applyBorder="1" applyAlignment="1">
      <alignment horizontal="center"/>
    </xf>
    <xf numFmtId="1" fontId="64" fillId="6" borderId="8" xfId="0" applyNumberFormat="1" applyFont="1" applyFill="1" applyBorder="1" applyAlignment="1">
      <alignment horizontal="center"/>
    </xf>
    <xf numFmtId="0" fontId="34" fillId="14" borderId="8" xfId="1" applyFont="1" applyFill="1" applyBorder="1" applyAlignment="1" applyProtection="1">
      <alignment horizontal="left"/>
      <protection locked="0"/>
    </xf>
    <xf numFmtId="1" fontId="63" fillId="6" borderId="7" xfId="0" applyNumberFormat="1" applyFont="1" applyFill="1" applyBorder="1" applyAlignment="1">
      <alignment horizontal="center"/>
    </xf>
    <xf numFmtId="0" fontId="5" fillId="2" borderId="6" xfId="0" applyFont="1" applyFill="1" applyBorder="1"/>
    <xf numFmtId="0" fontId="5" fillId="2" borderId="7" xfId="0" applyFont="1" applyFill="1" applyBorder="1"/>
    <xf numFmtId="1" fontId="5" fillId="2" borderId="8" xfId="0" applyNumberFormat="1" applyFont="1" applyFill="1" applyBorder="1"/>
    <xf numFmtId="1" fontId="0" fillId="2" borderId="0" xfId="0" applyNumberFormat="1" applyFill="1" applyBorder="1" applyAlignment="1">
      <alignment horizontal="center"/>
    </xf>
    <xf numFmtId="165" fontId="0" fillId="2" borderId="0" xfId="0" applyNumberFormat="1" applyFill="1" applyBorder="1" applyAlignment="1">
      <alignment horizontal="center"/>
    </xf>
    <xf numFmtId="1" fontId="0" fillId="50" borderId="0" xfId="0" quotePrefix="1" applyNumberFormat="1" applyFill="1" applyBorder="1" applyAlignment="1">
      <alignment horizontal="center"/>
    </xf>
    <xf numFmtId="0" fontId="0" fillId="50" borderId="0" xfId="0" applyFill="1" applyBorder="1"/>
    <xf numFmtId="1" fontId="81" fillId="6" borderId="0" xfId="0" quotePrefix="1" applyNumberFormat="1" applyFont="1" applyFill="1" applyBorder="1" applyAlignment="1">
      <alignment horizontal="center"/>
    </xf>
    <xf numFmtId="1" fontId="81" fillId="6" borderId="7" xfId="0" applyNumberFormat="1" applyFont="1" applyFill="1" applyBorder="1" applyAlignment="1">
      <alignment horizontal="center"/>
    </xf>
    <xf numFmtId="0" fontId="34" fillId="26" borderId="4" xfId="1" applyFont="1" applyFill="1" applyBorder="1" applyAlignment="1" applyProtection="1"/>
    <xf numFmtId="1" fontId="4" fillId="50" borderId="0" xfId="0" quotePrefix="1" applyNumberFormat="1" applyFont="1" applyFill="1" applyBorder="1" applyAlignment="1">
      <alignment horizontal="center"/>
    </xf>
    <xf numFmtId="0" fontId="34" fillId="14" borderId="4" xfId="1" applyFont="1" applyFill="1" applyBorder="1" applyAlignment="1" applyProtection="1">
      <alignment horizontal="left"/>
    </xf>
    <xf numFmtId="1" fontId="0" fillId="37" borderId="0" xfId="0" quotePrefix="1" applyNumberFormat="1" applyFill="1" applyBorder="1" applyAlignment="1">
      <alignment horizontal="center"/>
    </xf>
    <xf numFmtId="0" fontId="4" fillId="57" borderId="0" xfId="0" applyFont="1" applyFill="1" applyAlignment="1" applyProtection="1">
      <alignment horizontal="left"/>
    </xf>
    <xf numFmtId="9" fontId="4" fillId="34" borderId="0" xfId="0" applyNumberFormat="1" applyFont="1" applyFill="1" applyAlignment="1" applyProtection="1">
      <alignment horizontal="center"/>
      <protection locked="0"/>
    </xf>
    <xf numFmtId="0" fontId="4" fillId="46" borderId="0" xfId="0" applyFont="1" applyFill="1" applyBorder="1" applyAlignment="1" applyProtection="1">
      <alignment horizontal="center"/>
    </xf>
    <xf numFmtId="0" fontId="4" fillId="46" borderId="0" xfId="0" applyFont="1" applyFill="1" applyBorder="1" applyAlignment="1" applyProtection="1">
      <alignment horizontal="center"/>
      <protection locked="0"/>
    </xf>
    <xf numFmtId="0" fontId="4" fillId="46" borderId="22" xfId="0" applyFont="1" applyFill="1" applyBorder="1" applyProtection="1"/>
    <xf numFmtId="0" fontId="4" fillId="46" borderId="22" xfId="0" applyFont="1" applyFill="1" applyBorder="1" applyAlignment="1" applyProtection="1">
      <alignment horizontal="left"/>
    </xf>
    <xf numFmtId="0" fontId="4" fillId="46" borderId="22" xfId="0" applyFont="1" applyFill="1" applyBorder="1" applyAlignment="1" applyProtection="1">
      <alignment horizontal="center"/>
    </xf>
    <xf numFmtId="0" fontId="4" fillId="3" borderId="9" xfId="0" applyFont="1" applyFill="1" applyBorder="1" applyAlignment="1" applyProtection="1">
      <alignment horizontal="left"/>
    </xf>
    <xf numFmtId="0" fontId="5" fillId="6" borderId="0" xfId="0" applyFont="1" applyFill="1" applyBorder="1" applyAlignment="1" applyProtection="1">
      <alignment horizontal="left"/>
    </xf>
    <xf numFmtId="165" fontId="0" fillId="32" borderId="0" xfId="0" applyNumberForma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27" borderId="0" xfId="0" applyFont="1" applyFill="1" applyAlignment="1" applyProtection="1">
      <alignment horizontal="center"/>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4" fillId="73" borderId="0" xfId="0" applyFont="1" applyFill="1" applyAlignment="1" applyProtection="1">
      <alignment horizontal="center"/>
    </xf>
    <xf numFmtId="0" fontId="5" fillId="73" borderId="0" xfId="0" applyFont="1" applyFill="1" applyAlignment="1" applyProtection="1">
      <alignment horizontal="center"/>
    </xf>
    <xf numFmtId="0" fontId="4" fillId="27" borderId="0" xfId="0" applyFont="1" applyFill="1" applyAlignment="1" applyProtection="1">
      <alignment horizontal="center"/>
    </xf>
    <xf numFmtId="0" fontId="4" fillId="41" borderId="0" xfId="0" applyFont="1" applyFill="1"/>
    <xf numFmtId="1" fontId="0" fillId="41" borderId="0" xfId="0" applyNumberFormat="1" applyFill="1" applyAlignment="1">
      <alignment horizontal="center"/>
    </xf>
    <xf numFmtId="1" fontId="5" fillId="41" borderId="0" xfId="0" applyNumberFormat="1" applyFont="1" applyFill="1" applyAlignment="1">
      <alignment horizontal="center"/>
    </xf>
    <xf numFmtId="1" fontId="4" fillId="73" borderId="0" xfId="0" applyNumberFormat="1" applyFont="1" applyFill="1" applyAlignment="1" applyProtection="1">
      <alignment horizontal="left"/>
    </xf>
    <xf numFmtId="166" fontId="4" fillId="73" borderId="0" xfId="0" applyNumberFormat="1" applyFont="1" applyFill="1" applyAlignment="1" applyProtection="1">
      <alignment horizontal="center"/>
    </xf>
    <xf numFmtId="0" fontId="5" fillId="28" borderId="0" xfId="0" applyFont="1" applyFill="1" applyAlignment="1" applyProtection="1">
      <alignment horizontal="center"/>
    </xf>
    <xf numFmtId="0" fontId="4" fillId="29" borderId="0" xfId="0" applyFont="1" applyFill="1" applyAlignment="1" applyProtection="1">
      <alignment horizontal="center"/>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0" borderId="0" xfId="7"/>
    <xf numFmtId="0" fontId="5" fillId="0" borderId="0" xfId="7" applyFont="1"/>
    <xf numFmtId="0" fontId="79" fillId="0" borderId="0" xfId="7" applyFont="1"/>
    <xf numFmtId="0" fontId="4" fillId="0" borderId="0" xfId="7" applyFill="1"/>
    <xf numFmtId="0" fontId="4" fillId="0" borderId="0" xfId="7" applyFont="1" applyFill="1"/>
    <xf numFmtId="0" fontId="4" fillId="80" borderId="0" xfId="0" applyFont="1" applyFill="1" applyAlignment="1">
      <alignment horizontal="center" vertical="center" wrapText="1"/>
    </xf>
    <xf numFmtId="0" fontId="0" fillId="80" borderId="0" xfId="0" applyFill="1" applyAlignment="1">
      <alignment horizontal="center" vertical="center" wrapText="1"/>
    </xf>
    <xf numFmtId="0" fontId="0" fillId="80" borderId="0" xfId="0" applyFill="1" applyAlignment="1">
      <alignment horizontal="center" vertical="center"/>
    </xf>
    <xf numFmtId="0" fontId="0" fillId="0" borderId="0" xfId="0" applyFill="1" applyAlignment="1">
      <alignment horizontal="center" vertical="center"/>
    </xf>
    <xf numFmtId="0" fontId="0" fillId="3" borderId="0" xfId="0" applyFont="1" applyFill="1" applyBorder="1"/>
    <xf numFmtId="0" fontId="83" fillId="29" borderId="0" xfId="0" applyFont="1" applyFill="1" applyAlignment="1" applyProtection="1">
      <alignment vertical="top"/>
    </xf>
    <xf numFmtId="0" fontId="5" fillId="29" borderId="0" xfId="0" applyFont="1" applyFill="1" applyAlignment="1" applyProtection="1">
      <alignment horizontal="center" vertical="center"/>
    </xf>
    <xf numFmtId="0" fontId="61" fillId="29" borderId="0" xfId="0" applyFont="1" applyFill="1" applyAlignment="1" applyProtection="1">
      <alignment horizontal="left"/>
    </xf>
    <xf numFmtId="0" fontId="4" fillId="49" borderId="4" xfId="0" applyFont="1" applyFill="1" applyBorder="1" applyAlignment="1">
      <alignment horizontal="left"/>
    </xf>
    <xf numFmtId="0" fontId="0" fillId="49" borderId="0" xfId="0" applyFill="1" applyAlignment="1">
      <alignment horizontal="center"/>
    </xf>
    <xf numFmtId="0" fontId="17" fillId="49" borderId="0" xfId="0" applyFont="1" applyFill="1"/>
    <xf numFmtId="0" fontId="4" fillId="49" borderId="0" xfId="0" applyFont="1" applyFill="1"/>
    <xf numFmtId="0" fontId="0" fillId="33" borderId="0" xfId="0" applyFill="1"/>
    <xf numFmtId="0" fontId="0" fillId="33" borderId="0" xfId="0" applyFill="1" applyAlignment="1">
      <alignment horizontal="center"/>
    </xf>
    <xf numFmtId="0" fontId="0" fillId="33" borderId="18" xfId="0" applyFill="1" applyBorder="1" applyAlignment="1">
      <alignment horizontal="center"/>
    </xf>
    <xf numFmtId="0" fontId="17" fillId="33" borderId="0" xfId="0" applyFont="1" applyFill="1" applyAlignment="1">
      <alignment horizontal="center"/>
    </xf>
    <xf numFmtId="0" fontId="0" fillId="33" borderId="21" xfId="0" applyFill="1" applyBorder="1" applyAlignment="1">
      <alignment horizontal="center"/>
    </xf>
    <xf numFmtId="0" fontId="0" fillId="33" borderId="28" xfId="0" applyFill="1" applyBorder="1" applyAlignment="1">
      <alignment horizontal="center"/>
    </xf>
    <xf numFmtId="0" fontId="76" fillId="0" borderId="0" xfId="2" applyFont="1"/>
    <xf numFmtId="0" fontId="81" fillId="33" borderId="0" xfId="2" applyFont="1" applyFill="1"/>
    <xf numFmtId="0" fontId="4" fillId="33" borderId="0" xfId="2" applyFont="1" applyFill="1"/>
    <xf numFmtId="0" fontId="76" fillId="33" borderId="0" xfId="2" applyFont="1" applyFill="1"/>
    <xf numFmtId="0" fontId="17" fillId="33" borderId="0" xfId="2" applyNumberFormat="1" applyFill="1"/>
    <xf numFmtId="0" fontId="17" fillId="33" borderId="0" xfId="2" applyFill="1"/>
    <xf numFmtId="173" fontId="11" fillId="39" borderId="0" xfId="2" applyNumberFormat="1" applyFont="1" applyFill="1" applyBorder="1" applyProtection="1"/>
    <xf numFmtId="0" fontId="72" fillId="27" borderId="0" xfId="2" applyFont="1" applyFill="1" applyProtection="1"/>
    <xf numFmtId="2" fontId="17" fillId="0" borderId="0" xfId="2" applyNumberFormat="1"/>
    <xf numFmtId="165" fontId="0" fillId="37" borderId="11" xfId="0" applyNumberFormat="1" applyFill="1" applyBorder="1" applyAlignment="1" applyProtection="1">
      <alignment horizontal="center"/>
      <protection locked="0"/>
    </xf>
    <xf numFmtId="165" fontId="0" fillId="6" borderId="21" xfId="0" applyNumberFormat="1" applyFill="1" applyBorder="1" applyAlignment="1">
      <alignment horizontal="center"/>
    </xf>
    <xf numFmtId="0" fontId="4" fillId="2" borderId="0" xfId="0" applyFont="1" applyFill="1" applyAlignment="1">
      <alignment horizontal="center" vertical="center" wrapText="1"/>
    </xf>
    <xf numFmtId="0" fontId="0" fillId="6" borderId="57" xfId="0" applyFill="1" applyBorder="1"/>
    <xf numFmtId="174" fontId="0" fillId="2" borderId="0" xfId="0" applyNumberFormat="1" applyFill="1" applyAlignment="1">
      <alignment horizontal="center"/>
    </xf>
    <xf numFmtId="0" fontId="4" fillId="45" borderId="0" xfId="0" applyFont="1" applyFill="1"/>
    <xf numFmtId="0" fontId="4" fillId="45" borderId="12" xfId="0" applyFont="1" applyFill="1" applyBorder="1"/>
    <xf numFmtId="0" fontId="4" fillId="45" borderId="27" xfId="0" applyFont="1" applyFill="1" applyBorder="1"/>
    <xf numFmtId="0" fontId="4" fillId="45" borderId="28" xfId="0" applyFont="1" applyFill="1" applyBorder="1"/>
    <xf numFmtId="0" fontId="79" fillId="45" borderId="20" xfId="0" applyFont="1" applyFill="1" applyBorder="1"/>
    <xf numFmtId="0" fontId="0" fillId="45" borderId="16" xfId="0" applyFill="1" applyBorder="1"/>
    <xf numFmtId="0" fontId="0" fillId="45" borderId="23" xfId="0" applyFill="1" applyBorder="1"/>
    <xf numFmtId="0" fontId="0" fillId="45" borderId="17" xfId="0" applyFill="1" applyBorder="1"/>
    <xf numFmtId="165" fontId="106" fillId="29" borderId="0" xfId="0" applyNumberFormat="1" applyFont="1" applyFill="1" applyAlignment="1" applyProtection="1">
      <alignment horizontal="center"/>
    </xf>
    <xf numFmtId="0" fontId="17" fillId="45" borderId="0" xfId="0" applyFont="1" applyFill="1" applyBorder="1"/>
    <xf numFmtId="0" fontId="5" fillId="45" borderId="25"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4" fillId="45" borderId="27" xfId="0" applyFont="1" applyFill="1" applyBorder="1" applyAlignment="1">
      <alignment horizontal="center" vertical="center" wrapText="1"/>
    </xf>
    <xf numFmtId="0" fontId="0" fillId="37" borderId="28" xfId="0" applyFill="1" applyBorder="1"/>
    <xf numFmtId="165" fontId="0" fillId="37" borderId="28" xfId="0" applyNumberFormat="1" applyFill="1" applyBorder="1"/>
    <xf numFmtId="0" fontId="0" fillId="37" borderId="28" xfId="0" applyFill="1" applyBorder="1" applyAlignment="1">
      <alignment horizontal="center"/>
    </xf>
    <xf numFmtId="1" fontId="0" fillId="37" borderId="28" xfId="0" applyNumberFormat="1" applyFill="1" applyBorder="1"/>
    <xf numFmtId="0" fontId="0" fillId="37" borderId="12" xfId="0" applyFill="1" applyBorder="1"/>
    <xf numFmtId="0" fontId="0" fillId="37" borderId="12" xfId="0" applyFill="1" applyBorder="1" applyAlignment="1">
      <alignment horizontal="center"/>
    </xf>
    <xf numFmtId="1" fontId="0" fillId="37" borderId="12" xfId="0" applyNumberFormat="1" applyFill="1" applyBorder="1"/>
    <xf numFmtId="0" fontId="0" fillId="37" borderId="58" xfId="0" applyFill="1" applyBorder="1"/>
    <xf numFmtId="165" fontId="0" fillId="37" borderId="58" xfId="0" applyNumberFormat="1" applyFill="1" applyBorder="1"/>
    <xf numFmtId="0" fontId="0" fillId="37" borderId="58" xfId="0" applyFill="1" applyBorder="1" applyAlignment="1">
      <alignment horizontal="center"/>
    </xf>
    <xf numFmtId="1" fontId="0" fillId="37" borderId="58" xfId="0" applyNumberFormat="1" applyFill="1" applyBorder="1"/>
    <xf numFmtId="0" fontId="149" fillId="0" borderId="0" xfId="0" applyFont="1"/>
    <xf numFmtId="0" fontId="8" fillId="27" borderId="0" xfId="0" applyFont="1" applyFill="1" applyProtection="1"/>
    <xf numFmtId="0" fontId="16" fillId="27" borderId="0" xfId="0" applyFont="1" applyFill="1" applyBorder="1" applyProtection="1"/>
    <xf numFmtId="0" fontId="8" fillId="27" borderId="0" xfId="0" applyFont="1" applyFill="1" applyBorder="1" applyProtection="1"/>
    <xf numFmtId="0" fontId="8" fillId="45" borderId="0" xfId="0" applyFont="1" applyFill="1" applyBorder="1"/>
    <xf numFmtId="0" fontId="5" fillId="45" borderId="9" xfId="0" applyFont="1" applyFill="1" applyBorder="1"/>
    <xf numFmtId="0" fontId="5" fillId="45" borderId="24" xfId="0" applyFont="1" applyFill="1" applyBorder="1"/>
    <xf numFmtId="0" fontId="8" fillId="45" borderId="21" xfId="0" applyFont="1" applyFill="1" applyBorder="1"/>
    <xf numFmtId="0" fontId="0" fillId="45" borderId="21" xfId="0" applyFill="1" applyBorder="1"/>
    <xf numFmtId="0" fontId="0" fillId="45" borderId="18" xfId="0" applyFill="1" applyBorder="1"/>
    <xf numFmtId="0" fontId="0" fillId="45" borderId="25" xfId="0" applyFill="1" applyBorder="1"/>
    <xf numFmtId="0" fontId="0" fillId="45" borderId="22" xfId="0" applyFill="1" applyBorder="1"/>
    <xf numFmtId="0" fontId="8" fillId="45" borderId="18" xfId="0" applyFont="1" applyFill="1" applyBorder="1"/>
    <xf numFmtId="0" fontId="0" fillId="33" borderId="0" xfId="0" applyFill="1" applyBorder="1" applyAlignment="1">
      <alignment horizontal="center"/>
    </xf>
    <xf numFmtId="0" fontId="16" fillId="33" borderId="0" xfId="0" applyFont="1" applyFill="1"/>
    <xf numFmtId="0" fontId="16" fillId="33" borderId="0" xfId="0" applyFont="1" applyFill="1" applyBorder="1" applyAlignment="1">
      <alignment horizontal="center"/>
    </xf>
    <xf numFmtId="0" fontId="4" fillId="3" borderId="0" xfId="0" applyFont="1" applyFill="1" applyBorder="1"/>
    <xf numFmtId="165" fontId="0" fillId="6" borderId="9" xfId="0" applyNumberFormat="1" applyFill="1" applyBorder="1" applyAlignment="1">
      <alignment horizontal="center"/>
    </xf>
    <xf numFmtId="1" fontId="76" fillId="2" borderId="0" xfId="0" applyNumberFormat="1" applyFont="1" applyFill="1" applyProtection="1"/>
    <xf numFmtId="0" fontId="4" fillId="45" borderId="9" xfId="0" applyFont="1" applyFill="1" applyBorder="1"/>
    <xf numFmtId="0" fontId="0" fillId="45" borderId="16" xfId="0" applyFill="1" applyBorder="1" applyProtection="1"/>
    <xf numFmtId="0" fontId="4" fillId="45" borderId="21" xfId="0" applyFont="1" applyFill="1" applyBorder="1"/>
    <xf numFmtId="0" fontId="0" fillId="45" borderId="18" xfId="0" applyFill="1" applyBorder="1" applyProtection="1"/>
    <xf numFmtId="0" fontId="0" fillId="45" borderId="23" xfId="0" applyFill="1" applyBorder="1" applyProtection="1"/>
    <xf numFmtId="0" fontId="4" fillId="45" borderId="16" xfId="0" applyFont="1" applyFill="1" applyBorder="1" applyAlignment="1" applyProtection="1">
      <alignment horizontal="center" wrapText="1"/>
    </xf>
    <xf numFmtId="0" fontId="4" fillId="45" borderId="12" xfId="0" applyFont="1" applyFill="1" applyBorder="1" applyAlignment="1" applyProtection="1">
      <alignment horizontal="center" wrapText="1"/>
    </xf>
    <xf numFmtId="0" fontId="4" fillId="45" borderId="24" xfId="0" applyFont="1" applyFill="1" applyBorder="1" applyAlignment="1" applyProtection="1">
      <alignment wrapText="1"/>
    </xf>
    <xf numFmtId="0" fontId="4" fillId="3" borderId="21" xfId="0" applyFont="1" applyFill="1" applyBorder="1" applyAlignment="1" applyProtection="1">
      <alignment horizontal="center"/>
    </xf>
    <xf numFmtId="0" fontId="4" fillId="3" borderId="18" xfId="0" applyFont="1" applyFill="1" applyBorder="1" applyAlignment="1" applyProtection="1">
      <alignment horizontal="center" wrapText="1"/>
    </xf>
    <xf numFmtId="165" fontId="76" fillId="6" borderId="16" xfId="0" applyNumberFormat="1" applyFont="1" applyFill="1" applyBorder="1" applyAlignment="1" applyProtection="1">
      <alignment horizontal="center"/>
    </xf>
    <xf numFmtId="165" fontId="27" fillId="6" borderId="18" xfId="0" applyNumberFormat="1" applyFont="1" applyFill="1" applyBorder="1" applyAlignment="1" applyProtection="1">
      <alignment horizontal="center"/>
    </xf>
    <xf numFmtId="165" fontId="27" fillId="6" borderId="23" xfId="0" applyNumberFormat="1" applyFont="1" applyFill="1" applyBorder="1" applyAlignment="1" applyProtection="1">
      <alignment horizontal="center"/>
    </xf>
    <xf numFmtId="0" fontId="79" fillId="45" borderId="0" xfId="0" applyFont="1" applyFill="1" applyBorder="1" applyAlignment="1" applyProtection="1">
      <alignment horizontal="center"/>
    </xf>
    <xf numFmtId="0" fontId="0" fillId="45" borderId="24" xfId="0" applyFill="1" applyBorder="1" applyProtection="1"/>
    <xf numFmtId="0" fontId="79" fillId="45" borderId="24" xfId="0" applyFont="1" applyFill="1" applyBorder="1" applyAlignment="1" applyProtection="1">
      <alignment horizontal="center"/>
    </xf>
    <xf numFmtId="0" fontId="79" fillId="45" borderId="16" xfId="0" applyFont="1" applyFill="1" applyBorder="1" applyAlignment="1" applyProtection="1">
      <alignment horizontal="center"/>
    </xf>
    <xf numFmtId="0" fontId="79" fillId="45" borderId="18" xfId="0" applyFont="1" applyFill="1" applyBorder="1" applyAlignment="1" applyProtection="1">
      <alignment horizontal="center"/>
    </xf>
    <xf numFmtId="0" fontId="0" fillId="45" borderId="22" xfId="0" applyFill="1" applyBorder="1" applyProtection="1"/>
    <xf numFmtId="0" fontId="79" fillId="45" borderId="22" xfId="0" applyFont="1" applyFill="1" applyBorder="1" applyAlignment="1" applyProtection="1">
      <alignment horizontal="center"/>
    </xf>
    <xf numFmtId="0" fontId="79" fillId="45" borderId="23" xfId="0" applyFont="1" applyFill="1" applyBorder="1" applyAlignment="1" applyProtection="1">
      <alignment horizontal="center"/>
    </xf>
    <xf numFmtId="0" fontId="150" fillId="27" borderId="0" xfId="0" applyFont="1" applyFill="1" applyProtection="1"/>
    <xf numFmtId="0" fontId="151" fillId="27" borderId="0" xfId="0" applyFont="1" applyFill="1" applyProtection="1"/>
    <xf numFmtId="0" fontId="72" fillId="27" borderId="0" xfId="0" applyFont="1" applyFill="1" applyProtection="1"/>
    <xf numFmtId="0" fontId="0" fillId="80" borderId="0" xfId="0" applyFill="1" applyAlignment="1">
      <alignment horizontal="center"/>
    </xf>
    <xf numFmtId="0" fontId="17" fillId="80" borderId="0" xfId="0" applyFont="1" applyFill="1" applyAlignment="1">
      <alignment horizontal="center"/>
    </xf>
    <xf numFmtId="0" fontId="4" fillId="37" borderId="0" xfId="0" applyFont="1" applyFill="1" applyBorder="1"/>
    <xf numFmtId="0" fontId="0" fillId="37" borderId="0" xfId="0" applyFont="1" applyFill="1" applyBorder="1"/>
    <xf numFmtId="1" fontId="0" fillId="37" borderId="0" xfId="0" applyNumberFormat="1" applyFill="1"/>
    <xf numFmtId="0" fontId="4" fillId="46" borderId="0" xfId="0" applyFont="1" applyFill="1" applyAlignment="1" applyProtection="1">
      <alignment horizontal="center"/>
    </xf>
    <xf numFmtId="0" fontId="4" fillId="73" borderId="0" xfId="0" applyFont="1" applyFill="1" applyAlignment="1" applyProtection="1">
      <alignment horizontal="left"/>
    </xf>
    <xf numFmtId="0" fontId="4" fillId="0" borderId="0" xfId="7" applyFont="1" applyFill="1" applyAlignment="1">
      <alignment wrapText="1"/>
    </xf>
    <xf numFmtId="0" fontId="4" fillId="0" borderId="0" xfId="7" applyFill="1" applyAlignment="1">
      <alignment wrapText="1"/>
    </xf>
    <xf numFmtId="0" fontId="152" fillId="27" borderId="0" xfId="0" applyFont="1" applyFill="1"/>
    <xf numFmtId="0" fontId="5" fillId="42" borderId="0" xfId="1" applyFont="1" applyFill="1" applyBorder="1" applyAlignment="1" applyProtection="1">
      <alignment horizontal="left"/>
    </xf>
    <xf numFmtId="0" fontId="5" fillId="57" borderId="0" xfId="1" applyFont="1" applyFill="1" applyBorder="1" applyAlignment="1" applyProtection="1">
      <alignment horizontal="left"/>
    </xf>
    <xf numFmtId="0" fontId="8" fillId="43" borderId="0" xfId="0" applyFont="1" applyFill="1" applyAlignment="1" applyProtection="1">
      <alignment horizontal="left"/>
    </xf>
    <xf numFmtId="0" fontId="16" fillId="73" borderId="0" xfId="0" applyFont="1" applyFill="1" applyAlignment="1" applyProtection="1">
      <alignment horizontal="left"/>
    </xf>
    <xf numFmtId="0" fontId="61" fillId="73" borderId="0" xfId="0" applyFont="1" applyFill="1" applyAlignment="1" applyProtection="1">
      <alignment horizontal="left"/>
    </xf>
    <xf numFmtId="0" fontId="4" fillId="29" borderId="0" xfId="0" applyFont="1" applyFill="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165" fontId="0" fillId="54" borderId="12" xfId="0" applyNumberFormat="1" applyFill="1" applyBorder="1" applyAlignment="1" applyProtection="1">
      <alignment horizontal="center"/>
    </xf>
    <xf numFmtId="165" fontId="0" fillId="54" borderId="26" xfId="0" applyNumberFormat="1" applyFill="1" applyBorder="1" applyAlignment="1" applyProtection="1">
      <alignment horizontal="center"/>
    </xf>
    <xf numFmtId="165" fontId="0" fillId="54" borderId="27" xfId="0" applyNumberFormat="1" applyFill="1" applyBorder="1" applyAlignment="1" applyProtection="1">
      <alignment horizontal="center"/>
    </xf>
    <xf numFmtId="2" fontId="0" fillId="54" borderId="16" xfId="0" applyNumberFormat="1" applyFill="1" applyBorder="1" applyAlignment="1" applyProtection="1">
      <alignment horizontal="center"/>
    </xf>
    <xf numFmtId="2" fontId="0" fillId="54" borderId="18" xfId="0" applyNumberFormat="1" applyFill="1" applyBorder="1" applyAlignment="1" applyProtection="1">
      <alignment horizontal="center"/>
    </xf>
    <xf numFmtId="2" fontId="0" fillId="54" borderId="23" xfId="0" applyNumberFormat="1" applyFill="1" applyBorder="1" applyAlignment="1" applyProtection="1">
      <alignment horizontal="center"/>
    </xf>
    <xf numFmtId="165" fontId="0" fillId="6" borderId="24" xfId="0" applyNumberFormat="1" applyFill="1" applyBorder="1" applyAlignment="1" applyProtection="1">
      <alignment horizontal="center"/>
    </xf>
    <xf numFmtId="0" fontId="4" fillId="3" borderId="9" xfId="0" applyFont="1" applyFill="1" applyBorder="1" applyAlignment="1" applyProtection="1">
      <alignment horizontal="center"/>
    </xf>
    <xf numFmtId="0" fontId="4" fillId="34" borderId="0" xfId="0" applyFont="1" applyFill="1" applyAlignment="1" applyProtection="1">
      <alignment horizontal="center"/>
      <protection locked="0"/>
    </xf>
    <xf numFmtId="0" fontId="79" fillId="28" borderId="0" xfId="0" applyFont="1" applyFill="1" applyAlignment="1">
      <alignment horizontal="center" wrapText="1"/>
    </xf>
    <xf numFmtId="0" fontId="79" fillId="28" borderId="0" xfId="0" applyFont="1" applyFill="1" applyAlignment="1">
      <alignment horizontal="center" vertical="center" wrapText="1"/>
    </xf>
    <xf numFmtId="0" fontId="4" fillId="0" borderId="0" xfId="0" applyFont="1" applyFill="1" applyAlignment="1">
      <alignment wrapText="1"/>
    </xf>
    <xf numFmtId="0" fontId="4" fillId="0" borderId="0" xfId="0" applyFont="1" applyFill="1" applyAlignment="1">
      <alignment horizontal="center" vertical="center"/>
    </xf>
    <xf numFmtId="0" fontId="43" fillId="0" borderId="0" xfId="0" applyFont="1" applyFill="1" applyAlignment="1">
      <alignment horizontal="center" vertical="center"/>
    </xf>
    <xf numFmtId="0" fontId="79" fillId="47" borderId="0" xfId="0" applyFont="1" applyFill="1" applyAlignment="1">
      <alignment horizontal="center" wrapText="1"/>
    </xf>
    <xf numFmtId="0" fontId="79" fillId="0" borderId="0" xfId="0" applyFont="1" applyAlignment="1">
      <alignment horizontal="center" vertical="center" wrapText="1"/>
    </xf>
    <xf numFmtId="0" fontId="79" fillId="66" borderId="0" xfId="0" applyFont="1" applyFill="1" applyAlignment="1">
      <alignment horizontal="center" wrapText="1"/>
    </xf>
    <xf numFmtId="0" fontId="79" fillId="66" borderId="0" xfId="0" applyFont="1" applyFill="1" applyAlignment="1">
      <alignment horizontal="center" vertical="center" wrapText="1"/>
    </xf>
    <xf numFmtId="0" fontId="4" fillId="0" borderId="0" xfId="0" applyFont="1" applyFill="1"/>
    <xf numFmtId="0" fontId="2" fillId="0" borderId="0" xfId="12" applyFill="1"/>
    <xf numFmtId="0" fontId="1" fillId="0" borderId="0" xfId="12" applyFont="1" applyFill="1"/>
    <xf numFmtId="0" fontId="135" fillId="0" borderId="0" xfId="12" applyFont="1" applyFill="1"/>
    <xf numFmtId="0" fontId="0" fillId="0" borderId="0" xfId="0" applyFont="1" applyFill="1"/>
    <xf numFmtId="0" fontId="141" fillId="47" borderId="0" xfId="12" applyFont="1" applyFill="1"/>
    <xf numFmtId="0" fontId="0" fillId="0" borderId="0" xfId="0" applyFill="1" applyAlignment="1">
      <alignment horizontal="left"/>
    </xf>
    <xf numFmtId="0" fontId="79" fillId="47" borderId="0" xfId="0" applyFont="1" applyFill="1"/>
    <xf numFmtId="0" fontId="0" fillId="0" borderId="0" xfId="0" applyFill="1" applyAlignment="1">
      <alignment vertical="center" wrapText="1"/>
    </xf>
    <xf numFmtId="0" fontId="0" fillId="0" borderId="0" xfId="0" applyFill="1" applyAlignment="1">
      <alignment horizontal="center"/>
    </xf>
    <xf numFmtId="0" fontId="0" fillId="0" borderId="0" xfId="0" applyFill="1" applyBorder="1" applyAlignment="1">
      <alignment wrapText="1"/>
    </xf>
    <xf numFmtId="0" fontId="137" fillId="0" borderId="0" xfId="0" applyFont="1" applyFill="1"/>
    <xf numFmtId="0" fontId="135" fillId="0" borderId="0" xfId="0" applyFont="1" applyFill="1" applyAlignment="1">
      <alignment vertical="center" wrapText="1"/>
    </xf>
    <xf numFmtId="0" fontId="136" fillId="0" borderId="0" xfId="0" applyFont="1" applyFill="1" applyAlignment="1">
      <alignment vertical="center" wrapText="1"/>
    </xf>
    <xf numFmtId="0" fontId="4" fillId="0" borderId="0" xfId="0" applyFont="1" applyFill="1" applyAlignment="1">
      <alignment horizontal="left"/>
    </xf>
    <xf numFmtId="0" fontId="135" fillId="0" borderId="0" xfId="0" applyFont="1" applyFill="1" applyAlignment="1">
      <alignment horizontal="center" vertical="center" wrapText="1"/>
    </xf>
    <xf numFmtId="16" fontId="0" fillId="0" borderId="0" xfId="0" applyNumberFormat="1" applyFill="1" applyAlignment="1">
      <alignment horizontal="center" vertical="center"/>
    </xf>
    <xf numFmtId="0" fontId="79" fillId="47" borderId="0" xfId="0" applyFont="1" applyFill="1" applyAlignment="1">
      <alignment horizontal="center" vertical="center" wrapText="1"/>
    </xf>
    <xf numFmtId="0" fontId="79" fillId="47" borderId="0" xfId="0" applyFont="1" applyFill="1" applyAlignment="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0" fontId="136" fillId="0" borderId="0" xfId="0" applyFont="1" applyFill="1" applyAlignment="1">
      <alignment horizontal="center" vertical="center" wrapText="1"/>
    </xf>
    <xf numFmtId="0" fontId="43"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0" fontId="0" fillId="0" borderId="0" xfId="0" applyFill="1" applyAlignment="1">
      <alignment horizontal="left" vertical="center"/>
    </xf>
    <xf numFmtId="0" fontId="5" fillId="73" borderId="0" xfId="0" applyFont="1" applyFill="1" applyAlignment="1" applyProtection="1">
      <alignment horizontal="right"/>
    </xf>
    <xf numFmtId="0" fontId="71" fillId="72" borderId="0" xfId="0" applyFont="1" applyFill="1" applyAlignment="1" applyProtection="1">
      <alignment horizontal="center" vertical="center"/>
      <protection locked="0"/>
    </xf>
    <xf numFmtId="0" fontId="71" fillId="50" borderId="0" xfId="0" applyFont="1" applyFill="1" applyProtection="1">
      <protection locked="0"/>
    </xf>
    <xf numFmtId="0" fontId="0" fillId="0" borderId="0" xfId="0" applyAlignment="1">
      <alignment horizontal="center" vertical="top" wrapText="1"/>
    </xf>
    <xf numFmtId="0" fontId="0" fillId="0" borderId="0" xfId="0" applyAlignment="1">
      <alignment horizontal="left" vertical="top" wrapText="1"/>
    </xf>
    <xf numFmtId="165" fontId="0" fillId="32" borderId="0" xfId="0" applyNumberFormat="1" applyFill="1" applyBorder="1" applyAlignment="1" applyProtection="1">
      <alignment horizontal="center"/>
      <protection locked="0"/>
    </xf>
    <xf numFmtId="0" fontId="0" fillId="47" borderId="0" xfId="0" applyFill="1" applyAlignment="1">
      <alignment horizontal="center" vertical="center" wrapText="1"/>
    </xf>
    <xf numFmtId="0" fontId="0" fillId="47" borderId="0" xfId="0" applyFill="1" applyAlignment="1">
      <alignment horizontal="center"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83" fillId="27" borderId="0" xfId="0" applyFont="1" applyFill="1" applyProtection="1"/>
    <xf numFmtId="0" fontId="0" fillId="27" borderId="0" xfId="0" applyFill="1" applyBorder="1" applyAlignment="1" applyProtection="1">
      <alignment horizontal="center" vertical="center"/>
    </xf>
    <xf numFmtId="0" fontId="0" fillId="27" borderId="0" xfId="0" applyFill="1" applyBorder="1" applyAlignment="1" applyProtection="1">
      <alignment vertical="center"/>
    </xf>
    <xf numFmtId="0" fontId="75" fillId="27" borderId="0" xfId="0" applyFont="1" applyFill="1" applyBorder="1" applyAlignment="1" applyProtection="1">
      <alignment vertical="center"/>
    </xf>
    <xf numFmtId="0" fontId="4" fillId="33" borderId="0" xfId="0" applyFont="1" applyFill="1"/>
    <xf numFmtId="1" fontId="4" fillId="17" borderId="0" xfId="0" applyNumberFormat="1" applyFont="1" applyFill="1"/>
    <xf numFmtId="0" fontId="4" fillId="47" borderId="0" xfId="0" applyFont="1" applyFill="1" applyAlignment="1">
      <alignment horizontal="left" vertical="center" wrapText="1"/>
    </xf>
    <xf numFmtId="165" fontId="0" fillId="32" borderId="0" xfId="0" applyNumberFormat="1" applyFill="1" applyBorder="1" applyAlignment="1" applyProtection="1">
      <alignment horizontal="center"/>
      <protection locked="0"/>
    </xf>
    <xf numFmtId="0" fontId="4" fillId="27" borderId="0" xfId="0" applyFont="1" applyFill="1" applyAlignment="1" applyProtection="1">
      <alignment horizontal="center"/>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57" borderId="0" xfId="0" applyFont="1" applyFill="1" applyAlignment="1">
      <alignment horizontal="center"/>
    </xf>
    <xf numFmtId="0" fontId="4" fillId="73" borderId="0" xfId="0" applyFont="1" applyFill="1" applyAlignment="1" applyProtection="1">
      <alignment horizontal="center"/>
    </xf>
    <xf numFmtId="0" fontId="153" fillId="46" borderId="0" xfId="0" applyFont="1" applyFill="1" applyProtection="1"/>
    <xf numFmtId="0" fontId="153" fillId="46" borderId="0" xfId="0" applyFont="1" applyFill="1" applyAlignment="1" applyProtection="1">
      <alignment horizontal="center"/>
    </xf>
    <xf numFmtId="9" fontId="153" fillId="46" borderId="0" xfId="0" applyNumberFormat="1" applyFont="1" applyFill="1" applyBorder="1" applyAlignment="1" applyProtection="1">
      <alignment horizontal="center"/>
      <protection locked="0"/>
    </xf>
    <xf numFmtId="0" fontId="4" fillId="57" borderId="0" xfId="0" applyFont="1" applyFill="1" applyAlignment="1">
      <alignment wrapText="1"/>
    </xf>
    <xf numFmtId="0" fontId="4" fillId="57" borderId="0" xfId="0" applyFont="1" applyFill="1" applyAlignment="1">
      <alignment horizontal="center" wrapText="1"/>
    </xf>
    <xf numFmtId="0" fontId="4" fillId="27" borderId="0" xfId="0" applyFont="1" applyFill="1" applyAlignment="1" applyProtection="1">
      <alignment horizontal="center"/>
    </xf>
    <xf numFmtId="0" fontId="4" fillId="34" borderId="0" xfId="0" applyFont="1" applyFill="1" applyAlignment="1" applyProtection="1">
      <alignment horizontal="center"/>
      <protection locked="0"/>
    </xf>
    <xf numFmtId="0" fontId="4" fillId="28" borderId="0" xfId="0" applyFont="1" applyFill="1" applyAlignment="1" applyProtection="1"/>
    <xf numFmtId="167" fontId="0" fillId="37" borderId="28" xfId="0" applyNumberFormat="1" applyFill="1" applyBorder="1"/>
    <xf numFmtId="167" fontId="0" fillId="37" borderId="12" xfId="0" applyNumberFormat="1" applyFill="1" applyBorder="1"/>
    <xf numFmtId="167" fontId="0" fillId="37" borderId="58" xfId="0" applyNumberFormat="1" applyFill="1" applyBorder="1"/>
    <xf numFmtId="0" fontId="4" fillId="34" borderId="0" xfId="0" applyFont="1" applyFill="1" applyBorder="1" applyAlignment="1" applyProtection="1">
      <alignment horizontal="center"/>
      <protection locked="0"/>
    </xf>
    <xf numFmtId="0" fontId="4" fillId="34" borderId="0" xfId="0" applyFont="1" applyFill="1" applyAlignment="1" applyProtection="1">
      <alignment horizontal="center"/>
      <protection locked="0"/>
    </xf>
    <xf numFmtId="0" fontId="4" fillId="41" borderId="0" xfId="0" applyFont="1" applyFill="1" applyAlignment="1" applyProtection="1">
      <alignment horizontal="center"/>
    </xf>
    <xf numFmtId="3" fontId="43" fillId="41" borderId="0" xfId="0" applyNumberFormat="1" applyFont="1" applyFill="1" applyBorder="1" applyAlignment="1" applyProtection="1">
      <alignment horizontal="center"/>
    </xf>
    <xf numFmtId="3" fontId="4" fillId="41" borderId="0" xfId="0" applyNumberFormat="1" applyFont="1" applyFill="1" applyBorder="1" applyAlignment="1" applyProtection="1">
      <alignment wrapText="1"/>
    </xf>
    <xf numFmtId="165" fontId="5" fillId="2" borderId="0" xfId="0" applyNumberFormat="1" applyFont="1" applyFill="1" applyBorder="1" applyAlignment="1" applyProtection="1">
      <alignment horizontal="center"/>
      <protection locked="0"/>
    </xf>
    <xf numFmtId="1" fontId="6" fillId="2" borderId="19" xfId="0" applyNumberFormat="1" applyFont="1" applyFill="1" applyBorder="1" applyAlignment="1" applyProtection="1">
      <alignment horizontal="center"/>
    </xf>
    <xf numFmtId="1" fontId="6" fillId="2" borderId="20" xfId="0" applyNumberFormat="1" applyFont="1" applyFill="1" applyBorder="1" applyAlignment="1" applyProtection="1">
      <alignment horizontal="center"/>
    </xf>
    <xf numFmtId="2" fontId="5" fillId="32" borderId="0" xfId="0" applyNumberFormat="1" applyFont="1" applyFill="1" applyBorder="1" applyAlignment="1" applyProtection="1">
      <alignment horizontal="center"/>
    </xf>
    <xf numFmtId="165" fontId="0" fillId="0" borderId="0" xfId="0" applyNumberFormat="1" applyProtection="1"/>
    <xf numFmtId="0" fontId="4" fillId="34" borderId="0" xfId="0" applyFont="1" applyFill="1" applyAlignment="1" applyProtection="1">
      <alignment horizontal="center"/>
      <protection locked="0"/>
    </xf>
    <xf numFmtId="3" fontId="4" fillId="41" borderId="0" xfId="0" applyNumberFormat="1" applyFont="1" applyFill="1" applyAlignment="1">
      <alignment horizontal="center"/>
    </xf>
    <xf numFmtId="0" fontId="0" fillId="27" borderId="0" xfId="0" applyFill="1" applyAlignment="1">
      <alignment horizontal="left" vertical="top" wrapText="1"/>
    </xf>
    <xf numFmtId="0" fontId="47" fillId="27" borderId="0" xfId="0" applyFont="1" applyFill="1" applyAlignment="1">
      <alignment horizontal="center" vertical="center" wrapText="1"/>
    </xf>
    <xf numFmtId="0" fontId="0" fillId="27" borderId="0" xfId="0" applyFill="1" applyAlignment="1">
      <alignment horizontal="center" vertical="top" wrapText="1"/>
    </xf>
    <xf numFmtId="0" fontId="140" fillId="27" borderId="0" xfId="0" applyFont="1" applyFill="1" applyBorder="1" applyAlignment="1" applyProtection="1">
      <alignment horizontal="center" vertical="center"/>
      <protection locked="0"/>
    </xf>
    <xf numFmtId="0" fontId="4" fillId="27" borderId="0" xfId="0" applyFont="1" applyFill="1" applyAlignment="1">
      <alignment horizontal="justify" vertical="top" wrapText="1"/>
    </xf>
    <xf numFmtId="0" fontId="0" fillId="27" borderId="0" xfId="0" applyFill="1" applyAlignment="1">
      <alignment horizontal="justify" vertical="top" wrapText="1"/>
    </xf>
    <xf numFmtId="0" fontId="114" fillId="30" borderId="0" xfId="0" applyFont="1" applyFill="1" applyAlignment="1">
      <alignment horizontal="center"/>
    </xf>
    <xf numFmtId="0" fontId="45" fillId="27" borderId="0" xfId="0" applyFont="1" applyFill="1" applyAlignment="1">
      <alignment horizontal="center"/>
    </xf>
    <xf numFmtId="0" fontId="133" fillId="33" borderId="0" xfId="0" applyFont="1" applyFill="1" applyBorder="1" applyAlignment="1" applyProtection="1">
      <alignment horizontal="center"/>
      <protection locked="0"/>
    </xf>
    <xf numFmtId="0" fontId="139" fillId="30" borderId="0" xfId="0" applyFont="1" applyFill="1" applyBorder="1" applyAlignment="1">
      <alignment horizontal="center"/>
    </xf>
    <xf numFmtId="0" fontId="0" fillId="29" borderId="0" xfId="0" applyFill="1" applyBorder="1" applyAlignment="1" applyProtection="1">
      <alignment horizontal="right"/>
    </xf>
    <xf numFmtId="0" fontId="4" fillId="34" borderId="0" xfId="0" applyFont="1" applyFill="1" applyBorder="1" applyAlignment="1" applyProtection="1">
      <alignment horizontal="center" vertical="center"/>
      <protection locked="0"/>
    </xf>
    <xf numFmtId="0" fontId="6"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vertical="center"/>
      <protection locked="0"/>
    </xf>
    <xf numFmtId="0" fontId="17" fillId="34" borderId="0" xfId="0" applyFont="1" applyFill="1" applyBorder="1" applyAlignment="1" applyProtection="1">
      <alignment vertical="center"/>
      <protection locked="0"/>
    </xf>
    <xf numFmtId="0" fontId="5" fillId="28" borderId="0" xfId="0" applyFont="1" applyFill="1" applyAlignment="1" applyProtection="1">
      <alignment horizontal="center"/>
    </xf>
    <xf numFmtId="0" fontId="43" fillId="34" borderId="0" xfId="0" applyFont="1" applyFill="1" applyBorder="1" applyAlignment="1" applyProtection="1">
      <alignment horizontal="left"/>
      <protection locked="0"/>
    </xf>
    <xf numFmtId="0" fontId="4" fillId="34" borderId="0" xfId="0" applyFont="1" applyFill="1" applyBorder="1" applyAlignment="1" applyProtection="1">
      <alignment horizontal="center"/>
      <protection locked="0"/>
    </xf>
    <xf numFmtId="0" fontId="17" fillId="34" borderId="0" xfId="0" applyFont="1" applyFill="1" applyBorder="1" applyAlignment="1" applyProtection="1">
      <alignment horizontal="center"/>
      <protection locked="0"/>
    </xf>
    <xf numFmtId="0" fontId="80" fillId="47" borderId="0" xfId="0" applyFont="1" applyFill="1" applyBorder="1" applyAlignment="1" applyProtection="1">
      <alignment horizontal="center"/>
    </xf>
    <xf numFmtId="0" fontId="5" fillId="47" borderId="22" xfId="0" applyFont="1" applyFill="1" applyBorder="1" applyAlignment="1" applyProtection="1">
      <alignment horizontal="center"/>
    </xf>
    <xf numFmtId="0" fontId="83" fillId="29" borderId="22" xfId="0" applyFont="1" applyFill="1" applyBorder="1" applyAlignment="1" applyProtection="1">
      <alignment horizontal="center"/>
    </xf>
    <xf numFmtId="0" fontId="5" fillId="41" borderId="22" xfId="0" applyFont="1" applyFill="1" applyBorder="1" applyAlignment="1" applyProtection="1">
      <alignment horizontal="center"/>
    </xf>
    <xf numFmtId="0" fontId="5" fillId="29" borderId="0" xfId="0" applyFont="1" applyFill="1" applyBorder="1" applyAlignment="1" applyProtection="1">
      <alignment horizontal="center"/>
    </xf>
    <xf numFmtId="0" fontId="5" fillId="41" borderId="0" xfId="0" applyFont="1" applyFill="1" applyAlignment="1" applyProtection="1">
      <alignment horizontal="center"/>
    </xf>
    <xf numFmtId="0" fontId="70" fillId="47" borderId="0" xfId="0" applyFont="1" applyFill="1" applyAlignment="1" applyProtection="1">
      <alignment horizontal="center"/>
    </xf>
    <xf numFmtId="0" fontId="70" fillId="47" borderId="22" xfId="0" applyFont="1" applyFill="1" applyBorder="1" applyAlignment="1" applyProtection="1">
      <alignment horizontal="center"/>
    </xf>
    <xf numFmtId="0" fontId="61" fillId="28" borderId="0" xfId="0" applyFont="1" applyFill="1" applyAlignment="1" applyProtection="1">
      <alignment horizontal="center"/>
    </xf>
    <xf numFmtId="0" fontId="4" fillId="28" borderId="0" xfId="0" applyFont="1" applyFill="1" applyAlignment="1" applyProtection="1">
      <alignment horizontal="center"/>
    </xf>
    <xf numFmtId="165" fontId="4" fillId="32" borderId="0" xfId="0" applyNumberFormat="1" applyFont="1" applyFill="1" applyBorder="1" applyAlignment="1" applyProtection="1">
      <alignment horizontal="center"/>
      <protection locked="0"/>
    </xf>
    <xf numFmtId="165" fontId="0" fillId="32" borderId="0" xfId="0" applyNumberFormat="1" applyFill="1" applyBorder="1" applyAlignment="1" applyProtection="1">
      <alignment horizontal="center"/>
      <protection locked="0"/>
    </xf>
    <xf numFmtId="0" fontId="147" fillId="29" borderId="0" xfId="0" applyFont="1" applyFill="1" applyAlignment="1" applyProtection="1">
      <alignment horizontal="center" vertical="center" wrapText="1"/>
    </xf>
    <xf numFmtId="0" fontId="5" fillId="29" borderId="0" xfId="0" applyFont="1" applyFill="1" applyAlignment="1" applyProtection="1">
      <alignment horizontal="center" vertical="center" wrapText="1"/>
    </xf>
    <xf numFmtId="0" fontId="61" fillId="29" borderId="0" xfId="0" applyFont="1" applyFill="1" applyAlignment="1" applyProtection="1">
      <alignment horizontal="center" vertical="center"/>
    </xf>
    <xf numFmtId="0" fontId="5" fillId="29" borderId="0" xfId="0" applyFont="1" applyFill="1" applyAlignment="1" applyProtection="1">
      <alignment horizontal="center" vertical="top"/>
    </xf>
    <xf numFmtId="0" fontId="4" fillId="29" borderId="0" xfId="0" applyFont="1" applyFill="1" applyAlignment="1" applyProtection="1">
      <alignment horizontal="center"/>
    </xf>
    <xf numFmtId="0" fontId="4" fillId="50" borderId="0" xfId="0" applyFont="1" applyFill="1" applyAlignment="1" applyProtection="1">
      <alignment horizontal="center"/>
      <protection locked="0"/>
    </xf>
    <xf numFmtId="0" fontId="11" fillId="34" borderId="0" xfId="0" applyFont="1" applyFill="1" applyBorder="1" applyAlignment="1" applyProtection="1">
      <alignment horizontal="center"/>
      <protection locked="0"/>
    </xf>
    <xf numFmtId="0" fontId="0" fillId="36" borderId="0" xfId="0" applyFill="1" applyBorder="1" applyAlignment="1" applyProtection="1">
      <alignment horizontal="left"/>
      <protection locked="0"/>
    </xf>
    <xf numFmtId="0" fontId="11" fillId="41" borderId="0" xfId="0" applyFont="1" applyFill="1" applyBorder="1" applyAlignment="1" applyProtection="1">
      <alignment horizontal="center" vertical="center" wrapText="1"/>
    </xf>
    <xf numFmtId="0" fontId="5" fillId="28" borderId="22" xfId="0" applyFont="1" applyFill="1" applyBorder="1" applyAlignment="1" applyProtection="1">
      <alignment horizontal="center"/>
    </xf>
    <xf numFmtId="0" fontId="61" fillId="28" borderId="0" xfId="0" applyFont="1" applyFill="1" applyBorder="1" applyAlignment="1" applyProtection="1">
      <alignment horizontal="center"/>
    </xf>
    <xf numFmtId="0" fontId="43" fillId="28" borderId="0" xfId="0" applyFont="1" applyFill="1" applyBorder="1" applyAlignment="1" applyProtection="1">
      <alignment horizontal="center" vertical="center" wrapText="1"/>
    </xf>
    <xf numFmtId="0" fontId="43" fillId="28" borderId="0" xfId="0" applyFont="1" applyFill="1" applyBorder="1" applyAlignment="1" applyProtection="1">
      <alignment horizontal="center" vertical="center"/>
    </xf>
    <xf numFmtId="0" fontId="4" fillId="34" borderId="0" xfId="0" applyFont="1" applyFill="1" applyAlignment="1" applyProtection="1">
      <alignment horizontal="center"/>
      <protection locked="0"/>
    </xf>
    <xf numFmtId="0" fontId="17" fillId="41" borderId="24" xfId="0" applyFont="1" applyFill="1" applyBorder="1" applyAlignment="1" applyProtection="1">
      <alignment horizontal="center"/>
    </xf>
    <xf numFmtId="0" fontId="0" fillId="34" borderId="0" xfId="0" applyFill="1" applyBorder="1" applyAlignment="1" applyProtection="1">
      <alignment horizontal="center"/>
      <protection locked="0"/>
    </xf>
    <xf numFmtId="0" fontId="17" fillId="29" borderId="24" xfId="0" applyFont="1" applyFill="1" applyBorder="1" applyAlignment="1" applyProtection="1">
      <alignment horizontal="center"/>
    </xf>
    <xf numFmtId="0" fontId="0" fillId="41" borderId="24" xfId="0" applyFont="1" applyFill="1" applyBorder="1" applyAlignment="1" applyProtection="1">
      <alignment horizontal="center"/>
    </xf>
    <xf numFmtId="0" fontId="4" fillId="64" borderId="22" xfId="0" applyFont="1" applyFill="1" applyBorder="1" applyAlignment="1" applyProtection="1">
      <alignment horizontal="center"/>
    </xf>
    <xf numFmtId="0" fontId="5" fillId="29" borderId="22" xfId="0" applyFont="1" applyFill="1" applyBorder="1" applyAlignment="1" applyProtection="1">
      <alignment horizontal="center"/>
    </xf>
    <xf numFmtId="0" fontId="0" fillId="29" borderId="24" xfId="0" applyFont="1" applyFill="1" applyBorder="1" applyAlignment="1" applyProtection="1">
      <alignment horizontal="center"/>
    </xf>
    <xf numFmtId="0" fontId="11" fillId="29" borderId="0" xfId="0" applyFont="1" applyFill="1" applyBorder="1" applyAlignment="1" applyProtection="1">
      <alignment horizontal="center" vertical="center" wrapText="1"/>
    </xf>
    <xf numFmtId="0" fontId="11" fillId="29" borderId="0" xfId="1" applyFont="1" applyFill="1" applyBorder="1" applyAlignment="1" applyProtection="1">
      <alignment horizontal="center" vertical="center" wrapText="1"/>
    </xf>
    <xf numFmtId="0" fontId="43" fillId="34" borderId="0" xfId="0" applyFont="1" applyFill="1" applyBorder="1" applyAlignment="1" applyProtection="1">
      <alignment horizontal="center"/>
      <protection locked="0"/>
    </xf>
    <xf numFmtId="0" fontId="4" fillId="41" borderId="0" xfId="0" applyFont="1" applyFill="1" applyAlignment="1" applyProtection="1">
      <alignment horizontal="center"/>
    </xf>
    <xf numFmtId="0" fontId="17" fillId="41" borderId="0" xfId="0" applyFont="1" applyFill="1" applyAlignment="1" applyProtection="1">
      <alignment horizontal="center"/>
    </xf>
    <xf numFmtId="0" fontId="106" fillId="41" borderId="0" xfId="0" applyFont="1" applyFill="1" applyAlignment="1" applyProtection="1">
      <alignment horizontal="center"/>
    </xf>
    <xf numFmtId="0" fontId="61" fillId="41" borderId="0" xfId="0" applyFont="1" applyFill="1" applyBorder="1" applyAlignment="1" applyProtection="1">
      <alignment horizontal="center"/>
    </xf>
    <xf numFmtId="0" fontId="61" fillId="41" borderId="0" xfId="0" applyFont="1" applyFill="1" applyAlignment="1" applyProtection="1">
      <alignment horizontal="center"/>
    </xf>
    <xf numFmtId="0" fontId="61" fillId="29" borderId="0" xfId="0" applyFont="1" applyFill="1" applyBorder="1" applyAlignment="1" applyProtection="1">
      <alignment horizontal="center"/>
    </xf>
    <xf numFmtId="0" fontId="5" fillId="41" borderId="0" xfId="0" applyFont="1" applyFill="1" applyBorder="1" applyAlignment="1" applyProtection="1">
      <alignment horizontal="center"/>
    </xf>
    <xf numFmtId="0" fontId="11" fillId="28" borderId="0" xfId="0" applyFont="1" applyFill="1" applyBorder="1" applyAlignment="1" applyProtection="1">
      <alignment horizontal="center" vertical="center" wrapText="1"/>
    </xf>
    <xf numFmtId="0" fontId="4" fillId="71" borderId="0" xfId="0" applyFont="1" applyFill="1" applyAlignment="1" applyProtection="1">
      <alignment horizontal="left" vertical="center" wrapText="1"/>
    </xf>
    <xf numFmtId="0" fontId="4" fillId="71" borderId="0" xfId="0" applyFont="1" applyFill="1" applyAlignment="1" applyProtection="1">
      <alignment horizontal="left" wrapText="1"/>
    </xf>
    <xf numFmtId="0" fontId="5" fillId="66" borderId="0" xfId="0" applyFont="1" applyFill="1" applyBorder="1" applyAlignment="1" applyProtection="1">
      <alignment horizontal="center" vertical="center" wrapText="1"/>
    </xf>
    <xf numFmtId="0" fontId="5" fillId="66" borderId="22" xfId="0" applyFont="1" applyFill="1" applyBorder="1" applyAlignment="1" applyProtection="1">
      <alignment horizontal="center" vertical="center" wrapText="1"/>
    </xf>
    <xf numFmtId="0" fontId="5" fillId="66" borderId="0" xfId="0" applyFont="1" applyFill="1" applyAlignment="1" applyProtection="1">
      <alignment horizontal="center" vertical="center" wrapText="1"/>
    </xf>
    <xf numFmtId="0" fontId="16" fillId="28" borderId="0" xfId="0" applyFont="1" applyFill="1" applyAlignment="1" applyProtection="1">
      <alignment horizontal="center"/>
    </xf>
    <xf numFmtId="0" fontId="17" fillId="29" borderId="0" xfId="1" applyFont="1" applyFill="1" applyBorder="1" applyAlignment="1" applyProtection="1">
      <alignment horizontal="center" wrapText="1"/>
    </xf>
    <xf numFmtId="0" fontId="17" fillId="28" borderId="0" xfId="1" applyFont="1" applyFill="1" applyBorder="1" applyAlignment="1" applyProtection="1">
      <alignment horizontal="center" vertical="top" wrapText="1"/>
    </xf>
    <xf numFmtId="0" fontId="5" fillId="3" borderId="1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19" fillId="2" borderId="0" xfId="0" applyFont="1" applyFill="1" applyAlignment="1">
      <alignment horizontal="center"/>
    </xf>
    <xf numFmtId="0" fontId="0" fillId="3" borderId="25"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3" borderId="16" xfId="0" applyFill="1" applyBorder="1" applyAlignment="1">
      <alignment horizontal="center"/>
    </xf>
    <xf numFmtId="0" fontId="5" fillId="3" borderId="17" xfId="0" applyFont="1" applyFill="1" applyBorder="1" applyAlignment="1">
      <alignment horizontal="center"/>
    </xf>
    <xf numFmtId="0" fontId="5" fillId="3" borderId="19" xfId="0" applyFont="1" applyFill="1" applyBorder="1" applyAlignment="1">
      <alignment horizontal="center"/>
    </xf>
    <xf numFmtId="0" fontId="5" fillId="3" borderId="20" xfId="0" applyFont="1" applyFill="1" applyBorder="1" applyAlignment="1">
      <alignment horizontal="center"/>
    </xf>
    <xf numFmtId="0" fontId="17" fillId="21" borderId="0" xfId="0" applyFont="1" applyFill="1" applyBorder="1" applyAlignment="1" applyProtection="1">
      <alignment horizontal="left"/>
      <protection locked="0"/>
    </xf>
    <xf numFmtId="0" fontId="17" fillId="21" borderId="22" xfId="0" applyFont="1" applyFill="1" applyBorder="1" applyAlignment="1" applyProtection="1">
      <alignment horizontal="left"/>
      <protection locked="0"/>
    </xf>
    <xf numFmtId="0" fontId="0" fillId="3" borderId="9" xfId="0" applyFill="1" applyBorder="1" applyAlignment="1" applyProtection="1">
      <alignment horizontal="center"/>
    </xf>
    <xf numFmtId="0" fontId="0" fillId="3" borderId="16" xfId="0" applyFill="1" applyBorder="1" applyAlignment="1" applyProtection="1">
      <alignment horizontal="center"/>
    </xf>
    <xf numFmtId="0" fontId="12" fillId="30" borderId="0" xfId="1" applyFill="1" applyAlignment="1" applyProtection="1">
      <alignment horizontal="center"/>
      <protection locked="0"/>
    </xf>
    <xf numFmtId="0" fontId="4" fillId="45" borderId="17" xfId="0" applyFont="1" applyFill="1" applyBorder="1" applyAlignment="1" applyProtection="1">
      <alignment horizontal="center" vertical="center"/>
    </xf>
    <xf numFmtId="0" fontId="4" fillId="45" borderId="20" xfId="0" applyFont="1" applyFill="1" applyBorder="1" applyAlignment="1" applyProtection="1">
      <alignment horizontal="center" vertical="center"/>
    </xf>
    <xf numFmtId="0" fontId="5" fillId="3" borderId="12"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xf>
    <xf numFmtId="0" fontId="5" fillId="3" borderId="26" xfId="0"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3" borderId="17" xfId="0" applyFont="1" applyFill="1" applyBorder="1" applyAlignment="1" applyProtection="1">
      <alignment horizontal="center"/>
    </xf>
    <xf numFmtId="0" fontId="5" fillId="3" borderId="20" xfId="0" applyFont="1" applyFill="1" applyBorder="1" applyAlignment="1" applyProtection="1">
      <alignment horizontal="center"/>
    </xf>
    <xf numFmtId="0" fontId="5" fillId="3" borderId="39" xfId="0" applyFont="1" applyFill="1" applyBorder="1" applyAlignment="1" applyProtection="1">
      <alignment horizontal="center"/>
    </xf>
    <xf numFmtId="0" fontId="5" fillId="3" borderId="40" xfId="0" applyFont="1" applyFill="1" applyBorder="1" applyAlignment="1" applyProtection="1">
      <alignment horizontal="center"/>
    </xf>
    <xf numFmtId="0" fontId="77" fillId="37" borderId="1" xfId="0" applyFont="1" applyFill="1" applyBorder="1" applyAlignment="1" applyProtection="1">
      <alignment horizontal="left"/>
      <protection locked="0"/>
    </xf>
    <xf numFmtId="0" fontId="77" fillId="37" borderId="3" xfId="0" applyFont="1" applyFill="1" applyBorder="1" applyAlignment="1" applyProtection="1">
      <alignment horizontal="left"/>
      <protection locked="0"/>
    </xf>
    <xf numFmtId="0" fontId="77" fillId="37" borderId="1" xfId="0" applyFont="1" applyFill="1" applyBorder="1" applyAlignment="1" applyProtection="1">
      <alignment horizontal="center"/>
      <protection locked="0"/>
    </xf>
    <xf numFmtId="0" fontId="77" fillId="37" borderId="3" xfId="0" applyFont="1" applyFill="1" applyBorder="1" applyAlignment="1" applyProtection="1">
      <alignment horizontal="center"/>
      <protection locked="0"/>
    </xf>
    <xf numFmtId="0" fontId="17" fillId="21" borderId="4" xfId="0" applyFont="1" applyFill="1" applyBorder="1" applyAlignment="1" applyProtection="1">
      <alignment horizontal="center"/>
      <protection locked="0"/>
    </xf>
    <xf numFmtId="0" fontId="17" fillId="21" borderId="5" xfId="0" applyFont="1" applyFill="1" applyBorder="1" applyAlignment="1" applyProtection="1">
      <alignment horizontal="center"/>
      <protection locked="0"/>
    </xf>
    <xf numFmtId="0" fontId="17" fillId="21" borderId="6" xfId="0" applyFont="1" applyFill="1" applyBorder="1" applyAlignment="1" applyProtection="1">
      <alignment horizontal="center"/>
      <protection locked="0"/>
    </xf>
    <xf numFmtId="0" fontId="17" fillId="21" borderId="8" xfId="0" applyFont="1" applyFill="1" applyBorder="1" applyAlignment="1" applyProtection="1">
      <alignment horizontal="center"/>
      <protection locked="0"/>
    </xf>
    <xf numFmtId="0" fontId="16" fillId="3" borderId="19" xfId="0" applyFont="1" applyFill="1" applyBorder="1" applyAlignment="1" applyProtection="1">
      <alignment horizontal="center"/>
    </xf>
    <xf numFmtId="0" fontId="5" fillId="3" borderId="19" xfId="0" applyFont="1" applyFill="1" applyBorder="1" applyAlignment="1" applyProtection="1">
      <alignment horizontal="center"/>
    </xf>
    <xf numFmtId="0" fontId="0" fillId="3" borderId="19" xfId="0" applyFill="1" applyBorder="1" applyAlignment="1" applyProtection="1">
      <alignment horizontal="center"/>
    </xf>
    <xf numFmtId="0" fontId="0" fillId="3" borderId="25" xfId="0" applyFill="1" applyBorder="1" applyAlignment="1" applyProtection="1">
      <alignment horizontal="center"/>
    </xf>
    <xf numFmtId="0" fontId="0" fillId="3" borderId="22" xfId="0" applyFill="1" applyBorder="1" applyAlignment="1" applyProtection="1">
      <alignment horizontal="center"/>
    </xf>
    <xf numFmtId="0" fontId="4" fillId="45" borderId="22" xfId="0" applyFont="1" applyFill="1" applyBorder="1" applyAlignment="1">
      <alignment horizontal="center"/>
    </xf>
    <xf numFmtId="0" fontId="17" fillId="45" borderId="22" xfId="0" applyFont="1" applyFill="1" applyBorder="1" applyAlignment="1">
      <alignment horizontal="center"/>
    </xf>
    <xf numFmtId="0" fontId="5" fillId="45" borderId="12" xfId="0" applyFont="1" applyFill="1" applyBorder="1" applyAlignment="1">
      <alignment horizontal="center" wrapText="1"/>
    </xf>
    <xf numFmtId="0" fontId="5" fillId="45" borderId="26" xfId="0" applyFont="1" applyFill="1" applyBorder="1" applyAlignment="1">
      <alignment horizontal="center" wrapText="1"/>
    </xf>
    <xf numFmtId="0" fontId="5" fillId="45" borderId="27" xfId="0" applyFont="1" applyFill="1" applyBorder="1" applyAlignment="1">
      <alignment horizontal="center" wrapText="1"/>
    </xf>
    <xf numFmtId="0" fontId="5" fillId="45" borderId="19" xfId="0" applyFont="1" applyFill="1" applyBorder="1" applyAlignment="1">
      <alignment horizontal="center"/>
    </xf>
    <xf numFmtId="0" fontId="5" fillId="45" borderId="20" xfId="0" applyFont="1" applyFill="1" applyBorder="1" applyAlignment="1">
      <alignment horizontal="center"/>
    </xf>
    <xf numFmtId="0" fontId="5" fillId="45" borderId="17" xfId="0" applyFont="1" applyFill="1" applyBorder="1" applyAlignment="1">
      <alignment horizontal="center"/>
    </xf>
    <xf numFmtId="0" fontId="5" fillId="45" borderId="12" xfId="0" applyFont="1" applyFill="1" applyBorder="1" applyAlignment="1">
      <alignment horizontal="center" vertical="center" wrapText="1"/>
    </xf>
    <xf numFmtId="0" fontId="5" fillId="45" borderId="26" xfId="0" applyFont="1" applyFill="1" applyBorder="1" applyAlignment="1">
      <alignment horizontal="center" vertical="center" wrapText="1"/>
    </xf>
    <xf numFmtId="0" fontId="5" fillId="45" borderId="27" xfId="0" applyFont="1" applyFill="1" applyBorder="1" applyAlignment="1">
      <alignment horizontal="center" vertical="center" wrapText="1"/>
    </xf>
    <xf numFmtId="0" fontId="61" fillId="45" borderId="9" xfId="0" applyFont="1" applyFill="1" applyBorder="1" applyAlignment="1">
      <alignment horizontal="center" vertical="center" wrapText="1"/>
    </xf>
    <xf numFmtId="0" fontId="61" fillId="45" borderId="16" xfId="0" applyFont="1" applyFill="1" applyBorder="1" applyAlignment="1">
      <alignment horizontal="center" vertical="center" wrapText="1"/>
    </xf>
    <xf numFmtId="0" fontId="61" fillId="45" borderId="21" xfId="0" applyFont="1" applyFill="1" applyBorder="1" applyAlignment="1">
      <alignment horizontal="center" vertical="center" wrapText="1"/>
    </xf>
    <xf numFmtId="0" fontId="61" fillId="45" borderId="18" xfId="0" applyFont="1" applyFill="1" applyBorder="1" applyAlignment="1">
      <alignment horizontal="center" vertical="center" wrapText="1"/>
    </xf>
    <xf numFmtId="0" fontId="61" fillId="45" borderId="12" xfId="0" applyFont="1" applyFill="1" applyBorder="1" applyAlignment="1">
      <alignment horizontal="center" wrapText="1"/>
    </xf>
    <xf numFmtId="0" fontId="61" fillId="45" borderId="27" xfId="0" applyFont="1" applyFill="1" applyBorder="1" applyAlignment="1">
      <alignment horizontal="center" wrapText="1"/>
    </xf>
    <xf numFmtId="0" fontId="5" fillId="45" borderId="16" xfId="0" applyFont="1" applyFill="1" applyBorder="1" applyAlignment="1">
      <alignment horizontal="center" vertical="center" wrapText="1"/>
    </xf>
    <xf numFmtId="0" fontId="5" fillId="45" borderId="18" xfId="0" applyFont="1" applyFill="1" applyBorder="1" applyAlignment="1">
      <alignment horizontal="center" vertical="center" wrapText="1"/>
    </xf>
    <xf numFmtId="0" fontId="5" fillId="45" borderId="23" xfId="0" applyFont="1" applyFill="1" applyBorder="1" applyAlignment="1">
      <alignment horizontal="center" vertical="center" wrapText="1"/>
    </xf>
    <xf numFmtId="0" fontId="17" fillId="3" borderId="9" xfId="0" applyFont="1" applyFill="1" applyBorder="1" applyAlignment="1" applyProtection="1">
      <alignment horizontal="center"/>
    </xf>
    <xf numFmtId="0" fontId="17" fillId="3" borderId="24" xfId="0" applyFont="1" applyFill="1" applyBorder="1" applyAlignment="1" applyProtection="1">
      <alignment horizontal="center"/>
    </xf>
    <xf numFmtId="0" fontId="17" fillId="3" borderId="16" xfId="0" applyFont="1" applyFill="1" applyBorder="1" applyAlignment="1" applyProtection="1">
      <alignment horizontal="center"/>
    </xf>
    <xf numFmtId="0" fontId="0" fillId="3" borderId="24" xfId="0" applyFill="1" applyBorder="1" applyAlignment="1" applyProtection="1">
      <alignment horizontal="center"/>
    </xf>
    <xf numFmtId="0" fontId="17" fillId="3" borderId="21" xfId="0" applyFont="1" applyFill="1" applyBorder="1" applyAlignment="1" applyProtection="1">
      <alignment horizontal="center"/>
    </xf>
    <xf numFmtId="0" fontId="17"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8" xfId="0" applyFill="1" applyBorder="1" applyAlignment="1" applyProtection="1">
      <alignment horizontal="center"/>
    </xf>
    <xf numFmtId="0" fontId="0" fillId="3" borderId="9" xfId="0" applyFill="1" applyBorder="1" applyAlignment="1">
      <alignment horizontal="center"/>
    </xf>
    <xf numFmtId="0" fontId="0" fillId="3" borderId="22" xfId="0" applyFill="1" applyBorder="1" applyAlignment="1">
      <alignment horizontal="center"/>
    </xf>
    <xf numFmtId="0" fontId="5" fillId="2" borderId="30" xfId="0" applyFont="1" applyFill="1" applyBorder="1" applyAlignment="1" applyProtection="1">
      <alignment horizontal="center"/>
    </xf>
    <xf numFmtId="0" fontId="5" fillId="2" borderId="10" xfId="0" applyFont="1" applyFill="1" applyBorder="1" applyAlignment="1" applyProtection="1">
      <alignment horizontal="center"/>
    </xf>
    <xf numFmtId="0" fontId="5" fillId="2" borderId="29" xfId="0" applyFont="1" applyFill="1" applyBorder="1" applyAlignment="1" applyProtection="1">
      <alignment horizontal="center"/>
    </xf>
    <xf numFmtId="0" fontId="5" fillId="2" borderId="11" xfId="0" applyFont="1" applyFill="1" applyBorder="1" applyAlignment="1" applyProtection="1">
      <alignment horizontal="center"/>
    </xf>
    <xf numFmtId="0" fontId="5" fillId="2" borderId="55" xfId="0" applyFont="1" applyFill="1" applyBorder="1" applyAlignment="1" applyProtection="1">
      <alignment horizontal="center"/>
    </xf>
    <xf numFmtId="0" fontId="0" fillId="37" borderId="1" xfId="0" applyFill="1" applyBorder="1" applyAlignment="1" applyProtection="1">
      <alignment horizontal="left"/>
      <protection locked="0"/>
    </xf>
    <xf numFmtId="0" fontId="0" fillId="37" borderId="2" xfId="0" applyFill="1" applyBorder="1" applyAlignment="1" applyProtection="1">
      <alignment horizontal="left"/>
      <protection locked="0"/>
    </xf>
    <xf numFmtId="0" fontId="0" fillId="37" borderId="3" xfId="0" applyFill="1" applyBorder="1" applyAlignment="1" applyProtection="1">
      <alignment horizontal="left"/>
      <protection locked="0"/>
    </xf>
    <xf numFmtId="0" fontId="0" fillId="37" borderId="10" xfId="0" applyFill="1" applyBorder="1" applyAlignment="1" applyProtection="1">
      <alignment horizontal="left"/>
      <protection locked="0"/>
    </xf>
    <xf numFmtId="0" fontId="0" fillId="37" borderId="29" xfId="0" applyFill="1" applyBorder="1" applyAlignment="1" applyProtection="1">
      <alignment horizontal="left"/>
      <protection locked="0"/>
    </xf>
    <xf numFmtId="0" fontId="0" fillId="37" borderId="11" xfId="0" applyFill="1" applyBorder="1" applyAlignment="1" applyProtection="1">
      <alignment horizontal="left"/>
      <protection locked="0"/>
    </xf>
    <xf numFmtId="0" fontId="0" fillId="37" borderId="4" xfId="0" applyFill="1" applyBorder="1" applyAlignment="1" applyProtection="1">
      <alignment horizontal="left"/>
      <protection locked="0"/>
    </xf>
    <xf numFmtId="0" fontId="0" fillId="37" borderId="0" xfId="0" applyFill="1" applyBorder="1" applyAlignment="1" applyProtection="1">
      <alignment horizontal="left"/>
      <protection locked="0"/>
    </xf>
    <xf numFmtId="0" fontId="0" fillId="37" borderId="5" xfId="0" applyFill="1" applyBorder="1" applyAlignment="1" applyProtection="1">
      <alignment horizontal="left"/>
      <protection locked="0"/>
    </xf>
    <xf numFmtId="0" fontId="0" fillId="3" borderId="17" xfId="0" applyFill="1" applyBorder="1" applyAlignment="1" applyProtection="1">
      <alignment horizontal="center"/>
    </xf>
    <xf numFmtId="0" fontId="0" fillId="3" borderId="20" xfId="0" applyFill="1" applyBorder="1" applyAlignment="1" applyProtection="1">
      <alignment horizontal="center"/>
    </xf>
    <xf numFmtId="0" fontId="0" fillId="3" borderId="23" xfId="0" applyFill="1" applyBorder="1" applyAlignment="1" applyProtection="1">
      <alignment horizontal="center"/>
    </xf>
    <xf numFmtId="0" fontId="12" fillId="30" borderId="0" xfId="1" applyFill="1" applyAlignment="1" applyProtection="1">
      <alignment horizontal="center"/>
    </xf>
    <xf numFmtId="0" fontId="5" fillId="8" borderId="24" xfId="0" applyFont="1" applyFill="1" applyBorder="1" applyAlignment="1" applyProtection="1">
      <alignment horizontal="center"/>
    </xf>
    <xf numFmtId="0" fontId="5" fillId="11" borderId="9" xfId="0" applyFont="1" applyFill="1" applyBorder="1" applyAlignment="1" applyProtection="1">
      <alignment horizontal="center"/>
    </xf>
    <xf numFmtId="0" fontId="5" fillId="11"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2" xfId="0" applyFont="1" applyFill="1" applyBorder="1" applyAlignment="1" applyProtection="1">
      <alignment horizontal="center"/>
    </xf>
    <xf numFmtId="0" fontId="5" fillId="3" borderId="23" xfId="0" applyFont="1" applyFill="1" applyBorder="1" applyAlignment="1" applyProtection="1">
      <alignment horizontal="center"/>
    </xf>
    <xf numFmtId="0" fontId="94" fillId="34" borderId="0" xfId="0" applyFont="1" applyFill="1" applyBorder="1" applyAlignment="1" applyProtection="1">
      <alignment horizontal="left"/>
      <protection locked="0"/>
    </xf>
    <xf numFmtId="0" fontId="11" fillId="34" borderId="0" xfId="0" applyFont="1" applyFill="1" applyBorder="1" applyAlignment="1" applyProtection="1">
      <alignment horizontal="left"/>
      <protection locked="0"/>
    </xf>
    <xf numFmtId="0" fontId="11" fillId="41" borderId="0" xfId="1" applyFont="1" applyFill="1" applyBorder="1" applyAlignment="1" applyProtection="1">
      <alignment horizontal="center" vertical="center" wrapText="1"/>
    </xf>
    <xf numFmtId="0" fontId="11" fillId="41" borderId="0" xfId="0" applyFont="1" applyFill="1" applyAlignment="1" applyProtection="1">
      <alignment horizontal="left" vertical="top" wrapText="1"/>
    </xf>
    <xf numFmtId="0" fontId="11" fillId="41" borderId="0" xfId="0" applyFont="1" applyFill="1" applyAlignment="1" applyProtection="1">
      <alignment vertical="top" wrapText="1"/>
    </xf>
    <xf numFmtId="0" fontId="5" fillId="38" borderId="0" xfId="0" applyFont="1" applyFill="1" applyBorder="1" applyAlignment="1" applyProtection="1">
      <alignment horizontal="center"/>
    </xf>
    <xf numFmtId="0" fontId="6" fillId="32" borderId="0" xfId="0" applyFont="1" applyFill="1" applyBorder="1" applyAlignment="1" applyProtection="1">
      <alignment horizontal="center"/>
      <protection locked="0"/>
    </xf>
    <xf numFmtId="0" fontId="4" fillId="38" borderId="0" xfId="0" applyFont="1" applyFill="1" applyBorder="1" applyAlignment="1" applyProtection="1">
      <alignment horizontal="center" wrapText="1"/>
    </xf>
    <xf numFmtId="0" fontId="17" fillId="36" borderId="0" xfId="0" applyFont="1" applyFill="1" applyBorder="1" applyAlignment="1" applyProtection="1">
      <alignment horizontal="left"/>
      <protection locked="0"/>
    </xf>
    <xf numFmtId="0" fontId="4" fillId="29" borderId="0" xfId="0" applyNumberFormat="1" applyFont="1" applyFill="1" applyAlignment="1" applyProtection="1">
      <alignment horizontal="center"/>
    </xf>
    <xf numFmtId="0" fontId="61" fillId="29" borderId="0" xfId="0" applyNumberFormat="1" applyFont="1" applyFill="1" applyBorder="1" applyAlignment="1" applyProtection="1">
      <alignment horizontal="center"/>
    </xf>
    <xf numFmtId="0" fontId="17" fillId="29" borderId="0" xfId="0" applyNumberFormat="1" applyFont="1" applyFill="1" applyAlignment="1" applyProtection="1">
      <alignment horizontal="center"/>
    </xf>
    <xf numFmtId="0" fontId="17" fillId="29" borderId="0" xfId="0" applyFont="1" applyFill="1" applyAlignment="1" applyProtection="1">
      <alignment horizontal="center"/>
    </xf>
    <xf numFmtId="0" fontId="43" fillId="41" borderId="22" xfId="0" applyFont="1" applyFill="1" applyBorder="1" applyAlignment="1" applyProtection="1">
      <alignment horizontal="center" wrapText="1"/>
    </xf>
    <xf numFmtId="0" fontId="5" fillId="41" borderId="0" xfId="0" applyFont="1" applyFill="1" applyAlignment="1" applyProtection="1">
      <alignment horizontal="center" vertical="top" wrapText="1"/>
    </xf>
    <xf numFmtId="0" fontId="43" fillId="41" borderId="22" xfId="0" applyFont="1" applyFill="1" applyBorder="1" applyAlignment="1" applyProtection="1">
      <alignment horizontal="center" vertical="center" wrapText="1"/>
    </xf>
    <xf numFmtId="0" fontId="5" fillId="4" borderId="17" xfId="0" applyFont="1" applyFill="1" applyBorder="1" applyAlignment="1" applyProtection="1">
      <alignment horizontal="center"/>
    </xf>
    <xf numFmtId="0" fontId="5" fillId="4" borderId="19" xfId="0" applyFont="1" applyFill="1" applyBorder="1" applyAlignment="1" applyProtection="1">
      <alignment horizontal="center"/>
    </xf>
    <xf numFmtId="0" fontId="17" fillId="37" borderId="0" xfId="0" applyFont="1" applyFill="1" applyBorder="1" applyAlignment="1" applyProtection="1">
      <alignment horizontal="left"/>
      <protection locked="0"/>
    </xf>
    <xf numFmtId="0" fontId="17" fillId="37" borderId="5" xfId="0" applyFont="1" applyFill="1" applyBorder="1" applyAlignment="1" applyProtection="1">
      <alignment horizontal="left"/>
      <protection locked="0"/>
    </xf>
    <xf numFmtId="0" fontId="17" fillId="3" borderId="24" xfId="0" applyFont="1" applyFill="1" applyBorder="1" applyAlignment="1">
      <alignment horizontal="center"/>
    </xf>
    <xf numFmtId="0" fontId="4" fillId="3" borderId="9" xfId="0" applyFont="1" applyFill="1" applyBorder="1" applyAlignment="1">
      <alignment horizontal="center" wrapText="1"/>
    </xf>
    <xf numFmtId="0" fontId="4" fillId="3" borderId="24" xfId="0" applyFont="1" applyFill="1" applyBorder="1" applyAlignment="1">
      <alignment horizontal="center" wrapText="1"/>
    </xf>
    <xf numFmtId="0" fontId="4" fillId="3" borderId="16" xfId="0" applyFont="1" applyFill="1" applyBorder="1" applyAlignment="1">
      <alignment horizontal="center" wrapText="1"/>
    </xf>
    <xf numFmtId="0" fontId="17" fillId="11" borderId="39" xfId="0" applyFont="1" applyFill="1" applyBorder="1" applyAlignment="1" applyProtection="1">
      <alignment horizontal="center"/>
    </xf>
    <xf numFmtId="0" fontId="17" fillId="8" borderId="39" xfId="0" applyFont="1" applyFill="1" applyBorder="1" applyAlignment="1" applyProtection="1">
      <alignment horizontal="center"/>
    </xf>
    <xf numFmtId="0" fontId="17" fillId="8" borderId="40" xfId="0" applyFont="1" applyFill="1" applyBorder="1" applyAlignment="1" applyProtection="1">
      <alignment horizontal="center"/>
    </xf>
    <xf numFmtId="0" fontId="17" fillId="3" borderId="0" xfId="0" applyFont="1" applyFill="1" applyAlignment="1">
      <alignment horizontal="center"/>
    </xf>
    <xf numFmtId="0" fontId="17" fillId="11" borderId="0" xfId="0" applyFont="1" applyFill="1" applyBorder="1" applyAlignment="1" applyProtection="1">
      <alignment horizontal="center"/>
    </xf>
    <xf numFmtId="0" fontId="17" fillId="8" borderId="0" xfId="0" applyFont="1" applyFill="1" applyBorder="1" applyAlignment="1" applyProtection="1">
      <alignment horizontal="center"/>
    </xf>
    <xf numFmtId="0" fontId="17" fillId="8" borderId="18" xfId="0" applyFont="1" applyFill="1" applyBorder="1" applyAlignment="1" applyProtection="1">
      <alignment horizontal="center"/>
    </xf>
    <xf numFmtId="0" fontId="17" fillId="3" borderId="7" xfId="0" applyFont="1" applyFill="1" applyBorder="1" applyAlignment="1">
      <alignment horizontal="center"/>
    </xf>
    <xf numFmtId="0" fontId="16" fillId="2" borderId="54" xfId="0" applyFont="1" applyFill="1" applyBorder="1" applyAlignment="1">
      <alignment horizontal="center"/>
    </xf>
    <xf numFmtId="0" fontId="16" fillId="2" borderId="22" xfId="0" applyFont="1" applyFill="1" applyBorder="1" applyAlignment="1">
      <alignment horizontal="center"/>
    </xf>
    <xf numFmtId="0" fontId="16" fillId="2" borderId="56" xfId="0" applyFont="1" applyFill="1" applyBorder="1" applyAlignment="1">
      <alignment horizontal="center"/>
    </xf>
    <xf numFmtId="0" fontId="0" fillId="3" borderId="9" xfId="0" applyFill="1" applyBorder="1" applyAlignment="1">
      <alignment horizontal="center" wrapText="1"/>
    </xf>
    <xf numFmtId="0" fontId="0" fillId="3" borderId="24" xfId="0" applyFill="1" applyBorder="1" applyAlignment="1">
      <alignment horizontal="center" wrapText="1"/>
    </xf>
    <xf numFmtId="0" fontId="0" fillId="3" borderId="16" xfId="0" applyFill="1" applyBorder="1" applyAlignment="1">
      <alignment horizontal="center" wrapText="1"/>
    </xf>
    <xf numFmtId="0" fontId="17" fillId="2" borderId="7" xfId="0" applyFont="1" applyFill="1" applyBorder="1" applyAlignment="1">
      <alignment horizontal="center"/>
    </xf>
    <xf numFmtId="0" fontId="17" fillId="3" borderId="30" xfId="0" applyFont="1" applyFill="1" applyBorder="1" applyAlignment="1">
      <alignment horizontal="center"/>
    </xf>
    <xf numFmtId="0" fontId="17" fillId="2" borderId="39" xfId="0" applyFont="1" applyFill="1" applyBorder="1" applyAlignment="1">
      <alignment horizontal="center"/>
    </xf>
    <xf numFmtId="0" fontId="17" fillId="8" borderId="25" xfId="0" applyFont="1" applyFill="1" applyBorder="1" applyAlignment="1">
      <alignment horizontal="center"/>
    </xf>
    <xf numFmtId="0" fontId="17" fillId="8" borderId="23" xfId="0" applyFont="1" applyFill="1" applyBorder="1" applyAlignment="1">
      <alignment horizontal="center"/>
    </xf>
    <xf numFmtId="0" fontId="17" fillId="11" borderId="22" xfId="0" applyFont="1" applyFill="1" applyBorder="1" applyAlignment="1">
      <alignment horizontal="center"/>
    </xf>
    <xf numFmtId="0" fontId="17" fillId="11" borderId="23" xfId="0" applyFont="1" applyFill="1" applyBorder="1" applyAlignment="1">
      <alignment horizontal="center"/>
    </xf>
    <xf numFmtId="0" fontId="79" fillId="3" borderId="30" xfId="0" applyFont="1" applyFill="1" applyBorder="1" applyAlignment="1">
      <alignment horizontal="center"/>
    </xf>
    <xf numFmtId="0" fontId="32" fillId="30" borderId="0" xfId="1" applyFont="1" applyFill="1" applyAlignment="1" applyProtection="1">
      <alignment horizontal="center"/>
      <protection locked="0"/>
    </xf>
    <xf numFmtId="0" fontId="17" fillId="21" borderId="10" xfId="0" applyFont="1" applyFill="1" applyBorder="1" applyAlignment="1" applyProtection="1">
      <alignment horizontal="center"/>
      <protection locked="0"/>
    </xf>
    <xf numFmtId="0" fontId="17" fillId="21" borderId="11" xfId="0" applyFont="1" applyFill="1" applyBorder="1" applyAlignment="1" applyProtection="1">
      <alignment horizontal="center"/>
      <protection locked="0"/>
    </xf>
    <xf numFmtId="0" fontId="61" fillId="27" borderId="0" xfId="0" applyFont="1" applyFill="1" applyAlignment="1" applyProtection="1">
      <alignment horizontal="center"/>
    </xf>
    <xf numFmtId="0" fontId="4" fillId="27" borderId="0" xfId="0" applyFont="1" applyFill="1" applyAlignment="1" applyProtection="1">
      <alignment horizontal="center"/>
    </xf>
    <xf numFmtId="0" fontId="17" fillId="34" borderId="0" xfId="0" applyFont="1" applyFill="1" applyBorder="1" applyAlignment="1" applyProtection="1">
      <alignment horizontal="left"/>
      <protection locked="0"/>
    </xf>
    <xf numFmtId="3" fontId="4" fillId="41" borderId="0" xfId="0" applyNumberFormat="1" applyFont="1" applyFill="1" applyBorder="1" applyAlignment="1" applyProtection="1">
      <alignment horizontal="center" vertical="center" wrapText="1"/>
    </xf>
    <xf numFmtId="0" fontId="17" fillId="29" borderId="0" xfId="1" applyFont="1" applyFill="1" applyBorder="1" applyAlignment="1" applyProtection="1">
      <alignment horizontal="left" vertical="top" wrapText="1"/>
    </xf>
    <xf numFmtId="0" fontId="5" fillId="41" borderId="24" xfId="0" applyFont="1" applyFill="1" applyBorder="1" applyAlignment="1" applyProtection="1">
      <alignment horizontal="center"/>
    </xf>
    <xf numFmtId="0" fontId="5" fillId="29" borderId="0" xfId="1" applyFont="1" applyFill="1" applyBorder="1" applyAlignment="1" applyProtection="1">
      <alignment horizontal="left" vertical="top" wrapText="1"/>
    </xf>
    <xf numFmtId="0" fontId="5" fillId="41" borderId="0" xfId="0" applyFont="1" applyFill="1" applyAlignment="1" applyProtection="1">
      <alignment horizontal="left" vertical="top" wrapText="1"/>
    </xf>
    <xf numFmtId="0" fontId="5" fillId="41" borderId="0" xfId="0" applyFont="1" applyFill="1" applyBorder="1" applyAlignment="1" applyProtection="1">
      <alignment horizontal="center" wrapText="1"/>
    </xf>
    <xf numFmtId="0" fontId="5" fillId="41" borderId="22" xfId="0" applyFont="1" applyFill="1" applyBorder="1" applyAlignment="1" applyProtection="1">
      <alignment horizontal="center" wrapText="1"/>
    </xf>
    <xf numFmtId="0" fontId="4" fillId="32" borderId="0" xfId="0" applyFont="1" applyFill="1" applyAlignment="1" applyProtection="1">
      <alignment horizontal="left"/>
      <protection locked="0"/>
    </xf>
    <xf numFmtId="0" fontId="5" fillId="41" borderId="0" xfId="0" applyFont="1" applyFill="1" applyAlignment="1" applyProtection="1">
      <alignment horizontal="center" wrapText="1"/>
    </xf>
    <xf numFmtId="0" fontId="53" fillId="30" borderId="0" xfId="1" applyFont="1" applyFill="1" applyAlignment="1" applyProtection="1">
      <alignment horizontal="center"/>
      <protection locked="0"/>
    </xf>
    <xf numFmtId="0" fontId="56" fillId="3" borderId="30" xfId="0" applyFont="1" applyFill="1" applyBorder="1" applyAlignment="1" applyProtection="1">
      <alignment horizontal="center"/>
    </xf>
    <xf numFmtId="0" fontId="56" fillId="2" borderId="7" xfId="0" applyFont="1" applyFill="1" applyBorder="1" applyAlignment="1" applyProtection="1">
      <alignment horizontal="center"/>
    </xf>
    <xf numFmtId="0" fontId="56" fillId="2" borderId="39" xfId="0" applyFont="1" applyFill="1" applyBorder="1" applyAlignment="1" applyProtection="1">
      <alignment horizontal="center"/>
    </xf>
    <xf numFmtId="0" fontId="56" fillId="11" borderId="30" xfId="0" applyFont="1" applyFill="1" applyBorder="1" applyAlignment="1" applyProtection="1">
      <alignment horizontal="center"/>
    </xf>
    <xf numFmtId="0" fontId="56" fillId="8" borderId="30" xfId="0" applyFont="1" applyFill="1" applyBorder="1" applyAlignment="1" applyProtection="1">
      <alignment horizontal="center"/>
    </xf>
    <xf numFmtId="0" fontId="55" fillId="3" borderId="0" xfId="0" applyFont="1" applyFill="1" applyAlignment="1" applyProtection="1">
      <alignment horizontal="center"/>
    </xf>
    <xf numFmtId="0" fontId="56" fillId="11" borderId="22" xfId="0" applyFont="1" applyFill="1" applyBorder="1" applyAlignment="1" applyProtection="1">
      <alignment horizontal="center"/>
    </xf>
    <xf numFmtId="0" fontId="56" fillId="8" borderId="22" xfId="0" applyFont="1" applyFill="1" applyBorder="1" applyAlignment="1" applyProtection="1">
      <alignment horizontal="center"/>
    </xf>
    <xf numFmtId="0" fontId="0" fillId="3" borderId="21" xfId="0" applyFill="1" applyBorder="1" applyAlignment="1" applyProtection="1">
      <alignment horizontal="center"/>
    </xf>
    <xf numFmtId="1" fontId="17" fillId="6" borderId="9" xfId="0" applyNumberFormat="1" applyFont="1" applyFill="1" applyBorder="1" applyAlignment="1" applyProtection="1">
      <alignment horizontal="center"/>
    </xf>
    <xf numFmtId="1" fontId="17" fillId="6" borderId="16" xfId="0" applyNumberFormat="1" applyFont="1" applyFill="1" applyBorder="1" applyAlignment="1" applyProtection="1">
      <alignment horizontal="center"/>
    </xf>
    <xf numFmtId="1" fontId="17" fillId="6" borderId="25" xfId="0" applyNumberFormat="1" applyFont="1" applyFill="1" applyBorder="1" applyAlignment="1" applyProtection="1">
      <alignment horizontal="center"/>
    </xf>
    <xf numFmtId="1" fontId="17" fillId="6" borderId="23" xfId="0" applyNumberFormat="1" applyFont="1" applyFill="1" applyBorder="1" applyAlignment="1" applyProtection="1">
      <alignment horizontal="center"/>
    </xf>
    <xf numFmtId="0" fontId="4" fillId="3" borderId="21" xfId="0" applyFont="1" applyFill="1" applyBorder="1" applyAlignment="1" applyProtection="1">
      <alignment horizontal="center"/>
    </xf>
    <xf numFmtId="0" fontId="32" fillId="30" borderId="0" xfId="1" applyFont="1" applyFill="1" applyAlignment="1" applyProtection="1">
      <alignment horizontal="center"/>
    </xf>
    <xf numFmtId="0" fontId="17" fillId="3" borderId="19" xfId="0" applyFont="1" applyFill="1" applyBorder="1" applyAlignment="1" applyProtection="1">
      <alignment horizontal="center"/>
    </xf>
    <xf numFmtId="0" fontId="17" fillId="3" borderId="20" xfId="0" applyFont="1" applyFill="1" applyBorder="1" applyAlignment="1" applyProtection="1">
      <alignment horizontal="center"/>
    </xf>
    <xf numFmtId="165" fontId="17" fillId="6" borderId="0" xfId="0" applyNumberFormat="1" applyFont="1" applyFill="1" applyBorder="1" applyAlignment="1" applyProtection="1">
      <alignment horizontal="center"/>
    </xf>
    <xf numFmtId="165" fontId="17" fillId="6" borderId="18" xfId="0" applyNumberFormat="1" applyFont="1" applyFill="1" applyBorder="1" applyAlignment="1" applyProtection="1">
      <alignment horizontal="center"/>
    </xf>
    <xf numFmtId="165" fontId="17" fillId="6" borderId="22" xfId="0" applyNumberFormat="1" applyFont="1" applyFill="1" applyBorder="1" applyAlignment="1" applyProtection="1">
      <alignment horizontal="center"/>
    </xf>
    <xf numFmtId="165" fontId="17" fillId="6" borderId="23" xfId="0" applyNumberFormat="1" applyFont="1" applyFill="1" applyBorder="1" applyAlignment="1" applyProtection="1">
      <alignment horizontal="center"/>
    </xf>
    <xf numFmtId="0" fontId="17" fillId="37" borderId="10" xfId="0" applyFont="1" applyFill="1" applyBorder="1" applyAlignment="1" applyProtection="1">
      <alignment horizontal="center"/>
      <protection locked="0"/>
    </xf>
    <xf numFmtId="0" fontId="17" fillId="37" borderId="29" xfId="0" applyFont="1" applyFill="1" applyBorder="1" applyAlignment="1" applyProtection="1">
      <alignment horizontal="center"/>
      <protection locked="0"/>
    </xf>
    <xf numFmtId="0" fontId="17" fillId="37" borderId="11" xfId="0" applyFont="1" applyFill="1" applyBorder="1" applyAlignment="1" applyProtection="1">
      <alignment horizontal="center"/>
      <protection locked="0"/>
    </xf>
    <xf numFmtId="0" fontId="17" fillId="37" borderId="9" xfId="0" applyFont="1" applyFill="1" applyBorder="1" applyAlignment="1" applyProtection="1">
      <alignment horizontal="center"/>
      <protection locked="0"/>
    </xf>
    <xf numFmtId="0" fontId="17" fillId="37" borderId="24" xfId="0" applyFont="1" applyFill="1" applyBorder="1" applyAlignment="1" applyProtection="1">
      <alignment horizontal="center"/>
      <protection locked="0"/>
    </xf>
    <xf numFmtId="0" fontId="5" fillId="46" borderId="0" xfId="0" applyFont="1" applyFill="1" applyAlignment="1" applyProtection="1">
      <alignment horizontal="center" wrapText="1"/>
    </xf>
    <xf numFmtId="0" fontId="5" fillId="46" borderId="0" xfId="0" applyFont="1" applyFill="1" applyAlignment="1" applyProtection="1">
      <alignment horizontal="center" vertical="center"/>
    </xf>
    <xf numFmtId="0" fontId="5" fillId="46" borderId="0" xfId="0" applyFont="1" applyFill="1" applyAlignment="1" applyProtection="1">
      <alignment horizontal="left" vertical="top" wrapText="1"/>
    </xf>
    <xf numFmtId="0" fontId="5" fillId="46" borderId="0" xfId="0" applyFont="1" applyFill="1" applyAlignment="1" applyProtection="1">
      <alignment horizontal="right" vertical="center" wrapText="1"/>
    </xf>
    <xf numFmtId="0" fontId="5" fillId="46" borderId="0" xfId="0" applyFont="1" applyFill="1" applyAlignment="1" applyProtection="1">
      <alignment horizontal="right" wrapText="1"/>
    </xf>
    <xf numFmtId="0" fontId="4" fillId="46" borderId="0" xfId="0" applyFont="1" applyFill="1" applyAlignment="1" applyProtection="1">
      <alignment horizontal="center"/>
    </xf>
    <xf numFmtId="0" fontId="61" fillId="46" borderId="0" xfId="0" applyFont="1" applyFill="1" applyAlignment="1" applyProtection="1">
      <alignment horizontal="center"/>
    </xf>
    <xf numFmtId="0" fontId="4" fillId="46" borderId="0" xfId="0" applyFont="1" applyFill="1" applyAlignment="1">
      <alignment horizontal="center"/>
    </xf>
    <xf numFmtId="0" fontId="0" fillId="46" borderId="0" xfId="0" applyFill="1" applyAlignment="1">
      <alignment horizontal="center"/>
    </xf>
    <xf numFmtId="0" fontId="4" fillId="3" borderId="7" xfId="0" applyFont="1" applyFill="1" applyBorder="1" applyAlignment="1">
      <alignment horizontal="center"/>
    </xf>
    <xf numFmtId="0" fontId="4" fillId="57" borderId="22" xfId="0" applyFont="1" applyFill="1" applyBorder="1" applyAlignment="1">
      <alignment horizontal="center"/>
    </xf>
    <xf numFmtId="0" fontId="4" fillId="57" borderId="0" xfId="0" applyFont="1" applyFill="1" applyAlignment="1">
      <alignment horizontal="center"/>
    </xf>
    <xf numFmtId="3" fontId="4" fillId="29" borderId="0" xfId="0" applyNumberFormat="1" applyFont="1" applyFill="1" applyBorder="1" applyAlignment="1" applyProtection="1">
      <alignment horizontal="center" wrapText="1"/>
    </xf>
    <xf numFmtId="3" fontId="17" fillId="29" borderId="0" xfId="0" applyNumberFormat="1" applyFont="1" applyFill="1" applyBorder="1" applyAlignment="1" applyProtection="1">
      <alignment horizontal="center" wrapText="1"/>
    </xf>
    <xf numFmtId="0" fontId="4" fillId="34" borderId="0" xfId="0" applyFont="1" applyFill="1" applyBorder="1" applyAlignment="1" applyProtection="1">
      <alignment horizontal="left"/>
      <protection locked="0"/>
    </xf>
    <xf numFmtId="3" fontId="43" fillId="41" borderId="0" xfId="0" applyNumberFormat="1" applyFont="1" applyFill="1" applyBorder="1" applyAlignment="1" applyProtection="1">
      <alignment horizontal="center"/>
    </xf>
    <xf numFmtId="0" fontId="43" fillId="29" borderId="0" xfId="0" applyFont="1" applyFill="1" applyBorder="1" applyAlignment="1" applyProtection="1">
      <alignment horizontal="left" vertical="center" wrapText="1"/>
    </xf>
    <xf numFmtId="3" fontId="4" fillId="32" borderId="0" xfId="0" applyNumberFormat="1" applyFont="1" applyFill="1" applyBorder="1" applyAlignment="1" applyProtection="1">
      <alignment horizontal="left"/>
      <protection locked="0"/>
    </xf>
    <xf numFmtId="0" fontId="17" fillId="28" borderId="0" xfId="0" applyFont="1" applyFill="1" applyAlignment="1" applyProtection="1">
      <alignment horizontal="center"/>
    </xf>
    <xf numFmtId="0" fontId="83" fillId="29" borderId="0" xfId="0" applyFont="1" applyFill="1" applyBorder="1" applyAlignment="1" applyProtection="1">
      <alignment horizontal="center" vertical="center" wrapText="1"/>
    </xf>
    <xf numFmtId="3" fontId="5" fillId="29" borderId="0" xfId="0" applyNumberFormat="1" applyFont="1" applyFill="1" applyBorder="1" applyAlignment="1" applyProtection="1">
      <alignment horizontal="center"/>
    </xf>
    <xf numFmtId="3" fontId="61" fillId="29" borderId="0" xfId="0" applyNumberFormat="1" applyFont="1" applyFill="1" applyBorder="1" applyAlignment="1" applyProtection="1">
      <alignment horizontal="center"/>
    </xf>
    <xf numFmtId="0" fontId="5" fillId="28" borderId="0" xfId="0" applyFont="1" applyFill="1" applyBorder="1" applyAlignment="1" applyProtection="1">
      <alignment horizontal="center"/>
    </xf>
    <xf numFmtId="3" fontId="5" fillId="28" borderId="0" xfId="0" applyNumberFormat="1" applyFont="1" applyFill="1" applyBorder="1" applyAlignment="1" applyProtection="1">
      <alignment horizontal="left" wrapText="1"/>
    </xf>
    <xf numFmtId="0" fontId="4" fillId="34" borderId="0" xfId="0" applyFont="1" applyFill="1" applyAlignment="1" applyProtection="1">
      <alignment horizontal="left"/>
      <protection locked="0"/>
    </xf>
    <xf numFmtId="3" fontId="4" fillId="73" borderId="0" xfId="0" applyNumberFormat="1" applyFont="1" applyFill="1" applyAlignment="1" applyProtection="1">
      <alignment horizontal="center"/>
    </xf>
    <xf numFmtId="0" fontId="17" fillId="79" borderId="0" xfId="0" applyFont="1" applyFill="1" applyBorder="1" applyAlignment="1" applyProtection="1">
      <alignment horizontal="center"/>
      <protection locked="0"/>
    </xf>
    <xf numFmtId="0" fontId="61" fillId="73" borderId="0" xfId="0" applyFont="1" applyFill="1" applyAlignment="1" applyProtection="1">
      <alignment horizontal="center"/>
    </xf>
    <xf numFmtId="0" fontId="16" fillId="73" borderId="0" xfId="0" applyFont="1" applyFill="1" applyBorder="1" applyAlignment="1" applyProtection="1">
      <alignment horizontal="center"/>
    </xf>
    <xf numFmtId="0" fontId="4" fillId="73" borderId="0" xfId="0" applyFont="1" applyFill="1" applyAlignment="1" applyProtection="1">
      <alignment horizontal="left"/>
    </xf>
    <xf numFmtId="1" fontId="4" fillId="73" borderId="22" xfId="0" applyNumberFormat="1" applyFont="1" applyFill="1" applyBorder="1" applyAlignment="1" applyProtection="1">
      <alignment horizontal="center"/>
    </xf>
    <xf numFmtId="0" fontId="4" fillId="73" borderId="0" xfId="0" applyFont="1" applyFill="1" applyAlignment="1" applyProtection="1">
      <alignment horizontal="center"/>
    </xf>
    <xf numFmtId="0" fontId="16" fillId="73" borderId="0" xfId="0" applyFont="1" applyFill="1" applyAlignment="1" applyProtection="1">
      <alignment horizontal="center"/>
    </xf>
    <xf numFmtId="0" fontId="4" fillId="3" borderId="9" xfId="0" applyFont="1" applyFill="1" applyBorder="1" applyAlignment="1" applyProtection="1">
      <alignment horizontal="center" vertical="top" wrapText="1"/>
    </xf>
    <xf numFmtId="0" fontId="4" fillId="3" borderId="24" xfId="0" applyFont="1" applyFill="1" applyBorder="1" applyAlignment="1" applyProtection="1">
      <alignment horizontal="center" vertical="top" wrapText="1"/>
    </xf>
    <xf numFmtId="0" fontId="4" fillId="3" borderId="21" xfId="0" applyFont="1" applyFill="1" applyBorder="1" applyAlignment="1" applyProtection="1">
      <alignment horizontal="center" vertical="top" wrapText="1"/>
    </xf>
    <xf numFmtId="0" fontId="4" fillId="3" borderId="0" xfId="0" applyFont="1" applyFill="1" applyBorder="1" applyAlignment="1" applyProtection="1">
      <alignment horizontal="center" vertical="top" wrapText="1"/>
    </xf>
    <xf numFmtId="0" fontId="5" fillId="41" borderId="0" xfId="0" applyFont="1" applyFill="1" applyAlignment="1">
      <alignment horizontal="center"/>
    </xf>
    <xf numFmtId="0" fontId="121" fillId="72" borderId="0" xfId="1" applyFont="1" applyFill="1" applyAlignment="1" applyProtection="1">
      <alignment horizontal="center" vertical="center"/>
    </xf>
    <xf numFmtId="0" fontId="124" fillId="72" borderId="0" xfId="1" applyFont="1" applyFill="1" applyAlignment="1" applyProtection="1">
      <alignment horizontal="center" vertical="center" wrapText="1"/>
    </xf>
    <xf numFmtId="0" fontId="5" fillId="29" borderId="0" xfId="0" applyFont="1" applyFill="1" applyAlignment="1">
      <alignment horizontal="center" vertical="center" wrapText="1"/>
    </xf>
    <xf numFmtId="0" fontId="6" fillId="32" borderId="0" xfId="0" applyFont="1" applyFill="1" applyBorder="1" applyAlignment="1" applyProtection="1">
      <alignment horizontal="left"/>
      <protection locked="0"/>
    </xf>
    <xf numFmtId="0" fontId="5" fillId="29" borderId="0" xfId="0" applyFont="1" applyFill="1" applyAlignment="1">
      <alignment horizontal="center" vertical="center"/>
    </xf>
    <xf numFmtId="0" fontId="94" fillId="32" borderId="0" xfId="0" applyFont="1" applyFill="1" applyBorder="1" applyAlignment="1" applyProtection="1">
      <alignment horizontal="left"/>
      <protection locked="0"/>
    </xf>
    <xf numFmtId="0" fontId="5" fillId="52" borderId="0" xfId="0" applyFont="1" applyFill="1" applyBorder="1" applyAlignment="1" applyProtection="1">
      <alignment horizontal="center" vertical="center" wrapText="1"/>
    </xf>
    <xf numFmtId="3" fontId="0" fillId="29" borderId="0" xfId="0" applyNumberFormat="1" applyFill="1" applyAlignment="1">
      <alignment horizontal="left"/>
    </xf>
    <xf numFmtId="0" fontId="12" fillId="46" borderId="0" xfId="1" applyFill="1" applyAlignment="1" applyProtection="1">
      <alignment horizontal="center" vertical="center" wrapText="1"/>
    </xf>
    <xf numFmtId="0" fontId="5" fillId="46" borderId="0" xfId="0" applyFont="1" applyFill="1" applyAlignment="1">
      <alignment horizontal="center"/>
    </xf>
    <xf numFmtId="0" fontId="123" fillId="46" borderId="0" xfId="0" applyFont="1" applyFill="1" applyAlignment="1">
      <alignment horizontal="center"/>
    </xf>
    <xf numFmtId="0" fontId="5" fillId="53" borderId="0" xfId="0" applyFont="1" applyFill="1" applyAlignment="1">
      <alignment horizontal="center" vertical="center" wrapText="1"/>
    </xf>
    <xf numFmtId="0" fontId="5" fillId="50" borderId="18" xfId="0" applyFont="1" applyFill="1" applyBorder="1" applyAlignment="1" applyProtection="1">
      <alignment horizontal="center" vertical="center"/>
    </xf>
    <xf numFmtId="0" fontId="5" fillId="50" borderId="21" xfId="0" applyFont="1" applyFill="1" applyBorder="1" applyAlignment="1" applyProtection="1">
      <alignment horizontal="center" vertical="center"/>
    </xf>
    <xf numFmtId="0" fontId="5" fillId="45" borderId="19" xfId="0" applyFont="1" applyFill="1" applyBorder="1" applyAlignment="1" applyProtection="1">
      <alignment horizontal="center"/>
    </xf>
    <xf numFmtId="0" fontId="5" fillId="45" borderId="24" xfId="0" applyFont="1" applyFill="1" applyBorder="1" applyAlignment="1" applyProtection="1">
      <alignment horizontal="center"/>
    </xf>
    <xf numFmtId="0" fontId="5" fillId="45" borderId="22" xfId="0" applyFont="1" applyFill="1" applyBorder="1" applyAlignment="1" applyProtection="1">
      <alignment horizontal="center"/>
    </xf>
    <xf numFmtId="0" fontId="104" fillId="27" borderId="0" xfId="0" applyFont="1" applyFill="1" applyAlignment="1">
      <alignment horizontal="center"/>
    </xf>
    <xf numFmtId="0" fontId="115" fillId="38" borderId="0" xfId="0" applyFont="1" applyFill="1" applyBorder="1" applyAlignment="1" applyProtection="1">
      <alignment horizontal="center" vertical="center"/>
      <protection locked="0"/>
    </xf>
    <xf numFmtId="0" fontId="12" fillId="28" borderId="0" xfId="1" applyFill="1" applyAlignment="1" applyProtection="1">
      <alignment horizontal="center" vertical="center" wrapText="1"/>
    </xf>
    <xf numFmtId="0" fontId="5" fillId="52" borderId="0" xfId="0" applyFont="1" applyFill="1" applyBorder="1" applyAlignment="1" applyProtection="1">
      <alignment horizontal="center" wrapText="1"/>
    </xf>
    <xf numFmtId="0" fontId="0" fillId="45" borderId="0" xfId="0" applyFill="1" applyBorder="1" applyAlignment="1" applyProtection="1">
      <alignment horizontal="center" wrapText="1"/>
    </xf>
    <xf numFmtId="0" fontId="5" fillId="53" borderId="0" xfId="0" applyFont="1" applyFill="1" applyAlignment="1" applyProtection="1">
      <alignment horizontal="center"/>
    </xf>
    <xf numFmtId="0" fontId="12" fillId="34" borderId="0" xfId="1" applyFill="1" applyAlignment="1" applyProtection="1">
      <alignment horizontal="center" vertical="center" wrapText="1"/>
    </xf>
    <xf numFmtId="0" fontId="5" fillId="45" borderId="24" xfId="0" applyFont="1" applyFill="1" applyBorder="1" applyAlignment="1" applyProtection="1">
      <alignment horizontal="center" vertical="center" wrapText="1"/>
    </xf>
    <xf numFmtId="0" fontId="5" fillId="45" borderId="0" xfId="0" applyFont="1" applyFill="1" applyBorder="1" applyAlignment="1" applyProtection="1">
      <alignment horizontal="center" vertical="center" wrapText="1"/>
    </xf>
    <xf numFmtId="0" fontId="34" fillId="14" borderId="4" xfId="1" applyFont="1" applyFill="1" applyBorder="1" applyAlignment="1" applyProtection="1">
      <alignment horizontal="right"/>
    </xf>
    <xf numFmtId="0" fontId="34" fillId="14" borderId="5" xfId="1" applyFont="1" applyFill="1" applyBorder="1" applyAlignment="1" applyProtection="1">
      <alignment horizontal="right"/>
    </xf>
    <xf numFmtId="0" fontId="12" fillId="5" borderId="4" xfId="1" applyFill="1" applyBorder="1" applyAlignment="1" applyProtection="1">
      <alignment horizontal="right"/>
    </xf>
    <xf numFmtId="0" fontId="12" fillId="5" borderId="5" xfId="1" applyFill="1" applyBorder="1" applyAlignment="1" applyProtection="1">
      <alignment horizontal="right"/>
    </xf>
    <xf numFmtId="0" fontId="12" fillId="17" borderId="4" xfId="1" applyFill="1" applyBorder="1" applyAlignment="1" applyProtection="1">
      <alignment horizontal="left"/>
    </xf>
    <xf numFmtId="0" fontId="12" fillId="17" borderId="5" xfId="1" applyFill="1" applyBorder="1" applyAlignment="1" applyProtection="1">
      <alignment horizontal="left"/>
    </xf>
    <xf numFmtId="0" fontId="4" fillId="37" borderId="6" xfId="0" applyFont="1" applyFill="1" applyBorder="1" applyAlignment="1" applyProtection="1">
      <alignment horizontal="center"/>
    </xf>
    <xf numFmtId="0" fontId="4" fillId="37" borderId="8" xfId="0" applyFont="1" applyFill="1" applyBorder="1" applyAlignment="1" applyProtection="1">
      <alignment horizontal="center"/>
    </xf>
    <xf numFmtId="0" fontId="0" fillId="23" borderId="1" xfId="0" applyFill="1" applyBorder="1" applyAlignment="1" applyProtection="1">
      <alignment horizontal="center"/>
    </xf>
    <xf numFmtId="0" fontId="0" fillId="23" borderId="3" xfId="0" applyFill="1" applyBorder="1" applyAlignment="1" applyProtection="1">
      <alignment horizontal="center"/>
    </xf>
    <xf numFmtId="0" fontId="0" fillId="23" borderId="6" xfId="0" applyFill="1" applyBorder="1" applyAlignment="1" applyProtection="1">
      <alignment horizontal="center"/>
    </xf>
    <xf numFmtId="0" fontId="0" fillId="23" borderId="8" xfId="0" applyFill="1" applyBorder="1" applyAlignment="1" applyProtection="1">
      <alignment horizontal="center"/>
    </xf>
    <xf numFmtId="0" fontId="4" fillId="8" borderId="1" xfId="0" applyFont="1" applyFill="1" applyBorder="1" applyAlignment="1" applyProtection="1">
      <alignment horizontal="center"/>
    </xf>
    <xf numFmtId="0" fontId="4" fillId="8" borderId="2" xfId="0" applyFont="1" applyFill="1" applyBorder="1" applyAlignment="1" applyProtection="1">
      <alignment horizontal="center"/>
    </xf>
    <xf numFmtId="0" fontId="4" fillId="8" borderId="3" xfId="0" applyFont="1" applyFill="1" applyBorder="1" applyAlignment="1" applyProtection="1">
      <alignment horizontal="center"/>
    </xf>
    <xf numFmtId="0" fontId="4" fillId="8" borderId="6" xfId="0" applyFont="1" applyFill="1" applyBorder="1" applyAlignment="1" applyProtection="1">
      <alignment horizontal="center"/>
    </xf>
    <xf numFmtId="0" fontId="4" fillId="8" borderId="7" xfId="0" applyFont="1" applyFill="1" applyBorder="1" applyAlignment="1" applyProtection="1">
      <alignment horizontal="center"/>
    </xf>
    <xf numFmtId="0" fontId="4" fillId="8" borderId="8" xfId="0" applyFont="1" applyFill="1" applyBorder="1" applyAlignment="1" applyProtection="1">
      <alignment horizontal="center"/>
    </xf>
    <xf numFmtId="0" fontId="4" fillId="23" borderId="1" xfId="0" applyFont="1" applyFill="1" applyBorder="1" applyAlignment="1" applyProtection="1">
      <alignment horizontal="center"/>
    </xf>
    <xf numFmtId="0" fontId="4" fillId="23" borderId="3" xfId="0" applyFont="1" applyFill="1" applyBorder="1" applyAlignment="1" applyProtection="1">
      <alignment horizontal="center"/>
    </xf>
    <xf numFmtId="0" fontId="17" fillId="23" borderId="10" xfId="0" applyFont="1" applyFill="1" applyBorder="1" applyAlignment="1" applyProtection="1">
      <alignment horizontal="center"/>
    </xf>
    <xf numFmtId="0" fontId="17" fillId="23" borderId="11" xfId="0" applyFont="1" applyFill="1" applyBorder="1" applyAlignment="1" applyProtection="1">
      <alignment horizontal="center"/>
    </xf>
    <xf numFmtId="0" fontId="4" fillId="11" borderId="6" xfId="0" applyFont="1" applyFill="1" applyBorder="1" applyAlignment="1" applyProtection="1">
      <alignment horizontal="center"/>
    </xf>
    <xf numFmtId="0" fontId="4" fillId="11" borderId="7" xfId="0" applyFont="1" applyFill="1" applyBorder="1" applyAlignment="1" applyProtection="1">
      <alignment horizontal="center"/>
    </xf>
    <xf numFmtId="0" fontId="4" fillId="11" borderId="8" xfId="0" applyFont="1" applyFill="1" applyBorder="1" applyAlignment="1" applyProtection="1">
      <alignment horizontal="center"/>
    </xf>
    <xf numFmtId="0" fontId="4" fillId="11" borderId="1" xfId="0" applyFont="1" applyFill="1" applyBorder="1" applyAlignment="1" applyProtection="1">
      <alignment horizontal="center"/>
    </xf>
    <xf numFmtId="0" fontId="4" fillId="11" borderId="2" xfId="0" applyFont="1" applyFill="1" applyBorder="1" applyAlignment="1" applyProtection="1">
      <alignment horizontal="center"/>
    </xf>
    <xf numFmtId="0" fontId="4" fillId="11" borderId="3" xfId="0" applyFont="1" applyFill="1" applyBorder="1" applyAlignment="1" applyProtection="1">
      <alignment horizontal="center"/>
    </xf>
    <xf numFmtId="0" fontId="12" fillId="13" borderId="4" xfId="1" applyFill="1" applyBorder="1" applyAlignment="1" applyProtection="1">
      <alignment horizontal="left"/>
    </xf>
    <xf numFmtId="0" fontId="12" fillId="13" borderId="5" xfId="1" applyFill="1" applyBorder="1" applyAlignment="1" applyProtection="1">
      <alignment horizontal="left"/>
    </xf>
    <xf numFmtId="0" fontId="34" fillId="20" borderId="4" xfId="1" applyFont="1" applyFill="1" applyBorder="1" applyAlignment="1" applyProtection="1">
      <alignment horizontal="left"/>
    </xf>
    <xf numFmtId="0" fontId="34" fillId="20" borderId="5" xfId="1" applyFont="1" applyFill="1" applyBorder="1" applyAlignment="1" applyProtection="1">
      <alignment horizontal="left"/>
    </xf>
    <xf numFmtId="0" fontId="19" fillId="14" borderId="4" xfId="1" applyFont="1" applyFill="1" applyBorder="1" applyAlignment="1" applyProtection="1">
      <alignment horizontal="left"/>
    </xf>
    <xf numFmtId="0" fontId="19" fillId="14" borderId="5" xfId="1" applyFont="1" applyFill="1" applyBorder="1" applyAlignment="1" applyProtection="1">
      <alignment horizontal="left"/>
    </xf>
    <xf numFmtId="0" fontId="12" fillId="12" borderId="1" xfId="1" applyFill="1" applyBorder="1" applyAlignment="1" applyProtection="1">
      <alignment horizontal="left"/>
    </xf>
    <xf numFmtId="0" fontId="12" fillId="12" borderId="3" xfId="1" applyFill="1" applyBorder="1" applyAlignment="1" applyProtection="1">
      <alignment horizontal="left"/>
    </xf>
    <xf numFmtId="0" fontId="5" fillId="2" borderId="1" xfId="0" applyFont="1" applyFill="1" applyBorder="1" applyAlignment="1" applyProtection="1"/>
    <xf numFmtId="0" fontId="5" fillId="2" borderId="3" xfId="0" applyFont="1" applyFill="1" applyBorder="1" applyAlignment="1" applyProtection="1"/>
    <xf numFmtId="0" fontId="4" fillId="5" borderId="4" xfId="0" applyFont="1" applyFill="1" applyBorder="1" applyAlignment="1" applyProtection="1">
      <alignment horizontal="left"/>
    </xf>
    <xf numFmtId="0" fontId="4" fillId="5" borderId="5" xfId="0" applyFont="1" applyFill="1" applyBorder="1" applyAlignment="1" applyProtection="1">
      <alignment horizontal="left"/>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 fontId="63" fillId="25" borderId="4" xfId="0" applyNumberFormat="1" applyFont="1" applyFill="1" applyBorder="1" applyAlignment="1">
      <alignment horizontal="center"/>
    </xf>
    <xf numFmtId="1" fontId="63" fillId="25" borderId="0" xfId="0" applyNumberFormat="1" applyFont="1" applyFill="1" applyBorder="1" applyAlignment="1">
      <alignment horizontal="center"/>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8" xfId="0" applyFill="1" applyBorder="1" applyAlignment="1">
      <alignment horizontal="center" vertical="center" wrapText="1"/>
    </xf>
    <xf numFmtId="0" fontId="34" fillId="14" borderId="6" xfId="1" applyFont="1" applyFill="1" applyBorder="1" applyAlignment="1" applyProtection="1">
      <alignment horizontal="right"/>
      <protection locked="0"/>
    </xf>
    <xf numFmtId="0" fontId="34" fillId="14" borderId="8" xfId="1" applyFont="1" applyFill="1" applyBorder="1" applyAlignment="1" applyProtection="1">
      <alignment horizontal="right"/>
      <protection locked="0"/>
    </xf>
    <xf numFmtId="0" fontId="34" fillId="14" borderId="6" xfId="1" applyFont="1" applyFill="1" applyBorder="1" applyAlignment="1" applyProtection="1">
      <alignment horizontal="center"/>
      <protection locked="0"/>
    </xf>
    <xf numFmtId="0" fontId="34" fillId="14" borderId="8" xfId="1" applyFont="1" applyFill="1" applyBorder="1" applyAlignment="1" applyProtection="1">
      <alignment horizontal="center"/>
      <protection locked="0"/>
    </xf>
    <xf numFmtId="1" fontId="63" fillId="8" borderId="6" xfId="0" applyNumberFormat="1" applyFont="1" applyFill="1" applyBorder="1" applyAlignment="1">
      <alignment horizontal="center"/>
    </xf>
    <xf numFmtId="1" fontId="63" fillId="8" borderId="7" xfId="0" applyNumberFormat="1" applyFont="1" applyFill="1" applyBorder="1" applyAlignment="1">
      <alignment horizontal="center"/>
    </xf>
    <xf numFmtId="1" fontId="63" fillId="25" borderId="6" xfId="0" applyNumberFormat="1" applyFont="1" applyFill="1" applyBorder="1" applyAlignment="1">
      <alignment horizontal="center"/>
    </xf>
    <xf numFmtId="1" fontId="63" fillId="25" borderId="7" xfId="0" applyNumberFormat="1" applyFont="1"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34" fillId="14" borderId="4" xfId="1" applyFont="1" applyFill="1" applyBorder="1" applyAlignment="1" applyProtection="1">
      <alignment horizontal="right"/>
      <protection locked="0"/>
    </xf>
    <xf numFmtId="0" fontId="34" fillId="14" borderId="5" xfId="1" applyFont="1" applyFill="1" applyBorder="1" applyAlignment="1" applyProtection="1">
      <alignment horizontal="right"/>
      <protection locked="0"/>
    </xf>
    <xf numFmtId="0" fontId="0" fillId="2" borderId="1" xfId="0" applyFill="1" applyBorder="1" applyAlignment="1">
      <alignment horizontal="center"/>
    </xf>
    <xf numFmtId="0" fontId="0" fillId="2" borderId="3"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12" fillId="5" borderId="4" xfId="1" applyFill="1" applyBorder="1" applyAlignment="1" applyProtection="1">
      <alignment horizontal="right"/>
      <protection locked="0"/>
    </xf>
    <xf numFmtId="0" fontId="12" fillId="5" borderId="5" xfId="1" applyFill="1" applyBorder="1" applyAlignment="1" applyProtection="1">
      <alignment horizontal="right"/>
      <protection locked="0"/>
    </xf>
    <xf numFmtId="1" fontId="79" fillId="6" borderId="6" xfId="0" applyNumberFormat="1" applyFont="1" applyFill="1" applyBorder="1" applyAlignment="1">
      <alignment horizontal="center"/>
    </xf>
    <xf numFmtId="1" fontId="79" fillId="6" borderId="7" xfId="0" applyNumberFormat="1" applyFont="1" applyFill="1" applyBorder="1" applyAlignment="1">
      <alignment horizontal="center"/>
    </xf>
    <xf numFmtId="1" fontId="81" fillId="50" borderId="4" xfId="0" quotePrefix="1" applyNumberFormat="1" applyFont="1" applyFill="1" applyBorder="1" applyAlignment="1">
      <alignment horizontal="center"/>
    </xf>
    <xf numFmtId="1" fontId="81" fillId="50" borderId="0" xfId="0" quotePrefix="1" applyNumberFormat="1" applyFont="1" applyFill="1" applyBorder="1" applyAlignment="1">
      <alignment horizontal="center"/>
    </xf>
    <xf numFmtId="1" fontId="63" fillId="8" borderId="4" xfId="0" applyNumberFormat="1" applyFont="1" applyFill="1" applyBorder="1" applyAlignment="1">
      <alignment horizontal="center"/>
    </xf>
    <xf numFmtId="1" fontId="63" fillId="8" borderId="0" xfId="0" applyNumberFormat="1" applyFont="1" applyFill="1" applyBorder="1" applyAlignment="1">
      <alignment horizontal="center"/>
    </xf>
    <xf numFmtId="1" fontId="0" fillId="3" borderId="4" xfId="0" applyNumberFormat="1" applyFill="1" applyBorder="1" applyAlignment="1">
      <alignment horizontal="center"/>
    </xf>
    <xf numFmtId="1" fontId="0" fillId="3" borderId="0" xfId="0" applyNumberFormat="1" applyFill="1" applyBorder="1" applyAlignment="1">
      <alignment horizontal="center"/>
    </xf>
    <xf numFmtId="0" fontId="0" fillId="34" borderId="6" xfId="0" applyFill="1" applyBorder="1" applyAlignment="1">
      <alignment horizontal="center" vertical="center" wrapText="1"/>
    </xf>
    <xf numFmtId="0" fontId="0" fillId="34" borderId="8" xfId="0" applyFill="1" applyBorder="1" applyAlignment="1">
      <alignment horizontal="center" vertical="center" wrapText="1"/>
    </xf>
    <xf numFmtId="1" fontId="63" fillId="50" borderId="4" xfId="0" quotePrefix="1" applyNumberFormat="1" applyFont="1" applyFill="1" applyBorder="1" applyAlignment="1">
      <alignment horizontal="center"/>
    </xf>
    <xf numFmtId="1" fontId="63" fillId="50" borderId="0" xfId="0" quotePrefix="1" applyNumberFormat="1" applyFont="1" applyFill="1" applyBorder="1" applyAlignment="1">
      <alignment horizontal="center"/>
    </xf>
    <xf numFmtId="1" fontId="79" fillId="6" borderId="4" xfId="0" applyNumberFormat="1" applyFont="1" applyFill="1" applyBorder="1" applyAlignment="1">
      <alignment horizontal="center"/>
    </xf>
    <xf numFmtId="1" fontId="79" fillId="6" borderId="0" xfId="0" applyNumberFormat="1" applyFont="1" applyFill="1" applyBorder="1" applyAlignment="1">
      <alignment horizontal="center"/>
    </xf>
    <xf numFmtId="0" fontId="5" fillId="23" borderId="47" xfId="0" applyFont="1" applyFill="1" applyBorder="1" applyAlignment="1">
      <alignment horizontal="center"/>
    </xf>
    <xf numFmtId="0" fontId="5" fillId="23" borderId="30" xfId="0" applyFont="1" applyFill="1" applyBorder="1" applyAlignment="1">
      <alignment horizontal="center"/>
    </xf>
    <xf numFmtId="1" fontId="0" fillId="50" borderId="4" xfId="0" quotePrefix="1" applyNumberFormat="1" applyFill="1" applyBorder="1" applyAlignment="1">
      <alignment horizontal="center"/>
    </xf>
    <xf numFmtId="1" fontId="0" fillId="50" borderId="0" xfId="0" quotePrefix="1" applyNumberFormat="1" applyFill="1" applyBorder="1" applyAlignment="1">
      <alignment horizontal="center"/>
    </xf>
    <xf numFmtId="0" fontId="0" fillId="23" borderId="1" xfId="0" applyFill="1" applyBorder="1" applyAlignment="1">
      <alignment horizontal="center"/>
    </xf>
    <xf numFmtId="0" fontId="0" fillId="23" borderId="3" xfId="0" applyFill="1" applyBorder="1" applyAlignment="1">
      <alignment horizontal="center"/>
    </xf>
    <xf numFmtId="0" fontId="0" fillId="23" borderId="6" xfId="0" applyFill="1" applyBorder="1" applyAlignment="1">
      <alignment horizontal="center"/>
    </xf>
    <xf numFmtId="0" fontId="0" fillId="23" borderId="8" xfId="0" applyFill="1" applyBorder="1" applyAlignment="1">
      <alignment horizontal="center"/>
    </xf>
    <xf numFmtId="0" fontId="0" fillId="34" borderId="4" xfId="0" applyFill="1" applyBorder="1" applyAlignment="1">
      <alignment horizontal="center"/>
    </xf>
    <xf numFmtId="0" fontId="0" fillId="34" borderId="5" xfId="0" applyFill="1" applyBorder="1" applyAlignment="1">
      <alignment horizontal="center"/>
    </xf>
    <xf numFmtId="1" fontId="0" fillId="37" borderId="4" xfId="0" applyNumberFormat="1" applyFill="1" applyBorder="1" applyAlignment="1">
      <alignment horizontal="center"/>
    </xf>
    <xf numFmtId="1" fontId="0" fillId="37" borderId="0" xfId="0" applyNumberFormat="1" applyFill="1" applyBorder="1" applyAlignment="1">
      <alignment horizontal="center"/>
    </xf>
    <xf numFmtId="0" fontId="0" fillId="34" borderId="1" xfId="0" applyFill="1" applyBorder="1" applyAlignment="1">
      <alignment horizontal="center"/>
    </xf>
    <xf numFmtId="0" fontId="0" fillId="34" borderId="3" xfId="0" applyFill="1" applyBorder="1" applyAlignment="1">
      <alignment horizontal="center"/>
    </xf>
    <xf numFmtId="0" fontId="0" fillId="72" borderId="4" xfId="0" applyFill="1" applyBorder="1" applyAlignment="1">
      <alignment horizontal="center" vertical="center" wrapText="1"/>
    </xf>
    <xf numFmtId="0" fontId="0" fillId="72" borderId="5" xfId="0" applyFill="1" applyBorder="1" applyAlignment="1">
      <alignment horizontal="center" vertical="center" wrapText="1"/>
    </xf>
    <xf numFmtId="0" fontId="4" fillId="23" borderId="2" xfId="0" applyFont="1" applyFill="1" applyBorder="1" applyAlignment="1" applyProtection="1">
      <alignment horizontal="center"/>
    </xf>
    <xf numFmtId="1" fontId="0" fillId="6" borderId="4" xfId="0" quotePrefix="1" applyNumberFormat="1" applyFill="1" applyBorder="1" applyAlignment="1">
      <alignment horizontal="center"/>
    </xf>
    <xf numFmtId="1" fontId="0" fillId="6" borderId="0" xfId="0" quotePrefix="1" applyNumberFormat="1" applyFill="1" applyBorder="1" applyAlignment="1">
      <alignment horizontal="center"/>
    </xf>
    <xf numFmtId="1" fontId="0" fillId="6" borderId="4" xfId="0" applyNumberFormat="1" applyFill="1" applyBorder="1" applyAlignment="1">
      <alignment horizontal="center"/>
    </xf>
    <xf numFmtId="1" fontId="0" fillId="6" borderId="0" xfId="0" applyNumberFormat="1" applyFill="1" applyBorder="1" applyAlignment="1">
      <alignment horizontal="center"/>
    </xf>
    <xf numFmtId="0" fontId="4" fillId="23" borderId="6" xfId="0" applyFont="1" applyFill="1" applyBorder="1" applyAlignment="1" applyProtection="1">
      <alignment horizontal="center"/>
    </xf>
    <xf numFmtId="0" fontId="4" fillId="23" borderId="7" xfId="0" applyFont="1" applyFill="1" applyBorder="1" applyAlignment="1" applyProtection="1">
      <alignment horizontal="center"/>
    </xf>
    <xf numFmtId="0" fontId="4" fillId="23" borderId="8" xfId="0" applyFont="1" applyFill="1" applyBorder="1" applyAlignment="1" applyProtection="1">
      <alignment horizontal="center"/>
    </xf>
    <xf numFmtId="0" fontId="12" fillId="12" borderId="1" xfId="1" applyFill="1" applyBorder="1" applyAlignment="1" applyProtection="1">
      <alignment horizontal="left"/>
      <protection locked="0"/>
    </xf>
    <xf numFmtId="0" fontId="12" fillId="12" borderId="3" xfId="1" applyFill="1" applyBorder="1" applyAlignment="1" applyProtection="1">
      <alignment horizontal="left"/>
      <protection locked="0"/>
    </xf>
    <xf numFmtId="0" fontId="12" fillId="13" borderId="4" xfId="1" applyFill="1" applyBorder="1" applyAlignment="1" applyProtection="1">
      <alignment horizontal="left"/>
      <protection locked="0"/>
    </xf>
    <xf numFmtId="0" fontId="12" fillId="13" borderId="5" xfId="1" applyFill="1" applyBorder="1" applyAlignment="1" applyProtection="1">
      <alignment horizontal="left"/>
      <protection locked="0"/>
    </xf>
    <xf numFmtId="0" fontId="34" fillId="20" borderId="4" xfId="1" applyFont="1" applyFill="1" applyBorder="1" applyAlignment="1" applyProtection="1">
      <alignment horizontal="left"/>
      <protection locked="0"/>
    </xf>
    <xf numFmtId="0" fontId="34" fillId="20" borderId="5" xfId="1" applyFont="1" applyFill="1" applyBorder="1" applyAlignment="1" applyProtection="1">
      <alignment horizontal="left"/>
      <protection locked="0"/>
    </xf>
    <xf numFmtId="0" fontId="12" fillId="17" borderId="4" xfId="1" applyFill="1" applyBorder="1" applyAlignment="1" applyProtection="1">
      <alignment horizontal="left"/>
      <protection locked="0"/>
    </xf>
    <xf numFmtId="0" fontId="12" fillId="17" borderId="5" xfId="1" applyFill="1" applyBorder="1" applyAlignment="1" applyProtection="1">
      <alignment horizontal="left"/>
      <protection locked="0"/>
    </xf>
    <xf numFmtId="0" fontId="0" fillId="2" borderId="0" xfId="0" applyFill="1" applyAlignment="1">
      <alignment horizontal="justify" vertical="top" wrapText="1"/>
    </xf>
    <xf numFmtId="0" fontId="12" fillId="49" borderId="0" xfId="1" applyFill="1" applyAlignment="1" applyProtection="1">
      <alignment horizontal="center"/>
    </xf>
    <xf numFmtId="0" fontId="131" fillId="70" borderId="0" xfId="0" applyFont="1" applyFill="1" applyAlignment="1" applyProtection="1">
      <alignment horizontal="center" vertical="center" wrapText="1"/>
    </xf>
    <xf numFmtId="0" fontId="12" fillId="32" borderId="0" xfId="1" applyFill="1" applyBorder="1" applyAlignment="1" applyProtection="1">
      <alignment horizontal="left"/>
      <protection locked="0"/>
    </xf>
    <xf numFmtId="0" fontId="127" fillId="70" borderId="0" xfId="0" applyFont="1" applyFill="1" applyAlignment="1" applyProtection="1">
      <alignment horizontal="center" vertical="center"/>
    </xf>
    <xf numFmtId="0" fontId="0" fillId="35" borderId="22" xfId="0" applyFill="1" applyBorder="1" applyAlignment="1" applyProtection="1">
      <alignment horizontal="center"/>
    </xf>
    <xf numFmtId="0" fontId="0" fillId="32" borderId="0" xfId="0" applyFill="1" applyBorder="1" applyAlignment="1" applyProtection="1">
      <alignment horizontal="left" vertical="center" wrapText="1"/>
    </xf>
    <xf numFmtId="0" fontId="12" fillId="27" borderId="0" xfId="1" applyFill="1" applyAlignment="1" applyProtection="1"/>
    <xf numFmtId="0" fontId="83" fillId="34" borderId="0" xfId="2" applyFont="1" applyFill="1" applyBorder="1" applyAlignment="1" applyProtection="1">
      <alignment horizontal="center"/>
      <protection locked="0"/>
    </xf>
    <xf numFmtId="0" fontId="79" fillId="0" borderId="0" xfId="7" applyFont="1" applyAlignment="1">
      <alignment horizontal="center"/>
    </xf>
    <xf numFmtId="0" fontId="0" fillId="33" borderId="21" xfId="0" applyFill="1" applyBorder="1" applyAlignment="1">
      <alignment horizontal="center" wrapText="1"/>
    </xf>
    <xf numFmtId="0" fontId="0" fillId="33" borderId="25" xfId="0" applyFill="1" applyBorder="1" applyAlignment="1">
      <alignment horizontal="center" wrapText="1"/>
    </xf>
    <xf numFmtId="0" fontId="0" fillId="33" borderId="0" xfId="0" applyFill="1" applyBorder="1" applyAlignment="1">
      <alignment horizontal="center" wrapText="1"/>
    </xf>
    <xf numFmtId="0" fontId="0" fillId="33" borderId="22" xfId="0" applyFill="1" applyBorder="1" applyAlignment="1">
      <alignment horizontal="center" wrapText="1"/>
    </xf>
    <xf numFmtId="0" fontId="17" fillId="33" borderId="0" xfId="0" applyFont="1" applyFill="1" applyBorder="1" applyAlignment="1">
      <alignment horizontal="center" wrapText="1"/>
    </xf>
    <xf numFmtId="0" fontId="17" fillId="33" borderId="22" xfId="0" applyFont="1" applyFill="1" applyBorder="1" applyAlignment="1">
      <alignment horizontal="center" wrapText="1"/>
    </xf>
    <xf numFmtId="0" fontId="4" fillId="33" borderId="21" xfId="0" applyFont="1" applyFill="1" applyBorder="1" applyAlignment="1">
      <alignment horizontal="center" wrapText="1"/>
    </xf>
    <xf numFmtId="0" fontId="4" fillId="33" borderId="18" xfId="0" applyFont="1" applyFill="1" applyBorder="1" applyAlignment="1">
      <alignment horizontal="center" wrapText="1"/>
    </xf>
    <xf numFmtId="0" fontId="0" fillId="33" borderId="18" xfId="0" applyFill="1" applyBorder="1" applyAlignment="1">
      <alignment horizontal="center" vertical="center" wrapText="1"/>
    </xf>
    <xf numFmtId="0" fontId="0" fillId="33" borderId="23" xfId="0" applyFill="1" applyBorder="1" applyAlignment="1">
      <alignment horizontal="center" vertical="center" wrapText="1"/>
    </xf>
    <xf numFmtId="0" fontId="16" fillId="57" borderId="0" xfId="0" applyFont="1" applyFill="1" applyAlignment="1">
      <alignment horizontal="center"/>
    </xf>
    <xf numFmtId="0" fontId="5" fillId="3" borderId="0" xfId="0" applyFont="1" applyFill="1" applyAlignment="1">
      <alignment horizontal="center"/>
    </xf>
    <xf numFmtId="0" fontId="79" fillId="12" borderId="0" xfId="0" applyFont="1" applyFill="1" applyAlignment="1">
      <alignment horizontal="center"/>
    </xf>
    <xf numFmtId="0" fontId="93" fillId="12" borderId="0" xfId="0" applyFont="1" applyFill="1" applyAlignment="1">
      <alignment horizontal="center"/>
    </xf>
  </cellXfs>
  <cellStyles count="14">
    <cellStyle name="Comma" xfId="13" builtinId="3"/>
    <cellStyle name="Hyperlink" xfId="1" builtinId="8"/>
    <cellStyle name="Normal" xfId="0" builtinId="0"/>
    <cellStyle name="Normal 2" xfId="2"/>
    <cellStyle name="Normal 2 2" xfId="7"/>
    <cellStyle name="Normal 3" xfId="6"/>
    <cellStyle name="Normal 4" xfId="11"/>
    <cellStyle name="Normal 5" xfId="12"/>
    <cellStyle name="Percent" xfId="3" builtinId="5"/>
    <cellStyle name="Pourcentage 2" xfId="4"/>
    <cellStyle name="Pourcentage 2 2" xfId="8"/>
    <cellStyle name="Pourcentage 3" xfId="5"/>
    <cellStyle name="Pourcentage 3 2" xfId="9"/>
    <cellStyle name="Pourcentage 4" xfId="10"/>
  </cellStyles>
  <dxfs count="98">
    <dxf>
      <fill>
        <patternFill>
          <bgColor theme="4" tint="0.79998168889431442"/>
        </patternFill>
      </fill>
    </dxf>
    <dxf>
      <fill>
        <patternFill>
          <bgColor theme="4" tint="0.7999816888943144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ont>
        <color theme="1"/>
      </font>
      <fill>
        <patternFill>
          <bgColor theme="7" tint="0.3999450666829432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2" tint="-0.24994659260841701"/>
      </font>
      <fill>
        <patternFill>
          <bgColor theme="2" tint="-0.24994659260841701"/>
        </patternFill>
      </fill>
    </dxf>
    <dxf>
      <font>
        <color theme="2" tint="-0.24994659260841701"/>
      </font>
      <fill>
        <patternFill>
          <bgColor theme="2"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4" tint="0.79998168889431442"/>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rgb="FFFF6600"/>
      </font>
      <fill>
        <patternFill>
          <bgColor rgb="FFFFFF99"/>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ont>
        <color theme="1"/>
      </font>
      <fill>
        <patternFill>
          <bgColor theme="8"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2" tint="-0.499984740745262"/>
        </patternFill>
      </fill>
    </dxf>
    <dxf>
      <font>
        <color theme="7" tint="-0.24994659260841701"/>
      </font>
      <fill>
        <patternFill>
          <bgColor theme="8" tint="0.59996337778862885"/>
        </patternFill>
      </fill>
    </dxf>
    <dxf>
      <font>
        <color rgb="FFFFFF66"/>
      </font>
    </dxf>
  </dxfs>
  <tableStyles count="0" defaultTableStyle="TableStyleMedium2" defaultPivotStyle="PivotStyleLight16"/>
  <colors>
    <mruColors>
      <color rgb="FF99FF99"/>
      <color rgb="FFFFFF99"/>
      <color rgb="FFCCECFF"/>
      <color rgb="FFFFFFCC"/>
      <color rgb="FFCCFF99"/>
      <color rgb="FFFFFF66"/>
      <color rgb="FFFF66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Results'!$D$11</c:f>
              <c:strCache>
                <c:ptCount val="1"/>
                <c:pt idx="0">
                  <c:v>Without</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Results'!$D$15:$D$17,'9. Results'!$D$19:$D$21,'9. Results'!$D$23:$D$28)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8AC-4804-AC2C-7A1BF1B8CB87}"/>
            </c:ext>
          </c:extLst>
        </c:ser>
        <c:ser>
          <c:idx val="1"/>
          <c:order val="1"/>
          <c:tx>
            <c:strRef>
              <c:f>'9. Results'!$E$11</c:f>
              <c:strCache>
                <c:ptCount val="1"/>
                <c:pt idx="0">
                  <c:v>With</c:v>
                </c:pt>
              </c:strCache>
            </c:strRef>
          </c:tx>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Results'!$E$15:$E$17,'9. Results'!$E$19:$E$21,'9. Results'!$E$23:$E$28)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8AC-4804-AC2C-7A1BF1B8CB87}"/>
            </c:ext>
          </c:extLst>
        </c:ser>
        <c:dLbls>
          <c:showLegendKey val="0"/>
          <c:showVal val="0"/>
          <c:showCatName val="0"/>
          <c:showSerName val="0"/>
          <c:showPercent val="0"/>
          <c:showBubbleSize val="0"/>
        </c:dLbls>
        <c:gapWidth val="150"/>
        <c:shape val="box"/>
        <c:axId val="242273528"/>
        <c:axId val="241525768"/>
        <c:axId val="0"/>
      </c:bar3DChart>
      <c:catAx>
        <c:axId val="242273528"/>
        <c:scaling>
          <c:orientation val="minMax"/>
        </c:scaling>
        <c:delete val="0"/>
        <c:axPos val="b"/>
        <c:numFmt formatCode="General" sourceLinked="1"/>
        <c:majorTickMark val="out"/>
        <c:minorTickMark val="none"/>
        <c:tickLblPos val="low"/>
        <c:crossAx val="241525768"/>
        <c:crosses val="autoZero"/>
        <c:auto val="1"/>
        <c:lblAlgn val="ctr"/>
        <c:lblOffset val="100"/>
        <c:noMultiLvlLbl val="0"/>
      </c:catAx>
      <c:valAx>
        <c:axId val="241525768"/>
        <c:scaling>
          <c:orientation val="minMax"/>
        </c:scaling>
        <c:delete val="0"/>
        <c:axPos val="l"/>
        <c:majorGridlines/>
        <c:numFmt formatCode="#,##0" sourceLinked="1"/>
        <c:majorTickMark val="out"/>
        <c:minorTickMark val="none"/>
        <c:tickLblPos val="nextTo"/>
        <c:crossAx val="242273528"/>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'9. Results'!$F$11</c:f>
              <c:strCache>
                <c:ptCount val="1"/>
                <c:pt idx="0">
                  <c:v>Balance</c:v>
                </c:pt>
              </c:strCache>
            </c:strRef>
          </c:tx>
          <c:spPr>
            <a:solidFill>
              <a:schemeClr val="accent3">
                <a:lumMod val="50000"/>
              </a:schemeClr>
            </a:solidFill>
          </c:spPr>
          <c:invertIfNegative val="0"/>
          <c:cat>
            <c:strRef>
              <c:f>('9. Results'!$B$15:$B$17,'9. Results'!$B$19:$B$21,'9. Results'!$B$23:$B$28)</c:f>
              <c:strCache>
                <c:ptCount val="12"/>
                <c:pt idx="0">
                  <c:v>Deforestation</c:v>
                </c:pt>
                <c:pt idx="1">
                  <c:v>Afforestation</c:v>
                </c:pt>
                <c:pt idx="2">
                  <c:v>Other LUC</c:v>
                </c:pt>
                <c:pt idx="3">
                  <c:v>Annual</c:v>
                </c:pt>
                <c:pt idx="4">
                  <c:v>Perennial</c:v>
                </c:pt>
                <c:pt idx="5">
                  <c:v>Rice</c:v>
                </c:pt>
                <c:pt idx="6">
                  <c:v>Grassland</c:v>
                </c:pt>
                <c:pt idx="7">
                  <c:v>Livestocks</c:v>
                </c:pt>
                <c:pt idx="8">
                  <c:v>Degradation &amp; Management</c:v>
                </c:pt>
                <c:pt idx="9">
                  <c:v>Coastal wetlands</c:v>
                </c:pt>
                <c:pt idx="10">
                  <c:v>Inputs &amp; Investments</c:v>
                </c:pt>
                <c:pt idx="11">
                  <c:v>Fishery &amp; Aquaculture</c:v>
                </c:pt>
              </c:strCache>
            </c:strRef>
          </c:cat>
          <c:val>
            <c:numRef>
              <c:f>('9. Results'!$F$15:$F$17,'9. Results'!$F$19:$F$21,'9. Results'!$F$23:$F$28)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7CF-4972-9F63-6D7B1B30E555}"/>
            </c:ext>
          </c:extLst>
        </c:ser>
        <c:dLbls>
          <c:showLegendKey val="0"/>
          <c:showVal val="0"/>
          <c:showCatName val="0"/>
          <c:showSerName val="0"/>
          <c:showPercent val="0"/>
          <c:showBubbleSize val="0"/>
        </c:dLbls>
        <c:gapWidth val="150"/>
        <c:shape val="box"/>
        <c:axId val="230002056"/>
        <c:axId val="241535568"/>
        <c:axId val="0"/>
      </c:bar3DChart>
      <c:catAx>
        <c:axId val="230002056"/>
        <c:scaling>
          <c:orientation val="minMax"/>
        </c:scaling>
        <c:delete val="0"/>
        <c:axPos val="b"/>
        <c:numFmt formatCode="General" sourceLinked="1"/>
        <c:majorTickMark val="out"/>
        <c:minorTickMark val="none"/>
        <c:tickLblPos val="low"/>
        <c:crossAx val="241535568"/>
        <c:crosses val="autoZero"/>
        <c:auto val="1"/>
        <c:lblAlgn val="ctr"/>
        <c:lblOffset val="100"/>
        <c:noMultiLvlLbl val="0"/>
      </c:catAx>
      <c:valAx>
        <c:axId val="241535568"/>
        <c:scaling>
          <c:orientation val="minMax"/>
        </c:scaling>
        <c:delete val="0"/>
        <c:axPos val="l"/>
        <c:majorGridlines/>
        <c:numFmt formatCode="#,##0" sourceLinked="1"/>
        <c:majorTickMark val="out"/>
        <c:minorTickMark val="none"/>
        <c:tickLblPos val="nextTo"/>
        <c:crossAx val="230002056"/>
        <c:crosses val="autoZero"/>
        <c:crossBetween val="between"/>
      </c:valAx>
    </c:plotArea>
    <c:legend>
      <c:legendPos val="r"/>
      <c:layout>
        <c:manualLayout>
          <c:xMode val="edge"/>
          <c:yMode val="edge"/>
          <c:x val="0.83427865266841961"/>
          <c:y val="6.9060586176727903E-2"/>
          <c:w val="0.13841443999827943"/>
          <c:h val="0.14630188823484438"/>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chemeClr val="bg2">
                  <a:lumMod val="25000"/>
                </a:schemeClr>
              </a:solidFill>
            </c:spPr>
            <c:extLst xmlns:c16r2="http://schemas.microsoft.com/office/drawing/2015/06/chart">
              <c:ext xmlns:c16="http://schemas.microsoft.com/office/drawing/2014/chart" uri="{C3380CC4-5D6E-409C-BE32-E72D297353CC}">
                <c16:uniqueId val="{00000001-7FFE-458A-A796-D6B33A13ABFF}"/>
              </c:ext>
            </c:extLst>
          </c:dPt>
          <c:dPt>
            <c:idx val="1"/>
            <c:invertIfNegative val="0"/>
            <c:bubble3D val="0"/>
            <c:spPr>
              <a:solidFill>
                <a:schemeClr val="bg2">
                  <a:lumMod val="50000"/>
                </a:schemeClr>
              </a:solidFill>
            </c:spPr>
            <c:extLst xmlns:c16r2="http://schemas.microsoft.com/office/drawing/2015/06/chart">
              <c:ext xmlns:c16="http://schemas.microsoft.com/office/drawing/2014/chart" uri="{C3380CC4-5D6E-409C-BE32-E72D297353CC}">
                <c16:uniqueId val="{00000003-7FFE-458A-A796-D6B33A13ABFF}"/>
              </c:ext>
            </c:extLst>
          </c:dPt>
          <c:dPt>
            <c:idx val="2"/>
            <c:invertIfNegative val="0"/>
            <c:bubble3D val="0"/>
            <c:spPr>
              <a:solidFill>
                <a:schemeClr val="bg2">
                  <a:lumMod val="75000"/>
                </a:schemeClr>
              </a:solidFill>
            </c:spPr>
            <c:extLst xmlns:c16r2="http://schemas.microsoft.com/office/drawing/2015/06/chart">
              <c:ext xmlns:c16="http://schemas.microsoft.com/office/drawing/2014/chart" uri="{C3380CC4-5D6E-409C-BE32-E72D297353CC}">
                <c16:uniqueId val="{00000005-7FFE-458A-A796-D6B33A13ABF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7-7FFE-458A-A796-D6B33A13ABFF}"/>
              </c:ext>
            </c:extLst>
          </c:dPt>
          <c:dPt>
            <c:idx val="4"/>
            <c:invertIfNegative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9-7FFE-458A-A796-D6B33A13ABFF}"/>
              </c:ext>
            </c:extLst>
          </c:dPt>
          <c:cat>
            <c:strRef>
              <c:f>'9. Results'!$H$14:$L$14</c:f>
              <c:strCache>
                <c:ptCount val="5"/>
                <c:pt idx="0">
                  <c:v>CO2-Biomass</c:v>
                </c:pt>
                <c:pt idx="1">
                  <c:v>CO2-Soil</c:v>
                </c:pt>
                <c:pt idx="2">
                  <c:v>CO2-Other</c:v>
                </c:pt>
                <c:pt idx="3">
                  <c:v>N2O</c:v>
                </c:pt>
                <c:pt idx="4">
                  <c:v>CH4</c:v>
                </c:pt>
              </c:strCache>
            </c:strRef>
          </c:cat>
          <c:val>
            <c:numRef>
              <c:f>'9. Results'!$H$30:$L$30</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A-7FFE-458A-A796-D6B33A13ABFF}"/>
            </c:ext>
          </c:extLst>
        </c:ser>
        <c:dLbls>
          <c:showLegendKey val="0"/>
          <c:showVal val="0"/>
          <c:showCatName val="0"/>
          <c:showSerName val="0"/>
          <c:showPercent val="0"/>
          <c:showBubbleSize val="0"/>
        </c:dLbls>
        <c:gapWidth val="150"/>
        <c:shape val="box"/>
        <c:axId val="227653504"/>
        <c:axId val="241517280"/>
        <c:axId val="0"/>
      </c:bar3DChart>
      <c:catAx>
        <c:axId val="227653504"/>
        <c:scaling>
          <c:orientation val="minMax"/>
        </c:scaling>
        <c:delete val="0"/>
        <c:axPos val="b"/>
        <c:numFmt formatCode="General" sourceLinked="0"/>
        <c:majorTickMark val="out"/>
        <c:minorTickMark val="none"/>
        <c:tickLblPos val="low"/>
        <c:crossAx val="241517280"/>
        <c:crosses val="autoZero"/>
        <c:auto val="1"/>
        <c:lblAlgn val="ctr"/>
        <c:lblOffset val="100"/>
        <c:noMultiLvlLbl val="0"/>
      </c:catAx>
      <c:valAx>
        <c:axId val="241517280"/>
        <c:scaling>
          <c:orientation val="minMax"/>
        </c:scaling>
        <c:delete val="0"/>
        <c:axPos val="l"/>
        <c:majorGridlines/>
        <c:numFmt formatCode="#,##0" sourceLinked="1"/>
        <c:majorTickMark val="out"/>
        <c:minorTickMark val="none"/>
        <c:tickLblPos val="nextTo"/>
        <c:crossAx val="227653504"/>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1"/>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1-FAB9-4BF0-A76A-DDBF0B5C13B8}"/>
              </c:ext>
            </c:extLst>
          </c:dPt>
          <c:dPt>
            <c:idx val="2"/>
            <c:invertIfNegative val="0"/>
            <c:bubble3D val="0"/>
            <c:spPr>
              <a:solidFill>
                <a:schemeClr val="accent3">
                  <a:lumMod val="50000"/>
                </a:schemeClr>
              </a:solidFill>
            </c:spPr>
            <c:extLst xmlns:c16r2="http://schemas.microsoft.com/office/drawing/2015/06/chart">
              <c:ext xmlns:c16="http://schemas.microsoft.com/office/drawing/2014/chart" uri="{C3380CC4-5D6E-409C-BE32-E72D297353CC}">
                <c16:uniqueId val="{00000003-FAB9-4BF0-A76A-DDBF0B5C13B8}"/>
              </c:ext>
            </c:extLst>
          </c:dPt>
          <c:cat>
            <c:strRef>
              <c:f>'9. Results'!$D$11:$F$11</c:f>
              <c:strCache>
                <c:ptCount val="3"/>
                <c:pt idx="0">
                  <c:v>Without</c:v>
                </c:pt>
                <c:pt idx="1">
                  <c:v>With</c:v>
                </c:pt>
                <c:pt idx="2">
                  <c:v>Balance</c:v>
                </c:pt>
              </c:strCache>
            </c:strRef>
          </c:cat>
          <c:val>
            <c:numRef>
              <c:f>'9. Results'!$D$30:$F$30</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FAB9-4BF0-A76A-DDBF0B5C13B8}"/>
            </c:ext>
          </c:extLst>
        </c:ser>
        <c:dLbls>
          <c:showLegendKey val="0"/>
          <c:showVal val="0"/>
          <c:showCatName val="0"/>
          <c:showSerName val="0"/>
          <c:showPercent val="0"/>
          <c:showBubbleSize val="0"/>
        </c:dLbls>
        <c:gapWidth val="150"/>
        <c:shape val="box"/>
        <c:axId val="155316000"/>
        <c:axId val="155316784"/>
        <c:axId val="0"/>
      </c:bar3DChart>
      <c:catAx>
        <c:axId val="155316000"/>
        <c:scaling>
          <c:orientation val="minMax"/>
        </c:scaling>
        <c:delete val="0"/>
        <c:axPos val="b"/>
        <c:numFmt formatCode="General" sourceLinked="1"/>
        <c:majorTickMark val="out"/>
        <c:minorTickMark val="none"/>
        <c:tickLblPos val="low"/>
        <c:crossAx val="155316784"/>
        <c:crosses val="autoZero"/>
        <c:auto val="1"/>
        <c:lblAlgn val="ctr"/>
        <c:lblOffset val="100"/>
        <c:noMultiLvlLbl val="0"/>
      </c:catAx>
      <c:valAx>
        <c:axId val="155316784"/>
        <c:scaling>
          <c:orientation val="minMax"/>
        </c:scaling>
        <c:delete val="0"/>
        <c:axPos val="l"/>
        <c:majorGridlines/>
        <c:numFmt formatCode="#,##0" sourceLinked="1"/>
        <c:majorTickMark val="out"/>
        <c:minorTickMark val="none"/>
        <c:tickLblPos val="nextTo"/>
        <c:crossAx val="155316000"/>
        <c:crosses val="autoZero"/>
        <c:crossBetween val="between"/>
      </c:valAx>
    </c:plotArea>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77152008453922"/>
          <c:y val="5.0851241311683774E-2"/>
          <c:w val="0.81773093300829891"/>
          <c:h val="0.67077642252526726"/>
        </c:manualLayout>
      </c:layout>
      <c:barChart>
        <c:barDir val="col"/>
        <c:grouping val="clustered"/>
        <c:varyColors val="0"/>
        <c:ser>
          <c:idx val="0"/>
          <c:order val="0"/>
          <c:tx>
            <c:strRef>
              <c:f>'9. Results'!$K$208</c:f>
              <c:strCache>
                <c:ptCount val="1"/>
                <c:pt idx="0">
                  <c:v>Without</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Results'!$K$209:$K$213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CB0-466E-8788-6C588A6E8570}"/>
            </c:ext>
          </c:extLst>
        </c:ser>
        <c:ser>
          <c:idx val="1"/>
          <c:order val="1"/>
          <c:tx>
            <c:strRef>
              <c:f>'9. Results'!$L$208</c:f>
              <c:strCache>
                <c:ptCount val="1"/>
                <c:pt idx="0">
                  <c:v>With</c:v>
                </c:pt>
              </c:strCache>
            </c:strRef>
          </c:tx>
          <c:invertIfNegative val="0"/>
          <c:cat>
            <c:strRef>
              <c:f>'9. Results'!$B$209:$J$213</c:f>
              <c:strCache>
                <c:ptCount val="5"/>
                <c:pt idx="0">
                  <c:v>PRODUCTION</c:v>
                </c:pt>
                <c:pt idx="1">
                  <c:v>PROCESSING</c:v>
                </c:pt>
                <c:pt idx="2">
                  <c:v>TRANSPORT</c:v>
                </c:pt>
                <c:pt idx="3">
                  <c:v>USE</c:v>
                </c:pt>
                <c:pt idx="4">
                  <c:v>WASTE</c:v>
                </c:pt>
              </c:strCache>
            </c:strRef>
          </c:cat>
          <c:val>
            <c:numRef>
              <c:f>'9. Results'!$L$209:$L$213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CB0-466E-8788-6C588A6E8570}"/>
            </c:ext>
          </c:extLst>
        </c:ser>
        <c:dLbls>
          <c:showLegendKey val="0"/>
          <c:showVal val="0"/>
          <c:showCatName val="0"/>
          <c:showSerName val="0"/>
          <c:showPercent val="0"/>
          <c:showBubbleSize val="0"/>
        </c:dLbls>
        <c:gapWidth val="150"/>
        <c:axId val="155317568"/>
        <c:axId val="155317960"/>
      </c:barChart>
      <c:catAx>
        <c:axId val="155317568"/>
        <c:scaling>
          <c:orientation val="minMax"/>
        </c:scaling>
        <c:delete val="0"/>
        <c:axPos val="b"/>
        <c:numFmt formatCode="General" sourceLinked="0"/>
        <c:majorTickMark val="out"/>
        <c:minorTickMark val="none"/>
        <c:tickLblPos val="nextTo"/>
        <c:crossAx val="155317960"/>
        <c:crosses val="autoZero"/>
        <c:auto val="1"/>
        <c:lblAlgn val="ctr"/>
        <c:lblOffset val="100"/>
        <c:noMultiLvlLbl val="0"/>
      </c:catAx>
      <c:valAx>
        <c:axId val="155317960"/>
        <c:scaling>
          <c:orientation val="minMax"/>
        </c:scaling>
        <c:delete val="0"/>
        <c:axPos val="l"/>
        <c:majorGridlines/>
        <c:numFmt formatCode="0" sourceLinked="0"/>
        <c:majorTickMark val="out"/>
        <c:minorTickMark val="none"/>
        <c:tickLblPos val="nextTo"/>
        <c:crossAx val="155317568"/>
        <c:crosses val="autoZero"/>
        <c:crossBetween val="between"/>
      </c:valAx>
    </c:plotArea>
    <c:legend>
      <c:legendPos val="r"/>
      <c:layout>
        <c:manualLayout>
          <c:xMode val="edge"/>
          <c:yMode val="edge"/>
          <c:x val="0.54410702868888605"/>
          <c:y val="5.5345201099381014E-2"/>
          <c:w val="0.39543957680243885"/>
          <c:h val="0.12900380224845837"/>
        </c:manualLayout>
      </c:layout>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5"/>
          <c:order val="0"/>
          <c:tx>
            <c:strRef>
              <c:f>'9. Results'!$B$209</c:f>
              <c:strCache>
                <c:ptCount val="1"/>
                <c:pt idx="0">
                  <c:v>PRODUCTION</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Results'!$K$209:$L$209</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0-655D-47F2-927E-40232E763BAE}"/>
            </c:ext>
          </c:extLst>
        </c:ser>
        <c:ser>
          <c:idx val="6"/>
          <c:order val="1"/>
          <c:tx>
            <c:strRef>
              <c:f>'9. Results'!$B$210</c:f>
              <c:strCache>
                <c:ptCount val="1"/>
                <c:pt idx="0">
                  <c:v>PROCESSING</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Results'!$K$210:$L$210</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1-655D-47F2-927E-40232E763BAE}"/>
            </c:ext>
          </c:extLst>
        </c:ser>
        <c:ser>
          <c:idx val="2"/>
          <c:order val="2"/>
          <c:tx>
            <c:strRef>
              <c:f>'9. Results'!$B$211</c:f>
              <c:strCache>
                <c:ptCount val="1"/>
                <c:pt idx="0">
                  <c:v>TRANSPORT</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Results'!$K$211:$L$211</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2-655D-47F2-927E-40232E763BAE}"/>
            </c:ext>
          </c:extLst>
        </c:ser>
        <c:ser>
          <c:idx val="3"/>
          <c:order val="3"/>
          <c:tx>
            <c:strRef>
              <c:f>'9. Results'!$B$212</c:f>
              <c:strCache>
                <c:ptCount val="1"/>
                <c:pt idx="0">
                  <c:v>USE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Results'!$K$212:$L$212</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3-655D-47F2-927E-40232E763BAE}"/>
            </c:ext>
          </c:extLst>
        </c:ser>
        <c:ser>
          <c:idx val="4"/>
          <c:order val="4"/>
          <c:tx>
            <c:strRef>
              <c:f>'9. Results'!$B$213</c:f>
              <c:strCache>
                <c:ptCount val="1"/>
                <c:pt idx="0">
                  <c:v>WASTE</c:v>
                </c:pt>
              </c:strCache>
            </c:strRef>
          </c:tx>
          <c:invertIfNegative val="0"/>
          <c:cat>
            <c:strRef>
              <c:f>('9. Results'!$K$208:$L$208,'9. Results'!$B$210:$L$210,'9. Results'!$B$210:$L$210)</c:f>
              <c:strCache>
                <c:ptCount val="24"/>
                <c:pt idx="0">
                  <c:v>Without</c:v>
                </c:pt>
                <c:pt idx="1">
                  <c:v>With</c:v>
                </c:pt>
                <c:pt idx="2">
                  <c:v>PROCESSING</c:v>
                </c:pt>
                <c:pt idx="11">
                  <c:v>0.00</c:v>
                </c:pt>
                <c:pt idx="12">
                  <c:v>0.00</c:v>
                </c:pt>
                <c:pt idx="13">
                  <c:v>PROCESSING</c:v>
                </c:pt>
                <c:pt idx="22">
                  <c:v>0.00</c:v>
                </c:pt>
                <c:pt idx="23">
                  <c:v>0.00</c:v>
                </c:pt>
              </c:strCache>
            </c:strRef>
          </c:cat>
          <c:val>
            <c:numRef>
              <c:f>'9. Results'!$K$213:$L$213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655D-47F2-927E-40232E763BAE}"/>
            </c:ext>
          </c:extLst>
        </c:ser>
        <c:dLbls>
          <c:showLegendKey val="0"/>
          <c:showVal val="0"/>
          <c:showCatName val="0"/>
          <c:showSerName val="0"/>
          <c:showPercent val="0"/>
          <c:showBubbleSize val="0"/>
        </c:dLbls>
        <c:gapWidth val="150"/>
        <c:axId val="155321096"/>
        <c:axId val="155321488"/>
      </c:barChart>
      <c:catAx>
        <c:axId val="155321096"/>
        <c:scaling>
          <c:orientation val="minMax"/>
        </c:scaling>
        <c:delete val="0"/>
        <c:axPos val="b"/>
        <c:numFmt formatCode="General" sourceLinked="1"/>
        <c:majorTickMark val="out"/>
        <c:minorTickMark val="none"/>
        <c:tickLblPos val="nextTo"/>
        <c:crossAx val="155321488"/>
        <c:crosses val="autoZero"/>
        <c:auto val="1"/>
        <c:lblAlgn val="ctr"/>
        <c:lblOffset val="100"/>
        <c:noMultiLvlLbl val="0"/>
      </c:catAx>
      <c:valAx>
        <c:axId val="155321488"/>
        <c:scaling>
          <c:orientation val="minMax"/>
        </c:scaling>
        <c:delete val="0"/>
        <c:axPos val="l"/>
        <c:majorGridlines/>
        <c:numFmt formatCode="0" sourceLinked="0"/>
        <c:majorTickMark val="out"/>
        <c:minorTickMark val="none"/>
        <c:tickLblPos val="nextTo"/>
        <c:crossAx val="155321096"/>
        <c:crosses val="autoZero"/>
        <c:crossBetween val="between"/>
      </c:valAx>
    </c:plotArea>
    <c:legend>
      <c:legendPos val="r"/>
      <c:overlay val="0"/>
    </c:legend>
    <c:plotVisOnly val="1"/>
    <c:dispBlanksAs val="gap"/>
    <c:showDLblsOverMax val="0"/>
  </c:chart>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2"/>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2638593824358406E-2"/>
          <c:y val="6.2893274903188232E-2"/>
          <c:w val="0.96253055811841093"/>
          <c:h val="0.78302127254469311"/>
        </c:manualLayout>
      </c:layout>
      <c:bar3DChart>
        <c:barDir val="col"/>
        <c:grouping val="clustered"/>
        <c:varyColors val="0"/>
        <c:ser>
          <c:idx val="0"/>
          <c:order val="0"/>
          <c:spPr>
            <a:solidFill>
              <a:srgbClr val="FF9900"/>
            </a:solidFill>
            <a:ln w="254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Results'!$E$18:$E$21,'Gross Results'!$E$23:$E$27,'Gross Results'!$E$29:$E$33)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0-AC78-4AF0-B4F6-08F9BD55A724}"/>
            </c:ext>
          </c:extLst>
        </c:ser>
        <c:ser>
          <c:idx val="1"/>
          <c:order val="1"/>
          <c:spPr>
            <a:solidFill>
              <a:srgbClr val="FF99CC"/>
            </a:solidFill>
            <a:ln w="12700">
              <a:solidFill>
                <a:srgbClr val="000000"/>
              </a:solidFill>
              <a:prstDash val="solid"/>
            </a:ln>
          </c:spPr>
          <c:invertIfNegative val="0"/>
          <c:cat>
            <c:strRef>
              <c:f>('Gross Results'!$B$18:$B$21,'Gross Results'!$B$23:$B$27,'Gross Results'!$B$29:$B$33)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2">
                  <c:v>Coastal Wetlands</c:v>
                </c:pt>
                <c:pt idx="13">
                  <c:v>Fishery&amp;Aquaculture</c:v>
                </c:pt>
              </c:strCache>
            </c:strRef>
          </c:cat>
          <c:val>
            <c:numRef>
              <c:f>('Gross Results'!$I$18:$I$21,'Gross Results'!$I$23:$I$27,'Gross Results'!$I$29:$I$33)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1-AC78-4AF0-B4F6-08F9BD55A724}"/>
            </c:ext>
          </c:extLst>
        </c:ser>
        <c:dLbls>
          <c:showLegendKey val="0"/>
          <c:showVal val="0"/>
          <c:showCatName val="0"/>
          <c:showSerName val="0"/>
          <c:showPercent val="0"/>
          <c:showBubbleSize val="0"/>
        </c:dLbls>
        <c:gapWidth val="150"/>
        <c:shape val="box"/>
        <c:axId val="244631416"/>
        <c:axId val="244631808"/>
        <c:axId val="0"/>
      </c:bar3DChart>
      <c:catAx>
        <c:axId val="244631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25" b="0" i="0" u="none" strike="noStrike" baseline="0">
                <a:solidFill>
                  <a:srgbClr val="000000"/>
                </a:solidFill>
                <a:latin typeface="Arial"/>
                <a:ea typeface="Arial"/>
                <a:cs typeface="Arial"/>
              </a:defRPr>
            </a:pPr>
            <a:endParaRPr lang="en-US"/>
          </a:p>
        </c:txPr>
        <c:crossAx val="244631808"/>
        <c:crosses val="autoZero"/>
        <c:auto val="1"/>
        <c:lblAlgn val="ctr"/>
        <c:lblOffset val="100"/>
        <c:tickLblSkip val="1"/>
        <c:tickMarkSkip val="1"/>
        <c:noMultiLvlLbl val="0"/>
      </c:catAx>
      <c:valAx>
        <c:axId val="244631808"/>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24463141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3"/>
      <c:hPercent val="21"/>
      <c:rotY val="32"/>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1276620516631192E-2"/>
          <c:y val="6.269616468151773E-2"/>
          <c:w val="0.96478468894379454"/>
          <c:h val="0.7805672502848956"/>
        </c:manualLayout>
      </c:layout>
      <c:bar3DChart>
        <c:barDir val="col"/>
        <c:grouping val="clustered"/>
        <c:varyColors val="0"/>
        <c:ser>
          <c:idx val="0"/>
          <c:order val="0"/>
          <c:spPr>
            <a:solidFill>
              <a:srgbClr val="9999FF"/>
            </a:solidFill>
            <a:ln w="12700">
              <a:solidFill>
                <a:srgbClr val="000000"/>
              </a:solidFill>
              <a:prstDash val="solid"/>
            </a:ln>
          </c:spPr>
          <c:invertIfNegative val="0"/>
          <c:dPt>
            <c:idx val="0"/>
            <c:invertIfNegative val="0"/>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1-16A2-4D65-B05F-DBDA42EE0CED}"/>
              </c:ext>
            </c:extLst>
          </c:dPt>
          <c:dPt>
            <c:idx val="1"/>
            <c:invertIfNegative val="0"/>
            <c:bubble3D val="0"/>
            <c:spPr>
              <a:pattFill prst="zigZag">
                <a:fgClr>
                  <a:srgbClr val="000000"/>
                </a:fgClr>
                <a:bgClr>
                  <a:srgbClr val="FF9900"/>
                </a:bgClr>
              </a:pattFill>
              <a:ln w="12700">
                <a:solidFill>
                  <a:srgbClr val="000000"/>
                </a:solidFill>
                <a:prstDash val="solid"/>
              </a:ln>
            </c:spPr>
            <c:extLst xmlns:c16r2="http://schemas.microsoft.com/office/drawing/2015/06/chart">
              <c:ext xmlns:c16="http://schemas.microsoft.com/office/drawing/2014/chart" uri="{C3380CC4-5D6E-409C-BE32-E72D297353CC}">
                <c16:uniqueId val="{00000003-16A2-4D65-B05F-DBDA42EE0CED}"/>
              </c:ext>
            </c:extLst>
          </c:dPt>
          <c:dPt>
            <c:idx val="3"/>
            <c:invertIfNegative val="0"/>
            <c:bubble3D val="0"/>
            <c:spPr>
              <a:solidFill>
                <a:srgbClr val="FFFF00"/>
              </a:solidFill>
              <a:ln w="12700">
                <a:solidFill>
                  <a:srgbClr val="000000"/>
                </a:solidFill>
                <a:prstDash val="solid"/>
              </a:ln>
            </c:spPr>
            <c:extLst xmlns:c16r2="http://schemas.microsoft.com/office/drawing/2015/06/chart">
              <c:ext xmlns:c16="http://schemas.microsoft.com/office/drawing/2014/chart" uri="{C3380CC4-5D6E-409C-BE32-E72D297353CC}">
                <c16:uniqueId val="{00000005-16A2-4D65-B05F-DBDA42EE0CED}"/>
              </c:ext>
            </c:extLst>
          </c:dPt>
          <c:dPt>
            <c:idx val="4"/>
            <c:invertIfNegative val="0"/>
            <c:bubble3D val="0"/>
            <c:spPr>
              <a:solidFill>
                <a:srgbClr val="FFFF00"/>
              </a:solidFill>
              <a:ln w="25400">
                <a:solidFill>
                  <a:srgbClr val="008000"/>
                </a:solidFill>
                <a:prstDash val="solid"/>
              </a:ln>
            </c:spPr>
            <c:extLst xmlns:c16r2="http://schemas.microsoft.com/office/drawing/2015/06/chart">
              <c:ext xmlns:c16="http://schemas.microsoft.com/office/drawing/2014/chart" uri="{C3380CC4-5D6E-409C-BE32-E72D297353CC}">
                <c16:uniqueId val="{00000007-16A2-4D65-B05F-DBDA42EE0CED}"/>
              </c:ext>
            </c:extLst>
          </c:dPt>
          <c:dPt>
            <c:idx val="5"/>
            <c:invertIfNegative val="0"/>
            <c:bubble3D val="0"/>
            <c:spPr>
              <a:solidFill>
                <a:srgbClr val="FFFF00"/>
              </a:solidFill>
              <a:ln w="25400">
                <a:solidFill>
                  <a:srgbClr val="003300"/>
                </a:solidFill>
                <a:prstDash val="solid"/>
              </a:ln>
            </c:spPr>
            <c:extLst xmlns:c16r2="http://schemas.microsoft.com/office/drawing/2015/06/chart">
              <c:ext xmlns:c16="http://schemas.microsoft.com/office/drawing/2014/chart" uri="{C3380CC4-5D6E-409C-BE32-E72D297353CC}">
                <c16:uniqueId val="{00000009-16A2-4D65-B05F-DBDA42EE0CED}"/>
              </c:ext>
            </c:extLst>
          </c:dPt>
          <c:dPt>
            <c:idx val="6"/>
            <c:invertIfNegative val="0"/>
            <c:bubble3D val="0"/>
            <c:spPr>
              <a:solidFill>
                <a:srgbClr val="99CC00"/>
              </a:solidFill>
              <a:ln w="12700">
                <a:solidFill>
                  <a:srgbClr val="000000"/>
                </a:solidFill>
                <a:prstDash val="solid"/>
              </a:ln>
            </c:spPr>
            <c:extLst xmlns:c16r2="http://schemas.microsoft.com/office/drawing/2015/06/chart">
              <c:ext xmlns:c16="http://schemas.microsoft.com/office/drawing/2014/chart" uri="{C3380CC4-5D6E-409C-BE32-E72D297353CC}">
                <c16:uniqueId val="{0000000B-16A2-4D65-B05F-DBDA42EE0CED}"/>
              </c:ext>
            </c:extLst>
          </c:dPt>
          <c:dPt>
            <c:idx val="8"/>
            <c:invertIfNegative val="0"/>
            <c:bubble3D val="0"/>
            <c:spPr>
              <a:solidFill>
                <a:srgbClr val="008080"/>
              </a:solidFill>
              <a:ln w="12700">
                <a:solidFill>
                  <a:srgbClr val="000000"/>
                </a:solidFill>
                <a:prstDash val="solid"/>
              </a:ln>
            </c:spPr>
            <c:extLst xmlns:c16r2="http://schemas.microsoft.com/office/drawing/2015/06/chart">
              <c:ext xmlns:c16="http://schemas.microsoft.com/office/drawing/2014/chart" uri="{C3380CC4-5D6E-409C-BE32-E72D297353CC}">
                <c16:uniqueId val="{0000000D-16A2-4D65-B05F-DBDA42EE0CED}"/>
              </c:ext>
            </c:extLst>
          </c:dPt>
          <c:cat>
            <c:strRef>
              <c:f>(BALANCE!$B$18:$B$21,BALANCE!$B$23:$B$27,BALANCE!$B$29:$B$33)</c:f>
              <c:strCache>
                <c:ptCount val="14"/>
                <c:pt idx="0">
                  <c:v>Deforestation </c:v>
                </c:pt>
                <c:pt idx="1">
                  <c:v>Forest Degradation</c:v>
                </c:pt>
                <c:pt idx="2">
                  <c:v>Afforestation and Reforestation</c:v>
                </c:pt>
                <c:pt idx="3">
                  <c:v>Non Forest Land Use Change</c:v>
                </c:pt>
                <c:pt idx="4">
                  <c:v> Annual Crops</c:v>
                </c:pt>
                <c:pt idx="5">
                  <c:v>Agroforestry/Perennial Crops</c:v>
                </c:pt>
                <c:pt idx="6">
                  <c:v>Irrigated Rice </c:v>
                </c:pt>
                <c:pt idx="7">
                  <c:v>Grassland</c:v>
                </c:pt>
                <c:pt idx="8">
                  <c:v>Organic soils and peatlands</c:v>
                </c:pt>
                <c:pt idx="9">
                  <c:v>Livestock</c:v>
                </c:pt>
                <c:pt idx="10">
                  <c:v>Inputs</c:v>
                </c:pt>
                <c:pt idx="11">
                  <c:v>Other Investment</c:v>
                </c:pt>
                <c:pt idx="13">
                  <c:v>Fishery&amp;Aquaculture</c:v>
                </c:pt>
              </c:strCache>
            </c:strRef>
          </c:cat>
          <c:val>
            <c:numRef>
              <c:f>(BALANCE!$E$18:$E$21,BALANCE!$E$23:$E$27,BALANCE!$E$29:$E$33)</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6r2="http://schemas.microsoft.com/office/drawing/2015/06/chart">
            <c:ext xmlns:c16="http://schemas.microsoft.com/office/drawing/2014/chart" uri="{C3380CC4-5D6E-409C-BE32-E72D297353CC}">
              <c16:uniqueId val="{0000000E-16A2-4D65-B05F-DBDA42EE0CED}"/>
            </c:ext>
          </c:extLst>
        </c:ser>
        <c:dLbls>
          <c:showLegendKey val="0"/>
          <c:showVal val="0"/>
          <c:showCatName val="0"/>
          <c:showSerName val="0"/>
          <c:showPercent val="0"/>
          <c:showBubbleSize val="0"/>
        </c:dLbls>
        <c:gapWidth val="150"/>
        <c:shape val="box"/>
        <c:axId val="244632592"/>
        <c:axId val="244632984"/>
        <c:axId val="0"/>
      </c:bar3DChart>
      <c:catAx>
        <c:axId val="2446325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Arial"/>
                <a:ea typeface="Arial"/>
                <a:cs typeface="Arial"/>
              </a:defRPr>
            </a:pPr>
            <a:endParaRPr lang="en-US"/>
          </a:p>
        </c:txPr>
        <c:crossAx val="244632984"/>
        <c:crosses val="autoZero"/>
        <c:auto val="1"/>
        <c:lblAlgn val="ctr"/>
        <c:lblOffset val="100"/>
        <c:tickLblSkip val="1"/>
        <c:tickMarkSkip val="1"/>
        <c:noMultiLvlLbl val="0"/>
      </c:catAx>
      <c:valAx>
        <c:axId val="244632984"/>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24463259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067" footer="0.4921259845000006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Yield!$C$15</c:f>
              <c:strCache>
                <c:ptCount val="1"/>
              </c:strCache>
            </c:strRef>
          </c:tx>
          <c:spPr>
            <a:ln w="28575">
              <a:noFill/>
            </a:ln>
          </c:spPr>
          <c:xVal>
            <c:numRef>
              <c:f>Yield!$D$14:$AB$14</c:f>
              <c:numCache>
                <c:formatCode>General</c:formatCode>
                <c:ptCount val="2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numCache>
            </c:numRef>
          </c:xVal>
          <c:yVal>
            <c:numRef>
              <c:f>Yield!$D$15:$Z$15</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0-7733-4F49-A853-E47AB3A358C0}"/>
            </c:ext>
          </c:extLst>
        </c:ser>
        <c:ser>
          <c:idx val="1"/>
          <c:order val="1"/>
          <c:tx>
            <c:strRef>
              <c:f>Yield!$C$12</c:f>
              <c:strCache>
                <c:ptCount val="1"/>
              </c:strCache>
            </c:strRef>
          </c:tx>
          <c:spPr>
            <a:ln w="28575">
              <a:noFill/>
            </a:ln>
          </c:spPr>
          <c:marker>
            <c:symbol val="triangle"/>
            <c:size val="7"/>
          </c:marker>
          <c:xVal>
            <c:numRef>
              <c:f>Yield!$D$11:$AB$11</c:f>
              <c:numCache>
                <c:formatCode>General</c:formatCode>
                <c:ptCount val="25"/>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numCache>
            </c:numRef>
          </c:xVal>
          <c:yVal>
            <c:numRef>
              <c:f>Yield!$D$12:$Z$12</c:f>
              <c:numCache>
                <c:formatCode>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xmlns:c16r2="http://schemas.microsoft.com/office/drawing/2015/06/chart">
            <c:ext xmlns:c16="http://schemas.microsoft.com/office/drawing/2014/chart" uri="{C3380CC4-5D6E-409C-BE32-E72D297353CC}">
              <c16:uniqueId val="{00000001-7733-4F49-A853-E47AB3A358C0}"/>
            </c:ext>
          </c:extLst>
        </c:ser>
        <c:dLbls>
          <c:showLegendKey val="0"/>
          <c:showVal val="0"/>
          <c:showCatName val="0"/>
          <c:showSerName val="0"/>
          <c:showPercent val="0"/>
          <c:showBubbleSize val="0"/>
        </c:dLbls>
        <c:axId val="244633768"/>
        <c:axId val="244633376"/>
      </c:scatterChart>
      <c:valAx>
        <c:axId val="244633768"/>
        <c:scaling>
          <c:orientation val="minMax"/>
          <c:max val="2011"/>
          <c:min val="1960"/>
        </c:scaling>
        <c:delete val="0"/>
        <c:axPos val="b"/>
        <c:numFmt formatCode="General" sourceLinked="1"/>
        <c:majorTickMark val="out"/>
        <c:minorTickMark val="none"/>
        <c:tickLblPos val="nextTo"/>
        <c:txPr>
          <a:bodyPr rot="0" vert="horz"/>
          <a:lstStyle/>
          <a:p>
            <a:pPr>
              <a:defRPr/>
            </a:pPr>
            <a:endParaRPr lang="en-US"/>
          </a:p>
        </c:txPr>
        <c:crossAx val="244633376"/>
        <c:crosses val="autoZero"/>
        <c:crossBetween val="midCat"/>
      </c:valAx>
      <c:valAx>
        <c:axId val="244633376"/>
        <c:scaling>
          <c:orientation val="minMax"/>
        </c:scaling>
        <c:delete val="0"/>
        <c:axPos val="l"/>
        <c:majorGridlines/>
        <c:numFmt formatCode="0.0" sourceLinked="1"/>
        <c:majorTickMark val="out"/>
        <c:minorTickMark val="none"/>
        <c:tickLblPos val="nextTo"/>
        <c:txPr>
          <a:bodyPr rot="0" vert="horz"/>
          <a:lstStyle/>
          <a:p>
            <a:pPr>
              <a:defRPr/>
            </a:pPr>
            <a:endParaRPr lang="en-US"/>
          </a:p>
        </c:txPr>
        <c:crossAx val="244633768"/>
        <c:crosses val="autoZero"/>
        <c:crossBetween val="midCat"/>
      </c:valAx>
    </c:plotArea>
    <c:plotVisOnly val="1"/>
    <c:dispBlanksAs val="gap"/>
    <c:showDLblsOverMax val="0"/>
  </c:chart>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a:lstStyle/>
    <a:p>
      <a:pPr>
        <a:defRPr>
          <a:solidFill>
            <a:schemeClr val="lt1"/>
          </a:solidFill>
          <a:latin typeface="+mn-lt"/>
          <a:ea typeface="+mn-ea"/>
          <a:cs typeface="+mn-cs"/>
        </a:defRPr>
      </a:pPr>
      <a:endParaRPr lang="en-US"/>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2.jpe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hyperlink" Target="#'1.Description'!A1"/><Relationship Id="rId1" Type="http://schemas.openxmlformats.org/officeDocument/2006/relationships/image" Target="../media/image1.emf"/><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5" Type="http://schemas.openxmlformats.org/officeDocument/2006/relationships/image" Target="../media/image4.gif"/><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image" Target="../media/image3.jpeg"/><Relationship Id="rId3" Type="http://schemas.openxmlformats.org/officeDocument/2006/relationships/hyperlink" Target="#'8. Fish'!A169"/><Relationship Id="rId7" Type="http://schemas.openxmlformats.org/officeDocument/2006/relationships/hyperlink" Target="#'2.LUC'!A6"/><Relationship Id="rId12" Type="http://schemas.openxmlformats.org/officeDocument/2006/relationships/hyperlink" Target="#'6. Coastal'!A6"/><Relationship Id="rId2" Type="http://schemas.openxmlformats.org/officeDocument/2006/relationships/hyperlink" Target="#'8. Fish'!A109"/><Relationship Id="rId1" Type="http://schemas.openxmlformats.org/officeDocument/2006/relationships/hyperlink" Target="#'8. Fish'!A6"/><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s>
</file>

<file path=xl/drawings/_rels/drawing11.xml.rels><?xml version="1.0" encoding="UTF-8" standalone="yes"?>
<Relationships xmlns="http://schemas.openxmlformats.org/package/2006/relationships"><Relationship Id="rId8" Type="http://schemas.openxmlformats.org/officeDocument/2006/relationships/hyperlink" Target="#'7. Results'!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chart" Target="../charts/chart3.xml"/><Relationship Id="rId7" Type="http://schemas.openxmlformats.org/officeDocument/2006/relationships/hyperlink" Target="#'9. Results'!A6"/><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chart" Target="../charts/chart2.xml"/><Relationship Id="rId16" Type="http://schemas.openxmlformats.org/officeDocument/2006/relationships/hyperlink" Target="#'5. Management'!A6"/><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0.Start'!A1"/><Relationship Id="rId5" Type="http://schemas.openxmlformats.org/officeDocument/2006/relationships/chart" Target="../charts/chart5.xml"/><Relationship Id="rId15" Type="http://schemas.openxmlformats.org/officeDocument/2006/relationships/hyperlink" Target="#'7. Inpu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hyperlink" Target="#'9. Results'!A75"/><Relationship Id="rId14" Type="http://schemas.openxmlformats.org/officeDocument/2006/relationships/hyperlink" Target="#'3.Cropland'!A6"/></Relationships>
</file>

<file path=xl/drawings/_rels/drawing12.xml.rels><?xml version="1.0" encoding="UTF-8" standalone="yes"?>
<Relationships xmlns="http://schemas.openxmlformats.org/package/2006/relationships"><Relationship Id="rId2" Type="http://schemas.openxmlformats.org/officeDocument/2006/relationships/hyperlink" Target="#BALANCE!A1"/><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image" Target="../media/image8.png"/><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image" Target="../media/image7.jpeg"/><Relationship Id="rId16" Type="http://schemas.openxmlformats.org/officeDocument/2006/relationships/image" Target="../media/image10.png"/><Relationship Id="rId1" Type="http://schemas.openxmlformats.org/officeDocument/2006/relationships/image" Target="../media/image6.emf"/><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image" Target="../media/image9.jpeg"/><Relationship Id="rId9" Type="http://schemas.openxmlformats.org/officeDocument/2006/relationships/hyperlink" Target="#'3.Cropland'!A6"/><Relationship Id="rId14" Type="http://schemas.openxmlformats.org/officeDocument/2006/relationships/hyperlink" Target="#'6. Coastal'!A6"/></Relationships>
</file>

<file path=xl/drawings/_rels/drawing15.xml.rels><?xml version="1.0" encoding="UTF-8" standalone="yes"?>
<Relationships xmlns="http://schemas.openxmlformats.org/package/2006/relationships"><Relationship Id="rId8" Type="http://schemas.openxmlformats.org/officeDocument/2006/relationships/hyperlink" Target="#'3.Cropland'!A6"/><Relationship Id="rId13" Type="http://schemas.openxmlformats.org/officeDocument/2006/relationships/hyperlink" Target="#'6. Coastal'!A6"/><Relationship Id="rId3" Type="http://schemas.openxmlformats.org/officeDocument/2006/relationships/image" Target="../media/image12.png"/><Relationship Id="rId7" Type="http://schemas.openxmlformats.org/officeDocument/2006/relationships/hyperlink" Target="#'2.LUC'!A6"/><Relationship Id="rId12" Type="http://schemas.openxmlformats.org/officeDocument/2006/relationships/hyperlink" Target="#'8. Fish'!A6"/><Relationship Id="rId2" Type="http://schemas.openxmlformats.org/officeDocument/2006/relationships/image" Target="../media/image11.png"/><Relationship Id="rId1" Type="http://schemas.openxmlformats.org/officeDocument/2006/relationships/chart" Target="../charts/chart9.xml"/><Relationship Id="rId6" Type="http://schemas.openxmlformats.org/officeDocument/2006/relationships/hyperlink" Target="#'1.Description'!A6"/><Relationship Id="rId11" Type="http://schemas.openxmlformats.org/officeDocument/2006/relationships/hyperlink" Target="#'5. Management'!A6"/><Relationship Id="rId5" Type="http://schemas.openxmlformats.org/officeDocument/2006/relationships/hyperlink" Target="#'0.Start'!A1"/><Relationship Id="rId10" Type="http://schemas.openxmlformats.org/officeDocument/2006/relationships/hyperlink" Target="#'9. Results'!A6"/><Relationship Id="rId4" Type="http://schemas.openxmlformats.org/officeDocument/2006/relationships/hyperlink" Target="#'4.Grassland'!A6"/><Relationship Id="rId9" Type="http://schemas.openxmlformats.org/officeDocument/2006/relationships/hyperlink" Target="#'7. Inputs'!A6"/><Relationship Id="rId1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7. Inputs'!A6"/><Relationship Id="rId13" Type="http://schemas.openxmlformats.org/officeDocument/2006/relationships/image" Target="../media/image3.jpeg"/><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hyperlink" Target="#'6. Coastal'!A6"/><Relationship Id="rId2" Type="http://schemas.openxmlformats.org/officeDocument/2006/relationships/hyperlink" Target="#Help!A62"/><Relationship Id="rId1" Type="http://schemas.openxmlformats.org/officeDocument/2006/relationships/hyperlink" Target="#Help!A7"/><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3.xml.rels><?xml version="1.0" encoding="UTF-8" standalone="yes"?>
<Relationships xmlns="http://schemas.openxmlformats.org/package/2006/relationships"><Relationship Id="rId8" Type="http://schemas.openxmlformats.org/officeDocument/2006/relationships/hyperlink" Target="#'4.Grassland'!A6"/><Relationship Id="rId13" Type="http://schemas.openxmlformats.org/officeDocument/2006/relationships/hyperlink" Target="#'9. Results'!A6"/><Relationship Id="rId3" Type="http://schemas.openxmlformats.org/officeDocument/2006/relationships/hyperlink" Target="#'2.LUC'!B164"/><Relationship Id="rId7" Type="http://schemas.openxmlformats.org/officeDocument/2006/relationships/hyperlink" Target="#'2.LUC'!A39"/><Relationship Id="rId12" Type="http://schemas.openxmlformats.org/officeDocument/2006/relationships/hyperlink" Target="#'7. Inputs'!A6"/><Relationship Id="rId17" Type="http://schemas.openxmlformats.org/officeDocument/2006/relationships/image" Target="../media/image3.jpeg"/><Relationship Id="rId2" Type="http://schemas.openxmlformats.org/officeDocument/2006/relationships/hyperlink" Target="#'2.LUC'!A6"/><Relationship Id="rId16" Type="http://schemas.openxmlformats.org/officeDocument/2006/relationships/hyperlink" Target="#'6. Coastal'!A6"/><Relationship Id="rId1" Type="http://schemas.openxmlformats.org/officeDocument/2006/relationships/hyperlink" Target="#Help!A137"/><Relationship Id="rId6" Type="http://schemas.openxmlformats.org/officeDocument/2006/relationships/hyperlink" Target="#'2.LUC'!B209"/><Relationship Id="rId11" Type="http://schemas.openxmlformats.org/officeDocument/2006/relationships/hyperlink" Target="#'3.Cropland'!A6"/><Relationship Id="rId5" Type="http://schemas.openxmlformats.org/officeDocument/2006/relationships/hyperlink" Target="#'2.LUC'!B112"/><Relationship Id="rId15" Type="http://schemas.openxmlformats.org/officeDocument/2006/relationships/hyperlink" Target="#'8. Fish'!A6"/><Relationship Id="rId10" Type="http://schemas.openxmlformats.org/officeDocument/2006/relationships/hyperlink" Target="#'1.Description'!A6"/><Relationship Id="rId4" Type="http://schemas.openxmlformats.org/officeDocument/2006/relationships/hyperlink" Target="#'2.LUC'!A22"/><Relationship Id="rId9" Type="http://schemas.openxmlformats.org/officeDocument/2006/relationships/hyperlink" Target="#'0.Start'!A1"/><Relationship Id="rId14" Type="http://schemas.openxmlformats.org/officeDocument/2006/relationships/hyperlink" Target="#'5. Management'!A6"/></Relationships>
</file>

<file path=xl/drawings/_rels/drawing4.xml.rels><?xml version="1.0" encoding="UTF-8" standalone="yes"?>
<Relationships xmlns="http://schemas.openxmlformats.org/package/2006/relationships"><Relationship Id="rId8" Type="http://schemas.openxmlformats.org/officeDocument/2006/relationships/hyperlink" Target="#Yield!A6"/><Relationship Id="rId13" Type="http://schemas.openxmlformats.org/officeDocument/2006/relationships/hyperlink" Target="#'2.LUC'!A6"/><Relationship Id="rId18" Type="http://schemas.openxmlformats.org/officeDocument/2006/relationships/hyperlink" Target="#'6. Coastal'!A6"/><Relationship Id="rId3" Type="http://schemas.openxmlformats.org/officeDocument/2006/relationships/hyperlink" Target="#'3.Cropland'!A187"/><Relationship Id="rId7" Type="http://schemas.openxmlformats.org/officeDocument/2006/relationships/image" Target="../media/image5.emf"/><Relationship Id="rId12" Type="http://schemas.openxmlformats.org/officeDocument/2006/relationships/hyperlink" Target="#'1.Description'!A6"/><Relationship Id="rId17" Type="http://schemas.openxmlformats.org/officeDocument/2006/relationships/hyperlink" Target="#'8. Fish'!A6"/><Relationship Id="rId2" Type="http://schemas.openxmlformats.org/officeDocument/2006/relationships/hyperlink" Target="#'3.Cropland'!A6"/><Relationship Id="rId16" Type="http://schemas.openxmlformats.org/officeDocument/2006/relationships/hyperlink" Target="#'5. Management'!A6"/><Relationship Id="rId1" Type="http://schemas.openxmlformats.org/officeDocument/2006/relationships/hyperlink" Target="#'3.Cropland'!A142"/><Relationship Id="rId6" Type="http://schemas.openxmlformats.org/officeDocument/2006/relationships/hyperlink" Target="#'3.Cropland'!A70"/><Relationship Id="rId11" Type="http://schemas.openxmlformats.org/officeDocument/2006/relationships/hyperlink" Target="#'0.Start'!A1"/><Relationship Id="rId5" Type="http://schemas.openxmlformats.org/officeDocument/2006/relationships/hyperlink" Target="#'3.Cropland'!A246"/><Relationship Id="rId15" Type="http://schemas.openxmlformats.org/officeDocument/2006/relationships/hyperlink" Target="#'9. Results'!A6"/><Relationship Id="rId10" Type="http://schemas.openxmlformats.org/officeDocument/2006/relationships/hyperlink" Target="#'4.Grassland'!A6"/><Relationship Id="rId19" Type="http://schemas.openxmlformats.org/officeDocument/2006/relationships/image" Target="../media/image3.jpeg"/><Relationship Id="rId4" Type="http://schemas.openxmlformats.org/officeDocument/2006/relationships/hyperlink" Target="#'3.Cropland'!A40"/><Relationship Id="rId9" Type="http://schemas.openxmlformats.org/officeDocument/2006/relationships/hyperlink" Target="#'3.Cropland'!A300"/><Relationship Id="rId14" Type="http://schemas.openxmlformats.org/officeDocument/2006/relationships/hyperlink" Target="#'7. Inputs'!A6"/></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8" Type="http://schemas.openxmlformats.org/officeDocument/2006/relationships/hyperlink" Target="#'2.LUC'!A6"/><Relationship Id="rId13" Type="http://schemas.openxmlformats.org/officeDocument/2006/relationships/hyperlink" Target="#'8. Fish'!A6"/><Relationship Id="rId3" Type="http://schemas.openxmlformats.org/officeDocument/2006/relationships/hyperlink" Target="#'4.Grassland'!B105"/><Relationship Id="rId7" Type="http://schemas.openxmlformats.org/officeDocument/2006/relationships/hyperlink" Target="#'1.Description'!A6"/><Relationship Id="rId12" Type="http://schemas.openxmlformats.org/officeDocument/2006/relationships/hyperlink" Target="#'5. Management'!A6"/><Relationship Id="rId2" Type="http://schemas.openxmlformats.org/officeDocument/2006/relationships/hyperlink" Target="#'4.Grassland'!A39"/><Relationship Id="rId1" Type="http://schemas.openxmlformats.org/officeDocument/2006/relationships/hyperlink" Target="#'4.Grassland'!B138"/><Relationship Id="rId6" Type="http://schemas.openxmlformats.org/officeDocument/2006/relationships/hyperlink" Target="#'0.Start'!A1"/><Relationship Id="rId11" Type="http://schemas.openxmlformats.org/officeDocument/2006/relationships/hyperlink" Target="#'9. Results'!A6"/><Relationship Id="rId5" Type="http://schemas.openxmlformats.org/officeDocument/2006/relationships/hyperlink" Target="#'4.Grassland'!A6"/><Relationship Id="rId15" Type="http://schemas.openxmlformats.org/officeDocument/2006/relationships/image" Target="../media/image3.jpeg"/><Relationship Id="rId10" Type="http://schemas.openxmlformats.org/officeDocument/2006/relationships/hyperlink" Target="#'7. Inputs'!A6"/><Relationship Id="rId4" Type="http://schemas.openxmlformats.org/officeDocument/2006/relationships/hyperlink" Target="#'4.Grassland'!A8"/><Relationship Id="rId9" Type="http://schemas.openxmlformats.org/officeDocument/2006/relationships/hyperlink" Target="#'3.Cropland'!A6"/><Relationship Id="rId14" Type="http://schemas.openxmlformats.org/officeDocument/2006/relationships/hyperlink" Target="#'6. Coastal'!A6"/></Relationships>
</file>

<file path=xl/drawings/_rels/drawing7.xml.rels><?xml version="1.0" encoding="UTF-8" standalone="yes"?>
<Relationships xmlns="http://schemas.openxmlformats.org/package/2006/relationships"><Relationship Id="rId8" Type="http://schemas.openxmlformats.org/officeDocument/2006/relationships/hyperlink" Target="#'1.Description'!A6"/><Relationship Id="rId13" Type="http://schemas.openxmlformats.org/officeDocument/2006/relationships/hyperlink" Target="#'8. Fish'!A6"/><Relationship Id="rId3" Type="http://schemas.openxmlformats.org/officeDocument/2006/relationships/hyperlink" Target="#'5. Management'!A240"/><Relationship Id="rId7" Type="http://schemas.openxmlformats.org/officeDocument/2006/relationships/hyperlink" Target="#'0.Start'!A1"/><Relationship Id="rId12" Type="http://schemas.openxmlformats.org/officeDocument/2006/relationships/hyperlink" Target="#'9. Results'!A6"/><Relationship Id="rId2" Type="http://schemas.openxmlformats.org/officeDocument/2006/relationships/hyperlink" Target="#'5. Management'!A6"/><Relationship Id="rId1" Type="http://schemas.openxmlformats.org/officeDocument/2006/relationships/hyperlink" Target="#'5. Management'!A162"/><Relationship Id="rId6" Type="http://schemas.openxmlformats.org/officeDocument/2006/relationships/hyperlink" Target="#'4.Grassland'!A6"/><Relationship Id="rId11" Type="http://schemas.openxmlformats.org/officeDocument/2006/relationships/hyperlink" Target="#'7. Inputs'!A6"/><Relationship Id="rId5" Type="http://schemas.openxmlformats.org/officeDocument/2006/relationships/hyperlink" Target="#Help!A137"/><Relationship Id="rId15" Type="http://schemas.openxmlformats.org/officeDocument/2006/relationships/image" Target="../media/image3.jpeg"/><Relationship Id="rId10" Type="http://schemas.openxmlformats.org/officeDocument/2006/relationships/hyperlink" Target="#'3.Cropland'!A6"/><Relationship Id="rId4" Type="http://schemas.openxmlformats.org/officeDocument/2006/relationships/hyperlink" Target="#'5. Management'!A26"/><Relationship Id="rId9" Type="http://schemas.openxmlformats.org/officeDocument/2006/relationships/hyperlink" Target="#'2.LUC'!A6"/><Relationship Id="rId14" Type="http://schemas.openxmlformats.org/officeDocument/2006/relationships/hyperlink" Target="#'6. Coastal'!A6"/></Relationships>
</file>

<file path=xl/drawings/_rels/drawing8.xml.rels><?xml version="1.0" encoding="UTF-8" standalone="yes"?>
<Relationships xmlns="http://schemas.openxmlformats.org/package/2006/relationships"><Relationship Id="rId8" Type="http://schemas.openxmlformats.org/officeDocument/2006/relationships/hyperlink" Target="#'7. Inputs'!A6"/><Relationship Id="rId3" Type="http://schemas.openxmlformats.org/officeDocument/2006/relationships/hyperlink" Target="#'4.Grassland'!A6"/><Relationship Id="rId7" Type="http://schemas.openxmlformats.org/officeDocument/2006/relationships/hyperlink" Target="#'3.Cropland'!A6"/><Relationship Id="rId12" Type="http://schemas.openxmlformats.org/officeDocument/2006/relationships/image" Target="../media/image3.jpeg"/><Relationship Id="rId2" Type="http://schemas.openxmlformats.org/officeDocument/2006/relationships/hyperlink" Target="#'6. Coastal'!A6"/><Relationship Id="rId1" Type="http://schemas.openxmlformats.org/officeDocument/2006/relationships/hyperlink" Target="#'6. Coastal'!A143"/><Relationship Id="rId6" Type="http://schemas.openxmlformats.org/officeDocument/2006/relationships/hyperlink" Target="#'2.LUC'!A6"/><Relationship Id="rId11" Type="http://schemas.openxmlformats.org/officeDocument/2006/relationships/hyperlink" Target="#'8. Fish'!A6"/><Relationship Id="rId5" Type="http://schemas.openxmlformats.org/officeDocument/2006/relationships/hyperlink" Target="#'1.Description'!A6"/><Relationship Id="rId10" Type="http://schemas.openxmlformats.org/officeDocument/2006/relationships/hyperlink" Target="#'5. Management'!A6"/><Relationship Id="rId4" Type="http://schemas.openxmlformats.org/officeDocument/2006/relationships/hyperlink" Target="#'0.Start'!A1"/><Relationship Id="rId9" Type="http://schemas.openxmlformats.org/officeDocument/2006/relationships/hyperlink" Target="#'9. Results'!A6"/></Relationships>
</file>

<file path=xl/drawings/_rels/drawing9.xml.rels><?xml version="1.0" encoding="UTF-8" standalone="yes"?>
<Relationships xmlns="http://schemas.openxmlformats.org/package/2006/relationships"><Relationship Id="rId8" Type="http://schemas.openxmlformats.org/officeDocument/2006/relationships/hyperlink" Target="#'0.Start'!A1"/><Relationship Id="rId13" Type="http://schemas.openxmlformats.org/officeDocument/2006/relationships/hyperlink" Target="#'5. Management'!A6"/><Relationship Id="rId3" Type="http://schemas.openxmlformats.org/officeDocument/2006/relationships/hyperlink" Target="#'7. Inputs'!B217"/><Relationship Id="rId7" Type="http://schemas.openxmlformats.org/officeDocument/2006/relationships/hyperlink" Target="#'4.Grassland'!A6"/><Relationship Id="rId12" Type="http://schemas.openxmlformats.org/officeDocument/2006/relationships/hyperlink" Target="#'9. Results'!A6"/><Relationship Id="rId2" Type="http://schemas.openxmlformats.org/officeDocument/2006/relationships/hyperlink" Target="#'7. Inputs'!A6"/><Relationship Id="rId16" Type="http://schemas.openxmlformats.org/officeDocument/2006/relationships/image" Target="../media/image3.jpeg"/><Relationship Id="rId1" Type="http://schemas.openxmlformats.org/officeDocument/2006/relationships/hyperlink" Target="#'7. Inputs'!B147"/><Relationship Id="rId6" Type="http://schemas.openxmlformats.org/officeDocument/2006/relationships/hyperlink" Target="#'7. Inputs'!A57"/><Relationship Id="rId11" Type="http://schemas.openxmlformats.org/officeDocument/2006/relationships/hyperlink" Target="#'3.Cropland'!A6"/><Relationship Id="rId5" Type="http://schemas.openxmlformats.org/officeDocument/2006/relationships/hyperlink" Target="#'7. Inputs'!A250"/><Relationship Id="rId15" Type="http://schemas.openxmlformats.org/officeDocument/2006/relationships/hyperlink" Target="#'6. Coastal'!A6"/><Relationship Id="rId10" Type="http://schemas.openxmlformats.org/officeDocument/2006/relationships/hyperlink" Target="#'2.LUC'!A6"/><Relationship Id="rId4" Type="http://schemas.openxmlformats.org/officeDocument/2006/relationships/hyperlink" Target="#'7. Inputs'!A33"/><Relationship Id="rId9" Type="http://schemas.openxmlformats.org/officeDocument/2006/relationships/hyperlink" Target="#'1.Description'!A6"/><Relationship Id="rId14" Type="http://schemas.openxmlformats.org/officeDocument/2006/relationships/hyperlink" Target="#'8. Fish'!A6"/></Relationships>
</file>

<file path=xl/drawings/drawing1.xml><?xml version="1.0" encoding="utf-8"?>
<xdr:wsDr xmlns:xdr="http://schemas.openxmlformats.org/drawingml/2006/spreadsheetDrawing" xmlns:a="http://schemas.openxmlformats.org/drawingml/2006/main">
  <xdr:twoCellAnchor>
    <xdr:from>
      <xdr:col>3</xdr:col>
      <xdr:colOff>198120</xdr:colOff>
      <xdr:row>5</xdr:row>
      <xdr:rowOff>106680</xdr:rowOff>
    </xdr:from>
    <xdr:to>
      <xdr:col>6</xdr:col>
      <xdr:colOff>335280</xdr:colOff>
      <xdr:row>9</xdr:row>
      <xdr:rowOff>91440</xdr:rowOff>
    </xdr:to>
    <xdr:pic>
      <xdr:nvPicPr>
        <xdr:cNvPr id="16494"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5520" y="106680"/>
          <a:ext cx="21945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198120</xdr:colOff>
      <xdr:row>33</xdr:row>
      <xdr:rowOff>30480</xdr:rowOff>
    </xdr:from>
    <xdr:to>
      <xdr:col>6</xdr:col>
      <xdr:colOff>579120</xdr:colOff>
      <xdr:row>38</xdr:row>
      <xdr:rowOff>91440</xdr:rowOff>
    </xdr:to>
    <xdr:grpSp>
      <xdr:nvGrpSpPr>
        <xdr:cNvPr id="16497" name="Group 17">
          <a:hlinkClick xmlns:r="http://schemas.openxmlformats.org/officeDocument/2006/relationships" r:id="rId2"/>
        </xdr:cNvPr>
        <xdr:cNvGrpSpPr>
          <a:grpSpLocks/>
        </xdr:cNvGrpSpPr>
      </xdr:nvGrpSpPr>
      <xdr:grpSpPr bwMode="auto">
        <a:xfrm>
          <a:off x="2198370" y="6421755"/>
          <a:ext cx="2381250" cy="870585"/>
          <a:chOff x="2064" y="799"/>
          <a:chExt cx="1496" cy="545"/>
        </a:xfrm>
      </xdr:grpSpPr>
      <xdr:sp macro="" textlink="">
        <xdr:nvSpPr>
          <xdr:cNvPr id="16498" name="Rectangle 18"/>
          <xdr:cNvSpPr>
            <a:spLocks noChangeArrowheads="1"/>
          </xdr:cNvSpPr>
        </xdr:nvSpPr>
        <xdr:spPr bwMode="auto">
          <a:xfrm>
            <a:off x="2064" y="799"/>
            <a:ext cx="1496" cy="545"/>
          </a:xfrm>
          <a:prstGeom prst="rect">
            <a:avLst/>
          </a:prstGeom>
          <a:solidFill>
            <a:srgbClr val="9966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403" name="AutoShape 19"/>
          <xdr:cNvSpPr>
            <a:spLocks noChangeArrowheads="1"/>
          </xdr:cNvSpPr>
        </xdr:nvSpPr>
        <xdr:spPr bwMode="auto">
          <a:xfrm>
            <a:off x="2111" y="845"/>
            <a:ext cx="1403" cy="453"/>
          </a:xfrm>
          <a:prstGeom prst="actionButtonForwardNex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fr-FR" sz="1800" b="0" i="0" u="none" strike="noStrike" baseline="0">
              <a:solidFill>
                <a:srgbClr val="000000"/>
              </a:solidFill>
              <a:latin typeface="Arial"/>
              <a:cs typeface="Arial"/>
            </a:endParaRPr>
          </a:p>
          <a:p>
            <a:pPr algn="l" rtl="0">
              <a:defRPr sz="1000"/>
            </a:pPr>
            <a:endParaRPr lang="fr-FR"/>
          </a:p>
        </xdr:txBody>
      </xdr:sp>
    </xdr:grpSp>
    <xdr:clientData/>
  </xdr:twoCellAnchor>
  <xdr:oneCellAnchor>
    <xdr:from>
      <xdr:col>1</xdr:col>
      <xdr:colOff>10583</xdr:colOff>
      <xdr:row>16</xdr:row>
      <xdr:rowOff>101600</xdr:rowOff>
    </xdr:from>
    <xdr:ext cx="6519334" cy="1063579"/>
    <xdr:pic>
      <xdr:nvPicPr>
        <xdr:cNvPr id="20"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58750" y="3710517"/>
          <a:ext cx="6519334" cy="1063579"/>
        </a:xfrm>
        <a:prstGeom prst="rect">
          <a:avLst/>
        </a:prstGeom>
        <a:noFill/>
        <a:ln w="1">
          <a:noFill/>
          <a:miter lim="800000"/>
          <a:headEnd/>
          <a:tailEnd type="none" w="med" len="med"/>
        </a:ln>
        <a:effectLst/>
      </xdr:spPr>
    </xdr:pic>
    <xdr:clientData/>
  </xdr:oneCellAnchor>
  <xdr:twoCellAnchor>
    <xdr:from>
      <xdr:col>0</xdr:col>
      <xdr:colOff>0</xdr:colOff>
      <xdr:row>0</xdr:row>
      <xdr:rowOff>0</xdr:rowOff>
    </xdr:from>
    <xdr:to>
      <xdr:col>18</xdr:col>
      <xdr:colOff>343112</xdr:colOff>
      <xdr:row>4</xdr:row>
      <xdr:rowOff>118533</xdr:rowOff>
    </xdr:to>
    <xdr:grpSp>
      <xdr:nvGrpSpPr>
        <xdr:cNvPr id="62" name="Groupe 61"/>
        <xdr:cNvGrpSpPr/>
      </xdr:nvGrpSpPr>
      <xdr:grpSpPr>
        <a:xfrm>
          <a:off x="0" y="0"/>
          <a:ext cx="12430337" cy="1261533"/>
          <a:chOff x="101600" y="67733"/>
          <a:chExt cx="12687512" cy="1270000"/>
        </a:xfrm>
      </xdr:grpSpPr>
      <xdr:sp macro="" textlink="">
        <xdr:nvSpPr>
          <xdr:cNvPr id="63" name="Rectangle à coins arrondis 6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4" name="ZoneTexte 6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5" name="Rectangle à coins arrondis 64">
            <a:hlinkClick xmlns:r="http://schemas.openxmlformats.org/officeDocument/2006/relationships" r:id="rId4"/>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66" name="Rectangle à coins arrondis 65">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7" name="Rectangle à coins arrondis 66">
            <a:hlinkClick xmlns:r="http://schemas.openxmlformats.org/officeDocument/2006/relationships" r:id="rId6"/>
          </xdr:cNvPr>
          <xdr:cNvSpPr/>
        </xdr:nvSpPr>
        <xdr:spPr>
          <a:xfrm>
            <a:off x="1808802" y="535842"/>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Description</a:t>
            </a:r>
          </a:p>
        </xdr:txBody>
      </xdr:sp>
      <xdr:sp macro="" textlink="">
        <xdr:nvSpPr>
          <xdr:cNvPr id="68" name="Rectangle à coins arrondis 67">
            <a:hlinkClick xmlns:r="http://schemas.openxmlformats.org/officeDocument/2006/relationships" r:id="rId7"/>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69" name="Rectangle à coins arrondis 68">
            <a:hlinkClick xmlns:r="http://schemas.openxmlformats.org/officeDocument/2006/relationships" r:id="rId8"/>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70" name="Rectangle à coins arrondis 69">
            <a:hlinkClick xmlns:r="http://schemas.openxmlformats.org/officeDocument/2006/relationships" r:id="rId9"/>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71" name="Rectangle à coins arrondis 70">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2" name="Rectangle à coins arrondis 71">
            <a:hlinkClick xmlns:r="http://schemas.openxmlformats.org/officeDocument/2006/relationships" r:id="rId11"/>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3" name="Rectangle à coins arrondis 72">
            <a:hlinkClick xmlns:r="http://schemas.openxmlformats.org/officeDocument/2006/relationships" r:id="rId12"/>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4" name="Rectangle à coins arrondis 73">
            <a:hlinkClick xmlns:r="http://schemas.openxmlformats.org/officeDocument/2006/relationships" r:id="rId13"/>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5" name="Image 74"/>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1</xdr:col>
      <xdr:colOff>179916</xdr:colOff>
      <xdr:row>6</xdr:row>
      <xdr:rowOff>63500</xdr:rowOff>
    </xdr:from>
    <xdr:to>
      <xdr:col>1</xdr:col>
      <xdr:colOff>1065796</xdr:colOff>
      <xdr:row>12</xdr:row>
      <xdr:rowOff>21389</xdr:rowOff>
    </xdr:to>
    <xdr:pic>
      <xdr:nvPicPr>
        <xdr:cNvPr id="21" name="Picture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28083" y="1651000"/>
          <a:ext cx="885880" cy="910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220134</xdr:colOff>
      <xdr:row>5</xdr:row>
      <xdr:rowOff>101599</xdr:rowOff>
    </xdr:from>
    <xdr:to>
      <xdr:col>30</xdr:col>
      <xdr:colOff>93133</xdr:colOff>
      <xdr:row>30</xdr:row>
      <xdr:rowOff>101600</xdr:rowOff>
    </xdr:to>
    <xdr:sp macro="" textlink="">
      <xdr:nvSpPr>
        <xdr:cNvPr id="8" name="Rectangle à coins arrondis 7"/>
        <xdr:cNvSpPr/>
      </xdr:nvSpPr>
      <xdr:spPr>
        <a:xfrm>
          <a:off x="220134" y="1540932"/>
          <a:ext cx="12623799" cy="4258735"/>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3</xdr:col>
      <xdr:colOff>262466</xdr:colOff>
      <xdr:row>82</xdr:row>
      <xdr:rowOff>59266</xdr:rowOff>
    </xdr:from>
    <xdr:to>
      <xdr:col>3</xdr:col>
      <xdr:colOff>592666</xdr:colOff>
      <xdr:row>84</xdr:row>
      <xdr:rowOff>152399</xdr:rowOff>
    </xdr:to>
    <xdr:sp macro="" textlink="">
      <xdr:nvSpPr>
        <xdr:cNvPr id="31" name="Rectangle 30"/>
        <xdr:cNvSpPr/>
      </xdr:nvSpPr>
      <xdr:spPr>
        <a:xfrm>
          <a:off x="1207346" y="46526026"/>
          <a:ext cx="330200"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82</xdr:row>
      <xdr:rowOff>76200</xdr:rowOff>
    </xdr:from>
    <xdr:to>
      <xdr:col>3</xdr:col>
      <xdr:colOff>203200</xdr:colOff>
      <xdr:row>84</xdr:row>
      <xdr:rowOff>135465</xdr:rowOff>
    </xdr:to>
    <xdr:sp macro="" textlink="">
      <xdr:nvSpPr>
        <xdr:cNvPr id="32" name="Pentagone 31">
          <a:hlinkClick xmlns:r="http://schemas.openxmlformats.org/officeDocument/2006/relationships" r:id="rId1"/>
        </xdr:cNvPr>
        <xdr:cNvSpPr/>
      </xdr:nvSpPr>
      <xdr:spPr>
        <a:xfrm flipH="1">
          <a:off x="328507" y="46542960"/>
          <a:ext cx="819573" cy="394545"/>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220133</xdr:colOff>
      <xdr:row>27</xdr:row>
      <xdr:rowOff>59266</xdr:rowOff>
    </xdr:from>
    <xdr:to>
      <xdr:col>3</xdr:col>
      <xdr:colOff>702733</xdr:colOff>
      <xdr:row>29</xdr:row>
      <xdr:rowOff>143932</xdr:rowOff>
    </xdr:to>
    <xdr:sp macro="" textlink="">
      <xdr:nvSpPr>
        <xdr:cNvPr id="33" name="Pentagone 32">
          <a:hlinkClick xmlns:r="http://schemas.openxmlformats.org/officeDocument/2006/relationships" r:id="rId2"/>
        </xdr:cNvPr>
        <xdr:cNvSpPr/>
      </xdr:nvSpPr>
      <xdr:spPr>
        <a:xfrm>
          <a:off x="684953" y="18072946"/>
          <a:ext cx="962660" cy="419946"/>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xdr:colOff>
      <xdr:row>27</xdr:row>
      <xdr:rowOff>50800</xdr:rowOff>
    </xdr:from>
    <xdr:to>
      <xdr:col>2</xdr:col>
      <xdr:colOff>186267</xdr:colOff>
      <xdr:row>29</xdr:row>
      <xdr:rowOff>143933</xdr:rowOff>
    </xdr:to>
    <xdr:sp macro="" textlink="">
      <xdr:nvSpPr>
        <xdr:cNvPr id="34" name="Rectangle 33"/>
        <xdr:cNvSpPr/>
      </xdr:nvSpPr>
      <xdr:spPr>
        <a:xfrm>
          <a:off x="320041" y="18064480"/>
          <a:ext cx="331046" cy="4284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245534</xdr:colOff>
      <xdr:row>31</xdr:row>
      <xdr:rowOff>93134</xdr:rowOff>
    </xdr:from>
    <xdr:to>
      <xdr:col>30</xdr:col>
      <xdr:colOff>110067</xdr:colOff>
      <xdr:row>55</xdr:row>
      <xdr:rowOff>135466</xdr:rowOff>
    </xdr:to>
    <xdr:sp macro="" textlink="">
      <xdr:nvSpPr>
        <xdr:cNvPr id="36" name="Rectangle à coins arrondis 35"/>
        <xdr:cNvSpPr/>
      </xdr:nvSpPr>
      <xdr:spPr>
        <a:xfrm>
          <a:off x="245534" y="5960534"/>
          <a:ext cx="12285133" cy="4131732"/>
        </a:xfrm>
        <a:prstGeom prst="roundRect">
          <a:avLst>
            <a:gd name="adj" fmla="val 3827"/>
          </a:avLst>
        </a:prstGeom>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2</xdr:col>
      <xdr:colOff>228594</xdr:colOff>
      <xdr:row>53</xdr:row>
      <xdr:rowOff>25400</xdr:rowOff>
    </xdr:from>
    <xdr:to>
      <xdr:col>3</xdr:col>
      <xdr:colOff>711194</xdr:colOff>
      <xdr:row>55</xdr:row>
      <xdr:rowOff>110066</xdr:rowOff>
    </xdr:to>
    <xdr:sp macro="" textlink="">
      <xdr:nvSpPr>
        <xdr:cNvPr id="63" name="Pentagone 62">
          <a:hlinkClick xmlns:r="http://schemas.openxmlformats.org/officeDocument/2006/relationships" r:id="rId3"/>
        </xdr:cNvPr>
        <xdr:cNvSpPr/>
      </xdr:nvSpPr>
      <xdr:spPr>
        <a:xfrm>
          <a:off x="694261" y="94742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8462</xdr:colOff>
      <xdr:row>53</xdr:row>
      <xdr:rowOff>16934</xdr:rowOff>
    </xdr:from>
    <xdr:to>
      <xdr:col>2</xdr:col>
      <xdr:colOff>194728</xdr:colOff>
      <xdr:row>55</xdr:row>
      <xdr:rowOff>110067</xdr:rowOff>
    </xdr:to>
    <xdr:sp macro="" textlink="">
      <xdr:nvSpPr>
        <xdr:cNvPr id="64" name="Rectangle 63"/>
        <xdr:cNvSpPr/>
      </xdr:nvSpPr>
      <xdr:spPr>
        <a:xfrm>
          <a:off x="330195" y="9465734"/>
          <a:ext cx="330200" cy="431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262466</xdr:colOff>
      <xdr:row>143</xdr:row>
      <xdr:rowOff>59266</xdr:rowOff>
    </xdr:from>
    <xdr:to>
      <xdr:col>3</xdr:col>
      <xdr:colOff>592666</xdr:colOff>
      <xdr:row>145</xdr:row>
      <xdr:rowOff>152399</xdr:rowOff>
    </xdr:to>
    <xdr:sp macro="" textlink="">
      <xdr:nvSpPr>
        <xdr:cNvPr id="23" name="Rectangle 22"/>
        <xdr:cNvSpPr/>
      </xdr:nvSpPr>
      <xdr:spPr>
        <a:xfrm>
          <a:off x="1210733" y="14444133"/>
          <a:ext cx="330200" cy="4317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8467</xdr:colOff>
      <xdr:row>143</xdr:row>
      <xdr:rowOff>76200</xdr:rowOff>
    </xdr:from>
    <xdr:to>
      <xdr:col>3</xdr:col>
      <xdr:colOff>203200</xdr:colOff>
      <xdr:row>145</xdr:row>
      <xdr:rowOff>135465</xdr:rowOff>
    </xdr:to>
    <xdr:sp macro="" textlink="">
      <xdr:nvSpPr>
        <xdr:cNvPr id="24" name="Pentagone 23">
          <a:hlinkClick xmlns:r="http://schemas.openxmlformats.org/officeDocument/2006/relationships" r:id="rId1"/>
        </xdr:cNvPr>
        <xdr:cNvSpPr/>
      </xdr:nvSpPr>
      <xdr:spPr>
        <a:xfrm flipH="1">
          <a:off x="330200" y="14461067"/>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0</xdr:colOff>
      <xdr:row>0</xdr:row>
      <xdr:rowOff>0</xdr:rowOff>
    </xdr:from>
    <xdr:to>
      <xdr:col>30</xdr:col>
      <xdr:colOff>351579</xdr:colOff>
      <xdr:row>4</xdr:row>
      <xdr:rowOff>118533</xdr:rowOff>
    </xdr:to>
    <xdr:grpSp>
      <xdr:nvGrpSpPr>
        <xdr:cNvPr id="58" name="Groupe 57"/>
        <xdr:cNvGrpSpPr/>
      </xdr:nvGrpSpPr>
      <xdr:grpSpPr>
        <a:xfrm>
          <a:off x="0" y="0"/>
          <a:ext cx="12564746" cy="1261533"/>
          <a:chOff x="101600" y="67733"/>
          <a:chExt cx="12687512" cy="1270000"/>
        </a:xfrm>
      </xdr:grpSpPr>
      <xdr:sp macro="" textlink="">
        <xdr:nvSpPr>
          <xdr:cNvPr id="59" name="Rectangle à coins arrondis 5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60" name="ZoneTexte 59"/>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61" name="Rectangle à coins arrondis 60">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62" name="Rectangle à coins arrondis 61">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65" name="Rectangle à coins arrondis 64">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66" name="Rectangle à coins arrondis 65">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67" name="Rectangle à coins arrondis 66">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68" name="Rectangle à coins arrondis 67">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69" name="Rectangle à coins arrondis 68">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70" name="Rectangle à coins arrondis 69">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71" name="Rectangle à coins arrondis 70">
            <a:hlinkClick xmlns:r="http://schemas.openxmlformats.org/officeDocument/2006/relationships" r:id="rId1"/>
          </xdr:cNvPr>
          <xdr:cNvSpPr/>
        </xdr:nvSpPr>
        <xdr:spPr>
          <a:xfrm>
            <a:off x="102566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2" name="Rectangle à coins arrondis 71">
            <a:hlinkClick xmlns:r="http://schemas.openxmlformats.org/officeDocument/2006/relationships" r:id="rId12"/>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3" name="Image 72"/>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16087</xdr:colOff>
      <xdr:row>35</xdr:row>
      <xdr:rowOff>143933</xdr:rowOff>
    </xdr:from>
    <xdr:to>
      <xdr:col>7</xdr:col>
      <xdr:colOff>511387</xdr:colOff>
      <xdr:row>54</xdr:row>
      <xdr:rowOff>98214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35</xdr:row>
      <xdr:rowOff>143934</xdr:rowOff>
    </xdr:from>
    <xdr:to>
      <xdr:col>16</xdr:col>
      <xdr:colOff>365761</xdr:colOff>
      <xdr:row>54</xdr:row>
      <xdr:rowOff>96521</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56</xdr:row>
      <xdr:rowOff>0</xdr:rowOff>
    </xdr:from>
    <xdr:to>
      <xdr:col>16</xdr:col>
      <xdr:colOff>358140</xdr:colOff>
      <xdr:row>72</xdr:row>
      <xdr:rowOff>60960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56</xdr:row>
      <xdr:rowOff>0</xdr:rowOff>
    </xdr:from>
    <xdr:to>
      <xdr:col>7</xdr:col>
      <xdr:colOff>502920</xdr:colOff>
      <xdr:row>72</xdr:row>
      <xdr:rowOff>60960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279400</xdr:colOff>
      <xdr:row>204</xdr:row>
      <xdr:rowOff>8460</xdr:rowOff>
    </xdr:from>
    <xdr:to>
      <xdr:col>13</xdr:col>
      <xdr:colOff>76200</xdr:colOff>
      <xdr:row>205</xdr:row>
      <xdr:rowOff>50793</xdr:rowOff>
    </xdr:to>
    <xdr:sp macro="" textlink="">
      <xdr:nvSpPr>
        <xdr:cNvPr id="5" name="Accolade fermante 4"/>
        <xdr:cNvSpPr/>
      </xdr:nvSpPr>
      <xdr:spPr>
        <a:xfrm rot="5400000">
          <a:off x="4288366" y="31652627"/>
          <a:ext cx="211667" cy="8229600"/>
        </a:xfrm>
        <a:prstGeom prst="rightBrace">
          <a:avLst>
            <a:gd name="adj1" fmla="val 80333"/>
            <a:gd name="adj2" fmla="val 50000"/>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ln w="38100">
              <a:solidFill>
                <a:schemeClr val="tx1"/>
              </a:solidFill>
            </a:ln>
          </a:endParaRPr>
        </a:p>
      </xdr:txBody>
    </xdr:sp>
    <xdr:clientData/>
  </xdr:twoCellAnchor>
  <xdr:twoCellAnchor>
    <xdr:from>
      <xdr:col>14</xdr:col>
      <xdr:colOff>42334</xdr:colOff>
      <xdr:row>197</xdr:row>
      <xdr:rowOff>63503</xdr:rowOff>
    </xdr:from>
    <xdr:to>
      <xdr:col>19</xdr:col>
      <xdr:colOff>601134</xdr:colOff>
      <xdr:row>213</xdr:row>
      <xdr:rowOff>101603</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626534</xdr:colOff>
      <xdr:row>197</xdr:row>
      <xdr:rowOff>67733</xdr:rowOff>
    </xdr:from>
    <xdr:to>
      <xdr:col>25</xdr:col>
      <xdr:colOff>795867</xdr:colOff>
      <xdr:row>213</xdr:row>
      <xdr:rowOff>105832</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296328</xdr:colOff>
      <xdr:row>149</xdr:row>
      <xdr:rowOff>0</xdr:rowOff>
    </xdr:from>
    <xdr:to>
      <xdr:col>1</xdr:col>
      <xdr:colOff>364066</xdr:colOff>
      <xdr:row>150</xdr:row>
      <xdr:rowOff>152400</xdr:rowOff>
    </xdr:to>
    <xdr:sp macro="" textlink="">
      <xdr:nvSpPr>
        <xdr:cNvPr id="30" name="Pentagone 29">
          <a:hlinkClick xmlns:r="http://schemas.openxmlformats.org/officeDocument/2006/relationships" r:id="rId7"/>
        </xdr:cNvPr>
        <xdr:cNvSpPr/>
      </xdr:nvSpPr>
      <xdr:spPr>
        <a:xfrm flipH="1">
          <a:off x="296328" y="25611667"/>
          <a:ext cx="414871" cy="3217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0</xdr:col>
      <xdr:colOff>84667</xdr:colOff>
      <xdr:row>215</xdr:row>
      <xdr:rowOff>8468</xdr:rowOff>
    </xdr:from>
    <xdr:to>
      <xdr:col>1</xdr:col>
      <xdr:colOff>76201</xdr:colOff>
      <xdr:row>216</xdr:row>
      <xdr:rowOff>118534</xdr:rowOff>
    </xdr:to>
    <xdr:sp macro="" textlink="">
      <xdr:nvSpPr>
        <xdr:cNvPr id="31" name="Pentagone 30">
          <a:hlinkClick xmlns:r="http://schemas.openxmlformats.org/officeDocument/2006/relationships" r:id="rId8"/>
        </xdr:cNvPr>
        <xdr:cNvSpPr/>
      </xdr:nvSpPr>
      <xdr:spPr>
        <a:xfrm flipH="1">
          <a:off x="84667" y="36753801"/>
          <a:ext cx="338667" cy="27940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21</xdr:col>
      <xdr:colOff>8467</xdr:colOff>
      <xdr:row>29</xdr:row>
      <xdr:rowOff>160867</xdr:rowOff>
    </xdr:from>
    <xdr:to>
      <xdr:col>22</xdr:col>
      <xdr:colOff>491067</xdr:colOff>
      <xdr:row>34</xdr:row>
      <xdr:rowOff>8467</xdr:rowOff>
    </xdr:to>
    <xdr:sp macro="" textlink="">
      <xdr:nvSpPr>
        <xdr:cNvPr id="2" name="Rectangle à coins arrondis 1"/>
        <xdr:cNvSpPr/>
      </xdr:nvSpPr>
      <xdr:spPr>
        <a:xfrm>
          <a:off x="12361334" y="5452534"/>
          <a:ext cx="1058333" cy="694266"/>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b="1"/>
        </a:p>
      </xdr:txBody>
    </xdr:sp>
    <xdr:clientData/>
  </xdr:twoCellAnchor>
  <xdr:twoCellAnchor>
    <xdr:from>
      <xdr:col>0</xdr:col>
      <xdr:colOff>135466</xdr:colOff>
      <xdr:row>244</xdr:row>
      <xdr:rowOff>8465</xdr:rowOff>
    </xdr:from>
    <xdr:to>
      <xdr:col>1</xdr:col>
      <xdr:colOff>160867</xdr:colOff>
      <xdr:row>245</xdr:row>
      <xdr:rowOff>143933</xdr:rowOff>
    </xdr:to>
    <xdr:sp macro="" textlink="">
      <xdr:nvSpPr>
        <xdr:cNvPr id="26" name="Pentagone 25">
          <a:hlinkClick xmlns:r="http://schemas.openxmlformats.org/officeDocument/2006/relationships" r:id="rId9"/>
        </xdr:cNvPr>
        <xdr:cNvSpPr/>
      </xdr:nvSpPr>
      <xdr:spPr>
        <a:xfrm flipH="1">
          <a:off x="135466" y="42299465"/>
          <a:ext cx="372534" cy="30480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ctr"/>
          <a:endParaRPr lang="fr-FR" sz="1800"/>
        </a:p>
      </xdr:txBody>
    </xdr:sp>
    <xdr:clientData/>
  </xdr:twoCellAnchor>
  <xdr:twoCellAnchor>
    <xdr:from>
      <xdr:col>13</xdr:col>
      <xdr:colOff>2</xdr:colOff>
      <xdr:row>83</xdr:row>
      <xdr:rowOff>16934</xdr:rowOff>
    </xdr:from>
    <xdr:to>
      <xdr:col>15</xdr:col>
      <xdr:colOff>25400</xdr:colOff>
      <xdr:row>87</xdr:row>
      <xdr:rowOff>33867</xdr:rowOff>
    </xdr:to>
    <xdr:sp macro="" textlink="">
      <xdr:nvSpPr>
        <xdr:cNvPr id="44" name="Rectangle à coins arrondis 43"/>
        <xdr:cNvSpPr/>
      </xdr:nvSpPr>
      <xdr:spPr>
        <a:xfrm>
          <a:off x="8559802" y="14452601"/>
          <a:ext cx="1396998" cy="694266"/>
        </a:xfrm>
        <a:prstGeom prst="roundRect">
          <a:avLst>
            <a:gd name="adj" fmla="val 10715"/>
          </a:avLst>
        </a:prstGeom>
        <a:noFill/>
        <a:ln w="57150" cmpd="thickThi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b="1"/>
        </a:p>
      </xdr:txBody>
    </xdr:sp>
    <xdr:clientData/>
  </xdr:twoCellAnchor>
  <xdr:twoCellAnchor>
    <xdr:from>
      <xdr:col>0</xdr:col>
      <xdr:colOff>0</xdr:colOff>
      <xdr:row>0</xdr:row>
      <xdr:rowOff>0</xdr:rowOff>
    </xdr:from>
    <xdr:to>
      <xdr:col>19</xdr:col>
      <xdr:colOff>444712</xdr:colOff>
      <xdr:row>4</xdr:row>
      <xdr:rowOff>118533</xdr:rowOff>
    </xdr:to>
    <xdr:grpSp>
      <xdr:nvGrpSpPr>
        <xdr:cNvPr id="27" name="Groupe 26"/>
        <xdr:cNvGrpSpPr/>
      </xdr:nvGrpSpPr>
      <xdr:grpSpPr>
        <a:xfrm>
          <a:off x="0" y="0"/>
          <a:ext cx="12721379" cy="1261533"/>
          <a:chOff x="101600" y="67733"/>
          <a:chExt cx="12687512" cy="1270000"/>
        </a:xfrm>
      </xdr:grpSpPr>
      <xdr:sp macro="" textlink="">
        <xdr:nvSpPr>
          <xdr:cNvPr id="29" name="Rectangle à coins arrondis 28"/>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2" name="ZoneTexte 31"/>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3" name="Rectangle à coins arrondis 32">
            <a:hlinkClick xmlns:r="http://schemas.openxmlformats.org/officeDocument/2006/relationships" r:id="rId10"/>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4" name="Rectangle à coins arrondis 33">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5" name="Rectangle à coins arrondis 34">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6" name="Rectangle à coins arrondis 35">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7" name="Rectangle à coins arrondis 36">
            <a:hlinkClick xmlns:r="http://schemas.openxmlformats.org/officeDocument/2006/relationships" r:id="rId14"/>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8" name="Rectangle à coins arrondis 37">
            <a:hlinkClick xmlns:r="http://schemas.openxmlformats.org/officeDocument/2006/relationships" r:id="rId15"/>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9" name="Rectangle à coins arrondis 38">
            <a:hlinkClick xmlns:r="http://schemas.openxmlformats.org/officeDocument/2006/relationships" r:id="rId7"/>
          </xdr:cNvPr>
          <xdr:cNvSpPr/>
        </xdr:nvSpPr>
        <xdr:spPr>
          <a:xfrm>
            <a:off x="11669730" y="264157"/>
            <a:ext cx="1119382" cy="778934"/>
          </a:xfrm>
          <a:prstGeom prst="round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0" name="Rectangle à coins arrondis 39">
            <a:hlinkClick xmlns:r="http://schemas.openxmlformats.org/officeDocument/2006/relationships" r:id="rId16"/>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1" name="Rectangle à coins arrondis 40">
            <a:hlinkClick xmlns:r="http://schemas.openxmlformats.org/officeDocument/2006/relationships" r:id="rId17"/>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2" name="Rectangle à coins arrondis 41">
            <a:hlinkClick xmlns:r="http://schemas.openxmlformats.org/officeDocument/2006/relationships" r:id="rId18"/>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3" name="Image 42"/>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xdr:colOff>
      <xdr:row>37</xdr:row>
      <xdr:rowOff>7620</xdr:rowOff>
    </xdr:from>
    <xdr:to>
      <xdr:col>17</xdr:col>
      <xdr:colOff>601980</xdr:colOff>
      <xdr:row>51</xdr:row>
      <xdr:rowOff>83820</xdr:rowOff>
    </xdr:to>
    <xdr:graphicFrame macro="">
      <xdr:nvGraphicFramePr>
        <xdr:cNvPr id="2563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99060</xdr:colOff>
      <xdr:row>34</xdr:row>
      <xdr:rowOff>38100</xdr:rowOff>
    </xdr:from>
    <xdr:to>
      <xdr:col>17</xdr:col>
      <xdr:colOff>674441</xdr:colOff>
      <xdr:row>36</xdr:row>
      <xdr:rowOff>114300</xdr:rowOff>
    </xdr:to>
    <xdr:sp macro="" textlink="">
      <xdr:nvSpPr>
        <xdr:cNvPr id="25602" name="AutoShape 2">
          <a:hlinkClick xmlns:r="http://schemas.openxmlformats.org/officeDocument/2006/relationships" r:id="rId2"/>
        </xdr:cNvPr>
        <xdr:cNvSpPr>
          <a:spLocks noChangeArrowheads="1"/>
        </xdr:cNvSpPr>
      </xdr:nvSpPr>
      <xdr:spPr bwMode="auto">
        <a:xfrm>
          <a:off x="8641080" y="4640580"/>
          <a:ext cx="1257300" cy="396240"/>
        </a:xfrm>
        <a:prstGeom prst="bevel">
          <a:avLst>
            <a:gd name="adj" fmla="val 12500"/>
          </a:avLst>
        </a:prstGeom>
        <a:solidFill>
          <a:srgbClr val="969696"/>
        </a:solidFill>
        <a:ln w="9525">
          <a:solidFill>
            <a:srgbClr val="000000"/>
          </a:solidFill>
          <a:miter lim="800000"/>
          <a:headEnd/>
          <a:tailEnd/>
        </a:ln>
      </xdr:spPr>
      <xdr:txBody>
        <a:bodyPr vertOverflow="clip" wrap="square" lIns="36576" tIns="27432" rIns="36576" bIns="27432" anchor="ctr" upright="1"/>
        <a:lstStyle/>
        <a:p>
          <a:pPr algn="ctr" rtl="0">
            <a:defRPr sz="1000"/>
          </a:pPr>
          <a:r>
            <a:rPr lang="fr-FR" sz="1000" b="1" i="0" u="none" strike="noStrike" baseline="0">
              <a:solidFill>
                <a:srgbClr val="FFFFFF"/>
              </a:solidFill>
              <a:latin typeface="Arial"/>
              <a:cs typeface="Arial"/>
            </a:rPr>
            <a:t>GO TO BALANCE</a:t>
          </a:r>
          <a:endParaRPr lang="fr-F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45720</xdr:rowOff>
    </xdr:from>
    <xdr:to>
      <xdr:col>18</xdr:col>
      <xdr:colOff>548640</xdr:colOff>
      <xdr:row>51</xdr:row>
      <xdr:rowOff>129540</xdr:rowOff>
    </xdr:to>
    <xdr:graphicFrame macro="">
      <xdr:nvGraphicFramePr>
        <xdr:cNvPr id="22546"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8</xdr:row>
      <xdr:rowOff>55880</xdr:rowOff>
    </xdr:from>
    <xdr:to>
      <xdr:col>14</xdr:col>
      <xdr:colOff>1276350</xdr:colOff>
      <xdr:row>40</xdr:row>
      <xdr:rowOff>42334</xdr:rowOff>
    </xdr:to>
    <xdr:pic>
      <xdr:nvPicPr>
        <xdr:cNvPr id="20" name="Picture 4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900" y="1951355"/>
          <a:ext cx="10902950" cy="5530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193040</xdr:colOff>
      <xdr:row>110</xdr:row>
      <xdr:rowOff>20320</xdr:rowOff>
    </xdr:from>
    <xdr:to>
      <xdr:col>13</xdr:col>
      <xdr:colOff>345440</xdr:colOff>
      <xdr:row>148</xdr:row>
      <xdr:rowOff>17780</xdr:rowOff>
    </xdr:to>
    <xdr:pic>
      <xdr:nvPicPr>
        <xdr:cNvPr id="22"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040" y="17973040"/>
          <a:ext cx="10688320" cy="6174740"/>
        </a:xfrm>
        <a:prstGeom prst="rect">
          <a:avLst/>
        </a:prstGeom>
        <a:noFill/>
        <a:ln w="9525">
          <a:solidFill>
            <a:srgbClr val="33333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8466</xdr:colOff>
      <xdr:row>5</xdr:row>
      <xdr:rowOff>118533</xdr:rowOff>
    </xdr:from>
    <xdr:to>
      <xdr:col>4</xdr:col>
      <xdr:colOff>8468</xdr:colOff>
      <xdr:row>8</xdr:row>
      <xdr:rowOff>0</xdr:rowOff>
    </xdr:to>
    <xdr:sp macro="" textlink="">
      <xdr:nvSpPr>
        <xdr:cNvPr id="24" name="Rectangle à coins arrondis 23"/>
        <xdr:cNvSpPr/>
      </xdr:nvSpPr>
      <xdr:spPr>
        <a:xfrm>
          <a:off x="1583266" y="1557866"/>
          <a:ext cx="1574802" cy="338667"/>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2</xdr:col>
      <xdr:colOff>8466</xdr:colOff>
      <xdr:row>42</xdr:row>
      <xdr:rowOff>133349</xdr:rowOff>
    </xdr:from>
    <xdr:to>
      <xdr:col>4</xdr:col>
      <xdr:colOff>8468</xdr:colOff>
      <xdr:row>44</xdr:row>
      <xdr:rowOff>161924</xdr:rowOff>
    </xdr:to>
    <xdr:sp macro="" textlink="">
      <xdr:nvSpPr>
        <xdr:cNvPr id="25" name="Rectangle à coins arrondis 24"/>
        <xdr:cNvSpPr/>
      </xdr:nvSpPr>
      <xdr:spPr>
        <a:xfrm>
          <a:off x="1570566" y="7915274"/>
          <a:ext cx="1562102" cy="3524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editAs="oneCell">
    <xdr:from>
      <xdr:col>3</xdr:col>
      <xdr:colOff>370292</xdr:colOff>
      <xdr:row>64</xdr:row>
      <xdr:rowOff>161924</xdr:rowOff>
    </xdr:from>
    <xdr:to>
      <xdr:col>6</xdr:col>
      <xdr:colOff>24172</xdr:colOff>
      <xdr:row>75</xdr:row>
      <xdr:rowOff>171450</xdr:rowOff>
    </xdr:to>
    <xdr:pic>
      <xdr:nvPicPr>
        <xdr:cNvPr id="5" name="Image 4"/>
        <xdr:cNvPicPr>
          <a:picLocks noChangeAspect="1"/>
        </xdr:cNvPicPr>
      </xdr:nvPicPr>
      <xdr:blipFill rotWithShape="1">
        <a:blip xmlns:r="http://schemas.openxmlformats.org/officeDocument/2006/relationships" r:embed="rId3" cstate="print"/>
        <a:srcRect b="17100"/>
        <a:stretch/>
      </xdr:blipFill>
      <xdr:spPr>
        <a:xfrm>
          <a:off x="2713442" y="11506199"/>
          <a:ext cx="1997030" cy="2124076"/>
        </a:xfrm>
        <a:prstGeom prst="rect">
          <a:avLst/>
        </a:prstGeom>
      </xdr:spPr>
    </xdr:pic>
    <xdr:clientData/>
  </xdr:twoCellAnchor>
  <xdr:twoCellAnchor editAs="oneCell">
    <xdr:from>
      <xdr:col>2</xdr:col>
      <xdr:colOff>219074</xdr:colOff>
      <xdr:row>92</xdr:row>
      <xdr:rowOff>95251</xdr:rowOff>
    </xdr:from>
    <xdr:to>
      <xdr:col>3</xdr:col>
      <xdr:colOff>628649</xdr:colOff>
      <xdr:row>98</xdr:row>
      <xdr:rowOff>47626</xdr:rowOff>
    </xdr:to>
    <xdr:pic>
      <xdr:nvPicPr>
        <xdr:cNvPr id="36"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30" t="63065" r="72776" b="8269"/>
        <a:stretch/>
      </xdr:blipFill>
      <xdr:spPr bwMode="auto">
        <a:xfrm>
          <a:off x="1781174" y="16373476"/>
          <a:ext cx="1190625" cy="104775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133350</xdr:colOff>
      <xdr:row>77</xdr:row>
      <xdr:rowOff>133350</xdr:rowOff>
    </xdr:from>
    <xdr:to>
      <xdr:col>12</xdr:col>
      <xdr:colOff>1009650</xdr:colOff>
      <xdr:row>99</xdr:row>
      <xdr:rowOff>19050</xdr:rowOff>
    </xdr:to>
    <xdr:grpSp>
      <xdr:nvGrpSpPr>
        <xdr:cNvPr id="7" name="Groupe 6"/>
        <xdr:cNvGrpSpPr/>
      </xdr:nvGrpSpPr>
      <xdr:grpSpPr>
        <a:xfrm>
          <a:off x="3181350" y="13686064"/>
          <a:ext cx="7013121" cy="3614057"/>
          <a:chOff x="3113950" y="14011275"/>
          <a:chExt cx="6925400" cy="3609975"/>
        </a:xfrm>
      </xdr:grpSpPr>
      <xdr:pic>
        <xdr:nvPicPr>
          <xdr:cNvPr id="1063" name="Picture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 b="1233"/>
          <a:stretch/>
        </xdr:blipFill>
        <xdr:spPr bwMode="auto">
          <a:xfrm>
            <a:off x="3113950" y="14011275"/>
            <a:ext cx="6925400" cy="360997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6" name="Rectangle 5"/>
          <xdr:cNvSpPr/>
        </xdr:nvSpPr>
        <xdr:spPr>
          <a:xfrm>
            <a:off x="3200400" y="15963900"/>
            <a:ext cx="1704975" cy="1504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771525</xdr:colOff>
      <xdr:row>103</xdr:row>
      <xdr:rowOff>152400</xdr:rowOff>
    </xdr:from>
    <xdr:to>
      <xdr:col>5</xdr:col>
      <xdr:colOff>9525</xdr:colOff>
      <xdr:row>107</xdr:row>
      <xdr:rowOff>9525</xdr:rowOff>
    </xdr:to>
    <xdr:sp macro="" textlink="">
      <xdr:nvSpPr>
        <xdr:cNvPr id="26" name="Rectangle à coins arrondis 25"/>
        <xdr:cNvSpPr/>
      </xdr:nvSpPr>
      <xdr:spPr>
        <a:xfrm>
          <a:off x="1552575" y="18335625"/>
          <a:ext cx="2362200" cy="504825"/>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15</xdr:col>
      <xdr:colOff>38312</xdr:colOff>
      <xdr:row>4</xdr:row>
      <xdr:rowOff>118533</xdr:rowOff>
    </xdr:to>
    <xdr:grpSp>
      <xdr:nvGrpSpPr>
        <xdr:cNvPr id="27" name="Groupe 26"/>
        <xdr:cNvGrpSpPr/>
      </xdr:nvGrpSpPr>
      <xdr:grpSpPr>
        <a:xfrm>
          <a:off x="0" y="0"/>
          <a:ext cx="12284741" cy="1261533"/>
          <a:chOff x="101600" y="67733"/>
          <a:chExt cx="12687512" cy="1270000"/>
        </a:xfrm>
      </xdr:grpSpPr>
      <xdr:sp macro="" textlink="">
        <xdr:nvSpPr>
          <xdr:cNvPr id="28" name="Rectangle à coins arrondis 2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9" name="ZoneTexte 2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0" name="Rectangle à coins arrondis 29">
            <a:hlinkClick xmlns:r="http://schemas.openxmlformats.org/officeDocument/2006/relationships" r:id="rId5"/>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1" name="Rectangle à coins arrondis 30">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2" name="Rectangle à coins arrondis 31">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3" name="Rectangle à coins arrondis 32">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4" name="Rectangle à coins arrondis 33">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5" name="Rectangle à coins arrondis 34">
            <a:hlinkClick xmlns:r="http://schemas.openxmlformats.org/officeDocument/2006/relationships" r:id="rId10"/>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37" name="Rectangle à coins arrondis 36">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38" name="Rectangle à coins arrondis 37">
            <a:hlinkClick xmlns:r="http://schemas.openxmlformats.org/officeDocument/2006/relationships" r:id="rId12"/>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39" name="Rectangle à coins arrondis 38">
            <a:hlinkClick xmlns:r="http://schemas.openxmlformats.org/officeDocument/2006/relationships" r:id="rId13"/>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8" name="Rectangle à coins arrondis 47">
            <a:hlinkClick xmlns:r="http://schemas.openxmlformats.org/officeDocument/2006/relationships" r:id="rId14"/>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9" name="Image 4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twoCellAnchor editAs="oneCell">
    <xdr:from>
      <xdr:col>0</xdr:col>
      <xdr:colOff>761999</xdr:colOff>
      <xdr:row>45</xdr:row>
      <xdr:rowOff>59765</xdr:rowOff>
    </xdr:from>
    <xdr:to>
      <xdr:col>10</xdr:col>
      <xdr:colOff>0</xdr:colOff>
      <xdr:row>63</xdr:row>
      <xdr:rowOff>122465</xdr:rowOff>
    </xdr:to>
    <xdr:pic>
      <xdr:nvPicPr>
        <xdr:cNvPr id="2" name="Picture 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38090"/>
        <a:stretch/>
      </xdr:blipFill>
      <xdr:spPr>
        <a:xfrm>
          <a:off x="761999" y="8115194"/>
          <a:ext cx="6858001" cy="3001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15</xdr:row>
      <xdr:rowOff>111760</xdr:rowOff>
    </xdr:from>
    <xdr:to>
      <xdr:col>14</xdr:col>
      <xdr:colOff>284480</xdr:colOff>
      <xdr:row>30</xdr:row>
      <xdr:rowOff>20320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58420</xdr:colOff>
      <xdr:row>26</xdr:row>
      <xdr:rowOff>68580</xdr:rowOff>
    </xdr:from>
    <xdr:to>
      <xdr:col>23</xdr:col>
      <xdr:colOff>220980</xdr:colOff>
      <xdr:row>28</xdr:row>
      <xdr:rowOff>134620</xdr:rowOff>
    </xdr:to>
    <xdr:pic>
      <xdr:nvPicPr>
        <xdr:cNvPr id="3" name="Image 2" descr="http://faostat3.fao.org/home/dataviewer-images/faostat_logo.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4980" y="5168900"/>
          <a:ext cx="17068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223520</xdr:colOff>
      <xdr:row>32</xdr:row>
      <xdr:rowOff>131085</xdr:rowOff>
    </xdr:from>
    <xdr:to>
      <xdr:col>27</xdr:col>
      <xdr:colOff>250190</xdr:colOff>
      <xdr:row>63</xdr:row>
      <xdr:rowOff>154870</xdr:rowOff>
    </xdr:to>
    <xdr:pic>
      <xdr:nvPicPr>
        <xdr:cNvPr id="4" name="Imag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3520" y="6267725"/>
          <a:ext cx="11328400" cy="5378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211667</xdr:colOff>
      <xdr:row>5</xdr:row>
      <xdr:rowOff>160867</xdr:rowOff>
    </xdr:from>
    <xdr:to>
      <xdr:col>3</xdr:col>
      <xdr:colOff>372533</xdr:colOff>
      <xdr:row>8</xdr:row>
      <xdr:rowOff>8467</xdr:rowOff>
    </xdr:to>
    <xdr:sp macro="" textlink="">
      <xdr:nvSpPr>
        <xdr:cNvPr id="19" name="Rectangle à coins arrondis 18"/>
        <xdr:cNvSpPr/>
      </xdr:nvSpPr>
      <xdr:spPr>
        <a:xfrm>
          <a:off x="211667" y="1642534"/>
          <a:ext cx="2023533" cy="355600"/>
        </a:xfrm>
        <a:prstGeom prst="roundRect">
          <a:avLst>
            <a:gd name="adj" fmla="val 1071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200" b="1"/>
        </a:p>
      </xdr:txBody>
    </xdr:sp>
    <xdr:clientData/>
  </xdr:twoCellAnchor>
  <xdr:twoCellAnchor>
    <xdr:from>
      <xdr:col>0</xdr:col>
      <xdr:colOff>0</xdr:colOff>
      <xdr:row>0</xdr:row>
      <xdr:rowOff>0</xdr:rowOff>
    </xdr:from>
    <xdr:to>
      <xdr:col>30</xdr:col>
      <xdr:colOff>605579</xdr:colOff>
      <xdr:row>4</xdr:row>
      <xdr:rowOff>84667</xdr:rowOff>
    </xdr:to>
    <xdr:grpSp>
      <xdr:nvGrpSpPr>
        <xdr:cNvPr id="31" name="Groupe 30"/>
        <xdr:cNvGrpSpPr/>
      </xdr:nvGrpSpPr>
      <xdr:grpSpPr>
        <a:xfrm>
          <a:off x="0" y="0"/>
          <a:ext cx="12443793" cy="1282096"/>
          <a:chOff x="101600" y="67733"/>
          <a:chExt cx="12687512" cy="1270000"/>
        </a:xfrm>
      </xdr:grpSpPr>
      <xdr:sp macro="" textlink="">
        <xdr:nvSpPr>
          <xdr:cNvPr id="32" name="Rectangle à coins arrondis 31"/>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3" name="ZoneTexte 32"/>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4" name="Rectangle à coins arrondis 33">
            <a:hlinkClick xmlns:r="http://schemas.openxmlformats.org/officeDocument/2006/relationships" r:id="rId4"/>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5" name="Rectangle à coins arrondis 34">
            <a:hlinkClick xmlns:r="http://schemas.openxmlformats.org/officeDocument/2006/relationships" r:id="rId5"/>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6" name="Rectangle à coins arrondis 35">
            <a:hlinkClick xmlns:r="http://schemas.openxmlformats.org/officeDocument/2006/relationships" r:id="rId6"/>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37" name="Rectangle à coins arrondis 36">
            <a:hlinkClick xmlns:r="http://schemas.openxmlformats.org/officeDocument/2006/relationships" r:id="rId7"/>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38" name="Rectangle à coins arrondis 37">
            <a:hlinkClick xmlns:r="http://schemas.openxmlformats.org/officeDocument/2006/relationships" r:id="rId8"/>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39" name="Rectangle à coins arrondis 38">
            <a:hlinkClick xmlns:r="http://schemas.openxmlformats.org/officeDocument/2006/relationships" r:id="rId9"/>
          </xdr:cNvPr>
          <xdr:cNvSpPr/>
        </xdr:nvSpPr>
        <xdr:spPr>
          <a:xfrm>
            <a:off x="90447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Inputs  Investments</a:t>
            </a:r>
          </a:p>
        </xdr:txBody>
      </xdr:sp>
      <xdr:sp macro="" textlink="">
        <xdr:nvSpPr>
          <xdr:cNvPr id="40" name="Rectangle à coins arrondis 39">
            <a:hlinkClick xmlns:r="http://schemas.openxmlformats.org/officeDocument/2006/relationships" r:id="rId10"/>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1" name="Rectangle à coins arrondis 40">
            <a:hlinkClick xmlns:r="http://schemas.openxmlformats.org/officeDocument/2006/relationships" r:id="rId11"/>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4" name="Rectangle à coins arrondis 43">
            <a:hlinkClick xmlns:r="http://schemas.openxmlformats.org/officeDocument/2006/relationships" r:id="rId12"/>
          </xdr:cNvPr>
          <xdr:cNvSpPr/>
        </xdr:nvSpPr>
        <xdr:spPr>
          <a:xfrm>
            <a:off x="10256629" y="541940"/>
            <a:ext cx="1165145"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5" name="Rectangle à coins arrondis 44">
            <a:hlinkClick xmlns:r="http://schemas.openxmlformats.org/officeDocument/2006/relationships" r:id="rId13"/>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6" name="Image 45"/>
          <xdr:cNvPicPr>
            <a:picLocks noChangeAspect="1"/>
          </xdr:cNvPicPr>
        </xdr:nvPicPr>
        <xdr:blipFill rotWithShape="1">
          <a:blip xmlns:r="http://schemas.openxmlformats.org/officeDocument/2006/relationships" r:embed="rId14"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57573</xdr:colOff>
      <xdr:row>13</xdr:row>
      <xdr:rowOff>34714</xdr:rowOff>
    </xdr:from>
    <xdr:to>
      <xdr:col>6</xdr:col>
      <xdr:colOff>93133</xdr:colOff>
      <xdr:row>14</xdr:row>
      <xdr:rowOff>67734</xdr:rowOff>
    </xdr:to>
    <xdr:sp macro="" textlink="">
      <xdr:nvSpPr>
        <xdr:cNvPr id="26" name="Rectangle à coins arrondis 25">
          <a:hlinkClick xmlns:r="http://schemas.openxmlformats.org/officeDocument/2006/relationships" r:id="rId1"/>
        </xdr:cNvPr>
        <xdr:cNvSpPr/>
      </xdr:nvSpPr>
      <xdr:spPr>
        <a:xfrm>
          <a:off x="5069840" y="2879514"/>
          <a:ext cx="204893" cy="2023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5</xdr:col>
      <xdr:colOff>76200</xdr:colOff>
      <xdr:row>10</xdr:row>
      <xdr:rowOff>60961</xdr:rowOff>
    </xdr:from>
    <xdr:to>
      <xdr:col>6</xdr:col>
      <xdr:colOff>118533</xdr:colOff>
      <xdr:row>11</xdr:row>
      <xdr:rowOff>106681</xdr:rowOff>
    </xdr:to>
    <xdr:sp macro="" textlink="">
      <xdr:nvSpPr>
        <xdr:cNvPr id="16" name="Rectangle à coins arrondis 15">
          <a:hlinkClick xmlns:r="http://schemas.openxmlformats.org/officeDocument/2006/relationships" r:id="rId2"/>
        </xdr:cNvPr>
        <xdr:cNvSpPr/>
      </xdr:nvSpPr>
      <xdr:spPr>
        <a:xfrm>
          <a:off x="5088467" y="2397761"/>
          <a:ext cx="211666" cy="21505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16</xdr:col>
      <xdr:colOff>258445</xdr:colOff>
      <xdr:row>4</xdr:row>
      <xdr:rowOff>118533</xdr:rowOff>
    </xdr:to>
    <xdr:grpSp>
      <xdr:nvGrpSpPr>
        <xdr:cNvPr id="25" name="Groupe 24"/>
        <xdr:cNvGrpSpPr/>
      </xdr:nvGrpSpPr>
      <xdr:grpSpPr>
        <a:xfrm>
          <a:off x="0" y="0"/>
          <a:ext cx="12334028" cy="1261533"/>
          <a:chOff x="101600" y="67733"/>
          <a:chExt cx="12687512" cy="1270000"/>
        </a:xfrm>
      </xdr:grpSpPr>
      <xdr:sp macro="" textlink="">
        <xdr:nvSpPr>
          <xdr:cNvPr id="27" name="Rectangle à coins arrondis 26"/>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28" name="ZoneTexte 27"/>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29" name="Rectangle à coins arrondis 28">
            <a:hlinkClick xmlns:r="http://schemas.openxmlformats.org/officeDocument/2006/relationships" r:id="rId3"/>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30" name="Rectangle à coins arrondis 29">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4" name="Rectangle à coins arrondis 43">
            <a:hlinkClick xmlns:r="http://schemas.openxmlformats.org/officeDocument/2006/relationships" r:id="rId5"/>
          </xdr:cNvPr>
          <xdr:cNvSpPr/>
        </xdr:nvSpPr>
        <xdr:spPr>
          <a:xfrm>
            <a:off x="1808802" y="535842"/>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Description</a:t>
            </a:r>
          </a:p>
        </xdr:txBody>
      </xdr:sp>
      <xdr:sp macro="" textlink="">
        <xdr:nvSpPr>
          <xdr:cNvPr id="45" name="Rectangle à coins arrondis 44">
            <a:hlinkClick xmlns:r="http://schemas.openxmlformats.org/officeDocument/2006/relationships" r:id="rId6"/>
          </xdr:cNvPr>
          <xdr:cNvSpPr/>
        </xdr:nvSpPr>
        <xdr:spPr>
          <a:xfrm>
            <a:off x="2957631" y="541940"/>
            <a:ext cx="1113594"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Land Use Change</a:t>
            </a:r>
          </a:p>
        </xdr:txBody>
      </xdr:sp>
      <xdr:sp macro="" textlink="">
        <xdr:nvSpPr>
          <xdr:cNvPr id="46" name="Rectangle à coins arrondis 45">
            <a:hlinkClick xmlns:r="http://schemas.openxmlformats.org/officeDocument/2006/relationships" r:id="rId7"/>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7" name="Rectangle à coins arrondis 46">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8" name="Rectangle à coins arrondis 47">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9" name="Rectangle à coins arrondis 48">
            <a:hlinkClick xmlns:r="http://schemas.openxmlformats.org/officeDocument/2006/relationships" r:id="rId10"/>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0" name="Rectangle à coins arrondis 49">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1" name="Rectangle à coins arrondis 50">
            <a:hlinkClick xmlns:r="http://schemas.openxmlformats.org/officeDocument/2006/relationships" r:id="rId12"/>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2" name="Image 51"/>
          <xdr:cNvPicPr>
            <a:picLocks noChangeAspect="1"/>
          </xdr:cNvPicPr>
        </xdr:nvPicPr>
        <xdr:blipFill rotWithShape="1">
          <a:blip xmlns:r="http://schemas.openxmlformats.org/officeDocument/2006/relationships" r:embed="rId13"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45720</xdr:colOff>
      <xdr:row>54</xdr:row>
      <xdr:rowOff>83820</xdr:rowOff>
    </xdr:from>
    <xdr:to>
      <xdr:col>5</xdr:col>
      <xdr:colOff>624840</xdr:colOff>
      <xdr:row>54</xdr:row>
      <xdr:rowOff>83820</xdr:rowOff>
    </xdr:to>
    <xdr:cxnSp macro="">
      <xdr:nvCxnSpPr>
        <xdr:cNvPr id="118" name="Connecteur droit avec flèche 117"/>
        <xdr:cNvCxnSpPr/>
      </xdr:nvCxnSpPr>
      <xdr:spPr>
        <a:xfrm>
          <a:off x="3368040" y="622554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48</xdr:row>
      <xdr:rowOff>83820</xdr:rowOff>
    </xdr:from>
    <xdr:to>
      <xdr:col>5</xdr:col>
      <xdr:colOff>624840</xdr:colOff>
      <xdr:row>48</xdr:row>
      <xdr:rowOff>83820</xdr:rowOff>
    </xdr:to>
    <xdr:cxnSp macro="">
      <xdr:nvCxnSpPr>
        <xdr:cNvPr id="119" name="Connecteur droit avec flèche 118"/>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49</xdr:row>
      <xdr:rowOff>83820</xdr:rowOff>
    </xdr:from>
    <xdr:to>
      <xdr:col>5</xdr:col>
      <xdr:colOff>624840</xdr:colOff>
      <xdr:row>49</xdr:row>
      <xdr:rowOff>83820</xdr:rowOff>
    </xdr:to>
    <xdr:cxnSp macro="">
      <xdr:nvCxnSpPr>
        <xdr:cNvPr id="120" name="Connecteur droit avec flèche 119"/>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50</xdr:row>
      <xdr:rowOff>83820</xdr:rowOff>
    </xdr:from>
    <xdr:to>
      <xdr:col>5</xdr:col>
      <xdr:colOff>624840</xdr:colOff>
      <xdr:row>50</xdr:row>
      <xdr:rowOff>83820</xdr:rowOff>
    </xdr:to>
    <xdr:cxnSp macro="">
      <xdr:nvCxnSpPr>
        <xdr:cNvPr id="121" name="Connecteur droit avec flèche 120"/>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51</xdr:row>
      <xdr:rowOff>83820</xdr:rowOff>
    </xdr:from>
    <xdr:to>
      <xdr:col>5</xdr:col>
      <xdr:colOff>624840</xdr:colOff>
      <xdr:row>51</xdr:row>
      <xdr:rowOff>83820</xdr:rowOff>
    </xdr:to>
    <xdr:cxnSp macro="">
      <xdr:nvCxnSpPr>
        <xdr:cNvPr id="122" name="Connecteur droit avec flèche 121"/>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52</xdr:row>
      <xdr:rowOff>83820</xdr:rowOff>
    </xdr:from>
    <xdr:to>
      <xdr:col>5</xdr:col>
      <xdr:colOff>624840</xdr:colOff>
      <xdr:row>52</xdr:row>
      <xdr:rowOff>83820</xdr:rowOff>
    </xdr:to>
    <xdr:cxnSp macro="">
      <xdr:nvCxnSpPr>
        <xdr:cNvPr id="123" name="Connecteur droit avec flèche 122"/>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53</xdr:row>
      <xdr:rowOff>83820</xdr:rowOff>
    </xdr:from>
    <xdr:to>
      <xdr:col>5</xdr:col>
      <xdr:colOff>624840</xdr:colOff>
      <xdr:row>53</xdr:row>
      <xdr:rowOff>83820</xdr:rowOff>
    </xdr:to>
    <xdr:cxnSp macro="">
      <xdr:nvCxnSpPr>
        <xdr:cNvPr id="124" name="Connecteur droit avec flèche 123"/>
        <xdr:cNvCxnSpPr/>
      </xdr:nvCxnSpPr>
      <xdr:spPr>
        <a:xfrm>
          <a:off x="3368040" y="723138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55</xdr:row>
      <xdr:rowOff>83820</xdr:rowOff>
    </xdr:from>
    <xdr:to>
      <xdr:col>5</xdr:col>
      <xdr:colOff>624840</xdr:colOff>
      <xdr:row>55</xdr:row>
      <xdr:rowOff>83820</xdr:rowOff>
    </xdr:to>
    <xdr:cxnSp macro="">
      <xdr:nvCxnSpPr>
        <xdr:cNvPr id="125" name="Connecteur droit avec flèche 124"/>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56</xdr:row>
      <xdr:rowOff>83820</xdr:rowOff>
    </xdr:from>
    <xdr:to>
      <xdr:col>5</xdr:col>
      <xdr:colOff>624840</xdr:colOff>
      <xdr:row>56</xdr:row>
      <xdr:rowOff>83820</xdr:rowOff>
    </xdr:to>
    <xdr:cxnSp macro="">
      <xdr:nvCxnSpPr>
        <xdr:cNvPr id="126" name="Connecteur droit avec flèche 125"/>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xdr:colOff>
      <xdr:row>57</xdr:row>
      <xdr:rowOff>83820</xdr:rowOff>
    </xdr:from>
    <xdr:to>
      <xdr:col>5</xdr:col>
      <xdr:colOff>624840</xdr:colOff>
      <xdr:row>57</xdr:row>
      <xdr:rowOff>83820</xdr:rowOff>
    </xdr:to>
    <xdr:cxnSp macro="">
      <xdr:nvCxnSpPr>
        <xdr:cNvPr id="127" name="Connecteur droit avec flèche 126"/>
        <xdr:cNvCxnSpPr/>
      </xdr:nvCxnSpPr>
      <xdr:spPr>
        <a:xfrm>
          <a:off x="3368040" y="7399020"/>
          <a:ext cx="579120" cy="0"/>
        </a:xfrm>
        <a:prstGeom prst="straightConnector1">
          <a:avLst/>
        </a:prstGeom>
        <a:ln w="19050">
          <a:solidFill>
            <a:schemeClr val="bg2">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296334</xdr:colOff>
      <xdr:row>25</xdr:row>
      <xdr:rowOff>177800</xdr:rowOff>
    </xdr:from>
    <xdr:to>
      <xdr:col>1</xdr:col>
      <xdr:colOff>203201</xdr:colOff>
      <xdr:row>27</xdr:row>
      <xdr:rowOff>33866</xdr:rowOff>
    </xdr:to>
    <xdr:sp macro="" textlink="">
      <xdr:nvSpPr>
        <xdr:cNvPr id="31" name="Rectangle à coins arrondis 30">
          <a:hlinkClick xmlns:r="http://schemas.openxmlformats.org/officeDocument/2006/relationships" r:id="rId1"/>
        </xdr:cNvPr>
        <xdr:cNvSpPr/>
      </xdr:nvSpPr>
      <xdr:spPr>
        <a:xfrm>
          <a:off x="296334" y="4741333"/>
          <a:ext cx="228600" cy="220133"/>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84667</xdr:colOff>
      <xdr:row>91</xdr:row>
      <xdr:rowOff>50801</xdr:rowOff>
    </xdr:from>
    <xdr:to>
      <xdr:col>1</xdr:col>
      <xdr:colOff>905934</xdr:colOff>
      <xdr:row>93</xdr:row>
      <xdr:rowOff>110067</xdr:rowOff>
    </xdr:to>
    <xdr:sp macro="" textlink="">
      <xdr:nvSpPr>
        <xdr:cNvPr id="4" name="Pentagone 3">
          <a:hlinkClick xmlns:r="http://schemas.openxmlformats.org/officeDocument/2006/relationships" r:id="rId2"/>
        </xdr:cNvPr>
        <xdr:cNvSpPr/>
      </xdr:nvSpPr>
      <xdr:spPr>
        <a:xfrm flipH="1">
          <a:off x="406400" y="17068801"/>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0</xdr:colOff>
      <xdr:row>89</xdr:row>
      <xdr:rowOff>0</xdr:rowOff>
    </xdr:from>
    <xdr:to>
      <xdr:col>1</xdr:col>
      <xdr:colOff>254000</xdr:colOff>
      <xdr:row>90</xdr:row>
      <xdr:rowOff>33867</xdr:rowOff>
    </xdr:to>
    <xdr:sp macro="" textlink="">
      <xdr:nvSpPr>
        <xdr:cNvPr id="40" name="Rectangle à coins arrondis 39">
          <a:hlinkClick xmlns:r="http://schemas.openxmlformats.org/officeDocument/2006/relationships" r:id="rId1"/>
        </xdr:cNvPr>
        <xdr:cNvSpPr/>
      </xdr:nvSpPr>
      <xdr:spPr>
        <a:xfrm>
          <a:off x="321733" y="15113000"/>
          <a:ext cx="254000" cy="2032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3" name="Rectangle à coins arrondis 42">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389482</xdr:colOff>
      <xdr:row>38</xdr:row>
      <xdr:rowOff>160866</xdr:rowOff>
    </xdr:from>
    <xdr:to>
      <xdr:col>1</xdr:col>
      <xdr:colOff>1354682</xdr:colOff>
      <xdr:row>41</xdr:row>
      <xdr:rowOff>76199</xdr:rowOff>
    </xdr:to>
    <xdr:sp macro="" textlink="">
      <xdr:nvSpPr>
        <xdr:cNvPr id="44" name="Pentagone 43">
          <a:hlinkClick xmlns:r="http://schemas.openxmlformats.org/officeDocument/2006/relationships" r:id="rId3"/>
        </xdr:cNvPr>
        <xdr:cNvSpPr/>
      </xdr:nvSpPr>
      <xdr:spPr>
        <a:xfrm>
          <a:off x="711215" y="6510866"/>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304800</xdr:colOff>
      <xdr:row>140</xdr:row>
      <xdr:rowOff>8466</xdr:rowOff>
    </xdr:from>
    <xdr:to>
      <xdr:col>1</xdr:col>
      <xdr:colOff>1508760</xdr:colOff>
      <xdr:row>141</xdr:row>
      <xdr:rowOff>110067</xdr:rowOff>
    </xdr:to>
    <xdr:sp macro="" textlink="">
      <xdr:nvSpPr>
        <xdr:cNvPr id="45" name="Rectangle à coins arrondis 44">
          <a:hlinkClick xmlns:r="http://schemas.openxmlformats.org/officeDocument/2006/relationships" r:id="rId1"/>
        </xdr:cNvPr>
        <xdr:cNvSpPr/>
      </xdr:nvSpPr>
      <xdr:spPr>
        <a:xfrm>
          <a:off x="304800" y="23613533"/>
          <a:ext cx="1525693" cy="270934"/>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Available AEZ</a:t>
          </a:r>
        </a:p>
      </xdr:txBody>
    </xdr:sp>
    <xdr:clientData/>
  </xdr:twoCellAnchor>
  <xdr:twoCellAnchor>
    <xdr:from>
      <xdr:col>1</xdr:col>
      <xdr:colOff>84667</xdr:colOff>
      <xdr:row>142</xdr:row>
      <xdr:rowOff>50801</xdr:rowOff>
    </xdr:from>
    <xdr:to>
      <xdr:col>1</xdr:col>
      <xdr:colOff>905934</xdr:colOff>
      <xdr:row>144</xdr:row>
      <xdr:rowOff>110067</xdr:rowOff>
    </xdr:to>
    <xdr:sp macro="" textlink="">
      <xdr:nvSpPr>
        <xdr:cNvPr id="46" name="Pentagone 45">
          <a:hlinkClick xmlns:r="http://schemas.openxmlformats.org/officeDocument/2006/relationships" r:id="rId4"/>
        </xdr:cNvPr>
        <xdr:cNvSpPr/>
      </xdr:nvSpPr>
      <xdr:spPr>
        <a:xfrm flipH="1">
          <a:off x="406400" y="14867468"/>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0</xdr:col>
      <xdr:colOff>220134</xdr:colOff>
      <xdr:row>5</xdr:row>
      <xdr:rowOff>101601</xdr:rowOff>
    </xdr:from>
    <xdr:to>
      <xdr:col>20</xdr:col>
      <xdr:colOff>118533</xdr:colOff>
      <xdr:row>23</xdr:row>
      <xdr:rowOff>1</xdr:rowOff>
    </xdr:to>
    <xdr:sp macro="" textlink="">
      <xdr:nvSpPr>
        <xdr:cNvPr id="5" name="Rectangle à coins arrondis 4"/>
        <xdr:cNvSpPr/>
      </xdr:nvSpPr>
      <xdr:spPr>
        <a:xfrm>
          <a:off x="220134" y="1540934"/>
          <a:ext cx="12572999" cy="2607734"/>
        </a:xfrm>
        <a:prstGeom prst="roundRect">
          <a:avLst>
            <a:gd name="adj" fmla="val 7431"/>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220128</xdr:colOff>
      <xdr:row>24</xdr:row>
      <xdr:rowOff>101708</xdr:rowOff>
    </xdr:from>
    <xdr:to>
      <xdr:col>20</xdr:col>
      <xdr:colOff>118527</xdr:colOff>
      <xdr:row>42</xdr:row>
      <xdr:rowOff>109</xdr:rowOff>
    </xdr:to>
    <xdr:sp macro="" textlink="">
      <xdr:nvSpPr>
        <xdr:cNvPr id="49" name="Rectangle à coins arrondis 48"/>
        <xdr:cNvSpPr/>
      </xdr:nvSpPr>
      <xdr:spPr>
        <a:xfrm>
          <a:off x="220128" y="4419708"/>
          <a:ext cx="12572999" cy="2607734"/>
        </a:xfrm>
        <a:prstGeom prst="roundRect">
          <a:avLst>
            <a:gd name="adj" fmla="val 7431"/>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220122</xdr:colOff>
      <xdr:row>43</xdr:row>
      <xdr:rowOff>84880</xdr:rowOff>
    </xdr:from>
    <xdr:to>
      <xdr:col>20</xdr:col>
      <xdr:colOff>118521</xdr:colOff>
      <xdr:row>61</xdr:row>
      <xdr:rowOff>84666</xdr:rowOff>
    </xdr:to>
    <xdr:sp macro="" textlink="">
      <xdr:nvSpPr>
        <xdr:cNvPr id="50" name="Rectangle à coins arrondis 49"/>
        <xdr:cNvSpPr/>
      </xdr:nvSpPr>
      <xdr:spPr>
        <a:xfrm>
          <a:off x="220122" y="7281547"/>
          <a:ext cx="12750799" cy="3047786"/>
        </a:xfrm>
        <a:prstGeom prst="roundRect">
          <a:avLst>
            <a:gd name="adj" fmla="val 7431"/>
          </a:avLst>
        </a:prstGeom>
        <a:noFill/>
        <a:ln>
          <a:solidFill>
            <a:schemeClr val="tx2">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19</xdr:row>
      <xdr:rowOff>139700</xdr:rowOff>
    </xdr:from>
    <xdr:to>
      <xdr:col>1</xdr:col>
      <xdr:colOff>355600</xdr:colOff>
      <xdr:row>22</xdr:row>
      <xdr:rowOff>63500</xdr:rowOff>
    </xdr:to>
    <xdr:sp macro="" textlink="">
      <xdr:nvSpPr>
        <xdr:cNvPr id="6" name="Rectangle 5"/>
        <xdr:cNvSpPr/>
      </xdr:nvSpPr>
      <xdr:spPr>
        <a:xfrm>
          <a:off x="347133" y="36110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380999</xdr:colOff>
      <xdr:row>19</xdr:row>
      <xdr:rowOff>143934</xdr:rowOff>
    </xdr:from>
    <xdr:to>
      <xdr:col>1</xdr:col>
      <xdr:colOff>1346199</xdr:colOff>
      <xdr:row>22</xdr:row>
      <xdr:rowOff>59267</xdr:rowOff>
    </xdr:to>
    <xdr:sp macro="" textlink="">
      <xdr:nvSpPr>
        <xdr:cNvPr id="51" name="Pentagone 50">
          <a:hlinkClick xmlns:r="http://schemas.openxmlformats.org/officeDocument/2006/relationships" r:id="rId5"/>
        </xdr:cNvPr>
        <xdr:cNvSpPr/>
      </xdr:nvSpPr>
      <xdr:spPr>
        <a:xfrm>
          <a:off x="702732" y="36152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25394</xdr:colOff>
      <xdr:row>38</xdr:row>
      <xdr:rowOff>148274</xdr:rowOff>
    </xdr:from>
    <xdr:to>
      <xdr:col>1</xdr:col>
      <xdr:colOff>355594</xdr:colOff>
      <xdr:row>41</xdr:row>
      <xdr:rowOff>72074</xdr:rowOff>
    </xdr:to>
    <xdr:sp macro="" textlink="">
      <xdr:nvSpPr>
        <xdr:cNvPr id="52" name="Rectangle 51"/>
        <xdr:cNvSpPr/>
      </xdr:nvSpPr>
      <xdr:spPr>
        <a:xfrm>
          <a:off x="347127" y="6498274"/>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939801</xdr:colOff>
      <xdr:row>91</xdr:row>
      <xdr:rowOff>33866</xdr:rowOff>
    </xdr:from>
    <xdr:to>
      <xdr:col>1</xdr:col>
      <xdr:colOff>1270001</xdr:colOff>
      <xdr:row>93</xdr:row>
      <xdr:rowOff>127000</xdr:rowOff>
    </xdr:to>
    <xdr:sp macro="" textlink="">
      <xdr:nvSpPr>
        <xdr:cNvPr id="54" name="Rectangle 53"/>
        <xdr:cNvSpPr/>
      </xdr:nvSpPr>
      <xdr:spPr>
        <a:xfrm>
          <a:off x="1261534" y="15358533"/>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939800</xdr:colOff>
      <xdr:row>142</xdr:row>
      <xdr:rowOff>33867</xdr:rowOff>
    </xdr:from>
    <xdr:to>
      <xdr:col>1</xdr:col>
      <xdr:colOff>1270000</xdr:colOff>
      <xdr:row>144</xdr:row>
      <xdr:rowOff>127000</xdr:rowOff>
    </xdr:to>
    <xdr:sp macro="" textlink="">
      <xdr:nvSpPr>
        <xdr:cNvPr id="55" name="Rectangle 54"/>
        <xdr:cNvSpPr/>
      </xdr:nvSpPr>
      <xdr:spPr>
        <a:xfrm>
          <a:off x="1261533" y="23825200"/>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304800</xdr:colOff>
      <xdr:row>26</xdr:row>
      <xdr:rowOff>1</xdr:rowOff>
    </xdr:from>
    <xdr:to>
      <xdr:col>1</xdr:col>
      <xdr:colOff>194734</xdr:colOff>
      <xdr:row>27</xdr:row>
      <xdr:rowOff>8468</xdr:rowOff>
    </xdr:to>
    <xdr:sp macro="" textlink="">
      <xdr:nvSpPr>
        <xdr:cNvPr id="39" name="Rectangle à coins arrondis 38">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1" name="Rectangle à coins arrondis 40">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2" name="Rectangle à coins arrondis 41">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7</xdr:row>
      <xdr:rowOff>1</xdr:rowOff>
    </xdr:from>
    <xdr:to>
      <xdr:col>1</xdr:col>
      <xdr:colOff>194734</xdr:colOff>
      <xdr:row>8</xdr:row>
      <xdr:rowOff>8468</xdr:rowOff>
    </xdr:to>
    <xdr:sp macro="" textlink="">
      <xdr:nvSpPr>
        <xdr:cNvPr id="47" name="Rectangle à coins arrondis 46">
          <a:hlinkClick xmlns:r="http://schemas.openxmlformats.org/officeDocument/2006/relationships" r:id="rId1"/>
        </xdr:cNvPr>
        <xdr:cNvSpPr/>
      </xdr:nvSpPr>
      <xdr:spPr>
        <a:xfrm>
          <a:off x="304800" y="1803401"/>
          <a:ext cx="211667"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xdr:col>
      <xdr:colOff>381022</xdr:colOff>
      <xdr:row>58</xdr:row>
      <xdr:rowOff>80321</xdr:rowOff>
    </xdr:from>
    <xdr:to>
      <xdr:col>1</xdr:col>
      <xdr:colOff>1346222</xdr:colOff>
      <xdr:row>60</xdr:row>
      <xdr:rowOff>164988</xdr:rowOff>
    </xdr:to>
    <xdr:sp macro="" textlink="">
      <xdr:nvSpPr>
        <xdr:cNvPr id="48" name="Pentagone 47">
          <a:hlinkClick xmlns:r="http://schemas.openxmlformats.org/officeDocument/2006/relationships" r:id="rId6"/>
        </xdr:cNvPr>
        <xdr:cNvSpPr/>
      </xdr:nvSpPr>
      <xdr:spPr>
        <a:xfrm>
          <a:off x="702755" y="9893188"/>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16934</xdr:colOff>
      <xdr:row>58</xdr:row>
      <xdr:rowOff>67729</xdr:rowOff>
    </xdr:from>
    <xdr:to>
      <xdr:col>1</xdr:col>
      <xdr:colOff>347134</xdr:colOff>
      <xdr:row>60</xdr:row>
      <xdr:rowOff>160863</xdr:rowOff>
    </xdr:to>
    <xdr:sp macro="" textlink="">
      <xdr:nvSpPr>
        <xdr:cNvPr id="53" name="Rectangle 52"/>
        <xdr:cNvSpPr/>
      </xdr:nvSpPr>
      <xdr:spPr>
        <a:xfrm>
          <a:off x="338667" y="9880596"/>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191</xdr:row>
      <xdr:rowOff>42335</xdr:rowOff>
    </xdr:from>
    <xdr:to>
      <xdr:col>1</xdr:col>
      <xdr:colOff>821267</xdr:colOff>
      <xdr:row>193</xdr:row>
      <xdr:rowOff>101601</xdr:rowOff>
    </xdr:to>
    <xdr:sp macro="" textlink="">
      <xdr:nvSpPr>
        <xdr:cNvPr id="56" name="Pentagone 55">
          <a:hlinkClick xmlns:r="http://schemas.openxmlformats.org/officeDocument/2006/relationships" r:id="rId7"/>
        </xdr:cNvPr>
        <xdr:cNvSpPr/>
      </xdr:nvSpPr>
      <xdr:spPr>
        <a:xfrm flipH="1">
          <a:off x="321733" y="321394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855133</xdr:colOff>
      <xdr:row>191</xdr:row>
      <xdr:rowOff>25401</xdr:rowOff>
    </xdr:from>
    <xdr:to>
      <xdr:col>1</xdr:col>
      <xdr:colOff>1185333</xdr:colOff>
      <xdr:row>193</xdr:row>
      <xdr:rowOff>118534</xdr:rowOff>
    </xdr:to>
    <xdr:sp macro="" textlink="">
      <xdr:nvSpPr>
        <xdr:cNvPr id="57" name="Rectangle 56"/>
        <xdr:cNvSpPr/>
      </xdr:nvSpPr>
      <xdr:spPr>
        <a:xfrm>
          <a:off x="1176866" y="32122534"/>
          <a:ext cx="330200" cy="431800"/>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19</xdr:col>
      <xdr:colOff>630979</xdr:colOff>
      <xdr:row>4</xdr:row>
      <xdr:rowOff>118533</xdr:rowOff>
    </xdr:to>
    <xdr:grpSp>
      <xdr:nvGrpSpPr>
        <xdr:cNvPr id="85" name="Groupe 84"/>
        <xdr:cNvGrpSpPr/>
      </xdr:nvGrpSpPr>
      <xdr:grpSpPr>
        <a:xfrm>
          <a:off x="0" y="0"/>
          <a:ext cx="12325562" cy="1261533"/>
          <a:chOff x="101600" y="67733"/>
          <a:chExt cx="12687512" cy="1270000"/>
        </a:xfrm>
      </xdr:grpSpPr>
      <xdr:sp macro="" textlink="">
        <xdr:nvSpPr>
          <xdr:cNvPr id="86" name="Rectangle à coins arrondis 8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87" name="ZoneTexte 8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88" name="Rectangle à coins arrondis 87">
            <a:hlinkClick xmlns:r="http://schemas.openxmlformats.org/officeDocument/2006/relationships" r:id="rId8"/>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89" name="Rectangle à coins arrondis 88">
            <a:hlinkClick xmlns:r="http://schemas.openxmlformats.org/officeDocument/2006/relationships" r:id="rId9"/>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90" name="Rectangle à coins arrondis 89">
            <a:hlinkClick xmlns:r="http://schemas.openxmlformats.org/officeDocument/2006/relationships" r:id="rId10"/>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91" name="Rectangle à coins arrondis 90">
            <a:hlinkClick xmlns:r="http://schemas.openxmlformats.org/officeDocument/2006/relationships" r:id="rId2"/>
          </xdr:cNvPr>
          <xdr:cNvSpPr/>
        </xdr:nvSpPr>
        <xdr:spPr>
          <a:xfrm>
            <a:off x="2957631" y="541940"/>
            <a:ext cx="1113594"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Land Use Change</a:t>
            </a:r>
          </a:p>
        </xdr:txBody>
      </xdr:sp>
      <xdr:sp macro="" textlink="">
        <xdr:nvSpPr>
          <xdr:cNvPr id="92" name="Rectangle à coins arrondis 91">
            <a:hlinkClick xmlns:r="http://schemas.openxmlformats.org/officeDocument/2006/relationships" r:id="rId11"/>
          </xdr:cNvPr>
          <xdr:cNvSpPr/>
        </xdr:nvSpPr>
        <xdr:spPr>
          <a:xfrm>
            <a:off x="4106460" y="541940"/>
            <a:ext cx="1273767"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93" name="Rectangle à coins arrondis 92">
            <a:hlinkClick xmlns:r="http://schemas.openxmlformats.org/officeDocument/2006/relationships" r:id="rId12"/>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94" name="Rectangle à coins arrondis 93">
            <a:hlinkClick xmlns:r="http://schemas.openxmlformats.org/officeDocument/2006/relationships" r:id="rId13"/>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95" name="Rectangle à coins arrondis 94">
            <a:hlinkClick xmlns:r="http://schemas.openxmlformats.org/officeDocument/2006/relationships" r:id="rId14"/>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96" name="Rectangle à coins arrondis 95">
            <a:hlinkClick xmlns:r="http://schemas.openxmlformats.org/officeDocument/2006/relationships" r:id="rId15"/>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97" name="Rectangle à coins arrondis 96">
            <a:hlinkClick xmlns:r="http://schemas.openxmlformats.org/officeDocument/2006/relationships" r:id="rId16"/>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98" name="Image 97"/>
          <xdr:cNvPicPr>
            <a:picLocks noChangeAspect="1"/>
          </xdr:cNvPicPr>
        </xdr:nvPicPr>
        <xdr:blipFill rotWithShape="1">
          <a:blip xmlns:r="http://schemas.openxmlformats.org/officeDocument/2006/relationships" r:embed="rId17"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215900</xdr:colOff>
      <xdr:row>5</xdr:row>
      <xdr:rowOff>12699</xdr:rowOff>
    </xdr:from>
    <xdr:to>
      <xdr:col>26</xdr:col>
      <xdr:colOff>97368</xdr:colOff>
      <xdr:row>35</xdr:row>
      <xdr:rowOff>52915</xdr:rowOff>
    </xdr:to>
    <xdr:sp macro="" textlink="">
      <xdr:nvSpPr>
        <xdr:cNvPr id="15" name="Rectangle à coins arrondis 14"/>
        <xdr:cNvSpPr/>
      </xdr:nvSpPr>
      <xdr:spPr>
        <a:xfrm>
          <a:off x="215900" y="1441449"/>
          <a:ext cx="14264218" cy="5014383"/>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315384</xdr:colOff>
      <xdr:row>32</xdr:row>
      <xdr:rowOff>29634</xdr:rowOff>
    </xdr:from>
    <xdr:to>
      <xdr:col>1</xdr:col>
      <xdr:colOff>328084</xdr:colOff>
      <xdr:row>34</xdr:row>
      <xdr:rowOff>122768</xdr:rowOff>
    </xdr:to>
    <xdr:sp macro="" textlink="">
      <xdr:nvSpPr>
        <xdr:cNvPr id="16" name="Rectangle 15"/>
        <xdr:cNvSpPr/>
      </xdr:nvSpPr>
      <xdr:spPr>
        <a:xfrm>
          <a:off x="315384" y="5956301"/>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353483</xdr:colOff>
      <xdr:row>32</xdr:row>
      <xdr:rowOff>33868</xdr:rowOff>
    </xdr:from>
    <xdr:to>
      <xdr:col>1</xdr:col>
      <xdr:colOff>1318683</xdr:colOff>
      <xdr:row>34</xdr:row>
      <xdr:rowOff>118535</xdr:rowOff>
    </xdr:to>
    <xdr:sp macro="" textlink="">
      <xdr:nvSpPr>
        <xdr:cNvPr id="17" name="Pentagone 16">
          <a:hlinkClick xmlns:r="http://schemas.openxmlformats.org/officeDocument/2006/relationships" r:id="rId1"/>
        </xdr:cNvPr>
        <xdr:cNvSpPr/>
      </xdr:nvSpPr>
      <xdr:spPr>
        <a:xfrm>
          <a:off x="670983" y="5960535"/>
          <a:ext cx="965200" cy="40216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63500</xdr:colOff>
      <xdr:row>118</xdr:row>
      <xdr:rowOff>50801</xdr:rowOff>
    </xdr:from>
    <xdr:to>
      <xdr:col>1</xdr:col>
      <xdr:colOff>884767</xdr:colOff>
      <xdr:row>120</xdr:row>
      <xdr:rowOff>110067</xdr:rowOff>
    </xdr:to>
    <xdr:sp macro="" textlink="">
      <xdr:nvSpPr>
        <xdr:cNvPr id="30" name="Pentagone 29">
          <a:hlinkClick xmlns:r="http://schemas.openxmlformats.org/officeDocument/2006/relationships" r:id="rId2"/>
        </xdr:cNvPr>
        <xdr:cNvSpPr/>
      </xdr:nvSpPr>
      <xdr:spPr>
        <a:xfrm flipH="1">
          <a:off x="381000" y="1975696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918634</xdr:colOff>
      <xdr:row>118</xdr:row>
      <xdr:rowOff>33866</xdr:rowOff>
    </xdr:from>
    <xdr:to>
      <xdr:col>1</xdr:col>
      <xdr:colOff>1248834</xdr:colOff>
      <xdr:row>120</xdr:row>
      <xdr:rowOff>127000</xdr:rowOff>
    </xdr:to>
    <xdr:sp macro="" textlink="">
      <xdr:nvSpPr>
        <xdr:cNvPr id="31" name="Rectangle 30"/>
        <xdr:cNvSpPr/>
      </xdr:nvSpPr>
      <xdr:spPr>
        <a:xfrm>
          <a:off x="1236134" y="19740033"/>
          <a:ext cx="330200" cy="4106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226477</xdr:colOff>
      <xdr:row>36</xdr:row>
      <xdr:rowOff>112183</xdr:rowOff>
    </xdr:from>
    <xdr:to>
      <xdr:col>26</xdr:col>
      <xdr:colOff>107945</xdr:colOff>
      <xdr:row>65</xdr:row>
      <xdr:rowOff>112183</xdr:rowOff>
    </xdr:to>
    <xdr:sp macro="" textlink="">
      <xdr:nvSpPr>
        <xdr:cNvPr id="32" name="Rectangle à coins arrondis 31"/>
        <xdr:cNvSpPr/>
      </xdr:nvSpPr>
      <xdr:spPr>
        <a:xfrm>
          <a:off x="226477" y="6673850"/>
          <a:ext cx="14264218" cy="4709583"/>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366205</xdr:colOff>
      <xdr:row>62</xdr:row>
      <xdr:rowOff>78214</xdr:rowOff>
    </xdr:from>
    <xdr:to>
      <xdr:col>1</xdr:col>
      <xdr:colOff>1331405</xdr:colOff>
      <xdr:row>64</xdr:row>
      <xdr:rowOff>152297</xdr:rowOff>
    </xdr:to>
    <xdr:sp macro="" textlink="">
      <xdr:nvSpPr>
        <xdr:cNvPr id="33" name="Pentagone 32">
          <a:hlinkClick xmlns:r="http://schemas.openxmlformats.org/officeDocument/2006/relationships" r:id="rId3"/>
        </xdr:cNvPr>
        <xdr:cNvSpPr/>
      </xdr:nvSpPr>
      <xdr:spPr>
        <a:xfrm>
          <a:off x="683705" y="10873214"/>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2117</xdr:colOff>
      <xdr:row>62</xdr:row>
      <xdr:rowOff>65622</xdr:rowOff>
    </xdr:from>
    <xdr:to>
      <xdr:col>1</xdr:col>
      <xdr:colOff>332317</xdr:colOff>
      <xdr:row>64</xdr:row>
      <xdr:rowOff>148172</xdr:rowOff>
    </xdr:to>
    <xdr:sp macro="" textlink="">
      <xdr:nvSpPr>
        <xdr:cNvPr id="34" name="Rectangle 33"/>
        <xdr:cNvSpPr/>
      </xdr:nvSpPr>
      <xdr:spPr>
        <a:xfrm>
          <a:off x="319617" y="10860622"/>
          <a:ext cx="330200" cy="40005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68792</xdr:colOff>
      <xdr:row>163</xdr:row>
      <xdr:rowOff>58738</xdr:rowOff>
    </xdr:from>
    <xdr:to>
      <xdr:col>1</xdr:col>
      <xdr:colOff>890059</xdr:colOff>
      <xdr:row>165</xdr:row>
      <xdr:rowOff>118004</xdr:rowOff>
    </xdr:to>
    <xdr:sp macro="" textlink="">
      <xdr:nvSpPr>
        <xdr:cNvPr id="35" name="Pentagone 34">
          <a:hlinkClick xmlns:r="http://schemas.openxmlformats.org/officeDocument/2006/relationships" r:id="rId4"/>
        </xdr:cNvPr>
        <xdr:cNvSpPr/>
      </xdr:nvSpPr>
      <xdr:spPr>
        <a:xfrm flipH="1">
          <a:off x="386292" y="26943051"/>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923926</xdr:colOff>
      <xdr:row>163</xdr:row>
      <xdr:rowOff>41803</xdr:rowOff>
    </xdr:from>
    <xdr:to>
      <xdr:col>1</xdr:col>
      <xdr:colOff>1254126</xdr:colOff>
      <xdr:row>165</xdr:row>
      <xdr:rowOff>134937</xdr:rowOff>
    </xdr:to>
    <xdr:sp macro="" textlink="">
      <xdr:nvSpPr>
        <xdr:cNvPr id="36" name="Rectangle 35"/>
        <xdr:cNvSpPr/>
      </xdr:nvSpPr>
      <xdr:spPr>
        <a:xfrm>
          <a:off x="1241426" y="26926116"/>
          <a:ext cx="330200" cy="410634"/>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237060</xdr:colOff>
      <xdr:row>67</xdr:row>
      <xdr:rowOff>33867</xdr:rowOff>
    </xdr:from>
    <xdr:to>
      <xdr:col>30</xdr:col>
      <xdr:colOff>160867</xdr:colOff>
      <xdr:row>96</xdr:row>
      <xdr:rowOff>74084</xdr:rowOff>
    </xdr:to>
    <xdr:sp macro="" textlink="">
      <xdr:nvSpPr>
        <xdr:cNvPr id="37" name="Rectangle à coins arrondis 36"/>
        <xdr:cNvSpPr/>
      </xdr:nvSpPr>
      <xdr:spPr>
        <a:xfrm>
          <a:off x="237060" y="11622617"/>
          <a:ext cx="16984140" cy="4622800"/>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353505</xdr:colOff>
      <xdr:row>93</xdr:row>
      <xdr:rowOff>88792</xdr:rowOff>
    </xdr:from>
    <xdr:to>
      <xdr:col>1</xdr:col>
      <xdr:colOff>1318705</xdr:colOff>
      <xdr:row>96</xdr:row>
      <xdr:rowOff>4125</xdr:rowOff>
    </xdr:to>
    <xdr:sp macro="" textlink="">
      <xdr:nvSpPr>
        <xdr:cNvPr id="38" name="Pentagone 37">
          <a:hlinkClick xmlns:r="http://schemas.openxmlformats.org/officeDocument/2006/relationships" r:id="rId5"/>
        </xdr:cNvPr>
        <xdr:cNvSpPr/>
      </xdr:nvSpPr>
      <xdr:spPr>
        <a:xfrm>
          <a:off x="671005" y="15783875"/>
          <a:ext cx="965200" cy="39158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0</xdr:col>
      <xdr:colOff>306917</xdr:colOff>
      <xdr:row>93</xdr:row>
      <xdr:rowOff>76200</xdr:rowOff>
    </xdr:from>
    <xdr:to>
      <xdr:col>1</xdr:col>
      <xdr:colOff>319617</xdr:colOff>
      <xdr:row>96</xdr:row>
      <xdr:rowOff>0</xdr:rowOff>
    </xdr:to>
    <xdr:sp macro="" textlink="">
      <xdr:nvSpPr>
        <xdr:cNvPr id="39" name="Rectangle 38"/>
        <xdr:cNvSpPr/>
      </xdr:nvSpPr>
      <xdr:spPr>
        <a:xfrm>
          <a:off x="306917" y="15771283"/>
          <a:ext cx="330200" cy="40005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84667</xdr:colOff>
      <xdr:row>223</xdr:row>
      <xdr:rowOff>29635</xdr:rowOff>
    </xdr:from>
    <xdr:to>
      <xdr:col>1</xdr:col>
      <xdr:colOff>905934</xdr:colOff>
      <xdr:row>225</xdr:row>
      <xdr:rowOff>88901</xdr:rowOff>
    </xdr:to>
    <xdr:sp macro="" textlink="">
      <xdr:nvSpPr>
        <xdr:cNvPr id="40" name="Pentagone 39">
          <a:hlinkClick xmlns:r="http://schemas.openxmlformats.org/officeDocument/2006/relationships" r:id="rId6"/>
        </xdr:cNvPr>
        <xdr:cNvSpPr/>
      </xdr:nvSpPr>
      <xdr:spPr>
        <a:xfrm flipH="1">
          <a:off x="402167" y="36489218"/>
          <a:ext cx="821267" cy="3767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939800</xdr:colOff>
      <xdr:row>223</xdr:row>
      <xdr:rowOff>29634</xdr:rowOff>
    </xdr:from>
    <xdr:to>
      <xdr:col>1</xdr:col>
      <xdr:colOff>1270000</xdr:colOff>
      <xdr:row>225</xdr:row>
      <xdr:rowOff>122767</xdr:rowOff>
    </xdr:to>
    <xdr:sp macro="" textlink="">
      <xdr:nvSpPr>
        <xdr:cNvPr id="42" name="Rectangle 41"/>
        <xdr:cNvSpPr/>
      </xdr:nvSpPr>
      <xdr:spPr>
        <a:xfrm>
          <a:off x="1257300" y="36489217"/>
          <a:ext cx="330200" cy="410633"/>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19</xdr:col>
      <xdr:colOff>626534</xdr:colOff>
      <xdr:row>227</xdr:row>
      <xdr:rowOff>143933</xdr:rowOff>
    </xdr:from>
    <xdr:ext cx="2844799" cy="1532467"/>
    <xdr:pic>
      <xdr:nvPicPr>
        <xdr:cNvPr id="43" name="Picture 3"/>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7180" t="38484" b="1"/>
        <a:stretch/>
      </xdr:blipFill>
      <xdr:spPr bwMode="auto">
        <a:xfrm>
          <a:off x="9956801" y="37566600"/>
          <a:ext cx="2844799" cy="153246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25400</xdr:colOff>
      <xdr:row>9</xdr:row>
      <xdr:rowOff>8466</xdr:rowOff>
    </xdr:from>
    <xdr:to>
      <xdr:col>14</xdr:col>
      <xdr:colOff>16933</xdr:colOff>
      <xdr:row>9</xdr:row>
      <xdr:rowOff>169333</xdr:rowOff>
    </xdr:to>
    <xdr:sp macro="" textlink="">
      <xdr:nvSpPr>
        <xdr:cNvPr id="41" name="Rectangle à coins arrondis 40">
          <a:hlinkClick xmlns:r="http://schemas.openxmlformats.org/officeDocument/2006/relationships" r:id="rId8"/>
        </xdr:cNvPr>
        <xdr:cNvSpPr/>
      </xdr:nvSpPr>
      <xdr:spPr>
        <a:xfrm>
          <a:off x="6460067" y="1981199"/>
          <a:ext cx="220133"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18</xdr:row>
      <xdr:rowOff>16933</xdr:rowOff>
    </xdr:from>
    <xdr:to>
      <xdr:col>14</xdr:col>
      <xdr:colOff>8467</xdr:colOff>
      <xdr:row>19</xdr:row>
      <xdr:rowOff>8467</xdr:rowOff>
    </xdr:to>
    <xdr:sp macro="" textlink="">
      <xdr:nvSpPr>
        <xdr:cNvPr id="44" name="Rectangle à coins arrondis 43">
          <a:hlinkClick xmlns:r="http://schemas.openxmlformats.org/officeDocument/2006/relationships" r:id="rId8"/>
        </xdr:cNvPr>
        <xdr:cNvSpPr/>
      </xdr:nvSpPr>
      <xdr:spPr>
        <a:xfrm>
          <a:off x="6460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592667</xdr:colOff>
      <xdr:row>8</xdr:row>
      <xdr:rowOff>160868</xdr:rowOff>
    </xdr:from>
    <xdr:to>
      <xdr:col>8</xdr:col>
      <xdr:colOff>16933</xdr:colOff>
      <xdr:row>10</xdr:row>
      <xdr:rowOff>1</xdr:rowOff>
    </xdr:to>
    <xdr:sp macro="" textlink="">
      <xdr:nvSpPr>
        <xdr:cNvPr id="62" name="Rectangle à coins arrondis 61">
          <a:hlinkClick xmlns:r="http://schemas.openxmlformats.org/officeDocument/2006/relationships" r:id="rId9"/>
        </xdr:cNvPr>
        <xdr:cNvSpPr/>
      </xdr:nvSpPr>
      <xdr:spPr>
        <a:xfrm>
          <a:off x="4038600" y="2133601"/>
          <a:ext cx="186266"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6</xdr:col>
      <xdr:colOff>609600</xdr:colOff>
      <xdr:row>17</xdr:row>
      <xdr:rowOff>160868</xdr:rowOff>
    </xdr:from>
    <xdr:to>
      <xdr:col>8</xdr:col>
      <xdr:colOff>16933</xdr:colOff>
      <xdr:row>19</xdr:row>
      <xdr:rowOff>1</xdr:rowOff>
    </xdr:to>
    <xdr:sp macro="" textlink="">
      <xdr:nvSpPr>
        <xdr:cNvPr id="64" name="Rectangle à coins arrondis 63">
          <a:hlinkClick xmlns:r="http://schemas.openxmlformats.org/officeDocument/2006/relationships" r:id="rId9"/>
        </xdr:cNvPr>
        <xdr:cNvSpPr/>
      </xdr:nvSpPr>
      <xdr:spPr>
        <a:xfrm>
          <a:off x="4055533" y="3683001"/>
          <a:ext cx="169333"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39</xdr:row>
      <xdr:rowOff>16933</xdr:rowOff>
    </xdr:from>
    <xdr:to>
      <xdr:col>14</xdr:col>
      <xdr:colOff>8467</xdr:colOff>
      <xdr:row>40</xdr:row>
      <xdr:rowOff>8467</xdr:rowOff>
    </xdr:to>
    <xdr:sp macro="" textlink="">
      <xdr:nvSpPr>
        <xdr:cNvPr id="61" name="Rectangle à coins arrondis 60">
          <a:hlinkClick xmlns:r="http://schemas.openxmlformats.org/officeDocument/2006/relationships" r:id="rId8"/>
        </xdr:cNvPr>
        <xdr:cNvSpPr/>
      </xdr:nvSpPr>
      <xdr:spPr>
        <a:xfrm>
          <a:off x="6968068" y="37084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13</xdr:col>
      <xdr:colOff>25401</xdr:colOff>
      <xdr:row>48</xdr:row>
      <xdr:rowOff>16933</xdr:rowOff>
    </xdr:from>
    <xdr:to>
      <xdr:col>14</xdr:col>
      <xdr:colOff>8467</xdr:colOff>
      <xdr:row>49</xdr:row>
      <xdr:rowOff>8467</xdr:rowOff>
    </xdr:to>
    <xdr:sp macro="" textlink="">
      <xdr:nvSpPr>
        <xdr:cNvPr id="63" name="Rectangle à coins arrondis 62">
          <a:hlinkClick xmlns:r="http://schemas.openxmlformats.org/officeDocument/2006/relationships" r:id="rId8"/>
        </xdr:cNvPr>
        <xdr:cNvSpPr/>
      </xdr:nvSpPr>
      <xdr:spPr>
        <a:xfrm>
          <a:off x="6968068" y="7315200"/>
          <a:ext cx="211666" cy="16086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135466</xdr:colOff>
      <xdr:row>71</xdr:row>
      <xdr:rowOff>25400</xdr:rowOff>
    </xdr:from>
    <xdr:to>
      <xdr:col>19</xdr:col>
      <xdr:colOff>8467</xdr:colOff>
      <xdr:row>72</xdr:row>
      <xdr:rowOff>8467</xdr:rowOff>
    </xdr:to>
    <xdr:sp macro="" textlink="">
      <xdr:nvSpPr>
        <xdr:cNvPr id="65" name="Rectangle à coins arrondis 64">
          <a:hlinkClick xmlns:r="http://schemas.openxmlformats.org/officeDocument/2006/relationships" r:id="rId8"/>
        </xdr:cNvPr>
        <xdr:cNvSpPr/>
      </xdr:nvSpPr>
      <xdr:spPr>
        <a:xfrm>
          <a:off x="9694333" y="119718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17</xdr:col>
      <xdr:colOff>118533</xdr:colOff>
      <xdr:row>79</xdr:row>
      <xdr:rowOff>16934</xdr:rowOff>
    </xdr:from>
    <xdr:to>
      <xdr:col>18</xdr:col>
      <xdr:colOff>110068</xdr:colOff>
      <xdr:row>80</xdr:row>
      <xdr:rowOff>0</xdr:rowOff>
    </xdr:to>
    <xdr:sp macro="" textlink="">
      <xdr:nvSpPr>
        <xdr:cNvPr id="66" name="Rectangle à coins arrondis 65">
          <a:hlinkClick xmlns:r="http://schemas.openxmlformats.org/officeDocument/2006/relationships" r:id="rId8"/>
        </xdr:cNvPr>
        <xdr:cNvSpPr/>
      </xdr:nvSpPr>
      <xdr:spPr>
        <a:xfrm>
          <a:off x="9677400" y="13267267"/>
          <a:ext cx="152401" cy="1524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304800</xdr:colOff>
      <xdr:row>281</xdr:row>
      <xdr:rowOff>45510</xdr:rowOff>
    </xdr:from>
    <xdr:to>
      <xdr:col>1</xdr:col>
      <xdr:colOff>802217</xdr:colOff>
      <xdr:row>283</xdr:row>
      <xdr:rowOff>104776</xdr:rowOff>
    </xdr:to>
    <xdr:sp macro="" textlink="">
      <xdr:nvSpPr>
        <xdr:cNvPr id="45" name="Pentagone 44">
          <a:hlinkClick xmlns:r="http://schemas.openxmlformats.org/officeDocument/2006/relationships" r:id="rId2"/>
        </xdr:cNvPr>
        <xdr:cNvSpPr/>
      </xdr:nvSpPr>
      <xdr:spPr>
        <a:xfrm flipH="1">
          <a:off x="304800" y="47318085"/>
          <a:ext cx="821267" cy="40216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1</xdr:col>
      <xdr:colOff>836084</xdr:colOff>
      <xdr:row>281</xdr:row>
      <xdr:rowOff>28575</xdr:rowOff>
    </xdr:from>
    <xdr:to>
      <xdr:col>1</xdr:col>
      <xdr:colOff>1166284</xdr:colOff>
      <xdr:row>283</xdr:row>
      <xdr:rowOff>121709</xdr:rowOff>
    </xdr:to>
    <xdr:sp macro="" textlink="">
      <xdr:nvSpPr>
        <xdr:cNvPr id="46" name="Rectangle 45"/>
        <xdr:cNvSpPr/>
      </xdr:nvSpPr>
      <xdr:spPr>
        <a:xfrm>
          <a:off x="1159934" y="47301150"/>
          <a:ext cx="330200" cy="43603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23</xdr:col>
      <xdr:colOff>470112</xdr:colOff>
      <xdr:row>4</xdr:row>
      <xdr:rowOff>118533</xdr:rowOff>
    </xdr:to>
    <xdr:grpSp>
      <xdr:nvGrpSpPr>
        <xdr:cNvPr id="47" name="Groupe 46"/>
        <xdr:cNvGrpSpPr/>
      </xdr:nvGrpSpPr>
      <xdr:grpSpPr>
        <a:xfrm>
          <a:off x="0" y="0"/>
          <a:ext cx="13307695" cy="1261533"/>
          <a:chOff x="101600" y="67733"/>
          <a:chExt cx="12687512" cy="1270000"/>
        </a:xfrm>
      </xdr:grpSpPr>
      <xdr:sp macro="" textlink="">
        <xdr:nvSpPr>
          <xdr:cNvPr id="48" name="Rectangle à coins arrondis 47"/>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9" name="ZoneTexte 4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50" name="Rectangle à coins arrondis 49">
            <a:hlinkClick xmlns:r="http://schemas.openxmlformats.org/officeDocument/2006/relationships" r:id="rId10"/>
          </xdr:cNvPr>
          <xdr:cNvSpPr/>
        </xdr:nvSpPr>
        <xdr:spPr>
          <a:xfrm>
            <a:off x="5415462" y="541940"/>
            <a:ext cx="11193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Grassland  Livestock</a:t>
            </a:r>
          </a:p>
        </xdr:txBody>
      </xdr:sp>
      <xdr:sp macro="" textlink="">
        <xdr:nvSpPr>
          <xdr:cNvPr id="51" name="Rectangle à coins arrondis 50">
            <a:hlinkClick xmlns:r="http://schemas.openxmlformats.org/officeDocument/2006/relationships" r:id="rId11"/>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52" name="Rectangle à coins arrondis 51">
            <a:hlinkClick xmlns:r="http://schemas.openxmlformats.org/officeDocument/2006/relationships" r:id="rId12"/>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3" name="Rectangle à coins arrondis 52">
            <a:hlinkClick xmlns:r="http://schemas.openxmlformats.org/officeDocument/2006/relationships" r:id="rId13"/>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4" name="Rectangle à coins arrondis 53">
            <a:hlinkClick xmlns:r="http://schemas.openxmlformats.org/officeDocument/2006/relationships" r:id="rId2"/>
          </xdr:cNvPr>
          <xdr:cNvSpPr/>
        </xdr:nvSpPr>
        <xdr:spPr>
          <a:xfrm>
            <a:off x="4106460" y="541940"/>
            <a:ext cx="1273767"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5" name="Rectangle à coins arrondis 54">
            <a:hlinkClick xmlns:r="http://schemas.openxmlformats.org/officeDocument/2006/relationships" r:id="rId14"/>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6" name="Rectangle à coins arrondis 55">
            <a:hlinkClick xmlns:r="http://schemas.openxmlformats.org/officeDocument/2006/relationships" r:id="rId15"/>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7" name="Rectangle à coins arrondis 56">
            <a:hlinkClick xmlns:r="http://schemas.openxmlformats.org/officeDocument/2006/relationships" r:id="rId16"/>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8" name="Rectangle à coins arrondis 57">
            <a:hlinkClick xmlns:r="http://schemas.openxmlformats.org/officeDocument/2006/relationships" r:id="rId17"/>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9" name="Rectangle à coins arrondis 58">
            <a:hlinkClick xmlns:r="http://schemas.openxmlformats.org/officeDocument/2006/relationships" r:id="rId18"/>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60" name="Image 59"/>
          <xdr:cNvPicPr>
            <a:picLocks noChangeAspect="1"/>
          </xdr:cNvPicPr>
        </xdr:nvPicPr>
        <xdr:blipFill rotWithShape="1">
          <a:blip xmlns:r="http://schemas.openxmlformats.org/officeDocument/2006/relationships" r:embed="rId19"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243840</xdr:colOff>
      <xdr:row>7</xdr:row>
      <xdr:rowOff>76200</xdr:rowOff>
    </xdr:from>
    <xdr:to>
      <xdr:col>29</xdr:col>
      <xdr:colOff>7620</xdr:colOff>
      <xdr:row>23</xdr:row>
      <xdr:rowOff>30480</xdr:rowOff>
    </xdr:to>
    <xdr:pic>
      <xdr:nvPicPr>
        <xdr:cNvPr id="9321"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1100" y="1859280"/>
          <a:ext cx="4587240" cy="2743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169334</xdr:colOff>
      <xdr:row>5</xdr:row>
      <xdr:rowOff>76199</xdr:rowOff>
    </xdr:from>
    <xdr:to>
      <xdr:col>34</xdr:col>
      <xdr:colOff>101600</xdr:colOff>
      <xdr:row>35</xdr:row>
      <xdr:rowOff>76200</xdr:rowOff>
    </xdr:to>
    <xdr:sp macro="" textlink="">
      <xdr:nvSpPr>
        <xdr:cNvPr id="23" name="Rectangle à coins arrondis 22"/>
        <xdr:cNvSpPr/>
      </xdr:nvSpPr>
      <xdr:spPr>
        <a:xfrm>
          <a:off x="169334" y="1515532"/>
          <a:ext cx="13648266" cy="5080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xdr:colOff>
      <xdr:row>54</xdr:row>
      <xdr:rowOff>160866</xdr:rowOff>
    </xdr:from>
    <xdr:to>
      <xdr:col>1</xdr:col>
      <xdr:colOff>330202</xdr:colOff>
      <xdr:row>57</xdr:row>
      <xdr:rowOff>84666</xdr:rowOff>
    </xdr:to>
    <xdr:sp macro="" textlink="">
      <xdr:nvSpPr>
        <xdr:cNvPr id="27" name="Rectangle 26"/>
        <xdr:cNvSpPr/>
      </xdr:nvSpPr>
      <xdr:spPr>
        <a:xfrm>
          <a:off x="321735" y="9897533"/>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355601</xdr:colOff>
      <xdr:row>54</xdr:row>
      <xdr:rowOff>165100</xdr:rowOff>
    </xdr:from>
    <xdr:to>
      <xdr:col>2</xdr:col>
      <xdr:colOff>558801</xdr:colOff>
      <xdr:row>57</xdr:row>
      <xdr:rowOff>80433</xdr:rowOff>
    </xdr:to>
    <xdr:sp macro="" textlink="">
      <xdr:nvSpPr>
        <xdr:cNvPr id="28" name="Pentagone 27">
          <a:hlinkClick xmlns:r="http://schemas.openxmlformats.org/officeDocument/2006/relationships" r:id="rId1"/>
        </xdr:cNvPr>
        <xdr:cNvSpPr/>
      </xdr:nvSpPr>
      <xdr:spPr>
        <a:xfrm>
          <a:off x="677334" y="9901767"/>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114</xdr:row>
      <xdr:rowOff>33866</xdr:rowOff>
    </xdr:from>
    <xdr:to>
      <xdr:col>1</xdr:col>
      <xdr:colOff>1270001</xdr:colOff>
      <xdr:row>116</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114</xdr:row>
      <xdr:rowOff>42335</xdr:rowOff>
    </xdr:from>
    <xdr:to>
      <xdr:col>2</xdr:col>
      <xdr:colOff>118534</xdr:colOff>
      <xdr:row>116</xdr:row>
      <xdr:rowOff>101602</xdr:rowOff>
    </xdr:to>
    <xdr:sp macro="" textlink="">
      <xdr:nvSpPr>
        <xdr:cNvPr id="33" name="Pentagone 32">
          <a:hlinkClick xmlns:r="http://schemas.openxmlformats.org/officeDocument/2006/relationships" r:id="rId2"/>
        </xdr:cNvPr>
        <xdr:cNvSpPr/>
      </xdr:nvSpPr>
      <xdr:spPr>
        <a:xfrm flipH="1">
          <a:off x="381000" y="19939002"/>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114</xdr:row>
      <xdr:rowOff>25400</xdr:rowOff>
    </xdr:from>
    <xdr:to>
      <xdr:col>2</xdr:col>
      <xdr:colOff>482601</xdr:colOff>
      <xdr:row>116</xdr:row>
      <xdr:rowOff>118535</xdr:rowOff>
    </xdr:to>
    <xdr:sp macro="" textlink="">
      <xdr:nvSpPr>
        <xdr:cNvPr id="34" name="Rectangle 33"/>
        <xdr:cNvSpPr/>
      </xdr:nvSpPr>
      <xdr:spPr>
        <a:xfrm>
          <a:off x="1236134" y="19922067"/>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169334</xdr:colOff>
      <xdr:row>37</xdr:row>
      <xdr:rowOff>143933</xdr:rowOff>
    </xdr:from>
    <xdr:to>
      <xdr:col>34</xdr:col>
      <xdr:colOff>101600</xdr:colOff>
      <xdr:row>58</xdr:row>
      <xdr:rowOff>84667</xdr:rowOff>
    </xdr:to>
    <xdr:sp macro="" textlink="">
      <xdr:nvSpPr>
        <xdr:cNvPr id="35" name="Rectangle à coins arrondis 34"/>
        <xdr:cNvSpPr/>
      </xdr:nvSpPr>
      <xdr:spPr>
        <a:xfrm>
          <a:off x="169334" y="7001933"/>
          <a:ext cx="14181666" cy="3496734"/>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313266</xdr:colOff>
      <xdr:row>32</xdr:row>
      <xdr:rowOff>93133</xdr:rowOff>
    </xdr:from>
    <xdr:to>
      <xdr:col>1</xdr:col>
      <xdr:colOff>321733</xdr:colOff>
      <xdr:row>35</xdr:row>
      <xdr:rowOff>16933</xdr:rowOff>
    </xdr:to>
    <xdr:sp macro="" textlink="">
      <xdr:nvSpPr>
        <xdr:cNvPr id="21" name="Rectangle 20"/>
        <xdr:cNvSpPr/>
      </xdr:nvSpPr>
      <xdr:spPr>
        <a:xfrm>
          <a:off x="313266" y="61298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347132</xdr:colOff>
      <xdr:row>32</xdr:row>
      <xdr:rowOff>97367</xdr:rowOff>
    </xdr:from>
    <xdr:to>
      <xdr:col>2</xdr:col>
      <xdr:colOff>550332</xdr:colOff>
      <xdr:row>35</xdr:row>
      <xdr:rowOff>12700</xdr:rowOff>
    </xdr:to>
    <xdr:sp macro="" textlink="">
      <xdr:nvSpPr>
        <xdr:cNvPr id="22" name="Pentagone 21">
          <a:hlinkClick xmlns:r="http://schemas.openxmlformats.org/officeDocument/2006/relationships" r:id="rId3"/>
        </xdr:cNvPr>
        <xdr:cNvSpPr/>
      </xdr:nvSpPr>
      <xdr:spPr>
        <a:xfrm>
          <a:off x="668865" y="6134100"/>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939801</xdr:colOff>
      <xdr:row>83</xdr:row>
      <xdr:rowOff>33866</xdr:rowOff>
    </xdr:from>
    <xdr:to>
      <xdr:col>1</xdr:col>
      <xdr:colOff>1270001</xdr:colOff>
      <xdr:row>85</xdr:row>
      <xdr:rowOff>127000</xdr:rowOff>
    </xdr:to>
    <xdr:sp macro="" textlink="">
      <xdr:nvSpPr>
        <xdr:cNvPr id="24" name="Rectangle 23"/>
        <xdr:cNvSpPr/>
      </xdr:nvSpPr>
      <xdr:spPr>
        <a:xfrm>
          <a:off x="1084581" y="1464902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59267</xdr:colOff>
      <xdr:row>83</xdr:row>
      <xdr:rowOff>42335</xdr:rowOff>
    </xdr:from>
    <xdr:to>
      <xdr:col>2</xdr:col>
      <xdr:colOff>118534</xdr:colOff>
      <xdr:row>85</xdr:row>
      <xdr:rowOff>101602</xdr:rowOff>
    </xdr:to>
    <xdr:sp macro="" textlink="">
      <xdr:nvSpPr>
        <xdr:cNvPr id="25" name="Pentagone 24">
          <a:hlinkClick xmlns:r="http://schemas.openxmlformats.org/officeDocument/2006/relationships" r:id="rId4"/>
        </xdr:cNvPr>
        <xdr:cNvSpPr/>
      </xdr:nvSpPr>
      <xdr:spPr>
        <a:xfrm flipH="1">
          <a:off x="379307" y="14657495"/>
          <a:ext cx="821267" cy="394547"/>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152401</xdr:colOff>
      <xdr:row>83</xdr:row>
      <xdr:rowOff>25400</xdr:rowOff>
    </xdr:from>
    <xdr:to>
      <xdr:col>2</xdr:col>
      <xdr:colOff>482601</xdr:colOff>
      <xdr:row>85</xdr:row>
      <xdr:rowOff>118535</xdr:rowOff>
    </xdr:to>
    <xdr:sp macro="" textlink="">
      <xdr:nvSpPr>
        <xdr:cNvPr id="26" name="Rectangle 25"/>
        <xdr:cNvSpPr/>
      </xdr:nvSpPr>
      <xdr:spPr>
        <a:xfrm>
          <a:off x="1234441" y="14640560"/>
          <a:ext cx="330200" cy="428415"/>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29</xdr:col>
      <xdr:colOff>283845</xdr:colOff>
      <xdr:row>4</xdr:row>
      <xdr:rowOff>118533</xdr:rowOff>
    </xdr:to>
    <xdr:grpSp>
      <xdr:nvGrpSpPr>
        <xdr:cNvPr id="30" name="Groupe 29"/>
        <xdr:cNvGrpSpPr/>
      </xdr:nvGrpSpPr>
      <xdr:grpSpPr>
        <a:xfrm>
          <a:off x="0" y="0"/>
          <a:ext cx="12295928" cy="1261533"/>
          <a:chOff x="101600" y="67733"/>
          <a:chExt cx="12687512" cy="1270000"/>
        </a:xfrm>
      </xdr:grpSpPr>
      <xdr:sp macro="" textlink="">
        <xdr:nvSpPr>
          <xdr:cNvPr id="31" name="Rectangle à coins arrondis 30"/>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6" name="ZoneTexte 35"/>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7" name="Rectangle à coins arrondis 36">
            <a:hlinkClick xmlns:r="http://schemas.openxmlformats.org/officeDocument/2006/relationships" r:id="rId5"/>
          </xdr:cNvPr>
          <xdr:cNvSpPr/>
        </xdr:nvSpPr>
        <xdr:spPr>
          <a:xfrm>
            <a:off x="5415462" y="541940"/>
            <a:ext cx="11193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Grassland  Livestock</a:t>
            </a:r>
          </a:p>
        </xdr:txBody>
      </xdr:sp>
      <xdr:sp macro="" textlink="">
        <xdr:nvSpPr>
          <xdr:cNvPr id="38" name="Rectangle à coins arrondis 37">
            <a:hlinkClick xmlns:r="http://schemas.openxmlformats.org/officeDocument/2006/relationships" r:id="rId6"/>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39" name="Rectangle à coins arrondis 38">
            <a:hlinkClick xmlns:r="http://schemas.openxmlformats.org/officeDocument/2006/relationships" r:id="rId7"/>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0" name="Rectangle à coins arrondis 39">
            <a:hlinkClick xmlns:r="http://schemas.openxmlformats.org/officeDocument/2006/relationships" r:id="rId8"/>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1" name="Rectangle à coins arrondis 40">
            <a:hlinkClick xmlns:r="http://schemas.openxmlformats.org/officeDocument/2006/relationships" r:id="rId9"/>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2" name="Rectangle à coins arrondis 41">
            <a:hlinkClick xmlns:r="http://schemas.openxmlformats.org/officeDocument/2006/relationships" r:id="rId10"/>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3" name="Rectangle à coins arrondis 42">
            <a:hlinkClick xmlns:r="http://schemas.openxmlformats.org/officeDocument/2006/relationships" r:id="rId11"/>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4" name="Rectangle à coins arrondis 43">
            <a:hlinkClick xmlns:r="http://schemas.openxmlformats.org/officeDocument/2006/relationships" r:id="rId12"/>
          </xdr:cNvPr>
          <xdr:cNvSpPr/>
        </xdr:nvSpPr>
        <xdr:spPr>
          <a:xfrm>
            <a:off x="65700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5" name="Rectangle à coins arrondis 44">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8" name="Rectangle à coins arrondis 57">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9" name="Image 58"/>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237067</xdr:colOff>
      <xdr:row>5</xdr:row>
      <xdr:rowOff>59266</xdr:rowOff>
    </xdr:from>
    <xdr:to>
      <xdr:col>27</xdr:col>
      <xdr:colOff>169334</xdr:colOff>
      <xdr:row>24</xdr:row>
      <xdr:rowOff>59266</xdr:rowOff>
    </xdr:to>
    <xdr:sp macro="" textlink="">
      <xdr:nvSpPr>
        <xdr:cNvPr id="15" name="Rectangle à coins arrondis 14"/>
        <xdr:cNvSpPr/>
      </xdr:nvSpPr>
      <xdr:spPr>
        <a:xfrm>
          <a:off x="237067" y="1498599"/>
          <a:ext cx="11531600" cy="2904067"/>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0</xdr:colOff>
      <xdr:row>21</xdr:row>
      <xdr:rowOff>0</xdr:rowOff>
    </xdr:from>
    <xdr:to>
      <xdr:col>2</xdr:col>
      <xdr:colOff>186266</xdr:colOff>
      <xdr:row>23</xdr:row>
      <xdr:rowOff>93133</xdr:rowOff>
    </xdr:to>
    <xdr:sp macro="" textlink="">
      <xdr:nvSpPr>
        <xdr:cNvPr id="16" name="Rectangle 15"/>
        <xdr:cNvSpPr/>
      </xdr:nvSpPr>
      <xdr:spPr>
        <a:xfrm>
          <a:off x="321733" y="3835400"/>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21</xdr:row>
      <xdr:rowOff>4234</xdr:rowOff>
    </xdr:from>
    <xdr:to>
      <xdr:col>3</xdr:col>
      <xdr:colOff>694265</xdr:colOff>
      <xdr:row>23</xdr:row>
      <xdr:rowOff>88900</xdr:rowOff>
    </xdr:to>
    <xdr:sp macro="" textlink="">
      <xdr:nvSpPr>
        <xdr:cNvPr id="17" name="Pentagone 16">
          <a:hlinkClick xmlns:r="http://schemas.openxmlformats.org/officeDocument/2006/relationships" r:id="rId1"/>
        </xdr:cNvPr>
        <xdr:cNvSpPr/>
      </xdr:nvSpPr>
      <xdr:spPr>
        <a:xfrm>
          <a:off x="677332" y="3839634"/>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140</xdr:row>
      <xdr:rowOff>33866</xdr:rowOff>
    </xdr:from>
    <xdr:to>
      <xdr:col>2</xdr:col>
      <xdr:colOff>1270001</xdr:colOff>
      <xdr:row>142</xdr:row>
      <xdr:rowOff>127000</xdr:rowOff>
    </xdr:to>
    <xdr:sp macro="" textlink="">
      <xdr:nvSpPr>
        <xdr:cNvPr id="32" name="Rectangle 31"/>
        <xdr:cNvSpPr/>
      </xdr:nvSpPr>
      <xdr:spPr>
        <a:xfrm>
          <a:off x="1259841" y="19541066"/>
          <a:ext cx="33020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140</xdr:row>
      <xdr:rowOff>16935</xdr:rowOff>
    </xdr:from>
    <xdr:to>
      <xdr:col>3</xdr:col>
      <xdr:colOff>338667</xdr:colOff>
      <xdr:row>142</xdr:row>
      <xdr:rowOff>76201</xdr:rowOff>
    </xdr:to>
    <xdr:sp macro="" textlink="">
      <xdr:nvSpPr>
        <xdr:cNvPr id="33" name="Pentagone 32">
          <a:hlinkClick xmlns:r="http://schemas.openxmlformats.org/officeDocument/2006/relationships" r:id="rId2"/>
        </xdr:cNvPr>
        <xdr:cNvSpPr/>
      </xdr:nvSpPr>
      <xdr:spPr>
        <a:xfrm flipH="1">
          <a:off x="465667" y="19769668"/>
          <a:ext cx="821267" cy="397933"/>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140</xdr:row>
      <xdr:rowOff>0</xdr:rowOff>
    </xdr:from>
    <xdr:to>
      <xdr:col>3</xdr:col>
      <xdr:colOff>702734</xdr:colOff>
      <xdr:row>142</xdr:row>
      <xdr:rowOff>93134</xdr:rowOff>
    </xdr:to>
    <xdr:sp macro="" textlink="">
      <xdr:nvSpPr>
        <xdr:cNvPr id="34" name="Rectangle 33"/>
        <xdr:cNvSpPr/>
      </xdr:nvSpPr>
      <xdr:spPr>
        <a:xfrm>
          <a:off x="1320801" y="19752733"/>
          <a:ext cx="330200" cy="431801"/>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237067</xdr:colOff>
      <xdr:row>26</xdr:row>
      <xdr:rowOff>42332</xdr:rowOff>
    </xdr:from>
    <xdr:to>
      <xdr:col>27</xdr:col>
      <xdr:colOff>169333</xdr:colOff>
      <xdr:row>78</xdr:row>
      <xdr:rowOff>135466</xdr:rowOff>
    </xdr:to>
    <xdr:sp macro="" textlink="">
      <xdr:nvSpPr>
        <xdr:cNvPr id="35" name="Rectangle à coins arrondis 34"/>
        <xdr:cNvSpPr/>
      </xdr:nvSpPr>
      <xdr:spPr>
        <a:xfrm>
          <a:off x="237067" y="4749799"/>
          <a:ext cx="12217399" cy="8923867"/>
        </a:xfrm>
        <a:prstGeom prst="roundRect">
          <a:avLst>
            <a:gd name="adj" fmla="val 193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25400</xdr:colOff>
      <xdr:row>75</xdr:row>
      <xdr:rowOff>93132</xdr:rowOff>
    </xdr:from>
    <xdr:to>
      <xdr:col>2</xdr:col>
      <xdr:colOff>211666</xdr:colOff>
      <xdr:row>78</xdr:row>
      <xdr:rowOff>16933</xdr:rowOff>
    </xdr:to>
    <xdr:sp macro="" textlink="">
      <xdr:nvSpPr>
        <xdr:cNvPr id="37" name="Rectangle 36"/>
        <xdr:cNvSpPr/>
      </xdr:nvSpPr>
      <xdr:spPr>
        <a:xfrm>
          <a:off x="347133" y="13123332"/>
          <a:ext cx="330200" cy="431801"/>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237065</xdr:colOff>
      <xdr:row>75</xdr:row>
      <xdr:rowOff>97366</xdr:rowOff>
    </xdr:from>
    <xdr:to>
      <xdr:col>3</xdr:col>
      <xdr:colOff>719665</xdr:colOff>
      <xdr:row>78</xdr:row>
      <xdr:rowOff>12700</xdr:rowOff>
    </xdr:to>
    <xdr:sp macro="" textlink="">
      <xdr:nvSpPr>
        <xdr:cNvPr id="38" name="Pentagone 37">
          <a:hlinkClick xmlns:r="http://schemas.openxmlformats.org/officeDocument/2006/relationships" r:id="rId3"/>
        </xdr:cNvPr>
        <xdr:cNvSpPr/>
      </xdr:nvSpPr>
      <xdr:spPr>
        <a:xfrm>
          <a:off x="702732" y="13127566"/>
          <a:ext cx="965200" cy="423334"/>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211</xdr:row>
      <xdr:rowOff>33866</xdr:rowOff>
    </xdr:from>
    <xdr:to>
      <xdr:col>2</xdr:col>
      <xdr:colOff>1270001</xdr:colOff>
      <xdr:row>213</xdr:row>
      <xdr:rowOff>127000</xdr:rowOff>
    </xdr:to>
    <xdr:sp macro="" textlink="">
      <xdr:nvSpPr>
        <xdr:cNvPr id="39" name="Rectangle 38"/>
        <xdr:cNvSpPr/>
      </xdr:nvSpPr>
      <xdr:spPr>
        <a:xfrm>
          <a:off x="948268" y="209719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211</xdr:row>
      <xdr:rowOff>16935</xdr:rowOff>
    </xdr:from>
    <xdr:to>
      <xdr:col>3</xdr:col>
      <xdr:colOff>338667</xdr:colOff>
      <xdr:row>213</xdr:row>
      <xdr:rowOff>76201</xdr:rowOff>
    </xdr:to>
    <xdr:sp macro="" textlink="">
      <xdr:nvSpPr>
        <xdr:cNvPr id="40" name="Pentagone 39">
          <a:hlinkClick xmlns:r="http://schemas.openxmlformats.org/officeDocument/2006/relationships" r:id="rId4"/>
        </xdr:cNvPr>
        <xdr:cNvSpPr/>
      </xdr:nvSpPr>
      <xdr:spPr>
        <a:xfrm flipH="1">
          <a:off x="465667" y="20955002"/>
          <a:ext cx="821267" cy="397932"/>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211</xdr:row>
      <xdr:rowOff>0</xdr:rowOff>
    </xdr:from>
    <xdr:to>
      <xdr:col>3</xdr:col>
      <xdr:colOff>702734</xdr:colOff>
      <xdr:row>213</xdr:row>
      <xdr:rowOff>93134</xdr:rowOff>
    </xdr:to>
    <xdr:sp macro="" textlink="">
      <xdr:nvSpPr>
        <xdr:cNvPr id="41" name="Rectangle 40"/>
        <xdr:cNvSpPr/>
      </xdr:nvSpPr>
      <xdr:spPr>
        <a:xfrm>
          <a:off x="1320801" y="20938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271780</xdr:colOff>
      <xdr:row>7</xdr:row>
      <xdr:rowOff>16936</xdr:rowOff>
    </xdr:from>
    <xdr:to>
      <xdr:col>2</xdr:col>
      <xdr:colOff>1</xdr:colOff>
      <xdr:row>8</xdr:row>
      <xdr:rowOff>25403</xdr:rowOff>
    </xdr:to>
    <xdr:sp macro="" textlink="">
      <xdr:nvSpPr>
        <xdr:cNvPr id="29" name="Rectangle à coins arrondis 28">
          <a:hlinkClick xmlns:r="http://schemas.openxmlformats.org/officeDocument/2006/relationships" r:id="rId5"/>
        </xdr:cNvPr>
        <xdr:cNvSpPr/>
      </xdr:nvSpPr>
      <xdr:spPr>
        <a:xfrm>
          <a:off x="271780" y="1820336"/>
          <a:ext cx="193888" cy="1778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2</xdr:col>
      <xdr:colOff>252307</xdr:colOff>
      <xdr:row>136</xdr:row>
      <xdr:rowOff>177806</xdr:rowOff>
    </xdr:from>
    <xdr:to>
      <xdr:col>2</xdr:col>
      <xdr:colOff>465667</xdr:colOff>
      <xdr:row>137</xdr:row>
      <xdr:rowOff>160868</xdr:rowOff>
    </xdr:to>
    <xdr:sp macro="" textlink="">
      <xdr:nvSpPr>
        <xdr:cNvPr id="28" name="Rectangle à coins arrondis 27">
          <a:hlinkClick xmlns:r="http://schemas.openxmlformats.org/officeDocument/2006/relationships" r:id="rId5"/>
        </xdr:cNvPr>
        <xdr:cNvSpPr/>
      </xdr:nvSpPr>
      <xdr:spPr>
        <a:xfrm>
          <a:off x="717974" y="20828006"/>
          <a:ext cx="213360" cy="17779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nchorCtr="0"/>
        <a:lstStyle/>
        <a:p>
          <a:pPr algn="ctr"/>
          <a:r>
            <a:rPr lang="fr-FR" sz="1100" b="1"/>
            <a:t>?</a:t>
          </a:r>
        </a:p>
      </xdr:txBody>
    </xdr:sp>
    <xdr:clientData/>
  </xdr:twoCellAnchor>
  <xdr:twoCellAnchor>
    <xdr:from>
      <xdr:col>0</xdr:col>
      <xdr:colOff>0</xdr:colOff>
      <xdr:row>0</xdr:row>
      <xdr:rowOff>0</xdr:rowOff>
    </xdr:from>
    <xdr:to>
      <xdr:col>25</xdr:col>
      <xdr:colOff>673312</xdr:colOff>
      <xdr:row>4</xdr:row>
      <xdr:rowOff>118533</xdr:rowOff>
    </xdr:to>
    <xdr:grpSp>
      <xdr:nvGrpSpPr>
        <xdr:cNvPr id="42" name="Groupe 41"/>
        <xdr:cNvGrpSpPr/>
      </xdr:nvGrpSpPr>
      <xdr:grpSpPr>
        <a:xfrm>
          <a:off x="0" y="0"/>
          <a:ext cx="12367895" cy="1261533"/>
          <a:chOff x="101600" y="67733"/>
          <a:chExt cx="12687512" cy="1270000"/>
        </a:xfrm>
      </xdr:grpSpPr>
      <xdr:sp macro="" textlink="">
        <xdr:nvSpPr>
          <xdr:cNvPr id="43" name="Rectangle à coins arrondis 42"/>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44" name="ZoneTexte 43"/>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5" name="Rectangle à coins arrondis 44">
            <a:hlinkClick xmlns:r="http://schemas.openxmlformats.org/officeDocument/2006/relationships" r:id="rId6"/>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6" name="Rectangle à coins arrondis 45">
            <a:hlinkClick xmlns:r="http://schemas.openxmlformats.org/officeDocument/2006/relationships" r:id="rId7"/>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7" name="Rectangle à coins arrondis 46">
            <a:hlinkClick xmlns:r="http://schemas.openxmlformats.org/officeDocument/2006/relationships" r:id="rId8"/>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8" name="Rectangle à coins arrondis 47">
            <a:hlinkClick xmlns:r="http://schemas.openxmlformats.org/officeDocument/2006/relationships" r:id="rId9"/>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9" name="Rectangle à coins arrondis 48">
            <a:hlinkClick xmlns:r="http://schemas.openxmlformats.org/officeDocument/2006/relationships" r:id="rId10"/>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0" name="Rectangle à coins arrondis 49">
            <a:hlinkClick xmlns:r="http://schemas.openxmlformats.org/officeDocument/2006/relationships" r:id="rId11"/>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51" name="Rectangle à coins arrondis 50">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2" name="Rectangle à coins arrondis 51">
            <a:hlinkClick xmlns:r="http://schemas.openxmlformats.org/officeDocument/2006/relationships" r:id="rId2"/>
          </xdr:cNvPr>
          <xdr:cNvSpPr/>
        </xdr:nvSpPr>
        <xdr:spPr>
          <a:xfrm>
            <a:off x="65700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3" name="Rectangle à coins arrondis 52">
            <a:hlinkClick xmlns:r="http://schemas.openxmlformats.org/officeDocument/2006/relationships" r:id="rId13"/>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70" name="Rectangle à coins arrondis 69">
            <a:hlinkClick xmlns:r="http://schemas.openxmlformats.org/officeDocument/2006/relationships" r:id="rId14"/>
          </xdr:cNvPr>
          <xdr:cNvSpPr/>
        </xdr:nvSpPr>
        <xdr:spPr>
          <a:xfrm>
            <a:off x="7814678" y="541940"/>
            <a:ext cx="1203282"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71" name="Image 70"/>
          <xdr:cNvPicPr>
            <a:picLocks noChangeAspect="1"/>
          </xdr:cNvPicPr>
        </xdr:nvPicPr>
        <xdr:blipFill rotWithShape="1">
          <a:blip xmlns:r="http://schemas.openxmlformats.org/officeDocument/2006/relationships" r:embed="rId15"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237067</xdr:colOff>
      <xdr:row>5</xdr:row>
      <xdr:rowOff>84665</xdr:rowOff>
    </xdr:from>
    <xdr:to>
      <xdr:col>29</xdr:col>
      <xdr:colOff>846</xdr:colOff>
      <xdr:row>42</xdr:row>
      <xdr:rowOff>59266</xdr:rowOff>
    </xdr:to>
    <xdr:sp macro="" textlink="">
      <xdr:nvSpPr>
        <xdr:cNvPr id="16" name="Rectangle à coins arrondis 15"/>
        <xdr:cNvSpPr/>
      </xdr:nvSpPr>
      <xdr:spPr>
        <a:xfrm>
          <a:off x="237067" y="14196905"/>
          <a:ext cx="13510259" cy="6207761"/>
        </a:xfrm>
        <a:prstGeom prst="roundRect">
          <a:avLst>
            <a:gd name="adj" fmla="val 2490"/>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0</xdr:col>
      <xdr:colOff>313267</xdr:colOff>
      <xdr:row>39</xdr:row>
      <xdr:rowOff>59266</xdr:rowOff>
    </xdr:from>
    <xdr:to>
      <xdr:col>2</xdr:col>
      <xdr:colOff>177800</xdr:colOff>
      <xdr:row>41</xdr:row>
      <xdr:rowOff>152400</xdr:rowOff>
    </xdr:to>
    <xdr:sp macro="" textlink="">
      <xdr:nvSpPr>
        <xdr:cNvPr id="17" name="Rectangle 16"/>
        <xdr:cNvSpPr/>
      </xdr:nvSpPr>
      <xdr:spPr>
        <a:xfrm>
          <a:off x="313267" y="19901746"/>
          <a:ext cx="329353" cy="428414"/>
        </a:xfrm>
        <a:prstGeom prst="rect">
          <a:avLst/>
        </a:prstGeom>
        <a:solidFill>
          <a:schemeClr val="accent2">
            <a:lumMod val="75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203199</xdr:colOff>
      <xdr:row>39</xdr:row>
      <xdr:rowOff>63500</xdr:rowOff>
    </xdr:from>
    <xdr:to>
      <xdr:col>3</xdr:col>
      <xdr:colOff>685799</xdr:colOff>
      <xdr:row>41</xdr:row>
      <xdr:rowOff>148167</xdr:rowOff>
    </xdr:to>
    <xdr:sp macro="" textlink="">
      <xdr:nvSpPr>
        <xdr:cNvPr id="18" name="Pentagone 17">
          <a:hlinkClick xmlns:r="http://schemas.openxmlformats.org/officeDocument/2006/relationships" r:id="rId1"/>
        </xdr:cNvPr>
        <xdr:cNvSpPr/>
      </xdr:nvSpPr>
      <xdr:spPr>
        <a:xfrm>
          <a:off x="668019" y="19905980"/>
          <a:ext cx="1107440" cy="419947"/>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939801</xdr:colOff>
      <xdr:row>115</xdr:row>
      <xdr:rowOff>33866</xdr:rowOff>
    </xdr:from>
    <xdr:to>
      <xdr:col>2</xdr:col>
      <xdr:colOff>1270001</xdr:colOff>
      <xdr:row>117</xdr:row>
      <xdr:rowOff>127000</xdr:rowOff>
    </xdr:to>
    <xdr:sp macro="" textlink="">
      <xdr:nvSpPr>
        <xdr:cNvPr id="19" name="Rectangle 18"/>
        <xdr:cNvSpPr/>
      </xdr:nvSpPr>
      <xdr:spPr>
        <a:xfrm>
          <a:off x="1092201" y="51484106"/>
          <a:ext cx="0" cy="428414"/>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0</xdr:colOff>
      <xdr:row>115</xdr:row>
      <xdr:rowOff>16935</xdr:rowOff>
    </xdr:from>
    <xdr:to>
      <xdr:col>3</xdr:col>
      <xdr:colOff>338667</xdr:colOff>
      <xdr:row>117</xdr:row>
      <xdr:rowOff>76201</xdr:rowOff>
    </xdr:to>
    <xdr:sp macro="" textlink="">
      <xdr:nvSpPr>
        <xdr:cNvPr id="20" name="Pentagone 19">
          <a:hlinkClick xmlns:r="http://schemas.openxmlformats.org/officeDocument/2006/relationships" r:id="rId2"/>
        </xdr:cNvPr>
        <xdr:cNvSpPr/>
      </xdr:nvSpPr>
      <xdr:spPr>
        <a:xfrm flipH="1">
          <a:off x="464820" y="51467175"/>
          <a:ext cx="963507" cy="394546"/>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372534</xdr:colOff>
      <xdr:row>115</xdr:row>
      <xdr:rowOff>0</xdr:rowOff>
    </xdr:from>
    <xdr:to>
      <xdr:col>3</xdr:col>
      <xdr:colOff>702734</xdr:colOff>
      <xdr:row>117</xdr:row>
      <xdr:rowOff>93134</xdr:rowOff>
    </xdr:to>
    <xdr:sp macro="" textlink="">
      <xdr:nvSpPr>
        <xdr:cNvPr id="21" name="Rectangle 20"/>
        <xdr:cNvSpPr/>
      </xdr:nvSpPr>
      <xdr:spPr>
        <a:xfrm>
          <a:off x="1462194" y="51450240"/>
          <a:ext cx="330200" cy="428414"/>
        </a:xfrm>
        <a:prstGeom prst="rect">
          <a:avLst/>
        </a:prstGeom>
        <a:solidFill>
          <a:schemeClr val="accent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0</xdr:row>
      <xdr:rowOff>0</xdr:rowOff>
    </xdr:from>
    <xdr:to>
      <xdr:col>26</xdr:col>
      <xdr:colOff>673312</xdr:colOff>
      <xdr:row>4</xdr:row>
      <xdr:rowOff>118533</xdr:rowOff>
    </xdr:to>
    <xdr:grpSp>
      <xdr:nvGrpSpPr>
        <xdr:cNvPr id="35" name="Groupe 34"/>
        <xdr:cNvGrpSpPr/>
      </xdr:nvGrpSpPr>
      <xdr:grpSpPr>
        <a:xfrm>
          <a:off x="0" y="0"/>
          <a:ext cx="12314979"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7" name="ZoneTexte 36"/>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38" name="Rectangle à coins arrondis 37">
            <a:hlinkClick xmlns:r="http://schemas.openxmlformats.org/officeDocument/2006/relationships" r:id="rId3"/>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39" name="Rectangle à coins arrondis 38">
            <a:hlinkClick xmlns:r="http://schemas.openxmlformats.org/officeDocument/2006/relationships" r:id="rId4"/>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0" name="Rectangle à coins arrondis 39">
            <a:hlinkClick xmlns:r="http://schemas.openxmlformats.org/officeDocument/2006/relationships" r:id="rId5"/>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41" name="Rectangle à coins arrondis 40">
            <a:hlinkClick xmlns:r="http://schemas.openxmlformats.org/officeDocument/2006/relationships" r:id="rId6"/>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42" name="Rectangle à coins arrondis 41">
            <a:hlinkClick xmlns:r="http://schemas.openxmlformats.org/officeDocument/2006/relationships" r:id="rId7"/>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43" name="Rectangle à coins arrondis 42">
            <a:hlinkClick xmlns:r="http://schemas.openxmlformats.org/officeDocument/2006/relationships" r:id="rId8"/>
          </xdr:cNvPr>
          <xdr:cNvSpPr/>
        </xdr:nvSpPr>
        <xdr:spPr>
          <a:xfrm>
            <a:off x="90447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Inputs  Investments</a:t>
            </a:r>
          </a:p>
        </xdr:txBody>
      </xdr:sp>
      <xdr:sp macro="" textlink="">
        <xdr:nvSpPr>
          <xdr:cNvPr id="44" name="Rectangle à coins arrondis 43">
            <a:hlinkClick xmlns:r="http://schemas.openxmlformats.org/officeDocument/2006/relationships" r:id="rId9"/>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45" name="Rectangle à coins arrondis 44">
            <a:hlinkClick xmlns:r="http://schemas.openxmlformats.org/officeDocument/2006/relationships" r:id="rId10"/>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46" name="Rectangle à coins arrondis 45">
            <a:hlinkClick xmlns:r="http://schemas.openxmlformats.org/officeDocument/2006/relationships" r:id="rId11"/>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47" name="Rectangle à coins arrondis 46">
            <a:hlinkClick xmlns:r="http://schemas.openxmlformats.org/officeDocument/2006/relationships" r:id="rId2"/>
          </xdr:cNvPr>
          <xdr:cNvSpPr/>
        </xdr:nvSpPr>
        <xdr:spPr>
          <a:xfrm>
            <a:off x="7814678" y="541940"/>
            <a:ext cx="1203282"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48" name="Image 47"/>
          <xdr:cNvPicPr>
            <a:picLocks noChangeAspect="1"/>
          </xdr:cNvPicPr>
        </xdr:nvPicPr>
        <xdr:blipFill rotWithShape="1">
          <a:blip xmlns:r="http://schemas.openxmlformats.org/officeDocument/2006/relationships" r:embed="rId12"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211666</xdr:colOff>
      <xdr:row>5</xdr:row>
      <xdr:rowOff>93133</xdr:rowOff>
    </xdr:from>
    <xdr:to>
      <xdr:col>25</xdr:col>
      <xdr:colOff>177800</xdr:colOff>
      <xdr:row>31</xdr:row>
      <xdr:rowOff>0</xdr:rowOff>
    </xdr:to>
    <xdr:sp macro="" textlink="">
      <xdr:nvSpPr>
        <xdr:cNvPr id="14" name="Rectangle à coins arrondis 13"/>
        <xdr:cNvSpPr/>
      </xdr:nvSpPr>
      <xdr:spPr>
        <a:xfrm>
          <a:off x="211666" y="1532466"/>
          <a:ext cx="11286067" cy="4318001"/>
        </a:xfrm>
        <a:prstGeom prst="roundRect">
          <a:avLst>
            <a:gd name="adj" fmla="val 3827"/>
          </a:avLst>
        </a:prstGeom>
        <a:noFill/>
        <a:ln>
          <a:solidFill>
            <a:schemeClr val="bg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16933</xdr:colOff>
      <xdr:row>27</xdr:row>
      <xdr:rowOff>67733</xdr:rowOff>
    </xdr:from>
    <xdr:to>
      <xdr:col>2</xdr:col>
      <xdr:colOff>203199</xdr:colOff>
      <xdr:row>30</xdr:row>
      <xdr:rowOff>16933</xdr:rowOff>
    </xdr:to>
    <xdr:sp macro="" textlink="">
      <xdr:nvSpPr>
        <xdr:cNvPr id="15" name="Rectangle 14"/>
        <xdr:cNvSpPr/>
      </xdr:nvSpPr>
      <xdr:spPr>
        <a:xfrm>
          <a:off x="338666" y="5266266"/>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228600</xdr:colOff>
      <xdr:row>27</xdr:row>
      <xdr:rowOff>84668</xdr:rowOff>
    </xdr:from>
    <xdr:to>
      <xdr:col>3</xdr:col>
      <xdr:colOff>711200</xdr:colOff>
      <xdr:row>30</xdr:row>
      <xdr:rowOff>25401</xdr:rowOff>
    </xdr:to>
    <xdr:sp macro="" textlink="">
      <xdr:nvSpPr>
        <xdr:cNvPr id="21" name="Pentagone 20">
          <a:hlinkClick xmlns:r="http://schemas.openxmlformats.org/officeDocument/2006/relationships" r:id="rId1"/>
        </xdr:cNvPr>
        <xdr:cNvSpPr/>
      </xdr:nvSpPr>
      <xdr:spPr>
        <a:xfrm>
          <a:off x="694267" y="52832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1</xdr:col>
      <xdr:colOff>145724</xdr:colOff>
      <xdr:row>126</xdr:row>
      <xdr:rowOff>91344</xdr:rowOff>
    </xdr:from>
    <xdr:to>
      <xdr:col>3</xdr:col>
      <xdr:colOff>337039</xdr:colOff>
      <xdr:row>128</xdr:row>
      <xdr:rowOff>150610</xdr:rowOff>
    </xdr:to>
    <xdr:sp macro="" textlink="">
      <xdr:nvSpPr>
        <xdr:cNvPr id="22" name="Pentagone 21">
          <a:hlinkClick xmlns:r="http://schemas.openxmlformats.org/officeDocument/2006/relationships" r:id="rId2"/>
        </xdr:cNvPr>
        <xdr:cNvSpPr/>
      </xdr:nvSpPr>
      <xdr:spPr>
        <a:xfrm flipH="1">
          <a:off x="460782" y="21090306"/>
          <a:ext cx="806776" cy="381650"/>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3</xdr:col>
      <xdr:colOff>389468</xdr:colOff>
      <xdr:row>126</xdr:row>
      <xdr:rowOff>67734</xdr:rowOff>
    </xdr:from>
    <xdr:to>
      <xdr:col>3</xdr:col>
      <xdr:colOff>719668</xdr:colOff>
      <xdr:row>128</xdr:row>
      <xdr:rowOff>160867</xdr:rowOff>
    </xdr:to>
    <xdr:sp macro="" textlink="">
      <xdr:nvSpPr>
        <xdr:cNvPr id="32" name="Rectangle 31"/>
        <xdr:cNvSpPr/>
      </xdr:nvSpPr>
      <xdr:spPr>
        <a:xfrm>
          <a:off x="1337735" y="20531667"/>
          <a:ext cx="33020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211667</xdr:colOff>
      <xdr:row>32</xdr:row>
      <xdr:rowOff>76199</xdr:rowOff>
    </xdr:from>
    <xdr:to>
      <xdr:col>25</xdr:col>
      <xdr:colOff>186267</xdr:colOff>
      <xdr:row>57</xdr:row>
      <xdr:rowOff>143934</xdr:rowOff>
    </xdr:to>
    <xdr:sp macro="" textlink="">
      <xdr:nvSpPr>
        <xdr:cNvPr id="35" name="Rectangle à coins arrondis 34"/>
        <xdr:cNvSpPr/>
      </xdr:nvSpPr>
      <xdr:spPr>
        <a:xfrm>
          <a:off x="211667" y="6095999"/>
          <a:ext cx="11294533" cy="3818468"/>
        </a:xfrm>
        <a:prstGeom prst="roundRect">
          <a:avLst>
            <a:gd name="adj" fmla="val 3827"/>
          </a:avLst>
        </a:prstGeom>
        <a:noFill/>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p>
      </xdr:txBody>
    </xdr:sp>
    <xdr:clientData/>
  </xdr:twoCellAnchor>
  <xdr:twoCellAnchor>
    <xdr:from>
      <xdr:col>1</xdr:col>
      <xdr:colOff>8468</xdr:colOff>
      <xdr:row>54</xdr:row>
      <xdr:rowOff>118534</xdr:rowOff>
    </xdr:from>
    <xdr:to>
      <xdr:col>2</xdr:col>
      <xdr:colOff>194734</xdr:colOff>
      <xdr:row>57</xdr:row>
      <xdr:rowOff>42334</xdr:rowOff>
    </xdr:to>
    <xdr:sp macro="" textlink="">
      <xdr:nvSpPr>
        <xdr:cNvPr id="37" name="Rectangle 36"/>
        <xdr:cNvSpPr/>
      </xdr:nvSpPr>
      <xdr:spPr>
        <a:xfrm>
          <a:off x="330201" y="9381067"/>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220133</xdr:colOff>
      <xdr:row>54</xdr:row>
      <xdr:rowOff>122768</xdr:rowOff>
    </xdr:from>
    <xdr:to>
      <xdr:col>3</xdr:col>
      <xdr:colOff>702733</xdr:colOff>
      <xdr:row>57</xdr:row>
      <xdr:rowOff>38101</xdr:rowOff>
    </xdr:to>
    <xdr:sp macro="" textlink="">
      <xdr:nvSpPr>
        <xdr:cNvPr id="38" name="Pentagone 37">
          <a:hlinkClick xmlns:r="http://schemas.openxmlformats.org/officeDocument/2006/relationships" r:id="rId3"/>
        </xdr:cNvPr>
        <xdr:cNvSpPr/>
      </xdr:nvSpPr>
      <xdr:spPr>
        <a:xfrm>
          <a:off x="685800" y="9385301"/>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bg2">
                  <a:lumMod val="90000"/>
                </a:schemeClr>
              </a:solidFill>
            </a:rPr>
            <a:t>Tier 2</a:t>
          </a:r>
        </a:p>
      </xdr:txBody>
    </xdr:sp>
    <xdr:clientData/>
  </xdr:twoCellAnchor>
  <xdr:twoCellAnchor>
    <xdr:from>
      <xdr:col>2</xdr:col>
      <xdr:colOff>16934</xdr:colOff>
      <xdr:row>195</xdr:row>
      <xdr:rowOff>84669</xdr:rowOff>
    </xdr:from>
    <xdr:to>
      <xdr:col>3</xdr:col>
      <xdr:colOff>355601</xdr:colOff>
      <xdr:row>197</xdr:row>
      <xdr:rowOff>143934</xdr:rowOff>
    </xdr:to>
    <xdr:sp macro="" textlink="">
      <xdr:nvSpPr>
        <xdr:cNvPr id="33" name="Pentagone 32">
          <a:hlinkClick xmlns:r="http://schemas.openxmlformats.org/officeDocument/2006/relationships" r:id="rId4"/>
        </xdr:cNvPr>
        <xdr:cNvSpPr/>
      </xdr:nvSpPr>
      <xdr:spPr>
        <a:xfrm flipH="1">
          <a:off x="482601" y="21302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195</xdr:row>
      <xdr:rowOff>33866</xdr:rowOff>
    </xdr:from>
    <xdr:to>
      <xdr:col>2</xdr:col>
      <xdr:colOff>1270001</xdr:colOff>
      <xdr:row>197</xdr:row>
      <xdr:rowOff>127000</xdr:rowOff>
    </xdr:to>
    <xdr:sp macro="" textlink="">
      <xdr:nvSpPr>
        <xdr:cNvPr id="40" name="Rectangle 39"/>
        <xdr:cNvSpPr/>
      </xdr:nvSpPr>
      <xdr:spPr>
        <a:xfrm>
          <a:off x="948268" y="21251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397933</xdr:colOff>
      <xdr:row>195</xdr:row>
      <xdr:rowOff>76199</xdr:rowOff>
    </xdr:from>
    <xdr:to>
      <xdr:col>3</xdr:col>
      <xdr:colOff>728133</xdr:colOff>
      <xdr:row>197</xdr:row>
      <xdr:rowOff>169333</xdr:rowOff>
    </xdr:to>
    <xdr:sp macro="" textlink="">
      <xdr:nvSpPr>
        <xdr:cNvPr id="41" name="Rectangle 40"/>
        <xdr:cNvSpPr/>
      </xdr:nvSpPr>
      <xdr:spPr>
        <a:xfrm>
          <a:off x="1346200" y="32977666"/>
          <a:ext cx="330200" cy="431800"/>
        </a:xfrm>
        <a:prstGeom prst="rect">
          <a:avLst/>
        </a:prstGeom>
        <a:solidFill>
          <a:schemeClr val="accent3">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220154</xdr:colOff>
      <xdr:row>80</xdr:row>
      <xdr:rowOff>12592</xdr:rowOff>
    </xdr:from>
    <xdr:to>
      <xdr:col>3</xdr:col>
      <xdr:colOff>702754</xdr:colOff>
      <xdr:row>82</xdr:row>
      <xdr:rowOff>97258</xdr:rowOff>
    </xdr:to>
    <xdr:sp macro="" textlink="">
      <xdr:nvSpPr>
        <xdr:cNvPr id="42" name="Pentagone 41">
          <a:hlinkClick xmlns:r="http://schemas.openxmlformats.org/officeDocument/2006/relationships" r:id="rId5"/>
        </xdr:cNvPr>
        <xdr:cNvSpPr/>
      </xdr:nvSpPr>
      <xdr:spPr>
        <a:xfrm>
          <a:off x="685821" y="13440725"/>
          <a:ext cx="965200" cy="423333"/>
        </a:xfrm>
        <a:prstGeom prst="homePlate">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nchorCtr="1"/>
        <a:lstStyle/>
        <a:p>
          <a:pPr algn="l"/>
          <a:r>
            <a:rPr lang="fr-FR" sz="2000">
              <a:solidFill>
                <a:schemeClr val="accent3">
                  <a:lumMod val="40000"/>
                  <a:lumOff val="60000"/>
                </a:schemeClr>
              </a:solidFill>
            </a:rPr>
            <a:t>Tier 2</a:t>
          </a:r>
        </a:p>
      </xdr:txBody>
    </xdr:sp>
    <xdr:clientData/>
  </xdr:twoCellAnchor>
  <xdr:twoCellAnchor>
    <xdr:from>
      <xdr:col>1</xdr:col>
      <xdr:colOff>0</xdr:colOff>
      <xdr:row>80</xdr:row>
      <xdr:rowOff>0</xdr:rowOff>
    </xdr:from>
    <xdr:to>
      <xdr:col>2</xdr:col>
      <xdr:colOff>186266</xdr:colOff>
      <xdr:row>82</xdr:row>
      <xdr:rowOff>93133</xdr:rowOff>
    </xdr:to>
    <xdr:sp macro="" textlink="">
      <xdr:nvSpPr>
        <xdr:cNvPr id="43" name="Rectangle 42"/>
        <xdr:cNvSpPr/>
      </xdr:nvSpPr>
      <xdr:spPr>
        <a:xfrm>
          <a:off x="321733" y="13428133"/>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16934</xdr:colOff>
      <xdr:row>233</xdr:row>
      <xdr:rowOff>84669</xdr:rowOff>
    </xdr:from>
    <xdr:to>
      <xdr:col>3</xdr:col>
      <xdr:colOff>355601</xdr:colOff>
      <xdr:row>235</xdr:row>
      <xdr:rowOff>143934</xdr:rowOff>
    </xdr:to>
    <xdr:sp macro="" textlink="">
      <xdr:nvSpPr>
        <xdr:cNvPr id="44" name="Pentagone 43">
          <a:hlinkClick xmlns:r="http://schemas.openxmlformats.org/officeDocument/2006/relationships" r:id="rId6"/>
        </xdr:cNvPr>
        <xdr:cNvSpPr/>
      </xdr:nvSpPr>
      <xdr:spPr>
        <a:xfrm flipH="1">
          <a:off x="482601" y="32986136"/>
          <a:ext cx="821267" cy="397931"/>
        </a:xfrm>
        <a:prstGeom prst="homePlate">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nchorCtr="1"/>
        <a:lstStyle/>
        <a:p>
          <a:pPr algn="l"/>
          <a:r>
            <a:rPr lang="fr-FR" sz="2000"/>
            <a:t>Back</a:t>
          </a:r>
        </a:p>
      </xdr:txBody>
    </xdr:sp>
    <xdr:clientData/>
  </xdr:twoCellAnchor>
  <xdr:twoCellAnchor>
    <xdr:from>
      <xdr:col>2</xdr:col>
      <xdr:colOff>939801</xdr:colOff>
      <xdr:row>233</xdr:row>
      <xdr:rowOff>33866</xdr:rowOff>
    </xdr:from>
    <xdr:to>
      <xdr:col>2</xdr:col>
      <xdr:colOff>1270001</xdr:colOff>
      <xdr:row>235</xdr:row>
      <xdr:rowOff>127000</xdr:rowOff>
    </xdr:to>
    <xdr:sp macro="" textlink="">
      <xdr:nvSpPr>
        <xdr:cNvPr id="45" name="Rectangle 44"/>
        <xdr:cNvSpPr/>
      </xdr:nvSpPr>
      <xdr:spPr>
        <a:xfrm>
          <a:off x="948268" y="32935333"/>
          <a:ext cx="0" cy="431800"/>
        </a:xfrm>
        <a:prstGeom prst="rect">
          <a:avLst/>
        </a:prstGeom>
        <a:solidFill>
          <a:schemeClr val="bg2">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389466</xdr:colOff>
      <xdr:row>233</xdr:row>
      <xdr:rowOff>76201</xdr:rowOff>
    </xdr:from>
    <xdr:to>
      <xdr:col>3</xdr:col>
      <xdr:colOff>719666</xdr:colOff>
      <xdr:row>236</xdr:row>
      <xdr:rowOff>1</xdr:rowOff>
    </xdr:to>
    <xdr:sp macro="" textlink="">
      <xdr:nvSpPr>
        <xdr:cNvPr id="47" name="Rectangle 46"/>
        <xdr:cNvSpPr/>
      </xdr:nvSpPr>
      <xdr:spPr>
        <a:xfrm>
          <a:off x="1337733" y="38929734"/>
          <a:ext cx="330200" cy="431800"/>
        </a:xfrm>
        <a:prstGeom prst="rect">
          <a:avLst/>
        </a:prstGeom>
        <a:solidFill>
          <a:schemeClr val="accent6">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42333</xdr:colOff>
      <xdr:row>59</xdr:row>
      <xdr:rowOff>50799</xdr:rowOff>
    </xdr:from>
    <xdr:to>
      <xdr:col>25</xdr:col>
      <xdr:colOff>186267</xdr:colOff>
      <xdr:row>82</xdr:row>
      <xdr:rowOff>127000</xdr:rowOff>
    </xdr:to>
    <xdr:sp macro="" textlink="">
      <xdr:nvSpPr>
        <xdr:cNvPr id="66" name="Rectangle à coins arrondis 65"/>
        <xdr:cNvSpPr/>
      </xdr:nvSpPr>
      <xdr:spPr>
        <a:xfrm>
          <a:off x="42333" y="10515599"/>
          <a:ext cx="12098867" cy="3996268"/>
        </a:xfrm>
        <a:prstGeom prst="roundRect">
          <a:avLst>
            <a:gd name="adj" fmla="val 3827"/>
          </a:avLst>
        </a:prstGeom>
        <a:no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0</xdr:col>
      <xdr:colOff>0</xdr:colOff>
      <xdr:row>0</xdr:row>
      <xdr:rowOff>0</xdr:rowOff>
    </xdr:from>
    <xdr:to>
      <xdr:col>26</xdr:col>
      <xdr:colOff>4445</xdr:colOff>
      <xdr:row>4</xdr:row>
      <xdr:rowOff>118533</xdr:rowOff>
    </xdr:to>
    <xdr:grpSp>
      <xdr:nvGrpSpPr>
        <xdr:cNvPr id="34" name="Groupe 33"/>
        <xdr:cNvGrpSpPr/>
      </xdr:nvGrpSpPr>
      <xdr:grpSpPr>
        <a:xfrm>
          <a:off x="0" y="0"/>
          <a:ext cx="12524528" cy="1261533"/>
          <a:chOff x="101600" y="67733"/>
          <a:chExt cx="12687512" cy="1270000"/>
        </a:xfrm>
      </xdr:grpSpPr>
      <xdr:sp macro="" textlink="">
        <xdr:nvSpPr>
          <xdr:cNvPr id="36" name="Rectangle à coins arrondis 35"/>
          <xdr:cNvSpPr/>
        </xdr:nvSpPr>
        <xdr:spPr>
          <a:xfrm>
            <a:off x="1087126" y="105182"/>
            <a:ext cx="10436008" cy="1228318"/>
          </a:xfrm>
          <a:prstGeom prst="roundRect">
            <a:avLst/>
          </a:prstGeom>
          <a:solidFill>
            <a:schemeClr val="bg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39" name="ZoneTexte 38"/>
          <xdr:cNvSpPr txBox="1"/>
        </xdr:nvSpPr>
        <xdr:spPr>
          <a:xfrm>
            <a:off x="1144012" y="67733"/>
            <a:ext cx="7133612" cy="398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2000">
                <a:solidFill>
                  <a:schemeClr val="bg1"/>
                </a:solidFill>
              </a:rPr>
              <a:t>The </a:t>
            </a:r>
            <a:r>
              <a:rPr lang="fr-FR" sz="2000">
                <a:solidFill>
                  <a:srgbClr val="FFFF00"/>
                </a:solidFill>
              </a:rPr>
              <a:t>EX</a:t>
            </a:r>
            <a:r>
              <a:rPr lang="fr-FR" sz="2000">
                <a:solidFill>
                  <a:schemeClr val="bg1"/>
                </a:solidFill>
              </a:rPr>
              <a:t>-</a:t>
            </a:r>
            <a:r>
              <a:rPr lang="fr-FR" sz="2000">
                <a:solidFill>
                  <a:srgbClr val="FFFF00"/>
                </a:solidFill>
              </a:rPr>
              <a:t>A</a:t>
            </a:r>
            <a:r>
              <a:rPr lang="fr-FR" sz="2000">
                <a:solidFill>
                  <a:schemeClr val="bg1"/>
                </a:solidFill>
              </a:rPr>
              <a:t>nte </a:t>
            </a:r>
            <a:r>
              <a:rPr lang="fr-FR" sz="2000">
                <a:solidFill>
                  <a:srgbClr val="FFFF00"/>
                </a:solidFill>
              </a:rPr>
              <a:t>C</a:t>
            </a:r>
            <a:r>
              <a:rPr lang="fr-FR" sz="2000">
                <a:solidFill>
                  <a:schemeClr val="bg1"/>
                </a:solidFill>
              </a:rPr>
              <a:t>arbon-balance</a:t>
            </a:r>
            <a:r>
              <a:rPr lang="fr-FR" sz="2000" baseline="0">
                <a:solidFill>
                  <a:schemeClr val="bg1"/>
                </a:solidFill>
              </a:rPr>
              <a:t> </a:t>
            </a:r>
            <a:r>
              <a:rPr lang="fr-FR" sz="2000" baseline="0">
                <a:solidFill>
                  <a:srgbClr val="FFFF00"/>
                </a:solidFill>
              </a:rPr>
              <a:t>T</a:t>
            </a:r>
            <a:r>
              <a:rPr lang="fr-FR" sz="2000" baseline="0">
                <a:solidFill>
                  <a:schemeClr val="bg1"/>
                </a:solidFill>
              </a:rPr>
              <a:t>ool (EX-ACT)</a:t>
            </a:r>
          </a:p>
        </xdr:txBody>
      </xdr:sp>
      <xdr:sp macro="" textlink="">
        <xdr:nvSpPr>
          <xdr:cNvPr id="46" name="Rectangle à coins arrondis 45">
            <a:hlinkClick xmlns:r="http://schemas.openxmlformats.org/officeDocument/2006/relationships" r:id="rId7"/>
          </xdr:cNvPr>
          <xdr:cNvSpPr/>
        </xdr:nvSpPr>
        <xdr:spPr>
          <a:xfrm>
            <a:off x="5415462" y="541940"/>
            <a:ext cx="11193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Grassland  Livestock</a:t>
            </a:r>
          </a:p>
        </xdr:txBody>
      </xdr:sp>
      <xdr:sp macro="" textlink="">
        <xdr:nvSpPr>
          <xdr:cNvPr id="48" name="Rectangle à coins arrondis 47">
            <a:hlinkClick xmlns:r="http://schemas.openxmlformats.org/officeDocument/2006/relationships" r:id="rId8"/>
          </xdr:cNvPr>
          <xdr:cNvSpPr/>
        </xdr:nvSpPr>
        <xdr:spPr>
          <a:xfrm>
            <a:off x="1163389" y="535842"/>
            <a:ext cx="610179"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Start</a:t>
            </a:r>
          </a:p>
        </xdr:txBody>
      </xdr:sp>
      <xdr:sp macro="" textlink="">
        <xdr:nvSpPr>
          <xdr:cNvPr id="49" name="Rectangle à coins arrondis 48">
            <a:hlinkClick xmlns:r="http://schemas.openxmlformats.org/officeDocument/2006/relationships" r:id="rId9"/>
          </xdr:cNvPr>
          <xdr:cNvSpPr/>
        </xdr:nvSpPr>
        <xdr:spPr>
          <a:xfrm>
            <a:off x="1808802" y="535842"/>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Description</a:t>
            </a:r>
          </a:p>
        </xdr:txBody>
      </xdr:sp>
      <xdr:sp macro="" textlink="">
        <xdr:nvSpPr>
          <xdr:cNvPr id="50" name="Rectangle à coins arrondis 49">
            <a:hlinkClick xmlns:r="http://schemas.openxmlformats.org/officeDocument/2006/relationships" r:id="rId10"/>
          </xdr:cNvPr>
          <xdr:cNvSpPr/>
        </xdr:nvSpPr>
        <xdr:spPr>
          <a:xfrm>
            <a:off x="2957631" y="541940"/>
            <a:ext cx="1113594"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Land Use Change</a:t>
            </a:r>
          </a:p>
        </xdr:txBody>
      </xdr:sp>
      <xdr:sp macro="" textlink="">
        <xdr:nvSpPr>
          <xdr:cNvPr id="51" name="Rectangle à coins arrondis 50">
            <a:hlinkClick xmlns:r="http://schemas.openxmlformats.org/officeDocument/2006/relationships" r:id="rId11"/>
          </xdr:cNvPr>
          <xdr:cNvSpPr/>
        </xdr:nvSpPr>
        <xdr:spPr>
          <a:xfrm>
            <a:off x="4106460" y="541940"/>
            <a:ext cx="1273767"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fr-FR" sz="1400"/>
              <a:t>Crop production</a:t>
            </a:r>
            <a:endParaRPr lang="fr-FR" sz="1000"/>
          </a:p>
        </xdr:txBody>
      </xdr:sp>
      <xdr:sp macro="" textlink="">
        <xdr:nvSpPr>
          <xdr:cNvPr id="52" name="Rectangle à coins arrondis 51">
            <a:hlinkClick xmlns:r="http://schemas.openxmlformats.org/officeDocument/2006/relationships" r:id="rId2"/>
          </xdr:cNvPr>
          <xdr:cNvSpPr/>
        </xdr:nvSpPr>
        <xdr:spPr>
          <a:xfrm>
            <a:off x="9044729" y="541940"/>
            <a:ext cx="1165145" cy="70769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fr-FR" sz="1400"/>
              <a:t>Inputs  Investments</a:t>
            </a:r>
          </a:p>
        </xdr:txBody>
      </xdr:sp>
      <xdr:sp macro="" textlink="">
        <xdr:nvSpPr>
          <xdr:cNvPr id="53" name="Rectangle à coins arrondis 52">
            <a:hlinkClick xmlns:r="http://schemas.openxmlformats.org/officeDocument/2006/relationships" r:id="rId12"/>
          </xdr:cNvPr>
          <xdr:cNvSpPr/>
        </xdr:nvSpPr>
        <xdr:spPr>
          <a:xfrm>
            <a:off x="11669730" y="264157"/>
            <a:ext cx="1119382" cy="778934"/>
          </a:xfrm>
          <a:prstGeom prst="round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fr-FR" sz="1600"/>
              <a:t>Detailed</a:t>
            </a:r>
            <a:endParaRPr lang="fr-FR" sz="1600" baseline="0"/>
          </a:p>
          <a:p>
            <a:pPr algn="ctr"/>
            <a:r>
              <a:rPr lang="fr-FR" sz="1600" baseline="0"/>
              <a:t>Results</a:t>
            </a:r>
            <a:endParaRPr lang="fr-FR" sz="1600"/>
          </a:p>
        </xdr:txBody>
      </xdr:sp>
      <xdr:sp macro="" textlink="">
        <xdr:nvSpPr>
          <xdr:cNvPr id="54" name="Rectangle à coins arrondis 53">
            <a:hlinkClick xmlns:r="http://schemas.openxmlformats.org/officeDocument/2006/relationships" r:id="rId13"/>
          </xdr:cNvPr>
          <xdr:cNvSpPr/>
        </xdr:nvSpPr>
        <xdr:spPr>
          <a:xfrm>
            <a:off x="65700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Management  Degradation</a:t>
            </a:r>
          </a:p>
        </xdr:txBody>
      </xdr:sp>
      <xdr:sp macro="" textlink="">
        <xdr:nvSpPr>
          <xdr:cNvPr id="55" name="Rectangle à coins arrondis 54">
            <a:hlinkClick xmlns:r="http://schemas.openxmlformats.org/officeDocument/2006/relationships" r:id="rId14"/>
          </xdr:cNvPr>
          <xdr:cNvSpPr/>
        </xdr:nvSpPr>
        <xdr:spPr>
          <a:xfrm>
            <a:off x="10256629" y="541940"/>
            <a:ext cx="1165145" cy="707692"/>
          </a:xfrm>
          <a:prstGeom prst="roundRect">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r-FR" sz="1400"/>
              <a:t>Fisheries</a:t>
            </a:r>
            <a:endParaRPr lang="fr-FR" sz="1400" baseline="0"/>
          </a:p>
          <a:p>
            <a:pPr algn="ctr"/>
            <a:r>
              <a:rPr lang="fr-FR" sz="1400" baseline="0"/>
              <a:t>Aquaculture</a:t>
            </a:r>
            <a:endParaRPr lang="fr-FR" sz="1400"/>
          </a:p>
        </xdr:txBody>
      </xdr:sp>
      <xdr:sp macro="" textlink="">
        <xdr:nvSpPr>
          <xdr:cNvPr id="56" name="Rectangle à coins arrondis 55">
            <a:hlinkClick xmlns:r="http://schemas.openxmlformats.org/officeDocument/2006/relationships" r:id="rId15"/>
          </xdr:cNvPr>
          <xdr:cNvSpPr/>
        </xdr:nvSpPr>
        <xdr:spPr>
          <a:xfrm>
            <a:off x="7814678" y="541940"/>
            <a:ext cx="1203282" cy="70769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300" b="0" i="0" u="none" strike="noStrike" kern="0" cap="none" spc="0" normalizeH="0" baseline="0" noProof="0">
                <a:ln>
                  <a:noFill/>
                </a:ln>
                <a:solidFill>
                  <a:prstClr val="white"/>
                </a:solidFill>
                <a:effectLst/>
                <a:uLnTx/>
                <a:uFillTx/>
                <a:latin typeface="+mn-lt"/>
                <a:ea typeface="+mn-ea"/>
                <a:cs typeface="+mn-cs"/>
              </a:rPr>
              <a:t>Coastal Wetlands</a:t>
            </a:r>
          </a:p>
        </xdr:txBody>
      </xdr:sp>
      <xdr:pic>
        <xdr:nvPicPr>
          <xdr:cNvPr id="57" name="Image 56"/>
          <xdr:cNvPicPr>
            <a:picLocks noChangeAspect="1"/>
          </xdr:cNvPicPr>
        </xdr:nvPicPr>
        <xdr:blipFill rotWithShape="1">
          <a:blip xmlns:r="http://schemas.openxmlformats.org/officeDocument/2006/relationships" r:embed="rId16" cstate="print"/>
          <a:srcRect l="1721" t="2514" r="5254" b="5031"/>
          <a:stretch/>
        </xdr:blipFill>
        <xdr:spPr>
          <a:xfrm>
            <a:off x="101600" y="93133"/>
            <a:ext cx="914400" cy="1244600"/>
          </a:xfrm>
          <a:prstGeom prst="rect">
            <a:avLst/>
          </a:prstGeom>
          <a:ln>
            <a:noFill/>
          </a:ln>
          <a:effectLst>
            <a:outerShdw blurRad="292100" dist="139700" dir="2700000" algn="tl" rotWithShape="0">
              <a:srgbClr val="333333">
                <a:alpha val="65000"/>
              </a:srgbClr>
            </a:outerShdw>
          </a:effec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fao.org/nr/climpag/climate/img/2rainavg.gif" TargetMode="External"/><Relationship Id="rId7" Type="http://schemas.openxmlformats.org/officeDocument/2006/relationships/printerSettings" Target="../printerSettings/printerSettings27.bin"/><Relationship Id="rId2" Type="http://schemas.openxmlformats.org/officeDocument/2006/relationships/hyperlink" Target="http://www.fao.org/nr/climpag/pub/en3_051002_en.asp" TargetMode="External"/><Relationship Id="rId1" Type="http://schemas.openxmlformats.org/officeDocument/2006/relationships/hyperlink" Target="http://www.fao.org/sd/locclim/srv/locclim.home" TargetMode="External"/><Relationship Id="rId6" Type="http://schemas.openxmlformats.org/officeDocument/2006/relationships/hyperlink" Target="http://www.fao.org/nr/climpag/locclim/locclim_en.asp" TargetMode="External"/><Relationship Id="rId5" Type="http://schemas.openxmlformats.org/officeDocument/2006/relationships/hyperlink" Target="http://www.fao.org/nr/climpag/climate/img/2tempavg.gif" TargetMode="External"/><Relationship Id="rId4" Type="http://schemas.openxmlformats.org/officeDocument/2006/relationships/hyperlink" Target="http://www.fao.org/nr/climpag/climate/index_en.as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249977111117893"/>
  </sheetPr>
  <dimension ref="A1:S54"/>
  <sheetViews>
    <sheetView zoomScaleNormal="100" workbookViewId="0">
      <pane ySplit="5" topLeftCell="A6" activePane="bottomLeft" state="frozen"/>
      <selection activeCell="T27" sqref="T27"/>
      <selection pane="bottomLeft" activeCell="S15" sqref="S15"/>
    </sheetView>
  </sheetViews>
  <sheetFormatPr defaultColWidth="10" defaultRowHeight="12.75"/>
  <cols>
    <col min="1" max="1" width="2.28515625" style="1631" customWidth="1"/>
    <col min="2" max="2" width="17.7109375" style="1631" customWidth="1"/>
    <col min="3" max="16" width="10" style="1631"/>
    <col min="17" max="17" width="11.28515625" style="1631" customWidth="1"/>
    <col min="18" max="16384" width="10" style="1631"/>
  </cols>
  <sheetData>
    <row r="1" spans="1:19" s="2228" customFormat="1" ht="22.9" customHeight="1"/>
    <row r="2" spans="1:19" s="2228" customFormat="1" ht="22.9" customHeight="1"/>
    <row r="3" spans="1:19" s="2228" customFormat="1" ht="22.9" customHeight="1"/>
    <row r="4" spans="1:19" s="2228" customFormat="1" ht="22.9" customHeight="1"/>
    <row r="5" spans="1:19" s="2228" customFormat="1" ht="22.9" customHeight="1">
      <c r="A5" s="2704" t="str">
        <f>IF(ISBLANK(HLOOKUP(select,translations!$B$436:$H$450,2,)),"",HLOOKUP(select,translations!$B$436:$H$450,2,))</f>
        <v xml:space="preserve"> </v>
      </c>
      <c r="B5" s="2705"/>
    </row>
    <row r="7" spans="1:19">
      <c r="I7" s="3553"/>
      <c r="J7" s="1632"/>
    </row>
    <row r="8" spans="1:19">
      <c r="I8" s="3657" t="str">
        <f>IF(ISBLANK(HLOOKUP(select,translations!$B$624:$H$629,6,)),"",HLOOKUP(select,translations!$B$624:$H$629,6,))</f>
        <v>Food and Agriculture Organization of the United Nations</v>
      </c>
      <c r="J8" s="3657"/>
    </row>
    <row r="9" spans="1:19">
      <c r="I9" s="3657"/>
      <c r="J9" s="3657"/>
    </row>
    <row r="10" spans="1:19">
      <c r="I10" s="3657"/>
      <c r="J10" s="3657"/>
    </row>
    <row r="11" spans="1:19">
      <c r="D11" s="3658" t="str">
        <f>IF(ISBLANK(HLOOKUP(select,translations!$B$624:$H$635,7,)),"",HLOOKUP(select,translations!$B$624:$H$635,7,))</f>
        <v>Online resource materials for policy-making</v>
      </c>
      <c r="E11" s="3658"/>
      <c r="F11" s="3658"/>
      <c r="G11" s="3658"/>
      <c r="I11" s="3657"/>
      <c r="J11" s="3657"/>
    </row>
    <row r="12" spans="1:19">
      <c r="D12" s="3658"/>
      <c r="E12" s="3658"/>
      <c r="F12" s="3658"/>
      <c r="G12" s="3658"/>
    </row>
    <row r="13" spans="1:19" ht="21.75" customHeight="1">
      <c r="B13" s="3663" t="s">
        <v>105</v>
      </c>
      <c r="C13" s="3663"/>
      <c r="D13" s="3663"/>
      <c r="E13" s="3663"/>
      <c r="F13" s="3663"/>
      <c r="G13" s="3663"/>
      <c r="H13" s="3663"/>
      <c r="I13" s="3663"/>
      <c r="J13" s="3663"/>
      <c r="L13" s="3662" t="s">
        <v>4825</v>
      </c>
      <c r="M13" s="3662"/>
      <c r="N13" s="3662"/>
      <c r="O13" s="3662"/>
      <c r="P13" s="3662"/>
      <c r="R13" s="2026" t="str">
        <f>M14</f>
        <v>English</v>
      </c>
      <c r="S13" s="2026"/>
    </row>
    <row r="14" spans="1:19" ht="21.75" customHeight="1">
      <c r="B14" s="3663" t="s">
        <v>1038</v>
      </c>
      <c r="C14" s="3663"/>
      <c r="D14" s="3663"/>
      <c r="E14" s="3663"/>
      <c r="F14" s="3663"/>
      <c r="G14" s="3663"/>
      <c r="H14" s="3663"/>
      <c r="I14" s="3663"/>
      <c r="J14" s="3663"/>
      <c r="L14" s="2887"/>
      <c r="M14" s="3664" t="s">
        <v>1617</v>
      </c>
      <c r="N14" s="3664"/>
      <c r="O14" s="3664"/>
      <c r="P14" s="2886"/>
      <c r="R14" s="2026" t="str">
        <f>IF(M14&lt;&gt;List!$I$13,M14,IF(M16="",List!$I$7,'0.Start'!M16))</f>
        <v>English</v>
      </c>
      <c r="S14" s="2026"/>
    </row>
    <row r="15" spans="1:19" ht="21" customHeight="1">
      <c r="E15" s="1633"/>
      <c r="L15" s="3665" t="s">
        <v>4824</v>
      </c>
      <c r="M15" s="3665"/>
      <c r="N15" s="3665"/>
      <c r="O15" s="3665"/>
      <c r="P15" s="3665"/>
      <c r="R15" s="2026"/>
      <c r="S15" s="2026"/>
    </row>
    <row r="16" spans="1:19" ht="20.25">
      <c r="B16" s="3662" t="str">
        <f>HLOOKUP(select,translations!$B$1:$H$10,5,)</f>
        <v>Version 7 - Multilingual Edition</v>
      </c>
      <c r="C16" s="3662"/>
      <c r="D16" s="3662"/>
      <c r="E16" s="3662"/>
      <c r="F16" s="3662"/>
      <c r="G16" s="3662"/>
      <c r="H16" s="3662"/>
      <c r="I16" s="3662"/>
      <c r="J16" s="3662"/>
      <c r="M16" s="3659" t="s">
        <v>6520</v>
      </c>
      <c r="N16" s="3659"/>
      <c r="O16" s="3659"/>
    </row>
    <row r="17" spans="1:16">
      <c r="O17" s="3338"/>
      <c r="P17" s="3338"/>
    </row>
    <row r="25" spans="1:16">
      <c r="B25" s="1634" t="str">
        <f>HLOOKUP(select,translations!$B$1:$H$10,2,)</f>
        <v>Disclaimer</v>
      </c>
    </row>
    <row r="26" spans="1:16" ht="12.75" customHeight="1">
      <c r="A26" s="1634"/>
      <c r="B26" s="3661" t="str">
        <f>HLOOKUP(select,translations!$B$1:$H$10,3,)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C26" s="3661"/>
      <c r="D26" s="3661"/>
      <c r="E26" s="3661"/>
      <c r="F26" s="3661"/>
      <c r="G26" s="3661"/>
      <c r="H26" s="3661"/>
      <c r="I26" s="3661"/>
      <c r="J26" s="3661"/>
    </row>
    <row r="27" spans="1:16">
      <c r="B27" s="3661"/>
      <c r="C27" s="3661"/>
      <c r="D27" s="3661"/>
      <c r="E27" s="3661"/>
      <c r="F27" s="3661"/>
      <c r="G27" s="3661"/>
      <c r="H27" s="3661"/>
      <c r="I27" s="3661"/>
      <c r="J27" s="3661"/>
    </row>
    <row r="28" spans="1:16">
      <c r="B28" s="3661"/>
      <c r="C28" s="3661"/>
      <c r="D28" s="3661"/>
      <c r="E28" s="3661"/>
      <c r="F28" s="3661"/>
      <c r="G28" s="3661"/>
      <c r="H28" s="3661"/>
      <c r="I28" s="3661"/>
      <c r="J28" s="3661"/>
    </row>
    <row r="29" spans="1:16">
      <c r="B29" s="3661"/>
      <c r="C29" s="3661"/>
      <c r="D29" s="3661"/>
      <c r="E29" s="3661"/>
      <c r="F29" s="3661"/>
      <c r="G29" s="3661"/>
      <c r="H29" s="3661"/>
      <c r="I29" s="3661"/>
      <c r="J29" s="3661"/>
    </row>
    <row r="30" spans="1:16">
      <c r="B30" s="3661"/>
      <c r="C30" s="3661"/>
      <c r="D30" s="3661"/>
      <c r="E30" s="3661"/>
      <c r="F30" s="3661"/>
      <c r="G30" s="3661"/>
      <c r="H30" s="3661"/>
      <c r="I30" s="3661"/>
      <c r="J30" s="3661"/>
    </row>
    <row r="31" spans="1:16">
      <c r="B31" s="3661" t="str">
        <f>HLOOKUP(select,translations!$B$1:$H$10,4,)</f>
        <v>The choices of calculation made in this tool are those of the author(s) and do not necessarily reflect the views  and choices of the Food and Agriculture Organization of the United Nations.</v>
      </c>
      <c r="C31" s="3661"/>
      <c r="D31" s="3661"/>
      <c r="E31" s="3661"/>
      <c r="F31" s="3661"/>
      <c r="G31" s="3661"/>
      <c r="H31" s="3661"/>
      <c r="I31" s="3661"/>
      <c r="J31" s="3661"/>
    </row>
    <row r="32" spans="1:16">
      <c r="B32" s="3661"/>
      <c r="C32" s="3661"/>
      <c r="D32" s="3661"/>
      <c r="E32" s="3661"/>
      <c r="F32" s="3661"/>
      <c r="G32" s="3661"/>
      <c r="H32" s="3661"/>
      <c r="I32" s="3661"/>
      <c r="J32" s="3661"/>
    </row>
    <row r="33" spans="2:10">
      <c r="B33" s="2570"/>
      <c r="C33" s="2570"/>
      <c r="D33" s="2570"/>
      <c r="E33" s="2570"/>
      <c r="F33" s="2570"/>
      <c r="G33" s="2570"/>
      <c r="H33" s="2570"/>
      <c r="I33" s="2570"/>
    </row>
    <row r="34" spans="2:10">
      <c r="B34" s="2570"/>
      <c r="C34" s="2570"/>
      <c r="D34" s="2570"/>
      <c r="E34" s="2570"/>
      <c r="F34" s="2570"/>
      <c r="G34" s="2570"/>
      <c r="H34" s="2570"/>
      <c r="I34" s="2570"/>
    </row>
    <row r="35" spans="2:10">
      <c r="D35" s="1635"/>
      <c r="E35" s="1635"/>
      <c r="F35" s="1635"/>
      <c r="G35" s="1635"/>
    </row>
    <row r="36" spans="2:10">
      <c r="D36" s="1635"/>
      <c r="E36" s="1635"/>
      <c r="F36" s="1635"/>
      <c r="G36" s="1635"/>
    </row>
    <row r="41" spans="2:10" ht="12.75" customHeight="1">
      <c r="B41" s="3660" t="str">
        <f>HLOOKUP(select,translations!$B$1:$H$10,6,)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C41" s="3661"/>
      <c r="D41" s="3661"/>
      <c r="E41" s="3661"/>
      <c r="F41" s="3661"/>
      <c r="G41" s="3661"/>
      <c r="H41" s="3661"/>
      <c r="I41" s="3661"/>
      <c r="J41" s="3661"/>
    </row>
    <row r="42" spans="2:10">
      <c r="B42" s="3661"/>
      <c r="C42" s="3661"/>
      <c r="D42" s="3661"/>
      <c r="E42" s="3661"/>
      <c r="F42" s="3661"/>
      <c r="G42" s="3661"/>
      <c r="H42" s="3661"/>
      <c r="I42" s="3661"/>
      <c r="J42" s="3661"/>
    </row>
    <row r="43" spans="2:10">
      <c r="B43" s="3661"/>
      <c r="C43" s="3661"/>
      <c r="D43" s="3661"/>
      <c r="E43" s="3661"/>
      <c r="F43" s="3661"/>
      <c r="G43" s="3661"/>
      <c r="H43" s="3661"/>
      <c r="I43" s="3661"/>
      <c r="J43" s="3661"/>
    </row>
    <row r="44" spans="2:10">
      <c r="B44" s="3661"/>
      <c r="C44" s="3661"/>
      <c r="D44" s="3661"/>
      <c r="E44" s="3661"/>
      <c r="F44" s="3661"/>
      <c r="G44" s="3661"/>
      <c r="H44" s="3661"/>
      <c r="I44" s="3661"/>
      <c r="J44" s="3661"/>
    </row>
    <row r="45" spans="2:10">
      <c r="B45" s="3661"/>
      <c r="C45" s="3661"/>
      <c r="D45" s="3661"/>
      <c r="E45" s="3661"/>
      <c r="F45" s="3661"/>
      <c r="G45" s="3661"/>
      <c r="H45" s="3661"/>
      <c r="I45" s="3661"/>
      <c r="J45" s="3661"/>
    </row>
    <row r="46" spans="2:10">
      <c r="B46" s="3661"/>
      <c r="C46" s="3661"/>
      <c r="D46" s="3661"/>
      <c r="E46" s="3661"/>
      <c r="F46" s="3661"/>
      <c r="G46" s="3661"/>
      <c r="H46" s="3661"/>
      <c r="I46" s="3661"/>
      <c r="J46" s="3661"/>
    </row>
    <row r="47" spans="2:10">
      <c r="B47" s="3661"/>
      <c r="C47" s="3661"/>
      <c r="D47" s="3661"/>
      <c r="E47" s="3661"/>
      <c r="F47" s="3661"/>
      <c r="G47" s="3661"/>
      <c r="H47" s="3661"/>
      <c r="I47" s="3661"/>
      <c r="J47" s="3661"/>
    </row>
    <row r="48" spans="2:10">
      <c r="B48" s="3661"/>
      <c r="C48" s="3661"/>
      <c r="D48" s="3661"/>
      <c r="E48" s="3661"/>
      <c r="F48" s="3661"/>
      <c r="G48" s="3661"/>
      <c r="H48" s="3661"/>
      <c r="I48" s="3661"/>
      <c r="J48" s="3661"/>
    </row>
    <row r="49" spans="2:10">
      <c r="B49" s="3661"/>
      <c r="C49" s="3661"/>
      <c r="D49" s="3661"/>
      <c r="E49" s="3661"/>
      <c r="F49" s="3661"/>
      <c r="G49" s="3661"/>
      <c r="H49" s="3661"/>
      <c r="I49" s="3661"/>
      <c r="J49" s="3661"/>
    </row>
    <row r="50" spans="2:10">
      <c r="B50" s="3661"/>
      <c r="C50" s="3661"/>
      <c r="D50" s="3661"/>
      <c r="E50" s="3661"/>
      <c r="F50" s="3661"/>
      <c r="G50" s="3661"/>
      <c r="H50" s="3661"/>
      <c r="I50" s="3661"/>
      <c r="J50" s="3661"/>
    </row>
    <row r="51" spans="2:10">
      <c r="B51" s="3656" t="str">
        <f>IF(ISBLANK(HLOOKUP(select,translations!$B$624:$H$650,26,)),"",HLOOKUP(select,translations!$B$624:$H$650,26,))</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C51" s="3656"/>
      <c r="D51" s="3656"/>
      <c r="E51" s="3656"/>
      <c r="F51" s="3656"/>
      <c r="G51" s="3656"/>
      <c r="H51" s="3656"/>
      <c r="I51" s="3656"/>
      <c r="J51" s="3656"/>
    </row>
    <row r="52" spans="2:10">
      <c r="B52" s="3656"/>
      <c r="C52" s="3656"/>
      <c r="D52" s="3656"/>
      <c r="E52" s="3656"/>
      <c r="F52" s="3656"/>
      <c r="G52" s="3656"/>
      <c r="H52" s="3656"/>
      <c r="I52" s="3656"/>
      <c r="J52" s="3656"/>
    </row>
    <row r="53" spans="2:10">
      <c r="B53" s="3656"/>
      <c r="C53" s="3656"/>
      <c r="D53" s="3656"/>
      <c r="E53" s="3656"/>
      <c r="F53" s="3656"/>
      <c r="G53" s="3656"/>
      <c r="H53" s="3656"/>
      <c r="I53" s="3656"/>
      <c r="J53" s="3656"/>
    </row>
    <row r="54" spans="2:10">
      <c r="B54" s="3656"/>
      <c r="C54" s="3656"/>
      <c r="D54" s="3656"/>
      <c r="E54" s="3656"/>
      <c r="F54" s="3656"/>
      <c r="G54" s="3656"/>
      <c r="H54" s="3656"/>
      <c r="I54" s="3656"/>
      <c r="J54" s="3656"/>
    </row>
  </sheetData>
  <sheetProtection algorithmName="SHA-512" hashValue="Ljc7bO3wkIOWlvM9f4XNgXi8hWHsHEm/Ldn620oS6xXEuMayLvI9FFpvMyRv01iA3YE6IDWMu0vX7oCQIM5FNQ==" saltValue="gxlMQxDShPJXxECfuWSjhA==" spinCount="100000" sheet="1" objects="1" scenarios="1" formatCells="0" formatColumns="0"/>
  <mergeCells count="13">
    <mergeCell ref="B51:J54"/>
    <mergeCell ref="I8:J11"/>
    <mergeCell ref="D11:G12"/>
    <mergeCell ref="M16:O16"/>
    <mergeCell ref="B41:J50"/>
    <mergeCell ref="B16:J16"/>
    <mergeCell ref="B13:J13"/>
    <mergeCell ref="B14:J14"/>
    <mergeCell ref="B31:J32"/>
    <mergeCell ref="B26:J30"/>
    <mergeCell ref="M14:O14"/>
    <mergeCell ref="L13:P13"/>
    <mergeCell ref="L15:P15"/>
  </mergeCells>
  <phoneticPr fontId="11" type="noConversion"/>
  <dataValidations count="2">
    <dataValidation type="list" allowBlank="1" showInputMessage="1" showErrorMessage="1" sqref="M14">
      <formula1>Select_lang</formula1>
    </dataValidation>
    <dataValidation type="list" allowBlank="1" showInputMessage="1" showErrorMessage="1" sqref="M16:O16">
      <formula1>Langs</formula1>
    </dataValidation>
  </dataValidations>
  <pageMargins left="0.78740157499999996" right="0.78740157499999996" top="0.984251969" bottom="0.984251969" header="0.4921259845" footer="0.4921259845"/>
  <pageSetup paperSize="9" orientation="landscape" horizontalDpi="1200" verticalDpi="12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65687D5-AFD1-49E1-8CD1-34B44DABD1C2}">
            <xm:f>($M$14=List!$I$13)</xm:f>
            <x14:dxf>
              <font>
                <color rgb="FFFFFF66"/>
              </font>
            </x14:dxf>
          </x14:cfRule>
          <xm:sqref>L15</xm:sqref>
        </x14:conditionalFormatting>
        <x14:conditionalFormatting xmlns:xm="http://schemas.microsoft.com/office/excel/2006/main">
          <x14:cfRule type="expression" priority="2" id="{8A8361C6-D471-41B4-B55F-7CE779D534F2}">
            <xm:f>($M$14=List!$I$13)</xm:f>
            <x14:dxf>
              <font>
                <color theme="7" tint="-0.24994659260841701"/>
              </font>
              <fill>
                <patternFill>
                  <bgColor theme="8" tint="0.59996337778862885"/>
                </patternFill>
              </fill>
            </x14:dxf>
          </x14:cfRule>
          <xm:sqref>M16:O16</xm:sqref>
        </x14:conditionalFormatting>
        <x14:conditionalFormatting xmlns:xm="http://schemas.microsoft.com/office/excel/2006/main">
          <x14:cfRule type="expression" priority="1" id="{5294D5CA-1551-4B2A-AF2A-364D66356E8E}">
            <xm:f>($M$14=List!$I$13)</xm:f>
            <x14:dxf>
              <fill>
                <patternFill>
                  <bgColor theme="2" tint="-0.499984740745262"/>
                </patternFill>
              </fill>
            </x14:dxf>
          </x14:cfRule>
          <xm:sqref>L16 P16 L17:P18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3"/>
    <pageSetUpPr fitToPage="1"/>
  </sheetPr>
  <dimension ref="A1:BD56"/>
  <sheetViews>
    <sheetView zoomScale="115" zoomScaleNormal="115" workbookViewId="0">
      <selection activeCell="S19" sqref="S19"/>
    </sheetView>
  </sheetViews>
  <sheetFormatPr defaultColWidth="9.5703125" defaultRowHeight="12.75"/>
  <cols>
    <col min="1" max="1" width="3.85546875" style="1" customWidth="1"/>
    <col min="2" max="2" width="21" style="1" customWidth="1"/>
    <col min="3" max="3" width="17.85546875" style="1" customWidth="1"/>
    <col min="4" max="4" width="9.28515625" style="9" customWidth="1"/>
    <col min="5" max="5" width="7" style="9" customWidth="1"/>
    <col min="6" max="6" width="9.5703125" style="1" customWidth="1"/>
    <col min="7" max="7" width="8.5703125" style="1" customWidth="1"/>
    <col min="8" max="8" width="14.85546875" style="1" customWidth="1"/>
    <col min="9" max="9" width="9.28515625" style="1" customWidth="1"/>
    <col min="10" max="10" width="8.85546875" style="1" customWidth="1"/>
    <col min="11" max="11" width="9.28515625" style="1" customWidth="1"/>
    <col min="12" max="12" width="9.140625" style="1" customWidth="1"/>
    <col min="13" max="14" width="9.28515625" style="1" customWidth="1"/>
    <col min="15" max="15" width="10.140625" style="1" customWidth="1"/>
    <col min="16" max="16" width="10.5703125" style="1" customWidth="1"/>
    <col min="17" max="17" width="10.28515625" style="1" customWidth="1"/>
    <col min="18" max="18" width="15.5703125" style="1" customWidth="1"/>
    <col min="19" max="19" width="11.28515625" style="9" customWidth="1"/>
    <col min="20" max="20" width="11" style="9" customWidth="1"/>
    <col min="21" max="21" width="10" style="55" customWidth="1"/>
    <col min="22" max="22" width="9.5703125" style="1" customWidth="1"/>
    <col min="23" max="23" width="13" style="1" customWidth="1"/>
    <col min="24" max="26" width="9.5703125" style="1" customWidth="1"/>
    <col min="27" max="52" width="9.5703125" style="1901" customWidth="1"/>
    <col min="53" max="56" width="9.5703125" style="1105" customWidth="1"/>
    <col min="57" max="16384" width="9.5703125" style="1"/>
  </cols>
  <sheetData>
    <row r="1" spans="1:56" s="1636" customFormat="1" ht="22.9" customHeight="1">
      <c r="D1" s="1637"/>
      <c r="E1" s="1637"/>
      <c r="S1" s="1637"/>
      <c r="T1" s="1637"/>
      <c r="U1" s="1682"/>
      <c r="AA1" s="1874"/>
      <c r="AB1" s="1874"/>
      <c r="AC1" s="1874"/>
      <c r="AD1" s="1874"/>
      <c r="AE1" s="1874"/>
      <c r="AF1" s="1874"/>
      <c r="AG1" s="1874"/>
      <c r="AH1" s="1874"/>
      <c r="AI1" s="1874"/>
      <c r="AJ1" s="1874"/>
      <c r="AK1" s="1874"/>
      <c r="AL1" s="1874"/>
      <c r="AM1" s="1874"/>
      <c r="AN1" s="1874"/>
      <c r="AO1" s="1874"/>
      <c r="AP1" s="1874"/>
      <c r="AQ1" s="1874"/>
      <c r="AR1" s="1874"/>
      <c r="AS1" s="1874"/>
      <c r="AT1" s="1874"/>
      <c r="AU1" s="1874"/>
      <c r="AV1" s="1874"/>
      <c r="AW1" s="1874"/>
      <c r="AX1" s="1874"/>
      <c r="AY1" s="1874"/>
      <c r="AZ1" s="1874"/>
      <c r="BA1" s="1669"/>
      <c r="BB1" s="1669"/>
      <c r="BC1" s="1669"/>
      <c r="BD1" s="1669"/>
    </row>
    <row r="2" spans="1:56" s="1636" customFormat="1" ht="22.9" customHeight="1">
      <c r="D2" s="1637"/>
      <c r="E2" s="1637"/>
      <c r="S2" s="1637"/>
      <c r="T2" s="1637"/>
      <c r="U2" s="1682"/>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874"/>
      <c r="AZ2" s="1874"/>
      <c r="BA2" s="1669"/>
      <c r="BB2" s="1669"/>
      <c r="BC2" s="1669"/>
      <c r="BD2" s="1669"/>
    </row>
    <row r="3" spans="1:56" s="1636" customFormat="1" ht="22.9" customHeight="1">
      <c r="D3" s="1637"/>
      <c r="E3" s="1637"/>
      <c r="S3" s="1637"/>
      <c r="T3" s="1637"/>
      <c r="U3" s="1682"/>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874"/>
      <c r="AZ3" s="1874"/>
      <c r="BA3" s="1669"/>
      <c r="BB3" s="1669"/>
      <c r="BC3" s="1669"/>
      <c r="BD3" s="1669"/>
    </row>
    <row r="4" spans="1:56" s="1636" customFormat="1" ht="22.9" customHeight="1">
      <c r="D4" s="1637"/>
      <c r="E4" s="1637"/>
      <c r="S4" s="1637"/>
      <c r="T4" s="1637"/>
      <c r="U4" s="1682"/>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669"/>
      <c r="BB4" s="1669"/>
      <c r="BC4" s="1669"/>
      <c r="BD4" s="1669"/>
    </row>
    <row r="5" spans="1:56" s="1683" customFormat="1" ht="22.9" customHeight="1">
      <c r="A5" s="1683" t="s">
        <v>473</v>
      </c>
      <c r="D5" s="1684"/>
      <c r="E5" s="1684"/>
      <c r="I5" s="3744" t="s">
        <v>470</v>
      </c>
      <c r="J5" s="3744"/>
      <c r="S5" s="1684"/>
      <c r="T5" s="1684"/>
      <c r="U5" s="1685"/>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1686"/>
      <c r="BB5" s="1686"/>
      <c r="BC5" s="1686"/>
      <c r="BD5" s="1686"/>
    </row>
    <row r="7" spans="1:56">
      <c r="B7" s="256" t="s">
        <v>138</v>
      </c>
      <c r="C7" s="256"/>
      <c r="D7" s="257"/>
      <c r="E7" s="257"/>
      <c r="F7" s="258"/>
      <c r="G7" s="258"/>
      <c r="H7" s="258"/>
      <c r="I7" s="258"/>
      <c r="J7" s="258"/>
      <c r="K7" s="258"/>
    </row>
    <row r="8" spans="1:56">
      <c r="B8" s="221"/>
      <c r="C8" s="135"/>
      <c r="D8" s="130" t="s">
        <v>644</v>
      </c>
      <c r="E8" s="216" t="s">
        <v>614</v>
      </c>
      <c r="F8" s="216"/>
      <c r="G8" s="216"/>
      <c r="H8" s="216"/>
      <c r="I8" s="216"/>
      <c r="J8" s="216"/>
      <c r="K8" s="135"/>
      <c r="L8" s="230" t="s">
        <v>678</v>
      </c>
      <c r="M8" s="216"/>
      <c r="N8" s="216"/>
      <c r="O8" s="216"/>
      <c r="P8" s="216"/>
      <c r="Q8" s="131"/>
      <c r="R8" s="1177" t="s">
        <v>99</v>
      </c>
      <c r="S8" s="1176" t="s">
        <v>647</v>
      </c>
      <c r="T8" s="217"/>
      <c r="U8" s="221" t="s">
        <v>694</v>
      </c>
      <c r="V8" s="49" t="s">
        <v>1309</v>
      </c>
    </row>
    <row r="9" spans="1:56">
      <c r="B9" s="171"/>
      <c r="C9" s="13"/>
      <c r="D9" s="127" t="s">
        <v>645</v>
      </c>
      <c r="E9" s="3735" t="s">
        <v>622</v>
      </c>
      <c r="F9" s="3735"/>
      <c r="G9" s="3735"/>
      <c r="H9" s="13"/>
      <c r="I9" s="13" t="s">
        <v>623</v>
      </c>
      <c r="J9" s="13"/>
      <c r="K9" s="13"/>
      <c r="L9" s="113"/>
      <c r="M9" s="13"/>
      <c r="N9" s="13"/>
      <c r="O9" s="13"/>
      <c r="P9" s="13"/>
      <c r="Q9" s="31" t="s">
        <v>642</v>
      </c>
      <c r="R9" s="1018" t="s">
        <v>888</v>
      </c>
      <c r="S9" s="127" t="s">
        <v>648</v>
      </c>
      <c r="T9" s="218" t="s">
        <v>648</v>
      </c>
      <c r="U9" s="171" t="s">
        <v>695</v>
      </c>
      <c r="AI9" s="1872" t="s">
        <v>63</v>
      </c>
      <c r="AL9" s="2410"/>
      <c r="AM9" s="2410"/>
      <c r="AP9" s="1902"/>
    </row>
    <row r="10" spans="1:56" ht="13.5" thickBot="1">
      <c r="B10" s="171"/>
      <c r="C10" s="13" t="s">
        <v>670</v>
      </c>
      <c r="D10" s="127" t="s">
        <v>646</v>
      </c>
      <c r="E10" s="13"/>
      <c r="F10" s="13"/>
      <c r="G10" s="13"/>
      <c r="H10" s="13"/>
      <c r="I10" s="222" t="s">
        <v>651</v>
      </c>
      <c r="J10" s="13"/>
      <c r="K10" s="13"/>
      <c r="L10" s="113"/>
      <c r="M10" s="13"/>
      <c r="N10" s="13"/>
      <c r="O10" s="13"/>
      <c r="P10" s="13"/>
      <c r="Q10" s="31" t="s">
        <v>536</v>
      </c>
      <c r="R10" s="1018" t="s">
        <v>889</v>
      </c>
      <c r="S10" s="127" t="s">
        <v>649</v>
      </c>
      <c r="T10" s="218" t="s">
        <v>650</v>
      </c>
      <c r="U10" s="171" t="s">
        <v>656</v>
      </c>
      <c r="AI10" s="2420" t="s">
        <v>53</v>
      </c>
      <c r="AL10" s="2413"/>
      <c r="AM10" s="2413"/>
      <c r="AN10" s="2413"/>
      <c r="AO10" s="1914"/>
      <c r="AP10" s="1914"/>
    </row>
    <row r="11" spans="1:56" ht="13.5" thickBot="1">
      <c r="B11" s="18" t="s">
        <v>1139</v>
      </c>
      <c r="C11" s="922" t="s">
        <v>1096</v>
      </c>
      <c r="D11" s="1808">
        <f>'3.Cropland'!E75</f>
        <v>150</v>
      </c>
      <c r="E11" s="1856" t="str">
        <f>'3.Cropland'!F75</f>
        <v>Please select water regime</v>
      </c>
      <c r="F11" s="1856"/>
      <c r="G11" s="1856"/>
      <c r="H11" s="1856" t="str">
        <f>'3.Cropland'!I75</f>
        <v>Please select preseason water regime</v>
      </c>
      <c r="I11" s="1857"/>
      <c r="J11" s="1856"/>
      <c r="K11" s="1857"/>
      <c r="L11" s="1856" t="str">
        <f>'3.Cropland'!O75</f>
        <v>Please select type of Organic Amendment</v>
      </c>
      <c r="M11" s="1856"/>
      <c r="N11" s="1856"/>
      <c r="O11" s="1856"/>
      <c r="P11" s="1856"/>
      <c r="Q11" s="2219">
        <f>IF('3.Cropland'!K234="",'3.Cropland'!J234,'3.Cropland'!K234)</f>
        <v>5.5</v>
      </c>
      <c r="R11" s="2225">
        <f>IF('3.Cropland'!G234="",'3.Cropland'!F234,'3.Cropland'!G234)</f>
        <v>0</v>
      </c>
      <c r="S11" s="2908">
        <f>IF('3.Cropland'!U254&lt;&gt;"",'3.Cropland'!U254,'3.Cropland'!T254)</f>
        <v>0</v>
      </c>
      <c r="T11" s="1178">
        <f t="shared" ref="T11:T24" si="0">$D11*S11</f>
        <v>0</v>
      </c>
      <c r="U11" s="1179">
        <f>IF($L11="straw Burnt",$Q11*$W$14*($X$14*methane+$Y$14*Nitrous)/1000,0)</f>
        <v>0</v>
      </c>
      <c r="V11" s="1865">
        <f>'3.Cropland'!T75</f>
        <v>0</v>
      </c>
      <c r="W11" s="129" t="s">
        <v>523</v>
      </c>
      <c r="X11" s="57"/>
      <c r="Y11" s="56"/>
      <c r="AE11" s="1901" t="s">
        <v>64</v>
      </c>
      <c r="AG11" s="1901" t="s">
        <v>65</v>
      </c>
      <c r="AH11" s="1902"/>
      <c r="AI11" s="1872" t="s">
        <v>103</v>
      </c>
      <c r="AJ11" s="1902"/>
      <c r="AK11" s="2413" t="s">
        <v>332</v>
      </c>
      <c r="AL11" s="2413"/>
      <c r="AM11" s="1901" t="s">
        <v>64</v>
      </c>
      <c r="AO11" s="1901" t="s">
        <v>65</v>
      </c>
      <c r="AP11" s="1914"/>
    </row>
    <row r="12" spans="1:56" ht="13.5" thickBot="1">
      <c r="B12" s="18" t="s">
        <v>1140</v>
      </c>
      <c r="C12" s="922" t="s">
        <v>1148</v>
      </c>
      <c r="D12" s="1808">
        <f>'3.Cropland'!E76</f>
        <v>150</v>
      </c>
      <c r="E12" s="1856" t="str">
        <f>'3.Cropland'!F76</f>
        <v>Please select water regime</v>
      </c>
      <c r="F12" s="1856"/>
      <c r="G12" s="1856"/>
      <c r="H12" s="1856" t="str">
        <f>'3.Cropland'!I76</f>
        <v>Please select preseason water regime</v>
      </c>
      <c r="I12" s="1857"/>
      <c r="J12" s="1856"/>
      <c r="K12" s="1857"/>
      <c r="L12" s="1856" t="str">
        <f>'3.Cropland'!O76</f>
        <v>Please select type of Organic Amendment</v>
      </c>
      <c r="M12" s="1856"/>
      <c r="N12" s="1856"/>
      <c r="O12" s="1856"/>
      <c r="P12" s="1856"/>
      <c r="Q12" s="2219">
        <f>IF('3.Cropland'!K235="",'3.Cropland'!J235,'3.Cropland'!K235)</f>
        <v>5.5</v>
      </c>
      <c r="R12" s="2225">
        <f>IF('3.Cropland'!G235="",'3.Cropland'!F235,'3.Cropland'!G235)</f>
        <v>0</v>
      </c>
      <c r="S12" s="2908">
        <f>IF('3.Cropland'!U255&lt;&gt;"",'3.Cropland'!U255,'3.Cropland'!T255)</f>
        <v>0</v>
      </c>
      <c r="T12" s="1178">
        <f>$D12*S12</f>
        <v>0</v>
      </c>
      <c r="U12" s="1179">
        <f t="shared" ref="U12:U24" si="1">IF($L12="straw Burnt",$Q12*$W$14*($X$14*methane+$Y$14*Nitrous)/1000,0)</f>
        <v>0</v>
      </c>
      <c r="V12" s="1865">
        <f>'3.Cropland'!T76</f>
        <v>0</v>
      </c>
      <c r="W12" s="126" t="s">
        <v>522</v>
      </c>
      <c r="X12" s="57" t="s">
        <v>332</v>
      </c>
      <c r="Y12" s="56" t="s">
        <v>333</v>
      </c>
      <c r="AE12" s="1902" t="s">
        <v>49</v>
      </c>
      <c r="AF12" s="1902" t="s">
        <v>675</v>
      </c>
      <c r="AG12" s="1902" t="s">
        <v>50</v>
      </c>
      <c r="AH12" s="1902" t="s">
        <v>675</v>
      </c>
      <c r="AI12" s="1902" t="s">
        <v>50</v>
      </c>
      <c r="AJ12" s="1902" t="s">
        <v>675</v>
      </c>
      <c r="AK12" s="2413" t="s">
        <v>674</v>
      </c>
      <c r="AL12" s="2413" t="s">
        <v>675</v>
      </c>
      <c r="AM12" s="2413" t="s">
        <v>54</v>
      </c>
      <c r="AN12" s="2413" t="s">
        <v>675</v>
      </c>
      <c r="AO12" s="1914" t="s">
        <v>49</v>
      </c>
      <c r="AP12" s="1914" t="s">
        <v>675</v>
      </c>
    </row>
    <row r="13" spans="1:56" ht="13.5" thickBot="1">
      <c r="B13" s="18" t="s">
        <v>1233</v>
      </c>
      <c r="C13" s="1180" t="s">
        <v>1230</v>
      </c>
      <c r="D13" s="1808">
        <f>'3.Cropland'!E77</f>
        <v>150</v>
      </c>
      <c r="E13" s="1856" t="str">
        <f>'3.Cropland'!F77</f>
        <v>Please select water regime</v>
      </c>
      <c r="F13" s="1856"/>
      <c r="G13" s="1856"/>
      <c r="H13" s="1856" t="str">
        <f>'3.Cropland'!I77</f>
        <v>Please select preseason water regime</v>
      </c>
      <c r="I13" s="1857"/>
      <c r="J13" s="1856"/>
      <c r="K13" s="1857"/>
      <c r="L13" s="1856" t="str">
        <f>'3.Cropland'!O77</f>
        <v>Please select type of Organic Amendment</v>
      </c>
      <c r="M13" s="1856"/>
      <c r="N13" s="1856"/>
      <c r="O13" s="1856"/>
      <c r="P13" s="1856"/>
      <c r="Q13" s="2219">
        <f>IF('3.Cropland'!K236="",'3.Cropland'!J236,'3.Cropland'!K236)</f>
        <v>5.5</v>
      </c>
      <c r="R13" s="2225">
        <f>IF('3.Cropland'!G236="",'3.Cropland'!F236,'3.Cropland'!G236)</f>
        <v>0</v>
      </c>
      <c r="S13" s="2908">
        <f>IF('3.Cropland'!U256&lt;&gt;"",'3.Cropland'!U256,'3.Cropland'!T256)</f>
        <v>0</v>
      </c>
      <c r="T13" s="1178">
        <f t="shared" si="0"/>
        <v>0</v>
      </c>
      <c r="U13" s="1179">
        <f t="shared" si="1"/>
        <v>0</v>
      </c>
      <c r="V13" s="1865">
        <f>'3.Cropland'!T77</f>
        <v>0</v>
      </c>
      <c r="W13" s="126" t="s">
        <v>524</v>
      </c>
      <c r="X13" s="128" t="s">
        <v>525</v>
      </c>
      <c r="Y13" s="203"/>
      <c r="AE13" s="1914">
        <f>(MIN(C32,D32)*time_tot+ABS(D32-C32)*IF(D32&gt;C32,time2+time*(VLOOKUP(E32,List!$E$35:$F$37,2,)),time*(1-(VLOOKUP(E32,List!$E$35:$F$37,2,)))))*IF($L11="straw Burnt",$Q11*$W$14*($X$14*methane)/1000,0)</f>
        <v>0</v>
      </c>
      <c r="AF13" s="1914">
        <f>(MIN(C32,F32)*time_tot+ABS(F32-C32)*IF(F32&gt;C32,time2+time*(VLOOKUP(G32,List!$E$35:$F$37,2,)),time*(1-(VLOOKUP(G32,List!$E$35:$F$37,2,)))))*IF($L11="straw Burnt",$Q11*$W$14*($X$14*methane)/1000,0)</f>
        <v>0</v>
      </c>
      <c r="AG13" s="1914">
        <f>(MIN(C32,D32)*time_tot+ABS(D32-C32)*IF(D32&gt;C32,time2+time*(VLOOKUP(E32,List!$E$35:$F$37,2,)),time*(1-(VLOOKUP(E32,List!$E$35:$F$37,2,)))))*IF($L11="straw Burnt",$Q11*$W$14*($Y$14*Nitrous)/1000,0)</f>
        <v>0</v>
      </c>
      <c r="AH13" s="1914">
        <f>(MIN(C32,F32)*time_tot+ABS(F32-C32)*IF(F32&gt;C32,time2+time*(VLOOKUP(G32,List!$E$35:$F$37,2,)),time*(1-(VLOOKUP(G32,List!$E$35:$F$37,2,)))))*IF($L11="straw Burnt",$Q11*$W$14*($Y$14*Nitrous)/1000,0)</f>
        <v>0</v>
      </c>
      <c r="AI13" s="1914">
        <f>-$R11*((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J13" s="1914">
        <f>-$R11*((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K13" s="2413">
        <f>(MIN(C32,D32)*time+ABS(D32-C32)*IF(D32&gt;C32,time*(VLOOKUP(E32,List!$E$35:$F$37,2,)),time*(1-(VLOOKUP(E32,List!$E$35:$F$37,2,)))))*$T11*methane/1000</f>
        <v>0</v>
      </c>
      <c r="AL13" s="2413">
        <f>(MIN(C32,F32)*time+ABS(F32-C32)*IF(F32&gt;C32,time*(VLOOKUP(G32,List!$E$35:$F$37,2,)),time*(1-(VLOOKUP(G32,List!$E$35:$F$37,2,)))))*$T11*methane/1000</f>
        <v>0</v>
      </c>
      <c r="AM13" s="1914">
        <f>(MIN(C32,D32)*time+ABS(D32-C32)*IF(D32&gt;C32,time*(VLOOKUP(E32,List!$E$35:$F$37,2,)),time*(1-(VLOOKUP(E32,List!$E$35:$F$37,2,)))))*IF($L11="straw Burnt",$Q11*$W$14*($X$14*methane)/1000,0)</f>
        <v>0</v>
      </c>
      <c r="AN13" s="1914">
        <f>(MIN(C32,F32)*time+ABS(F32-C32)*IF(F32&gt;C32,time*(VLOOKUP(G32,List!$E$35:$F$37,2,)),time*(1-(VLOOKUP(G32,List!$E$35:$F$37,2,)))))*IF($L11="straw Burnt",$Q11*$W$14*($X$14*methane)/1000,0)</f>
        <v>0</v>
      </c>
      <c r="AO13" s="1914">
        <f>(MIN(C32,D32)*time+ABS(D32-C32)*IF(D32&gt;C32,time*(VLOOKUP(E32,List!$E$35:$F$37,2,)),time*(1-(VLOOKUP(E32,List!$E$35:$F$37,2,)))))*IF($L11="straw Burnt",$Q11*$W$14*($Y$14*Nitrous)/1000,0)</f>
        <v>0</v>
      </c>
      <c r="AP13" s="1914">
        <f>(MIN(C32,F32)*time+ABS(F32-C32)*IF(F32&gt;C32,time*(VLOOKUP(G32,List!$E$35:$F$37,2,)),time*(1-(VLOOKUP(G32,List!$E$35:$F$37,2,)))))*IF($L11="straw Burnt",$Q11*$W$14*($Y$14*Nitrous)/1000,0)</f>
        <v>0</v>
      </c>
      <c r="AQ13" s="1915" t="s">
        <v>23</v>
      </c>
      <c r="AR13" s="1915" t="s">
        <v>516</v>
      </c>
      <c r="AS13" s="1915" t="s">
        <v>35</v>
      </c>
      <c r="AT13" s="1915" t="s">
        <v>36</v>
      </c>
    </row>
    <row r="14" spans="1:56" ht="13.5" thickBot="1">
      <c r="B14" s="18" t="s">
        <v>1234</v>
      </c>
      <c r="C14" s="1180" t="s">
        <v>75</v>
      </c>
      <c r="D14" s="1808">
        <f>'3.Cropland'!E78</f>
        <v>150</v>
      </c>
      <c r="E14" s="1856" t="str">
        <f>'3.Cropland'!F78</f>
        <v>Please select water regime</v>
      </c>
      <c r="F14" s="1856"/>
      <c r="G14" s="1856"/>
      <c r="H14" s="1856" t="str">
        <f>'3.Cropland'!I78</f>
        <v>Please select preseason water regime</v>
      </c>
      <c r="I14" s="1857"/>
      <c r="J14" s="1856"/>
      <c r="K14" s="1857"/>
      <c r="L14" s="1856" t="str">
        <f>'3.Cropland'!O78</f>
        <v>Please select type of Organic Amendment</v>
      </c>
      <c r="M14" s="1856"/>
      <c r="N14" s="1856"/>
      <c r="O14" s="1856"/>
      <c r="P14" s="1856"/>
      <c r="Q14" s="2219">
        <f>IF('3.Cropland'!K237="",'3.Cropland'!J237,'3.Cropland'!K237)</f>
        <v>5.5</v>
      </c>
      <c r="R14" s="2225">
        <f>IF('3.Cropland'!G237="",'3.Cropland'!F237,'3.Cropland'!G237)</f>
        <v>0</v>
      </c>
      <c r="S14" s="2908">
        <f>IF('3.Cropland'!U257&lt;&gt;"",'3.Cropland'!U257,'3.Cropland'!T257)</f>
        <v>0</v>
      </c>
      <c r="T14" s="1178">
        <f t="shared" si="0"/>
        <v>0</v>
      </c>
      <c r="U14" s="1179">
        <f t="shared" si="1"/>
        <v>0</v>
      </c>
      <c r="V14" s="1865">
        <f>'3.Cropland'!T78</f>
        <v>0</v>
      </c>
      <c r="W14" s="129">
        <v>0.8</v>
      </c>
      <c r="X14" s="57">
        <v>2.7</v>
      </c>
      <c r="Y14" s="56">
        <v>7.0000000000000007E-2</v>
      </c>
      <c r="AE14" s="1914">
        <f>(MIN(C33,D33)*time_tot+ABS(D33-C33)*IF(D33&gt;C33,time2+time*(VLOOKUP(E33,List!$E$35:$F$37,2,)),time*(1-(VLOOKUP(E33,List!$E$35:$F$37,2,)))))*IF($L12="straw Burnt",$Q12*$W$14*($X$14*methane)/1000,0)</f>
        <v>0</v>
      </c>
      <c r="AF14" s="1914">
        <f>(MIN(C33,F33)*time_tot+ABS(F33-C33)*IF(F33&gt;C33,time2+time*(VLOOKUP(G33,List!$E$35:$F$37,2,)),time*(1-(VLOOKUP(G33,List!$E$35:$F$37,2,)))))*IF($L12="straw Burnt",$Q12*$W$14*($X$14*methane)/1000,0)</f>
        <v>0</v>
      </c>
      <c r="AG14" s="1914">
        <f>(MIN(C33,D33)*time_tot+ABS(D33-C33)*IF(D33&gt;C33,time2+time*(VLOOKUP(E33,List!$E$35:$F$37,2,)),time*(1-(VLOOKUP(E33,List!$E$35:$F$37,2,)))))*IF($L12="straw Burnt",$Q12*$W$14*($Y$14*Nitrous)/1000,0)</f>
        <v>0</v>
      </c>
      <c r="AH14" s="1914">
        <f>(MIN(C33,F33)*time_tot+ABS(F33-C33)*IF(F33&gt;C33,time2+time*(VLOOKUP(G33,List!$E$35:$F$37,2,)),time*(1-(VLOOKUP(G33,List!$E$35:$F$37,2,)))))*IF($L12="straw Burnt",$Q12*$W$14*($Y$14*Nitrous)/1000,0)</f>
        <v>0</v>
      </c>
      <c r="AI14" s="1914">
        <f>-$R12*((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J14" s="1914">
        <f>-$R12*((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K14" s="2413">
        <f>(MIN(C33,D33)*time+ABS(D33-C33)*IF(D33&gt;C33,time*(VLOOKUP(E33,List!$E$35:$F$37,2,)),time*(1-(VLOOKUP(E33,List!$E$35:$F$37,2,)))))*$T12*methane/1000</f>
        <v>0</v>
      </c>
      <c r="AL14" s="2413">
        <f>(MIN(C33,F33)*time+ABS(F33-C33)*IF(F33&gt;C33,time*(VLOOKUP(G33,List!$E$35:$F$37,2,)),time*(1-(VLOOKUP(G33,List!$E$35:$F$37,2,)))))*$T12*methane/1000</f>
        <v>0</v>
      </c>
      <c r="AM14" s="1914">
        <f>(MIN(C33,D33)*time+ABS(D33-C33)*IF(D33&gt;C33,time*(VLOOKUP(E33,List!$E$35:$F$37,2,)),time*(1-(VLOOKUP(E33,List!$E$35:$F$37,2,)))))*IF($L12="straw Burnt",$Q12*$W$14*($X$14*methane)/1000,0)</f>
        <v>0</v>
      </c>
      <c r="AN14" s="1914">
        <f>(MIN(C33,F33)*time+ABS(F33-C33)*IF(F33&gt;C33,time*(VLOOKUP(G33,List!$E$35:$F$37,2,)),time*(1-(VLOOKUP(G33,List!$E$35:$F$37,2,)))))*IF($L12="straw Burnt",$Q12*$W$14*($X$14*methane)/1000,0)</f>
        <v>0</v>
      </c>
      <c r="AO14" s="1914">
        <f>(MIN(C33,D33)*time+ABS(D33-C33)*IF(D33&gt;C33,time*(VLOOKUP(E33,List!$E$35:$F$37,2,)),time*(1-(VLOOKUP(E33,List!$E$35:$F$37,2,)))))*IF($L12="straw Burnt",$Q12*$W$14*($Y$14*Nitrous)/1000,0)</f>
        <v>0</v>
      </c>
      <c r="AP14" s="1914">
        <f>(MIN(C33,F33)*time+ABS(F33-C33)*IF(F33&gt;C33,time*(VLOOKUP(G33,List!$E$35:$F$37,2,)),time*(1-(VLOOKUP(G33,List!$E$35:$F$37,2,)))))*IF($L12="straw Burnt",$Q12*$W$14*($Y$14*Nitrous)/1000,0)</f>
        <v>0</v>
      </c>
      <c r="AQ14" s="1915" t="s">
        <v>24</v>
      </c>
      <c r="AR14" s="1915"/>
      <c r="AS14" s="1915"/>
      <c r="AT14" s="1915"/>
    </row>
    <row r="15" spans="1:56" ht="13.5" thickBot="1">
      <c r="B15" s="113" t="s">
        <v>608</v>
      </c>
      <c r="C15" s="757"/>
      <c r="D15" s="1855">
        <f>'3.Cropland'!E83</f>
        <v>150</v>
      </c>
      <c r="E15" s="1858" t="str">
        <f>'3.Cropland'!F83</f>
        <v>Please select water regime</v>
      </c>
      <c r="F15" s="1858"/>
      <c r="G15" s="1858"/>
      <c r="H15" s="1858" t="str">
        <f>'3.Cropland'!I83</f>
        <v>Please select preseason water regime</v>
      </c>
      <c r="I15" s="1858"/>
      <c r="J15" s="1858"/>
      <c r="K15" s="1858"/>
      <c r="L15" s="1859" t="str">
        <f>'3.Cropland'!O83</f>
        <v>Please select type of Organic Amendment</v>
      </c>
      <c r="M15" s="1859"/>
      <c r="N15" s="1859"/>
      <c r="O15" s="1859"/>
      <c r="P15" s="1859"/>
      <c r="Q15" s="2219">
        <f>IF('3.Cropland'!K239="",'3.Cropland'!J239,'3.Cropland'!K239)</f>
        <v>5.5</v>
      </c>
      <c r="R15" s="2225">
        <f>IF('3.Cropland'!G239="",'3.Cropland'!F239,'3.Cropland'!G239)</f>
        <v>0</v>
      </c>
      <c r="S15" s="2908">
        <f>IF('3.Cropland'!U259&lt;&gt;"",'3.Cropland'!U259,'3.Cropland'!T259)</f>
        <v>0</v>
      </c>
      <c r="T15" s="1187">
        <f>$D15*S15</f>
        <v>0</v>
      </c>
      <c r="U15" s="1188">
        <f>IF($L15="straw Burnt",$Q15*$W$14*($X$14*methane+$Y$14*Nitrous)/1000,0)</f>
        <v>0</v>
      </c>
      <c r="V15" s="1865">
        <f>'3.Cropland'!T83</f>
        <v>0</v>
      </c>
      <c r="AE15" s="1914">
        <f>(MIN(C34,D34)*time_tot+ABS(D34-C34)*IF(D34&gt;C34,time2+time*(VLOOKUP(E34,List!$E$35:$F$37,2,)),time*(1-(VLOOKUP(E34,List!$E$35:$F$37,2,)))))*IF($L13="straw Burnt",$Q13*$W$14*($X$14*methane)/1000,0)</f>
        <v>0</v>
      </c>
      <c r="AF15" s="1914">
        <f>(MIN(C34,F34)*time_tot+ABS(F34-C34)*IF(F34&gt;C34,time2+time*(VLOOKUP(G34,List!$E$35:$F$37,2,)),time*(1-(VLOOKUP(G34,List!$E$35:$F$37,2,)))))*IF($L13="straw Burnt",$Q13*$W$14*($X$14*methane)/1000,0)</f>
        <v>0</v>
      </c>
      <c r="AG15" s="1914">
        <f>(MIN(C34,D34)*time_tot+ABS(D34-C34)*IF(D34&gt;C34,time2+time*(VLOOKUP(E34,List!$E$35:$F$37,2,)),time*(1-(VLOOKUP(E34,List!$E$35:$F$37,2,)))))*IF($L13="straw Burnt",$Q13*$W$14*($Y$14*Nitrous)/1000,0)</f>
        <v>0</v>
      </c>
      <c r="AH15" s="1914">
        <f>(MIN(C34,F34)*time_tot+ABS(F34-C34)*IF(F34&gt;C34,time2+time*(VLOOKUP(G34,List!$E$35:$F$37,2,)),time*(1-(VLOOKUP(G34,List!$E$35:$F$37,2,)))))*IF($L13="straw Burnt",$Q13*$W$14*($Y$14*Nitrous)/1000,0)</f>
        <v>0</v>
      </c>
      <c r="AI15" s="1914">
        <f>-$R13*((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J15" s="1914">
        <f>-$R13*((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K15" s="2413">
        <f>(MIN(C34,D34)*time+ABS(D34-C34)*IF(D34&gt;C34,time*(VLOOKUP(E34,List!$E$35:$F$37,2,)),time*(1-(VLOOKUP(E34,List!$E$35:$F$37,2,)))))*$T13*methane/1000</f>
        <v>0</v>
      </c>
      <c r="AL15" s="2413">
        <f>(MIN(C34,F34)*time+ABS(F34-C34)*IF(F34&gt;C34,time*(VLOOKUP(G34,List!$E$35:$F$37,2,)),time*(1-(VLOOKUP(G34,List!$E$35:$F$37,2,)))))*$T13*methane/1000</f>
        <v>0</v>
      </c>
      <c r="AM15" s="1914">
        <f>(MIN(C34,D34)*time+ABS(D34-C34)*IF(D34&gt;C34,time*(VLOOKUP(E34,List!$E$35:$F$37,2,)),time*(1-(VLOOKUP(E34,List!$E$35:$F$37,2,)))))*IF($L13="straw Burnt",$Q13*$W$14*($X$14*methane)/1000,0)</f>
        <v>0</v>
      </c>
      <c r="AN15" s="1914">
        <f>(MIN(C34,F34)*time+ABS(F34-C34)*IF(F34&gt;C34,time*(VLOOKUP(G34,List!$E$35:$F$37,2,)),time*(1-(VLOOKUP(G34,List!$E$35:$F$37,2,)))))*IF($L13="straw Burnt",$Q13*$W$14*($X$14*methane)/1000,0)</f>
        <v>0</v>
      </c>
      <c r="AO15" s="1914">
        <f>(MIN(C34,D34)*time+ABS(D34-C34)*IF(D34&gt;C34,time*(VLOOKUP(E34,List!$E$35:$F$37,2,)),time*(1-(VLOOKUP(E34,List!$E$35:$F$37,2,)))))*IF($L13="straw Burnt",$Q13*$W$14*($Y$14*Nitrous)/1000,0)</f>
        <v>0</v>
      </c>
      <c r="AP15" s="1914">
        <f>(MIN(C34,F34)*time+ABS(F34-C34)*IF(F34&gt;C34,time*(VLOOKUP(G34,List!$E$35:$F$37,2,)),time*(1-(VLOOKUP(G34,List!$E$35:$F$37,2,)))))*IF($L13="straw Burnt",$Q13*$W$14*($Y$14*Nitrous)/1000,0)</f>
        <v>0</v>
      </c>
      <c r="AQ15" s="1915" t="s">
        <v>25</v>
      </c>
      <c r="AR15" s="1915">
        <f>SUM(I32:I45)-SUM(H32:H45)</f>
        <v>0</v>
      </c>
      <c r="AS15" s="1915">
        <f>SUM(AJ13:AJ26)-SUM(AI13:AI26)</f>
        <v>0</v>
      </c>
      <c r="AT15" s="1915">
        <f>AR15-AS15</f>
        <v>0</v>
      </c>
    </row>
    <row r="16" spans="1:56" ht="13.5" thickBot="1">
      <c r="B16" s="113" t="s">
        <v>609</v>
      </c>
      <c r="C16" s="757"/>
      <c r="D16" s="1855">
        <f>'3.Cropland'!E84</f>
        <v>150</v>
      </c>
      <c r="E16" s="1858" t="str">
        <f>'3.Cropland'!F84</f>
        <v>Please select water regime</v>
      </c>
      <c r="F16" s="1860"/>
      <c r="G16" s="1860"/>
      <c r="H16" s="1858" t="str">
        <f>'3.Cropland'!I84</f>
        <v>Please select preseason water regime</v>
      </c>
      <c r="I16" s="1860"/>
      <c r="J16" s="1860"/>
      <c r="K16" s="1860"/>
      <c r="L16" s="1859" t="str">
        <f>'3.Cropland'!O84</f>
        <v>Please select type of Organic Amendment</v>
      </c>
      <c r="M16" s="1861"/>
      <c r="N16" s="1861"/>
      <c r="O16" s="1861"/>
      <c r="P16" s="1861"/>
      <c r="Q16" s="2219">
        <f>IF('3.Cropland'!K240="",'3.Cropland'!J240,'3.Cropland'!K240)</f>
        <v>5.5</v>
      </c>
      <c r="R16" s="2225">
        <f>IF('3.Cropland'!G240="",'3.Cropland'!F240,'3.Cropland'!G240)</f>
        <v>0</v>
      </c>
      <c r="S16" s="2908">
        <f>IF('3.Cropland'!U260&lt;&gt;"",'3.Cropland'!U260,'3.Cropland'!T260)</f>
        <v>0</v>
      </c>
      <c r="T16" s="215">
        <f t="shared" si="0"/>
        <v>0</v>
      </c>
      <c r="U16" s="1186">
        <f t="shared" si="1"/>
        <v>0</v>
      </c>
      <c r="V16" s="1865">
        <f>'3.Cropland'!T84</f>
        <v>0</v>
      </c>
      <c r="AE16" s="1914">
        <f>(MIN(C35,D35)*time_tot+ABS(D35-C35)*IF(D35&gt;C35,time2+time*(VLOOKUP(E35,List!$E$35:$F$37,2,)),time*(1-(VLOOKUP(E35,List!$E$35:$F$37,2,)))))*IF($L14="straw Burnt",$Q14*$W$14*($X$14*methane)/1000,0)</f>
        <v>0</v>
      </c>
      <c r="AF16" s="1914">
        <f>(MIN(C35,F35)*time_tot+ABS(F35-C35)*IF(F35&gt;C35,time2+time*(VLOOKUP(G35,List!$E$35:$F$37,2,)),time*(1-(VLOOKUP(G35,List!$E$35:$F$37,2,)))))*IF($L14="straw Burnt",$Q14*$W$14*($X$14*methane)/1000,0)</f>
        <v>0</v>
      </c>
      <c r="AG16" s="1914">
        <f>(MIN(C35,D35)*time_tot+ABS(D35-C35)*IF(D35&gt;C35,time2+time*(VLOOKUP(E35,List!$E$35:$F$37,2,)),time*(1-(VLOOKUP(E35,List!$E$35:$F$37,2,)))))*IF($L14="straw Burnt",$Q14*$W$14*($Y$14*Nitrous)/1000,0)</f>
        <v>0</v>
      </c>
      <c r="AH16" s="1914">
        <f>(MIN(C35,F35)*time_tot+ABS(F35-C35)*IF(F35&gt;C35,time2+time*(VLOOKUP(G35,List!$E$35:$F$37,2,)),time*(1-(VLOOKUP(G35,List!$E$35:$F$37,2,)))))*IF($L14="straw Burnt",$Q14*$W$14*($Y$14*Nitrous)/1000,0)</f>
        <v>0</v>
      </c>
      <c r="AI16" s="1914">
        <f>-$R14*((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J16" s="1914">
        <f>-$R14*((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K16" s="2413">
        <f>(MIN(C35,D35)*time+ABS(D35-C35)*IF(D35&gt;C35,time*(VLOOKUP(E35,List!$E$35:$F$37,2,)),time*(1-(VLOOKUP(E35,List!$E$35:$F$37,2,)))))*$T14*methane/1000</f>
        <v>0</v>
      </c>
      <c r="AL16" s="2413">
        <f>(MIN(C35,F35)*time+ABS(F35-C35)*IF(F35&gt;C35,time*(VLOOKUP(G35,List!$E$35:$F$37,2,)),time*(1-(VLOOKUP(G35,List!$E$35:$F$37,2,)))))*$T14*methane/1000</f>
        <v>0</v>
      </c>
      <c r="AM16" s="1914">
        <f>(MIN(C35,D35)*time+ABS(D35-C35)*IF(D35&gt;C35,time*(VLOOKUP(E35,List!$E$35:$F$37,2,)),time*(1-(VLOOKUP(E35,List!$E$35:$F$37,2,)))))*IF($L14="straw Burnt",$Q14*$W$14*($X$14*methane)/1000,0)</f>
        <v>0</v>
      </c>
      <c r="AN16" s="1914">
        <f>(MIN(C35,F35)*time+ABS(F35-C35)*IF(F35&gt;C35,time*(VLOOKUP(G35,List!$E$35:$F$37,2,)),time*(1-(VLOOKUP(G35,List!$E$35:$F$37,2,)))))*IF($L14="straw Burnt",$Q14*$W$14*($X$14*methane)/1000,0)</f>
        <v>0</v>
      </c>
      <c r="AO16" s="1914">
        <f>(MIN(C35,D35)*time+ABS(D35-C35)*IF(D35&gt;C35,time*(VLOOKUP(E35,List!$E$35:$F$37,2,)),time*(1-(VLOOKUP(E35,List!$E$35:$F$37,2,)))))*IF($L14="straw Burnt",$Q14*$W$14*($Y$14*Nitrous)/1000,0)</f>
        <v>0</v>
      </c>
      <c r="AP16" s="1914">
        <f>(MIN(C35,F35)*time+ABS(F35-C35)*IF(F35&gt;C35,time*(VLOOKUP(G35,List!$E$35:$F$37,2,)),time*(1-(VLOOKUP(G35,List!$E$35:$F$37,2,)))))*IF($L14="straw Burnt",$Q14*$W$14*($Y$14*Nitrous)/1000,0)</f>
        <v>0</v>
      </c>
      <c r="AQ16" s="1915" t="s">
        <v>332</v>
      </c>
      <c r="AR16" s="1915">
        <f>SUM(AF13:AF26)-SUM(AE13:AE26)+SUM(K32:K45)-SUM(J32:J45)</f>
        <v>0</v>
      </c>
      <c r="AS16" s="1915">
        <f>SUM(AN13:AN26)-SUM(AM13:AM26)+SUM(AL13:AL26)-SUM(AK13:AK26)</f>
        <v>0</v>
      </c>
      <c r="AT16" s="1915">
        <f>AR16-AS16</f>
        <v>0</v>
      </c>
    </row>
    <row r="17" spans="2:46" ht="13.5" thickBot="1">
      <c r="B17" s="113" t="s">
        <v>610</v>
      </c>
      <c r="C17" s="757"/>
      <c r="D17" s="1855">
        <f>'3.Cropland'!E85</f>
        <v>150</v>
      </c>
      <c r="E17" s="1858" t="str">
        <f>'3.Cropland'!F85</f>
        <v>Please select water regime</v>
      </c>
      <c r="F17" s="1860"/>
      <c r="G17" s="1860"/>
      <c r="H17" s="1858" t="str">
        <f>'3.Cropland'!I85</f>
        <v>Please select preseason water regime</v>
      </c>
      <c r="I17" s="1860"/>
      <c r="J17" s="1860"/>
      <c r="K17" s="1860"/>
      <c r="L17" s="1859" t="str">
        <f>'3.Cropland'!O85</f>
        <v>Please select type of Organic Amendment</v>
      </c>
      <c r="M17" s="1861"/>
      <c r="N17" s="1861"/>
      <c r="O17" s="1861"/>
      <c r="P17" s="1861"/>
      <c r="Q17" s="2219">
        <f>IF('3.Cropland'!K241="",'3.Cropland'!J241,'3.Cropland'!K241)</f>
        <v>5.5</v>
      </c>
      <c r="R17" s="2225">
        <f>IF('3.Cropland'!G241="",'3.Cropland'!F241,'3.Cropland'!G241)</f>
        <v>0</v>
      </c>
      <c r="S17" s="2908">
        <f>IF('3.Cropland'!U261&lt;&gt;"",'3.Cropland'!U261,'3.Cropland'!T261)</f>
        <v>0</v>
      </c>
      <c r="T17" s="215">
        <f>$D17*S17</f>
        <v>0</v>
      </c>
      <c r="U17" s="1186">
        <f t="shared" si="1"/>
        <v>0</v>
      </c>
      <c r="V17" s="1865">
        <f>'3.Cropland'!T85</f>
        <v>0</v>
      </c>
      <c r="AE17" s="1914">
        <f>(MIN(C36,D36)*time_tot+ABS(D36-C36)*IF(D36&gt;C36,time2+time*(VLOOKUP(E36,List!$E$35:$F$37,2,)),time*(1-(VLOOKUP(E36,List!$E$35:$F$37,2,)))))*IF($L15="straw Burnt",$Q15*$W$14*($X$14*methane)/1000,0)</f>
        <v>0</v>
      </c>
      <c r="AF17" s="1914">
        <f>(MIN(C36,F36)*time_tot+ABS(F36-C36)*IF(F36&gt;C36,time2+time*(VLOOKUP(G36,List!$E$35:$F$37,2,)),time*(1-(VLOOKUP(G36,List!$E$35:$F$37,2,)))))*IF($L15="straw Burnt",$Q15*$W$14*($X$14*methane)/1000,0)</f>
        <v>0</v>
      </c>
      <c r="AG17" s="1914">
        <f>(MIN(C36,D36)*time_tot+ABS(D36-C36)*IF(D36&gt;C36,time2+time*(VLOOKUP(E36,List!$E$35:$F$37,2,)),time*(1-(VLOOKUP(E36,List!$E$35:$F$37,2,)))))*IF($L15="straw Burnt",$Q15*$W$14*($Y$14*Nitrous)/1000,0)</f>
        <v>0</v>
      </c>
      <c r="AH17" s="1914">
        <f>(MIN(C36,F36)*time_tot+ABS(F36-C36)*IF(F36&gt;C36,time2+time*(VLOOKUP(G36,List!$E$35:$F$37,2,)),time*(1-(VLOOKUP(G36,List!$E$35:$F$37,2,)))))*IF($L15="straw Burnt",$Q15*$W$14*($Y$14*Nitrous)/1000,0)</f>
        <v>0</v>
      </c>
      <c r="AI17" s="1914">
        <f>-$R15*((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J17" s="1914">
        <f>-$R15*((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K17" s="2413">
        <f>(MIN(C36,D36)*time+ABS(D36-C36)*IF(D36&gt;C36,time*(VLOOKUP(E36,List!$E$35:$F$37,2,)),time*(1-(VLOOKUP(E36,List!$E$35:$F$37,2,)))))*$T15*methane/1000</f>
        <v>0</v>
      </c>
      <c r="AL17" s="2413">
        <f>(MIN(C36,F36)*time+ABS(F36-C36)*IF(F36&gt;C36,time*(VLOOKUP(G36,List!$E$35:$F$37,2,)),time*(1-(VLOOKUP(G36,List!$E$35:$F$37,2,)))))*$T15*methane/1000</f>
        <v>0</v>
      </c>
      <c r="AM17" s="1914">
        <f>(MIN(C36,D36)*time+ABS(D36-C36)*IF(D36&gt;C36,time*(VLOOKUP(E36,List!$E$35:$F$37,2,)),time*(1-(VLOOKUP(E36,List!$E$35:$F$37,2,)))))*IF($L15="straw Burnt",$Q15*$W$14*($X$14*methane)/1000,0)</f>
        <v>0</v>
      </c>
      <c r="AN17" s="1914">
        <f>(MIN(C36,F36)*time+ABS(F36-C36)*IF(F36&gt;C36,time*(VLOOKUP(G36,List!$E$35:$F$37,2,)),time*(1-(VLOOKUP(G36,List!$E$35:$F$37,2,)))))*IF($L15="straw Burnt",$Q15*$W$14*($X$14*methane)/1000,0)</f>
        <v>0</v>
      </c>
      <c r="AO17" s="1914">
        <f>(MIN(C36,D36)*time+ABS(D36-C36)*IF(D36&gt;C36,time*(VLOOKUP(E36,List!$E$35:$F$37,2,)),time*(1-(VLOOKUP(E36,List!$E$35:$F$37,2,)))))*IF($L15="straw Burnt",$Q15*$W$14*($Y$14*Nitrous)/1000,0)</f>
        <v>0</v>
      </c>
      <c r="AP17" s="1914">
        <f>(MIN(C36,F36)*time+ABS(F36-C36)*IF(F36&gt;C36,time*(VLOOKUP(G36,List!$E$35:$F$37,2,)),time*(1-(VLOOKUP(G36,List!$E$35:$F$37,2,)))))*IF($L15="straw Burnt",$Q15*$W$14*($Y$14*Nitrous)/1000,0)</f>
        <v>0</v>
      </c>
      <c r="AQ17" s="1915" t="s">
        <v>333</v>
      </c>
      <c r="AR17" s="1915">
        <f>SUM(AH13:AH26)-SUM(AG13:AG26)</f>
        <v>0</v>
      </c>
      <c r="AS17" s="1915">
        <f>SUM(AP13:AP26)-SUM(AO13:AO26)</f>
        <v>0</v>
      </c>
      <c r="AT17" s="1915">
        <f>AR17-AS17</f>
        <v>0</v>
      </c>
    </row>
    <row r="18" spans="2:46" ht="13.5" thickBot="1">
      <c r="B18" s="113" t="s">
        <v>611</v>
      </c>
      <c r="C18" s="757"/>
      <c r="D18" s="1855">
        <f>'3.Cropland'!E86</f>
        <v>150</v>
      </c>
      <c r="E18" s="1858" t="str">
        <f>'3.Cropland'!F86</f>
        <v>Please select water regime</v>
      </c>
      <c r="F18" s="1860"/>
      <c r="G18" s="1860"/>
      <c r="H18" s="1858" t="str">
        <f>'3.Cropland'!I86</f>
        <v>Please select preseason water regime</v>
      </c>
      <c r="I18" s="1860"/>
      <c r="J18" s="1860"/>
      <c r="K18" s="1860"/>
      <c r="L18" s="1859" t="str">
        <f>'3.Cropland'!O86</f>
        <v>Please select type of Organic Amendment</v>
      </c>
      <c r="M18" s="1861"/>
      <c r="N18" s="1861"/>
      <c r="O18" s="1861"/>
      <c r="P18" s="1861"/>
      <c r="Q18" s="2219">
        <f>IF('3.Cropland'!K242="",'3.Cropland'!J242,'3.Cropland'!K242)</f>
        <v>5.5</v>
      </c>
      <c r="R18" s="2225">
        <f>IF('3.Cropland'!G242="",'3.Cropland'!F242,'3.Cropland'!G242)</f>
        <v>0</v>
      </c>
      <c r="S18" s="2908">
        <f>IF('3.Cropland'!U262&lt;&gt;"",'3.Cropland'!U262,'3.Cropland'!T262)</f>
        <v>0</v>
      </c>
      <c r="T18" s="215">
        <f t="shared" si="0"/>
        <v>0</v>
      </c>
      <c r="U18" s="1186">
        <f t="shared" si="1"/>
        <v>0</v>
      </c>
      <c r="V18" s="1865">
        <f>'3.Cropland'!T86</f>
        <v>0</v>
      </c>
      <c r="AE18" s="1914">
        <f>(MIN(C37,D37)*time_tot+ABS(D37-C37)*IF(D37&gt;C37,time2+time*(VLOOKUP(E37,List!$E$35:$F$37,2,)),time*(1-(VLOOKUP(E37,List!$E$35:$F$37,2,)))))*IF($L16="straw Burnt",$Q16*$W$14*($X$14*methane)/1000,0)</f>
        <v>0</v>
      </c>
      <c r="AF18" s="1914">
        <f>(MIN(C37,F37)*time_tot+ABS(F37-C37)*IF(F37&gt;C37,time2+time*(VLOOKUP(G37,List!$E$35:$F$37,2,)),time*(1-(VLOOKUP(G37,List!$E$35:$F$37,2,)))))*IF($L16="straw Burnt",$Q16*$W$14*($X$14*methane)/1000,0)</f>
        <v>0</v>
      </c>
      <c r="AG18" s="1914">
        <f>(MIN(C37,D37)*time_tot+ABS(D37-C37)*IF(D37&gt;C37,time2+time*(VLOOKUP(E37,List!$E$35:$F$37,2,)),time*(1-(VLOOKUP(E37,List!$E$35:$F$37,2,)))))*IF($L16="straw Burnt",$Q16*$W$14*($Y$14*Nitrous)/1000,0)</f>
        <v>0</v>
      </c>
      <c r="AH18" s="1914">
        <f>(MIN(C37,F37)*time_tot+ABS(F37-C37)*IF(F37&gt;C37,time2+time*(VLOOKUP(G37,List!$E$35:$F$37,2,)),time*(1-(VLOOKUP(G37,List!$E$35:$F$37,2,)))))*IF($L16="straw Burnt",$Q16*$W$14*($Y$14*Nitrous)/1000,0)</f>
        <v>0</v>
      </c>
      <c r="AI18" s="1914">
        <f>-$R16*((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J18" s="1914">
        <f>-$R16*((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K18" s="2413">
        <f>(MIN(C37,D37)*time+ABS(D37-C37)*IF(D37&gt;C37,time*(VLOOKUP(E37,List!$E$35:$F$37,2,)),time*(1-(VLOOKUP(E37,List!$E$35:$F$37,2,)))))*$T16*methane/1000</f>
        <v>0</v>
      </c>
      <c r="AL18" s="2413">
        <f>(MIN(C37,F37)*time+ABS(F37-C37)*IF(F37&gt;C37,time*(VLOOKUP(G37,List!$E$35:$F$37,2,)),time*(1-(VLOOKUP(G37,List!$E$35:$F$37,2,)))))*$T16*methane/1000</f>
        <v>0</v>
      </c>
      <c r="AM18" s="1914">
        <f>(MIN(C37,D37)*time+ABS(D37-C37)*IF(D37&gt;C37,time*(VLOOKUP(E37,List!$E$35:$F$37,2,)),time*(1-(VLOOKUP(E37,List!$E$35:$F$37,2,)))))*IF($L16="straw Burnt",$Q16*$W$14*($X$14*methane)/1000,0)</f>
        <v>0</v>
      </c>
      <c r="AN18" s="1914">
        <f>(MIN(C37,F37)*time+ABS(F37-C37)*IF(F37&gt;C37,time*(VLOOKUP(G37,List!$E$35:$F$37,2,)),time*(1-(VLOOKUP(G37,List!$E$35:$F$37,2,)))))*IF($L16="straw Burnt",$Q16*$W$14*($X$14*methane)/1000,0)</f>
        <v>0</v>
      </c>
      <c r="AO18" s="1914">
        <f>(MIN(C37,D37)*time+ABS(D37-C37)*IF(D37&gt;C37,time*(VLOOKUP(E37,List!$E$35:$F$37,2,)),time*(1-(VLOOKUP(E37,List!$E$35:$F$37,2,)))))*IF($L16="straw Burnt",$Q16*$W$14*($Y$14*Nitrous)/1000,0)</f>
        <v>0</v>
      </c>
      <c r="AP18" s="1914">
        <f>(MIN(C37,F37)*time+ABS(F37-C37)*IF(F37&gt;C37,time*(VLOOKUP(G37,List!$E$35:$F$37,2,)),time*(1-(VLOOKUP(G37,List!$E$35:$F$37,2,)))))*IF($L16="straw Burnt",$Q16*$W$14*($Y$14*Nitrous)/1000,0)</f>
        <v>0</v>
      </c>
      <c r="AQ18" s="1915"/>
      <c r="AR18" s="1915">
        <f>SUM(AR14:AR17)</f>
        <v>0</v>
      </c>
      <c r="AS18" s="1915">
        <f>SUM(AS14:AS17)</f>
        <v>0</v>
      </c>
      <c r="AT18" s="1915">
        <f>SUM(AT14:AT17)</f>
        <v>0</v>
      </c>
    </row>
    <row r="19" spans="2:46" ht="13.5" thickBot="1">
      <c r="B19" s="113" t="s">
        <v>612</v>
      </c>
      <c r="C19" s="757"/>
      <c r="D19" s="1855">
        <f>'3.Cropland'!E87</f>
        <v>150</v>
      </c>
      <c r="E19" s="1858" t="str">
        <f>'3.Cropland'!F87</f>
        <v>Please select water regime</v>
      </c>
      <c r="F19" s="1860"/>
      <c r="G19" s="1860"/>
      <c r="H19" s="1858" t="str">
        <f>'3.Cropland'!I87</f>
        <v>Please select preseason water regime</v>
      </c>
      <c r="I19" s="1860"/>
      <c r="J19" s="1860"/>
      <c r="K19" s="1860"/>
      <c r="L19" s="1859" t="str">
        <f>'3.Cropland'!O87</f>
        <v>Please select type of Organic Amendment</v>
      </c>
      <c r="M19" s="1861"/>
      <c r="N19" s="1861"/>
      <c r="O19" s="1861"/>
      <c r="P19" s="1861"/>
      <c r="Q19" s="2219">
        <f>IF('3.Cropland'!K243="",'3.Cropland'!J243,'3.Cropland'!K243)</f>
        <v>5.5</v>
      </c>
      <c r="R19" s="2225">
        <f>IF('3.Cropland'!G243="",'3.Cropland'!F243,'3.Cropland'!G243)</f>
        <v>0</v>
      </c>
      <c r="S19" s="2908">
        <f>IF('3.Cropland'!U263&lt;&gt;"",'3.Cropland'!U263,'3.Cropland'!T263)</f>
        <v>0</v>
      </c>
      <c r="T19" s="215">
        <f t="shared" si="0"/>
        <v>0</v>
      </c>
      <c r="U19" s="1186">
        <f t="shared" si="1"/>
        <v>0</v>
      </c>
      <c r="V19" s="1865">
        <f>'3.Cropland'!T87</f>
        <v>0</v>
      </c>
      <c r="AE19" s="1914">
        <f>(MIN(C38,D38)*time_tot+ABS(D38-C38)*IF(D38&gt;C38,time2+time*(VLOOKUP(E38,List!$E$35:$F$37,2,)),time*(1-(VLOOKUP(E38,List!$E$35:$F$37,2,)))))*IF($L17="straw Burnt",$Q17*$W$14*($X$14*methane)/1000,0)</f>
        <v>0</v>
      </c>
      <c r="AF19" s="1914">
        <f>(MIN(C38,F38)*time_tot+ABS(F38-C38)*IF(F38&gt;C38,time2+time*(VLOOKUP(G38,List!$E$35:$F$37,2,)),time*(1-(VLOOKUP(G38,List!$E$35:$F$37,2,)))))*IF($L17="straw Burnt",$Q17*$W$14*($X$14*methane)/1000,0)</f>
        <v>0</v>
      </c>
      <c r="AG19" s="1914">
        <f>(MIN(C38,D38)*time_tot+ABS(D38-C38)*IF(D38&gt;C38,time2+time*(VLOOKUP(E38,List!$E$35:$F$37,2,)),time*(1-(VLOOKUP(E38,List!$E$35:$F$37,2,)))))*IF($L17="straw Burnt",$Q17*$W$14*($Y$14*Nitrous)/1000,0)</f>
        <v>0</v>
      </c>
      <c r="AH19" s="1914">
        <f>(MIN(C38,F38)*time_tot+ABS(F38-C38)*IF(F38&gt;C38,time2+time*(VLOOKUP(G38,List!$E$35:$F$37,2,)),time*(1-(VLOOKUP(G38,List!$E$35:$F$37,2,)))))*IF($L17="straw Burnt",$Q17*$W$14*($Y$14*Nitrous)/1000,0)</f>
        <v>0</v>
      </c>
      <c r="AI19" s="1914">
        <f>-$R17*((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J19" s="1914">
        <f>-$R17*((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K19" s="2413">
        <f>(MIN(C38,D38)*time+ABS(D38-C38)*IF(D38&gt;C38,time*(VLOOKUP(E38,List!$E$35:$F$37,2,)),time*(1-(VLOOKUP(E38,List!$E$35:$F$37,2,)))))*$T17*methane/1000</f>
        <v>0</v>
      </c>
      <c r="AL19" s="2413">
        <f>(MIN(C38,F38)*time+ABS(F38-C38)*IF(F38&gt;C38,time*(VLOOKUP(G38,List!$E$35:$F$37,2,)),time*(1-(VLOOKUP(G38,List!$E$35:$F$37,2,)))))*$T17*methane/1000</f>
        <v>0</v>
      </c>
      <c r="AM19" s="1914">
        <f>(MIN(C38,D38)*time+ABS(D38-C38)*IF(D38&gt;C38,time*(VLOOKUP(E38,List!$E$35:$F$37,2,)),time*(1-(VLOOKUP(E38,List!$E$35:$F$37,2,)))))*IF($L17="straw Burnt",$Q17*$W$14*($X$14*methane)/1000,0)</f>
        <v>0</v>
      </c>
      <c r="AN19" s="1914">
        <f>(MIN(C38,F38)*time+ABS(F38-C38)*IF(F38&gt;C38,time*(VLOOKUP(G38,List!$E$35:$F$37,2,)),time*(1-(VLOOKUP(G38,List!$E$35:$F$37,2,)))))*IF($L17="straw Burnt",$Q17*$W$14*($X$14*methane)/1000,0)</f>
        <v>0</v>
      </c>
      <c r="AO19" s="1914">
        <f>(MIN(C38,D38)*time+ABS(D38-C38)*IF(D38&gt;C38,time*(VLOOKUP(E38,List!$E$35:$F$37,2,)),time*(1-(VLOOKUP(E38,List!$E$35:$F$37,2,)))))*IF($L17="straw Burnt",$Q17*$W$14*($Y$14*Nitrous)/1000,0)</f>
        <v>0</v>
      </c>
      <c r="AP19" s="1914">
        <f>(MIN(C38,F38)*time+ABS(F38-C38)*IF(F38&gt;C38,time*(VLOOKUP(G38,List!$E$35:$F$37,2,)),time*(1-(VLOOKUP(G38,List!$E$35:$F$37,2,)))))*IF($L17="straw Burnt",$Q17*$W$14*($Y$14*Nitrous)/1000,0)</f>
        <v>0</v>
      </c>
    </row>
    <row r="20" spans="2:46" ht="13.5" thickBot="1">
      <c r="B20" s="113" t="s">
        <v>613</v>
      </c>
      <c r="C20" s="757"/>
      <c r="D20" s="1855">
        <f>'3.Cropland'!E88</f>
        <v>150</v>
      </c>
      <c r="E20" s="1858" t="str">
        <f>'3.Cropland'!F88</f>
        <v>Please select water regime</v>
      </c>
      <c r="F20" s="1860"/>
      <c r="G20" s="1860"/>
      <c r="H20" s="1858" t="str">
        <f>'3.Cropland'!I88</f>
        <v>Please select preseason water regime</v>
      </c>
      <c r="I20" s="1860"/>
      <c r="J20" s="1860"/>
      <c r="K20" s="1860"/>
      <c r="L20" s="1859" t="str">
        <f>'3.Cropland'!O88</f>
        <v>Please select type of Organic Amendment</v>
      </c>
      <c r="M20" s="1861"/>
      <c r="N20" s="1861"/>
      <c r="O20" s="1861"/>
      <c r="P20" s="1861"/>
      <c r="Q20" s="2219">
        <f>IF('3.Cropland'!K244="",'3.Cropland'!J244,'3.Cropland'!K244)</f>
        <v>5.5</v>
      </c>
      <c r="R20" s="2225">
        <f>IF('3.Cropland'!G244="",'3.Cropland'!F244,'3.Cropland'!G244)</f>
        <v>0</v>
      </c>
      <c r="S20" s="2908">
        <f>IF('3.Cropland'!U264&lt;&gt;"",'3.Cropland'!U264,'3.Cropland'!T264)</f>
        <v>0</v>
      </c>
      <c r="T20" s="215">
        <f t="shared" si="0"/>
        <v>0</v>
      </c>
      <c r="U20" s="1186">
        <f t="shared" si="1"/>
        <v>0</v>
      </c>
      <c r="V20" s="1865">
        <f>'3.Cropland'!T88</f>
        <v>0</v>
      </c>
      <c r="AE20" s="1914">
        <f>(MIN(C39,D39)*time_tot+ABS(D39-C39)*IF(D39&gt;C39,time2+time*(VLOOKUP(E39,List!$E$35:$F$37,2,)),time*(1-(VLOOKUP(E39,List!$E$35:$F$37,2,)))))*IF($L18="straw Burnt",$Q18*$W$14*($X$14*methane)/1000,0)</f>
        <v>0</v>
      </c>
      <c r="AF20" s="1914">
        <f>(MIN(C39,F39)*time_tot+ABS(F39-C39)*IF(F39&gt;C39,time2+time*(VLOOKUP(G39,List!$E$35:$F$37,2,)),time*(1-(VLOOKUP(G39,List!$E$35:$F$37,2,)))))*IF($L18="straw Burnt",$Q18*$W$14*($X$14*methane)/1000,0)</f>
        <v>0</v>
      </c>
      <c r="AG20" s="1914">
        <f>(MIN(C39,D39)*time_tot+ABS(D39-C39)*IF(D39&gt;C39,time2+time*(VLOOKUP(E39,List!$E$35:$F$37,2,)),time*(1-(VLOOKUP(E39,List!$E$35:$F$37,2,)))))*IF($L18="straw Burnt",$Q18*$W$14*($Y$14*Nitrous)/1000,0)</f>
        <v>0</v>
      </c>
      <c r="AH20" s="1914">
        <f>(MIN(C39,F39)*time_tot+ABS(F39-C39)*IF(F39&gt;C39,time2+time*(VLOOKUP(G39,List!$E$35:$F$37,2,)),time*(1-(VLOOKUP(G39,List!$E$35:$F$37,2,)))))*IF($L18="straw Burnt",$Q18*$W$14*($Y$14*Nitrous)/1000,0)</f>
        <v>0</v>
      </c>
      <c r="AI20" s="1914">
        <f>-$R18*((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J20" s="1914">
        <f>-$R18*((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K20" s="2413">
        <f>(MIN(C39,D39)*time+ABS(D39-C39)*IF(D39&gt;C39,time*(VLOOKUP(E39,List!$E$35:$F$37,2,)),time*(1-(VLOOKUP(E39,List!$E$35:$F$37,2,)))))*$T18*methane/1000</f>
        <v>0</v>
      </c>
      <c r="AL20" s="2413">
        <f>(MIN(C39,F39)*time+ABS(F39-C39)*IF(F39&gt;C39,time*(VLOOKUP(G39,List!$E$35:$F$37,2,)),time*(1-(VLOOKUP(G39,List!$E$35:$F$37,2,)))))*$T18*methane/1000</f>
        <v>0</v>
      </c>
      <c r="AM20" s="1914">
        <f>(MIN(C39,D39)*time+ABS(D39-C39)*IF(D39&gt;C39,time*(VLOOKUP(E39,List!$E$35:$F$37,2,)),time*(1-(VLOOKUP(E39,List!$E$35:$F$37,2,)))))*IF($L18="straw Burnt",$Q18*$W$14*($X$14*methane)/1000,0)</f>
        <v>0</v>
      </c>
      <c r="AN20" s="1914">
        <f>(MIN(C39,F39)*time+ABS(F39-C39)*IF(F39&gt;C39,time*(VLOOKUP(G39,List!$E$35:$F$37,2,)),time*(1-(VLOOKUP(G39,List!$E$35:$F$37,2,)))))*IF($L18="straw Burnt",$Q18*$W$14*($X$14*methane)/1000,0)</f>
        <v>0</v>
      </c>
      <c r="AO20" s="1914">
        <f>(MIN(C39,D39)*time+ABS(D39-C39)*IF(D39&gt;C39,time*(VLOOKUP(E39,List!$E$35:$F$37,2,)),time*(1-(VLOOKUP(E39,List!$E$35:$F$37,2,)))))*IF($L18="straw Burnt",$Q18*$W$14*($Y$14*Nitrous)/1000,0)</f>
        <v>0</v>
      </c>
      <c r="AP20" s="1914">
        <f>(MIN(C39,F39)*time+ABS(F39-C39)*IF(F39&gt;C39,time*(VLOOKUP(G39,List!$E$35:$F$37,2,)),time*(1-(VLOOKUP(G39,List!$E$35:$F$37,2,)))))*IF($L18="straw Burnt",$Q18*$W$14*($Y$14*Nitrous)/1000,0)</f>
        <v>0</v>
      </c>
    </row>
    <row r="21" spans="2:46" ht="13.5" thickBot="1">
      <c r="B21" s="113" t="s">
        <v>637</v>
      </c>
      <c r="C21" s="757"/>
      <c r="D21" s="1855">
        <f>'3.Cropland'!E89</f>
        <v>150</v>
      </c>
      <c r="E21" s="1858" t="str">
        <f>'3.Cropland'!F89</f>
        <v>Please select water regime</v>
      </c>
      <c r="F21" s="1860"/>
      <c r="G21" s="1860"/>
      <c r="H21" s="1858" t="str">
        <f>'3.Cropland'!I89</f>
        <v>Please select preseason water regime</v>
      </c>
      <c r="I21" s="1860"/>
      <c r="J21" s="1860"/>
      <c r="K21" s="1860"/>
      <c r="L21" s="1859" t="str">
        <f>'3.Cropland'!O89</f>
        <v>Please select type of Organic Amendment</v>
      </c>
      <c r="M21" s="1861"/>
      <c r="N21" s="1861"/>
      <c r="O21" s="1861"/>
      <c r="P21" s="1861"/>
      <c r="Q21" s="2219">
        <f>IF('3.Cropland'!K245="",'3.Cropland'!J245,'3.Cropland'!K245)</f>
        <v>5.5</v>
      </c>
      <c r="R21" s="2225">
        <f>IF('3.Cropland'!G245="",'3.Cropland'!F245,'3.Cropland'!G245)</f>
        <v>0</v>
      </c>
      <c r="S21" s="2908">
        <f>IF('3.Cropland'!U265&lt;&gt;"",'3.Cropland'!U265,'3.Cropland'!T265)</f>
        <v>0</v>
      </c>
      <c r="T21" s="215">
        <f t="shared" si="0"/>
        <v>0</v>
      </c>
      <c r="U21" s="1186">
        <f t="shared" si="1"/>
        <v>0</v>
      </c>
      <c r="V21" s="1865">
        <f>'3.Cropland'!T89</f>
        <v>0</v>
      </c>
      <c r="AE21" s="1914">
        <f>(MIN(C40,D40)*time_tot+ABS(D40-C40)*IF(D40&gt;C40,time2+time*(VLOOKUP(E40,List!$E$35:$F$37,2,)),time*(1-(VLOOKUP(E40,List!$E$35:$F$37,2,)))))*IF($L19="straw Burnt",$Q19*$W$14*($X$14*methane)/1000,0)</f>
        <v>0</v>
      </c>
      <c r="AF21" s="1914">
        <f>(MIN(C40,F40)*time_tot+ABS(F40-C40)*IF(F40&gt;C40,time2+time*(VLOOKUP(G40,List!$E$35:$F$37,2,)),time*(1-(VLOOKUP(G40,List!$E$35:$F$37,2,)))))*IF($L19="straw Burnt",$Q19*$W$14*($X$14*methane)/1000,0)</f>
        <v>0</v>
      </c>
      <c r="AG21" s="1914">
        <f>(MIN(C40,D40)*time_tot+ABS(D40-C40)*IF(D40&gt;C40,time2+time*(VLOOKUP(E40,List!$E$35:$F$37,2,)),time*(1-(VLOOKUP(E40,List!$E$35:$F$37,2,)))))*IF($L19="straw Burnt",$Q19*$W$14*($Y$14*Nitrous)/1000,0)</f>
        <v>0</v>
      </c>
      <c r="AH21" s="1914">
        <f>(MIN(C40,F40)*time_tot+ABS(F40-C40)*IF(F40&gt;C40,time2+time*(VLOOKUP(G40,List!$E$35:$F$37,2,)),time*(1-(VLOOKUP(G40,List!$E$35:$F$37,2,)))))*IF($L19="straw Burnt",$Q19*$W$14*($Y$14*Nitrous)/1000,0)</f>
        <v>0</v>
      </c>
      <c r="AI21" s="1914">
        <f>-$R19*((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J21" s="1914">
        <f>-$R19*((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K21" s="2413">
        <f>(MIN(C40,D40)*time+ABS(D40-C40)*IF(D40&gt;C40,time*(VLOOKUP(E40,List!$E$35:$F$37,2,)),time*(1-(VLOOKUP(E40,List!$E$35:$F$37,2,)))))*$T19*methane/1000</f>
        <v>0</v>
      </c>
      <c r="AL21" s="2413">
        <f>(MIN(C40,F40)*time+ABS(F40-C40)*IF(F40&gt;C40,time*(VLOOKUP(G40,List!$E$35:$F$37,2,)),time*(1-(VLOOKUP(G40,List!$E$35:$F$37,2,)))))*$T19*methane/1000</f>
        <v>0</v>
      </c>
      <c r="AM21" s="1914">
        <f>(MIN(C40,D40)*time+ABS(D40-C40)*IF(D40&gt;C40,time*(VLOOKUP(E40,List!$E$35:$F$37,2,)),time*(1-(VLOOKUP(E40,List!$E$35:$F$37,2,)))))*IF($L19="straw Burnt",$Q19*$W$14*($X$14*methane)/1000,0)</f>
        <v>0</v>
      </c>
      <c r="AN21" s="1914">
        <f>(MIN(C40,F40)*time+ABS(F40-C40)*IF(F40&gt;C40,time*(VLOOKUP(G40,List!$E$35:$F$37,2,)),time*(1-(VLOOKUP(G40,List!$E$35:$F$37,2,)))))*IF($L19="straw Burnt",$Q19*$W$14*($X$14*methane)/1000,0)</f>
        <v>0</v>
      </c>
      <c r="AO21" s="1914">
        <f>(MIN(C40,D40)*time+ABS(D40-C40)*IF(D40&gt;C40,time*(VLOOKUP(E40,List!$E$35:$F$37,2,)),time*(1-(VLOOKUP(E40,List!$E$35:$F$37,2,)))))*IF($L19="straw Burnt",$Q19*$W$14*($Y$14*Nitrous)/1000,0)</f>
        <v>0</v>
      </c>
      <c r="AP21" s="1914">
        <f>(MIN(C40,F40)*time+ABS(F40-C40)*IF(F40&gt;C40,time*(VLOOKUP(G40,List!$E$35:$F$37,2,)),time*(1-(VLOOKUP(G40,List!$E$35:$F$37,2,)))))*IF($L19="straw Burnt",$Q19*$W$14*($Y$14*Nitrous)/1000,0)</f>
        <v>0</v>
      </c>
      <c r="AQ21" s="1915" t="s">
        <v>23</v>
      </c>
      <c r="AR21" s="1915" t="s">
        <v>674</v>
      </c>
      <c r="AS21" s="1901" t="s">
        <v>675</v>
      </c>
    </row>
    <row r="22" spans="2:46" ht="13.5" thickBot="1">
      <c r="B22" s="113" t="s">
        <v>638</v>
      </c>
      <c r="C22" s="757"/>
      <c r="D22" s="1855">
        <f>'3.Cropland'!E90</f>
        <v>150</v>
      </c>
      <c r="E22" s="1858" t="str">
        <f>'3.Cropland'!F90</f>
        <v>Please select water regime</v>
      </c>
      <c r="F22" s="1860"/>
      <c r="G22" s="1860"/>
      <c r="H22" s="1858" t="str">
        <f>'3.Cropland'!I90</f>
        <v>Please select preseason water regime</v>
      </c>
      <c r="I22" s="1860"/>
      <c r="J22" s="1860"/>
      <c r="K22" s="1860"/>
      <c r="L22" s="1859" t="str">
        <f>'3.Cropland'!O90</f>
        <v>Please select type of Organic Amendment</v>
      </c>
      <c r="M22" s="1861"/>
      <c r="N22" s="1861"/>
      <c r="O22" s="1861"/>
      <c r="P22" s="1861"/>
      <c r="Q22" s="2219">
        <f>IF('3.Cropland'!K246="",'3.Cropland'!J246,'3.Cropland'!K246)</f>
        <v>5.5</v>
      </c>
      <c r="R22" s="2225">
        <f>IF('3.Cropland'!G246="",'3.Cropland'!F246,'3.Cropland'!G246)</f>
        <v>0</v>
      </c>
      <c r="S22" s="2908">
        <f>IF('3.Cropland'!U266&lt;&gt;"",'3.Cropland'!U266,'3.Cropland'!T266)</f>
        <v>0</v>
      </c>
      <c r="T22" s="215">
        <f t="shared" si="0"/>
        <v>0</v>
      </c>
      <c r="U22" s="1186">
        <f t="shared" si="1"/>
        <v>0</v>
      </c>
      <c r="V22" s="1865">
        <f>'3.Cropland'!T90</f>
        <v>0</v>
      </c>
      <c r="AE22" s="1914">
        <f>(MIN(C41,D41)*time_tot+ABS(D41-C41)*IF(D41&gt;C41,time2+time*(VLOOKUP(E41,List!$E$35:$F$37,2,)),time*(1-(VLOOKUP(E41,List!$E$35:$F$37,2,)))))*IF($L20="straw Burnt",$Q20*$W$14*($X$14*methane)/1000,0)</f>
        <v>0</v>
      </c>
      <c r="AF22" s="1914">
        <f>(MIN(C41,F41)*time_tot+ABS(F41-C41)*IF(F41&gt;C41,time2+time*(VLOOKUP(G41,List!$E$35:$F$37,2,)),time*(1-(VLOOKUP(G41,List!$E$35:$F$37,2,)))))*IF($L20="straw Burnt",$Q20*$W$14*($X$14*methane)/1000,0)</f>
        <v>0</v>
      </c>
      <c r="AG22" s="1914">
        <f>(MIN(C41,D41)*time_tot+ABS(D41-C41)*IF(D41&gt;C41,time2+time*(VLOOKUP(E41,List!$E$35:$F$37,2,)),time*(1-(VLOOKUP(E41,List!$E$35:$F$37,2,)))))*IF($L20="straw Burnt",$Q20*$W$14*($Y$14*Nitrous)/1000,0)</f>
        <v>0</v>
      </c>
      <c r="AH22" s="1914">
        <f>(MIN(C41,F41)*time_tot+ABS(F41-C41)*IF(F41&gt;C41,time2+time*(VLOOKUP(G41,List!$E$35:$F$37,2,)),time*(1-(VLOOKUP(G41,List!$E$35:$F$37,2,)))))*IF($L20="straw Burnt",$Q20*$W$14*($Y$14*Nitrous)/1000,0)</f>
        <v>0</v>
      </c>
      <c r="AI22" s="1914">
        <f>-$R20*((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J22" s="1914">
        <f>-$R20*((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K22" s="2413">
        <f>(MIN(C41,D41)*time+ABS(D41-C41)*IF(D41&gt;C41,time*(VLOOKUP(E41,List!$E$35:$F$37,2,)),time*(1-(VLOOKUP(E41,List!$E$35:$F$37,2,)))))*$T20*methane/1000</f>
        <v>0</v>
      </c>
      <c r="AL22" s="2413">
        <f>(MIN(C41,F41)*time+ABS(F41-C41)*IF(F41&gt;C41,time*(VLOOKUP(G41,List!$E$35:$F$37,2,)),time*(1-(VLOOKUP(G41,List!$E$35:$F$37,2,)))))*$T20*methane/1000</f>
        <v>0</v>
      </c>
      <c r="AM22" s="1914">
        <f>(MIN(C41,D41)*time+ABS(D41-C41)*IF(D41&gt;C41,time*(VLOOKUP(E41,List!$E$35:$F$37,2,)),time*(1-(VLOOKUP(E41,List!$E$35:$F$37,2,)))))*IF($L20="straw Burnt",$Q20*$W$14*($X$14*methane)/1000,0)</f>
        <v>0</v>
      </c>
      <c r="AN22" s="1914">
        <f>(MIN(C41,F41)*time+ABS(F41-C41)*IF(F41&gt;C41,time*(VLOOKUP(G41,List!$E$35:$F$37,2,)),time*(1-(VLOOKUP(G41,List!$E$35:$F$37,2,)))))*IF($L20="straw Burnt",$Q20*$W$14*($X$14*methane)/1000,0)</f>
        <v>0</v>
      </c>
      <c r="AO22" s="1914">
        <f>(MIN(C41,D41)*time+ABS(D41-C41)*IF(D41&gt;C41,time*(VLOOKUP(E41,List!$E$35:$F$37,2,)),time*(1-(VLOOKUP(E41,List!$E$35:$F$37,2,)))))*IF($L20="straw Burnt",$Q20*$W$14*($Y$14*Nitrous)/1000,0)</f>
        <v>0</v>
      </c>
      <c r="AP22" s="1914">
        <f>(MIN(C41,F41)*time+ABS(F41-C41)*IF(F41&gt;C41,time*(VLOOKUP(G41,List!$E$35:$F$37,2,)),time*(1-(VLOOKUP(G41,List!$E$35:$F$37,2,)))))*IF($L20="straw Burnt",$Q20*$W$14*($Y$14*Nitrous)/1000,0)</f>
        <v>0</v>
      </c>
      <c r="AQ22" s="1915" t="s">
        <v>24</v>
      </c>
      <c r="AR22" s="1901">
        <v>0</v>
      </c>
      <c r="AS22" s="1901">
        <v>0</v>
      </c>
    </row>
    <row r="23" spans="2:46" ht="13.5" thickBot="1">
      <c r="B23" s="113" t="s">
        <v>639</v>
      </c>
      <c r="C23" s="757"/>
      <c r="D23" s="1855">
        <f>'3.Cropland'!E91</f>
        <v>150</v>
      </c>
      <c r="E23" s="1858" t="str">
        <f>'3.Cropland'!F91</f>
        <v>Please select water regime</v>
      </c>
      <c r="F23" s="1860"/>
      <c r="G23" s="1860"/>
      <c r="H23" s="1858" t="str">
        <f>'3.Cropland'!I91</f>
        <v>Please select preseason water regime</v>
      </c>
      <c r="I23" s="1860"/>
      <c r="J23" s="1860"/>
      <c r="K23" s="1860"/>
      <c r="L23" s="1859" t="str">
        <f>'3.Cropland'!O91</f>
        <v>Please select type of Organic Amendment</v>
      </c>
      <c r="M23" s="1861"/>
      <c r="N23" s="1861"/>
      <c r="O23" s="1861"/>
      <c r="P23" s="1861"/>
      <c r="Q23" s="2219">
        <f>IF('3.Cropland'!K247="",'3.Cropland'!J247,'3.Cropland'!K247)</f>
        <v>5.5</v>
      </c>
      <c r="R23" s="2225">
        <f>IF('3.Cropland'!G247="",'3.Cropland'!F247,'3.Cropland'!G247)</f>
        <v>0</v>
      </c>
      <c r="S23" s="2908">
        <f>IF('3.Cropland'!U267&lt;&gt;"",'3.Cropland'!U267,'3.Cropland'!T267)</f>
        <v>0</v>
      </c>
      <c r="T23" s="215">
        <f t="shared" si="0"/>
        <v>0</v>
      </c>
      <c r="U23" s="1186">
        <f t="shared" si="1"/>
        <v>0</v>
      </c>
      <c r="V23" s="1865">
        <f>'3.Cropland'!T91</f>
        <v>0</v>
      </c>
      <c r="AE23" s="1914">
        <f>(MIN(C42,D42)*time_tot+ABS(D42-C42)*IF(D42&gt;C42,time2+time*(VLOOKUP(E42,List!$E$35:$F$37,2,)),time*(1-(VLOOKUP(E42,List!$E$35:$F$37,2,)))))*IF($L21="straw Burnt",$Q21*$W$14*($X$14*methane)/1000,0)</f>
        <v>0</v>
      </c>
      <c r="AF23" s="1914">
        <f>(MIN(C42,F42)*time_tot+ABS(F42-C42)*IF(F42&gt;C42,time2+time*(VLOOKUP(G42,List!$E$35:$F$37,2,)),time*(1-(VLOOKUP(G42,List!$E$35:$F$37,2,)))))*IF($L21="straw Burnt",$Q21*$W$14*($X$14*methane)/1000,0)</f>
        <v>0</v>
      </c>
      <c r="AG23" s="1914">
        <f>(MIN(C42,D42)*time_tot+ABS(D42-C42)*IF(D42&gt;C42,time2+time*(VLOOKUP(E42,List!$E$35:$F$37,2,)),time*(1-(VLOOKUP(E42,List!$E$35:$F$37,2,)))))*IF($L21="straw Burnt",$Q21*$W$14*($Y$14*Nitrous)/1000,0)</f>
        <v>0</v>
      </c>
      <c r="AH23" s="1914">
        <f>(MIN(C42,F42)*time_tot+ABS(F42-C42)*IF(F42&gt;C42,time2+time*(VLOOKUP(G42,List!$E$35:$F$37,2,)),time*(1-(VLOOKUP(G42,List!$E$35:$F$37,2,)))))*IF($L21="straw Burnt",$Q21*$W$14*($Y$14*Nitrous)/1000,0)</f>
        <v>0</v>
      </c>
      <c r="AI23" s="1914">
        <f>-$R21*((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J23" s="1914">
        <f>-$R21*((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K23" s="2413">
        <f>(MIN(C42,D42)*time+ABS(D42-C42)*IF(D42&gt;C42,time*(VLOOKUP(E42,List!$E$35:$F$37,2,)),time*(1-(VLOOKUP(E42,List!$E$35:$F$37,2,)))))*$T21*methane/1000</f>
        <v>0</v>
      </c>
      <c r="AL23" s="2413">
        <f>(MIN(C42,F42)*time+ABS(F42-C42)*IF(F42&gt;C42,time*(VLOOKUP(G42,List!$E$35:$F$37,2,)),time*(1-(VLOOKUP(G42,List!$E$35:$F$37,2,)))))*$T21*methane/1000</f>
        <v>0</v>
      </c>
      <c r="AM23" s="1914">
        <f>(MIN(C42,D42)*time+ABS(D42-C42)*IF(D42&gt;C42,time*(VLOOKUP(E42,List!$E$35:$F$37,2,)),time*(1-(VLOOKUP(E42,List!$E$35:$F$37,2,)))))*IF($L21="straw Burnt",$Q21*$W$14*($X$14*methane)/1000,0)</f>
        <v>0</v>
      </c>
      <c r="AN23" s="1914">
        <f>(MIN(C42,F42)*time+ABS(F42-C42)*IF(F42&gt;C42,time*(VLOOKUP(G42,List!$E$35:$F$37,2,)),time*(1-(VLOOKUP(G42,List!$E$35:$F$37,2,)))))*IF($L21="straw Burnt",$Q21*$W$14*($X$14*methane)/1000,0)</f>
        <v>0</v>
      </c>
      <c r="AO23" s="1914">
        <f>(MIN(C42,D42)*time+ABS(D42-C42)*IF(D42&gt;C42,time*(VLOOKUP(E42,List!$E$35:$F$37,2,)),time*(1-(VLOOKUP(E42,List!$E$35:$F$37,2,)))))*IF($L21="straw Burnt",$Q21*$W$14*($Y$14*Nitrous)/1000,0)</f>
        <v>0</v>
      </c>
      <c r="AP23" s="1914">
        <f>(MIN(C42,F42)*time+ABS(F42-C42)*IF(F42&gt;C42,time*(VLOOKUP(G42,List!$E$35:$F$37,2,)),time*(1-(VLOOKUP(G42,List!$E$35:$F$37,2,)))))*IF($L21="straw Burnt",$Q21*$W$14*($Y$14*Nitrous)/1000,0)</f>
        <v>0</v>
      </c>
      <c r="AQ23" s="1915" t="s">
        <v>25</v>
      </c>
      <c r="AR23" s="1915">
        <f>SUM(H32:H45)</f>
        <v>0</v>
      </c>
      <c r="AS23" s="1915">
        <f>SUM(I32:I45)</f>
        <v>0</v>
      </c>
    </row>
    <row r="24" spans="2:46" ht="13.5" thickBot="1">
      <c r="B24" s="114" t="s">
        <v>640</v>
      </c>
      <c r="C24" s="758"/>
      <c r="D24" s="1855">
        <f>'3.Cropland'!E92</f>
        <v>150</v>
      </c>
      <c r="E24" s="1858" t="str">
        <f>'3.Cropland'!F92</f>
        <v>Please select water regime</v>
      </c>
      <c r="F24" s="1862"/>
      <c r="G24" s="1862"/>
      <c r="H24" s="1858" t="str">
        <f>'3.Cropland'!I92</f>
        <v>Please select preseason water regime</v>
      </c>
      <c r="I24" s="1862"/>
      <c r="J24" s="1862"/>
      <c r="K24" s="1862"/>
      <c r="L24" s="1859" t="str">
        <f>'3.Cropland'!O92</f>
        <v>Please select type of Organic Amendment</v>
      </c>
      <c r="M24" s="1863"/>
      <c r="N24" s="1863"/>
      <c r="O24" s="1863"/>
      <c r="P24" s="1863"/>
      <c r="Q24" s="2219">
        <f>IF('3.Cropland'!K248="",'3.Cropland'!J248,'3.Cropland'!K248)</f>
        <v>5.5</v>
      </c>
      <c r="R24" s="2225">
        <f>IF('3.Cropland'!G248="",'3.Cropland'!F248,'3.Cropland'!G248)</f>
        <v>0</v>
      </c>
      <c r="S24" s="2908">
        <f>IF('3.Cropland'!U268&lt;&gt;"",'3.Cropland'!U268,'3.Cropland'!T268)</f>
        <v>0</v>
      </c>
      <c r="T24" s="1184">
        <f t="shared" si="0"/>
        <v>0</v>
      </c>
      <c r="U24" s="1185">
        <f t="shared" si="1"/>
        <v>0</v>
      </c>
      <c r="V24" s="1865">
        <f>'3.Cropland'!T92</f>
        <v>0</v>
      </c>
      <c r="AE24" s="1914">
        <f>(MIN(C43,D43)*time_tot+ABS(D43-C43)*IF(D43&gt;C43,time2+time*(VLOOKUP(E43,List!$E$35:$F$37,2,)),time*(1-(VLOOKUP(E43,List!$E$35:$F$37,2,)))))*IF($L22="straw Burnt",$Q22*$W$14*($X$14*methane)/1000,0)</f>
        <v>0</v>
      </c>
      <c r="AF24" s="1914">
        <f>(MIN(C43,F43)*time_tot+ABS(F43-C43)*IF(F43&gt;C43,time2+time*(VLOOKUP(G43,List!$E$35:$F$37,2,)),time*(1-(VLOOKUP(G43,List!$E$35:$F$37,2,)))))*IF($L22="straw Burnt",$Q22*$W$14*($X$14*methane)/1000,0)</f>
        <v>0</v>
      </c>
      <c r="AG24" s="1914">
        <f>(MIN(C43,D43)*time_tot+ABS(D43-C43)*IF(D43&gt;C43,time2+time*(VLOOKUP(E43,List!$E$35:$F$37,2,)),time*(1-(VLOOKUP(E43,List!$E$35:$F$37,2,)))))*IF($L22="straw Burnt",$Q22*$W$14*($Y$14*Nitrous)/1000,0)</f>
        <v>0</v>
      </c>
      <c r="AH24" s="1914">
        <f>(MIN(C43,F43)*time_tot+ABS(F43-C43)*IF(F43&gt;C43,time2+time*(VLOOKUP(G43,List!$E$35:$F$37,2,)),time*(1-(VLOOKUP(G43,List!$E$35:$F$37,2,)))))*IF($L22="straw Burnt",$Q22*$W$14*($Y$14*Nitrous)/1000,0)</f>
        <v>0</v>
      </c>
      <c r="AI24" s="1914">
        <f>-$R22*((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J24" s="1914">
        <f>-$R22*((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K24" s="2413">
        <f>(MIN(C43,D43)*time+ABS(D43-C43)*IF(D43&gt;C43,time*(VLOOKUP(E43,List!$E$35:$F$37,2,)),time*(1-(VLOOKUP(E43,List!$E$35:$F$37,2,)))))*$T22*methane/1000</f>
        <v>0</v>
      </c>
      <c r="AL24" s="2413">
        <f>(MIN(C43,F43)*time+ABS(F43-C43)*IF(F43&gt;C43,time*(VLOOKUP(G43,List!$E$35:$F$37,2,)),time*(1-(VLOOKUP(G43,List!$E$35:$F$37,2,)))))*$T22*methane/1000</f>
        <v>0</v>
      </c>
      <c r="AM24" s="1914">
        <f>(MIN(C43,D43)*time+ABS(D43-C43)*IF(D43&gt;C43,time*(VLOOKUP(E43,List!$E$35:$F$37,2,)),time*(1-(VLOOKUP(E43,List!$E$35:$F$37,2,)))))*IF($L22="straw Burnt",$Q22*$W$14*($X$14*methane)/1000,0)</f>
        <v>0</v>
      </c>
      <c r="AN24" s="1914">
        <f>(MIN(C43,F43)*time+ABS(F43-C43)*IF(F43&gt;C43,time*(VLOOKUP(G43,List!$E$35:$F$37,2,)),time*(1-(VLOOKUP(G43,List!$E$35:$F$37,2,)))))*IF($L22="straw Burnt",$Q22*$W$14*($X$14*methane)/1000,0)</f>
        <v>0</v>
      </c>
      <c r="AO24" s="1914">
        <f>(MIN(C43,D43)*time+ABS(D43-C43)*IF(D43&gt;C43,time*(VLOOKUP(E43,List!$E$35:$F$37,2,)),time*(1-(VLOOKUP(E43,List!$E$35:$F$37,2,)))))*IF($L22="straw Burnt",$Q22*$W$14*($Y$14*Nitrous)/1000,0)</f>
        <v>0</v>
      </c>
      <c r="AP24" s="1914">
        <f>(MIN(C43,F43)*time+ABS(F43-C43)*IF(F43&gt;C43,time*(VLOOKUP(G43,List!$E$35:$F$37,2,)),time*(1-(VLOOKUP(G43,List!$E$35:$F$37,2,)))))*IF($L22="straw Burnt",$Q22*$W$14*($Y$14*Nitrous)/1000,0)</f>
        <v>0</v>
      </c>
      <c r="AQ24" s="1915" t="s">
        <v>332</v>
      </c>
      <c r="AR24" s="1915">
        <f>SUM(AE13:AE26)+SUM(J32:J45)</f>
        <v>0</v>
      </c>
      <c r="AS24" s="1915">
        <f>SUM(AF13:AF26)+SUM(K32:K45)</f>
        <v>0</v>
      </c>
    </row>
    <row r="25" spans="2:46">
      <c r="B25" s="210" t="s">
        <v>641</v>
      </c>
      <c r="C25" s="210"/>
      <c r="D25" s="214"/>
      <c r="E25" s="214"/>
      <c r="F25" s="210"/>
      <c r="G25" s="210"/>
      <c r="H25" s="210"/>
      <c r="I25" s="210"/>
      <c r="J25" s="210"/>
      <c r="K25" s="210"/>
      <c r="L25" s="210"/>
      <c r="M25" s="210"/>
      <c r="R25" s="761" t="s">
        <v>883</v>
      </c>
      <c r="AE25" s="1914">
        <f>(MIN(C44,D44)*time_tot+ABS(D44-C44)*IF(D44&gt;C44,time2+time*(VLOOKUP(E44,List!$E$35:$F$37,2,)),time*(1-(VLOOKUP(E44,List!$E$35:$F$37,2,)))))*IF($L23="straw Burnt",$Q23*$W$14*($X$14*methane)/1000,0)</f>
        <v>0</v>
      </c>
      <c r="AF25" s="1914">
        <f>(MIN(C44,F44)*time_tot+ABS(F44-C44)*IF(F44&gt;C44,time2+time*(VLOOKUP(G44,List!$E$35:$F$37,2,)),time*(1-(VLOOKUP(G44,List!$E$35:$F$37,2,)))))*IF($L23="straw Burnt",$Q23*$W$14*($X$14*methane)/1000,0)</f>
        <v>0</v>
      </c>
      <c r="AG25" s="1914">
        <f>(MIN(C44,D44)*time_tot+ABS(D44-C44)*IF(D44&gt;C44,time2+time*(VLOOKUP(E44,List!$E$35:$F$37,2,)),time*(1-(VLOOKUP(E44,List!$E$35:$F$37,2,)))))*IF($L23="straw Burnt",$Q23*$W$14*($Y$14*Nitrous)/1000,0)</f>
        <v>0</v>
      </c>
      <c r="AH25" s="1914">
        <f>(MIN(C44,F44)*time_tot+ABS(F44-C44)*IF(F44&gt;C44,time2+time*(VLOOKUP(G44,List!$E$35:$F$37,2,)),time*(1-(VLOOKUP(G44,List!$E$35:$F$37,2,)))))*IF($L23="straw Burnt",$Q23*$W$14*($Y$14*Nitrous)/1000,0)</f>
        <v>0</v>
      </c>
      <c r="AI25" s="1914">
        <f>-$R23*((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J25" s="1914">
        <f>-$R23*((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K25" s="2413">
        <f>(MIN(C44,D44)*time+ABS(D44-C44)*IF(D44&gt;C44,time*(VLOOKUP(E44,List!$E$35:$F$37,2,)),time*(1-(VLOOKUP(E44,List!$E$35:$F$37,2,)))))*$T23*methane/1000</f>
        <v>0</v>
      </c>
      <c r="AL25" s="2413">
        <f>(MIN(C44,F44)*time+ABS(F44-C44)*IF(F44&gt;C44,time*(VLOOKUP(G44,List!$E$35:$F$37,2,)),time*(1-(VLOOKUP(G44,List!$E$35:$F$37,2,)))))*$T23*methane/1000</f>
        <v>0</v>
      </c>
      <c r="AM25" s="1914">
        <f>(MIN(C44,D44)*time+ABS(D44-C44)*IF(D44&gt;C44,time*(VLOOKUP(E44,List!$E$35:$F$37,2,)),time*(1-(VLOOKUP(E44,List!$E$35:$F$37,2,)))))*IF($L23="straw Burnt",$Q23*$W$14*($X$14*methane)/1000,0)</f>
        <v>0</v>
      </c>
      <c r="AN25" s="1914">
        <f>(MIN(C44,F44)*time+ABS(F44-C44)*IF(F44&gt;C44,time*(VLOOKUP(G44,List!$E$35:$F$37,2,)),time*(1-(VLOOKUP(G44,List!$E$35:$F$37,2,)))))*IF($L23="straw Burnt",$Q23*$W$14*($X$14*methane)/1000,0)</f>
        <v>0</v>
      </c>
      <c r="AO25" s="1914">
        <f>(MIN(C44,D44)*time+ABS(D44-C44)*IF(D44&gt;C44,time*(VLOOKUP(E44,List!$E$35:$F$37,2,)),time*(1-(VLOOKUP(E44,List!$E$35:$F$37,2,)))))*IF($L23="straw Burnt",$Q23*$W$14*($Y$14*Nitrous)/1000,0)</f>
        <v>0</v>
      </c>
      <c r="AP25" s="1914">
        <f>(MIN(C44,F44)*time+ABS(F44-C44)*IF(F44&gt;C44,time*(VLOOKUP(G44,List!$E$35:$F$37,2,)),time*(1-(VLOOKUP(G44,List!$E$35:$F$37,2,)))))*IF($L23="straw Burnt",$Q23*$W$14*($Y$14*Nitrous)/1000,0)</f>
        <v>0</v>
      </c>
      <c r="AQ25" s="1915" t="s">
        <v>333</v>
      </c>
      <c r="AR25" s="1915">
        <f>SUM(AG13:AG26)</f>
        <v>0</v>
      </c>
      <c r="AS25" s="1915">
        <f>SUM(AH13:AH26)</f>
        <v>0</v>
      </c>
    </row>
    <row r="26" spans="2:46">
      <c r="B26" s="210" t="s">
        <v>643</v>
      </c>
      <c r="C26" s="210"/>
      <c r="D26" s="214"/>
      <c r="E26" s="214"/>
      <c r="F26" s="210"/>
      <c r="G26" s="210"/>
      <c r="H26" s="210"/>
      <c r="I26" s="210"/>
      <c r="J26" s="210"/>
      <c r="K26" s="210"/>
      <c r="L26" s="210"/>
      <c r="M26" s="210"/>
      <c r="R26" s="568" t="s">
        <v>1268</v>
      </c>
      <c r="AE26" s="1914">
        <f>(MIN(C45,D45)*time_tot+ABS(D45-C45)*IF(D45&gt;C45,time2+time*(VLOOKUP(E45,List!$E$35:$F$37,2,)),time*(1-(VLOOKUP(E45,List!$E$35:$F$37,2,)))))*IF($L24="straw Burnt",$Q24*$W$14*($X$14*methane)/1000,0)</f>
        <v>0</v>
      </c>
      <c r="AF26" s="1914">
        <f>(MIN(C45,F45)*time_tot+ABS(F45-C45)*IF(F45&gt;C45,time2+time*(VLOOKUP(G45,List!$E$35:$F$37,2,)),time*(1-(VLOOKUP(G45,List!$E$35:$F$37,2,)))))*IF($L24="straw Burnt",$Q24*$W$14*($X$14*methane)/1000,0)</f>
        <v>0</v>
      </c>
      <c r="AG26" s="1914">
        <f>(MIN(C45,D45)*time_tot+ABS(D45-C45)*IF(D45&gt;C45,time2+time*(VLOOKUP(E45,List!$E$35:$F$37,2,)),time*(1-(VLOOKUP(E45,List!$E$35:$F$37,2,)))))*IF($L24="straw Burnt",$Q24*$W$14*($Y$14*Nitrous)/1000,0)</f>
        <v>0</v>
      </c>
      <c r="AH26" s="1914">
        <f>(MIN(C45,F45)*time_tot+ABS(F45-C45)*IF(F45&gt;C45,time2+time*(VLOOKUP(G45,List!$E$35:$F$37,2,)),time*(1-(VLOOKUP(G45,List!$E$35:$F$37,2,)))))*IF($L24="straw Burnt",$Q24*$W$14*($Y$14*Nitrous)/1000,0)</f>
        <v>0</v>
      </c>
      <c r="AI26" s="1914">
        <f>-$R24*((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J26" s="1914">
        <f>-$R24*((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K26" s="2413">
        <f>(MIN(C45,D45)*time+ABS(D45-C45)*IF(D45&gt;C45,time*(VLOOKUP(E45,List!$E$35:$F$37,2,)),time*(1-(VLOOKUP(E45,List!$E$35:$F$37,2,)))))*$T24*methane/1000</f>
        <v>0</v>
      </c>
      <c r="AL26" s="2413">
        <f>(MIN(C45,F45)*time+ABS(F45-C45)*IF(F45&gt;C45,time*(VLOOKUP(G45,List!$E$35:$F$37,2,)),time*(1-(VLOOKUP(G45,List!$E$35:$F$37,2,)))))*$T24*methane/1000</f>
        <v>0</v>
      </c>
      <c r="AM26" s="1914">
        <f>(MIN(C45,D45)*time+ABS(D45-C45)*IF(D45&gt;C45,time*(VLOOKUP(E45,List!$E$35:$F$37,2,)),time*(1-(VLOOKUP(E45,List!$E$35:$F$37,2,)))))*IF($L24="straw Burnt",$Q24*$W$14*($X$14*methane)/1000,0)</f>
        <v>0</v>
      </c>
      <c r="AN26" s="1914">
        <f>(MIN(C45,F45)*time+ABS(F45-C45)*IF(F45&gt;C45,time*(VLOOKUP(G45,List!$E$35:$F$37,2,)),time*(1-(VLOOKUP(G45,List!$E$35:$F$37,2,)))))*IF($L24="straw Burnt",$Q24*$W$14*($X$14*methane)/1000,0)</f>
        <v>0</v>
      </c>
      <c r="AO26" s="1914">
        <f>(MIN(C45,D45)*time+ABS(D45-C45)*IF(D45&gt;C45,time*(VLOOKUP(E45,List!$E$35:$F$37,2,)),time*(1-(VLOOKUP(E45,List!$E$35:$F$37,2,)))))*IF($L24="straw Burnt",$Q24*$W$14*($Y$14*Nitrous)/1000,0)</f>
        <v>0</v>
      </c>
      <c r="AP26" s="1914">
        <f>(MIN(C45,F45)*time+ABS(F45-C45)*IF(F45&gt;C45,time*(VLOOKUP(G45,List!$E$35:$F$37,2,)),time*(1-(VLOOKUP(G45,List!$E$35:$F$37,2,)))))*IF($L24="straw Burnt",$Q24*$W$14*($Y$14*Nitrous)/1000,0)</f>
        <v>0</v>
      </c>
      <c r="AQ26" s="1915"/>
      <c r="AR26" s="1915">
        <f>SUM(AR23:AR25)</f>
        <v>0</v>
      </c>
      <c r="AS26" s="1915">
        <f>SUM(AS23:AS25)</f>
        <v>0</v>
      </c>
    </row>
    <row r="27" spans="2:46">
      <c r="S27" s="1"/>
      <c r="T27" s="1"/>
      <c r="U27" s="9"/>
      <c r="V27" s="9"/>
      <c r="W27" s="55"/>
      <c r="AG27" s="2421"/>
      <c r="AJ27" s="1914"/>
      <c r="AL27" s="1915"/>
    </row>
    <row r="28" spans="2:46">
      <c r="B28" s="160" t="s">
        <v>654</v>
      </c>
      <c r="C28" s="161"/>
      <c r="D28" s="160"/>
      <c r="E28" s="160"/>
      <c r="F28" s="160"/>
      <c r="G28" s="160"/>
      <c r="H28" s="160" t="s">
        <v>100</v>
      </c>
      <c r="I28" s="160"/>
      <c r="J28" s="160"/>
      <c r="K28" s="160"/>
      <c r="L28" s="160"/>
      <c r="M28" s="160"/>
      <c r="N28" s="160"/>
      <c r="O28" s="160"/>
      <c r="P28" s="160"/>
      <c r="R28" s="2037" t="s">
        <v>1486</v>
      </c>
      <c r="S28" s="2033"/>
      <c r="T28" s="2039"/>
      <c r="U28" s="9"/>
      <c r="V28" s="9"/>
      <c r="W28" s="55"/>
      <c r="AF28" s="1902" t="s">
        <v>1572</v>
      </c>
      <c r="AG28" s="1902"/>
      <c r="AH28" s="1902"/>
      <c r="AI28" s="1902"/>
      <c r="AJ28" s="1902"/>
    </row>
    <row r="29" spans="2:46">
      <c r="B29" s="150" t="s">
        <v>653</v>
      </c>
      <c r="C29" s="150"/>
      <c r="D29" s="135"/>
      <c r="E29" s="135"/>
      <c r="F29" s="135"/>
      <c r="G29" s="135"/>
      <c r="H29" s="3798" t="s">
        <v>102</v>
      </c>
      <c r="I29" s="3736"/>
      <c r="J29" s="3735" t="s">
        <v>101</v>
      </c>
      <c r="K29" s="3736"/>
      <c r="L29" s="209" t="s">
        <v>693</v>
      </c>
      <c r="M29" s="281"/>
      <c r="N29" s="150" t="s">
        <v>516</v>
      </c>
      <c r="O29" s="217"/>
      <c r="P29" s="131" t="s">
        <v>343</v>
      </c>
      <c r="R29" s="2032" t="s">
        <v>1487</v>
      </c>
      <c r="S29" s="2029"/>
      <c r="T29" s="2035"/>
      <c r="U29" s="9"/>
      <c r="V29" s="9"/>
      <c r="W29" s="55"/>
      <c r="AF29" s="1902" t="s">
        <v>260</v>
      </c>
      <c r="AG29" s="1902"/>
      <c r="AH29" s="1902"/>
      <c r="AI29" s="1902"/>
      <c r="AJ29" s="1902"/>
    </row>
    <row r="30" spans="2:46">
      <c r="B30" s="227"/>
      <c r="C30" s="259" t="s">
        <v>1271</v>
      </c>
      <c r="D30" s="260" t="s">
        <v>673</v>
      </c>
      <c r="E30" s="226"/>
      <c r="F30" s="300" t="s">
        <v>672</v>
      </c>
      <c r="G30" s="225"/>
      <c r="H30" s="3733" t="s">
        <v>692</v>
      </c>
      <c r="I30" s="3734"/>
      <c r="J30" s="3799" t="s">
        <v>692</v>
      </c>
      <c r="K30" s="3734"/>
      <c r="L30" s="230"/>
      <c r="M30" s="229"/>
      <c r="N30" s="113" t="s">
        <v>656</v>
      </c>
      <c r="O30" s="910"/>
      <c r="P30" s="221" t="s">
        <v>859</v>
      </c>
      <c r="R30" s="2036" t="s">
        <v>674</v>
      </c>
      <c r="S30" s="2038" t="s">
        <v>675</v>
      </c>
      <c r="T30" s="2031" t="s">
        <v>343</v>
      </c>
      <c r="U30" s="9"/>
      <c r="V30" s="9"/>
      <c r="W30" s="55"/>
      <c r="AF30" s="1902"/>
      <c r="AG30" s="1902" t="s">
        <v>341</v>
      </c>
      <c r="AH30" s="1902"/>
      <c r="AI30" s="1902" t="s">
        <v>1574</v>
      </c>
      <c r="AJ30" s="1902"/>
    </row>
    <row r="31" spans="2:46">
      <c r="B31" s="223" t="s">
        <v>652</v>
      </c>
      <c r="C31" s="898" t="s">
        <v>347</v>
      </c>
      <c r="D31" s="151" t="s">
        <v>341</v>
      </c>
      <c r="E31" s="152" t="s">
        <v>348</v>
      </c>
      <c r="F31" s="224" t="s">
        <v>341</v>
      </c>
      <c r="G31" s="228" t="s">
        <v>348</v>
      </c>
      <c r="H31" s="275" t="s">
        <v>674</v>
      </c>
      <c r="I31" s="276" t="s">
        <v>675</v>
      </c>
      <c r="J31" s="1181" t="s">
        <v>674</v>
      </c>
      <c r="K31" s="276" t="s">
        <v>675</v>
      </c>
      <c r="L31" s="279" t="s">
        <v>674</v>
      </c>
      <c r="M31" s="280" t="s">
        <v>675</v>
      </c>
      <c r="N31" s="277" t="s">
        <v>674</v>
      </c>
      <c r="O31" s="911" t="s">
        <v>675</v>
      </c>
      <c r="P31" s="912"/>
      <c r="R31" s="2040" t="s">
        <v>1434</v>
      </c>
      <c r="S31" s="2041" t="s">
        <v>1434</v>
      </c>
      <c r="T31" s="2030"/>
      <c r="U31" s="9"/>
      <c r="V31" s="9"/>
      <c r="W31" s="55"/>
      <c r="AF31" s="1902" t="s">
        <v>347</v>
      </c>
      <c r="AG31" s="1902" t="s">
        <v>54</v>
      </c>
      <c r="AH31" s="1902" t="s">
        <v>274</v>
      </c>
      <c r="AI31" s="1902" t="s">
        <v>54</v>
      </c>
      <c r="AJ31" s="1902" t="s">
        <v>274</v>
      </c>
    </row>
    <row r="32" spans="2:46">
      <c r="B32" s="410" t="s">
        <v>1235</v>
      </c>
      <c r="C32" s="407">
        <v>0</v>
      </c>
      <c r="D32" s="407">
        <f>Matrix!H10</f>
        <v>0</v>
      </c>
      <c r="E32" s="403" t="s">
        <v>351</v>
      </c>
      <c r="F32" s="407">
        <f>Matrix!H27</f>
        <v>0</v>
      </c>
      <c r="G32" s="1481" t="s">
        <v>351</v>
      </c>
      <c r="H32" s="1456">
        <f>-$R11*((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I32" s="1458">
        <f>-$R11*((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J32" s="1457">
        <f>(MIN(C32,D32)*time_tot+ABS(D32-C32)*IF(D32&gt;C32,time2+time*(VLOOKUP(E32,List!$E$35:$F$37,2,)),time*(1-(VLOOKUP(E32,List!$E$35:$F$37,2,)))))*$T11*methane/1000</f>
        <v>0</v>
      </c>
      <c r="K32" s="1457">
        <f>(MIN(C32,F32)*time_tot+ABS(F32-C32)*IF(F32&gt;C32,time2+time*(VLOOKUP(G32,List!$E$35:$F$37,2,)),time*(1-(VLOOKUP(G32,List!$E$35:$F$37,2,)))))*$T11*methane/1000</f>
        <v>0</v>
      </c>
      <c r="L32" s="1456">
        <f>(MIN(C32,D32)*time_tot+ABS(D32-C32)*IF(D32&gt;C32,time2+time*(VLOOKUP(E32,List!$E$35:$F$37,2,)),time*(1-(VLOOKUP(E32,List!$E$35:$F$37,2,)))))*$U11</f>
        <v>0</v>
      </c>
      <c r="M32" s="1465">
        <f>(MIN(C32,F32)*time_tot+ABS(F32-C32)*IF(F32&gt;C32,time2+time*(VLOOKUP(G32,List!$E$35:$F$37,2,)),time*(1-(VLOOKUP(G32,List!$E$35:$F$37,2,)))))*$U11</f>
        <v>0</v>
      </c>
      <c r="N32" s="1466">
        <f>L32+J32+H32</f>
        <v>0</v>
      </c>
      <c r="O32" s="1465">
        <f>M32+K32+I32</f>
        <v>0</v>
      </c>
      <c r="P32" s="412">
        <f>O32-N32</f>
        <v>0</v>
      </c>
      <c r="R32" s="2043">
        <f>$V11*(time*((ABS(D32-C32)*(IF(C32&lt;=D32,VLOOKUP(E32,List!$E$35:$F$37,2,),1-VLOOKUP(E32,List!$E$35:$F$37,2,))))+MIN(D32,C32))+(D32*time2))</f>
        <v>0</v>
      </c>
      <c r="S32" s="2043">
        <f>$V11*(time*((ABS(F32-C32)*(IF(C32&lt;=F32,VLOOKUP(G32,List!$E$35:$F$37,2,),1-VLOOKUP(G32,List!$E$35:$F$37,2,))))+MIN(F32,C32))+(F32*time2))</f>
        <v>0</v>
      </c>
      <c r="T32" s="2034">
        <f>S32-R32</f>
        <v>0</v>
      </c>
      <c r="U32" s="9"/>
      <c r="V32" s="9"/>
      <c r="W32" s="55"/>
      <c r="AF32" s="1902">
        <f>C32*IF($L11="Straw burnt",1,0)</f>
        <v>0</v>
      </c>
      <c r="AG32" s="1902">
        <f>D32*IF($L11="Straw burnt",1,0)</f>
        <v>0</v>
      </c>
      <c r="AH32" s="1902">
        <f>F32*IF($L11="Straw burnt",1,0)</f>
        <v>0</v>
      </c>
      <c r="AI32" s="1914">
        <f t="shared" ref="AI32:AI45" si="2">IF(L32&gt;0,L32/$U11,0)</f>
        <v>0</v>
      </c>
      <c r="AJ32" s="1914">
        <f t="shared" ref="AJ32:AJ45" si="3">IF(M32&gt;0,M32/$U11,0)</f>
        <v>0</v>
      </c>
    </row>
    <row r="33" spans="2:36">
      <c r="B33" s="426" t="s">
        <v>1141</v>
      </c>
      <c r="C33" s="407">
        <f>MAX(Matrix!E30,Matrix!E13)</f>
        <v>0</v>
      </c>
      <c r="D33" s="407">
        <f>C33-Matrix!E13</f>
        <v>0</v>
      </c>
      <c r="E33" s="403" t="s">
        <v>351</v>
      </c>
      <c r="F33" s="407">
        <f>C33-Matrix!E30</f>
        <v>0</v>
      </c>
      <c r="G33" s="1481" t="s">
        <v>351</v>
      </c>
      <c r="H33" s="1467">
        <f>-$R12*((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I33" s="1465">
        <f>-$R12*((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J33" s="1457">
        <f>(MIN(C33,D33)*time_tot+ABS(D33-C33)*IF(D33&gt;C33,time2+time*(VLOOKUP(E33,List!$E$35:$F$37,2,)),time*(1-(VLOOKUP(E33,List!$E$35:$F$37,2,)))))*$T12*methane/1000</f>
        <v>0</v>
      </c>
      <c r="K33" s="1457">
        <f>(MIN(C33,F33)*time_tot+ABS(F33-C33)*IF(F33&gt;C33,time2+time*(VLOOKUP(G33,List!$E$35:$F$37,2,)),time*(1-(VLOOKUP(G33,List!$E$35:$F$37,2,)))))*$T12*methane/1000</f>
        <v>0</v>
      </c>
      <c r="L33" s="1456">
        <f>(MIN(C33,D33)*time_tot+ABS(D33-C33)*IF(D33&gt;C33,time2+time*(VLOOKUP(E33,List!$E$35:$F$37,2,)),time*(1-(VLOOKUP(E33,List!$E$35:$F$37,2,)))))*$U12</f>
        <v>0</v>
      </c>
      <c r="M33" s="1465">
        <f>(MIN(C33,F33)*time_tot+ABS(F33-C33)*IF(F33&gt;C33,time2+time*(VLOOKUP(G33,List!$E$35:$F$37,2,)),time*(1-(VLOOKUP(G33,List!$E$35:$F$37,2,)))))*$U12</f>
        <v>0</v>
      </c>
      <c r="N33" s="1467">
        <f t="shared" ref="N33:N45" si="4">L33+J33+H33</f>
        <v>0</v>
      </c>
      <c r="O33" s="1465">
        <f t="shared" ref="O33:O45" si="5">M33+K33+I33</f>
        <v>0</v>
      </c>
      <c r="P33" s="412">
        <f>O33-N33</f>
        <v>0</v>
      </c>
      <c r="R33" s="2043">
        <f>$V12*(time*((ABS(D33-C33)*(IF(C33&lt;=D33,VLOOKUP(E33,List!$E$35:$F$37,2,),1-VLOOKUP(E33,List!$E$35:$F$37,2,))))+MIN(D33,C33))+(D33*time2))</f>
        <v>0</v>
      </c>
      <c r="S33" s="2043">
        <f>$V12*(time*((ABS(F33-C33)*(IF(C33&lt;=F33,VLOOKUP(G33,List!$E$35:$F$37,2,),1-VLOOKUP(G33,List!$E$35:$F$37,2,))))+MIN(F33,C33))+(F33*time2))</f>
        <v>0</v>
      </c>
      <c r="T33" s="2034">
        <f t="shared" ref="T33:T45" si="6">S33-R33</f>
        <v>0</v>
      </c>
      <c r="U33" s="9"/>
      <c r="V33" s="9"/>
      <c r="W33" s="55"/>
      <c r="AF33" s="1902">
        <f t="shared" ref="AF33:AF45" si="7">C33*IF($L12="Straw burnt",1,0)</f>
        <v>0</v>
      </c>
      <c r="AG33" s="1902">
        <f t="shared" ref="AG33:AG45" si="8">D33*IF($L12="Straw burnt",1,0)</f>
        <v>0</v>
      </c>
      <c r="AH33" s="1902">
        <f t="shared" ref="AH33:AH45" si="9">F33*IF($L12="Straw burnt",1,0)</f>
        <v>0</v>
      </c>
      <c r="AI33" s="1914">
        <f t="shared" si="2"/>
        <v>0</v>
      </c>
      <c r="AJ33" s="1914">
        <f t="shared" si="3"/>
        <v>0</v>
      </c>
    </row>
    <row r="34" spans="2:36">
      <c r="B34" s="426" t="s">
        <v>1236</v>
      </c>
      <c r="C34" s="404">
        <v>0</v>
      </c>
      <c r="D34" s="406">
        <f>Matrix!AR22+Matrix!AY22+Matrix!BN22+Matrix!BU22+Matrix!CB22+Matrix!CI22</f>
        <v>0</v>
      </c>
      <c r="E34" s="405" t="s">
        <v>351</v>
      </c>
      <c r="F34" s="406">
        <f>Matrix!CI38+Matrix!CB38+Matrix!BU38+Matrix!BN38+Matrix!AY38+Matrix!AR38</f>
        <v>0</v>
      </c>
      <c r="G34" s="1482" t="s">
        <v>351</v>
      </c>
      <c r="H34" s="1461">
        <f>-$R13*((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62">
        <f>-$R13*((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(MIN(C34,D34)*time_tot+ABS(D34-C34)*IF(D34&gt;C34,time2+time*(VLOOKUP(E34,List!$E$35:$F$37,2,)),time*(1-(VLOOKUP(E34,List!$E$35:$F$37,2,)))))*$T13*methane/1000</f>
        <v>0</v>
      </c>
      <c r="K34" s="1457">
        <f>(MIN(C34,F34)*time_tot+ABS(F34-C34)*IF(F34&gt;C34,time2+time*(VLOOKUP(G34,List!$E$35:$F$37,2,)),time*(1-(VLOOKUP(G34,List!$E$35:$F$37,2,)))))*$T13*methane/1000</f>
        <v>0</v>
      </c>
      <c r="L34" s="1456">
        <f>(MIN(C34,D34)*time_tot+ABS(D34-C34)*IF(D34&gt;C34,time2+time*(VLOOKUP(E34,List!$E$35:$F$37,2,)),time*(1-(VLOOKUP(E34,List!$E$35:$F$37,2,)))))*$U13</f>
        <v>0</v>
      </c>
      <c r="M34" s="1465">
        <f>(MIN(C34,F34)*time_tot+ABS(F34-C34)*IF(F34&gt;C34,time2+time*(VLOOKUP(G34,List!$E$35:$F$37,2,)),time*(1-(VLOOKUP(G34,List!$E$35:$F$37,2,)))))*$U13</f>
        <v>0</v>
      </c>
      <c r="N34" s="1467">
        <f t="shared" si="4"/>
        <v>0</v>
      </c>
      <c r="O34" s="1465">
        <f t="shared" si="5"/>
        <v>0</v>
      </c>
      <c r="P34" s="412">
        <f>O34-N34</f>
        <v>0</v>
      </c>
      <c r="R34" s="2043">
        <f>$V13*(time*((ABS(D34-C34)*(IF(C34&lt;=D34,VLOOKUP(E34,List!$E$35:$F$37,2,),1-VLOOKUP(E34,List!$E$35:$F$37,2,))))+MIN(D34,C34))+(D34*time2))</f>
        <v>0</v>
      </c>
      <c r="S34" s="2043">
        <f>$V13*(time*((ABS(F34-C34)*(IF(C34&lt;=F34,VLOOKUP(G34,List!$E$35:$F$37,2,),1-VLOOKUP(G34,List!$E$35:$F$37,2,))))+MIN(F34,C34))+(F34*time2))</f>
        <v>0</v>
      </c>
      <c r="T34" s="2034">
        <f t="shared" si="6"/>
        <v>0</v>
      </c>
      <c r="U34" s="9"/>
      <c r="V34" s="9"/>
      <c r="W34" s="55"/>
      <c r="AF34" s="1902">
        <f t="shared" si="7"/>
        <v>0</v>
      </c>
      <c r="AG34" s="1902">
        <f t="shared" si="8"/>
        <v>0</v>
      </c>
      <c r="AH34" s="1902">
        <f t="shared" si="9"/>
        <v>0</v>
      </c>
      <c r="AI34" s="1914">
        <f t="shared" si="2"/>
        <v>0</v>
      </c>
      <c r="AJ34" s="1914">
        <f t="shared" si="3"/>
        <v>0</v>
      </c>
    </row>
    <row r="35" spans="2:36" ht="13.5" thickBot="1">
      <c r="B35" s="295" t="s">
        <v>1237</v>
      </c>
      <c r="C35" s="428">
        <f>MAX(SUM(Matrix!BE22:BJ22),SUM(Matrix!BE38:BJ38))</f>
        <v>0</v>
      </c>
      <c r="D35" s="409">
        <f>C35-SUM(Matrix!BE22:BJ22)</f>
        <v>0</v>
      </c>
      <c r="E35" s="408" t="s">
        <v>351</v>
      </c>
      <c r="F35" s="409">
        <f>C35-SUM(Matrix!BE38:BJ38)</f>
        <v>0</v>
      </c>
      <c r="G35" s="1483" t="s">
        <v>351</v>
      </c>
      <c r="H35" s="1467">
        <f>-$R14*((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65">
        <f>-$R14*((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(MIN(C35,D35)*time_tot+ABS(D35-C35)*IF(D35&gt;C35,time2+time*(VLOOKUP(E35,List!$E$35:$F$37,2,)),time*(1-(VLOOKUP(E35,List!$E$35:$F$37,2,)))))*$T14*methane/1000</f>
        <v>0</v>
      </c>
      <c r="K35" s="1457">
        <f>(MIN(C35,F35)*time_tot+ABS(F35-C35)*IF(F35&gt;C35,time2+time*(VLOOKUP(G35,List!$E$35:$F$37,2,)),time*(1-(VLOOKUP(G35,List!$E$35:$F$37,2,)))))*$T14*methane/1000</f>
        <v>0</v>
      </c>
      <c r="L35" s="1456">
        <f>(MIN(C35,D35)*time_tot+ABS(D35-C35)*IF(D35&gt;C35,time2+time*(VLOOKUP(E35,List!$E$35:$F$37,2,)),time*(1-(VLOOKUP(E35,List!$E$35:$F$37,2,)))))*$U14</f>
        <v>0</v>
      </c>
      <c r="M35" s="1458">
        <f>(MIN(C35,F35)*time_tot+ABS(F35-C35)*IF(F35&gt;C35,time2+time*(VLOOKUP(G35,List!$E$35:$F$37,2,)),time*(1-(VLOOKUP(G35,List!$E$35:$F$37,2,)))))*$U14</f>
        <v>0</v>
      </c>
      <c r="N35" s="1456">
        <f t="shared" si="4"/>
        <v>0</v>
      </c>
      <c r="O35" s="1458">
        <f t="shared" si="5"/>
        <v>0</v>
      </c>
      <c r="P35" s="283">
        <f>O35-N35</f>
        <v>0</v>
      </c>
      <c r="R35" s="2043">
        <f>$V14*(time*((ABS(D35-C35)*(IF(C35&lt;=D35,VLOOKUP(E35,List!$E$35:$F$37,2,),1-VLOOKUP(E35,List!$E$35:$F$37,2,))))+MIN(D35,C35))+(D35*time2))</f>
        <v>0</v>
      </c>
      <c r="S35" s="2043">
        <f>$V14*(time*((ABS(F35-C35)*(IF(C35&lt;=F35,VLOOKUP(G35,List!$E$35:$F$37,2,),1-VLOOKUP(G35,List!$E$35:$F$37,2,))))+MIN(F35,C35))+(F35*time2))</f>
        <v>0</v>
      </c>
      <c r="T35" s="2034">
        <f t="shared" si="6"/>
        <v>0</v>
      </c>
      <c r="U35" s="9"/>
      <c r="V35" s="9"/>
      <c r="W35" s="55"/>
      <c r="AF35" s="1902">
        <f t="shared" si="7"/>
        <v>0</v>
      </c>
      <c r="AG35" s="1902">
        <f t="shared" si="8"/>
        <v>0</v>
      </c>
      <c r="AH35" s="1902">
        <f t="shared" si="9"/>
        <v>0</v>
      </c>
      <c r="AI35" s="1914">
        <f t="shared" si="2"/>
        <v>0</v>
      </c>
      <c r="AJ35" s="1914">
        <f t="shared" si="3"/>
        <v>0</v>
      </c>
    </row>
    <row r="36" spans="2:36" ht="13.5" thickBot="1">
      <c r="B36" s="153" t="str">
        <f>B15</f>
        <v>Rice1</v>
      </c>
      <c r="C36" s="1864">
        <f>'3.Cropland'!W83</f>
        <v>0</v>
      </c>
      <c r="D36" s="1864">
        <f>'3.Cropland'!X83</f>
        <v>0</v>
      </c>
      <c r="E36" s="2179" t="str">
        <f>VLOOKUP('3.Cropland'!Y83,List!$D$35:$E$37,2,)</f>
        <v>Linear</v>
      </c>
      <c r="F36" s="1793">
        <f>'3.Cropland'!Z83</f>
        <v>0</v>
      </c>
      <c r="G36" s="2179" t="str">
        <f>VLOOKUP('3.Cropland'!AA83,List!$D$35:$E$37,2,)</f>
        <v>Linear</v>
      </c>
      <c r="H36" s="1459">
        <f>-$R15*((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0">
        <f>-$R15*((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(MIN(C36,D36)*time_tot+ABS(D36-C36)*IF(D36&gt;C36,time2+time*(VLOOKUP(E36,List!$E$35:$F$37,2,)),time*(1-(VLOOKUP(E36,List!$E$35:$F$37,2,)))))*$T15*methane/1000</f>
        <v>0</v>
      </c>
      <c r="K36" s="1457">
        <f>(MIN(C36,F36)*time_tot+ABS(F36-C36)*IF(F36&gt;C36,time2+time*(VLOOKUP(G36,List!$E$35:$F$37,2,)),time*(1-(VLOOKUP(G36,List!$E$35:$F$37,2,)))))*$T15*methane/1000</f>
        <v>0</v>
      </c>
      <c r="L36" s="1456">
        <f>(MIN(C36,D36)*time_tot+ABS(D36-C36)*IF(D36&gt;C36,time2+time*(VLOOKUP(E36,List!$E$35:$F$37,2,)),time*(1-(VLOOKUP(E36,List!$E$35:$F$37,2,)))))*$U15</f>
        <v>0</v>
      </c>
      <c r="M36" s="1458">
        <f>(MIN(C36,F36)*time_tot+ABS(F36-C36)*IF(F36&gt;C36,time2+time*(VLOOKUP(G36,List!$E$35:$F$37,2,)),time*(1-(VLOOKUP(G36,List!$E$35:$F$37,2,)))))*$U15</f>
        <v>0</v>
      </c>
      <c r="N36" s="1457">
        <f t="shared" si="4"/>
        <v>0</v>
      </c>
      <c r="O36" s="1458">
        <f t="shared" si="5"/>
        <v>0</v>
      </c>
      <c r="P36" s="1027">
        <f>O36-N36</f>
        <v>0</v>
      </c>
      <c r="R36" s="2043">
        <f>$V15*(time*((ABS(D36-C36)*(IF(C36&lt;=D36,VLOOKUP(E36,List!$E$35:$F$37,2,),1-VLOOKUP(E36,List!$E$35:$F$37,2,))))+MIN(D36,C36))+(D36*time2))</f>
        <v>0</v>
      </c>
      <c r="S36" s="2043">
        <f>$V15*(time*((ABS(F36-C36)*(IF(C36&lt;=F36,VLOOKUP(G36,List!$E$35:$F$37,2,),1-VLOOKUP(G36,List!$E$35:$F$37,2,))))+MIN(F36,C36))+(F36*time2))</f>
        <v>0</v>
      </c>
      <c r="T36" s="2034">
        <f t="shared" si="6"/>
        <v>0</v>
      </c>
      <c r="U36" s="9"/>
      <c r="V36" s="9"/>
      <c r="W36" s="55"/>
      <c r="AF36" s="1902">
        <f t="shared" si="7"/>
        <v>0</v>
      </c>
      <c r="AG36" s="1902">
        <f t="shared" si="8"/>
        <v>0</v>
      </c>
      <c r="AH36" s="1902">
        <f t="shared" si="9"/>
        <v>0</v>
      </c>
      <c r="AI36" s="1914">
        <f t="shared" si="2"/>
        <v>0</v>
      </c>
      <c r="AJ36" s="1914">
        <f t="shared" si="3"/>
        <v>0</v>
      </c>
    </row>
    <row r="37" spans="2:36" ht="13.5" thickBot="1">
      <c r="B37" s="153" t="str">
        <f t="shared" ref="B37:B45" si="10">B16</f>
        <v>Rice2</v>
      </c>
      <c r="C37" s="1864">
        <f>'3.Cropland'!W84</f>
        <v>0</v>
      </c>
      <c r="D37" s="1864">
        <f>'3.Cropland'!X84</f>
        <v>0</v>
      </c>
      <c r="E37" s="2179" t="str">
        <f>VLOOKUP('3.Cropland'!Y84,List!$D$35:$E$37,2,)</f>
        <v>Linear</v>
      </c>
      <c r="F37" s="1793">
        <f>'3.Cropland'!Z84</f>
        <v>0</v>
      </c>
      <c r="G37" s="2179" t="str">
        <f>VLOOKUP('3.Cropland'!AA84,List!$D$35:$E$37,2,)</f>
        <v>Linear</v>
      </c>
      <c r="H37" s="1459">
        <f>-$R16*((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0">
        <f>-$R16*((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63">
        <f>(MIN(C37,D37)*time_tot+ABS(D37-C37)*IF(D37&gt;C37,time2+time*(VLOOKUP(E37,List!$E$35:$F$37,2,)),time*(1-(VLOOKUP(E37,List!$E$35:$F$37,2,)))))*$T16*methane/1000</f>
        <v>0</v>
      </c>
      <c r="K37" s="1463">
        <f>(MIN(C37,F37)*time_tot+ABS(F37-C37)*IF(F37&gt;C37,time2+time*(VLOOKUP(G37,List!$E$35:$F$37,2,)),time*(1-(VLOOKUP(G37,List!$E$35:$F$37,2,)))))*$T16*methane/1000</f>
        <v>0</v>
      </c>
      <c r="L37" s="1459">
        <f>(MIN(C37,D37)*time_tot+ABS(D37-C37)*IF(D37&gt;C37,time2+time*(VLOOKUP(E37,List!$E$35:$F$37,2,)),time*(1-(VLOOKUP(E37,List!$E$35:$F$37,2,)))))*$U16</f>
        <v>0</v>
      </c>
      <c r="M37" s="1460">
        <f>(MIN(C37,F37)*time_tot+ABS(F37-C37)*IF(F37&gt;C37,time2+time*(VLOOKUP(G37,List!$E$35:$F$37,2,)),time*(1-(VLOOKUP(G37,List!$E$35:$F$37,2,)))))*$U16</f>
        <v>0</v>
      </c>
      <c r="N37" s="1463">
        <f t="shared" si="4"/>
        <v>0</v>
      </c>
      <c r="O37" s="1460">
        <f t="shared" si="5"/>
        <v>0</v>
      </c>
      <c r="P37" s="1028">
        <f t="shared" ref="P37:P45" si="11">O37-N37</f>
        <v>0</v>
      </c>
      <c r="R37" s="2043">
        <f>$V16*(time*((ABS(D37-C37)*(IF(C37&lt;=D37,VLOOKUP(E37,List!$E$35:$F$37,2,),1-VLOOKUP(E37,List!$E$35:$F$37,2,))))+MIN(D37,C37))+(D37*time2))</f>
        <v>0</v>
      </c>
      <c r="S37" s="2043">
        <f>$V16*(time*((ABS(F37-C37)*(IF(C37&lt;=F37,VLOOKUP(G37,List!$E$35:$F$37,2,),1-VLOOKUP(G37,List!$E$35:$F$37,2,))))+MIN(F37,C37))+(F37*time2))</f>
        <v>0</v>
      </c>
      <c r="T37" s="2034">
        <f t="shared" si="6"/>
        <v>0</v>
      </c>
      <c r="U37" s="9"/>
      <c r="V37" s="9"/>
      <c r="W37" s="55"/>
      <c r="AF37" s="1902">
        <f t="shared" si="7"/>
        <v>0</v>
      </c>
      <c r="AG37" s="1902">
        <f t="shared" si="8"/>
        <v>0</v>
      </c>
      <c r="AH37" s="1902">
        <f t="shared" si="9"/>
        <v>0</v>
      </c>
      <c r="AI37" s="1914">
        <f t="shared" si="2"/>
        <v>0</v>
      </c>
      <c r="AJ37" s="1914">
        <f t="shared" si="3"/>
        <v>0</v>
      </c>
    </row>
    <row r="38" spans="2:36" ht="13.5" thickBot="1">
      <c r="B38" s="153" t="str">
        <f t="shared" si="10"/>
        <v>Rice3</v>
      </c>
      <c r="C38" s="1864">
        <f>'3.Cropland'!W85</f>
        <v>0</v>
      </c>
      <c r="D38" s="1864">
        <f>'3.Cropland'!X85</f>
        <v>0</v>
      </c>
      <c r="E38" s="2179" t="str">
        <f>VLOOKUP('3.Cropland'!Y85,List!$D$35:$E$37,2,)</f>
        <v>Linear</v>
      </c>
      <c r="F38" s="1793">
        <f>'3.Cropland'!Z85</f>
        <v>0</v>
      </c>
      <c r="G38" s="2179" t="str">
        <f>VLOOKUP('3.Cropland'!AA85,List!$D$35:$E$37,2,)</f>
        <v>Linear</v>
      </c>
      <c r="H38" s="1459">
        <f>-$R17*((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R17*((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63">
        <f>(MIN(C38,D38)*time_tot+ABS(D38-C38)*IF(D38&gt;C38,time2+time*(VLOOKUP(E38,List!$E$35:$F$37,2,)),time*(1-(VLOOKUP(E38,List!$E$35:$F$37,2,)))))*$T17*methane/1000</f>
        <v>0</v>
      </c>
      <c r="K38" s="1463">
        <f>(MIN(C38,F38)*time_tot+ABS(F38-C38)*IF(F38&gt;C38,time2+time*(VLOOKUP(G38,List!$E$35:$F$37,2,)),time*(1-(VLOOKUP(G38,List!$E$35:$F$37,2,)))))*$T17*methane/1000</f>
        <v>0</v>
      </c>
      <c r="L38" s="1459">
        <f>(MIN(C38,D38)*time_tot+ABS(D38-C38)*IF(D38&gt;C38,time2+time*(VLOOKUP(E38,List!$E$35:$F$37,2,)),time*(1-(VLOOKUP(E38,List!$E$35:$F$37,2,)))))*$U17</f>
        <v>0</v>
      </c>
      <c r="M38" s="1460">
        <f>(MIN(C38,F38)*time_tot+ABS(F38-C38)*IF(F38&gt;C38,time2+time*(VLOOKUP(G38,List!$E$35:$F$37,2,)),time*(1-(VLOOKUP(G38,List!$E$35:$F$37,2,)))))*$U17</f>
        <v>0</v>
      </c>
      <c r="N38" s="1463">
        <f t="shared" si="4"/>
        <v>0</v>
      </c>
      <c r="O38" s="1460">
        <f t="shared" si="5"/>
        <v>0</v>
      </c>
      <c r="P38" s="1028">
        <f t="shared" si="11"/>
        <v>0</v>
      </c>
      <c r="R38" s="2043">
        <f>$V17*(time*((ABS(D38-C38)*(IF(C38&lt;=D38,VLOOKUP(E38,List!$E$35:$F$37,2,),1-VLOOKUP(E38,List!$E$35:$F$37,2,))))+MIN(D38,C38))+(D38*time2))</f>
        <v>0</v>
      </c>
      <c r="S38" s="2043">
        <f>$V17*(time*((ABS(F38-C38)*(IF(C38&lt;=F38,VLOOKUP(G38,List!$E$35:$F$37,2,),1-VLOOKUP(G38,List!$E$35:$F$37,2,))))+MIN(F38,C38))+(F38*time2))</f>
        <v>0</v>
      </c>
      <c r="T38" s="2034">
        <f t="shared" si="6"/>
        <v>0</v>
      </c>
      <c r="U38" s="9"/>
      <c r="V38" s="9"/>
      <c r="W38" s="55"/>
      <c r="AF38" s="1902">
        <f t="shared" si="7"/>
        <v>0</v>
      </c>
      <c r="AG38" s="1902">
        <f t="shared" si="8"/>
        <v>0</v>
      </c>
      <c r="AH38" s="1902">
        <f t="shared" si="9"/>
        <v>0</v>
      </c>
      <c r="AI38" s="1914">
        <f t="shared" si="2"/>
        <v>0</v>
      </c>
      <c r="AJ38" s="1914">
        <f t="shared" si="3"/>
        <v>0</v>
      </c>
    </row>
    <row r="39" spans="2:36" ht="13.5" thickBot="1">
      <c r="B39" s="153" t="str">
        <f t="shared" si="10"/>
        <v>Rice4</v>
      </c>
      <c r="C39" s="1864">
        <f>'3.Cropland'!W86</f>
        <v>0</v>
      </c>
      <c r="D39" s="1864">
        <f>'3.Cropland'!X86</f>
        <v>0</v>
      </c>
      <c r="E39" s="2179" t="str">
        <f>VLOOKUP('3.Cropland'!Y86,List!$D$35:$E$37,2,)</f>
        <v>Linear</v>
      </c>
      <c r="F39" s="1793">
        <f>'3.Cropland'!Z86</f>
        <v>0</v>
      </c>
      <c r="G39" s="2179" t="str">
        <f>VLOOKUP('3.Cropland'!AA86,List!$D$35:$E$37,2,)</f>
        <v>Linear</v>
      </c>
      <c r="H39" s="1459">
        <f>-$R18*((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R18*((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(MIN(C39,D39)*time_tot+ABS(D39-C39)*IF(D39&gt;C39,time2+time*(VLOOKUP(E39,List!$E$35:$F$37,2,)),time*(1-(VLOOKUP(E39,List!$E$35:$F$37,2,)))))*$T18*methane/1000</f>
        <v>0</v>
      </c>
      <c r="K39" s="1463">
        <f>(MIN(C39,F39)*time_tot+ABS(F39-C39)*IF(F39&gt;C39,time2+time*(VLOOKUP(G39,List!$E$35:$F$37,2,)),time*(1-(VLOOKUP(G39,List!$E$35:$F$37,2,)))))*$T18*methane/1000</f>
        <v>0</v>
      </c>
      <c r="L39" s="1459">
        <f>(MIN(C39,D39)*time_tot+ABS(D39-C39)*IF(D39&gt;C39,time2+time*(VLOOKUP(E39,List!$E$35:$F$37,2,)),time*(1-(VLOOKUP(E39,List!$E$35:$F$37,2,)))))*$U18</f>
        <v>0</v>
      </c>
      <c r="M39" s="1460">
        <f>(MIN(C39,F39)*time_tot+ABS(F39-C39)*IF(F39&gt;C39,time2+time*(VLOOKUP(G39,List!$E$35:$F$37,2,)),time*(1-(VLOOKUP(G39,List!$E$35:$F$37,2,)))))*$U18</f>
        <v>0</v>
      </c>
      <c r="N39" s="1463">
        <f t="shared" si="4"/>
        <v>0</v>
      </c>
      <c r="O39" s="1460">
        <f t="shared" si="5"/>
        <v>0</v>
      </c>
      <c r="P39" s="1028">
        <f t="shared" si="11"/>
        <v>0</v>
      </c>
      <c r="R39" s="2043">
        <f>$V18*(time*((ABS(D39-C39)*(IF(C39&lt;=D39,VLOOKUP(E39,List!$E$35:$F$37,2,),1-VLOOKUP(E39,List!$E$35:$F$37,2,))))+MIN(D39,C39))+(D39*time2))</f>
        <v>0</v>
      </c>
      <c r="S39" s="2043">
        <f>$V18*(time*((ABS(F39-C39)*(IF(C39&lt;=F39,VLOOKUP(G39,List!$E$35:$F$37,2,),1-VLOOKUP(G39,List!$E$35:$F$37,2,))))+MIN(F39,C39))+(F39*time2))</f>
        <v>0</v>
      </c>
      <c r="T39" s="2034">
        <f t="shared" si="6"/>
        <v>0</v>
      </c>
      <c r="U39" s="9"/>
      <c r="V39" s="9"/>
      <c r="W39" s="55"/>
      <c r="AF39" s="1902">
        <f t="shared" si="7"/>
        <v>0</v>
      </c>
      <c r="AG39" s="1902">
        <f t="shared" si="8"/>
        <v>0</v>
      </c>
      <c r="AH39" s="1902">
        <f t="shared" si="9"/>
        <v>0</v>
      </c>
      <c r="AI39" s="1914">
        <f t="shared" si="2"/>
        <v>0</v>
      </c>
      <c r="AJ39" s="1914">
        <f t="shared" si="3"/>
        <v>0</v>
      </c>
    </row>
    <row r="40" spans="2:36" ht="13.5" thickBot="1">
      <c r="B40" s="153" t="str">
        <f t="shared" si="10"/>
        <v>Rice5</v>
      </c>
      <c r="C40" s="1864">
        <f>'3.Cropland'!W87</f>
        <v>0</v>
      </c>
      <c r="D40" s="1864">
        <f>'3.Cropland'!X87</f>
        <v>0</v>
      </c>
      <c r="E40" s="2179" t="str">
        <f>VLOOKUP('3.Cropland'!Y87,List!$D$35:$E$37,2,)</f>
        <v>Linear</v>
      </c>
      <c r="F40" s="1793">
        <f>'3.Cropland'!Z87</f>
        <v>0</v>
      </c>
      <c r="G40" s="2179" t="str">
        <f>VLOOKUP('3.Cropland'!AA87,List!$D$35:$E$37,2,)</f>
        <v>Linear</v>
      </c>
      <c r="H40" s="1459">
        <f>-$R19*((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R19*((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(MIN(C40,D40)*time_tot+ABS(D40-C40)*IF(D40&gt;C40,time2+time*(VLOOKUP(E40,List!$E$35:$F$37,2,)),time*(1-(VLOOKUP(E40,List!$E$35:$F$37,2,)))))*$T19*methane/1000</f>
        <v>0</v>
      </c>
      <c r="K40" s="1463">
        <f>(MIN(C40,F40)*time_tot+ABS(F40-C40)*IF(F40&gt;C40,time2+time*(VLOOKUP(G40,List!$E$35:$F$37,2,)),time*(1-(VLOOKUP(G40,List!$E$35:$F$37,2,)))))*$T19*methane/1000</f>
        <v>0</v>
      </c>
      <c r="L40" s="1459">
        <f>(MIN(C40,D40)*time_tot+ABS(D40-C40)*IF(D40&gt;C40,time2+time*(VLOOKUP(E40,List!$E$35:$F$37,2,)),time*(1-(VLOOKUP(E40,List!$E$35:$F$37,2,)))))*$U19</f>
        <v>0</v>
      </c>
      <c r="M40" s="1460">
        <f>(MIN(C40,F40)*time_tot+ABS(F40-C40)*IF(F40&gt;C40,time2+time*(VLOOKUP(G40,List!$E$35:$F$37,2,)),time*(1-(VLOOKUP(G40,List!$E$35:$F$37,2,)))))*$U19</f>
        <v>0</v>
      </c>
      <c r="N40" s="1463">
        <f t="shared" si="4"/>
        <v>0</v>
      </c>
      <c r="O40" s="1460">
        <f t="shared" si="5"/>
        <v>0</v>
      </c>
      <c r="P40" s="1028">
        <f t="shared" si="11"/>
        <v>0</v>
      </c>
      <c r="R40" s="2043">
        <f>$V19*(time*((ABS(D40-C40)*(IF(C40&lt;=D40,VLOOKUP(E40,List!$E$35:$F$37,2,),1-VLOOKUP(E40,List!$E$35:$F$37,2,))))+MIN(D40,C40))+(D40*time2))</f>
        <v>0</v>
      </c>
      <c r="S40" s="2043">
        <f>$V19*(time*((ABS(F40-C40)*(IF(C40&lt;=F40,VLOOKUP(G40,List!$E$35:$F$37,2,),1-VLOOKUP(G40,List!$E$35:$F$37,2,))))+MIN(F40,C40))+(F40*time2))</f>
        <v>0</v>
      </c>
      <c r="T40" s="2034">
        <f t="shared" si="6"/>
        <v>0</v>
      </c>
      <c r="U40" s="9"/>
      <c r="V40" s="9"/>
      <c r="W40" s="55"/>
      <c r="AF40" s="1902">
        <f t="shared" si="7"/>
        <v>0</v>
      </c>
      <c r="AG40" s="1902">
        <f t="shared" si="8"/>
        <v>0</v>
      </c>
      <c r="AH40" s="1902">
        <f t="shared" si="9"/>
        <v>0</v>
      </c>
      <c r="AI40" s="1914">
        <f t="shared" si="2"/>
        <v>0</v>
      </c>
      <c r="AJ40" s="1914">
        <f t="shared" si="3"/>
        <v>0</v>
      </c>
    </row>
    <row r="41" spans="2:36" ht="13.5" thickBot="1">
      <c r="B41" s="153" t="str">
        <f t="shared" si="10"/>
        <v>Rice6</v>
      </c>
      <c r="C41" s="1864">
        <f>'3.Cropland'!W88</f>
        <v>0</v>
      </c>
      <c r="D41" s="1864">
        <f>'3.Cropland'!X88</f>
        <v>0</v>
      </c>
      <c r="E41" s="2179" t="str">
        <f>VLOOKUP('3.Cropland'!Y88,List!$D$35:$E$37,2,)</f>
        <v>Linear</v>
      </c>
      <c r="F41" s="1793">
        <f>'3.Cropland'!Z88</f>
        <v>0</v>
      </c>
      <c r="G41" s="2179" t="str">
        <f>VLOOKUP('3.Cropland'!AA88,List!$D$35:$E$37,2,)</f>
        <v>Linear</v>
      </c>
      <c r="H41" s="1459">
        <f>-$R20*((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R20*((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(MIN(C41,D41)*time_tot+ABS(D41-C41)*IF(D41&gt;C41,time2+time*(VLOOKUP(E41,List!$E$35:$F$37,2,)),time*(1-(VLOOKUP(E41,List!$E$35:$F$37,2,)))))*$T20*methane/1000</f>
        <v>0</v>
      </c>
      <c r="K41" s="1463">
        <f>(MIN(C41,F41)*time_tot+ABS(F41-C41)*IF(F41&gt;C41,time2+time*(VLOOKUP(G41,List!$E$35:$F$37,2,)),time*(1-(VLOOKUP(G41,List!$E$35:$F$37,2,)))))*$T20*methane/1000</f>
        <v>0</v>
      </c>
      <c r="L41" s="1459">
        <f>(MIN(C41,D41)*time_tot+ABS(D41-C41)*IF(D41&gt;C41,time2+time*(VLOOKUP(E41,List!$E$35:$F$37,2,)),time*(1-(VLOOKUP(E41,List!$E$35:$F$37,2,)))))*$U20</f>
        <v>0</v>
      </c>
      <c r="M41" s="1460">
        <f>(MIN(C41,F41)*time_tot+ABS(F41-C41)*IF(F41&gt;C41,time2+time*(VLOOKUP(G41,List!$E$35:$F$37,2,)),time*(1-(VLOOKUP(G41,List!$E$35:$F$37,2,)))))*$U20</f>
        <v>0</v>
      </c>
      <c r="N41" s="1463">
        <f t="shared" si="4"/>
        <v>0</v>
      </c>
      <c r="O41" s="1460">
        <f t="shared" si="5"/>
        <v>0</v>
      </c>
      <c r="P41" s="1028">
        <f t="shared" si="11"/>
        <v>0</v>
      </c>
      <c r="R41" s="2043">
        <f>$V20*(time*((ABS(D41-C41)*(IF(C41&lt;=D41,VLOOKUP(E41,List!$E$35:$F$37,2,),1-VLOOKUP(E41,List!$E$35:$F$37,2,))))+MIN(D41,C41))+(D41*time2))</f>
        <v>0</v>
      </c>
      <c r="S41" s="2043">
        <f>$V20*(time*((ABS(F41-C41)*(IF(C41&lt;=F41,VLOOKUP(G41,List!$E$35:$F$37,2,),1-VLOOKUP(G41,List!$E$35:$F$37,2,))))+MIN(F41,C41))+(F41*time2))</f>
        <v>0</v>
      </c>
      <c r="T41" s="2034">
        <f t="shared" si="6"/>
        <v>0</v>
      </c>
      <c r="U41" s="9"/>
      <c r="V41" s="9"/>
      <c r="W41" s="55"/>
      <c r="AF41" s="1902">
        <f t="shared" si="7"/>
        <v>0</v>
      </c>
      <c r="AG41" s="1902">
        <f t="shared" si="8"/>
        <v>0</v>
      </c>
      <c r="AH41" s="1902">
        <f t="shared" si="9"/>
        <v>0</v>
      </c>
      <c r="AI41" s="1914">
        <f t="shared" si="2"/>
        <v>0</v>
      </c>
      <c r="AJ41" s="1914">
        <f t="shared" si="3"/>
        <v>0</v>
      </c>
    </row>
    <row r="42" spans="2:36" ht="13.5" thickBot="1">
      <c r="B42" s="153" t="str">
        <f t="shared" si="10"/>
        <v>Rice7</v>
      </c>
      <c r="C42" s="1864">
        <f>'3.Cropland'!W89</f>
        <v>0</v>
      </c>
      <c r="D42" s="1864">
        <f>'3.Cropland'!X89</f>
        <v>0</v>
      </c>
      <c r="E42" s="2179" t="str">
        <f>VLOOKUP('3.Cropland'!Y89,List!$D$35:$E$37,2,)</f>
        <v>Linear</v>
      </c>
      <c r="F42" s="1793">
        <f>'3.Cropland'!Z89</f>
        <v>0</v>
      </c>
      <c r="G42" s="2179" t="str">
        <f>VLOOKUP('3.Cropland'!AA89,List!$D$35:$E$37,2,)</f>
        <v>Linear</v>
      </c>
      <c r="H42" s="1459">
        <f>-$R21*((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R21*((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(MIN(C42,D42)*time_tot+ABS(D42-C42)*IF(D42&gt;C42,time2+time*(VLOOKUP(E42,List!$E$35:$F$37,2,)),time*(1-(VLOOKUP(E42,List!$E$35:$F$37,2,)))))*$T21*methane/1000</f>
        <v>0</v>
      </c>
      <c r="K42" s="1463">
        <f>(MIN(C42,F42)*time_tot+ABS(F42-C42)*IF(F42&gt;C42,time2+time*(VLOOKUP(G42,List!$E$35:$F$37,2,)),time*(1-(VLOOKUP(G42,List!$E$35:$F$37,2,)))))*$T21*methane/1000</f>
        <v>0</v>
      </c>
      <c r="L42" s="1459">
        <f>(MIN(C42,D42)*time_tot+ABS(D42-C42)*IF(D42&gt;C42,time2+time*(VLOOKUP(E42,List!$E$35:$F$37,2,)),time*(1-(VLOOKUP(E42,List!$E$35:$F$37,2,)))))*$U21</f>
        <v>0</v>
      </c>
      <c r="M42" s="1460">
        <f>(MIN(C42,F42)*time_tot+ABS(F42-C42)*IF(F42&gt;C42,time2+time*(VLOOKUP(G42,List!$E$35:$F$37,2,)),time*(1-(VLOOKUP(G42,List!$E$35:$F$37,2,)))))*$U21</f>
        <v>0</v>
      </c>
      <c r="N42" s="1463">
        <f t="shared" si="4"/>
        <v>0</v>
      </c>
      <c r="O42" s="1460">
        <f t="shared" si="5"/>
        <v>0</v>
      </c>
      <c r="P42" s="1028">
        <f t="shared" si="11"/>
        <v>0</v>
      </c>
      <c r="R42" s="2043">
        <f>$V21*(time*((ABS(D42-C42)*(IF(C42&lt;=D42,VLOOKUP(E42,List!$E$35:$F$37,2,),1-VLOOKUP(E42,List!$E$35:$F$37,2,))))+MIN(D42,C42))+(D42*time2))</f>
        <v>0</v>
      </c>
      <c r="S42" s="2043">
        <f>$V21*(time*((ABS(F42-C42)*(IF(C42&lt;=F42,VLOOKUP(G42,List!$E$35:$F$37,2,),1-VLOOKUP(G42,List!$E$35:$F$37,2,))))+MIN(F42,C42))+(F42*time2))</f>
        <v>0</v>
      </c>
      <c r="T42" s="2034">
        <f t="shared" si="6"/>
        <v>0</v>
      </c>
      <c r="U42" s="9"/>
      <c r="V42" s="9"/>
      <c r="W42" s="55"/>
      <c r="AF42" s="1902">
        <f t="shared" si="7"/>
        <v>0</v>
      </c>
      <c r="AG42" s="1902">
        <f t="shared" si="8"/>
        <v>0</v>
      </c>
      <c r="AH42" s="1902">
        <f t="shared" si="9"/>
        <v>0</v>
      </c>
      <c r="AI42" s="1914">
        <f t="shared" si="2"/>
        <v>0</v>
      </c>
      <c r="AJ42" s="1914">
        <f t="shared" si="3"/>
        <v>0</v>
      </c>
    </row>
    <row r="43" spans="2:36" ht="13.5" thickBot="1">
      <c r="B43" s="153" t="str">
        <f t="shared" si="10"/>
        <v>Rice8</v>
      </c>
      <c r="C43" s="1864">
        <f>'3.Cropland'!W90</f>
        <v>0</v>
      </c>
      <c r="D43" s="1864">
        <f>'3.Cropland'!X90</f>
        <v>0</v>
      </c>
      <c r="E43" s="2179" t="str">
        <f>VLOOKUP('3.Cropland'!Y90,List!$D$35:$E$37,2,)</f>
        <v>Linear</v>
      </c>
      <c r="F43" s="1793">
        <f>'3.Cropland'!Z90</f>
        <v>0</v>
      </c>
      <c r="G43" s="2179" t="str">
        <f>VLOOKUP('3.Cropland'!AA90,List!$D$35:$E$37,2,)</f>
        <v>Linear</v>
      </c>
      <c r="H43" s="1459">
        <f>-$R22*((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R22*((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(MIN(C43,D43)*time_tot+ABS(D43-C43)*IF(D43&gt;C43,time2+time*(VLOOKUP(E43,List!$E$35:$F$37,2,)),time*(1-(VLOOKUP(E43,List!$E$35:$F$37,2,)))))*$T22*methane/1000</f>
        <v>0</v>
      </c>
      <c r="K43" s="1463">
        <f>(MIN(C43,F43)*time_tot+ABS(F43-C43)*IF(F43&gt;C43,time2+time*(VLOOKUP(G43,List!$E$35:$F$37,2,)),time*(1-(VLOOKUP(G43,List!$E$35:$F$37,2,)))))*$T22*methane/1000</f>
        <v>0</v>
      </c>
      <c r="L43" s="1459">
        <f>(MIN(C43,D43)*time_tot+ABS(D43-C43)*IF(D43&gt;C43,time2+time*(VLOOKUP(E43,List!$E$35:$F$37,2,)),time*(1-(VLOOKUP(E43,List!$E$35:$F$37,2,)))))*$U22</f>
        <v>0</v>
      </c>
      <c r="M43" s="1460">
        <f>(MIN(C43,F43)*time_tot+ABS(F43-C43)*IF(F43&gt;C43,time2+time*(VLOOKUP(G43,List!$E$35:$F$37,2,)),time*(1-(VLOOKUP(G43,List!$E$35:$F$37,2,)))))*$U22</f>
        <v>0</v>
      </c>
      <c r="N43" s="1463">
        <f t="shared" si="4"/>
        <v>0</v>
      </c>
      <c r="O43" s="1460">
        <f t="shared" si="5"/>
        <v>0</v>
      </c>
      <c r="P43" s="1028">
        <f t="shared" si="11"/>
        <v>0</v>
      </c>
      <c r="R43" s="2043">
        <f>$V22*(time*((ABS(D43-C43)*(IF(C43&lt;=D43,VLOOKUP(E43,List!$E$35:$F$37,2,),1-VLOOKUP(E43,List!$E$35:$F$37,2,))))+MIN(D43,C43))+(D43*time2))</f>
        <v>0</v>
      </c>
      <c r="S43" s="2043">
        <f>$V22*(time*((ABS(F43-C43)*(IF(C43&lt;=F43,VLOOKUP(G43,List!$E$35:$F$37,2,),1-VLOOKUP(G43,List!$E$35:$F$37,2,))))+MIN(F43,C43))+(F43*time2))</f>
        <v>0</v>
      </c>
      <c r="T43" s="2034">
        <f t="shared" si="6"/>
        <v>0</v>
      </c>
      <c r="U43" s="9"/>
      <c r="V43" s="9"/>
      <c r="W43" s="55"/>
      <c r="AF43" s="1902">
        <f t="shared" si="7"/>
        <v>0</v>
      </c>
      <c r="AG43" s="1902">
        <f t="shared" si="8"/>
        <v>0</v>
      </c>
      <c r="AH43" s="1902">
        <f t="shared" si="9"/>
        <v>0</v>
      </c>
      <c r="AI43" s="1914">
        <f t="shared" si="2"/>
        <v>0</v>
      </c>
      <c r="AJ43" s="1914">
        <f t="shared" si="3"/>
        <v>0</v>
      </c>
    </row>
    <row r="44" spans="2:36" ht="13.5" thickBot="1">
      <c r="B44" s="153" t="str">
        <f t="shared" si="10"/>
        <v>Rice9</v>
      </c>
      <c r="C44" s="1864">
        <f>'3.Cropland'!W91</f>
        <v>0</v>
      </c>
      <c r="D44" s="1864">
        <f>'3.Cropland'!X91</f>
        <v>0</v>
      </c>
      <c r="E44" s="2179" t="str">
        <f>VLOOKUP('3.Cropland'!Y91,List!$D$35:$E$37,2,)</f>
        <v>Linear</v>
      </c>
      <c r="F44" s="1793">
        <f>'3.Cropland'!Z91</f>
        <v>0</v>
      </c>
      <c r="G44" s="2179" t="str">
        <f>VLOOKUP('3.Cropland'!AA91,List!$D$35:$E$37,2,)</f>
        <v>Linear</v>
      </c>
      <c r="H44" s="1459">
        <f>-$R23*((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R23*((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(MIN(C44,D44)*time_tot+ABS(D44-C44)*IF(D44&gt;C44,time2+time*(VLOOKUP(E44,List!$E$35:$F$37,2,)),time*(1-(VLOOKUP(E44,List!$E$35:$F$37,2,)))))*$T23*methane/1000</f>
        <v>0</v>
      </c>
      <c r="K44" s="1463">
        <f>(MIN(C44,F44)*time_tot+ABS(F44-C44)*IF(F44&gt;C44,time2+time*(VLOOKUP(G44,List!$E$35:$F$37,2,)),time*(1-(VLOOKUP(G44,List!$E$35:$F$37,2,)))))*$T23*methane/1000</f>
        <v>0</v>
      </c>
      <c r="L44" s="1459">
        <f>(MIN(C44,D44)*time_tot+ABS(D44-C44)*IF(D44&gt;C44,time2+time*(VLOOKUP(E44,List!$E$35:$F$37,2,)),time*(1-(VLOOKUP(E44,List!$E$35:$F$37,2,)))))*$U23</f>
        <v>0</v>
      </c>
      <c r="M44" s="1460">
        <f>(MIN(C44,F44)*time_tot+ABS(F44-C44)*IF(F44&gt;C44,time2+time*(VLOOKUP(G44,List!$E$35:$F$37,2,)),time*(1-(VLOOKUP(G44,List!$E$35:$F$37,2,)))))*$U23</f>
        <v>0</v>
      </c>
      <c r="N44" s="1463">
        <f t="shared" si="4"/>
        <v>0</v>
      </c>
      <c r="O44" s="1460">
        <f t="shared" si="5"/>
        <v>0</v>
      </c>
      <c r="P44" s="1028">
        <f t="shared" si="11"/>
        <v>0</v>
      </c>
      <c r="R44" s="2043">
        <f>$V23*(time*((ABS(D44-C44)*(IF(C44&lt;=D44,VLOOKUP(E44,List!$E$35:$F$37,2,),1-VLOOKUP(E44,List!$E$35:$F$37,2,))))+MIN(D44,C44))+(D44*time2))</f>
        <v>0</v>
      </c>
      <c r="S44" s="2043">
        <f>$V23*(time*((ABS(F44-C44)*(IF(C44&lt;=F44,VLOOKUP(G44,List!$E$35:$F$37,2,),1-VLOOKUP(G44,List!$E$35:$F$37,2,))))+MIN(F44,C44))+(F44*time2))</f>
        <v>0</v>
      </c>
      <c r="T44" s="2034">
        <f t="shared" si="6"/>
        <v>0</v>
      </c>
      <c r="U44" s="9"/>
      <c r="V44" s="9"/>
      <c r="W44" s="55"/>
      <c r="AF44" s="1902">
        <f t="shared" si="7"/>
        <v>0</v>
      </c>
      <c r="AG44" s="1902">
        <f t="shared" si="8"/>
        <v>0</v>
      </c>
      <c r="AH44" s="1902">
        <f t="shared" si="9"/>
        <v>0</v>
      </c>
      <c r="AI44" s="1914">
        <f t="shared" si="2"/>
        <v>0</v>
      </c>
      <c r="AJ44" s="1914">
        <f t="shared" si="3"/>
        <v>0</v>
      </c>
    </row>
    <row r="45" spans="2:36">
      <c r="B45" s="153" t="str">
        <f t="shared" si="10"/>
        <v>Rice10</v>
      </c>
      <c r="C45" s="1864">
        <f>'3.Cropland'!W92</f>
        <v>0</v>
      </c>
      <c r="D45" s="1864">
        <f>'3.Cropland'!X92</f>
        <v>0</v>
      </c>
      <c r="E45" s="2179" t="str">
        <f>VLOOKUP('3.Cropland'!Y92,List!$D$35:$E$37,2,)</f>
        <v>Linear</v>
      </c>
      <c r="F45" s="1793">
        <f>'3.Cropland'!Z92</f>
        <v>0</v>
      </c>
      <c r="G45" s="2179" t="str">
        <f>VLOOKUP('3.Cropland'!AA92,List!$D$35:$E$37,2,)</f>
        <v>Linear</v>
      </c>
      <c r="H45" s="1461">
        <f>-$R24*((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2">
        <f>-$R24*((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4">
        <f>(MIN(C45,D45)*time_tot+ABS(D45-C45)*IF(D45&gt;C45,time2+time*(VLOOKUP(E45,List!$E$35:$F$37,2,)),time*(1-(VLOOKUP(E45,List!$E$35:$F$37,2,)))))*$T24*methane/1000</f>
        <v>0</v>
      </c>
      <c r="K45" s="1464">
        <f>(MIN(C45,F45)*time_tot+ABS(F45-C45)*IF(F45&gt;C45,time2+time*(VLOOKUP(G45,List!$E$35:$F$37,2,)),time*(1-(VLOOKUP(G45,List!$E$35:$F$37,2,)))))*$T24*methane/1000</f>
        <v>0</v>
      </c>
      <c r="L45" s="1461">
        <f>(MIN(C45,D45)*time_tot+ABS(D45-C45)*IF(D45&gt;C45,time2+time*(VLOOKUP(E45,List!$E$35:$F$37,2,)),time*(1-(VLOOKUP(E45,List!$E$35:$F$37,2,)))))*$U24</f>
        <v>0</v>
      </c>
      <c r="M45" s="1462">
        <f>(MIN(C45,F45)*time_tot+ABS(F45-C45)*IF(F45&gt;C45,time2+time*(VLOOKUP(G45,List!$E$35:$F$37,2,)),time*(1-(VLOOKUP(G45,List!$E$35:$F$37,2,)))))*$U24</f>
        <v>0</v>
      </c>
      <c r="N45" s="1464">
        <f t="shared" si="4"/>
        <v>0</v>
      </c>
      <c r="O45" s="1462">
        <f t="shared" si="5"/>
        <v>0</v>
      </c>
      <c r="P45" s="1029">
        <f t="shared" si="11"/>
        <v>0</v>
      </c>
      <c r="R45" s="2043">
        <f>$V24*(time*((ABS(D45-C45)*(IF(C45&lt;=D45,VLOOKUP(E45,List!$E$35:$F$37,2,),1-VLOOKUP(E45,List!$E$35:$F$37,2,))))+MIN(D45,C45))+(D45*time2))</f>
        <v>0</v>
      </c>
      <c r="S45" s="2043">
        <f>$V24*(time*((ABS(F45-C45)*(IF(C45&lt;=F45,VLOOKUP(G45,List!$E$35:$F$37,2,),1-VLOOKUP(G45,List!$E$35:$F$37,2,))))+MIN(F45,C45))+(F45*time2))</f>
        <v>0</v>
      </c>
      <c r="T45" s="2034">
        <f t="shared" si="6"/>
        <v>0</v>
      </c>
      <c r="U45" s="9"/>
      <c r="V45" s="9"/>
      <c r="W45" s="55"/>
      <c r="AF45" s="1902">
        <f t="shared" si="7"/>
        <v>0</v>
      </c>
      <c r="AG45" s="1902">
        <f t="shared" si="8"/>
        <v>0</v>
      </c>
      <c r="AH45" s="1902">
        <f t="shared" si="9"/>
        <v>0</v>
      </c>
      <c r="AI45" s="1914">
        <f t="shared" si="2"/>
        <v>0</v>
      </c>
      <c r="AJ45" s="1914">
        <f t="shared" si="3"/>
        <v>0</v>
      </c>
    </row>
    <row r="46" spans="2:36" ht="13.5" thickBot="1">
      <c r="B46" s="292" t="s">
        <v>1155</v>
      </c>
      <c r="C46" s="198">
        <f>SUM(C36:C45)</f>
        <v>0</v>
      </c>
      <c r="D46" s="198">
        <f>SUM(D36:D45)</f>
        <v>0</v>
      </c>
      <c r="E46" s="293"/>
      <c r="F46" s="198">
        <f>SUM(F36:F45)</f>
        <v>0</v>
      </c>
      <c r="G46" s="1182" t="str">
        <f>IF(C46=D46,IF(D46=F46,"","Check areas !"),"Check areas !")</f>
        <v/>
      </c>
      <c r="H46" s="1183"/>
      <c r="I46" s="296"/>
      <c r="P46" s="9"/>
      <c r="Q46" s="9"/>
      <c r="S46" s="1"/>
      <c r="T46" s="1"/>
      <c r="U46" s="9"/>
      <c r="V46" s="9"/>
      <c r="W46" s="55"/>
      <c r="AF46" s="1902"/>
      <c r="AG46" s="1902"/>
      <c r="AH46" s="1902"/>
      <c r="AI46" s="1902"/>
      <c r="AJ46" s="1902"/>
    </row>
    <row r="47" spans="2:36" ht="13.5" thickBot="1">
      <c r="C47" s="9"/>
      <c r="E47" s="1"/>
      <c r="M47" s="231" t="s">
        <v>655</v>
      </c>
      <c r="N47" s="1347">
        <f>SUM(N32:N45)</f>
        <v>0</v>
      </c>
      <c r="O47" s="1348">
        <f>SUM(O32:O45)</f>
        <v>0</v>
      </c>
      <c r="P47" s="924">
        <f>SUM(P32:P45)</f>
        <v>0</v>
      </c>
      <c r="Q47" s="9"/>
      <c r="R47" s="2042">
        <f>SUM(R32:R45)</f>
        <v>0</v>
      </c>
      <c r="S47" s="2042">
        <f>SUM(S32:S45)</f>
        <v>0</v>
      </c>
      <c r="T47" s="2042">
        <f>SUM(T32:T45)</f>
        <v>0</v>
      </c>
      <c r="U47" s="1"/>
      <c r="AF47" s="1902">
        <f>SUM(AF32:AF45)</f>
        <v>0</v>
      </c>
      <c r="AG47" s="1902">
        <f>SUM(AG32:AG45)</f>
        <v>0</v>
      </c>
      <c r="AH47" s="1902">
        <f>SUM(AH32:AH45)</f>
        <v>0</v>
      </c>
      <c r="AI47" s="1902">
        <f>SUM(AI32:AI45)</f>
        <v>0</v>
      </c>
      <c r="AJ47" s="1902">
        <f>SUM(AJ32:AJ45)</f>
        <v>0</v>
      </c>
    </row>
    <row r="48" spans="2:36">
      <c r="S48" s="1"/>
      <c r="T48" s="1"/>
      <c r="U48" s="9"/>
      <c r="V48" s="9"/>
      <c r="W48" s="55"/>
    </row>
    <row r="49" spans="6:23">
      <c r="S49" s="1"/>
      <c r="T49" s="1"/>
      <c r="U49" s="9"/>
      <c r="V49" s="9"/>
      <c r="W49" s="55"/>
    </row>
    <row r="50" spans="6:23">
      <c r="S50" s="1"/>
      <c r="T50" s="1"/>
      <c r="U50" s="9"/>
      <c r="V50" s="9"/>
      <c r="W50" s="55"/>
    </row>
    <row r="51" spans="6:23">
      <c r="S51" s="1"/>
      <c r="T51" s="1"/>
      <c r="U51" s="9"/>
      <c r="V51" s="9"/>
      <c r="W51" s="55"/>
    </row>
    <row r="52" spans="6:23">
      <c r="S52" s="1"/>
      <c r="T52" s="1"/>
      <c r="U52" s="9"/>
      <c r="V52" s="9"/>
      <c r="W52" s="55"/>
    </row>
    <row r="56" spans="6:23">
      <c r="F56" s="1211"/>
    </row>
  </sheetData>
  <sheetProtection selectLockedCells="1"/>
  <mergeCells count="6">
    <mergeCell ref="I5:J5"/>
    <mergeCell ref="E9:G9"/>
    <mergeCell ref="H29:I29"/>
    <mergeCell ref="H30:I30"/>
    <mergeCell ref="J29:K29"/>
    <mergeCell ref="J30:K30"/>
  </mergeCells>
  <phoneticPr fontId="11" type="noConversion"/>
  <dataValidations count="3">
    <dataValidation type="list" allowBlank="1" showInputMessage="1" showErrorMessage="1" sqref="E32:E45 G32:G45">
      <formula1>Rate</formula1>
    </dataValidation>
    <dataValidation type="decimal" operator="greaterThanOrEqual" allowBlank="1" showInputMessage="1" showErrorMessage="1" sqref="C36:D45 D11:D24 Q11:Q24 F36:F45">
      <formula1>0</formula1>
    </dataValidation>
    <dataValidation type="decimal" allowBlank="1" showInputMessage="1" showErrorMessage="1" sqref="R11:R24">
      <formula1>-5</formula1>
      <formula2>5</formula2>
    </dataValidation>
  </dataValidations>
  <hyperlinks>
    <hyperlink ref="I5" location="Description!A1" display="Back to Description"/>
    <hyperlink ref="I10" location="'Irrigated Rice'!Y6" display="need help"/>
  </hyperlinks>
  <pageMargins left="0.38" right="0.27" top="0.984251969" bottom="0.984251969" header="0.4921259845" footer="0.4921259845"/>
  <pageSetup paperSize="9" scale="50" orientation="landscape" horizontalDpi="1200" verticalDpi="1200" r:id="rId1"/>
  <headerFooter alignWithMargins="0">
    <oddHeader>Page &amp;P&amp;R&amp;A</oddHeader>
    <oddFoote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CO46"/>
  <sheetViews>
    <sheetView topLeftCell="A8" zoomScaleNormal="100" workbookViewId="0">
      <selection activeCell="O29" sqref="O29"/>
    </sheetView>
  </sheetViews>
  <sheetFormatPr defaultColWidth="8.85546875" defaultRowHeight="12.75"/>
  <cols>
    <col min="1" max="4" width="8.85546875" style="233" customWidth="1"/>
    <col min="5" max="5" width="10" style="233" customWidth="1"/>
    <col min="6" max="8" width="8.85546875" style="233" customWidth="1"/>
    <col min="9" max="9" width="10.140625" style="233" customWidth="1"/>
    <col min="10" max="12" width="8.85546875" style="233" customWidth="1"/>
    <col min="13" max="13" width="8.85546875" style="234" customWidth="1"/>
    <col min="14" max="16384" width="8.85546875" style="233"/>
  </cols>
  <sheetData>
    <row r="1" spans="2:90" s="1644" customFormat="1" ht="22.9" customHeight="1">
      <c r="M1" s="1648"/>
    </row>
    <row r="2" spans="2:90" s="1644" customFormat="1" ht="22.9" customHeight="1">
      <c r="M2" s="1648"/>
    </row>
    <row r="3" spans="2:90" s="1644" customFormat="1" ht="22.9" customHeight="1">
      <c r="M3" s="1648"/>
    </row>
    <row r="4" spans="2:90" s="1644" customFormat="1" ht="22.9" customHeight="1">
      <c r="M4" s="1648"/>
    </row>
    <row r="5" spans="2:90" s="1644" customFormat="1" ht="22.9" customHeight="1">
      <c r="B5" s="1701" t="s">
        <v>1244</v>
      </c>
      <c r="C5" s="1702"/>
      <c r="D5" s="1702">
        <f>title</f>
        <v>0</v>
      </c>
      <c r="E5" s="1702"/>
      <c r="F5" s="1702"/>
      <c r="G5" s="1702"/>
      <c r="H5" s="1702"/>
      <c r="I5" s="1702"/>
      <c r="J5" s="1702"/>
      <c r="K5" s="1702"/>
      <c r="L5" s="1702"/>
      <c r="M5" s="1703"/>
    </row>
    <row r="6" spans="2:90" ht="13.5" thickBot="1">
      <c r="AP6" s="429" t="s">
        <v>1220</v>
      </c>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row>
    <row r="7" spans="2:90" ht="13.5" thickBot="1">
      <c r="B7" s="430" t="s">
        <v>266</v>
      </c>
      <c r="C7" s="431"/>
      <c r="D7" s="431"/>
      <c r="E7" s="3801" t="s">
        <v>1086</v>
      </c>
      <c r="F7" s="3802"/>
      <c r="G7" s="3802"/>
      <c r="H7" s="3802"/>
      <c r="I7" s="3802"/>
      <c r="J7" s="3802"/>
      <c r="K7" s="3803"/>
      <c r="L7" s="432"/>
      <c r="M7" s="433"/>
      <c r="N7" s="432"/>
      <c r="O7" s="432"/>
      <c r="P7" s="432"/>
      <c r="Q7" s="432"/>
      <c r="R7" s="432"/>
      <c r="S7" s="432"/>
      <c r="T7" s="432"/>
      <c r="U7" s="432"/>
      <c r="W7" s="434" t="s">
        <v>1090</v>
      </c>
      <c r="X7" s="435"/>
      <c r="Y7" s="435"/>
      <c r="Z7" s="435"/>
      <c r="AA7" s="435"/>
      <c r="AB7" s="435"/>
      <c r="AC7" s="435"/>
      <c r="AD7" s="435"/>
      <c r="AE7" s="435"/>
      <c r="AG7" s="436" t="s">
        <v>1094</v>
      </c>
      <c r="AH7" s="437"/>
      <c r="AI7" s="437"/>
      <c r="AJ7" s="437"/>
      <c r="AK7" s="437"/>
      <c r="AL7" s="437"/>
      <c r="AM7" s="437"/>
      <c r="AN7" s="437"/>
      <c r="AP7" s="438" t="s">
        <v>661</v>
      </c>
      <c r="AQ7" s="439" t="s">
        <v>658</v>
      </c>
      <c r="AR7" s="439" t="s">
        <v>1608</v>
      </c>
      <c r="AS7" s="439" t="s">
        <v>660</v>
      </c>
      <c r="AT7" s="439" t="s">
        <v>329</v>
      </c>
      <c r="AU7" s="439" t="s">
        <v>1187</v>
      </c>
      <c r="AV7" s="439" t="s">
        <v>97</v>
      </c>
      <c r="AW7" s="440" t="str">
        <f>AQ7</f>
        <v>Perennial/Tree Crop</v>
      </c>
      <c r="AX7" s="439" t="str">
        <f>AP7</f>
        <v>Annual Crop</v>
      </c>
      <c r="AY7" s="439" t="str">
        <f>AR7</f>
        <v>Flooded Rice</v>
      </c>
      <c r="AZ7" s="439" t="str">
        <f>AS7</f>
        <v>Set aside</v>
      </c>
      <c r="BA7" s="439" t="str">
        <f>AT7</f>
        <v>Grassland</v>
      </c>
      <c r="BB7" s="439" t="str">
        <f>AU7</f>
        <v>Degraded</v>
      </c>
      <c r="BC7" s="439" t="str">
        <f>AV7</f>
        <v xml:space="preserve">Other </v>
      </c>
      <c r="BD7" s="440" t="str">
        <f>AY7</f>
        <v>Flooded Rice</v>
      </c>
      <c r="BE7" s="439" t="str">
        <f>AX7</f>
        <v>Annual Crop</v>
      </c>
      <c r="BF7" s="439" t="str">
        <f>AW7</f>
        <v>Perennial/Tree Crop</v>
      </c>
      <c r="BG7" s="439" t="str">
        <f>AZ7</f>
        <v>Set aside</v>
      </c>
      <c r="BH7" s="439" t="str">
        <f>BA7</f>
        <v>Grassland</v>
      </c>
      <c r="BI7" s="439" t="str">
        <f>BB7</f>
        <v>Degraded</v>
      </c>
      <c r="BJ7" s="439" t="str">
        <f>BC7</f>
        <v xml:space="preserve">Other </v>
      </c>
      <c r="BK7" s="440" t="str">
        <f>BG7</f>
        <v>Set aside</v>
      </c>
      <c r="BL7" s="439" t="str">
        <f>BE7</f>
        <v>Annual Crop</v>
      </c>
      <c r="BM7" s="439" t="str">
        <f>BF7</f>
        <v>Perennial/Tree Crop</v>
      </c>
      <c r="BN7" s="439" t="str">
        <f>BD7</f>
        <v>Flooded Rice</v>
      </c>
      <c r="BO7" s="439" t="str">
        <f>BH7</f>
        <v>Grassland</v>
      </c>
      <c r="BP7" s="439" t="str">
        <f>BI7</f>
        <v>Degraded</v>
      </c>
      <c r="BQ7" s="439" t="str">
        <f>BJ7</f>
        <v xml:space="preserve">Other </v>
      </c>
      <c r="BR7" s="440" t="str">
        <f>BO7</f>
        <v>Grassland</v>
      </c>
      <c r="BS7" s="439" t="str">
        <f>BL7</f>
        <v>Annual Crop</v>
      </c>
      <c r="BT7" s="439" t="str">
        <f>BM7</f>
        <v>Perennial/Tree Crop</v>
      </c>
      <c r="BU7" s="439" t="str">
        <f>BN7</f>
        <v>Flooded Rice</v>
      </c>
      <c r="BV7" s="439" t="str">
        <f>BK7</f>
        <v>Set aside</v>
      </c>
      <c r="BW7" s="439" t="str">
        <f>BP7</f>
        <v>Degraded</v>
      </c>
      <c r="BX7" s="439" t="str">
        <f>BQ7</f>
        <v xml:space="preserve">Other </v>
      </c>
      <c r="BY7" s="440" t="str">
        <f>BW7</f>
        <v>Degraded</v>
      </c>
      <c r="BZ7" s="439" t="str">
        <f>BS7</f>
        <v>Annual Crop</v>
      </c>
      <c r="CA7" s="439" t="str">
        <f>BT7</f>
        <v>Perennial/Tree Crop</v>
      </c>
      <c r="CB7" s="439" t="str">
        <f>BU7</f>
        <v>Flooded Rice</v>
      </c>
      <c r="CC7" s="439" t="str">
        <f>BV7</f>
        <v>Set aside</v>
      </c>
      <c r="CD7" s="439" t="str">
        <f>BR7</f>
        <v>Grassland</v>
      </c>
      <c r="CE7" s="439" t="str">
        <f>BX7</f>
        <v xml:space="preserve">Other </v>
      </c>
      <c r="CF7" s="441" t="str">
        <f>CE7</f>
        <v xml:space="preserve">Other </v>
      </c>
      <c r="CG7" s="439" t="str">
        <f>BZ7</f>
        <v>Annual Crop</v>
      </c>
      <c r="CH7" s="439" t="str">
        <f>CA7</f>
        <v>Perennial/Tree Crop</v>
      </c>
      <c r="CI7" s="439" t="str">
        <f>CB7</f>
        <v>Flooded Rice</v>
      </c>
      <c r="CJ7" s="439" t="str">
        <f>CC7</f>
        <v>Set aside</v>
      </c>
      <c r="CK7" s="439" t="str">
        <f>CD7</f>
        <v>Grassland</v>
      </c>
      <c r="CL7" s="439" t="str">
        <f>BY7</f>
        <v>Degraded</v>
      </c>
    </row>
    <row r="8" spans="2:90" ht="15">
      <c r="B8" s="442"/>
      <c r="C8" s="443" t="s">
        <v>673</v>
      </c>
      <c r="D8" s="444"/>
      <c r="E8" s="445" t="s">
        <v>1100</v>
      </c>
      <c r="F8" s="3800" t="s">
        <v>1087</v>
      </c>
      <c r="G8" s="3800"/>
      <c r="H8" s="3800"/>
      <c r="I8" s="446" t="s">
        <v>329</v>
      </c>
      <c r="J8" s="3800" t="s">
        <v>1088</v>
      </c>
      <c r="K8" s="3804"/>
      <c r="L8" s="241"/>
      <c r="M8" s="433"/>
      <c r="N8" s="241"/>
      <c r="O8" s="241"/>
      <c r="P8" s="241"/>
      <c r="Q8" s="241"/>
      <c r="R8" s="241"/>
      <c r="S8" s="241"/>
      <c r="T8" s="241"/>
      <c r="U8" s="241"/>
      <c r="W8" s="435"/>
      <c r="X8" s="435" t="str">
        <f>List!A63</f>
        <v>Annual Crop</v>
      </c>
      <c r="Y8" s="435" t="str">
        <f>List!A64</f>
        <v>Perennial/Tree Crop</v>
      </c>
      <c r="Z8" s="435" t="str">
        <f>List!A65</f>
        <v>Flooded Rice</v>
      </c>
      <c r="AA8" s="435" t="str">
        <f>List!A67</f>
        <v>Grassland</v>
      </c>
      <c r="AB8" s="435" t="str">
        <f>List!A66</f>
        <v>Set aside</v>
      </c>
      <c r="AC8" s="435" t="str">
        <f>List!A68</f>
        <v>Degraded</v>
      </c>
      <c r="AD8" s="435" t="str">
        <f>List!A69</f>
        <v>Other (nominal)</v>
      </c>
      <c r="AE8" s="435" t="str">
        <f>List!A70</f>
        <v>Other (degraded)</v>
      </c>
      <c r="AG8" s="447" t="s">
        <v>661</v>
      </c>
      <c r="AH8" s="437" t="s">
        <v>985</v>
      </c>
      <c r="AI8" s="437" t="s">
        <v>987</v>
      </c>
      <c r="AJ8" s="437" t="s">
        <v>988</v>
      </c>
      <c r="AK8" s="437" t="s">
        <v>1608</v>
      </c>
      <c r="AL8" s="437" t="s">
        <v>659</v>
      </c>
      <c r="AM8" s="437" t="s">
        <v>329</v>
      </c>
      <c r="AN8" s="437" t="s">
        <v>982</v>
      </c>
      <c r="AP8" s="440"/>
      <c r="AQ8" s="429">
        <f>IF(LEFT('non Forest LUC'!$D9,6)=LEFT(Matrix!$AP$7,6),IF(LEFT('non Forest LUC'!$F9,6)=LEFT(Matrix!AQ$7,6),'non Forest LUC'!$D31,0),0)</f>
        <v>0</v>
      </c>
      <c r="AR8" s="429">
        <f>IF(LEFT('non Forest LUC'!$D9,6)=LEFT(Matrix!$AP$7,6),IF(LEFT('non Forest LUC'!$F9,6)=LEFT(Matrix!AR$7,6),'non Forest LUC'!$D31,0),0)</f>
        <v>0</v>
      </c>
      <c r="AS8" s="429">
        <f>IF(LEFT('non Forest LUC'!$D9,6)=LEFT(Matrix!$AP$7,6),IF(LEFT('non Forest LUC'!$F9,6)=LEFT(Matrix!AS$7,6),'non Forest LUC'!$D31,0),0)</f>
        <v>0</v>
      </c>
      <c r="AT8" s="429">
        <f>IF(LEFT('non Forest LUC'!$D9,6)=LEFT(Matrix!$AP$7,6),IF(LEFT('non Forest LUC'!$F9,6)=LEFT(Matrix!AT$7,6),'non Forest LUC'!$D31,0),0)</f>
        <v>0</v>
      </c>
      <c r="AU8" s="429">
        <f>IF(LEFT('non Forest LUC'!$D9,6)=LEFT(Matrix!$AP$7,6),IF(LEFT('non Forest LUC'!$F9,6)=LEFT(Matrix!AU$7,6),'non Forest LUC'!$D31,0),0)</f>
        <v>0</v>
      </c>
      <c r="AV8" s="429">
        <f>IF(LEFT('non Forest LUC'!$D9,6)=LEFT(Matrix!$AP$7,6),IF(LEFT('non Forest LUC'!$F9,6)=LEFT(Matrix!AV$7,6),'non Forest LUC'!$D31,0),0)</f>
        <v>0</v>
      </c>
      <c r="AW8" s="440"/>
      <c r="AX8" s="429">
        <f>IF(LEFT('non Forest LUC'!$D9,6)=LEFT(Matrix!$AW$7,6),IF(LEFT('non Forest LUC'!$F9,6)=LEFT(Matrix!AX$7,6),'non Forest LUC'!$D31,0),0)</f>
        <v>0</v>
      </c>
      <c r="AY8" s="429">
        <f>IF(LEFT('non Forest LUC'!$D9,6)=LEFT(Matrix!$AW$7,6),IF(LEFT('non Forest LUC'!$F9,6)=LEFT(Matrix!AY$7,6),'non Forest LUC'!$D31,0),0)</f>
        <v>0</v>
      </c>
      <c r="AZ8" s="429">
        <f>IF(LEFT('non Forest LUC'!$D9,6)=LEFT(Matrix!$AW$7,6),IF(LEFT('non Forest LUC'!$F9,6)=LEFT(Matrix!AZ$7,6),'non Forest LUC'!$D31,0),0)</f>
        <v>0</v>
      </c>
      <c r="BA8" s="429">
        <f>IF(LEFT('non Forest LUC'!$D9,6)=LEFT(Matrix!$AW$7,6),IF(LEFT('non Forest LUC'!$F9,6)=LEFT(Matrix!BA$7,6),'non Forest LUC'!$D31,0),0)</f>
        <v>0</v>
      </c>
      <c r="BB8" s="429">
        <f>IF(LEFT('non Forest LUC'!$D9,6)=LEFT(Matrix!$AW$7,6),IF(LEFT('non Forest LUC'!$F9,6)=LEFT(Matrix!BB$7,6),'non Forest LUC'!$D31,0),0)</f>
        <v>0</v>
      </c>
      <c r="BC8" s="429">
        <f>IF(LEFT('non Forest LUC'!$D9,6)=LEFT(Matrix!$AW$7,6),IF(LEFT('non Forest LUC'!$F9,6)=LEFT(Matrix!BC$7,6),'non Forest LUC'!$D31,0),0)</f>
        <v>0</v>
      </c>
      <c r="BD8" s="440"/>
      <c r="BE8" s="429">
        <f>IF(LEFT('non Forest LUC'!$D9,6)=LEFT(Matrix!$BD$7,6),IF(LEFT('non Forest LUC'!$F9,6)=LEFT(Matrix!BE$7,6),'non Forest LUC'!$D31,0),0)</f>
        <v>0</v>
      </c>
      <c r="BF8" s="429">
        <f>IF(LEFT('non Forest LUC'!$D9,6)=LEFT(Matrix!$BD$7,6),IF(LEFT('non Forest LUC'!$F9,6)=LEFT(Matrix!BF$7,6),'non Forest LUC'!$D31,0),0)</f>
        <v>0</v>
      </c>
      <c r="BG8" s="429">
        <f>IF(LEFT('non Forest LUC'!$D9,6)=LEFT(Matrix!$BD$7,6),IF(LEFT('non Forest LUC'!$F9,6)=LEFT(Matrix!BG$7,6),'non Forest LUC'!$D31,0),0)</f>
        <v>0</v>
      </c>
      <c r="BH8" s="429">
        <f>IF(LEFT('non Forest LUC'!$D9,6)=LEFT(Matrix!$BD$7,6),IF(LEFT('non Forest LUC'!$F9,6)=LEFT(Matrix!BH$7,6),'non Forest LUC'!$D31,0),0)</f>
        <v>0</v>
      </c>
      <c r="BI8" s="429">
        <f>IF(LEFT('non Forest LUC'!$D9,6)=LEFT(Matrix!$BD$7,6),IF(LEFT('non Forest LUC'!$F9,6)=LEFT(Matrix!BI$7,6),'non Forest LUC'!$D31,0),0)</f>
        <v>0</v>
      </c>
      <c r="BJ8" s="429">
        <f>IF(LEFT('non Forest LUC'!$D9,6)=LEFT(Matrix!$BD$7,6),IF(LEFT('non Forest LUC'!$F9,6)=LEFT(Matrix!BJ$7,6),'non Forest LUC'!$D31,0),0)</f>
        <v>0</v>
      </c>
      <c r="BK8" s="440"/>
      <c r="BL8" s="429">
        <f>IF(LEFT('non Forest LUC'!$D9,6)=LEFT(Matrix!$BK$7,6),IF(LEFT('non Forest LUC'!$F9,6)=LEFT(Matrix!BL$7,6),'non Forest LUC'!$D31,0),0)</f>
        <v>0</v>
      </c>
      <c r="BM8" s="429">
        <f>IF(LEFT('non Forest LUC'!$D9,6)=LEFT(Matrix!$BK$7,6),IF(LEFT('non Forest LUC'!$F9,6)=LEFT(Matrix!BM$7,6),'non Forest LUC'!$D31,0),0)</f>
        <v>0</v>
      </c>
      <c r="BN8" s="429">
        <f>IF(LEFT('non Forest LUC'!$D9,6)=LEFT(Matrix!$BK$7,6),IF(LEFT('non Forest LUC'!$F9,6)=LEFT(Matrix!BN$7,6),'non Forest LUC'!$D31,0),0)</f>
        <v>0</v>
      </c>
      <c r="BO8" s="429">
        <f>IF(LEFT('non Forest LUC'!$D9,6)=LEFT(Matrix!$BK$7,6),IF(LEFT('non Forest LUC'!$F9,6)=LEFT(Matrix!BO$7,6),'non Forest LUC'!$D31,0),0)</f>
        <v>0</v>
      </c>
      <c r="BP8" s="429">
        <f>IF(LEFT('non Forest LUC'!$D9,6)=LEFT(Matrix!$BK$7,6),IF(LEFT('non Forest LUC'!$F9,6)=LEFT(Matrix!BP$7,6),'non Forest LUC'!$D31,0),0)</f>
        <v>0</v>
      </c>
      <c r="BQ8" s="429">
        <f>IF(LEFT('non Forest LUC'!$D9,6)=LEFT(Matrix!$BK$7,6),IF(LEFT('non Forest LUC'!$F9,6)=LEFT(Matrix!BQ$7,6),'non Forest LUC'!$D31,0),0)</f>
        <v>0</v>
      </c>
      <c r="BR8" s="440"/>
      <c r="BS8" s="429">
        <f>IF(LEFT('non Forest LUC'!$D9,6)=LEFT(Matrix!$BR$7,6),IF(LEFT('non Forest LUC'!$F9,6)=LEFT(Matrix!BS$7,6),'non Forest LUC'!$D31,0),0)</f>
        <v>0</v>
      </c>
      <c r="BT8" s="429">
        <f>IF(LEFT('non Forest LUC'!$D9,6)=LEFT(Matrix!$BR$7,6),IF(LEFT('non Forest LUC'!$F9,6)=LEFT(Matrix!BT$7,6),'non Forest LUC'!$D31,0),0)</f>
        <v>0</v>
      </c>
      <c r="BU8" s="429">
        <f>IF(LEFT('non Forest LUC'!$D9,6)=LEFT(Matrix!$BR$7,6),IF(LEFT('non Forest LUC'!$F9,6)=LEFT(Matrix!BU$7,6),'non Forest LUC'!$D31,0),0)</f>
        <v>0</v>
      </c>
      <c r="BV8" s="429">
        <f>IF(LEFT('non Forest LUC'!$D9,6)=LEFT(Matrix!$BR$7,6),IF(LEFT('non Forest LUC'!$F9,6)=LEFT(Matrix!BV$7,6),'non Forest LUC'!$D31,0),0)</f>
        <v>0</v>
      </c>
      <c r="BW8" s="429">
        <f>IF(LEFT('non Forest LUC'!$D9,6)=LEFT(Matrix!$BR$7,6),IF(LEFT('non Forest LUC'!$F9,6)=LEFT(Matrix!BW$7,6),'non Forest LUC'!$D31,0),0)</f>
        <v>0</v>
      </c>
      <c r="BX8" s="429">
        <f>IF(LEFT('non Forest LUC'!$D9,6)=LEFT(Matrix!$BR$7,6),IF(LEFT('non Forest LUC'!$F9,6)=LEFT(Matrix!BX$7,6),'non Forest LUC'!$D31,0),0)</f>
        <v>0</v>
      </c>
      <c r="BY8" s="440"/>
      <c r="BZ8" s="429">
        <f>IF(LEFT('non Forest LUC'!$D9,6)=LEFT(Matrix!$BY$7,6),IF(LEFT('non Forest LUC'!$F9,6)=LEFT(Matrix!BZ$7,6),'non Forest LUC'!$D31,0),0)</f>
        <v>0</v>
      </c>
      <c r="CA8" s="429">
        <f>IF(LEFT('non Forest LUC'!$D9,6)=LEFT(Matrix!$BY$7,6),IF(LEFT('non Forest LUC'!$F9,6)=LEFT(Matrix!CA$7,6),'non Forest LUC'!$D31,0),0)</f>
        <v>0</v>
      </c>
      <c r="CB8" s="429">
        <f>IF(LEFT('non Forest LUC'!$D9,6)=LEFT(Matrix!$BY$7,6),IF(LEFT('non Forest LUC'!$F9,6)=LEFT(Matrix!CB$7,6),'non Forest LUC'!$D31,0),0)</f>
        <v>0</v>
      </c>
      <c r="CC8" s="429">
        <f>IF(LEFT('non Forest LUC'!$D9,6)=LEFT(Matrix!$BY$7,6),IF(LEFT('non Forest LUC'!$F9,6)=LEFT(Matrix!CC$7,6),'non Forest LUC'!$D31,0),0)</f>
        <v>0</v>
      </c>
      <c r="CD8" s="429">
        <f>IF(LEFT('non Forest LUC'!$D9,6)=LEFT(Matrix!$BY$7,6),IF(LEFT('non Forest LUC'!$F9,6)=LEFT(Matrix!CD$7,6),'non Forest LUC'!$D31,0),0)</f>
        <v>0</v>
      </c>
      <c r="CE8" s="429">
        <f>IF(LEFT('non Forest LUC'!$D9,6)=LEFT(Matrix!$BY$7,6),IF(LEFT('non Forest LUC'!$F9,6)=LEFT(Matrix!CE$7,6),'non Forest LUC'!$D31,0),0)</f>
        <v>0</v>
      </c>
      <c r="CF8" s="440"/>
      <c r="CG8" s="429">
        <f>IF(LEFT('non Forest LUC'!$D9,6)=LEFT(Matrix!$CF$7,6),IF(LEFT('non Forest LUC'!$F9,6)=LEFT(Matrix!CG$7,6),'non Forest LUC'!$D31,0),0)</f>
        <v>0</v>
      </c>
      <c r="CH8" s="429">
        <f>IF(LEFT('non Forest LUC'!$D9,6)=LEFT(Matrix!$CF$7,6),IF(LEFT('non Forest LUC'!$F9,6)=LEFT(Matrix!CH$7,6),'non Forest LUC'!$D31,0),0)</f>
        <v>0</v>
      </c>
      <c r="CI8" s="429">
        <f>IF(LEFT('non Forest LUC'!$D9,6)=LEFT(Matrix!$CF$7,6),IF(LEFT('non Forest LUC'!$F9,6)=LEFT(Matrix!CI$7,6),'non Forest LUC'!$D31,0),0)</f>
        <v>0</v>
      </c>
      <c r="CJ8" s="429">
        <f>IF(LEFT('non Forest LUC'!$D9,6)=LEFT(Matrix!$CF$7,6),IF(LEFT('non Forest LUC'!$F9,6)=LEFT(Matrix!CJ$7,6),'non Forest LUC'!$D31,0),0)</f>
        <v>0</v>
      </c>
      <c r="CK8" s="429">
        <f>IF(LEFT('non Forest LUC'!$D9,6)=LEFT(Matrix!$CF$7,6),IF(LEFT('non Forest LUC'!$F9,6)=LEFT(Matrix!CK$7,6),'non Forest LUC'!$D31,0),0)</f>
        <v>0</v>
      </c>
      <c r="CL8" s="429">
        <f>IF(LEFT('non Forest LUC'!$D9,6)=LEFT(Matrix!$CF$7,6),IF(LEFT('non Forest LUC'!$F9,6)=LEFT(Matrix!CL$7,6),'non Forest LUC'!$D31,0),0)</f>
        <v>0</v>
      </c>
    </row>
    <row r="9" spans="2:90" ht="13.5" thickBot="1">
      <c r="B9" s="442"/>
      <c r="C9" s="448"/>
      <c r="D9" s="449"/>
      <c r="E9" s="450" t="s">
        <v>387</v>
      </c>
      <c r="F9" s="451" t="s">
        <v>1091</v>
      </c>
      <c r="G9" s="451" t="s">
        <v>1092</v>
      </c>
      <c r="H9" s="451" t="s">
        <v>1093</v>
      </c>
      <c r="I9" s="452"/>
      <c r="J9" s="452" t="s">
        <v>1187</v>
      </c>
      <c r="K9" s="453" t="s">
        <v>388</v>
      </c>
      <c r="L9" s="240"/>
      <c r="M9" s="454" t="s">
        <v>1098</v>
      </c>
      <c r="O9" s="240"/>
      <c r="P9" s="240"/>
      <c r="Q9" s="240"/>
      <c r="R9" s="240"/>
      <c r="S9" s="240"/>
      <c r="T9" s="240"/>
      <c r="U9" s="240"/>
      <c r="W9" s="435"/>
      <c r="X9" s="455">
        <f>IF(Deforestation!$I28=X$8,1,0)*Deforestation!$H43</f>
        <v>0</v>
      </c>
      <c r="Y9" s="455">
        <f>IF(Deforestation!$I28=Y$8,1,0)*Deforestation!$H43</f>
        <v>0</v>
      </c>
      <c r="Z9" s="455">
        <f>IF(Deforestation!$I28=Z$8,1,0)*Deforestation!$H43</f>
        <v>0</v>
      </c>
      <c r="AA9" s="455">
        <f>IF(Deforestation!$I28=AA$8,1,0)*Deforestation!$H43</f>
        <v>0</v>
      </c>
      <c r="AB9" s="455">
        <f>IF(Deforestation!$I28=AB$8,1,0)*Deforestation!$H43</f>
        <v>0</v>
      </c>
      <c r="AC9" s="455">
        <f>IF(Deforestation!$I28=AC$8,1,0)*Deforestation!$H43</f>
        <v>0</v>
      </c>
      <c r="AD9" s="455">
        <f>IF(Deforestation!$I28=AD$8,1,0)*Deforestation!$H43</f>
        <v>0</v>
      </c>
      <c r="AE9" s="455">
        <f>IF(Deforestation!$I28=AE$8,1,0)*Deforestation!$H43</f>
        <v>0</v>
      </c>
      <c r="AG9" s="437">
        <f>IF(AG$8='A-R'!$E28,'A-R'!$E43,0)</f>
        <v>0</v>
      </c>
      <c r="AH9" s="437">
        <f>IF(AH$8='A-R'!$E28,'A-R'!$E43,0)</f>
        <v>0</v>
      </c>
      <c r="AI9" s="437">
        <f>IF(AI$8='A-R'!$E28,'A-R'!$E43,0)</f>
        <v>0</v>
      </c>
      <c r="AJ9" s="437">
        <f>IF(AJ$8='A-R'!$E28,'A-R'!$E43,0)</f>
        <v>0</v>
      </c>
      <c r="AK9" s="437">
        <f>IF(AK$8='A-R'!$E28,'A-R'!$E43,0)</f>
        <v>0</v>
      </c>
      <c r="AL9" s="437">
        <f>IF(AL$8='A-R'!$E28,'A-R'!$E43,0)</f>
        <v>0</v>
      </c>
      <c r="AM9" s="437">
        <f>IF(AM$8='A-R'!$E28,'A-R'!$E43,0)</f>
        <v>0</v>
      </c>
      <c r="AN9" s="437">
        <f>IF(AN$8='A-R'!$E28,'A-R'!$E43,0)</f>
        <v>0</v>
      </c>
      <c r="AP9" s="440"/>
      <c r="AQ9" s="429">
        <f>IF(LEFT('non Forest LUC'!$D10,6)=LEFT(Matrix!$AP$7,6),IF(LEFT('non Forest LUC'!$F10,6)=LEFT(Matrix!AQ$7,6),'non Forest LUC'!$D32,0),0)</f>
        <v>0</v>
      </c>
      <c r="AR9" s="429">
        <f>IF(LEFT('non Forest LUC'!$D10,6)=LEFT(Matrix!$AP$7,6),IF(LEFT('non Forest LUC'!$F10,6)=LEFT(Matrix!AR$7,6),'non Forest LUC'!$D32,0),0)</f>
        <v>0</v>
      </c>
      <c r="AS9" s="429">
        <f>IF(LEFT('non Forest LUC'!$D10,6)=LEFT(Matrix!$AP$7,6),IF(LEFT('non Forest LUC'!$F10,6)=LEFT(Matrix!AS$7,6),'non Forest LUC'!$D32,0),0)</f>
        <v>0</v>
      </c>
      <c r="AT9" s="429">
        <f>IF(LEFT('non Forest LUC'!$D10,6)=LEFT(Matrix!$AP$7,6),IF(LEFT('non Forest LUC'!$F10,6)=LEFT(Matrix!AT$7,6),'non Forest LUC'!$D32,0),0)</f>
        <v>0</v>
      </c>
      <c r="AU9" s="429">
        <f>IF(LEFT('non Forest LUC'!$D10,6)=LEFT(Matrix!$AP$7,6),IF(LEFT('non Forest LUC'!$F10,6)=LEFT(Matrix!AU$7,6),'non Forest LUC'!$D32,0),0)</f>
        <v>0</v>
      </c>
      <c r="AV9" s="429">
        <f>IF(LEFT('non Forest LUC'!$D10,6)=LEFT(Matrix!$AP$7,6),IF(LEFT('non Forest LUC'!$F10,6)=LEFT(Matrix!AV$7,6),'non Forest LUC'!$D32,0),0)</f>
        <v>0</v>
      </c>
      <c r="AW9" s="440"/>
      <c r="AX9" s="429">
        <f>IF(LEFT('non Forest LUC'!$D10,6)=LEFT(Matrix!$AW$7,6),IF(LEFT('non Forest LUC'!$F10,6)=LEFT(Matrix!AX$7,6),'non Forest LUC'!$D32,0),0)</f>
        <v>0</v>
      </c>
      <c r="AY9" s="429">
        <f>IF(LEFT('non Forest LUC'!$D10,6)=LEFT(Matrix!$AW$7,6),IF(LEFT('non Forest LUC'!$F10,6)=LEFT(Matrix!AY$7,6),'non Forest LUC'!$D32,0),0)</f>
        <v>0</v>
      </c>
      <c r="AZ9" s="429">
        <f>IF(LEFT('non Forest LUC'!$D10,6)=LEFT(Matrix!$AW$7,6),IF(LEFT('non Forest LUC'!$F10,6)=LEFT(Matrix!AZ$7,6),'non Forest LUC'!$D32,0),0)</f>
        <v>0</v>
      </c>
      <c r="BA9" s="429">
        <f>IF(LEFT('non Forest LUC'!$D10,6)=LEFT(Matrix!$AW$7,6),IF(LEFT('non Forest LUC'!$F10,6)=LEFT(Matrix!BA$7,6),'non Forest LUC'!$D32,0),0)</f>
        <v>0</v>
      </c>
      <c r="BB9" s="429">
        <f>IF(LEFT('non Forest LUC'!$D10,6)=LEFT(Matrix!$AW$7,6),IF(LEFT('non Forest LUC'!$F10,6)=LEFT(Matrix!BB$7,6),'non Forest LUC'!$D32,0),0)</f>
        <v>0</v>
      </c>
      <c r="BC9" s="429">
        <f>IF(LEFT('non Forest LUC'!$D10,6)=LEFT(Matrix!$AW$7,6),IF(LEFT('non Forest LUC'!$F10,6)=LEFT(Matrix!BC$7,6),'non Forest LUC'!$D32,0),0)</f>
        <v>0</v>
      </c>
      <c r="BD9" s="440"/>
      <c r="BE9" s="429">
        <f>IF(LEFT('non Forest LUC'!$D10,6)=LEFT(Matrix!$BD$7,6),IF(LEFT('non Forest LUC'!$F10,6)=LEFT(Matrix!BE$7,6),'non Forest LUC'!$D32,0),0)</f>
        <v>0</v>
      </c>
      <c r="BF9" s="429">
        <f>IF(LEFT('non Forest LUC'!$D10,6)=LEFT(Matrix!$BD$7,6),IF(LEFT('non Forest LUC'!$F10,6)=LEFT(Matrix!BF$7,6),'non Forest LUC'!$D32,0),0)</f>
        <v>0</v>
      </c>
      <c r="BG9" s="429">
        <f>IF(LEFT('non Forest LUC'!$D10,6)=LEFT(Matrix!$BD$7,6),IF(LEFT('non Forest LUC'!$F10,6)=LEFT(Matrix!BG$7,6),'non Forest LUC'!$D32,0),0)</f>
        <v>0</v>
      </c>
      <c r="BH9" s="429">
        <f>IF(LEFT('non Forest LUC'!$D10,6)=LEFT(Matrix!$BD$7,6),IF(LEFT('non Forest LUC'!$F10,6)=LEFT(Matrix!BH$7,6),'non Forest LUC'!$D32,0),0)</f>
        <v>0</v>
      </c>
      <c r="BI9" s="429">
        <f>IF(LEFT('non Forest LUC'!$D10,6)=LEFT(Matrix!$BD$7,6),IF(LEFT('non Forest LUC'!$F10,6)=LEFT(Matrix!BI$7,6),'non Forest LUC'!$D32,0),0)</f>
        <v>0</v>
      </c>
      <c r="BJ9" s="429">
        <f>IF(LEFT('non Forest LUC'!$D10,6)=LEFT(Matrix!$BD$7,6),IF(LEFT('non Forest LUC'!$F10,6)=LEFT(Matrix!BJ$7,6),'non Forest LUC'!$D32,0),0)</f>
        <v>0</v>
      </c>
      <c r="BK9" s="440"/>
      <c r="BL9" s="429">
        <f>IF(LEFT('non Forest LUC'!$D10,6)=LEFT(Matrix!$BK$7,6),IF(LEFT('non Forest LUC'!$F10,6)=LEFT(Matrix!BL$7,6),'non Forest LUC'!$D32,0),0)</f>
        <v>0</v>
      </c>
      <c r="BM9" s="429">
        <f>IF(LEFT('non Forest LUC'!$D10,6)=LEFT(Matrix!$BK$7,6),IF(LEFT('non Forest LUC'!$F10,6)=LEFT(Matrix!BM$7,6),'non Forest LUC'!$D32,0),0)</f>
        <v>0</v>
      </c>
      <c r="BN9" s="429">
        <f>IF(LEFT('non Forest LUC'!$D10,6)=LEFT(Matrix!$BK$7,6),IF(LEFT('non Forest LUC'!$F10,6)=LEFT(Matrix!BN$7,6),'non Forest LUC'!$D32,0),0)</f>
        <v>0</v>
      </c>
      <c r="BO9" s="429">
        <f>IF(LEFT('non Forest LUC'!$D10,6)=LEFT(Matrix!$BK$7,6),IF(LEFT('non Forest LUC'!$F10,6)=LEFT(Matrix!BO$7,6),'non Forest LUC'!$D32,0),0)</f>
        <v>0</v>
      </c>
      <c r="BP9" s="429">
        <f>IF(LEFT('non Forest LUC'!$D10,6)=LEFT(Matrix!$BK$7,6),IF(LEFT('non Forest LUC'!$F10,6)=LEFT(Matrix!BP$7,6),'non Forest LUC'!$D32,0),0)</f>
        <v>0</v>
      </c>
      <c r="BQ9" s="429">
        <f>IF(LEFT('non Forest LUC'!$D10,6)=LEFT(Matrix!$BK$7,6),IF(LEFT('non Forest LUC'!$F10,6)=LEFT(Matrix!BQ$7,6),'non Forest LUC'!$D32,0),0)</f>
        <v>0</v>
      </c>
      <c r="BR9" s="440"/>
      <c r="BS9" s="429">
        <f>IF(LEFT('non Forest LUC'!$D10,6)=LEFT(Matrix!$BR$7,6),IF(LEFT('non Forest LUC'!$F10,6)=LEFT(Matrix!BS$7,6),'non Forest LUC'!$D32,0),0)</f>
        <v>0</v>
      </c>
      <c r="BT9" s="429">
        <f>IF(LEFT('non Forest LUC'!$D10,6)=LEFT(Matrix!$BR$7,6),IF(LEFT('non Forest LUC'!$F10,6)=LEFT(Matrix!BT$7,6),'non Forest LUC'!$D32,0),0)</f>
        <v>0</v>
      </c>
      <c r="BU9" s="429">
        <f>IF(LEFT('non Forest LUC'!$D10,6)=LEFT(Matrix!$BR$7,6),IF(LEFT('non Forest LUC'!$F10,6)=LEFT(Matrix!BU$7,6),'non Forest LUC'!$D32,0),0)</f>
        <v>0</v>
      </c>
      <c r="BV9" s="429">
        <f>IF(LEFT('non Forest LUC'!$D10,6)=LEFT(Matrix!$BR$7,6),IF(LEFT('non Forest LUC'!$F10,6)=LEFT(Matrix!BV$7,6),'non Forest LUC'!$D32,0),0)</f>
        <v>0</v>
      </c>
      <c r="BW9" s="429">
        <f>IF(LEFT('non Forest LUC'!$D10,6)=LEFT(Matrix!$BR$7,6),IF(LEFT('non Forest LUC'!$F10,6)=LEFT(Matrix!BW$7,6),'non Forest LUC'!$D32,0),0)</f>
        <v>0</v>
      </c>
      <c r="BX9" s="429">
        <f>IF(LEFT('non Forest LUC'!$D10,6)=LEFT(Matrix!$BR$7,6),IF(LEFT('non Forest LUC'!$F10,6)=LEFT(Matrix!BX$7,6),'non Forest LUC'!$D32,0),0)</f>
        <v>0</v>
      </c>
      <c r="BY9" s="440"/>
      <c r="BZ9" s="429">
        <f>IF(LEFT('non Forest LUC'!$D10,6)=LEFT(Matrix!$BY$7,6),IF(LEFT('non Forest LUC'!$F10,6)=LEFT(Matrix!BZ$7,6),'non Forest LUC'!$D32,0),0)</f>
        <v>0</v>
      </c>
      <c r="CA9" s="429">
        <f>IF(LEFT('non Forest LUC'!$D10,6)=LEFT(Matrix!$BY$7,6),IF(LEFT('non Forest LUC'!$F10,6)=LEFT(Matrix!CA$7,6),'non Forest LUC'!$D32,0),0)</f>
        <v>0</v>
      </c>
      <c r="CB9" s="429">
        <f>IF(LEFT('non Forest LUC'!$D10,6)=LEFT(Matrix!$BY$7,6),IF(LEFT('non Forest LUC'!$F10,6)=LEFT(Matrix!CB$7,6),'non Forest LUC'!$D32,0),0)</f>
        <v>0</v>
      </c>
      <c r="CC9" s="429">
        <f>IF(LEFT('non Forest LUC'!$D10,6)=LEFT(Matrix!$BY$7,6),IF(LEFT('non Forest LUC'!$F10,6)=LEFT(Matrix!CC$7,6),'non Forest LUC'!$D32,0),0)</f>
        <v>0</v>
      </c>
      <c r="CD9" s="429">
        <f>IF(LEFT('non Forest LUC'!$D10,6)=LEFT(Matrix!$BY$7,6),IF(LEFT('non Forest LUC'!$F10,6)=LEFT(Matrix!CD$7,6),'non Forest LUC'!$D32,0),0)</f>
        <v>0</v>
      </c>
      <c r="CE9" s="429">
        <f>IF(LEFT('non Forest LUC'!$D10,6)=LEFT(Matrix!$BY$7,6),IF(LEFT('non Forest LUC'!$F10,6)=LEFT(Matrix!CE$7,6),'non Forest LUC'!$D32,0),0)</f>
        <v>0</v>
      </c>
      <c r="CF9" s="440"/>
      <c r="CG9" s="429">
        <f>IF(LEFT('non Forest LUC'!$D10,6)=LEFT(Matrix!$CF$7,6),IF(LEFT('non Forest LUC'!$F10,6)=LEFT(Matrix!CG$7,6),'non Forest LUC'!$D32,0),0)</f>
        <v>0</v>
      </c>
      <c r="CH9" s="429">
        <f>IF(LEFT('non Forest LUC'!$D10,6)=LEFT(Matrix!$CF$7,6),IF(LEFT('non Forest LUC'!$F10,6)=LEFT(Matrix!CH$7,6),'non Forest LUC'!$D32,0),0)</f>
        <v>0</v>
      </c>
      <c r="CI9" s="429">
        <f>IF(LEFT('non Forest LUC'!$D10,6)=LEFT(Matrix!$CF$7,6),IF(LEFT('non Forest LUC'!$F10,6)=LEFT(Matrix!CI$7,6),'non Forest LUC'!$D32,0),0)</f>
        <v>0</v>
      </c>
      <c r="CJ9" s="429">
        <f>IF(LEFT('non Forest LUC'!$D10,6)=LEFT(Matrix!$CF$7,6),IF(LEFT('non Forest LUC'!$F10,6)=LEFT(Matrix!CJ$7,6),'non Forest LUC'!$D32,0),0)</f>
        <v>0</v>
      </c>
      <c r="CK9" s="429">
        <f>IF(LEFT('non Forest LUC'!$D10,6)=LEFT(Matrix!$CF$7,6),IF(LEFT('non Forest LUC'!$F10,6)=LEFT(Matrix!CK$7,6),'non Forest LUC'!$D32,0),0)</f>
        <v>0</v>
      </c>
      <c r="CL9" s="429">
        <f>IF(LEFT('non Forest LUC'!$D10,6)=LEFT(Matrix!$CF$7,6),IF(LEFT('non Forest LUC'!$F10,6)=LEFT(Matrix!CL$7,6),'non Forest LUC'!$D32,0),0)</f>
        <v>0</v>
      </c>
    </row>
    <row r="10" spans="2:90">
      <c r="B10" s="445" t="s">
        <v>1089</v>
      </c>
      <c r="C10" s="445" t="s">
        <v>1095</v>
      </c>
      <c r="D10" s="456"/>
      <c r="E10" s="1272">
        <f>SUM(Deforestation!C43:C52)-SUM(Deforestation!H43:H52)+SUM('Forest Degradation'!C44:C53)</f>
        <v>0</v>
      </c>
      <c r="F10" s="458">
        <f>X19</f>
        <v>0</v>
      </c>
      <c r="G10" s="459">
        <f>Y19</f>
        <v>0</v>
      </c>
      <c r="H10" s="459">
        <f>Z19</f>
        <v>0</v>
      </c>
      <c r="I10" s="460">
        <f>AA19</f>
        <v>0</v>
      </c>
      <c r="J10" s="461">
        <f>AC19+AE19</f>
        <v>0</v>
      </c>
      <c r="K10" s="462">
        <f>AB19+AD19</f>
        <v>0</v>
      </c>
      <c r="L10" s="240"/>
      <c r="M10" s="463">
        <f t="shared" ref="M10:M15" si="0">SUM(E10:K10)</f>
        <v>0</v>
      </c>
      <c r="O10" s="464"/>
      <c r="P10" s="464"/>
      <c r="Q10" s="464"/>
      <c r="R10" s="464"/>
      <c r="S10" s="464"/>
      <c r="T10" s="464"/>
      <c r="U10" s="464"/>
      <c r="W10" s="435"/>
      <c r="X10" s="455">
        <f>IF(Deforestation!$I29=X$8,1,0)*Deforestation!$H44</f>
        <v>0</v>
      </c>
      <c r="Y10" s="455">
        <f>IF(Deforestation!$I29=Y$8,1,0)*Deforestation!$H44</f>
        <v>0</v>
      </c>
      <c r="Z10" s="455">
        <f>IF(Deforestation!$I29=Z$8,1,0)*Deforestation!$H44</f>
        <v>0</v>
      </c>
      <c r="AA10" s="455">
        <f>IF(Deforestation!$I29=AA$8,1,0)*Deforestation!$H44</f>
        <v>0</v>
      </c>
      <c r="AB10" s="455">
        <f>IF(Deforestation!$I29=AB$8,1,0)*Deforestation!$H44</f>
        <v>0</v>
      </c>
      <c r="AC10" s="455">
        <f>IF(Deforestation!$I29=AC$8,1,0)*Deforestation!$H44</f>
        <v>0</v>
      </c>
      <c r="AD10" s="455">
        <f>IF(Deforestation!$I29=AD$8,1,0)*Deforestation!$H44</f>
        <v>0</v>
      </c>
      <c r="AE10" s="455">
        <f>IF(Deforestation!$I29=AE$8,1,0)*Deforestation!$H44</f>
        <v>0</v>
      </c>
      <c r="AG10" s="437">
        <f>IF(AG$8='A-R'!$E29,'A-R'!$E44,0)</f>
        <v>0</v>
      </c>
      <c r="AH10" s="437">
        <f>IF(AH$8='A-R'!$E29,'A-R'!$E44,0)</f>
        <v>0</v>
      </c>
      <c r="AI10" s="437">
        <f>IF(AI$8='A-R'!$E29,'A-R'!$E44,0)</f>
        <v>0</v>
      </c>
      <c r="AJ10" s="437">
        <f>IF(AJ$8='A-R'!$E29,'A-R'!$E44,0)</f>
        <v>0</v>
      </c>
      <c r="AK10" s="437">
        <f>IF(AK$8='A-R'!$E29,'A-R'!$E44,0)</f>
        <v>0</v>
      </c>
      <c r="AL10" s="437">
        <f>IF(AL$8='A-R'!$E29,'A-R'!$E44,0)</f>
        <v>0</v>
      </c>
      <c r="AM10" s="437">
        <f>IF(AM$8='A-R'!$E29,'A-R'!$E44,0)</f>
        <v>0</v>
      </c>
      <c r="AN10" s="437">
        <f>IF(AN$8='A-R'!$E29,'A-R'!$E44,0)</f>
        <v>0</v>
      </c>
      <c r="AP10" s="440"/>
      <c r="AQ10" s="429">
        <f>IF(LEFT('non Forest LUC'!$D11,6)=LEFT(Matrix!$AP$7,6),IF(LEFT('non Forest LUC'!$F11,6)=LEFT(Matrix!AQ$7,6),'non Forest LUC'!$D33,0),0)</f>
        <v>0</v>
      </c>
      <c r="AR10" s="429">
        <f>IF(LEFT('non Forest LUC'!$D11,6)=LEFT(Matrix!$AP$7,6),IF(LEFT('non Forest LUC'!$F11,6)=LEFT(Matrix!AR$7,6),'non Forest LUC'!$D33,0),0)</f>
        <v>0</v>
      </c>
      <c r="AS10" s="429">
        <f>IF(LEFT('non Forest LUC'!$D11,6)=LEFT(Matrix!$AP$7,6),IF(LEFT('non Forest LUC'!$F11,6)=LEFT(Matrix!AS$7,6),'non Forest LUC'!$D33,0),0)</f>
        <v>0</v>
      </c>
      <c r="AT10" s="429">
        <f>IF(LEFT('non Forest LUC'!$D11,6)=LEFT(Matrix!$AP$7,6),IF(LEFT('non Forest LUC'!$F11,6)=LEFT(Matrix!AT$7,6),'non Forest LUC'!$D33,0),0)</f>
        <v>0</v>
      </c>
      <c r="AU10" s="429">
        <f>IF(LEFT('non Forest LUC'!$D11,6)=LEFT(Matrix!$AP$7,6),IF(LEFT('non Forest LUC'!$F11,6)=LEFT(Matrix!AU$7,6),'non Forest LUC'!$D33,0),0)</f>
        <v>0</v>
      </c>
      <c r="AV10" s="429">
        <f>IF(LEFT('non Forest LUC'!$D11,6)=LEFT(Matrix!$AP$7,6),IF(LEFT('non Forest LUC'!$F11,6)=LEFT(Matrix!AV$7,6),'non Forest LUC'!$D33,0),0)</f>
        <v>0</v>
      </c>
      <c r="AW10" s="440"/>
      <c r="AX10" s="429">
        <f>IF(LEFT('non Forest LUC'!$D11,6)=LEFT(Matrix!$AW$7,6),IF(LEFT('non Forest LUC'!$F11,6)=LEFT(Matrix!AX$7,6),'non Forest LUC'!$D33,0),0)</f>
        <v>0</v>
      </c>
      <c r="AY10" s="429">
        <f>IF(LEFT('non Forest LUC'!$D11,6)=LEFT(Matrix!$AW$7,6),IF(LEFT('non Forest LUC'!$F11,6)=LEFT(Matrix!AY$7,6),'non Forest LUC'!$D33,0),0)</f>
        <v>0</v>
      </c>
      <c r="AZ10" s="429">
        <f>IF(LEFT('non Forest LUC'!$D11,6)=LEFT(Matrix!$AW$7,6),IF(LEFT('non Forest LUC'!$F11,6)=LEFT(Matrix!AZ$7,6),'non Forest LUC'!$D33,0),0)</f>
        <v>0</v>
      </c>
      <c r="BA10" s="429">
        <f>IF(LEFT('non Forest LUC'!$D11,6)=LEFT(Matrix!$AW$7,6),IF(LEFT('non Forest LUC'!$F11,6)=LEFT(Matrix!BA$7,6),'non Forest LUC'!$D33,0),0)</f>
        <v>0</v>
      </c>
      <c r="BB10" s="429">
        <f>IF(LEFT('non Forest LUC'!$D11,6)=LEFT(Matrix!$AW$7,6),IF(LEFT('non Forest LUC'!$F11,6)=LEFT(Matrix!BB$7,6),'non Forest LUC'!$D33,0),0)</f>
        <v>0</v>
      </c>
      <c r="BC10" s="429">
        <f>IF(LEFT('non Forest LUC'!$D11,6)=LEFT(Matrix!$AW$7,6),IF(LEFT('non Forest LUC'!$F11,6)=LEFT(Matrix!BC$7,6),'non Forest LUC'!$D33,0),0)</f>
        <v>0</v>
      </c>
      <c r="BD10" s="440"/>
      <c r="BE10" s="429">
        <f>IF(LEFT('non Forest LUC'!$D11,6)=LEFT(Matrix!$BD$7,6),IF(LEFT('non Forest LUC'!$F11,6)=LEFT(Matrix!BE$7,6),'non Forest LUC'!$D33,0),0)</f>
        <v>0</v>
      </c>
      <c r="BF10" s="429">
        <f>IF(LEFT('non Forest LUC'!$D11,6)=LEFT(Matrix!$BD$7,6),IF(LEFT('non Forest LUC'!$F11,6)=LEFT(Matrix!BF$7,6),'non Forest LUC'!$D33,0),0)</f>
        <v>0</v>
      </c>
      <c r="BG10" s="429">
        <f>IF(LEFT('non Forest LUC'!$D11,6)=LEFT(Matrix!$BD$7,6),IF(LEFT('non Forest LUC'!$F11,6)=LEFT(Matrix!BG$7,6),'non Forest LUC'!$D33,0),0)</f>
        <v>0</v>
      </c>
      <c r="BH10" s="429">
        <f>IF(LEFT('non Forest LUC'!$D11,6)=LEFT(Matrix!$BD$7,6),IF(LEFT('non Forest LUC'!$F11,6)=LEFT(Matrix!BH$7,6),'non Forest LUC'!$D33,0),0)</f>
        <v>0</v>
      </c>
      <c r="BI10" s="429">
        <f>IF(LEFT('non Forest LUC'!$D11,6)=LEFT(Matrix!$BD$7,6),IF(LEFT('non Forest LUC'!$F11,6)=LEFT(Matrix!BI$7,6),'non Forest LUC'!$D33,0),0)</f>
        <v>0</v>
      </c>
      <c r="BJ10" s="429">
        <f>IF(LEFT('non Forest LUC'!$D11,6)=LEFT(Matrix!$BD$7,6),IF(LEFT('non Forest LUC'!$F11,6)=LEFT(Matrix!BJ$7,6),'non Forest LUC'!$D33,0),0)</f>
        <v>0</v>
      </c>
      <c r="BK10" s="440"/>
      <c r="BL10" s="429">
        <f>IF(LEFT('non Forest LUC'!$D11,6)=LEFT(Matrix!$BK$7,6),IF(LEFT('non Forest LUC'!$F11,6)=LEFT(Matrix!BL$7,6),'non Forest LUC'!$D33,0),0)</f>
        <v>0</v>
      </c>
      <c r="BM10" s="429">
        <f>IF(LEFT('non Forest LUC'!$D11,6)=LEFT(Matrix!$BK$7,6),IF(LEFT('non Forest LUC'!$F11,6)=LEFT(Matrix!BM$7,6),'non Forest LUC'!$D33,0),0)</f>
        <v>0</v>
      </c>
      <c r="BN10" s="429">
        <f>IF(LEFT('non Forest LUC'!$D11,6)=LEFT(Matrix!$BK$7,6),IF(LEFT('non Forest LUC'!$F11,6)=LEFT(Matrix!BN$7,6),'non Forest LUC'!$D33,0),0)</f>
        <v>0</v>
      </c>
      <c r="BO10" s="429">
        <f>IF(LEFT('non Forest LUC'!$D11,6)=LEFT(Matrix!$BK$7,6),IF(LEFT('non Forest LUC'!$F11,6)=LEFT(Matrix!BO$7,6),'non Forest LUC'!$D33,0),0)</f>
        <v>0</v>
      </c>
      <c r="BP10" s="429">
        <f>IF(LEFT('non Forest LUC'!$D11,6)=LEFT(Matrix!$BK$7,6),IF(LEFT('non Forest LUC'!$F11,6)=LEFT(Matrix!BP$7,6),'non Forest LUC'!$D33,0),0)</f>
        <v>0</v>
      </c>
      <c r="BQ10" s="429">
        <f>IF(LEFT('non Forest LUC'!$D11,6)=LEFT(Matrix!$BK$7,6),IF(LEFT('non Forest LUC'!$F11,6)=LEFT(Matrix!BQ$7,6),'non Forest LUC'!$D33,0),0)</f>
        <v>0</v>
      </c>
      <c r="BR10" s="440"/>
      <c r="BS10" s="429">
        <f>IF(LEFT('non Forest LUC'!$D11,6)=LEFT(Matrix!$BR$7,6),IF(LEFT('non Forest LUC'!$F11,6)=LEFT(Matrix!BS$7,6),'non Forest LUC'!$D33,0),0)</f>
        <v>0</v>
      </c>
      <c r="BT10" s="429">
        <f>IF(LEFT('non Forest LUC'!$D11,6)=LEFT(Matrix!$BR$7,6),IF(LEFT('non Forest LUC'!$F11,6)=LEFT(Matrix!BT$7,6),'non Forest LUC'!$D33,0),0)</f>
        <v>0</v>
      </c>
      <c r="BU10" s="429">
        <f>IF(LEFT('non Forest LUC'!$D11,6)=LEFT(Matrix!$BR$7,6),IF(LEFT('non Forest LUC'!$F11,6)=LEFT(Matrix!BU$7,6),'non Forest LUC'!$D33,0),0)</f>
        <v>0</v>
      </c>
      <c r="BV10" s="429">
        <f>IF(LEFT('non Forest LUC'!$D11,6)=LEFT(Matrix!$BR$7,6),IF(LEFT('non Forest LUC'!$F11,6)=LEFT(Matrix!BV$7,6),'non Forest LUC'!$D33,0),0)</f>
        <v>0</v>
      </c>
      <c r="BW10" s="429">
        <f>IF(LEFT('non Forest LUC'!$D11,6)=LEFT(Matrix!$BR$7,6),IF(LEFT('non Forest LUC'!$F11,6)=LEFT(Matrix!BW$7,6),'non Forest LUC'!$D33,0),0)</f>
        <v>0</v>
      </c>
      <c r="BX10" s="429">
        <f>IF(LEFT('non Forest LUC'!$D11,6)=LEFT(Matrix!$BR$7,6),IF(LEFT('non Forest LUC'!$F11,6)=LEFT(Matrix!BX$7,6),'non Forest LUC'!$D33,0),0)</f>
        <v>0</v>
      </c>
      <c r="BY10" s="440"/>
      <c r="BZ10" s="429">
        <f>IF(LEFT('non Forest LUC'!$D11,6)=LEFT(Matrix!$BY$7,6),IF(LEFT('non Forest LUC'!$F11,6)=LEFT(Matrix!BZ$7,6),'non Forest LUC'!$D33,0),0)</f>
        <v>0</v>
      </c>
      <c r="CA10" s="429">
        <f>IF(LEFT('non Forest LUC'!$D11,6)=LEFT(Matrix!$BY$7,6),IF(LEFT('non Forest LUC'!$F11,6)=LEFT(Matrix!CA$7,6),'non Forest LUC'!$D33,0),0)</f>
        <v>0</v>
      </c>
      <c r="CB10" s="429">
        <f>IF(LEFT('non Forest LUC'!$D11,6)=LEFT(Matrix!$BY$7,6),IF(LEFT('non Forest LUC'!$F11,6)=LEFT(Matrix!CB$7,6),'non Forest LUC'!$D33,0),0)</f>
        <v>0</v>
      </c>
      <c r="CC10" s="429">
        <f>IF(LEFT('non Forest LUC'!$D11,6)=LEFT(Matrix!$BY$7,6),IF(LEFT('non Forest LUC'!$F11,6)=LEFT(Matrix!CC$7,6),'non Forest LUC'!$D33,0),0)</f>
        <v>0</v>
      </c>
      <c r="CD10" s="429">
        <f>IF(LEFT('non Forest LUC'!$D11,6)=LEFT(Matrix!$BY$7,6),IF(LEFT('non Forest LUC'!$F11,6)=LEFT(Matrix!CD$7,6),'non Forest LUC'!$D33,0),0)</f>
        <v>0</v>
      </c>
      <c r="CE10" s="429">
        <f>IF(LEFT('non Forest LUC'!$D11,6)=LEFT(Matrix!$BY$7,6),IF(LEFT('non Forest LUC'!$F11,6)=LEFT(Matrix!CE$7,6),'non Forest LUC'!$D33,0),0)</f>
        <v>0</v>
      </c>
      <c r="CF10" s="440"/>
      <c r="CG10" s="429">
        <f>IF(LEFT('non Forest LUC'!$D11,6)=LEFT(Matrix!$CF$7,6),IF(LEFT('non Forest LUC'!$F11,6)=LEFT(Matrix!CG$7,6),'non Forest LUC'!$D33,0),0)</f>
        <v>0</v>
      </c>
      <c r="CH10" s="429">
        <f>IF(LEFT('non Forest LUC'!$D11,6)=LEFT(Matrix!$CF$7,6),IF(LEFT('non Forest LUC'!$F11,6)=LEFT(Matrix!CH$7,6),'non Forest LUC'!$D33,0),0)</f>
        <v>0</v>
      </c>
      <c r="CI10" s="429">
        <f>IF(LEFT('non Forest LUC'!$D11,6)=LEFT(Matrix!$CF$7,6),IF(LEFT('non Forest LUC'!$F11,6)=LEFT(Matrix!CI$7,6),'non Forest LUC'!$D33,0),0)</f>
        <v>0</v>
      </c>
      <c r="CJ10" s="429">
        <f>IF(LEFT('non Forest LUC'!$D11,6)=LEFT(Matrix!$CF$7,6),IF(LEFT('non Forest LUC'!$F11,6)=LEFT(Matrix!CJ$7,6),'non Forest LUC'!$D33,0),0)</f>
        <v>0</v>
      </c>
      <c r="CK10" s="429">
        <f>IF(LEFT('non Forest LUC'!$D11,6)=LEFT(Matrix!$CF$7,6),IF(LEFT('non Forest LUC'!$F11,6)=LEFT(Matrix!CK$7,6),'non Forest LUC'!$D33,0),0)</f>
        <v>0</v>
      </c>
      <c r="CL10" s="429">
        <f>IF(LEFT('non Forest LUC'!$D11,6)=LEFT(Matrix!$CF$7,6),IF(LEFT('non Forest LUC'!$F11,6)=LEFT(Matrix!CL$7,6),'non Forest LUC'!$D33,0),0)</f>
        <v>0</v>
      </c>
    </row>
    <row r="11" spans="2:90">
      <c r="B11" s="465"/>
      <c r="C11" s="466"/>
      <c r="D11" s="467" t="s">
        <v>1091</v>
      </c>
      <c r="E11" s="468">
        <f>AG19</f>
        <v>0</v>
      </c>
      <c r="F11" s="469">
        <f>Annual!D48+Annual!D35+Annual!D37</f>
        <v>0</v>
      </c>
      <c r="G11" s="470">
        <f>AQ22</f>
        <v>0</v>
      </c>
      <c r="H11" s="470">
        <f>AR22</f>
        <v>0</v>
      </c>
      <c r="I11" s="471">
        <f>AT22</f>
        <v>0</v>
      </c>
      <c r="J11" s="472">
        <f>AU22</f>
        <v>0</v>
      </c>
      <c r="K11" s="473">
        <f>AV22+AS22</f>
        <v>0</v>
      </c>
      <c r="L11" s="240"/>
      <c r="M11" s="463">
        <f t="shared" si="0"/>
        <v>0</v>
      </c>
      <c r="O11" s="474"/>
      <c r="P11" s="474"/>
      <c r="Q11" s="474"/>
      <c r="R11" s="474"/>
      <c r="S11" s="474"/>
      <c r="T11" s="474"/>
      <c r="U11" s="474"/>
      <c r="W11" s="435"/>
      <c r="X11" s="455">
        <f>IF(Deforestation!$I30=X$8,1,0)*Deforestation!$H45</f>
        <v>0</v>
      </c>
      <c r="Y11" s="455">
        <f>IF(Deforestation!$I30=Y$8,1,0)*Deforestation!$H45</f>
        <v>0</v>
      </c>
      <c r="Z11" s="455">
        <f>IF(Deforestation!$I30=Z$8,1,0)*Deforestation!$H45</f>
        <v>0</v>
      </c>
      <c r="AA11" s="455">
        <f>IF(Deforestation!$I30=AA$8,1,0)*Deforestation!$H45</f>
        <v>0</v>
      </c>
      <c r="AB11" s="455">
        <f>IF(Deforestation!$I30=AB$8,1,0)*Deforestation!$H45</f>
        <v>0</v>
      </c>
      <c r="AC11" s="455">
        <f>IF(Deforestation!$I30=AC$8,1,0)*Deforestation!$H45</f>
        <v>0</v>
      </c>
      <c r="AD11" s="455">
        <f>IF(Deforestation!$I30=AD$8,1,0)*Deforestation!$H45</f>
        <v>0</v>
      </c>
      <c r="AE11" s="455">
        <f>IF(Deforestation!$I30=AE$8,1,0)*Deforestation!$H45</f>
        <v>0</v>
      </c>
      <c r="AG11" s="437">
        <f>IF(AG$8='A-R'!$E30,'A-R'!$E45,0)</f>
        <v>0</v>
      </c>
      <c r="AH11" s="437">
        <f>IF(AH$8='A-R'!$E30,'A-R'!$E45,0)</f>
        <v>0</v>
      </c>
      <c r="AI11" s="437">
        <f>IF(AI$8='A-R'!$E30,'A-R'!$E45,0)</f>
        <v>0</v>
      </c>
      <c r="AJ11" s="437">
        <f>IF(AJ$8='A-R'!$E30,'A-R'!$E45,0)</f>
        <v>0</v>
      </c>
      <c r="AK11" s="437">
        <f>IF(AK$8='A-R'!$E30,'A-R'!$E45,0)</f>
        <v>0</v>
      </c>
      <c r="AL11" s="437">
        <f>IF(AL$8='A-R'!$E30,'A-R'!$E45,0)</f>
        <v>0</v>
      </c>
      <c r="AM11" s="437">
        <f>IF(AM$8='A-R'!$E30,'A-R'!$E45,0)</f>
        <v>0</v>
      </c>
      <c r="AN11" s="437">
        <f>IF(AN$8='A-R'!$E30,'A-R'!$E45,0)</f>
        <v>0</v>
      </c>
      <c r="AP11" s="440"/>
      <c r="AQ11" s="429">
        <f>IF(LEFT('non Forest LUC'!$D12,6)=LEFT(Matrix!$AP$7,6),IF(LEFT('non Forest LUC'!$F12,6)=LEFT(Matrix!AQ$7,6),'non Forest LUC'!$D34,0),0)</f>
        <v>0</v>
      </c>
      <c r="AR11" s="429">
        <f>IF(LEFT('non Forest LUC'!$D12,6)=LEFT(Matrix!$AP$7,6),IF(LEFT('non Forest LUC'!$F12,6)=LEFT(Matrix!AR$7,6),'non Forest LUC'!$D34,0),0)</f>
        <v>0</v>
      </c>
      <c r="AS11" s="429">
        <f>IF(LEFT('non Forest LUC'!$D12,6)=LEFT(Matrix!$AP$7,6),IF(LEFT('non Forest LUC'!$F12,6)=LEFT(Matrix!AS$7,6),'non Forest LUC'!$D34,0),0)</f>
        <v>0</v>
      </c>
      <c r="AT11" s="429">
        <f>IF(LEFT('non Forest LUC'!$D12,6)=LEFT(Matrix!$AP$7,6),IF(LEFT('non Forest LUC'!$F12,6)=LEFT(Matrix!AT$7,6),'non Forest LUC'!$D34,0),0)</f>
        <v>0</v>
      </c>
      <c r="AU11" s="429">
        <f>IF(LEFT('non Forest LUC'!$D12,6)=LEFT(Matrix!$AP$7,6),IF(LEFT('non Forest LUC'!$F12,6)=LEFT(Matrix!AU$7,6),'non Forest LUC'!$D34,0),0)</f>
        <v>0</v>
      </c>
      <c r="AV11" s="429">
        <f>IF(LEFT('non Forest LUC'!$D12,6)=LEFT(Matrix!$AP$7,6),IF(LEFT('non Forest LUC'!$F12,6)=LEFT(Matrix!AV$7,6),'non Forest LUC'!$D34,0),0)</f>
        <v>0</v>
      </c>
      <c r="AW11" s="440"/>
      <c r="AX11" s="429">
        <f>IF(LEFT('non Forest LUC'!$D12,6)=LEFT(Matrix!$AW$7,6),IF(LEFT('non Forest LUC'!$F12,6)=LEFT(Matrix!AX$7,6),'non Forest LUC'!$D34,0),0)</f>
        <v>0</v>
      </c>
      <c r="AY11" s="429">
        <f>IF(LEFT('non Forest LUC'!$D12,6)=LEFT(Matrix!$AW$7,6),IF(LEFT('non Forest LUC'!$F12,6)=LEFT(Matrix!AY$7,6),'non Forest LUC'!$D34,0),0)</f>
        <v>0</v>
      </c>
      <c r="AZ11" s="429">
        <f>IF(LEFT('non Forest LUC'!$D12,6)=LEFT(Matrix!$AW$7,6),IF(LEFT('non Forest LUC'!$F12,6)=LEFT(Matrix!AZ$7,6),'non Forest LUC'!$D34,0),0)</f>
        <v>0</v>
      </c>
      <c r="BA11" s="429">
        <f>IF(LEFT('non Forest LUC'!$D12,6)=LEFT(Matrix!$AW$7,6),IF(LEFT('non Forest LUC'!$F12,6)=LEFT(Matrix!BA$7,6),'non Forest LUC'!$D34,0),0)</f>
        <v>0</v>
      </c>
      <c r="BB11" s="429">
        <f>IF(LEFT('non Forest LUC'!$D12,6)=LEFT(Matrix!$AW$7,6),IF(LEFT('non Forest LUC'!$F12,6)=LEFT(Matrix!BB$7,6),'non Forest LUC'!$D34,0),0)</f>
        <v>0</v>
      </c>
      <c r="BC11" s="429">
        <f>IF(LEFT('non Forest LUC'!$D12,6)=LEFT(Matrix!$AW$7,6),IF(LEFT('non Forest LUC'!$F12,6)=LEFT(Matrix!BC$7,6),'non Forest LUC'!$D34,0),0)</f>
        <v>0</v>
      </c>
      <c r="BD11" s="440"/>
      <c r="BE11" s="429">
        <f>IF(LEFT('non Forest LUC'!$D12,6)=LEFT(Matrix!$BD$7,6),IF(LEFT('non Forest LUC'!$F12,6)=LEFT(Matrix!BE$7,6),'non Forest LUC'!$D34,0),0)</f>
        <v>0</v>
      </c>
      <c r="BF11" s="429">
        <f>IF(LEFT('non Forest LUC'!$D12,6)=LEFT(Matrix!$BD$7,6),IF(LEFT('non Forest LUC'!$F12,6)=LEFT(Matrix!BF$7,6),'non Forest LUC'!$D34,0),0)</f>
        <v>0</v>
      </c>
      <c r="BG11" s="429">
        <f>IF(LEFT('non Forest LUC'!$D12,6)=LEFT(Matrix!$BD$7,6),IF(LEFT('non Forest LUC'!$F12,6)=LEFT(Matrix!BG$7,6),'non Forest LUC'!$D34,0),0)</f>
        <v>0</v>
      </c>
      <c r="BH11" s="429">
        <f>IF(LEFT('non Forest LUC'!$D12,6)=LEFT(Matrix!$BD$7,6),IF(LEFT('non Forest LUC'!$F12,6)=LEFT(Matrix!BH$7,6),'non Forest LUC'!$D34,0),0)</f>
        <v>0</v>
      </c>
      <c r="BI11" s="429">
        <f>IF(LEFT('non Forest LUC'!$D12,6)=LEFT(Matrix!$BD$7,6),IF(LEFT('non Forest LUC'!$F12,6)=LEFT(Matrix!BI$7,6),'non Forest LUC'!$D34,0),0)</f>
        <v>0</v>
      </c>
      <c r="BJ11" s="429">
        <f>IF(LEFT('non Forest LUC'!$D12,6)=LEFT(Matrix!$BD$7,6),IF(LEFT('non Forest LUC'!$F12,6)=LEFT(Matrix!BJ$7,6),'non Forest LUC'!$D34,0),0)</f>
        <v>0</v>
      </c>
      <c r="BK11" s="440"/>
      <c r="BL11" s="429">
        <f>IF(LEFT('non Forest LUC'!$D12,6)=LEFT(Matrix!$BK$7,6),IF(LEFT('non Forest LUC'!$F12,6)=LEFT(Matrix!BL$7,6),'non Forest LUC'!$D34,0),0)</f>
        <v>0</v>
      </c>
      <c r="BM11" s="429">
        <f>IF(LEFT('non Forest LUC'!$D12,6)=LEFT(Matrix!$BK$7,6),IF(LEFT('non Forest LUC'!$F12,6)=LEFT(Matrix!BM$7,6),'non Forest LUC'!$D34,0),0)</f>
        <v>0</v>
      </c>
      <c r="BN11" s="429">
        <f>IF(LEFT('non Forest LUC'!$D12,6)=LEFT(Matrix!$BK$7,6),IF(LEFT('non Forest LUC'!$F12,6)=LEFT(Matrix!BN$7,6),'non Forest LUC'!$D34,0),0)</f>
        <v>0</v>
      </c>
      <c r="BO11" s="429">
        <f>IF(LEFT('non Forest LUC'!$D12,6)=LEFT(Matrix!$BK$7,6),IF(LEFT('non Forest LUC'!$F12,6)=LEFT(Matrix!BO$7,6),'non Forest LUC'!$D34,0),0)</f>
        <v>0</v>
      </c>
      <c r="BP11" s="429">
        <f>IF(LEFT('non Forest LUC'!$D12,6)=LEFT(Matrix!$BK$7,6),IF(LEFT('non Forest LUC'!$F12,6)=LEFT(Matrix!BP$7,6),'non Forest LUC'!$D34,0),0)</f>
        <v>0</v>
      </c>
      <c r="BQ11" s="429">
        <f>IF(LEFT('non Forest LUC'!$D12,6)=LEFT(Matrix!$BK$7,6),IF(LEFT('non Forest LUC'!$F12,6)=LEFT(Matrix!BQ$7,6),'non Forest LUC'!$D34,0),0)</f>
        <v>0</v>
      </c>
      <c r="BR11" s="440"/>
      <c r="BS11" s="429">
        <f>IF(LEFT('non Forest LUC'!$D12,6)=LEFT(Matrix!$BR$7,6),IF(LEFT('non Forest LUC'!$F12,6)=LEFT(Matrix!BS$7,6),'non Forest LUC'!$D34,0),0)</f>
        <v>0</v>
      </c>
      <c r="BT11" s="429">
        <f>IF(LEFT('non Forest LUC'!$D12,6)=LEFT(Matrix!$BR$7,6),IF(LEFT('non Forest LUC'!$F12,6)=LEFT(Matrix!BT$7,6),'non Forest LUC'!$D34,0),0)</f>
        <v>0</v>
      </c>
      <c r="BU11" s="429">
        <f>IF(LEFT('non Forest LUC'!$D12,6)=LEFT(Matrix!$BR$7,6),IF(LEFT('non Forest LUC'!$F12,6)=LEFT(Matrix!BU$7,6),'non Forest LUC'!$D34,0),0)</f>
        <v>0</v>
      </c>
      <c r="BV11" s="429">
        <f>IF(LEFT('non Forest LUC'!$D12,6)=LEFT(Matrix!$BR$7,6),IF(LEFT('non Forest LUC'!$F12,6)=LEFT(Matrix!BV$7,6),'non Forest LUC'!$D34,0),0)</f>
        <v>0</v>
      </c>
      <c r="BW11" s="429">
        <f>IF(LEFT('non Forest LUC'!$D12,6)=LEFT(Matrix!$BR$7,6),IF(LEFT('non Forest LUC'!$F12,6)=LEFT(Matrix!BW$7,6),'non Forest LUC'!$D34,0),0)</f>
        <v>0</v>
      </c>
      <c r="BX11" s="429">
        <f>IF(LEFT('non Forest LUC'!$D12,6)=LEFT(Matrix!$BR$7,6),IF(LEFT('non Forest LUC'!$F12,6)=LEFT(Matrix!BX$7,6),'non Forest LUC'!$D34,0),0)</f>
        <v>0</v>
      </c>
      <c r="BY11" s="440"/>
      <c r="BZ11" s="429">
        <f>IF(LEFT('non Forest LUC'!$D12,6)=LEFT(Matrix!$BY$7,6),IF(LEFT('non Forest LUC'!$F12,6)=LEFT(Matrix!BZ$7,6),'non Forest LUC'!$D34,0),0)</f>
        <v>0</v>
      </c>
      <c r="CA11" s="429">
        <f>IF(LEFT('non Forest LUC'!$D12,6)=LEFT(Matrix!$BY$7,6),IF(LEFT('non Forest LUC'!$F12,6)=LEFT(Matrix!CA$7,6),'non Forest LUC'!$D34,0),0)</f>
        <v>0</v>
      </c>
      <c r="CB11" s="429">
        <f>IF(LEFT('non Forest LUC'!$D12,6)=LEFT(Matrix!$BY$7,6),IF(LEFT('non Forest LUC'!$F12,6)=LEFT(Matrix!CB$7,6),'non Forest LUC'!$D34,0),0)</f>
        <v>0</v>
      </c>
      <c r="CC11" s="429">
        <f>IF(LEFT('non Forest LUC'!$D12,6)=LEFT(Matrix!$BY$7,6),IF(LEFT('non Forest LUC'!$F12,6)=LEFT(Matrix!CC$7,6),'non Forest LUC'!$D34,0),0)</f>
        <v>0</v>
      </c>
      <c r="CD11" s="429">
        <f>IF(LEFT('non Forest LUC'!$D12,6)=LEFT(Matrix!$BY$7,6),IF(LEFT('non Forest LUC'!$F12,6)=LEFT(Matrix!CD$7,6),'non Forest LUC'!$D34,0),0)</f>
        <v>0</v>
      </c>
      <c r="CE11" s="429">
        <f>IF(LEFT('non Forest LUC'!$D12,6)=LEFT(Matrix!$BY$7,6),IF(LEFT('non Forest LUC'!$F12,6)=LEFT(Matrix!CE$7,6),'non Forest LUC'!$D34,0),0)</f>
        <v>0</v>
      </c>
      <c r="CF11" s="440"/>
      <c r="CG11" s="429">
        <f>IF(LEFT('non Forest LUC'!$D12,6)=LEFT(Matrix!$CF$7,6),IF(LEFT('non Forest LUC'!$F12,6)=LEFT(Matrix!CG$7,6),'non Forest LUC'!$D34,0),0)</f>
        <v>0</v>
      </c>
      <c r="CH11" s="429">
        <f>IF(LEFT('non Forest LUC'!$D12,6)=LEFT(Matrix!$CF$7,6),IF(LEFT('non Forest LUC'!$F12,6)=LEFT(Matrix!CH$7,6),'non Forest LUC'!$D34,0),0)</f>
        <v>0</v>
      </c>
      <c r="CI11" s="429">
        <f>IF(LEFT('non Forest LUC'!$D12,6)=LEFT(Matrix!$CF$7,6),IF(LEFT('non Forest LUC'!$F12,6)=LEFT(Matrix!CI$7,6),'non Forest LUC'!$D34,0),0)</f>
        <v>0</v>
      </c>
      <c r="CJ11" s="429">
        <f>IF(LEFT('non Forest LUC'!$D12,6)=LEFT(Matrix!$CF$7,6),IF(LEFT('non Forest LUC'!$F12,6)=LEFT(Matrix!CJ$7,6),'non Forest LUC'!$D34,0),0)</f>
        <v>0</v>
      </c>
      <c r="CK11" s="429">
        <f>IF(LEFT('non Forest LUC'!$D12,6)=LEFT(Matrix!$CF$7,6),IF(LEFT('non Forest LUC'!$F12,6)=LEFT(Matrix!CK$7,6),'non Forest LUC'!$D34,0),0)</f>
        <v>0</v>
      </c>
      <c r="CL11" s="429">
        <f>IF(LEFT('non Forest LUC'!$D12,6)=LEFT(Matrix!$CF$7,6),IF(LEFT('non Forest LUC'!$F12,6)=LEFT(Matrix!CL$7,6),'non Forest LUC'!$D34,0),0)</f>
        <v>0</v>
      </c>
    </row>
    <row r="12" spans="2:90">
      <c r="B12" s="465"/>
      <c r="C12" s="475" t="s">
        <v>1087</v>
      </c>
      <c r="D12" s="467" t="s">
        <v>1092</v>
      </c>
      <c r="E12" s="476">
        <f>SUM(AH19:AJ19)</f>
        <v>0</v>
      </c>
      <c r="F12" s="477">
        <f>AX22</f>
        <v>0</v>
      </c>
      <c r="G12" s="478">
        <f>Perennial!D46+Perennial!D33+Perennial!D35</f>
        <v>0</v>
      </c>
      <c r="H12" s="477">
        <f>AY22</f>
        <v>0</v>
      </c>
      <c r="I12" s="479">
        <f>BA22</f>
        <v>0</v>
      </c>
      <c r="J12" s="472">
        <f>BB22</f>
        <v>0</v>
      </c>
      <c r="K12" s="480">
        <f>AZ22+BC22</f>
        <v>0</v>
      </c>
      <c r="L12" s="240"/>
      <c r="M12" s="463">
        <f t="shared" si="0"/>
        <v>0</v>
      </c>
      <c r="O12" s="474"/>
      <c r="P12" s="474"/>
      <c r="Q12" s="474"/>
      <c r="R12" s="474"/>
      <c r="S12" s="474"/>
      <c r="T12" s="474"/>
      <c r="U12" s="474"/>
      <c r="W12" s="435"/>
      <c r="X12" s="455">
        <f>IF(Deforestation!$I31=X$8,1,0)*Deforestation!$H46</f>
        <v>0</v>
      </c>
      <c r="Y12" s="455">
        <f>IF(Deforestation!$I31=Y$8,1,0)*Deforestation!$H46</f>
        <v>0</v>
      </c>
      <c r="Z12" s="455">
        <f>IF(Deforestation!$I31=Z$8,1,0)*Deforestation!$H46</f>
        <v>0</v>
      </c>
      <c r="AA12" s="455">
        <f>IF(Deforestation!$I31=AA$8,1,0)*Deforestation!$H46</f>
        <v>0</v>
      </c>
      <c r="AB12" s="455">
        <f>IF(Deforestation!$I31=AB$8,1,0)*Deforestation!$H46</f>
        <v>0</v>
      </c>
      <c r="AC12" s="455">
        <f>IF(Deforestation!$I31=AC$8,1,0)*Deforestation!$H46</f>
        <v>0</v>
      </c>
      <c r="AD12" s="455">
        <f>IF(Deforestation!$I31=AD$8,1,0)*Deforestation!$H46</f>
        <v>0</v>
      </c>
      <c r="AE12" s="455">
        <f>IF(Deforestation!$I31=AE$8,1,0)*Deforestation!$H46</f>
        <v>0</v>
      </c>
      <c r="AG12" s="437">
        <f>IF(AG$8='A-R'!$E31,'A-R'!$E46,0)</f>
        <v>0</v>
      </c>
      <c r="AH12" s="437">
        <f>IF(AH$8='A-R'!$E31,'A-R'!$E46,0)</f>
        <v>0</v>
      </c>
      <c r="AI12" s="437">
        <f>IF(AI$8='A-R'!$E31,'A-R'!$E46,0)</f>
        <v>0</v>
      </c>
      <c r="AJ12" s="437">
        <f>IF(AJ$8='A-R'!$E31,'A-R'!$E46,0)</f>
        <v>0</v>
      </c>
      <c r="AK12" s="437">
        <f>IF(AK$8='A-R'!$E31,'A-R'!$E46,0)</f>
        <v>0</v>
      </c>
      <c r="AL12" s="437">
        <f>IF(AL$8='A-R'!$E31,'A-R'!$E46,0)</f>
        <v>0</v>
      </c>
      <c r="AM12" s="437">
        <f>IF(AM$8='A-R'!$E31,'A-R'!$E46,0)</f>
        <v>0</v>
      </c>
      <c r="AN12" s="437">
        <f>IF(AN$8='A-R'!$E31,'A-R'!$E46,0)</f>
        <v>0</v>
      </c>
      <c r="AP12" s="440"/>
      <c r="AQ12" s="429">
        <f>IF(LEFT('non Forest LUC'!$D13,6)=LEFT(Matrix!$AP$7,6),IF(LEFT('non Forest LUC'!$F13,6)=LEFT(Matrix!AQ$7,6),'non Forest LUC'!$D35,0),0)</f>
        <v>0</v>
      </c>
      <c r="AR12" s="429">
        <f>IF(LEFT('non Forest LUC'!$D13,6)=LEFT(Matrix!$AP$7,6),IF(LEFT('non Forest LUC'!$F13,6)=LEFT(Matrix!AR$7,6),'non Forest LUC'!$D35,0),0)</f>
        <v>0</v>
      </c>
      <c r="AS12" s="429">
        <f>IF(LEFT('non Forest LUC'!$D13,6)=LEFT(Matrix!$AP$7,6),IF(LEFT('non Forest LUC'!$F13,6)=LEFT(Matrix!AS$7,6),'non Forest LUC'!$D35,0),0)</f>
        <v>0</v>
      </c>
      <c r="AT12" s="429">
        <f>IF(LEFT('non Forest LUC'!$D13,6)=LEFT(Matrix!$AP$7,6),IF(LEFT('non Forest LUC'!$F13,6)=LEFT(Matrix!AT$7,6),'non Forest LUC'!$D35,0),0)</f>
        <v>0</v>
      </c>
      <c r="AU12" s="429">
        <f>IF(LEFT('non Forest LUC'!$D13,6)=LEFT(Matrix!$AP$7,6),IF(LEFT('non Forest LUC'!$F13,6)=LEFT(Matrix!AU$7,6),'non Forest LUC'!$D35,0),0)</f>
        <v>0</v>
      </c>
      <c r="AV12" s="429">
        <f>IF(LEFT('non Forest LUC'!$D13,6)=LEFT(Matrix!$AP$7,6),IF(LEFT('non Forest LUC'!$F13,6)=LEFT(Matrix!AV$7,6),'non Forest LUC'!$D35,0),0)</f>
        <v>0</v>
      </c>
      <c r="AW12" s="440"/>
      <c r="AX12" s="429">
        <f>IF(LEFT('non Forest LUC'!$D13,6)=LEFT(Matrix!$AW$7,6),IF(LEFT('non Forest LUC'!$F13,6)=LEFT(Matrix!AX$7,6),'non Forest LUC'!$D35,0),0)</f>
        <v>0</v>
      </c>
      <c r="AY12" s="429">
        <f>IF(LEFT('non Forest LUC'!$D13,6)=LEFT(Matrix!$AW$7,6),IF(LEFT('non Forest LUC'!$F13,6)=LEFT(Matrix!AY$7,6),'non Forest LUC'!$D35,0),0)</f>
        <v>0</v>
      </c>
      <c r="AZ12" s="429">
        <f>IF(LEFT('non Forest LUC'!$D13,6)=LEFT(Matrix!$AW$7,6),IF(LEFT('non Forest LUC'!$F13,6)=LEFT(Matrix!AZ$7,6),'non Forest LUC'!$D35,0),0)</f>
        <v>0</v>
      </c>
      <c r="BA12" s="429">
        <f>IF(LEFT('non Forest LUC'!$D13,6)=LEFT(Matrix!$AW$7,6),IF(LEFT('non Forest LUC'!$F13,6)=LEFT(Matrix!BA$7,6),'non Forest LUC'!$D35,0),0)</f>
        <v>0</v>
      </c>
      <c r="BB12" s="429">
        <f>IF(LEFT('non Forest LUC'!$D13,6)=LEFT(Matrix!$AW$7,6),IF(LEFT('non Forest LUC'!$F13,6)=LEFT(Matrix!BB$7,6),'non Forest LUC'!$D35,0),0)</f>
        <v>0</v>
      </c>
      <c r="BC12" s="429">
        <f>IF(LEFT('non Forest LUC'!$D13,6)=LEFT(Matrix!$AW$7,6),IF(LEFT('non Forest LUC'!$F13,6)=LEFT(Matrix!BC$7,6),'non Forest LUC'!$D35,0),0)</f>
        <v>0</v>
      </c>
      <c r="BD12" s="440"/>
      <c r="BE12" s="429">
        <f>IF(LEFT('non Forest LUC'!$D13,6)=LEFT(Matrix!$BD$7,6),IF(LEFT('non Forest LUC'!$F13,6)=LEFT(Matrix!BE$7,6),'non Forest LUC'!$D35,0),0)</f>
        <v>0</v>
      </c>
      <c r="BF12" s="429">
        <f>IF(LEFT('non Forest LUC'!$D13,6)=LEFT(Matrix!$BD$7,6),IF(LEFT('non Forest LUC'!$F13,6)=LEFT(Matrix!BF$7,6),'non Forest LUC'!$D35,0),0)</f>
        <v>0</v>
      </c>
      <c r="BG12" s="429">
        <f>IF(LEFT('non Forest LUC'!$D13,6)=LEFT(Matrix!$BD$7,6),IF(LEFT('non Forest LUC'!$F13,6)=LEFT(Matrix!BG$7,6),'non Forest LUC'!$D35,0),0)</f>
        <v>0</v>
      </c>
      <c r="BH12" s="429">
        <f>IF(LEFT('non Forest LUC'!$D13,6)=LEFT(Matrix!$BD$7,6),IF(LEFT('non Forest LUC'!$F13,6)=LEFT(Matrix!BH$7,6),'non Forest LUC'!$D35,0),0)</f>
        <v>0</v>
      </c>
      <c r="BI12" s="429">
        <f>IF(LEFT('non Forest LUC'!$D13,6)=LEFT(Matrix!$BD$7,6),IF(LEFT('non Forest LUC'!$F13,6)=LEFT(Matrix!BI$7,6),'non Forest LUC'!$D35,0),0)</f>
        <v>0</v>
      </c>
      <c r="BJ12" s="429">
        <f>IF(LEFT('non Forest LUC'!$D13,6)=LEFT(Matrix!$BD$7,6),IF(LEFT('non Forest LUC'!$F13,6)=LEFT(Matrix!BJ$7,6),'non Forest LUC'!$D35,0),0)</f>
        <v>0</v>
      </c>
      <c r="BK12" s="440"/>
      <c r="BL12" s="429">
        <f>IF(LEFT('non Forest LUC'!$D13,6)=LEFT(Matrix!$BK$7,6),IF(LEFT('non Forest LUC'!$F13,6)=LEFT(Matrix!BL$7,6),'non Forest LUC'!$D35,0),0)</f>
        <v>0</v>
      </c>
      <c r="BM12" s="429">
        <f>IF(LEFT('non Forest LUC'!$D13,6)=LEFT(Matrix!$BK$7,6),IF(LEFT('non Forest LUC'!$F13,6)=LEFT(Matrix!BM$7,6),'non Forest LUC'!$D35,0),0)</f>
        <v>0</v>
      </c>
      <c r="BN12" s="429">
        <f>IF(LEFT('non Forest LUC'!$D13,6)=LEFT(Matrix!$BK$7,6),IF(LEFT('non Forest LUC'!$F13,6)=LEFT(Matrix!BN$7,6),'non Forest LUC'!$D35,0),0)</f>
        <v>0</v>
      </c>
      <c r="BO12" s="429">
        <f>IF(LEFT('non Forest LUC'!$D13,6)=LEFT(Matrix!$BK$7,6),IF(LEFT('non Forest LUC'!$F13,6)=LEFT(Matrix!BO$7,6),'non Forest LUC'!$D35,0),0)</f>
        <v>0</v>
      </c>
      <c r="BP12" s="429">
        <f>IF(LEFT('non Forest LUC'!$D13,6)=LEFT(Matrix!$BK$7,6),IF(LEFT('non Forest LUC'!$F13,6)=LEFT(Matrix!BP$7,6),'non Forest LUC'!$D35,0),0)</f>
        <v>0</v>
      </c>
      <c r="BQ12" s="429">
        <f>IF(LEFT('non Forest LUC'!$D13,6)=LEFT(Matrix!$BK$7,6),IF(LEFT('non Forest LUC'!$F13,6)=LEFT(Matrix!BQ$7,6),'non Forest LUC'!$D35,0),0)</f>
        <v>0</v>
      </c>
      <c r="BR12" s="440"/>
      <c r="BS12" s="429">
        <f>IF(LEFT('non Forest LUC'!$D13,6)=LEFT(Matrix!$BR$7,6),IF(LEFT('non Forest LUC'!$F13,6)=LEFT(Matrix!BS$7,6),'non Forest LUC'!$D35,0),0)</f>
        <v>0</v>
      </c>
      <c r="BT12" s="429">
        <f>IF(LEFT('non Forest LUC'!$D13,6)=LEFT(Matrix!$BR$7,6),IF(LEFT('non Forest LUC'!$F13,6)=LEFT(Matrix!BT$7,6),'non Forest LUC'!$D35,0),0)</f>
        <v>0</v>
      </c>
      <c r="BU12" s="429">
        <f>IF(LEFT('non Forest LUC'!$D13,6)=LEFT(Matrix!$BR$7,6),IF(LEFT('non Forest LUC'!$F13,6)=LEFT(Matrix!BU$7,6),'non Forest LUC'!$D35,0),0)</f>
        <v>0</v>
      </c>
      <c r="BV12" s="429">
        <f>IF(LEFT('non Forest LUC'!$D13,6)=LEFT(Matrix!$BR$7,6),IF(LEFT('non Forest LUC'!$F13,6)=LEFT(Matrix!BV$7,6),'non Forest LUC'!$D35,0),0)</f>
        <v>0</v>
      </c>
      <c r="BW12" s="429">
        <f>IF(LEFT('non Forest LUC'!$D13,6)=LEFT(Matrix!$BR$7,6),IF(LEFT('non Forest LUC'!$F13,6)=LEFT(Matrix!BW$7,6),'non Forest LUC'!$D35,0),0)</f>
        <v>0</v>
      </c>
      <c r="BX12" s="429">
        <f>IF(LEFT('non Forest LUC'!$D13,6)=LEFT(Matrix!$BR$7,6),IF(LEFT('non Forest LUC'!$F13,6)=LEFT(Matrix!BX$7,6),'non Forest LUC'!$D35,0),0)</f>
        <v>0</v>
      </c>
      <c r="BY12" s="440"/>
      <c r="BZ12" s="429">
        <f>IF(LEFT('non Forest LUC'!$D13,6)=LEFT(Matrix!$BY$7,6),IF(LEFT('non Forest LUC'!$F13,6)=LEFT(Matrix!BZ$7,6),'non Forest LUC'!$D35,0),0)</f>
        <v>0</v>
      </c>
      <c r="CA12" s="429">
        <f>IF(LEFT('non Forest LUC'!$D13,6)=LEFT(Matrix!$BY$7,6),IF(LEFT('non Forest LUC'!$F13,6)=LEFT(Matrix!CA$7,6),'non Forest LUC'!$D35,0),0)</f>
        <v>0</v>
      </c>
      <c r="CB12" s="429">
        <f>IF(LEFT('non Forest LUC'!$D13,6)=LEFT(Matrix!$BY$7,6),IF(LEFT('non Forest LUC'!$F13,6)=LEFT(Matrix!CB$7,6),'non Forest LUC'!$D35,0),0)</f>
        <v>0</v>
      </c>
      <c r="CC12" s="429">
        <f>IF(LEFT('non Forest LUC'!$D13,6)=LEFT(Matrix!$BY$7,6),IF(LEFT('non Forest LUC'!$F13,6)=LEFT(Matrix!CC$7,6),'non Forest LUC'!$D35,0),0)</f>
        <v>0</v>
      </c>
      <c r="CD12" s="429">
        <f>IF(LEFT('non Forest LUC'!$D13,6)=LEFT(Matrix!$BY$7,6),IF(LEFT('non Forest LUC'!$F13,6)=LEFT(Matrix!CD$7,6),'non Forest LUC'!$D35,0),0)</f>
        <v>0</v>
      </c>
      <c r="CE12" s="429">
        <f>IF(LEFT('non Forest LUC'!$D13,6)=LEFT(Matrix!$BY$7,6),IF(LEFT('non Forest LUC'!$F13,6)=LEFT(Matrix!CE$7,6),'non Forest LUC'!$D35,0),0)</f>
        <v>0</v>
      </c>
      <c r="CF12" s="440"/>
      <c r="CG12" s="429">
        <f>IF(LEFT('non Forest LUC'!$D13,6)=LEFT(Matrix!$CF$7,6),IF(LEFT('non Forest LUC'!$F13,6)=LEFT(Matrix!CG$7,6),'non Forest LUC'!$D35,0),0)</f>
        <v>0</v>
      </c>
      <c r="CH12" s="429">
        <f>IF(LEFT('non Forest LUC'!$D13,6)=LEFT(Matrix!$CF$7,6),IF(LEFT('non Forest LUC'!$F13,6)=LEFT(Matrix!CH$7,6),'non Forest LUC'!$D35,0),0)</f>
        <v>0</v>
      </c>
      <c r="CI12" s="429">
        <f>IF(LEFT('non Forest LUC'!$D13,6)=LEFT(Matrix!$CF$7,6),IF(LEFT('non Forest LUC'!$F13,6)=LEFT(Matrix!CI$7,6),'non Forest LUC'!$D35,0),0)</f>
        <v>0</v>
      </c>
      <c r="CJ12" s="429">
        <f>IF(LEFT('non Forest LUC'!$D13,6)=LEFT(Matrix!$CF$7,6),IF(LEFT('non Forest LUC'!$F13,6)=LEFT(Matrix!CJ$7,6),'non Forest LUC'!$D35,0),0)</f>
        <v>0</v>
      </c>
      <c r="CK12" s="429">
        <f>IF(LEFT('non Forest LUC'!$D13,6)=LEFT(Matrix!$CF$7,6),IF(LEFT('non Forest LUC'!$F13,6)=LEFT(Matrix!CK$7,6),'non Forest LUC'!$D35,0),0)</f>
        <v>0</v>
      </c>
      <c r="CL12" s="429">
        <f>IF(LEFT('non Forest LUC'!$D13,6)=LEFT(Matrix!$CF$7,6),IF(LEFT('non Forest LUC'!$F13,6)=LEFT(Matrix!CL$7,6),'non Forest LUC'!$D35,0),0)</f>
        <v>0</v>
      </c>
    </row>
    <row r="13" spans="2:90">
      <c r="B13" s="465"/>
      <c r="C13" s="475"/>
      <c r="D13" s="467" t="s">
        <v>1093</v>
      </c>
      <c r="E13" s="476">
        <f>AK19</f>
        <v>0</v>
      </c>
      <c r="F13" s="477">
        <f>BE22</f>
        <v>0</v>
      </c>
      <c r="G13" s="477">
        <f>BF22</f>
        <v>0</v>
      </c>
      <c r="H13" s="478">
        <f>'Irrigated Rice'!C46+'Irrigated Rice'!D33+'Irrigated Rice'!D35</f>
        <v>0</v>
      </c>
      <c r="I13" s="479">
        <f>BH22</f>
        <v>0</v>
      </c>
      <c r="J13" s="472">
        <f>BI22</f>
        <v>0</v>
      </c>
      <c r="K13" s="480">
        <f>BJ22+BG22</f>
        <v>0</v>
      </c>
      <c r="L13" s="240"/>
      <c r="M13" s="463">
        <f t="shared" si="0"/>
        <v>0</v>
      </c>
      <c r="O13" s="474"/>
      <c r="P13" s="474"/>
      <c r="Q13" s="474"/>
      <c r="R13" s="474"/>
      <c r="S13" s="474"/>
      <c r="T13" s="474"/>
      <c r="U13" s="474"/>
      <c r="W13" s="435"/>
      <c r="X13" s="455">
        <f>IF(Deforestation!$I32=X$8,1,0)*Deforestation!$H47</f>
        <v>0</v>
      </c>
      <c r="Y13" s="455">
        <f>IF(Deforestation!$I32=Y$8,1,0)*Deforestation!$H47</f>
        <v>0</v>
      </c>
      <c r="Z13" s="455">
        <f>IF(Deforestation!$I32=Z$8,1,0)*Deforestation!$H47</f>
        <v>0</v>
      </c>
      <c r="AA13" s="455">
        <f>IF(Deforestation!$I32=AA$8,1,0)*Deforestation!$H47</f>
        <v>0</v>
      </c>
      <c r="AB13" s="455">
        <f>IF(Deforestation!$I32=AB$8,1,0)*Deforestation!$H47</f>
        <v>0</v>
      </c>
      <c r="AC13" s="455">
        <f>IF(Deforestation!$I32=AC$8,1,0)*Deforestation!$H47</f>
        <v>0</v>
      </c>
      <c r="AD13" s="455">
        <f>IF(Deforestation!$I32=AD$8,1,0)*Deforestation!$H47</f>
        <v>0</v>
      </c>
      <c r="AE13" s="455">
        <f>IF(Deforestation!$I32=AE$8,1,0)*Deforestation!$H47</f>
        <v>0</v>
      </c>
      <c r="AG13" s="437">
        <f>IF(AG$8='A-R'!$E32,'A-R'!$E47,0)</f>
        <v>0</v>
      </c>
      <c r="AH13" s="437">
        <f>IF(AH$8='A-R'!$E32,'A-R'!$E47,0)</f>
        <v>0</v>
      </c>
      <c r="AI13" s="437">
        <f>IF(AI$8='A-R'!$E32,'A-R'!$E47,0)</f>
        <v>0</v>
      </c>
      <c r="AJ13" s="437">
        <f>IF(AJ$8='A-R'!$E32,'A-R'!$E47,0)</f>
        <v>0</v>
      </c>
      <c r="AK13" s="437">
        <f>IF(AK$8='A-R'!$E32,'A-R'!$E47,0)</f>
        <v>0</v>
      </c>
      <c r="AL13" s="437">
        <f>IF(AL$8='A-R'!$E32,'A-R'!$E47,0)</f>
        <v>0</v>
      </c>
      <c r="AM13" s="437">
        <f>IF(AM$8='A-R'!$E32,'A-R'!$E47,0)</f>
        <v>0</v>
      </c>
      <c r="AN13" s="437">
        <f>IF(AN$8='A-R'!$E32,'A-R'!$E47,0)</f>
        <v>0</v>
      </c>
      <c r="AP13" s="440"/>
      <c r="AQ13" s="429">
        <f>IF(LEFT('non Forest LUC'!$D14,6)=LEFT(Matrix!$AP$7,6),IF(LEFT('non Forest LUC'!$F14,6)=LEFT(Matrix!AQ$7,6),'non Forest LUC'!$D36,0),0)</f>
        <v>0</v>
      </c>
      <c r="AR13" s="429">
        <f>IF(LEFT('non Forest LUC'!$D14,6)=LEFT(Matrix!$AP$7,6),IF(LEFT('non Forest LUC'!$F14,6)=LEFT(Matrix!AR$7,6),'non Forest LUC'!$D36,0),0)</f>
        <v>0</v>
      </c>
      <c r="AS13" s="429">
        <f>IF(LEFT('non Forest LUC'!$D14,6)=LEFT(Matrix!$AP$7,6),IF(LEFT('non Forest LUC'!$F14,6)=LEFT(Matrix!AS$7,6),'non Forest LUC'!$D36,0),0)</f>
        <v>0</v>
      </c>
      <c r="AT13" s="429">
        <f>IF(LEFT('non Forest LUC'!$D14,6)=LEFT(Matrix!$AP$7,6),IF(LEFT('non Forest LUC'!$F14,6)=LEFT(Matrix!AT$7,6),'non Forest LUC'!$D36,0),0)</f>
        <v>0</v>
      </c>
      <c r="AU13" s="429">
        <f>IF(LEFT('non Forest LUC'!$D14,6)=LEFT(Matrix!$AP$7,6),IF(LEFT('non Forest LUC'!$F14,6)=LEFT(Matrix!AU$7,6),'non Forest LUC'!$D36,0),0)</f>
        <v>0</v>
      </c>
      <c r="AV13" s="429">
        <f>IF(LEFT('non Forest LUC'!$D14,6)=LEFT(Matrix!$AP$7,6),IF(LEFT('non Forest LUC'!$F14,6)=LEFT(Matrix!AV$7,6),'non Forest LUC'!$D36,0),0)</f>
        <v>0</v>
      </c>
      <c r="AW13" s="440"/>
      <c r="AX13" s="429">
        <f>IF(LEFT('non Forest LUC'!$D14,6)=LEFT(Matrix!$AW$7,6),IF(LEFT('non Forest LUC'!$F14,6)=LEFT(Matrix!AX$7,6),'non Forest LUC'!$D36,0),0)</f>
        <v>0</v>
      </c>
      <c r="AY13" s="429">
        <f>IF(LEFT('non Forest LUC'!$D14,6)=LEFT(Matrix!$AW$7,6),IF(LEFT('non Forest LUC'!$F14,6)=LEFT(Matrix!AY$7,6),'non Forest LUC'!$D36,0),0)</f>
        <v>0</v>
      </c>
      <c r="AZ13" s="429">
        <f>IF(LEFT('non Forest LUC'!$D14,6)=LEFT(Matrix!$AW$7,6),IF(LEFT('non Forest LUC'!$F14,6)=LEFT(Matrix!AZ$7,6),'non Forest LUC'!$D36,0),0)</f>
        <v>0</v>
      </c>
      <c r="BA13" s="429">
        <f>IF(LEFT('non Forest LUC'!$D14,6)=LEFT(Matrix!$AW$7,6),IF(LEFT('non Forest LUC'!$F14,6)=LEFT(Matrix!BA$7,6),'non Forest LUC'!$D36,0),0)</f>
        <v>0</v>
      </c>
      <c r="BB13" s="429">
        <f>IF(LEFT('non Forest LUC'!$D14,6)=LEFT(Matrix!$AW$7,6),IF(LEFT('non Forest LUC'!$F14,6)=LEFT(Matrix!BB$7,6),'non Forest LUC'!$D36,0),0)</f>
        <v>0</v>
      </c>
      <c r="BC13" s="429">
        <f>IF(LEFT('non Forest LUC'!$D14,6)=LEFT(Matrix!$AW$7,6),IF(LEFT('non Forest LUC'!$F14,6)=LEFT(Matrix!BC$7,6),'non Forest LUC'!$D36,0),0)</f>
        <v>0</v>
      </c>
      <c r="BD13" s="440"/>
      <c r="BE13" s="429">
        <f>IF(LEFT('non Forest LUC'!$D14,6)=LEFT(Matrix!$BD$7,6),IF(LEFT('non Forest LUC'!$F14,6)=LEFT(Matrix!BE$7,6),'non Forest LUC'!$D36,0),0)</f>
        <v>0</v>
      </c>
      <c r="BF13" s="429">
        <f>IF(LEFT('non Forest LUC'!$D14,6)=LEFT(Matrix!$BD$7,6),IF(LEFT('non Forest LUC'!$F14,6)=LEFT(Matrix!BF$7,6),'non Forest LUC'!$D36,0),0)</f>
        <v>0</v>
      </c>
      <c r="BG13" s="429">
        <f>IF(LEFT('non Forest LUC'!$D14,6)=LEFT(Matrix!$BD$7,6),IF(LEFT('non Forest LUC'!$F14,6)=LEFT(Matrix!BG$7,6),'non Forest LUC'!$D36,0),0)</f>
        <v>0</v>
      </c>
      <c r="BH13" s="429">
        <f>IF(LEFT('non Forest LUC'!$D14,6)=LEFT(Matrix!$BD$7,6),IF(LEFT('non Forest LUC'!$F14,6)=LEFT(Matrix!BH$7,6),'non Forest LUC'!$D36,0),0)</f>
        <v>0</v>
      </c>
      <c r="BI13" s="429">
        <f>IF(LEFT('non Forest LUC'!$D14,6)=LEFT(Matrix!$BD$7,6),IF(LEFT('non Forest LUC'!$F14,6)=LEFT(Matrix!BI$7,6),'non Forest LUC'!$D36,0),0)</f>
        <v>0</v>
      </c>
      <c r="BJ13" s="429">
        <f>IF(LEFT('non Forest LUC'!$D14,6)=LEFT(Matrix!$BD$7,6),IF(LEFT('non Forest LUC'!$F14,6)=LEFT(Matrix!BJ$7,6),'non Forest LUC'!$D36,0),0)</f>
        <v>0</v>
      </c>
      <c r="BK13" s="440"/>
      <c r="BL13" s="429">
        <f>IF(LEFT('non Forest LUC'!$D14,6)=LEFT(Matrix!$BK$7,6),IF(LEFT('non Forest LUC'!$F14,6)=LEFT(Matrix!BL$7,6),'non Forest LUC'!$D36,0),0)</f>
        <v>0</v>
      </c>
      <c r="BM13" s="429">
        <f>IF(LEFT('non Forest LUC'!$D14,6)=LEFT(Matrix!$BK$7,6),IF(LEFT('non Forest LUC'!$F14,6)=LEFT(Matrix!BM$7,6),'non Forest LUC'!$D36,0),0)</f>
        <v>0</v>
      </c>
      <c r="BN13" s="429">
        <f>IF(LEFT('non Forest LUC'!$D14,6)=LEFT(Matrix!$BK$7,6),IF(LEFT('non Forest LUC'!$F14,6)=LEFT(Matrix!BN$7,6),'non Forest LUC'!$D36,0),0)</f>
        <v>0</v>
      </c>
      <c r="BO13" s="429">
        <f>IF(LEFT('non Forest LUC'!$D14,6)=LEFT(Matrix!$BK$7,6),IF(LEFT('non Forest LUC'!$F14,6)=LEFT(Matrix!BO$7,6),'non Forest LUC'!$D36,0),0)</f>
        <v>0</v>
      </c>
      <c r="BP13" s="429">
        <f>IF(LEFT('non Forest LUC'!$D14,6)=LEFT(Matrix!$BK$7,6),IF(LEFT('non Forest LUC'!$F14,6)=LEFT(Matrix!BP$7,6),'non Forest LUC'!$D36,0),0)</f>
        <v>0</v>
      </c>
      <c r="BQ13" s="429">
        <f>IF(LEFT('non Forest LUC'!$D14,6)=LEFT(Matrix!$BK$7,6),IF(LEFT('non Forest LUC'!$F14,6)=LEFT(Matrix!BQ$7,6),'non Forest LUC'!$D36,0),0)</f>
        <v>0</v>
      </c>
      <c r="BR13" s="440"/>
      <c r="BS13" s="429">
        <f>IF(LEFT('non Forest LUC'!$D14,6)=LEFT(Matrix!$BR$7,6),IF(LEFT('non Forest LUC'!$F14,6)=LEFT(Matrix!BS$7,6),'non Forest LUC'!$D36,0),0)</f>
        <v>0</v>
      </c>
      <c r="BT13" s="429">
        <f>IF(LEFT('non Forest LUC'!$D14,6)=LEFT(Matrix!$BR$7,6),IF(LEFT('non Forest LUC'!$F14,6)=LEFT(Matrix!BT$7,6),'non Forest LUC'!$D36,0),0)</f>
        <v>0</v>
      </c>
      <c r="BU13" s="429">
        <f>IF(LEFT('non Forest LUC'!$D14,6)=LEFT(Matrix!$BR$7,6),IF(LEFT('non Forest LUC'!$F14,6)=LEFT(Matrix!BU$7,6),'non Forest LUC'!$D36,0),0)</f>
        <v>0</v>
      </c>
      <c r="BV13" s="429">
        <f>IF(LEFT('non Forest LUC'!$D14,6)=LEFT(Matrix!$BR$7,6),IF(LEFT('non Forest LUC'!$F14,6)=LEFT(Matrix!BV$7,6),'non Forest LUC'!$D36,0),0)</f>
        <v>0</v>
      </c>
      <c r="BW13" s="429">
        <f>IF(LEFT('non Forest LUC'!$D14,6)=LEFT(Matrix!$BR$7,6),IF(LEFT('non Forest LUC'!$F14,6)=LEFT(Matrix!BW$7,6),'non Forest LUC'!$D36,0),0)</f>
        <v>0</v>
      </c>
      <c r="BX13" s="429">
        <f>IF(LEFT('non Forest LUC'!$D14,6)=LEFT(Matrix!$BR$7,6),IF(LEFT('non Forest LUC'!$F14,6)=LEFT(Matrix!BX$7,6),'non Forest LUC'!$D36,0),0)</f>
        <v>0</v>
      </c>
      <c r="BY13" s="440"/>
      <c r="BZ13" s="429">
        <f>IF(LEFT('non Forest LUC'!$D14,6)=LEFT(Matrix!$BY$7,6),IF(LEFT('non Forest LUC'!$F14,6)=LEFT(Matrix!BZ$7,6),'non Forest LUC'!$D36,0),0)</f>
        <v>0</v>
      </c>
      <c r="CA13" s="429">
        <f>IF(LEFT('non Forest LUC'!$D14,6)=LEFT(Matrix!$BY$7,6),IF(LEFT('non Forest LUC'!$F14,6)=LEFT(Matrix!CA$7,6),'non Forest LUC'!$D36,0),0)</f>
        <v>0</v>
      </c>
      <c r="CB13" s="429">
        <f>IF(LEFT('non Forest LUC'!$D14,6)=LEFT(Matrix!$BY$7,6),IF(LEFT('non Forest LUC'!$F14,6)=LEFT(Matrix!CB$7,6),'non Forest LUC'!$D36,0),0)</f>
        <v>0</v>
      </c>
      <c r="CC13" s="429">
        <f>IF(LEFT('non Forest LUC'!$D14,6)=LEFT(Matrix!$BY$7,6),IF(LEFT('non Forest LUC'!$F14,6)=LEFT(Matrix!CC$7,6),'non Forest LUC'!$D36,0),0)</f>
        <v>0</v>
      </c>
      <c r="CD13" s="429">
        <f>IF(LEFT('non Forest LUC'!$D14,6)=LEFT(Matrix!$BY$7,6),IF(LEFT('non Forest LUC'!$F14,6)=LEFT(Matrix!CD$7,6),'non Forest LUC'!$D36,0),0)</f>
        <v>0</v>
      </c>
      <c r="CE13" s="429">
        <f>IF(LEFT('non Forest LUC'!$D14,6)=LEFT(Matrix!$BY$7,6),IF(LEFT('non Forest LUC'!$F14,6)=LEFT(Matrix!CE$7,6),'non Forest LUC'!$D36,0),0)</f>
        <v>0</v>
      </c>
      <c r="CF13" s="440"/>
      <c r="CG13" s="429">
        <f>IF(LEFT('non Forest LUC'!$D14,6)=LEFT(Matrix!$CF$7,6),IF(LEFT('non Forest LUC'!$F14,6)=LEFT(Matrix!CG$7,6),'non Forest LUC'!$D36,0),0)</f>
        <v>0</v>
      </c>
      <c r="CH13" s="429">
        <f>IF(LEFT('non Forest LUC'!$D14,6)=LEFT(Matrix!$CF$7,6),IF(LEFT('non Forest LUC'!$F14,6)=LEFT(Matrix!CH$7,6),'non Forest LUC'!$D36,0),0)</f>
        <v>0</v>
      </c>
      <c r="CI13" s="429">
        <f>IF(LEFT('non Forest LUC'!$D14,6)=LEFT(Matrix!$CF$7,6),IF(LEFT('non Forest LUC'!$F14,6)=LEFT(Matrix!CI$7,6),'non Forest LUC'!$D36,0),0)</f>
        <v>0</v>
      </c>
      <c r="CJ13" s="429">
        <f>IF(LEFT('non Forest LUC'!$D14,6)=LEFT(Matrix!$CF$7,6),IF(LEFT('non Forest LUC'!$F14,6)=LEFT(Matrix!CJ$7,6),'non Forest LUC'!$D36,0),0)</f>
        <v>0</v>
      </c>
      <c r="CK13" s="429">
        <f>IF(LEFT('non Forest LUC'!$D14,6)=LEFT(Matrix!$CF$7,6),IF(LEFT('non Forest LUC'!$F14,6)=LEFT(Matrix!CK$7,6),'non Forest LUC'!$D36,0),0)</f>
        <v>0</v>
      </c>
      <c r="CL13" s="429">
        <f>IF(LEFT('non Forest LUC'!$D14,6)=LEFT(Matrix!$CF$7,6),IF(LEFT('non Forest LUC'!$F14,6)=LEFT(Matrix!CL$7,6),'non Forest LUC'!$D36,0),0)</f>
        <v>0</v>
      </c>
    </row>
    <row r="14" spans="2:90">
      <c r="B14" s="465"/>
      <c r="C14" s="481" t="s">
        <v>329</v>
      </c>
      <c r="D14" s="467"/>
      <c r="E14" s="476">
        <f>AM19</f>
        <v>0</v>
      </c>
      <c r="F14" s="482">
        <f>BS22</f>
        <v>0</v>
      </c>
      <c r="G14" s="483">
        <f>BT22</f>
        <v>0</v>
      </c>
      <c r="H14" s="484">
        <f>BU22</f>
        <v>0</v>
      </c>
      <c r="I14" s="485">
        <f>Grass!E43+Grass!E30+Grass!E32</f>
        <v>0</v>
      </c>
      <c r="J14" s="472">
        <f>BW22</f>
        <v>0</v>
      </c>
      <c r="K14" s="480">
        <f>BV22+BX22</f>
        <v>0</v>
      </c>
      <c r="L14" s="240"/>
      <c r="M14" s="463">
        <f t="shared" si="0"/>
        <v>0</v>
      </c>
      <c r="O14" s="474"/>
      <c r="P14" s="474"/>
      <c r="Q14" s="474"/>
      <c r="R14" s="474"/>
      <c r="S14" s="474"/>
      <c r="T14" s="474"/>
      <c r="U14" s="474"/>
      <c r="W14" s="435"/>
      <c r="X14" s="455">
        <f>IF(Deforestation!$I33=X$8,1,0)*Deforestation!$H48</f>
        <v>0</v>
      </c>
      <c r="Y14" s="455">
        <f>IF(Deforestation!$I33=Y$8,1,0)*Deforestation!$H48</f>
        <v>0</v>
      </c>
      <c r="Z14" s="455">
        <f>IF(Deforestation!$I33=Z$8,1,0)*Deforestation!$H48</f>
        <v>0</v>
      </c>
      <c r="AA14" s="455">
        <f>IF(Deforestation!$I33=AA$8,1,0)*Deforestation!$H48</f>
        <v>0</v>
      </c>
      <c r="AB14" s="455">
        <f>IF(Deforestation!$I33=AB$8,1,0)*Deforestation!$H48</f>
        <v>0</v>
      </c>
      <c r="AC14" s="455">
        <f>IF(Deforestation!$I33=AC$8,1,0)*Deforestation!$H48</f>
        <v>0</v>
      </c>
      <c r="AD14" s="455">
        <f>IF(Deforestation!$I33=AD$8,1,0)*Deforestation!$H48</f>
        <v>0</v>
      </c>
      <c r="AE14" s="455">
        <f>IF(Deforestation!$I33=AE$8,1,0)*Deforestation!$H48</f>
        <v>0</v>
      </c>
      <c r="AG14" s="437">
        <f>IF(AG$8='A-R'!$E33,'A-R'!$E48,0)</f>
        <v>0</v>
      </c>
      <c r="AH14" s="437">
        <f>IF(AH$8='A-R'!$E33,'A-R'!$E48,0)</f>
        <v>0</v>
      </c>
      <c r="AI14" s="437">
        <f>IF(AI$8='A-R'!$E33,'A-R'!$E48,0)</f>
        <v>0</v>
      </c>
      <c r="AJ14" s="437">
        <f>IF(AJ$8='A-R'!$E33,'A-R'!$E48,0)</f>
        <v>0</v>
      </c>
      <c r="AK14" s="437">
        <f>IF(AK$8='A-R'!$E33,'A-R'!$E48,0)</f>
        <v>0</v>
      </c>
      <c r="AL14" s="437">
        <f>IF(AL$8='A-R'!$E33,'A-R'!$E48,0)</f>
        <v>0</v>
      </c>
      <c r="AM14" s="437">
        <f>IF(AM$8='A-R'!$E33,'A-R'!$E48,0)</f>
        <v>0</v>
      </c>
      <c r="AN14" s="437">
        <f>IF(AN$8='A-R'!$E33,'A-R'!$E48,0)</f>
        <v>0</v>
      </c>
      <c r="AP14" s="440"/>
      <c r="AQ14" s="429">
        <f>IF(LEFT('non Forest LUC'!$D15,6)=LEFT(Matrix!$AP$7,6),IF(LEFT('non Forest LUC'!$F15,6)=LEFT(Matrix!AQ$7,6),'non Forest LUC'!$D37,0),0)</f>
        <v>0</v>
      </c>
      <c r="AR14" s="429">
        <f>IF(LEFT('non Forest LUC'!$D15,6)=LEFT(Matrix!$AP$7,6),IF(LEFT('non Forest LUC'!$F15,6)=LEFT(Matrix!AR$7,6),'non Forest LUC'!$D37,0),0)</f>
        <v>0</v>
      </c>
      <c r="AS14" s="429">
        <f>IF(LEFT('non Forest LUC'!$D15,6)=LEFT(Matrix!$AP$7,6),IF(LEFT('non Forest LUC'!$F15,6)=LEFT(Matrix!AS$7,6),'non Forest LUC'!$D37,0),0)</f>
        <v>0</v>
      </c>
      <c r="AT14" s="429">
        <f>IF(LEFT('non Forest LUC'!$D15,6)=LEFT(Matrix!$AP$7,6),IF(LEFT('non Forest LUC'!$F15,6)=LEFT(Matrix!AT$7,6),'non Forest LUC'!$D37,0),0)</f>
        <v>0</v>
      </c>
      <c r="AU14" s="429">
        <f>IF(LEFT('non Forest LUC'!$D15,6)=LEFT(Matrix!$AP$7,6),IF(LEFT('non Forest LUC'!$F15,6)=LEFT(Matrix!AU$7,6),'non Forest LUC'!$D37,0),0)</f>
        <v>0</v>
      </c>
      <c r="AV14" s="429">
        <f>IF(LEFT('non Forest LUC'!$D15,6)=LEFT(Matrix!$AP$7,6),IF(LEFT('non Forest LUC'!$F15,6)=LEFT(Matrix!AV$7,6),'non Forest LUC'!$D37,0),0)</f>
        <v>0</v>
      </c>
      <c r="AW14" s="440"/>
      <c r="AX14" s="429">
        <f>IF(LEFT('non Forest LUC'!$D15,6)=LEFT(Matrix!$AW$7,6),IF(LEFT('non Forest LUC'!$F15,6)=LEFT(Matrix!AX$7,6),'non Forest LUC'!$D37,0),0)</f>
        <v>0</v>
      </c>
      <c r="AY14" s="429">
        <f>IF(LEFT('non Forest LUC'!$D15,6)=LEFT(Matrix!$AW$7,6),IF(LEFT('non Forest LUC'!$F15,6)=LEFT(Matrix!AY$7,6),'non Forest LUC'!$D37,0),0)</f>
        <v>0</v>
      </c>
      <c r="AZ14" s="429">
        <f>IF(LEFT('non Forest LUC'!$D15,6)=LEFT(Matrix!$AW$7,6),IF(LEFT('non Forest LUC'!$F15,6)=LEFT(Matrix!AZ$7,6),'non Forest LUC'!$D37,0),0)</f>
        <v>0</v>
      </c>
      <c r="BA14" s="429">
        <f>IF(LEFT('non Forest LUC'!$D15,6)=LEFT(Matrix!$AW$7,6),IF(LEFT('non Forest LUC'!$F15,6)=LEFT(Matrix!BA$7,6),'non Forest LUC'!$D37,0),0)</f>
        <v>0</v>
      </c>
      <c r="BB14" s="429">
        <f>IF(LEFT('non Forest LUC'!$D15,6)=LEFT(Matrix!$AW$7,6),IF(LEFT('non Forest LUC'!$F15,6)=LEFT(Matrix!BB$7,6),'non Forest LUC'!$D37,0),0)</f>
        <v>0</v>
      </c>
      <c r="BC14" s="429">
        <f>IF(LEFT('non Forest LUC'!$D15,6)=LEFT(Matrix!$AW$7,6),IF(LEFT('non Forest LUC'!$F15,6)=LEFT(Matrix!BC$7,6),'non Forest LUC'!$D37,0),0)</f>
        <v>0</v>
      </c>
      <c r="BD14" s="440"/>
      <c r="BE14" s="429">
        <f>IF(LEFT('non Forest LUC'!$D15,6)=LEFT(Matrix!$BD$7,6),IF(LEFT('non Forest LUC'!$F15,6)=LEFT(Matrix!BE$7,6),'non Forest LUC'!$D37,0),0)</f>
        <v>0</v>
      </c>
      <c r="BF14" s="429">
        <f>IF(LEFT('non Forest LUC'!$D15,6)=LEFT(Matrix!$BD$7,6),IF(LEFT('non Forest LUC'!$F15,6)=LEFT(Matrix!BF$7,6),'non Forest LUC'!$D37,0),0)</f>
        <v>0</v>
      </c>
      <c r="BG14" s="429">
        <f>IF(LEFT('non Forest LUC'!$D15,6)=LEFT(Matrix!$BD$7,6),IF(LEFT('non Forest LUC'!$F15,6)=LEFT(Matrix!BG$7,6),'non Forest LUC'!$D37,0),0)</f>
        <v>0</v>
      </c>
      <c r="BH14" s="429">
        <f>IF(LEFT('non Forest LUC'!$D15,6)=LEFT(Matrix!$BD$7,6),IF(LEFT('non Forest LUC'!$F15,6)=LEFT(Matrix!BH$7,6),'non Forest LUC'!$D37,0),0)</f>
        <v>0</v>
      </c>
      <c r="BI14" s="429">
        <f>IF(LEFT('non Forest LUC'!$D15,6)=LEFT(Matrix!$BD$7,6),IF(LEFT('non Forest LUC'!$F15,6)=LEFT(Matrix!BI$7,6),'non Forest LUC'!$D37,0),0)</f>
        <v>0</v>
      </c>
      <c r="BJ14" s="429">
        <f>IF(LEFT('non Forest LUC'!$D15,6)=LEFT(Matrix!$BD$7,6),IF(LEFT('non Forest LUC'!$F15,6)=LEFT(Matrix!BJ$7,6),'non Forest LUC'!$D37,0),0)</f>
        <v>0</v>
      </c>
      <c r="BK14" s="440"/>
      <c r="BL14" s="429">
        <f>IF(LEFT('non Forest LUC'!$D15,6)=LEFT(Matrix!$BK$7,6),IF(LEFT('non Forest LUC'!$F15,6)=LEFT(Matrix!BL$7,6),'non Forest LUC'!$D37,0),0)</f>
        <v>0</v>
      </c>
      <c r="BM14" s="429">
        <f>IF(LEFT('non Forest LUC'!$D15,6)=LEFT(Matrix!$BK$7,6),IF(LEFT('non Forest LUC'!$F15,6)=LEFT(Matrix!BM$7,6),'non Forest LUC'!$D37,0),0)</f>
        <v>0</v>
      </c>
      <c r="BN14" s="429">
        <f>IF(LEFT('non Forest LUC'!$D15,6)=LEFT(Matrix!$BK$7,6),IF(LEFT('non Forest LUC'!$F15,6)=LEFT(Matrix!BN$7,6),'non Forest LUC'!$D37,0),0)</f>
        <v>0</v>
      </c>
      <c r="BO14" s="429">
        <f>IF(LEFT('non Forest LUC'!$D15,6)=LEFT(Matrix!$BK$7,6),IF(LEFT('non Forest LUC'!$F15,6)=LEFT(Matrix!BO$7,6),'non Forest LUC'!$D37,0),0)</f>
        <v>0</v>
      </c>
      <c r="BP14" s="429">
        <f>IF(LEFT('non Forest LUC'!$D15,6)=LEFT(Matrix!$BK$7,6),IF(LEFT('non Forest LUC'!$F15,6)=LEFT(Matrix!BP$7,6),'non Forest LUC'!$D37,0),0)</f>
        <v>0</v>
      </c>
      <c r="BQ14" s="429">
        <f>IF(LEFT('non Forest LUC'!$D15,6)=LEFT(Matrix!$BK$7,6),IF(LEFT('non Forest LUC'!$F15,6)=LEFT(Matrix!BQ$7,6),'non Forest LUC'!$D37,0),0)</f>
        <v>0</v>
      </c>
      <c r="BR14" s="440"/>
      <c r="BS14" s="429">
        <f>IF(LEFT('non Forest LUC'!$D15,6)=LEFT(Matrix!$BR$7,6),IF(LEFT('non Forest LUC'!$F15,6)=LEFT(Matrix!BS$7,6),'non Forest LUC'!$D37,0),0)</f>
        <v>0</v>
      </c>
      <c r="BT14" s="429">
        <f>IF(LEFT('non Forest LUC'!$D15,6)=LEFT(Matrix!$BR$7,6),IF(LEFT('non Forest LUC'!$F15,6)=LEFT(Matrix!BT$7,6),'non Forest LUC'!$D37,0),0)</f>
        <v>0</v>
      </c>
      <c r="BU14" s="429">
        <f>IF(LEFT('non Forest LUC'!$D15,6)=LEFT(Matrix!$BR$7,6),IF(LEFT('non Forest LUC'!$F15,6)=LEFT(Matrix!BU$7,6),'non Forest LUC'!$D37,0),0)</f>
        <v>0</v>
      </c>
      <c r="BV14" s="429">
        <f>IF(LEFT('non Forest LUC'!$D15,6)=LEFT(Matrix!$BR$7,6),IF(LEFT('non Forest LUC'!$F15,6)=LEFT(Matrix!BV$7,6),'non Forest LUC'!$D37,0),0)</f>
        <v>0</v>
      </c>
      <c r="BW14" s="429">
        <f>IF(LEFT('non Forest LUC'!$D15,6)=LEFT(Matrix!$BR$7,6),IF(LEFT('non Forest LUC'!$F15,6)=LEFT(Matrix!BW$7,6),'non Forest LUC'!$D37,0),0)</f>
        <v>0</v>
      </c>
      <c r="BX14" s="429">
        <f>IF(LEFT('non Forest LUC'!$D15,6)=LEFT(Matrix!$BR$7,6),IF(LEFT('non Forest LUC'!$F15,6)=LEFT(Matrix!BX$7,6),'non Forest LUC'!$D37,0),0)</f>
        <v>0</v>
      </c>
      <c r="BY14" s="440"/>
      <c r="BZ14" s="429">
        <f>IF(LEFT('non Forest LUC'!$D15,6)=LEFT(Matrix!$BY$7,6),IF(LEFT('non Forest LUC'!$F15,6)=LEFT(Matrix!BZ$7,6),'non Forest LUC'!$D37,0),0)</f>
        <v>0</v>
      </c>
      <c r="CA14" s="429">
        <f>IF(LEFT('non Forest LUC'!$D15,6)=LEFT(Matrix!$BY$7,6),IF(LEFT('non Forest LUC'!$F15,6)=LEFT(Matrix!CA$7,6),'non Forest LUC'!$D37,0),0)</f>
        <v>0</v>
      </c>
      <c r="CB14" s="429">
        <f>IF(LEFT('non Forest LUC'!$D15,6)=LEFT(Matrix!$BY$7,6),IF(LEFT('non Forest LUC'!$F15,6)=LEFT(Matrix!CB$7,6),'non Forest LUC'!$D37,0),0)</f>
        <v>0</v>
      </c>
      <c r="CC14" s="429">
        <f>IF(LEFT('non Forest LUC'!$D15,6)=LEFT(Matrix!$BY$7,6),IF(LEFT('non Forest LUC'!$F15,6)=LEFT(Matrix!CC$7,6),'non Forest LUC'!$D37,0),0)</f>
        <v>0</v>
      </c>
      <c r="CD14" s="429">
        <f>IF(LEFT('non Forest LUC'!$D15,6)=LEFT(Matrix!$BY$7,6),IF(LEFT('non Forest LUC'!$F15,6)=LEFT(Matrix!CD$7,6),'non Forest LUC'!$D37,0),0)</f>
        <v>0</v>
      </c>
      <c r="CE14" s="429">
        <f>IF(LEFT('non Forest LUC'!$D15,6)=LEFT(Matrix!$BY$7,6),IF(LEFT('non Forest LUC'!$F15,6)=LEFT(Matrix!CE$7,6),'non Forest LUC'!$D37,0),0)</f>
        <v>0</v>
      </c>
      <c r="CF14" s="440"/>
      <c r="CG14" s="429">
        <f>IF(LEFT('non Forest LUC'!$D15,6)=LEFT(Matrix!$CF$7,6),IF(LEFT('non Forest LUC'!$F15,6)=LEFT(Matrix!CG$7,6),'non Forest LUC'!$D37,0),0)</f>
        <v>0</v>
      </c>
      <c r="CH14" s="429">
        <f>IF(LEFT('non Forest LUC'!$D15,6)=LEFT(Matrix!$CF$7,6),IF(LEFT('non Forest LUC'!$F15,6)=LEFT(Matrix!CH$7,6),'non Forest LUC'!$D37,0),0)</f>
        <v>0</v>
      </c>
      <c r="CI14" s="429">
        <f>IF(LEFT('non Forest LUC'!$D15,6)=LEFT(Matrix!$CF$7,6),IF(LEFT('non Forest LUC'!$F15,6)=LEFT(Matrix!CI$7,6),'non Forest LUC'!$D37,0),0)</f>
        <v>0</v>
      </c>
      <c r="CJ14" s="429">
        <f>IF(LEFT('non Forest LUC'!$D15,6)=LEFT(Matrix!$CF$7,6),IF(LEFT('non Forest LUC'!$F15,6)=LEFT(Matrix!CJ$7,6),'non Forest LUC'!$D37,0),0)</f>
        <v>0</v>
      </c>
      <c r="CK14" s="429">
        <f>IF(LEFT('non Forest LUC'!$D15,6)=LEFT(Matrix!$CF$7,6),IF(LEFT('non Forest LUC'!$F15,6)=LEFT(Matrix!CK$7,6),'non Forest LUC'!$D37,0),0)</f>
        <v>0</v>
      </c>
      <c r="CL14" s="429">
        <f>IF(LEFT('non Forest LUC'!$D15,6)=LEFT(Matrix!$CF$7,6),IF(LEFT('non Forest LUC'!$F15,6)=LEFT(Matrix!CL$7,6),'non Forest LUC'!$D37,0),0)</f>
        <v>0</v>
      </c>
    </row>
    <row r="15" spans="2:90">
      <c r="B15" s="465"/>
      <c r="C15" s="481" t="s">
        <v>1088</v>
      </c>
      <c r="D15" s="486" t="s">
        <v>1187</v>
      </c>
      <c r="E15" s="476">
        <f>AN19</f>
        <v>0</v>
      </c>
      <c r="F15" s="477">
        <f>BZ22</f>
        <v>0</v>
      </c>
      <c r="G15" s="477">
        <f>CA22</f>
        <v>0</v>
      </c>
      <c r="H15" s="477">
        <f>CB22</f>
        <v>0</v>
      </c>
      <c r="I15" s="477">
        <f>CD22</f>
        <v>0</v>
      </c>
      <c r="J15" s="487">
        <f>MAX((SUM(E15:I15)+K15),(SUM(E32:I32)+K32))-(SUM(E15:I15)+K15)</f>
        <v>0</v>
      </c>
      <c r="K15" s="488">
        <f>CE22+CC22</f>
        <v>0</v>
      </c>
      <c r="L15" s="240"/>
      <c r="M15" s="463">
        <f t="shared" si="0"/>
        <v>0</v>
      </c>
      <c r="O15" s="242"/>
      <c r="P15" s="242"/>
      <c r="Q15" s="242"/>
      <c r="R15" s="242"/>
      <c r="S15" s="242"/>
      <c r="T15" s="242"/>
      <c r="U15" s="242"/>
      <c r="W15" s="435"/>
      <c r="X15" s="455">
        <f>IF(Deforestation!$I34=X$8,1,0)*Deforestation!$H49</f>
        <v>0</v>
      </c>
      <c r="Y15" s="455">
        <f>IF(Deforestation!$I34=Y$8,1,0)*Deforestation!$H49</f>
        <v>0</v>
      </c>
      <c r="Z15" s="455">
        <f>IF(Deforestation!$I34=Z$8,1,0)*Deforestation!$H49</f>
        <v>0</v>
      </c>
      <c r="AA15" s="455">
        <f>IF(Deforestation!$I34=AA$8,1,0)*Deforestation!$H49</f>
        <v>0</v>
      </c>
      <c r="AB15" s="455">
        <f>IF(Deforestation!$I34=AB$8,1,0)*Deforestation!$H49</f>
        <v>0</v>
      </c>
      <c r="AC15" s="455">
        <f>IF(Deforestation!$I34=AC$8,1,0)*Deforestation!$H49</f>
        <v>0</v>
      </c>
      <c r="AD15" s="455">
        <f>IF(Deforestation!$I34=AD$8,1,0)*Deforestation!$H49</f>
        <v>0</v>
      </c>
      <c r="AE15" s="455">
        <f>IF(Deforestation!$I34=AE$8,1,0)*Deforestation!$H49</f>
        <v>0</v>
      </c>
      <c r="AG15" s="437">
        <f>IF(AG$8='A-R'!$E34,'A-R'!$E49,0)</f>
        <v>0</v>
      </c>
      <c r="AH15" s="437">
        <f>IF(AH$8='A-R'!$E34,'A-R'!$E49,0)</f>
        <v>0</v>
      </c>
      <c r="AI15" s="437">
        <f>IF(AI$8='A-R'!$E34,'A-R'!$E49,0)</f>
        <v>0</v>
      </c>
      <c r="AJ15" s="437">
        <f>IF(AJ$8='A-R'!$E34,'A-R'!$E49,0)</f>
        <v>0</v>
      </c>
      <c r="AK15" s="437">
        <f>IF(AK$8='A-R'!$E34,'A-R'!$E49,0)</f>
        <v>0</v>
      </c>
      <c r="AL15" s="437">
        <f>IF(AL$8='A-R'!$E34,'A-R'!$E49,0)</f>
        <v>0</v>
      </c>
      <c r="AM15" s="437">
        <f>IF(AM$8='A-R'!$E34,'A-R'!$E49,0)</f>
        <v>0</v>
      </c>
      <c r="AN15" s="437">
        <f>IF(AN$8='A-R'!$E34,'A-R'!$E49,0)</f>
        <v>0</v>
      </c>
      <c r="AP15" s="440"/>
      <c r="AQ15" s="429">
        <f>IF(LEFT('non Forest LUC'!$D16,6)=LEFT(Matrix!$AP$7,6),IF(LEFT('non Forest LUC'!$F16,6)=LEFT(Matrix!AQ$7,6),'non Forest LUC'!$D38,0),0)</f>
        <v>0</v>
      </c>
      <c r="AR15" s="429">
        <f>IF(LEFT('non Forest LUC'!$D16,6)=LEFT(Matrix!$AP$7,6),IF(LEFT('non Forest LUC'!$F16,6)=LEFT(Matrix!AR$7,6),'non Forest LUC'!$D38,0),0)</f>
        <v>0</v>
      </c>
      <c r="AS15" s="429">
        <f>IF(LEFT('non Forest LUC'!$D16,6)=LEFT(Matrix!$AP$7,6),IF(LEFT('non Forest LUC'!$F16,6)=LEFT(Matrix!AS$7,6),'non Forest LUC'!$D38,0),0)</f>
        <v>0</v>
      </c>
      <c r="AT15" s="429">
        <f>IF(LEFT('non Forest LUC'!$D16,6)=LEFT(Matrix!$AP$7,6),IF(LEFT('non Forest LUC'!$F16,6)=LEFT(Matrix!AT$7,6),'non Forest LUC'!$D38,0),0)</f>
        <v>0</v>
      </c>
      <c r="AU15" s="429">
        <f>IF(LEFT('non Forest LUC'!$D16,6)=LEFT(Matrix!$AP$7,6),IF(LEFT('non Forest LUC'!$F16,6)=LEFT(Matrix!AU$7,6),'non Forest LUC'!$D38,0),0)</f>
        <v>0</v>
      </c>
      <c r="AV15" s="429">
        <f>IF(LEFT('non Forest LUC'!$D16,6)=LEFT(Matrix!$AP$7,6),IF(LEFT('non Forest LUC'!$F16,6)=LEFT(Matrix!AV$7,6),'non Forest LUC'!$D38,0),0)</f>
        <v>0</v>
      </c>
      <c r="AW15" s="440"/>
      <c r="AX15" s="429">
        <f>IF(LEFT('non Forest LUC'!$D16,6)=LEFT(Matrix!$AW$7,6),IF(LEFT('non Forest LUC'!$F16,6)=LEFT(Matrix!AX$7,6),'non Forest LUC'!$D38,0),0)</f>
        <v>0</v>
      </c>
      <c r="AY15" s="429">
        <f>IF(LEFT('non Forest LUC'!$D16,6)=LEFT(Matrix!$AW$7,6),IF(LEFT('non Forest LUC'!$F16,6)=LEFT(Matrix!AY$7,6),'non Forest LUC'!$D38,0),0)</f>
        <v>0</v>
      </c>
      <c r="AZ15" s="429">
        <f>IF(LEFT('non Forest LUC'!$D16,6)=LEFT(Matrix!$AW$7,6),IF(LEFT('non Forest LUC'!$F16,6)=LEFT(Matrix!AZ$7,6),'non Forest LUC'!$D38,0),0)</f>
        <v>0</v>
      </c>
      <c r="BA15" s="429">
        <f>IF(LEFT('non Forest LUC'!$D16,6)=LEFT(Matrix!$AW$7,6),IF(LEFT('non Forest LUC'!$F16,6)=LEFT(Matrix!BA$7,6),'non Forest LUC'!$D38,0),0)</f>
        <v>0</v>
      </c>
      <c r="BB15" s="429">
        <f>IF(LEFT('non Forest LUC'!$D16,6)=LEFT(Matrix!$AW$7,6),IF(LEFT('non Forest LUC'!$F16,6)=LEFT(Matrix!BB$7,6),'non Forest LUC'!$D38,0),0)</f>
        <v>0</v>
      </c>
      <c r="BC15" s="429">
        <f>IF(LEFT('non Forest LUC'!$D16,6)=LEFT(Matrix!$AW$7,6),IF(LEFT('non Forest LUC'!$F16,6)=LEFT(Matrix!BC$7,6),'non Forest LUC'!$D38,0),0)</f>
        <v>0</v>
      </c>
      <c r="BD15" s="440"/>
      <c r="BE15" s="429">
        <f>IF(LEFT('non Forest LUC'!$D16,6)=LEFT(Matrix!$BD$7,6),IF(LEFT('non Forest LUC'!$F16,6)=LEFT(Matrix!BE$7,6),'non Forest LUC'!$D38,0),0)</f>
        <v>0</v>
      </c>
      <c r="BF15" s="429">
        <f>IF(LEFT('non Forest LUC'!$D16,6)=LEFT(Matrix!$BD$7,6),IF(LEFT('non Forest LUC'!$F16,6)=LEFT(Matrix!BF$7,6),'non Forest LUC'!$D38,0),0)</f>
        <v>0</v>
      </c>
      <c r="BG15" s="429">
        <f>IF(LEFT('non Forest LUC'!$D16,6)=LEFT(Matrix!$BD$7,6),IF(LEFT('non Forest LUC'!$F16,6)=LEFT(Matrix!BG$7,6),'non Forest LUC'!$D38,0),0)</f>
        <v>0</v>
      </c>
      <c r="BH15" s="429">
        <f>IF(LEFT('non Forest LUC'!$D16,6)=LEFT(Matrix!$BD$7,6),IF(LEFT('non Forest LUC'!$F16,6)=LEFT(Matrix!BH$7,6),'non Forest LUC'!$D38,0),0)</f>
        <v>0</v>
      </c>
      <c r="BI15" s="429">
        <f>IF(LEFT('non Forest LUC'!$D16,6)=LEFT(Matrix!$BD$7,6),IF(LEFT('non Forest LUC'!$F16,6)=LEFT(Matrix!BI$7,6),'non Forest LUC'!$D38,0),0)</f>
        <v>0</v>
      </c>
      <c r="BJ15" s="429">
        <f>IF(LEFT('non Forest LUC'!$D16,6)=LEFT(Matrix!$BD$7,6),IF(LEFT('non Forest LUC'!$F16,6)=LEFT(Matrix!BJ$7,6),'non Forest LUC'!$D38,0),0)</f>
        <v>0</v>
      </c>
      <c r="BK15" s="440"/>
      <c r="BL15" s="429">
        <f>IF(LEFT('non Forest LUC'!$D16,6)=LEFT(Matrix!$BK$7,6),IF(LEFT('non Forest LUC'!$F16,6)=LEFT(Matrix!BL$7,6),'non Forest LUC'!$D38,0),0)</f>
        <v>0</v>
      </c>
      <c r="BM15" s="429">
        <f>IF(LEFT('non Forest LUC'!$D16,6)=LEFT(Matrix!$BK$7,6),IF(LEFT('non Forest LUC'!$F16,6)=LEFT(Matrix!BM$7,6),'non Forest LUC'!$D38,0),0)</f>
        <v>0</v>
      </c>
      <c r="BN15" s="429">
        <f>IF(LEFT('non Forest LUC'!$D16,6)=LEFT(Matrix!$BK$7,6),IF(LEFT('non Forest LUC'!$F16,6)=LEFT(Matrix!BN$7,6),'non Forest LUC'!$D38,0),0)</f>
        <v>0</v>
      </c>
      <c r="BO15" s="429">
        <f>IF(LEFT('non Forest LUC'!$D16,6)=LEFT(Matrix!$BK$7,6),IF(LEFT('non Forest LUC'!$F16,6)=LEFT(Matrix!BO$7,6),'non Forest LUC'!$D38,0),0)</f>
        <v>0</v>
      </c>
      <c r="BP15" s="429">
        <f>IF(LEFT('non Forest LUC'!$D16,6)=LEFT(Matrix!$BK$7,6),IF(LEFT('non Forest LUC'!$F16,6)=LEFT(Matrix!BP$7,6),'non Forest LUC'!$D38,0),0)</f>
        <v>0</v>
      </c>
      <c r="BQ15" s="429">
        <f>IF(LEFT('non Forest LUC'!$D16,6)=LEFT(Matrix!$BK$7,6),IF(LEFT('non Forest LUC'!$F16,6)=LEFT(Matrix!BQ$7,6),'non Forest LUC'!$D38,0),0)</f>
        <v>0</v>
      </c>
      <c r="BR15" s="440"/>
      <c r="BS15" s="429">
        <f>IF(LEFT('non Forest LUC'!$D16,6)=LEFT(Matrix!$BR$7,6),IF(LEFT('non Forest LUC'!$F16,6)=LEFT(Matrix!BS$7,6),'non Forest LUC'!$D38,0),0)</f>
        <v>0</v>
      </c>
      <c r="BT15" s="429">
        <f>IF(LEFT('non Forest LUC'!$D16,6)=LEFT(Matrix!$BR$7,6),IF(LEFT('non Forest LUC'!$F16,6)=LEFT(Matrix!BT$7,6),'non Forest LUC'!$D38,0),0)</f>
        <v>0</v>
      </c>
      <c r="BU15" s="429">
        <f>IF(LEFT('non Forest LUC'!$D16,6)=LEFT(Matrix!$BR$7,6),IF(LEFT('non Forest LUC'!$F16,6)=LEFT(Matrix!BU$7,6),'non Forest LUC'!$D38,0),0)</f>
        <v>0</v>
      </c>
      <c r="BV15" s="429">
        <f>IF(LEFT('non Forest LUC'!$D16,6)=LEFT(Matrix!$BR$7,6),IF(LEFT('non Forest LUC'!$F16,6)=LEFT(Matrix!BV$7,6),'non Forest LUC'!$D38,0),0)</f>
        <v>0</v>
      </c>
      <c r="BW15" s="429">
        <f>IF(LEFT('non Forest LUC'!$D16,6)=LEFT(Matrix!$BR$7,6),IF(LEFT('non Forest LUC'!$F16,6)=LEFT(Matrix!BW$7,6),'non Forest LUC'!$D38,0),0)</f>
        <v>0</v>
      </c>
      <c r="BX15" s="429">
        <f>IF(LEFT('non Forest LUC'!$D16,6)=LEFT(Matrix!$BR$7,6),IF(LEFT('non Forest LUC'!$F16,6)=LEFT(Matrix!BX$7,6),'non Forest LUC'!$D38,0),0)</f>
        <v>0</v>
      </c>
      <c r="BY15" s="440"/>
      <c r="BZ15" s="429">
        <f>IF(LEFT('non Forest LUC'!$D16,6)=LEFT(Matrix!$BY$7,6),IF(LEFT('non Forest LUC'!$F16,6)=LEFT(Matrix!BZ$7,6),'non Forest LUC'!$D38,0),0)</f>
        <v>0</v>
      </c>
      <c r="CA15" s="429">
        <f>IF(LEFT('non Forest LUC'!$D16,6)=LEFT(Matrix!$BY$7,6),IF(LEFT('non Forest LUC'!$F16,6)=LEFT(Matrix!CA$7,6),'non Forest LUC'!$D38,0),0)</f>
        <v>0</v>
      </c>
      <c r="CB15" s="429">
        <f>IF(LEFT('non Forest LUC'!$D16,6)=LEFT(Matrix!$BY$7,6),IF(LEFT('non Forest LUC'!$F16,6)=LEFT(Matrix!CB$7,6),'non Forest LUC'!$D38,0),0)</f>
        <v>0</v>
      </c>
      <c r="CC15" s="429">
        <f>IF(LEFT('non Forest LUC'!$D16,6)=LEFT(Matrix!$BY$7,6),IF(LEFT('non Forest LUC'!$F16,6)=LEFT(Matrix!CC$7,6),'non Forest LUC'!$D38,0),0)</f>
        <v>0</v>
      </c>
      <c r="CD15" s="429">
        <f>IF(LEFT('non Forest LUC'!$D16,6)=LEFT(Matrix!$BY$7,6),IF(LEFT('non Forest LUC'!$F16,6)=LEFT(Matrix!CD$7,6),'non Forest LUC'!$D38,0),0)</f>
        <v>0</v>
      </c>
      <c r="CE15" s="429">
        <f>IF(LEFT('non Forest LUC'!$D16,6)=LEFT(Matrix!$BY$7,6),IF(LEFT('non Forest LUC'!$F16,6)=LEFT(Matrix!CE$7,6),'non Forest LUC'!$D38,0),0)</f>
        <v>0</v>
      </c>
      <c r="CF15" s="440"/>
      <c r="CG15" s="429">
        <f>IF(LEFT('non Forest LUC'!$D16,6)=LEFT(Matrix!$CF$7,6),IF(LEFT('non Forest LUC'!$F16,6)=LEFT(Matrix!CG$7,6),'non Forest LUC'!$D38,0),0)</f>
        <v>0</v>
      </c>
      <c r="CH15" s="429">
        <f>IF(LEFT('non Forest LUC'!$D16,6)=LEFT(Matrix!$CF$7,6),IF(LEFT('non Forest LUC'!$F16,6)=LEFT(Matrix!CH$7,6),'non Forest LUC'!$D38,0),0)</f>
        <v>0</v>
      </c>
      <c r="CI15" s="429">
        <f>IF(LEFT('non Forest LUC'!$D16,6)=LEFT(Matrix!$CF$7,6),IF(LEFT('non Forest LUC'!$F16,6)=LEFT(Matrix!CI$7,6),'non Forest LUC'!$D38,0),0)</f>
        <v>0</v>
      </c>
      <c r="CJ15" s="429">
        <f>IF(LEFT('non Forest LUC'!$D16,6)=LEFT(Matrix!$CF$7,6),IF(LEFT('non Forest LUC'!$F16,6)=LEFT(Matrix!CJ$7,6),'non Forest LUC'!$D38,0),0)</f>
        <v>0</v>
      </c>
      <c r="CK15" s="429">
        <f>IF(LEFT('non Forest LUC'!$D16,6)=LEFT(Matrix!$CF$7,6),IF(LEFT('non Forest LUC'!$F16,6)=LEFT(Matrix!CK$7,6),'non Forest LUC'!$D38,0),0)</f>
        <v>0</v>
      </c>
      <c r="CL15" s="429">
        <f>IF(LEFT('non Forest LUC'!$D16,6)=LEFT(Matrix!$CF$7,6),IF(LEFT('non Forest LUC'!$F16,6)=LEFT(Matrix!CL$7,6),'non Forest LUC'!$D38,0),0)</f>
        <v>0</v>
      </c>
    </row>
    <row r="16" spans="2:90" ht="13.5" thickBot="1">
      <c r="B16" s="489"/>
      <c r="C16" s="450"/>
      <c r="D16" s="490" t="s">
        <v>388</v>
      </c>
      <c r="E16" s="491">
        <f>AL19</f>
        <v>0</v>
      </c>
      <c r="F16" s="492">
        <f>BL22+CG22</f>
        <v>0</v>
      </c>
      <c r="G16" s="492">
        <f>BM22+CH22</f>
        <v>0</v>
      </c>
      <c r="H16" s="492">
        <f>BN22+CI22</f>
        <v>0</v>
      </c>
      <c r="I16" s="492">
        <f>BO22+CK22</f>
        <v>0</v>
      </c>
      <c r="J16" s="492">
        <f>BP22+CL22</f>
        <v>0</v>
      </c>
      <c r="K16" s="457">
        <f>MAX(SUM(E16:J16),SUM(E33:J33))-SUM(E16:J16)+Wetlands!F31+Wetlands!L51+Wetlands!L64</f>
        <v>0</v>
      </c>
      <c r="L16" s="240"/>
      <c r="M16" s="463">
        <f>SUM(E16:K16)</f>
        <v>0</v>
      </c>
      <c r="W16" s="435"/>
      <c r="X16" s="455">
        <f>IF(Deforestation!$I35=X$8,1,0)*Deforestation!$H50</f>
        <v>0</v>
      </c>
      <c r="Y16" s="455">
        <f>IF(Deforestation!$I35=Y$8,1,0)*Deforestation!$H50</f>
        <v>0</v>
      </c>
      <c r="Z16" s="455">
        <f>IF(Deforestation!$I35=Z$8,1,0)*Deforestation!$H50</f>
        <v>0</v>
      </c>
      <c r="AA16" s="455">
        <f>IF(Deforestation!$I35=AA$8,1,0)*Deforestation!$H50</f>
        <v>0</v>
      </c>
      <c r="AB16" s="455">
        <f>IF(Deforestation!$I35=AB$8,1,0)*Deforestation!$H50</f>
        <v>0</v>
      </c>
      <c r="AC16" s="455">
        <f>IF(Deforestation!$I35=AC$8,1,0)*Deforestation!$H50</f>
        <v>0</v>
      </c>
      <c r="AD16" s="455">
        <f>IF(Deforestation!$I35=AD$8,1,0)*Deforestation!$H50</f>
        <v>0</v>
      </c>
      <c r="AE16" s="455">
        <f>IF(Deforestation!$I35=AE$8,1,0)*Deforestation!$H50</f>
        <v>0</v>
      </c>
      <c r="AG16" s="437">
        <f>IF(AG$8='A-R'!$E35,'A-R'!$E50,0)</f>
        <v>0</v>
      </c>
      <c r="AH16" s="437">
        <f>IF(AH$8='A-R'!$E35,'A-R'!$E50,0)</f>
        <v>0</v>
      </c>
      <c r="AI16" s="437">
        <f>IF(AI$8='A-R'!$E35,'A-R'!$E50,0)</f>
        <v>0</v>
      </c>
      <c r="AJ16" s="437">
        <f>IF(AJ$8='A-R'!$E35,'A-R'!$E50,0)</f>
        <v>0</v>
      </c>
      <c r="AK16" s="437">
        <f>IF(AK$8='A-R'!$E35,'A-R'!$E50,0)</f>
        <v>0</v>
      </c>
      <c r="AL16" s="437">
        <f>IF(AL$8='A-R'!$E35,'A-R'!$E50,0)</f>
        <v>0</v>
      </c>
      <c r="AM16" s="437">
        <f>IF(AM$8='A-R'!$E35,'A-R'!$E50,0)</f>
        <v>0</v>
      </c>
      <c r="AN16" s="437">
        <f>IF(AN$8='A-R'!$E35,'A-R'!$E50,0)</f>
        <v>0</v>
      </c>
      <c r="AP16" s="440"/>
      <c r="AQ16" s="429">
        <f>IF(LEFT('non Forest LUC'!$D17,6)=LEFT(Matrix!$AP$7,6),IF(LEFT('non Forest LUC'!$F17,6)=LEFT(Matrix!AQ$7,6),'non Forest LUC'!$D39,0),0)</f>
        <v>0</v>
      </c>
      <c r="AR16" s="429">
        <f>IF(LEFT('non Forest LUC'!$D17,6)=LEFT(Matrix!$AP$7,6),IF(LEFT('non Forest LUC'!$F17,6)=LEFT(Matrix!AR$7,6),'non Forest LUC'!$D39,0),0)</f>
        <v>0</v>
      </c>
      <c r="AS16" s="429">
        <f>IF(LEFT('non Forest LUC'!$D17,6)=LEFT(Matrix!$AP$7,6),IF(LEFT('non Forest LUC'!$F17,6)=LEFT(Matrix!AS$7,6),'non Forest LUC'!$D39,0),0)</f>
        <v>0</v>
      </c>
      <c r="AT16" s="429">
        <f>IF(LEFT('non Forest LUC'!$D17,6)=LEFT(Matrix!$AP$7,6),IF(LEFT('non Forest LUC'!$F17,6)=LEFT(Matrix!AT$7,6),'non Forest LUC'!$D39,0),0)</f>
        <v>0</v>
      </c>
      <c r="AU16" s="429">
        <f>IF(LEFT('non Forest LUC'!$D17,6)=LEFT(Matrix!$AP$7,6),IF(LEFT('non Forest LUC'!$F17,6)=LEFT(Matrix!AU$7,6),'non Forest LUC'!$D39,0),0)</f>
        <v>0</v>
      </c>
      <c r="AV16" s="429">
        <f>IF(LEFT('non Forest LUC'!$D17,6)=LEFT(Matrix!$AP$7,6),IF(LEFT('non Forest LUC'!$F17,6)=LEFT(Matrix!AV$7,6),'non Forest LUC'!$D39,0),0)</f>
        <v>0</v>
      </c>
      <c r="AW16" s="440"/>
      <c r="AX16" s="429">
        <f>IF(LEFT('non Forest LUC'!$D17,6)=LEFT(Matrix!$AW$7,6),IF(LEFT('non Forest LUC'!$F17,6)=LEFT(Matrix!AX$7,6),'non Forest LUC'!$D39,0),0)</f>
        <v>0</v>
      </c>
      <c r="AY16" s="429">
        <f>IF(LEFT('non Forest LUC'!$D17,6)=LEFT(Matrix!$AW$7,6),IF(LEFT('non Forest LUC'!$F17,6)=LEFT(Matrix!AY$7,6),'non Forest LUC'!$D39,0),0)</f>
        <v>0</v>
      </c>
      <c r="AZ16" s="429">
        <f>IF(LEFT('non Forest LUC'!$D17,6)=LEFT(Matrix!$AW$7,6),IF(LEFT('non Forest LUC'!$F17,6)=LEFT(Matrix!AZ$7,6),'non Forest LUC'!$D39,0),0)</f>
        <v>0</v>
      </c>
      <c r="BA16" s="429">
        <f>IF(LEFT('non Forest LUC'!$D17,6)=LEFT(Matrix!$AW$7,6),IF(LEFT('non Forest LUC'!$F17,6)=LEFT(Matrix!BA$7,6),'non Forest LUC'!$D39,0),0)</f>
        <v>0</v>
      </c>
      <c r="BB16" s="429">
        <f>IF(LEFT('non Forest LUC'!$D17,6)=LEFT(Matrix!$AW$7,6),IF(LEFT('non Forest LUC'!$F17,6)=LEFT(Matrix!BB$7,6),'non Forest LUC'!$D39,0),0)</f>
        <v>0</v>
      </c>
      <c r="BC16" s="429">
        <f>IF(LEFT('non Forest LUC'!$D17,6)=LEFT(Matrix!$AW$7,6),IF(LEFT('non Forest LUC'!$F17,6)=LEFT(Matrix!BC$7,6),'non Forest LUC'!$D39,0),0)</f>
        <v>0</v>
      </c>
      <c r="BD16" s="440"/>
      <c r="BE16" s="429">
        <f>IF(LEFT('non Forest LUC'!$D17,6)=LEFT(Matrix!$BD$7,6),IF(LEFT('non Forest LUC'!$F17,6)=LEFT(Matrix!BE$7,6),'non Forest LUC'!$D39,0),0)</f>
        <v>0</v>
      </c>
      <c r="BF16" s="429">
        <f>IF(LEFT('non Forest LUC'!$D17,6)=LEFT(Matrix!$BD$7,6),IF(LEFT('non Forest LUC'!$F17,6)=LEFT(Matrix!BF$7,6),'non Forest LUC'!$D39,0),0)</f>
        <v>0</v>
      </c>
      <c r="BG16" s="429">
        <f>IF(LEFT('non Forest LUC'!$D17,6)=LEFT(Matrix!$BD$7,6),IF(LEFT('non Forest LUC'!$F17,6)=LEFT(Matrix!BG$7,6),'non Forest LUC'!$D39,0),0)</f>
        <v>0</v>
      </c>
      <c r="BH16" s="429">
        <f>IF(LEFT('non Forest LUC'!$D17,6)=LEFT(Matrix!$BD$7,6),IF(LEFT('non Forest LUC'!$F17,6)=LEFT(Matrix!BH$7,6),'non Forest LUC'!$D39,0),0)</f>
        <v>0</v>
      </c>
      <c r="BI16" s="429">
        <f>IF(LEFT('non Forest LUC'!$D17,6)=LEFT(Matrix!$BD$7,6),IF(LEFT('non Forest LUC'!$F17,6)=LEFT(Matrix!BI$7,6),'non Forest LUC'!$D39,0),0)</f>
        <v>0</v>
      </c>
      <c r="BJ16" s="429">
        <f>IF(LEFT('non Forest LUC'!$D17,6)=LEFT(Matrix!$BD$7,6),IF(LEFT('non Forest LUC'!$F17,6)=LEFT(Matrix!BJ$7,6),'non Forest LUC'!$D39,0),0)</f>
        <v>0</v>
      </c>
      <c r="BK16" s="440"/>
      <c r="BL16" s="429">
        <f>IF(LEFT('non Forest LUC'!$D17,6)=LEFT(Matrix!$BK$7,6),IF(LEFT('non Forest LUC'!$F17,6)=LEFT(Matrix!BL$7,6),'non Forest LUC'!$D39,0),0)</f>
        <v>0</v>
      </c>
      <c r="BM16" s="429">
        <f>IF(LEFT('non Forest LUC'!$D17,6)=LEFT(Matrix!$BK$7,6),IF(LEFT('non Forest LUC'!$F17,6)=LEFT(Matrix!BM$7,6),'non Forest LUC'!$D39,0),0)</f>
        <v>0</v>
      </c>
      <c r="BN16" s="429">
        <f>IF(LEFT('non Forest LUC'!$D17,6)=LEFT(Matrix!$BK$7,6),IF(LEFT('non Forest LUC'!$F17,6)=LEFT(Matrix!BN$7,6),'non Forest LUC'!$D39,0),0)</f>
        <v>0</v>
      </c>
      <c r="BO16" s="429">
        <f>IF(LEFT('non Forest LUC'!$D17,6)=LEFT(Matrix!$BK$7,6),IF(LEFT('non Forest LUC'!$F17,6)=LEFT(Matrix!BO$7,6),'non Forest LUC'!$D39,0),0)</f>
        <v>0</v>
      </c>
      <c r="BP16" s="429">
        <f>IF(LEFT('non Forest LUC'!$D17,6)=LEFT(Matrix!$BK$7,6),IF(LEFT('non Forest LUC'!$F17,6)=LEFT(Matrix!BP$7,6),'non Forest LUC'!$D39,0),0)</f>
        <v>0</v>
      </c>
      <c r="BQ16" s="429">
        <f>IF(LEFT('non Forest LUC'!$D17,6)=LEFT(Matrix!$BK$7,6),IF(LEFT('non Forest LUC'!$F17,6)=LEFT(Matrix!BQ$7,6),'non Forest LUC'!$D39,0),0)</f>
        <v>0</v>
      </c>
      <c r="BR16" s="440"/>
      <c r="BS16" s="429">
        <f>IF(LEFT('non Forest LUC'!$D17,6)=LEFT(Matrix!$BR$7,6),IF(LEFT('non Forest LUC'!$F17,6)=LEFT(Matrix!BS$7,6),'non Forest LUC'!$D39,0),0)</f>
        <v>0</v>
      </c>
      <c r="BT16" s="429">
        <f>IF(LEFT('non Forest LUC'!$D17,6)=LEFT(Matrix!$BR$7,6),IF(LEFT('non Forest LUC'!$F17,6)=LEFT(Matrix!BT$7,6),'non Forest LUC'!$D39,0),0)</f>
        <v>0</v>
      </c>
      <c r="BU16" s="429">
        <f>IF(LEFT('non Forest LUC'!$D17,6)=LEFT(Matrix!$BR$7,6),IF(LEFT('non Forest LUC'!$F17,6)=LEFT(Matrix!BU$7,6),'non Forest LUC'!$D39,0),0)</f>
        <v>0</v>
      </c>
      <c r="BV16" s="429">
        <f>IF(LEFT('non Forest LUC'!$D17,6)=LEFT(Matrix!$BR$7,6),IF(LEFT('non Forest LUC'!$F17,6)=LEFT(Matrix!BV$7,6),'non Forest LUC'!$D39,0),0)</f>
        <v>0</v>
      </c>
      <c r="BW16" s="429">
        <f>IF(LEFT('non Forest LUC'!$D17,6)=LEFT(Matrix!$BR$7,6),IF(LEFT('non Forest LUC'!$F17,6)=LEFT(Matrix!BW$7,6),'non Forest LUC'!$D39,0),0)</f>
        <v>0</v>
      </c>
      <c r="BX16" s="429">
        <f>IF(LEFT('non Forest LUC'!$D17,6)=LEFT(Matrix!$BR$7,6),IF(LEFT('non Forest LUC'!$F17,6)=LEFT(Matrix!BX$7,6),'non Forest LUC'!$D39,0),0)</f>
        <v>0</v>
      </c>
      <c r="BY16" s="440"/>
      <c r="BZ16" s="429">
        <f>IF(LEFT('non Forest LUC'!$D17,6)=LEFT(Matrix!$BY$7,6),IF(LEFT('non Forest LUC'!$F17,6)=LEFT(Matrix!BZ$7,6),'non Forest LUC'!$D39,0),0)</f>
        <v>0</v>
      </c>
      <c r="CA16" s="429">
        <f>IF(LEFT('non Forest LUC'!$D17,6)=LEFT(Matrix!$BY$7,6),IF(LEFT('non Forest LUC'!$F17,6)=LEFT(Matrix!CA$7,6),'non Forest LUC'!$D39,0),0)</f>
        <v>0</v>
      </c>
      <c r="CB16" s="429">
        <f>IF(LEFT('non Forest LUC'!$D17,6)=LEFT(Matrix!$BY$7,6),IF(LEFT('non Forest LUC'!$F17,6)=LEFT(Matrix!CB$7,6),'non Forest LUC'!$D39,0),0)</f>
        <v>0</v>
      </c>
      <c r="CC16" s="429">
        <f>IF(LEFT('non Forest LUC'!$D17,6)=LEFT(Matrix!$BY$7,6),IF(LEFT('non Forest LUC'!$F17,6)=LEFT(Matrix!CC$7,6),'non Forest LUC'!$D39,0),0)</f>
        <v>0</v>
      </c>
      <c r="CD16" s="429">
        <f>IF(LEFT('non Forest LUC'!$D17,6)=LEFT(Matrix!$BY$7,6),IF(LEFT('non Forest LUC'!$F17,6)=LEFT(Matrix!CD$7,6),'non Forest LUC'!$D39,0),0)</f>
        <v>0</v>
      </c>
      <c r="CE16" s="429">
        <f>IF(LEFT('non Forest LUC'!$D17,6)=LEFT(Matrix!$BY$7,6),IF(LEFT('non Forest LUC'!$F17,6)=LEFT(Matrix!CE$7,6),'non Forest LUC'!$D39,0),0)</f>
        <v>0</v>
      </c>
      <c r="CF16" s="440"/>
      <c r="CG16" s="429">
        <f>IF(LEFT('non Forest LUC'!$D17,6)=LEFT(Matrix!$CF$7,6),IF(LEFT('non Forest LUC'!$F17,6)=LEFT(Matrix!CG$7,6),'non Forest LUC'!$D39,0),0)</f>
        <v>0</v>
      </c>
      <c r="CH16" s="429">
        <f>IF(LEFT('non Forest LUC'!$D17,6)=LEFT(Matrix!$CF$7,6),IF(LEFT('non Forest LUC'!$F17,6)=LEFT(Matrix!CH$7,6),'non Forest LUC'!$D39,0),0)</f>
        <v>0</v>
      </c>
      <c r="CI16" s="429">
        <f>IF(LEFT('non Forest LUC'!$D17,6)=LEFT(Matrix!$CF$7,6),IF(LEFT('non Forest LUC'!$F17,6)=LEFT(Matrix!CI$7,6),'non Forest LUC'!$D39,0),0)</f>
        <v>0</v>
      </c>
      <c r="CJ16" s="429">
        <f>IF(LEFT('non Forest LUC'!$D17,6)=LEFT(Matrix!$CF$7,6),IF(LEFT('non Forest LUC'!$F17,6)=LEFT(Matrix!CJ$7,6),'non Forest LUC'!$D39,0),0)</f>
        <v>0</v>
      </c>
      <c r="CK16" s="429">
        <f>IF(LEFT('non Forest LUC'!$D17,6)=LEFT(Matrix!$CF$7,6),IF(LEFT('non Forest LUC'!$F17,6)=LEFT(Matrix!CK$7,6),'non Forest LUC'!$D39,0),0)</f>
        <v>0</v>
      </c>
      <c r="CL16" s="429">
        <f>IF(LEFT('non Forest LUC'!$D17,6)=LEFT(Matrix!$CF$7,6),IF(LEFT('non Forest LUC'!$F17,6)=LEFT(Matrix!CL$7,6),'non Forest LUC'!$D39,0),0)</f>
        <v>0</v>
      </c>
    </row>
    <row r="17" spans="2:93">
      <c r="L17" s="240"/>
      <c r="W17" s="435"/>
      <c r="X17" s="455">
        <f>IF(Deforestation!$I36=X$8,1,0)*Deforestation!$H51</f>
        <v>0</v>
      </c>
      <c r="Y17" s="455">
        <f>IF(Deforestation!$I36=Y$8,1,0)*Deforestation!$H51</f>
        <v>0</v>
      </c>
      <c r="Z17" s="455">
        <f>IF(Deforestation!$I36=Z$8,1,0)*Deforestation!$H51</f>
        <v>0</v>
      </c>
      <c r="AA17" s="455">
        <f>IF(Deforestation!$I36=AA$8,1,0)*Deforestation!$H51</f>
        <v>0</v>
      </c>
      <c r="AB17" s="455">
        <f>IF(Deforestation!$I36=AB$8,1,0)*Deforestation!$H51</f>
        <v>0</v>
      </c>
      <c r="AC17" s="455">
        <f>IF(Deforestation!$I36=AC$8,1,0)*Deforestation!$H51</f>
        <v>0</v>
      </c>
      <c r="AD17" s="455">
        <f>IF(Deforestation!$I36=AD$8,1,0)*Deforestation!$H51</f>
        <v>0</v>
      </c>
      <c r="AE17" s="455">
        <f>IF(Deforestation!$I36=AE$8,1,0)*Deforestation!$H51</f>
        <v>0</v>
      </c>
      <c r="AG17" s="437">
        <f>IF(AG$8='A-R'!$E36,'A-R'!$E51,0)</f>
        <v>0</v>
      </c>
      <c r="AH17" s="437">
        <f>IF(AH$8='A-R'!$E36,'A-R'!$E51,0)</f>
        <v>0</v>
      </c>
      <c r="AI17" s="437">
        <f>IF(AI$8='A-R'!$E36,'A-R'!$E51,0)</f>
        <v>0</v>
      </c>
      <c r="AJ17" s="437">
        <f>IF(AJ$8='A-R'!$E36,'A-R'!$E51,0)</f>
        <v>0</v>
      </c>
      <c r="AK17" s="437">
        <f>IF(AK$8='A-R'!$E36,'A-R'!$E51,0)</f>
        <v>0</v>
      </c>
      <c r="AL17" s="437">
        <f>IF(AL$8='A-R'!$E36,'A-R'!$E51,0)</f>
        <v>0</v>
      </c>
      <c r="AM17" s="437">
        <f>IF(AM$8='A-R'!$E36,'A-R'!$E51,0)</f>
        <v>0</v>
      </c>
      <c r="AN17" s="437">
        <f>IF(AN$8='A-R'!$E36,'A-R'!$E51,0)</f>
        <v>0</v>
      </c>
      <c r="AP17" s="440"/>
      <c r="AQ17" s="429">
        <f>IF(LEFT('non Forest LUC'!$D18,6)=LEFT(Matrix!$AP$7,6),IF(LEFT('non Forest LUC'!$F18,6)=LEFT(Matrix!AQ$7,6),'non Forest LUC'!$D40,0),0)</f>
        <v>0</v>
      </c>
      <c r="AR17" s="429">
        <f>IF(LEFT('non Forest LUC'!$D18,6)=LEFT(Matrix!$AP$7,6),IF(LEFT('non Forest LUC'!$F18,6)=LEFT(Matrix!AR$7,6),'non Forest LUC'!$D40,0),0)</f>
        <v>0</v>
      </c>
      <c r="AS17" s="429">
        <f>IF(LEFT('non Forest LUC'!$D18,6)=LEFT(Matrix!$AP$7,6),IF(LEFT('non Forest LUC'!$F18,6)=LEFT(Matrix!AS$7,6),'non Forest LUC'!$D40,0),0)</f>
        <v>0</v>
      </c>
      <c r="AT17" s="429">
        <f>IF(LEFT('non Forest LUC'!$D18,6)=LEFT(Matrix!$AP$7,6),IF(LEFT('non Forest LUC'!$F18,6)=LEFT(Matrix!AT$7,6),'non Forest LUC'!$D40,0),0)</f>
        <v>0</v>
      </c>
      <c r="AU17" s="429">
        <f>IF(LEFT('non Forest LUC'!$D18,6)=LEFT(Matrix!$AP$7,6),IF(LEFT('non Forest LUC'!$F18,6)=LEFT(Matrix!AU$7,6),'non Forest LUC'!$D40,0),0)</f>
        <v>0</v>
      </c>
      <c r="AV17" s="429">
        <f>IF(LEFT('non Forest LUC'!$D18,6)=LEFT(Matrix!$AP$7,6),IF(LEFT('non Forest LUC'!$F18,6)=LEFT(Matrix!AV$7,6),'non Forest LUC'!$D40,0),0)</f>
        <v>0</v>
      </c>
      <c r="AW17" s="440"/>
      <c r="AX17" s="429">
        <f>IF(LEFT('non Forest LUC'!$D18,6)=LEFT(Matrix!$AW$7,6),IF(LEFT('non Forest LUC'!$F18,6)=LEFT(Matrix!AX$7,6),'non Forest LUC'!$D40,0),0)</f>
        <v>0</v>
      </c>
      <c r="AY17" s="429">
        <f>IF(LEFT('non Forest LUC'!$D18,6)=LEFT(Matrix!$AW$7,6),IF(LEFT('non Forest LUC'!$F18,6)=LEFT(Matrix!AY$7,6),'non Forest LUC'!$D40,0),0)</f>
        <v>0</v>
      </c>
      <c r="AZ17" s="429">
        <f>IF(LEFT('non Forest LUC'!$D18,6)=LEFT(Matrix!$AW$7,6),IF(LEFT('non Forest LUC'!$F18,6)=LEFT(Matrix!AZ$7,6),'non Forest LUC'!$D40,0),0)</f>
        <v>0</v>
      </c>
      <c r="BA17" s="429">
        <f>IF(LEFT('non Forest LUC'!$D18,6)=LEFT(Matrix!$AW$7,6),IF(LEFT('non Forest LUC'!$F18,6)=LEFT(Matrix!BA$7,6),'non Forest LUC'!$D40,0),0)</f>
        <v>0</v>
      </c>
      <c r="BB17" s="429">
        <f>IF(LEFT('non Forest LUC'!$D18,6)=LEFT(Matrix!$AW$7,6),IF(LEFT('non Forest LUC'!$F18,6)=LEFT(Matrix!BB$7,6),'non Forest LUC'!$D40,0),0)</f>
        <v>0</v>
      </c>
      <c r="BC17" s="429">
        <f>IF(LEFT('non Forest LUC'!$D18,6)=LEFT(Matrix!$AW$7,6),IF(LEFT('non Forest LUC'!$F18,6)=LEFT(Matrix!BC$7,6),'non Forest LUC'!$D40,0),0)</f>
        <v>0</v>
      </c>
      <c r="BD17" s="440"/>
      <c r="BE17" s="429">
        <f>IF(LEFT('non Forest LUC'!$D18,6)=LEFT(Matrix!$BD$7,6),IF(LEFT('non Forest LUC'!$F18,6)=LEFT(Matrix!BE$7,6),'non Forest LUC'!$D40,0),0)</f>
        <v>0</v>
      </c>
      <c r="BF17" s="429">
        <f>IF(LEFT('non Forest LUC'!$D18,6)=LEFT(Matrix!$BD$7,6),IF(LEFT('non Forest LUC'!$F18,6)=LEFT(Matrix!BF$7,6),'non Forest LUC'!$D40,0),0)</f>
        <v>0</v>
      </c>
      <c r="BG17" s="429">
        <f>IF(LEFT('non Forest LUC'!$D18,6)=LEFT(Matrix!$BD$7,6),IF(LEFT('non Forest LUC'!$F18,6)=LEFT(Matrix!BG$7,6),'non Forest LUC'!$D40,0),0)</f>
        <v>0</v>
      </c>
      <c r="BH17" s="429">
        <f>IF(LEFT('non Forest LUC'!$D18,6)=LEFT(Matrix!$BD$7,6),IF(LEFT('non Forest LUC'!$F18,6)=LEFT(Matrix!BH$7,6),'non Forest LUC'!$D40,0),0)</f>
        <v>0</v>
      </c>
      <c r="BI17" s="429">
        <f>IF(LEFT('non Forest LUC'!$D18,6)=LEFT(Matrix!$BD$7,6),IF(LEFT('non Forest LUC'!$F18,6)=LEFT(Matrix!BI$7,6),'non Forest LUC'!$D40,0),0)</f>
        <v>0</v>
      </c>
      <c r="BJ17" s="429">
        <f>IF(LEFT('non Forest LUC'!$D18,6)=LEFT(Matrix!$BD$7,6),IF(LEFT('non Forest LUC'!$F18,6)=LEFT(Matrix!BJ$7,6),'non Forest LUC'!$D40,0),0)</f>
        <v>0</v>
      </c>
      <c r="BK17" s="440"/>
      <c r="BL17" s="429">
        <f>IF(LEFT('non Forest LUC'!$D18,6)=LEFT(Matrix!$BK$7,6),IF(LEFT('non Forest LUC'!$F18,6)=LEFT(Matrix!BL$7,6),'non Forest LUC'!$D40,0),0)</f>
        <v>0</v>
      </c>
      <c r="BM17" s="429">
        <f>IF(LEFT('non Forest LUC'!$D18,6)=LEFT(Matrix!$BK$7,6),IF(LEFT('non Forest LUC'!$F18,6)=LEFT(Matrix!BM$7,6),'non Forest LUC'!$D40,0),0)</f>
        <v>0</v>
      </c>
      <c r="BN17" s="429">
        <f>IF(LEFT('non Forest LUC'!$D18,6)=LEFT(Matrix!$BK$7,6),IF(LEFT('non Forest LUC'!$F18,6)=LEFT(Matrix!BN$7,6),'non Forest LUC'!$D40,0),0)</f>
        <v>0</v>
      </c>
      <c r="BO17" s="429">
        <f>IF(LEFT('non Forest LUC'!$D18,6)=LEFT(Matrix!$BK$7,6),IF(LEFT('non Forest LUC'!$F18,6)=LEFT(Matrix!BO$7,6),'non Forest LUC'!$D40,0),0)</f>
        <v>0</v>
      </c>
      <c r="BP17" s="429">
        <f>IF(LEFT('non Forest LUC'!$D18,6)=LEFT(Matrix!$BK$7,6),IF(LEFT('non Forest LUC'!$F18,6)=LEFT(Matrix!BP$7,6),'non Forest LUC'!$D40,0),0)</f>
        <v>0</v>
      </c>
      <c r="BQ17" s="429">
        <f>IF(LEFT('non Forest LUC'!$D18,6)=LEFT(Matrix!$BK$7,6),IF(LEFT('non Forest LUC'!$F18,6)=LEFT(Matrix!BQ$7,6),'non Forest LUC'!$D40,0),0)</f>
        <v>0</v>
      </c>
      <c r="BR17" s="440"/>
      <c r="BS17" s="429">
        <f>IF(LEFT('non Forest LUC'!$D18,6)=LEFT(Matrix!$BR$7,6),IF(LEFT('non Forest LUC'!$F18,6)=LEFT(Matrix!BS$7,6),'non Forest LUC'!$D40,0),0)</f>
        <v>0</v>
      </c>
      <c r="BT17" s="429">
        <f>IF(LEFT('non Forest LUC'!$D18,6)=LEFT(Matrix!$BR$7,6),IF(LEFT('non Forest LUC'!$F18,6)=LEFT(Matrix!BT$7,6),'non Forest LUC'!$D40,0),0)</f>
        <v>0</v>
      </c>
      <c r="BU17" s="429">
        <f>IF(LEFT('non Forest LUC'!$D18,6)=LEFT(Matrix!$BR$7,6),IF(LEFT('non Forest LUC'!$F18,6)=LEFT(Matrix!BU$7,6),'non Forest LUC'!$D40,0),0)</f>
        <v>0</v>
      </c>
      <c r="BV17" s="429">
        <f>IF(LEFT('non Forest LUC'!$D18,6)=LEFT(Matrix!$BR$7,6),IF(LEFT('non Forest LUC'!$F18,6)=LEFT(Matrix!BV$7,6),'non Forest LUC'!$D40,0),0)</f>
        <v>0</v>
      </c>
      <c r="BW17" s="429">
        <f>IF(LEFT('non Forest LUC'!$D18,6)=LEFT(Matrix!$BR$7,6),IF(LEFT('non Forest LUC'!$F18,6)=LEFT(Matrix!BW$7,6),'non Forest LUC'!$D40,0),0)</f>
        <v>0</v>
      </c>
      <c r="BX17" s="429">
        <f>IF(LEFT('non Forest LUC'!$D18,6)=LEFT(Matrix!$BR$7,6),IF(LEFT('non Forest LUC'!$F18,6)=LEFT(Matrix!BX$7,6),'non Forest LUC'!$D40,0),0)</f>
        <v>0</v>
      </c>
      <c r="BY17" s="440"/>
      <c r="BZ17" s="429">
        <f>IF(LEFT('non Forest LUC'!$D18,6)=LEFT(Matrix!$BY$7,6),IF(LEFT('non Forest LUC'!$F18,6)=LEFT(Matrix!BZ$7,6),'non Forest LUC'!$D40,0),0)</f>
        <v>0</v>
      </c>
      <c r="CA17" s="429">
        <f>IF(LEFT('non Forest LUC'!$D18,6)=LEFT(Matrix!$BY$7,6),IF(LEFT('non Forest LUC'!$F18,6)=LEFT(Matrix!CA$7,6),'non Forest LUC'!$D40,0),0)</f>
        <v>0</v>
      </c>
      <c r="CB17" s="429">
        <f>IF(LEFT('non Forest LUC'!$D18,6)=LEFT(Matrix!$BY$7,6),IF(LEFT('non Forest LUC'!$F18,6)=LEFT(Matrix!CB$7,6),'non Forest LUC'!$D40,0),0)</f>
        <v>0</v>
      </c>
      <c r="CC17" s="429">
        <f>IF(LEFT('non Forest LUC'!$D18,6)=LEFT(Matrix!$BY$7,6),IF(LEFT('non Forest LUC'!$F18,6)=LEFT(Matrix!CC$7,6),'non Forest LUC'!$D40,0),0)</f>
        <v>0</v>
      </c>
      <c r="CD17" s="429">
        <f>IF(LEFT('non Forest LUC'!$D18,6)=LEFT(Matrix!$BY$7,6),IF(LEFT('non Forest LUC'!$F18,6)=LEFT(Matrix!CD$7,6),'non Forest LUC'!$D40,0),0)</f>
        <v>0</v>
      </c>
      <c r="CE17" s="429">
        <f>IF(LEFT('non Forest LUC'!$D18,6)=LEFT(Matrix!$BY$7,6),IF(LEFT('non Forest LUC'!$F18,6)=LEFT(Matrix!CE$7,6),'non Forest LUC'!$D40,0),0)</f>
        <v>0</v>
      </c>
      <c r="CF17" s="440"/>
      <c r="CG17" s="429">
        <f>IF(LEFT('non Forest LUC'!$D18,6)=LEFT(Matrix!$CF$7,6),IF(LEFT('non Forest LUC'!$F18,6)=LEFT(Matrix!CG$7,6),'non Forest LUC'!$D40,0),0)</f>
        <v>0</v>
      </c>
      <c r="CH17" s="429">
        <f>IF(LEFT('non Forest LUC'!$D18,6)=LEFT(Matrix!$CF$7,6),IF(LEFT('non Forest LUC'!$F18,6)=LEFT(Matrix!CH$7,6),'non Forest LUC'!$D40,0),0)</f>
        <v>0</v>
      </c>
      <c r="CI17" s="429">
        <f>IF(LEFT('non Forest LUC'!$D18,6)=LEFT(Matrix!$CF$7,6),IF(LEFT('non Forest LUC'!$F18,6)=LEFT(Matrix!CI$7,6),'non Forest LUC'!$D40,0),0)</f>
        <v>0</v>
      </c>
      <c r="CJ17" s="429">
        <f>IF(LEFT('non Forest LUC'!$D18,6)=LEFT(Matrix!$CF$7,6),IF(LEFT('non Forest LUC'!$F18,6)=LEFT(Matrix!CJ$7,6),'non Forest LUC'!$D40,0),0)</f>
        <v>0</v>
      </c>
      <c r="CK17" s="429">
        <f>IF(LEFT('non Forest LUC'!$D18,6)=LEFT(Matrix!$CF$7,6),IF(LEFT('non Forest LUC'!$F18,6)=LEFT(Matrix!CK$7,6),'non Forest LUC'!$D40,0),0)</f>
        <v>0</v>
      </c>
      <c r="CL17" s="429">
        <f>IF(LEFT('non Forest LUC'!$D18,6)=LEFT(Matrix!$CF$7,6),IF(LEFT('non Forest LUC'!$F18,6)=LEFT(Matrix!CL$7,6),'non Forest LUC'!$D40,0),0)</f>
        <v>0</v>
      </c>
    </row>
    <row r="18" spans="2:93" ht="15.75" customHeight="1">
      <c r="D18" s="493" t="s">
        <v>1099</v>
      </c>
      <c r="E18" s="494">
        <f>SUM(E10:E16)</f>
        <v>0</v>
      </c>
      <c r="F18" s="494">
        <f t="shared" ref="F18:K18" si="1">SUM(F10:F16)</f>
        <v>0</v>
      </c>
      <c r="G18" s="494">
        <f t="shared" si="1"/>
        <v>0</v>
      </c>
      <c r="H18" s="494">
        <f t="shared" si="1"/>
        <v>0</v>
      </c>
      <c r="I18" s="494">
        <f t="shared" si="1"/>
        <v>0</v>
      </c>
      <c r="J18" s="494">
        <f t="shared" si="1"/>
        <v>0</v>
      </c>
      <c r="K18" s="494">
        <f t="shared" si="1"/>
        <v>0</v>
      </c>
      <c r="L18" s="240"/>
      <c r="M18" s="494">
        <f>SUM(M10:M16)</f>
        <v>0</v>
      </c>
      <c r="W18" s="435"/>
      <c r="X18" s="455">
        <f>IF(Deforestation!$I37=X$8,1,0)*Deforestation!$H52</f>
        <v>0</v>
      </c>
      <c r="Y18" s="455">
        <f>IF(Deforestation!$I37=Y$8,1,0)*Deforestation!$H52</f>
        <v>0</v>
      </c>
      <c r="Z18" s="455">
        <f>IF(Deforestation!$I37=Z$8,1,0)*Deforestation!$H52</f>
        <v>0</v>
      </c>
      <c r="AA18" s="455">
        <f>IF(Deforestation!$I37=AA$8,1,0)*Deforestation!$H52</f>
        <v>0</v>
      </c>
      <c r="AB18" s="455">
        <f>IF(Deforestation!$I37=AB$8,1,0)*Deforestation!$H52</f>
        <v>0</v>
      </c>
      <c r="AC18" s="455">
        <f>IF(Deforestation!$I37=AC$8,1,0)*Deforestation!$H52</f>
        <v>0</v>
      </c>
      <c r="AD18" s="455">
        <f>IF(Deforestation!$I37=AD$8,1,0)*Deforestation!$H52</f>
        <v>0</v>
      </c>
      <c r="AE18" s="455">
        <f>IF(Deforestation!$I37=AE$8,1,0)*Deforestation!$H52</f>
        <v>0</v>
      </c>
      <c r="AG18" s="437">
        <f>IF(AG$8='A-R'!$E37,'A-R'!$E52,0)</f>
        <v>0</v>
      </c>
      <c r="AH18" s="437">
        <f>IF(AH$8='A-R'!$E37,'A-R'!$E52,0)</f>
        <v>0</v>
      </c>
      <c r="AI18" s="437">
        <f>IF(AI$8='A-R'!$E37,'A-R'!$E52,0)</f>
        <v>0</v>
      </c>
      <c r="AJ18" s="437">
        <f>IF(AJ$8='A-R'!$E37,'A-R'!$E52,0)</f>
        <v>0</v>
      </c>
      <c r="AK18" s="437">
        <f>IF(AK$8='A-R'!$E37,'A-R'!$E52,0)</f>
        <v>0</v>
      </c>
      <c r="AL18" s="437">
        <f>IF(AL$8='A-R'!$E37,'A-R'!$E52,0)</f>
        <v>0</v>
      </c>
      <c r="AM18" s="437">
        <f>IF(AM$8='A-R'!$E37,'A-R'!$E52,0)</f>
        <v>0</v>
      </c>
      <c r="AN18" s="437">
        <f>IF(AN$8='A-R'!$E37,'A-R'!$E52,0)</f>
        <v>0</v>
      </c>
      <c r="AP18" s="440"/>
      <c r="AQ18" s="429">
        <f>IF(LEFT('non Forest LUC'!$D19,6)=LEFT(Matrix!$AP$7,6),IF(LEFT('non Forest LUC'!$F19,6)=LEFT(Matrix!AQ$7,6),'non Forest LUC'!$D41,0),0)</f>
        <v>0</v>
      </c>
      <c r="AR18" s="429">
        <f>IF(LEFT('non Forest LUC'!$D19,6)=LEFT(Matrix!$AP$7,6),IF(LEFT('non Forest LUC'!$F19,6)=LEFT(Matrix!AR$7,6),'non Forest LUC'!$D41,0),0)</f>
        <v>0</v>
      </c>
      <c r="AS18" s="429">
        <f>IF(LEFT('non Forest LUC'!$D19,6)=LEFT(Matrix!$AP$7,6),IF(LEFT('non Forest LUC'!$F19,6)=LEFT(Matrix!AS$7,6),'non Forest LUC'!$D41,0),0)</f>
        <v>0</v>
      </c>
      <c r="AT18" s="429">
        <f>IF(LEFT('non Forest LUC'!$D19,6)=LEFT(Matrix!$AP$7,6),IF(LEFT('non Forest LUC'!$F19,6)=LEFT(Matrix!AT$7,6),'non Forest LUC'!$D41,0),0)</f>
        <v>0</v>
      </c>
      <c r="AU18" s="429">
        <f>IF(LEFT('non Forest LUC'!$D19,6)=LEFT(Matrix!$AP$7,6),IF(LEFT('non Forest LUC'!$F19,6)=LEFT(Matrix!AU$7,6),'non Forest LUC'!$D41,0),0)</f>
        <v>0</v>
      </c>
      <c r="AV18" s="429">
        <f>IF(LEFT('non Forest LUC'!$D19,6)=LEFT(Matrix!$AP$7,6),IF(LEFT('non Forest LUC'!$F19,6)=LEFT(Matrix!AV$7,6),'non Forest LUC'!$D41,0),0)</f>
        <v>0</v>
      </c>
      <c r="AW18" s="440"/>
      <c r="AX18" s="429">
        <f>IF(LEFT('non Forest LUC'!$D19,6)=LEFT(Matrix!$AW$7,6),IF(LEFT('non Forest LUC'!$F19,6)=LEFT(Matrix!AX$7,6),'non Forest LUC'!$D41,0),0)</f>
        <v>0</v>
      </c>
      <c r="AY18" s="429">
        <f>IF(LEFT('non Forest LUC'!$D19,6)=LEFT(Matrix!$AW$7,6),IF(LEFT('non Forest LUC'!$F19,6)=LEFT(Matrix!AY$7,6),'non Forest LUC'!$D41,0),0)</f>
        <v>0</v>
      </c>
      <c r="AZ18" s="429">
        <f>IF(LEFT('non Forest LUC'!$D19,6)=LEFT(Matrix!$AW$7,6),IF(LEFT('non Forest LUC'!$F19,6)=LEFT(Matrix!AZ$7,6),'non Forest LUC'!$D41,0),0)</f>
        <v>0</v>
      </c>
      <c r="BA18" s="429">
        <f>IF(LEFT('non Forest LUC'!$D19,6)=LEFT(Matrix!$AW$7,6),IF(LEFT('non Forest LUC'!$F19,6)=LEFT(Matrix!BA$7,6),'non Forest LUC'!$D41,0),0)</f>
        <v>0</v>
      </c>
      <c r="BB18" s="429">
        <f>IF(LEFT('non Forest LUC'!$D19,6)=LEFT(Matrix!$AW$7,6),IF(LEFT('non Forest LUC'!$F19,6)=LEFT(Matrix!BB$7,6),'non Forest LUC'!$D41,0),0)</f>
        <v>0</v>
      </c>
      <c r="BC18" s="429">
        <f>IF(LEFT('non Forest LUC'!$D19,6)=LEFT(Matrix!$AW$7,6),IF(LEFT('non Forest LUC'!$F19,6)=LEFT(Matrix!BC$7,6),'non Forest LUC'!$D41,0),0)</f>
        <v>0</v>
      </c>
      <c r="BD18" s="440"/>
      <c r="BE18" s="429">
        <f>IF(LEFT('non Forest LUC'!$D19,6)=LEFT(Matrix!$BD$7,6),IF(LEFT('non Forest LUC'!$F19,6)=LEFT(Matrix!BE$7,6),'non Forest LUC'!$D41,0),0)</f>
        <v>0</v>
      </c>
      <c r="BF18" s="429">
        <f>IF(LEFT('non Forest LUC'!$D19,6)=LEFT(Matrix!$BD$7,6),IF(LEFT('non Forest LUC'!$F19,6)=LEFT(Matrix!BF$7,6),'non Forest LUC'!$D41,0),0)</f>
        <v>0</v>
      </c>
      <c r="BG18" s="429">
        <f>IF(LEFT('non Forest LUC'!$D19,6)=LEFT(Matrix!$BD$7,6),IF(LEFT('non Forest LUC'!$F19,6)=LEFT(Matrix!BG$7,6),'non Forest LUC'!$D41,0),0)</f>
        <v>0</v>
      </c>
      <c r="BH18" s="429">
        <f>IF(LEFT('non Forest LUC'!$D19,6)=LEFT(Matrix!$BD$7,6),IF(LEFT('non Forest LUC'!$F19,6)=LEFT(Matrix!BH$7,6),'non Forest LUC'!$D41,0),0)</f>
        <v>0</v>
      </c>
      <c r="BI18" s="429">
        <f>IF(LEFT('non Forest LUC'!$D19,6)=LEFT(Matrix!$BD$7,6),IF(LEFT('non Forest LUC'!$F19,6)=LEFT(Matrix!BI$7,6),'non Forest LUC'!$D41,0),0)</f>
        <v>0</v>
      </c>
      <c r="BJ18" s="429">
        <f>IF(LEFT('non Forest LUC'!$D19,6)=LEFT(Matrix!$BD$7,6),IF(LEFT('non Forest LUC'!$F19,6)=LEFT(Matrix!BJ$7,6),'non Forest LUC'!$D41,0),0)</f>
        <v>0</v>
      </c>
      <c r="BK18" s="440"/>
      <c r="BL18" s="429">
        <f>IF(LEFT('non Forest LUC'!$D19,6)=LEFT(Matrix!$BK$7,6),IF(LEFT('non Forest LUC'!$F19,6)=LEFT(Matrix!BL$7,6),'non Forest LUC'!$D41,0),0)</f>
        <v>0</v>
      </c>
      <c r="BM18" s="429">
        <f>IF(LEFT('non Forest LUC'!$D19,6)=LEFT(Matrix!$BK$7,6),IF(LEFT('non Forest LUC'!$F19,6)=LEFT(Matrix!BM$7,6),'non Forest LUC'!$D41,0),0)</f>
        <v>0</v>
      </c>
      <c r="BN18" s="429">
        <f>IF(LEFT('non Forest LUC'!$D19,6)=LEFT(Matrix!$BK$7,6),IF(LEFT('non Forest LUC'!$F19,6)=LEFT(Matrix!BN$7,6),'non Forest LUC'!$D41,0),0)</f>
        <v>0</v>
      </c>
      <c r="BO18" s="429">
        <f>IF(LEFT('non Forest LUC'!$D19,6)=LEFT(Matrix!$BK$7,6),IF(LEFT('non Forest LUC'!$F19,6)=LEFT(Matrix!BO$7,6),'non Forest LUC'!$D41,0),0)</f>
        <v>0</v>
      </c>
      <c r="BP18" s="429">
        <f>IF(LEFT('non Forest LUC'!$D19,6)=LEFT(Matrix!$BK$7,6),IF(LEFT('non Forest LUC'!$F19,6)=LEFT(Matrix!BP$7,6),'non Forest LUC'!$D41,0),0)</f>
        <v>0</v>
      </c>
      <c r="BQ18" s="429">
        <f>IF(LEFT('non Forest LUC'!$D19,6)=LEFT(Matrix!$BK$7,6),IF(LEFT('non Forest LUC'!$F19,6)=LEFT(Matrix!BQ$7,6),'non Forest LUC'!$D41,0),0)</f>
        <v>0</v>
      </c>
      <c r="BR18" s="440"/>
      <c r="BS18" s="429">
        <f>IF(LEFT('non Forest LUC'!$D19,6)=LEFT(Matrix!$BR$7,6),IF(LEFT('non Forest LUC'!$F19,6)=LEFT(Matrix!BS$7,6),'non Forest LUC'!$D41,0),0)</f>
        <v>0</v>
      </c>
      <c r="BT18" s="429">
        <f>IF(LEFT('non Forest LUC'!$D19,6)=LEFT(Matrix!$BR$7,6),IF(LEFT('non Forest LUC'!$F19,6)=LEFT(Matrix!BT$7,6),'non Forest LUC'!$D41,0),0)</f>
        <v>0</v>
      </c>
      <c r="BU18" s="429">
        <f>IF(LEFT('non Forest LUC'!$D19,6)=LEFT(Matrix!$BR$7,6),IF(LEFT('non Forest LUC'!$F19,6)=LEFT(Matrix!BU$7,6),'non Forest LUC'!$D41,0),0)</f>
        <v>0</v>
      </c>
      <c r="BV18" s="429">
        <f>IF(LEFT('non Forest LUC'!$D19,6)=LEFT(Matrix!$BR$7,6),IF(LEFT('non Forest LUC'!$F19,6)=LEFT(Matrix!BV$7,6),'non Forest LUC'!$D41,0),0)</f>
        <v>0</v>
      </c>
      <c r="BW18" s="429">
        <f>IF(LEFT('non Forest LUC'!$D19,6)=LEFT(Matrix!$BR$7,6),IF(LEFT('non Forest LUC'!$F19,6)=LEFT(Matrix!BW$7,6),'non Forest LUC'!$D41,0),0)</f>
        <v>0</v>
      </c>
      <c r="BX18" s="429">
        <f>IF(LEFT('non Forest LUC'!$D19,6)=LEFT(Matrix!$BR$7,6),IF(LEFT('non Forest LUC'!$F19,6)=LEFT(Matrix!BX$7,6),'non Forest LUC'!$D41,0),0)</f>
        <v>0</v>
      </c>
      <c r="BY18" s="440"/>
      <c r="BZ18" s="429">
        <f>IF(LEFT('non Forest LUC'!$D19,6)=LEFT(Matrix!$BY$7,6),IF(LEFT('non Forest LUC'!$F19,6)=LEFT(Matrix!BZ$7,6),'non Forest LUC'!$D41,0),0)</f>
        <v>0</v>
      </c>
      <c r="CA18" s="429">
        <f>IF(LEFT('non Forest LUC'!$D19,6)=LEFT(Matrix!$BY$7,6),IF(LEFT('non Forest LUC'!$F19,6)=LEFT(Matrix!CA$7,6),'non Forest LUC'!$D41,0),0)</f>
        <v>0</v>
      </c>
      <c r="CB18" s="429">
        <f>IF(LEFT('non Forest LUC'!$D19,6)=LEFT(Matrix!$BY$7,6),IF(LEFT('non Forest LUC'!$F19,6)=LEFT(Matrix!CB$7,6),'non Forest LUC'!$D41,0),0)</f>
        <v>0</v>
      </c>
      <c r="CC18" s="429">
        <f>IF(LEFT('non Forest LUC'!$D19,6)=LEFT(Matrix!$BY$7,6),IF(LEFT('non Forest LUC'!$F19,6)=LEFT(Matrix!CC$7,6),'non Forest LUC'!$D41,0),0)</f>
        <v>0</v>
      </c>
      <c r="CD18" s="429">
        <f>IF(LEFT('non Forest LUC'!$D19,6)=LEFT(Matrix!$BY$7,6),IF(LEFT('non Forest LUC'!$F19,6)=LEFT(Matrix!CD$7,6),'non Forest LUC'!$D41,0),0)</f>
        <v>0</v>
      </c>
      <c r="CE18" s="429">
        <f>IF(LEFT('non Forest LUC'!$D19,6)=LEFT(Matrix!$BY$7,6),IF(LEFT('non Forest LUC'!$F19,6)=LEFT(Matrix!CE$7,6),'non Forest LUC'!$D41,0),0)</f>
        <v>0</v>
      </c>
      <c r="CF18" s="440"/>
      <c r="CG18" s="429">
        <f>IF(LEFT('non Forest LUC'!$D19,6)=LEFT(Matrix!$CF$7,6),IF(LEFT('non Forest LUC'!$F19,6)=LEFT(Matrix!CG$7,6),'non Forest LUC'!$D41,0),0)</f>
        <v>0</v>
      </c>
      <c r="CH18" s="429">
        <f>IF(LEFT('non Forest LUC'!$D19,6)=LEFT(Matrix!$CF$7,6),IF(LEFT('non Forest LUC'!$F19,6)=LEFT(Matrix!CH$7,6),'non Forest LUC'!$D41,0),0)</f>
        <v>0</v>
      </c>
      <c r="CI18" s="429">
        <f>IF(LEFT('non Forest LUC'!$D19,6)=LEFT(Matrix!$CF$7,6),IF(LEFT('non Forest LUC'!$F19,6)=LEFT(Matrix!CI$7,6),'non Forest LUC'!$D41,0),0)</f>
        <v>0</v>
      </c>
      <c r="CJ18" s="429">
        <f>IF(LEFT('non Forest LUC'!$D19,6)=LEFT(Matrix!$CF$7,6),IF(LEFT('non Forest LUC'!$F19,6)=LEFT(Matrix!CJ$7,6),'non Forest LUC'!$D41,0),0)</f>
        <v>0</v>
      </c>
      <c r="CK18" s="429">
        <f>IF(LEFT('non Forest LUC'!$D19,6)=LEFT(Matrix!$CF$7,6),IF(LEFT('non Forest LUC'!$F19,6)=LEFT(Matrix!CK$7,6),'non Forest LUC'!$D41,0),0)</f>
        <v>0</v>
      </c>
      <c r="CL18" s="429">
        <f>IF(LEFT('non Forest LUC'!$D19,6)=LEFT(Matrix!$CF$7,6),IF(LEFT('non Forest LUC'!$F19,6)=LEFT(Matrix!CL$7,6),'non Forest LUC'!$D41,0),0)</f>
        <v>0</v>
      </c>
    </row>
    <row r="19" spans="2:93" ht="8.25" customHeight="1">
      <c r="L19" s="240"/>
      <c r="W19" s="495" t="s">
        <v>516</v>
      </c>
      <c r="X19" s="495">
        <f t="shared" ref="X19:AG19" si="2">SUM(X9:X18)</f>
        <v>0</v>
      </c>
      <c r="Y19" s="495">
        <f t="shared" si="2"/>
        <v>0</v>
      </c>
      <c r="Z19" s="495">
        <f t="shared" si="2"/>
        <v>0</v>
      </c>
      <c r="AA19" s="495">
        <f t="shared" si="2"/>
        <v>0</v>
      </c>
      <c r="AB19" s="495">
        <f t="shared" si="2"/>
        <v>0</v>
      </c>
      <c r="AC19" s="495">
        <f t="shared" si="2"/>
        <v>0</v>
      </c>
      <c r="AD19" s="495">
        <f t="shared" si="2"/>
        <v>0</v>
      </c>
      <c r="AE19" s="495">
        <f t="shared" si="2"/>
        <v>0</v>
      </c>
      <c r="AG19" s="1589">
        <f t="shared" si="2"/>
        <v>0</v>
      </c>
      <c r="AH19" s="1589">
        <f t="shared" ref="AH19:AN19" si="3">SUM(AH9:AH18)</f>
        <v>0</v>
      </c>
      <c r="AI19" s="1589">
        <f t="shared" si="3"/>
        <v>0</v>
      </c>
      <c r="AJ19" s="1589">
        <f t="shared" si="3"/>
        <v>0</v>
      </c>
      <c r="AK19" s="1589">
        <f t="shared" si="3"/>
        <v>0</v>
      </c>
      <c r="AL19" s="1589">
        <f t="shared" si="3"/>
        <v>0</v>
      </c>
      <c r="AM19" s="1589">
        <f t="shared" si="3"/>
        <v>0</v>
      </c>
      <c r="AN19" s="1589">
        <f t="shared" si="3"/>
        <v>0</v>
      </c>
      <c r="AP19" s="440"/>
      <c r="AQ19" s="429">
        <f>IF(LEFT('non Forest LUC'!$D20,6)=LEFT(Matrix!$AP$7,6),IF(LEFT('non Forest LUC'!$F20,6)=LEFT(Matrix!AQ$7,6),'non Forest LUC'!$D42,0),0)</f>
        <v>0</v>
      </c>
      <c r="AR19" s="429">
        <f>IF(LEFT('non Forest LUC'!$D20,6)=LEFT(Matrix!$AP$7,6),IF(LEFT('non Forest LUC'!$F20,6)=LEFT(Matrix!AR$7,6),'non Forest LUC'!$D42,0),0)</f>
        <v>0</v>
      </c>
      <c r="AS19" s="429">
        <f>IF(LEFT('non Forest LUC'!$D20,6)=LEFT(Matrix!$AP$7,6),IF(LEFT('non Forest LUC'!$F20,6)=LEFT(Matrix!AS$7,6),'non Forest LUC'!$D42,0),0)</f>
        <v>0</v>
      </c>
      <c r="AT19" s="429">
        <f>IF(LEFT('non Forest LUC'!$D20,6)=LEFT(Matrix!$AP$7,6),IF(LEFT('non Forest LUC'!$F20,6)=LEFT(Matrix!AT$7,6),'non Forest LUC'!$D42,0),0)</f>
        <v>0</v>
      </c>
      <c r="AU19" s="429">
        <f>IF(LEFT('non Forest LUC'!$D20,6)=LEFT(Matrix!$AP$7,6),IF(LEFT('non Forest LUC'!$F20,6)=LEFT(Matrix!AU$7,6),'non Forest LUC'!$D42,0),0)</f>
        <v>0</v>
      </c>
      <c r="AV19" s="429">
        <f>IF(LEFT('non Forest LUC'!$D20,6)=LEFT(Matrix!$AP$7,6),IF(LEFT('non Forest LUC'!$F20,6)=LEFT(Matrix!AV$7,6),'non Forest LUC'!$D42,0),0)</f>
        <v>0</v>
      </c>
      <c r="AW19" s="440"/>
      <c r="AX19" s="429">
        <f>IF(LEFT('non Forest LUC'!$D20,6)=LEFT(Matrix!$AW$7,6),IF(LEFT('non Forest LUC'!$F20,6)=LEFT(Matrix!AX$7,6),'non Forest LUC'!$D42,0),0)</f>
        <v>0</v>
      </c>
      <c r="AY19" s="429">
        <f>IF(LEFT('non Forest LUC'!$D20,6)=LEFT(Matrix!$AW$7,6),IF(LEFT('non Forest LUC'!$F20,6)=LEFT(Matrix!AY$7,6),'non Forest LUC'!$D42,0),0)</f>
        <v>0</v>
      </c>
      <c r="AZ19" s="429">
        <f>IF(LEFT('non Forest LUC'!$D20,6)=LEFT(Matrix!$AW$7,6),IF(LEFT('non Forest LUC'!$F20,6)=LEFT(Matrix!AZ$7,6),'non Forest LUC'!$D42,0),0)</f>
        <v>0</v>
      </c>
      <c r="BA19" s="429">
        <f>IF(LEFT('non Forest LUC'!$D20,6)=LEFT(Matrix!$AW$7,6),IF(LEFT('non Forest LUC'!$F20,6)=LEFT(Matrix!BA$7,6),'non Forest LUC'!$D42,0),0)</f>
        <v>0</v>
      </c>
      <c r="BB19" s="429">
        <f>IF(LEFT('non Forest LUC'!$D20,6)=LEFT(Matrix!$AW$7,6),IF(LEFT('non Forest LUC'!$F20,6)=LEFT(Matrix!BB$7,6),'non Forest LUC'!$D42,0),0)</f>
        <v>0</v>
      </c>
      <c r="BC19" s="429">
        <f>IF(LEFT('non Forest LUC'!$D20,6)=LEFT(Matrix!$AW$7,6),IF(LEFT('non Forest LUC'!$F20,6)=LEFT(Matrix!BC$7,6),'non Forest LUC'!$D42,0),0)</f>
        <v>0</v>
      </c>
      <c r="BD19" s="440"/>
      <c r="BE19" s="429">
        <f>IF(LEFT('non Forest LUC'!$D20,6)=LEFT(Matrix!$BD$7,6),IF(LEFT('non Forest LUC'!$F20,6)=LEFT(Matrix!BE$7,6),'non Forest LUC'!$D42,0),0)</f>
        <v>0</v>
      </c>
      <c r="BF19" s="429">
        <f>IF(LEFT('non Forest LUC'!$D20,6)=LEFT(Matrix!$BD$7,6),IF(LEFT('non Forest LUC'!$F20,6)=LEFT(Matrix!BF$7,6),'non Forest LUC'!$D42,0),0)</f>
        <v>0</v>
      </c>
      <c r="BG19" s="429">
        <f>IF(LEFT('non Forest LUC'!$D20,6)=LEFT(Matrix!$BD$7,6),IF(LEFT('non Forest LUC'!$F20,6)=LEFT(Matrix!BG$7,6),'non Forest LUC'!$D42,0),0)</f>
        <v>0</v>
      </c>
      <c r="BH19" s="429">
        <f>IF(LEFT('non Forest LUC'!$D20,6)=LEFT(Matrix!$BD$7,6),IF(LEFT('non Forest LUC'!$F20,6)=LEFT(Matrix!BH$7,6),'non Forest LUC'!$D42,0),0)</f>
        <v>0</v>
      </c>
      <c r="BI19" s="429">
        <f>IF(LEFT('non Forest LUC'!$D20,6)=LEFT(Matrix!$BD$7,6),IF(LEFT('non Forest LUC'!$F20,6)=LEFT(Matrix!BI$7,6),'non Forest LUC'!$D42,0),0)</f>
        <v>0</v>
      </c>
      <c r="BJ19" s="429">
        <f>IF(LEFT('non Forest LUC'!$D20,6)=LEFT(Matrix!$BD$7,6),IF(LEFT('non Forest LUC'!$F20,6)=LEFT(Matrix!BJ$7,6),'non Forest LUC'!$D42,0),0)</f>
        <v>0</v>
      </c>
      <c r="BK19" s="440"/>
      <c r="BL19" s="429">
        <f>IF(LEFT('non Forest LUC'!$D20,6)=LEFT(Matrix!$BK$7,6),IF(LEFT('non Forest LUC'!$F20,6)=LEFT(Matrix!BL$7,6),'non Forest LUC'!$D42,0),0)</f>
        <v>0</v>
      </c>
      <c r="BM19" s="429">
        <f>IF(LEFT('non Forest LUC'!$D20,6)=LEFT(Matrix!$BK$7,6),IF(LEFT('non Forest LUC'!$F20,6)=LEFT(Matrix!BM$7,6),'non Forest LUC'!$D42,0),0)</f>
        <v>0</v>
      </c>
      <c r="BN19" s="429">
        <f>IF(LEFT('non Forest LUC'!$D20,6)=LEFT(Matrix!$BK$7,6),IF(LEFT('non Forest LUC'!$F20,6)=LEFT(Matrix!BN$7,6),'non Forest LUC'!$D42,0),0)</f>
        <v>0</v>
      </c>
      <c r="BO19" s="429">
        <f>IF(LEFT('non Forest LUC'!$D20,6)=LEFT(Matrix!$BK$7,6),IF(LEFT('non Forest LUC'!$F20,6)=LEFT(Matrix!BO$7,6),'non Forest LUC'!$D42,0),0)</f>
        <v>0</v>
      </c>
      <c r="BP19" s="429">
        <f>IF(LEFT('non Forest LUC'!$D20,6)=LEFT(Matrix!$BK$7,6),IF(LEFT('non Forest LUC'!$F20,6)=LEFT(Matrix!BP$7,6),'non Forest LUC'!$D42,0),0)</f>
        <v>0</v>
      </c>
      <c r="BQ19" s="429">
        <f>IF(LEFT('non Forest LUC'!$D20,6)=LEFT(Matrix!$BK$7,6),IF(LEFT('non Forest LUC'!$F20,6)=LEFT(Matrix!BQ$7,6),'non Forest LUC'!$D42,0),0)</f>
        <v>0</v>
      </c>
      <c r="BR19" s="440"/>
      <c r="BS19" s="429">
        <f>IF(LEFT('non Forest LUC'!$D20,6)=LEFT(Matrix!$BR$7,6),IF(LEFT('non Forest LUC'!$F20,6)=LEFT(Matrix!BS$7,6),'non Forest LUC'!$D42,0),0)</f>
        <v>0</v>
      </c>
      <c r="BT19" s="429">
        <f>IF(LEFT('non Forest LUC'!$D20,6)=LEFT(Matrix!$BR$7,6),IF(LEFT('non Forest LUC'!$F20,6)=LEFT(Matrix!BT$7,6),'non Forest LUC'!$D42,0),0)</f>
        <v>0</v>
      </c>
      <c r="BU19" s="429">
        <f>IF(LEFT('non Forest LUC'!$D20,6)=LEFT(Matrix!$BR$7,6),IF(LEFT('non Forest LUC'!$F20,6)=LEFT(Matrix!BU$7,6),'non Forest LUC'!$D42,0),0)</f>
        <v>0</v>
      </c>
      <c r="BV19" s="429">
        <f>IF(LEFT('non Forest LUC'!$D20,6)=LEFT(Matrix!$BR$7,6),IF(LEFT('non Forest LUC'!$F20,6)=LEFT(Matrix!BV$7,6),'non Forest LUC'!$D42,0),0)</f>
        <v>0</v>
      </c>
      <c r="BW19" s="429">
        <f>IF(LEFT('non Forest LUC'!$D20,6)=LEFT(Matrix!$BR$7,6),IF(LEFT('non Forest LUC'!$F20,6)=LEFT(Matrix!BW$7,6),'non Forest LUC'!$D42,0),0)</f>
        <v>0</v>
      </c>
      <c r="BX19" s="429">
        <f>IF(LEFT('non Forest LUC'!$D20,6)=LEFT(Matrix!$BR$7,6),IF(LEFT('non Forest LUC'!$F20,6)=LEFT(Matrix!BX$7,6),'non Forest LUC'!$D42,0),0)</f>
        <v>0</v>
      </c>
      <c r="BY19" s="440"/>
      <c r="BZ19" s="429">
        <f>IF(LEFT('non Forest LUC'!$D20,6)=LEFT(Matrix!$BY$7,6),IF(LEFT('non Forest LUC'!$F20,6)=LEFT(Matrix!BZ$7,6),'non Forest LUC'!$D42,0),0)</f>
        <v>0</v>
      </c>
      <c r="CA19" s="429">
        <f>IF(LEFT('non Forest LUC'!$D20,6)=LEFT(Matrix!$BY$7,6),IF(LEFT('non Forest LUC'!$F20,6)=LEFT(Matrix!CA$7,6),'non Forest LUC'!$D42,0),0)</f>
        <v>0</v>
      </c>
      <c r="CB19" s="429">
        <f>IF(LEFT('non Forest LUC'!$D20,6)=LEFT(Matrix!$BY$7,6),IF(LEFT('non Forest LUC'!$F20,6)=LEFT(Matrix!CB$7,6),'non Forest LUC'!$D42,0),0)</f>
        <v>0</v>
      </c>
      <c r="CC19" s="429">
        <f>IF(LEFT('non Forest LUC'!$D20,6)=LEFT(Matrix!$BY$7,6),IF(LEFT('non Forest LUC'!$F20,6)=LEFT(Matrix!CC$7,6),'non Forest LUC'!$D42,0),0)</f>
        <v>0</v>
      </c>
      <c r="CD19" s="429">
        <f>IF(LEFT('non Forest LUC'!$D20,6)=LEFT(Matrix!$BY$7,6),IF(LEFT('non Forest LUC'!$F20,6)=LEFT(Matrix!CD$7,6),'non Forest LUC'!$D42,0),0)</f>
        <v>0</v>
      </c>
      <c r="CE19" s="429">
        <f>IF(LEFT('non Forest LUC'!$D20,6)=LEFT(Matrix!$BY$7,6),IF(LEFT('non Forest LUC'!$F20,6)=LEFT(Matrix!CE$7,6),'non Forest LUC'!$D42,0),0)</f>
        <v>0</v>
      </c>
      <c r="CF19" s="440"/>
      <c r="CG19" s="429">
        <f>IF(LEFT('non Forest LUC'!$D20,6)=LEFT(Matrix!$CF$7,6),IF(LEFT('non Forest LUC'!$F20,6)=LEFT(Matrix!CG$7,6),'non Forest LUC'!$D42,0),0)</f>
        <v>0</v>
      </c>
      <c r="CH19" s="429">
        <f>IF(LEFT('non Forest LUC'!$D20,6)=LEFT(Matrix!$CF$7,6),IF(LEFT('non Forest LUC'!$F20,6)=LEFT(Matrix!CH$7,6),'non Forest LUC'!$D42,0),0)</f>
        <v>0</v>
      </c>
      <c r="CI19" s="429">
        <f>IF(LEFT('non Forest LUC'!$D20,6)=LEFT(Matrix!$CF$7,6),IF(LEFT('non Forest LUC'!$F20,6)=LEFT(Matrix!CI$7,6),'non Forest LUC'!$D42,0),0)</f>
        <v>0</v>
      </c>
      <c r="CJ19" s="429">
        <f>IF(LEFT('non Forest LUC'!$D20,6)=LEFT(Matrix!$CF$7,6),IF(LEFT('non Forest LUC'!$F20,6)=LEFT(Matrix!CJ$7,6),'non Forest LUC'!$D42,0),0)</f>
        <v>0</v>
      </c>
      <c r="CK19" s="429">
        <f>IF(LEFT('non Forest LUC'!$D20,6)=LEFT(Matrix!$CF$7,6),IF(LEFT('non Forest LUC'!$F20,6)=LEFT(Matrix!CK$7,6),'non Forest LUC'!$D42,0),0)</f>
        <v>0</v>
      </c>
      <c r="CL19" s="429">
        <f>IF(LEFT('non Forest LUC'!$D20,6)=LEFT(Matrix!$CF$7,6),IF(LEFT('non Forest LUC'!$F20,6)=LEFT(Matrix!CL$7,6),'non Forest LUC'!$D42,0),0)</f>
        <v>0</v>
      </c>
    </row>
    <row r="20" spans="2:93" ht="15.75" customHeight="1">
      <c r="J20" s="1587"/>
      <c r="K20" s="1588" t="s">
        <v>267</v>
      </c>
      <c r="M20" s="494">
        <f>'Organic Soils NEW'!S46+Wetlands!H31+Wetlands!M51+Wetlands!M64</f>
        <v>0</v>
      </c>
      <c r="W20" s="234"/>
      <c r="X20" s="234"/>
      <c r="Y20" s="234"/>
      <c r="Z20" s="234"/>
      <c r="AA20" s="234"/>
      <c r="AB20" s="234"/>
      <c r="AC20" s="234"/>
      <c r="AD20" s="234"/>
      <c r="AE20" s="234"/>
      <c r="AP20" s="440"/>
      <c r="AQ20" s="429">
        <f>IF(LEFT('non Forest LUC'!$D21,6)=LEFT(Matrix!$AP$7,6),IF(LEFT('non Forest LUC'!$F21,6)=LEFT(Matrix!AQ$7,6),'non Forest LUC'!$D43,0),0)</f>
        <v>0</v>
      </c>
      <c r="AR20" s="429">
        <f>IF(LEFT('non Forest LUC'!$D21,6)=LEFT(Matrix!$AP$7,6),IF(LEFT('non Forest LUC'!$F21,6)=LEFT(Matrix!AR$7,6),'non Forest LUC'!$D43,0),0)</f>
        <v>0</v>
      </c>
      <c r="AS20" s="429">
        <f>IF(LEFT('non Forest LUC'!$D21,6)=LEFT(Matrix!$AP$7,6),IF(LEFT('non Forest LUC'!$F21,6)=LEFT(Matrix!AS$7,6),'non Forest LUC'!$D43,0),0)</f>
        <v>0</v>
      </c>
      <c r="AT20" s="429">
        <f>IF(LEFT('non Forest LUC'!$D21,6)=LEFT(Matrix!$AP$7,6),IF(LEFT('non Forest LUC'!$F21,6)=LEFT(Matrix!AT$7,6),'non Forest LUC'!$D43,0),0)</f>
        <v>0</v>
      </c>
      <c r="AU20" s="429">
        <f>IF(LEFT('non Forest LUC'!$D21,6)=LEFT(Matrix!$AP$7,6),IF(LEFT('non Forest LUC'!$F21,6)=LEFT(Matrix!AU$7,6),'non Forest LUC'!$D43,0),0)</f>
        <v>0</v>
      </c>
      <c r="AV20" s="429">
        <f>IF(LEFT('non Forest LUC'!$D21,6)=LEFT(Matrix!$AP$7,6),IF(LEFT('non Forest LUC'!$F21,6)=LEFT(Matrix!AV$7,6),'non Forest LUC'!$D43,0),0)</f>
        <v>0</v>
      </c>
      <c r="AW20" s="440"/>
      <c r="AX20" s="429">
        <f>IF(LEFT('non Forest LUC'!$D21,6)=LEFT(Matrix!$AW$7,6),IF(LEFT('non Forest LUC'!$F21,6)=LEFT(Matrix!AX$7,6),'non Forest LUC'!$D43,0),0)</f>
        <v>0</v>
      </c>
      <c r="AY20" s="429">
        <f>IF(LEFT('non Forest LUC'!$D21,6)=LEFT(Matrix!$AW$7,6),IF(LEFT('non Forest LUC'!$F21,6)=LEFT(Matrix!AY$7,6),'non Forest LUC'!$D43,0),0)</f>
        <v>0</v>
      </c>
      <c r="AZ20" s="429">
        <f>IF(LEFT('non Forest LUC'!$D21,6)=LEFT(Matrix!$AW$7,6),IF(LEFT('non Forest LUC'!$F21,6)=LEFT(Matrix!AZ$7,6),'non Forest LUC'!$D43,0),0)</f>
        <v>0</v>
      </c>
      <c r="BA20" s="429">
        <f>IF(LEFT('non Forest LUC'!$D21,6)=LEFT(Matrix!$AW$7,6),IF(LEFT('non Forest LUC'!$F21,6)=LEFT(Matrix!BA$7,6),'non Forest LUC'!$D43,0),0)</f>
        <v>0</v>
      </c>
      <c r="BB20" s="429">
        <f>IF(LEFT('non Forest LUC'!$D21,6)=LEFT(Matrix!$AW$7,6),IF(LEFT('non Forest LUC'!$F21,6)=LEFT(Matrix!BB$7,6),'non Forest LUC'!$D43,0),0)</f>
        <v>0</v>
      </c>
      <c r="BC20" s="429">
        <f>IF(LEFT('non Forest LUC'!$D21,6)=LEFT(Matrix!$AW$7,6),IF(LEFT('non Forest LUC'!$F21,6)=LEFT(Matrix!BC$7,6),'non Forest LUC'!$D43,0),0)</f>
        <v>0</v>
      </c>
      <c r="BD20" s="440"/>
      <c r="BE20" s="429">
        <f>IF(LEFT('non Forest LUC'!$D21,6)=LEFT(Matrix!$BD$7,6),IF(LEFT('non Forest LUC'!$F21,6)=LEFT(Matrix!BE$7,6),'non Forest LUC'!$D43,0),0)</f>
        <v>0</v>
      </c>
      <c r="BF20" s="429">
        <f>IF(LEFT('non Forest LUC'!$D21,6)=LEFT(Matrix!$BD$7,6),IF(LEFT('non Forest LUC'!$F21,6)=LEFT(Matrix!BF$7,6),'non Forest LUC'!$D43,0),0)</f>
        <v>0</v>
      </c>
      <c r="BG20" s="429">
        <f>IF(LEFT('non Forest LUC'!$D21,6)=LEFT(Matrix!$BD$7,6),IF(LEFT('non Forest LUC'!$F21,6)=LEFT(Matrix!BG$7,6),'non Forest LUC'!$D43,0),0)</f>
        <v>0</v>
      </c>
      <c r="BH20" s="429">
        <f>IF(LEFT('non Forest LUC'!$D21,6)=LEFT(Matrix!$BD$7,6),IF(LEFT('non Forest LUC'!$F21,6)=LEFT(Matrix!BH$7,6),'non Forest LUC'!$D43,0),0)</f>
        <v>0</v>
      </c>
      <c r="BI20" s="429">
        <f>IF(LEFT('non Forest LUC'!$D21,6)=LEFT(Matrix!$BD$7,6),IF(LEFT('non Forest LUC'!$F21,6)=LEFT(Matrix!BI$7,6),'non Forest LUC'!$D43,0),0)</f>
        <v>0</v>
      </c>
      <c r="BJ20" s="429">
        <f>IF(LEFT('non Forest LUC'!$D21,6)=LEFT(Matrix!$BD$7,6),IF(LEFT('non Forest LUC'!$F21,6)=LEFT(Matrix!BJ$7,6),'non Forest LUC'!$D43,0),0)</f>
        <v>0</v>
      </c>
      <c r="BK20" s="440"/>
      <c r="BL20" s="429">
        <f>IF(LEFT('non Forest LUC'!$D21,6)=LEFT(Matrix!$BK$7,6),IF(LEFT('non Forest LUC'!$F21,6)=LEFT(Matrix!BL$7,6),'non Forest LUC'!$D43,0),0)</f>
        <v>0</v>
      </c>
      <c r="BM20" s="429">
        <f>IF(LEFT('non Forest LUC'!$D21,6)=LEFT(Matrix!$BK$7,6),IF(LEFT('non Forest LUC'!$F21,6)=LEFT(Matrix!BM$7,6),'non Forest LUC'!$D43,0),0)</f>
        <v>0</v>
      </c>
      <c r="BN20" s="429">
        <f>IF(LEFT('non Forest LUC'!$D21,6)=LEFT(Matrix!$BK$7,6),IF(LEFT('non Forest LUC'!$F21,6)=LEFT(Matrix!BN$7,6),'non Forest LUC'!$D43,0),0)</f>
        <v>0</v>
      </c>
      <c r="BO20" s="429">
        <f>IF(LEFT('non Forest LUC'!$D21,6)=LEFT(Matrix!$BK$7,6),IF(LEFT('non Forest LUC'!$F21,6)=LEFT(Matrix!BO$7,6),'non Forest LUC'!$D43,0),0)</f>
        <v>0</v>
      </c>
      <c r="BP20" s="429">
        <f>IF(LEFT('non Forest LUC'!$D21,6)=LEFT(Matrix!$BK$7,6),IF(LEFT('non Forest LUC'!$F21,6)=LEFT(Matrix!BP$7,6),'non Forest LUC'!$D43,0),0)</f>
        <v>0</v>
      </c>
      <c r="BQ20" s="429">
        <f>IF(LEFT('non Forest LUC'!$D21,6)=LEFT(Matrix!$BK$7,6),IF(LEFT('non Forest LUC'!$F21,6)=LEFT(Matrix!BQ$7,6),'non Forest LUC'!$D43,0),0)</f>
        <v>0</v>
      </c>
      <c r="BR20" s="440"/>
      <c r="BS20" s="429">
        <f>IF(LEFT('non Forest LUC'!$D21,6)=LEFT(Matrix!$BR$7,6),IF(LEFT('non Forest LUC'!$F21,6)=LEFT(Matrix!BS$7,6),'non Forest LUC'!$D43,0),0)</f>
        <v>0</v>
      </c>
      <c r="BT20" s="429">
        <f>IF(LEFT('non Forest LUC'!$D21,6)=LEFT(Matrix!$BR$7,6),IF(LEFT('non Forest LUC'!$F21,6)=LEFT(Matrix!BT$7,6),'non Forest LUC'!$D43,0),0)</f>
        <v>0</v>
      </c>
      <c r="BU20" s="429">
        <f>IF(LEFT('non Forest LUC'!$D21,6)=LEFT(Matrix!$BR$7,6),IF(LEFT('non Forest LUC'!$F21,6)=LEFT(Matrix!BU$7,6),'non Forest LUC'!$D43,0),0)</f>
        <v>0</v>
      </c>
      <c r="BV20" s="429">
        <f>IF(LEFT('non Forest LUC'!$D21,6)=LEFT(Matrix!$BR$7,6),IF(LEFT('non Forest LUC'!$F21,6)=LEFT(Matrix!BV$7,6),'non Forest LUC'!$D43,0),0)</f>
        <v>0</v>
      </c>
      <c r="BW20" s="429">
        <f>IF(LEFT('non Forest LUC'!$D21,6)=LEFT(Matrix!$BR$7,6),IF(LEFT('non Forest LUC'!$F21,6)=LEFT(Matrix!BW$7,6),'non Forest LUC'!$D43,0),0)</f>
        <v>0</v>
      </c>
      <c r="BX20" s="429">
        <f>IF(LEFT('non Forest LUC'!$D21,6)=LEFT(Matrix!$BR$7,6),IF(LEFT('non Forest LUC'!$F21,6)=LEFT(Matrix!BX$7,6),'non Forest LUC'!$D43,0),0)</f>
        <v>0</v>
      </c>
      <c r="BY20" s="440"/>
      <c r="BZ20" s="429">
        <f>IF(LEFT('non Forest LUC'!$D21,6)=LEFT(Matrix!$BY$7,6),IF(LEFT('non Forest LUC'!$F21,6)=LEFT(Matrix!BZ$7,6),'non Forest LUC'!$D43,0),0)</f>
        <v>0</v>
      </c>
      <c r="CA20" s="429">
        <f>IF(LEFT('non Forest LUC'!$D21,6)=LEFT(Matrix!$BY$7,6),IF(LEFT('non Forest LUC'!$F21,6)=LEFT(Matrix!CA$7,6),'non Forest LUC'!$D43,0),0)</f>
        <v>0</v>
      </c>
      <c r="CB20" s="429">
        <f>IF(LEFT('non Forest LUC'!$D21,6)=LEFT(Matrix!$BY$7,6),IF(LEFT('non Forest LUC'!$F21,6)=LEFT(Matrix!CB$7,6),'non Forest LUC'!$D43,0),0)</f>
        <v>0</v>
      </c>
      <c r="CC20" s="429">
        <f>IF(LEFT('non Forest LUC'!$D21,6)=LEFT(Matrix!$BY$7,6),IF(LEFT('non Forest LUC'!$F21,6)=LEFT(Matrix!CC$7,6),'non Forest LUC'!$D43,0),0)</f>
        <v>0</v>
      </c>
      <c r="CD20" s="429">
        <f>IF(LEFT('non Forest LUC'!$D21,6)=LEFT(Matrix!$BY$7,6),IF(LEFT('non Forest LUC'!$F21,6)=LEFT(Matrix!CD$7,6),'non Forest LUC'!$D43,0),0)</f>
        <v>0</v>
      </c>
      <c r="CE20" s="429">
        <f>IF(LEFT('non Forest LUC'!$D21,6)=LEFT(Matrix!$BY$7,6),IF(LEFT('non Forest LUC'!$F21,6)=LEFT(Matrix!CE$7,6),'non Forest LUC'!$D43,0),0)</f>
        <v>0</v>
      </c>
      <c r="CF20" s="440"/>
      <c r="CG20" s="429">
        <f>IF(LEFT('non Forest LUC'!$D21,6)=LEFT(Matrix!$CF$7,6),IF(LEFT('non Forest LUC'!$F21,6)=LEFT(Matrix!CG$7,6),'non Forest LUC'!$D43,0),0)</f>
        <v>0</v>
      </c>
      <c r="CH20" s="429">
        <f>IF(LEFT('non Forest LUC'!$D21,6)=LEFT(Matrix!$CF$7,6),IF(LEFT('non Forest LUC'!$F21,6)=LEFT(Matrix!CH$7,6),'non Forest LUC'!$D43,0),0)</f>
        <v>0</v>
      </c>
      <c r="CI20" s="429">
        <f>IF(LEFT('non Forest LUC'!$D21,6)=LEFT(Matrix!$CF$7,6),IF(LEFT('non Forest LUC'!$F21,6)=LEFT(Matrix!CI$7,6),'non Forest LUC'!$D43,0),0)</f>
        <v>0</v>
      </c>
      <c r="CJ20" s="429">
        <f>IF(LEFT('non Forest LUC'!$D21,6)=LEFT(Matrix!$CF$7,6),IF(LEFT('non Forest LUC'!$F21,6)=LEFT(Matrix!CJ$7,6),'non Forest LUC'!$D43,0),0)</f>
        <v>0</v>
      </c>
      <c r="CK20" s="429">
        <f>IF(LEFT('non Forest LUC'!$D21,6)=LEFT(Matrix!$CF$7,6),IF(LEFT('non Forest LUC'!$F21,6)=LEFT(Matrix!CK$7,6),'non Forest LUC'!$D43,0),0)</f>
        <v>0</v>
      </c>
      <c r="CL20" s="429">
        <f>IF(LEFT('non Forest LUC'!$D21,6)=LEFT(Matrix!$CF$7,6),IF(LEFT('non Forest LUC'!$F21,6)=LEFT(Matrix!CL$7,6),'non Forest LUC'!$D43,0),0)</f>
        <v>0</v>
      </c>
    </row>
    <row r="21" spans="2:93" ht="7.5" customHeight="1">
      <c r="W21" s="234"/>
      <c r="X21" s="234"/>
      <c r="Y21" s="234"/>
      <c r="Z21" s="234"/>
      <c r="AA21" s="234"/>
      <c r="AB21" s="234"/>
      <c r="AC21" s="234"/>
      <c r="AD21" s="234"/>
      <c r="AE21" s="234"/>
      <c r="AP21" s="496"/>
      <c r="AQ21" s="429">
        <f>IF(LEFT('non Forest LUC'!$D22,6)=LEFT(Matrix!$AP$7,6),IF(LEFT('non Forest LUC'!$F22,6)=LEFT(Matrix!AQ$7,6),'non Forest LUC'!$D44,0),0)</f>
        <v>0</v>
      </c>
      <c r="AR21" s="429">
        <f>IF(LEFT('non Forest LUC'!$D22,6)=LEFT(Matrix!$AP$7,6),IF(LEFT('non Forest LUC'!$F22,6)=LEFT(Matrix!AR$7,6),'non Forest LUC'!$D44,0),0)</f>
        <v>0</v>
      </c>
      <c r="AS21" s="429">
        <f>IF(LEFT('non Forest LUC'!$D22,6)=LEFT(Matrix!$AP$7,6),IF(LEFT('non Forest LUC'!$F22,6)=LEFT(Matrix!AS$7,6),'non Forest LUC'!$D44,0),0)</f>
        <v>0</v>
      </c>
      <c r="AT21" s="429">
        <f>IF(LEFT('non Forest LUC'!$D22,6)=LEFT(Matrix!$AP$7,6),IF(LEFT('non Forest LUC'!$F22,6)=LEFT(Matrix!AT$7,6),'non Forest LUC'!$D44,0),0)</f>
        <v>0</v>
      </c>
      <c r="AU21" s="429">
        <f>IF(LEFT('non Forest LUC'!$D22,6)=LEFT(Matrix!$AP$7,6),IF(LEFT('non Forest LUC'!$F22,6)=LEFT(Matrix!AU$7,6),'non Forest LUC'!$D44,0),0)</f>
        <v>0</v>
      </c>
      <c r="AV21" s="429">
        <f>IF(LEFT('non Forest LUC'!$D22,6)=LEFT(Matrix!$AP$7,6),IF(LEFT('non Forest LUC'!$F22,6)=LEFT(Matrix!AV$7,6),'non Forest LUC'!$D44,0),0)</f>
        <v>0</v>
      </c>
      <c r="AW21" s="440"/>
      <c r="AX21" s="429">
        <f>IF(LEFT('non Forest LUC'!$D22,6)=LEFT(Matrix!$AW$7,6),IF(LEFT('non Forest LUC'!$F22,6)=LEFT(Matrix!AX$7,6),'non Forest LUC'!$D44,0),0)</f>
        <v>0</v>
      </c>
      <c r="AY21" s="429">
        <f>IF(LEFT('non Forest LUC'!$D22,6)=LEFT(Matrix!$AW$7,6),IF(LEFT('non Forest LUC'!$F22,6)=LEFT(Matrix!AY$7,6),'non Forest LUC'!$D44,0),0)</f>
        <v>0</v>
      </c>
      <c r="AZ21" s="429">
        <f>IF(LEFT('non Forest LUC'!$D22,6)=LEFT(Matrix!$AW$7,6),IF(LEFT('non Forest LUC'!$F22,6)=LEFT(Matrix!AZ$7,6),'non Forest LUC'!$D44,0),0)</f>
        <v>0</v>
      </c>
      <c r="BA21" s="429">
        <f>IF(LEFT('non Forest LUC'!$D22,6)=LEFT(Matrix!$AW$7,6),IF(LEFT('non Forest LUC'!$F22,6)=LEFT(Matrix!BA$7,6),'non Forest LUC'!$D44,0),0)</f>
        <v>0</v>
      </c>
      <c r="BB21" s="429">
        <f>IF(LEFT('non Forest LUC'!$D22,6)=LEFT(Matrix!$AW$7,6),IF(LEFT('non Forest LUC'!$F22,6)=LEFT(Matrix!BB$7,6),'non Forest LUC'!$D44,0),0)</f>
        <v>0</v>
      </c>
      <c r="BC21" s="429">
        <f>IF(LEFT('non Forest LUC'!$D22,6)=LEFT(Matrix!$AW$7,6),IF(LEFT('non Forest LUC'!$F22,6)=LEFT(Matrix!BC$7,6),'non Forest LUC'!$D44,0),0)</f>
        <v>0</v>
      </c>
      <c r="BD21" s="440"/>
      <c r="BE21" s="429">
        <f>IF(LEFT('non Forest LUC'!$D22,6)=LEFT(Matrix!$BD$7,6),IF(LEFT('non Forest LUC'!$F22,6)=LEFT(Matrix!BE$7,6),'non Forest LUC'!$D44,0),0)</f>
        <v>0</v>
      </c>
      <c r="BF21" s="429">
        <f>IF(LEFT('non Forest LUC'!$D22,6)=LEFT(Matrix!$BD$7,6),IF(LEFT('non Forest LUC'!$F22,6)=LEFT(Matrix!BF$7,6),'non Forest LUC'!$D44,0),0)</f>
        <v>0</v>
      </c>
      <c r="BG21" s="429">
        <f>IF(LEFT('non Forest LUC'!$D22,6)=LEFT(Matrix!$BD$7,6),IF(LEFT('non Forest LUC'!$F22,6)=LEFT(Matrix!BG$7,6),'non Forest LUC'!$D44,0),0)</f>
        <v>0</v>
      </c>
      <c r="BH21" s="429">
        <f>IF(LEFT('non Forest LUC'!$D22,6)=LEFT(Matrix!$BD$7,6),IF(LEFT('non Forest LUC'!$F22,6)=LEFT(Matrix!BH$7,6),'non Forest LUC'!$D44,0),0)</f>
        <v>0</v>
      </c>
      <c r="BI21" s="429">
        <f>IF(LEFT('non Forest LUC'!$D22,6)=LEFT(Matrix!$BD$7,6),IF(LEFT('non Forest LUC'!$F22,6)=LEFT(Matrix!BI$7,6),'non Forest LUC'!$D44,0),0)</f>
        <v>0</v>
      </c>
      <c r="BJ21" s="429">
        <f>IF(LEFT('non Forest LUC'!$D22,6)=LEFT(Matrix!$BD$7,6),IF(LEFT('non Forest LUC'!$F22,6)=LEFT(Matrix!BJ$7,6),'non Forest LUC'!$D44,0),0)</f>
        <v>0</v>
      </c>
      <c r="BK21" s="440"/>
      <c r="BL21" s="429">
        <f>IF(LEFT('non Forest LUC'!$D22,6)=LEFT(Matrix!$BK$7,6),IF(LEFT('non Forest LUC'!$F22,6)=LEFT(Matrix!BL$7,6),'non Forest LUC'!$D44,0),0)</f>
        <v>0</v>
      </c>
      <c r="BM21" s="429">
        <f>IF(LEFT('non Forest LUC'!$D22,6)=LEFT(Matrix!$BK$7,6),IF(LEFT('non Forest LUC'!$F22,6)=LEFT(Matrix!BM$7,6),'non Forest LUC'!$D44,0),0)</f>
        <v>0</v>
      </c>
      <c r="BN21" s="429">
        <f>IF(LEFT('non Forest LUC'!$D22,6)=LEFT(Matrix!$BK$7,6),IF(LEFT('non Forest LUC'!$F22,6)=LEFT(Matrix!BN$7,6),'non Forest LUC'!$D44,0),0)</f>
        <v>0</v>
      </c>
      <c r="BO21" s="429">
        <f>IF(LEFT('non Forest LUC'!$D22,6)=LEFT(Matrix!$BK$7,6),IF(LEFT('non Forest LUC'!$F22,6)=LEFT(Matrix!BO$7,6),'non Forest LUC'!$D44,0),0)</f>
        <v>0</v>
      </c>
      <c r="BP21" s="429">
        <f>IF(LEFT('non Forest LUC'!$D22,6)=LEFT(Matrix!$BK$7,6),IF(LEFT('non Forest LUC'!$F22,6)=LEFT(Matrix!BP$7,6),'non Forest LUC'!$D44,0),0)</f>
        <v>0</v>
      </c>
      <c r="BQ21" s="429">
        <f>IF(LEFT('non Forest LUC'!$D22,6)=LEFT(Matrix!$BK$7,6),IF(LEFT('non Forest LUC'!$F22,6)=LEFT(Matrix!BQ$7,6),'non Forest LUC'!$D44,0),0)</f>
        <v>0</v>
      </c>
      <c r="BR21" s="440"/>
      <c r="BS21" s="429">
        <f>IF(LEFT('non Forest LUC'!$D22,6)=LEFT(Matrix!$BR$7,6),IF(LEFT('non Forest LUC'!$F22,6)=LEFT(Matrix!BS$7,6),'non Forest LUC'!$D44,0),0)</f>
        <v>0</v>
      </c>
      <c r="BT21" s="429">
        <f>IF(LEFT('non Forest LUC'!$D22,6)=LEFT(Matrix!$BR$7,6),IF(LEFT('non Forest LUC'!$F22,6)=LEFT(Matrix!BT$7,6),'non Forest LUC'!$D44,0),0)</f>
        <v>0</v>
      </c>
      <c r="BU21" s="429">
        <f>IF(LEFT('non Forest LUC'!$D22,6)=LEFT(Matrix!$BR$7,6),IF(LEFT('non Forest LUC'!$F22,6)=LEFT(Matrix!BU$7,6),'non Forest LUC'!$D44,0),0)</f>
        <v>0</v>
      </c>
      <c r="BV21" s="429">
        <f>IF(LEFT('non Forest LUC'!$D22,6)=LEFT(Matrix!$BR$7,6),IF(LEFT('non Forest LUC'!$F22,6)=LEFT(Matrix!BV$7,6),'non Forest LUC'!$D44,0),0)</f>
        <v>0</v>
      </c>
      <c r="BW21" s="429">
        <f>IF(LEFT('non Forest LUC'!$D22,6)=LEFT(Matrix!$BR$7,6),IF(LEFT('non Forest LUC'!$F22,6)=LEFT(Matrix!BW$7,6),'non Forest LUC'!$D44,0),0)</f>
        <v>0</v>
      </c>
      <c r="BX21" s="429">
        <f>IF(LEFT('non Forest LUC'!$D22,6)=LEFT(Matrix!$BR$7,6),IF(LEFT('non Forest LUC'!$F22,6)=LEFT(Matrix!BX$7,6),'non Forest LUC'!$D44,0),0)</f>
        <v>0</v>
      </c>
      <c r="BY21" s="440"/>
      <c r="BZ21" s="429">
        <f>IF(LEFT('non Forest LUC'!$D22,6)=LEFT(Matrix!$BY$7,6),IF(LEFT('non Forest LUC'!$F22,6)=LEFT(Matrix!BZ$7,6),'non Forest LUC'!$D44,0),0)</f>
        <v>0</v>
      </c>
      <c r="CA21" s="429">
        <f>IF(LEFT('non Forest LUC'!$D22,6)=LEFT(Matrix!$BY$7,6),IF(LEFT('non Forest LUC'!$F22,6)=LEFT(Matrix!CA$7,6),'non Forest LUC'!$D44,0),0)</f>
        <v>0</v>
      </c>
      <c r="CB21" s="429">
        <f>IF(LEFT('non Forest LUC'!$D22,6)=LEFT(Matrix!$BY$7,6),IF(LEFT('non Forest LUC'!$F22,6)=LEFT(Matrix!CB$7,6),'non Forest LUC'!$D44,0),0)</f>
        <v>0</v>
      </c>
      <c r="CC21" s="429">
        <f>IF(LEFT('non Forest LUC'!$D22,6)=LEFT(Matrix!$BY$7,6),IF(LEFT('non Forest LUC'!$F22,6)=LEFT(Matrix!CC$7,6),'non Forest LUC'!$D44,0),0)</f>
        <v>0</v>
      </c>
      <c r="CD21" s="429">
        <f>IF(LEFT('non Forest LUC'!$D22,6)=LEFT(Matrix!$BY$7,6),IF(LEFT('non Forest LUC'!$F22,6)=LEFT(Matrix!CD$7,6),'non Forest LUC'!$D44,0),0)</f>
        <v>0</v>
      </c>
      <c r="CE21" s="429">
        <f>IF(LEFT('non Forest LUC'!$D22,6)=LEFT(Matrix!$BY$7,6),IF(LEFT('non Forest LUC'!$F22,6)=LEFT(Matrix!CE$7,6),'non Forest LUC'!$D44,0),0)</f>
        <v>0</v>
      </c>
      <c r="CF21" s="440"/>
      <c r="CG21" s="429">
        <f>IF(LEFT('non Forest LUC'!$D22,6)=LEFT(Matrix!$CF$7,6),IF(LEFT('non Forest LUC'!$F22,6)=LEFT(Matrix!CG$7,6),'non Forest LUC'!$D44,0),0)</f>
        <v>0</v>
      </c>
      <c r="CH21" s="429">
        <f>IF(LEFT('non Forest LUC'!$D22,6)=LEFT(Matrix!$CF$7,6),IF(LEFT('non Forest LUC'!$F22,6)=LEFT(Matrix!CH$7,6),'non Forest LUC'!$D44,0),0)</f>
        <v>0</v>
      </c>
      <c r="CI21" s="429">
        <f>IF(LEFT('non Forest LUC'!$D22,6)=LEFT(Matrix!$CF$7,6),IF(LEFT('non Forest LUC'!$F22,6)=LEFT(Matrix!CI$7,6),'non Forest LUC'!$D44,0),0)</f>
        <v>0</v>
      </c>
      <c r="CJ21" s="429">
        <f>IF(LEFT('non Forest LUC'!$D22,6)=LEFT(Matrix!$CF$7,6),IF(LEFT('non Forest LUC'!$F22,6)=LEFT(Matrix!CJ$7,6),'non Forest LUC'!$D44,0),0)</f>
        <v>0</v>
      </c>
      <c r="CK21" s="429">
        <f>IF(LEFT('non Forest LUC'!$D22,6)=LEFT(Matrix!$CF$7,6),IF(LEFT('non Forest LUC'!$F22,6)=LEFT(Matrix!CK$7,6),'non Forest LUC'!$D44,0),0)</f>
        <v>0</v>
      </c>
      <c r="CL21" s="429">
        <f>IF(LEFT('non Forest LUC'!$D22,6)=LEFT(Matrix!$CF$7,6),IF(LEFT('non Forest LUC'!$F22,6)=LEFT(Matrix!CL$7,6),'non Forest LUC'!$D44,0),0)</f>
        <v>0</v>
      </c>
    </row>
    <row r="22" spans="2:93" ht="7.5" customHeight="1" thickBot="1">
      <c r="W22" s="452"/>
      <c r="X22" s="452"/>
      <c r="Y22" s="452"/>
      <c r="Z22" s="452"/>
      <c r="AA22" s="452"/>
      <c r="AB22" s="452"/>
      <c r="AC22" s="452"/>
      <c r="AD22" s="452"/>
      <c r="AE22" s="452"/>
      <c r="AF22" s="452"/>
      <c r="AG22" s="452"/>
      <c r="AH22" s="452"/>
      <c r="AI22" s="452"/>
      <c r="AJ22" s="452"/>
      <c r="AK22" s="452"/>
      <c r="AL22" s="452"/>
      <c r="AM22" s="452"/>
      <c r="AN22" s="452"/>
      <c r="AO22" s="452"/>
      <c r="AP22" s="497" t="s">
        <v>1219</v>
      </c>
      <c r="AQ22" s="498">
        <f t="shared" ref="AQ22:AV22" si="4">SUM(AQ8:AQ21)</f>
        <v>0</v>
      </c>
      <c r="AR22" s="498">
        <f t="shared" si="4"/>
        <v>0</v>
      </c>
      <c r="AS22" s="498">
        <f t="shared" si="4"/>
        <v>0</v>
      </c>
      <c r="AT22" s="498">
        <f t="shared" si="4"/>
        <v>0</v>
      </c>
      <c r="AU22" s="498">
        <f t="shared" si="4"/>
        <v>0</v>
      </c>
      <c r="AV22" s="498">
        <f t="shared" si="4"/>
        <v>0</v>
      </c>
      <c r="AW22" s="499" t="s">
        <v>1219</v>
      </c>
      <c r="AX22" s="498">
        <f t="shared" ref="AX22:BC22" si="5">SUM(AX8:AX21)</f>
        <v>0</v>
      </c>
      <c r="AY22" s="498">
        <f t="shared" si="5"/>
        <v>0</v>
      </c>
      <c r="AZ22" s="498">
        <f t="shared" si="5"/>
        <v>0</v>
      </c>
      <c r="BA22" s="498">
        <f t="shared" si="5"/>
        <v>0</v>
      </c>
      <c r="BB22" s="498">
        <f t="shared" si="5"/>
        <v>0</v>
      </c>
      <c r="BC22" s="498">
        <f t="shared" si="5"/>
        <v>0</v>
      </c>
      <c r="BD22" s="499" t="s">
        <v>1219</v>
      </c>
      <c r="BE22" s="498">
        <f t="shared" ref="BE22:BJ22" si="6">SUM(BE8:BE21)</f>
        <v>0</v>
      </c>
      <c r="BF22" s="498">
        <f t="shared" si="6"/>
        <v>0</v>
      </c>
      <c r="BG22" s="498">
        <f t="shared" si="6"/>
        <v>0</v>
      </c>
      <c r="BH22" s="498">
        <f t="shared" si="6"/>
        <v>0</v>
      </c>
      <c r="BI22" s="498">
        <f t="shared" si="6"/>
        <v>0</v>
      </c>
      <c r="BJ22" s="498">
        <f t="shared" si="6"/>
        <v>0</v>
      </c>
      <c r="BK22" s="499" t="s">
        <v>1219</v>
      </c>
      <c r="BL22" s="498">
        <f t="shared" ref="BL22:BQ22" si="7">SUM(BL8:BL21)</f>
        <v>0</v>
      </c>
      <c r="BM22" s="498">
        <f t="shared" si="7"/>
        <v>0</v>
      </c>
      <c r="BN22" s="498">
        <f t="shared" si="7"/>
        <v>0</v>
      </c>
      <c r="BO22" s="498">
        <f t="shared" si="7"/>
        <v>0</v>
      </c>
      <c r="BP22" s="498">
        <f t="shared" si="7"/>
        <v>0</v>
      </c>
      <c r="BQ22" s="498">
        <f t="shared" si="7"/>
        <v>0</v>
      </c>
      <c r="BR22" s="499" t="s">
        <v>1219</v>
      </c>
      <c r="BS22" s="498">
        <f t="shared" ref="BS22:BX22" si="8">SUM(BS8:BS21)</f>
        <v>0</v>
      </c>
      <c r="BT22" s="498">
        <f t="shared" si="8"/>
        <v>0</v>
      </c>
      <c r="BU22" s="498">
        <f t="shared" si="8"/>
        <v>0</v>
      </c>
      <c r="BV22" s="498">
        <f t="shared" si="8"/>
        <v>0</v>
      </c>
      <c r="BW22" s="498">
        <f t="shared" si="8"/>
        <v>0</v>
      </c>
      <c r="BX22" s="498">
        <f t="shared" si="8"/>
        <v>0</v>
      </c>
      <c r="BY22" s="499" t="s">
        <v>1219</v>
      </c>
      <c r="BZ22" s="498">
        <f t="shared" ref="BZ22:CE22" si="9">SUM(BZ8:BZ21)</f>
        <v>0</v>
      </c>
      <c r="CA22" s="498">
        <f t="shared" si="9"/>
        <v>0</v>
      </c>
      <c r="CB22" s="498">
        <f t="shared" si="9"/>
        <v>0</v>
      </c>
      <c r="CC22" s="498">
        <f t="shared" si="9"/>
        <v>0</v>
      </c>
      <c r="CD22" s="498">
        <f t="shared" si="9"/>
        <v>0</v>
      </c>
      <c r="CE22" s="498">
        <f t="shared" si="9"/>
        <v>0</v>
      </c>
      <c r="CF22" s="499" t="s">
        <v>1219</v>
      </c>
      <c r="CG22" s="498">
        <f t="shared" ref="CG22:CL22" si="10">SUM(CG8:CG21)</f>
        <v>0</v>
      </c>
      <c r="CH22" s="498">
        <f t="shared" si="10"/>
        <v>0</v>
      </c>
      <c r="CI22" s="498">
        <f t="shared" si="10"/>
        <v>0</v>
      </c>
      <c r="CJ22" s="498">
        <f t="shared" si="10"/>
        <v>0</v>
      </c>
      <c r="CK22" s="498">
        <f t="shared" si="10"/>
        <v>0</v>
      </c>
      <c r="CL22" s="498">
        <f t="shared" si="10"/>
        <v>0</v>
      </c>
      <c r="CM22" s="452">
        <f>SUM(AQ22:CL22)</f>
        <v>0</v>
      </c>
      <c r="CN22" s="452"/>
      <c r="CO22" s="452"/>
    </row>
    <row r="23" spans="2:93" ht="7.5" customHeight="1" thickBot="1">
      <c r="N23" s="432"/>
      <c r="O23" s="432"/>
      <c r="P23" s="432"/>
      <c r="Q23" s="432"/>
      <c r="R23" s="432"/>
      <c r="S23" s="432"/>
      <c r="T23" s="432"/>
      <c r="U23" s="432"/>
      <c r="W23" s="434" t="s">
        <v>1090</v>
      </c>
      <c r="X23" s="435"/>
      <c r="Y23" s="435"/>
      <c r="Z23" s="435"/>
      <c r="AA23" s="435"/>
      <c r="AB23" s="435"/>
      <c r="AC23" s="435"/>
      <c r="AD23" s="435"/>
      <c r="AE23" s="435"/>
      <c r="AG23" s="436" t="s">
        <v>1094</v>
      </c>
      <c r="AH23" s="437"/>
      <c r="AI23" s="437"/>
      <c r="AJ23" s="437"/>
      <c r="AK23" s="437"/>
      <c r="AL23" s="437"/>
      <c r="AM23" s="437"/>
      <c r="AN23" s="437"/>
      <c r="AP23" s="429" t="s">
        <v>1220</v>
      </c>
      <c r="AQ23" s="429"/>
      <c r="AR23" s="429"/>
      <c r="AS23" s="429"/>
      <c r="AT23" s="429"/>
      <c r="AU23" s="429"/>
      <c r="AV23" s="429"/>
      <c r="AW23" s="429"/>
      <c r="AX23" s="429"/>
      <c r="AY23" s="429"/>
      <c r="AZ23" s="429"/>
      <c r="BA23" s="429"/>
      <c r="BB23" s="429"/>
      <c r="BC23" s="429"/>
      <c r="BD23" s="429"/>
      <c r="BE23" s="429"/>
      <c r="BF23" s="429"/>
      <c r="BG23" s="429"/>
      <c r="BH23" s="429"/>
      <c r="BI23" s="429"/>
      <c r="BJ23" s="429"/>
      <c r="BK23" s="429"/>
      <c r="BL23" s="429"/>
      <c r="BM23" s="429"/>
      <c r="BN23" s="429"/>
      <c r="BO23" s="429"/>
      <c r="BP23" s="429"/>
      <c r="BQ23" s="429"/>
      <c r="BR23" s="429"/>
      <c r="BS23" s="429"/>
      <c r="BT23" s="429"/>
      <c r="BU23" s="429"/>
      <c r="BV23" s="429"/>
      <c r="BW23" s="429"/>
      <c r="BX23" s="429"/>
      <c r="BY23" s="429"/>
      <c r="BZ23" s="429"/>
      <c r="CA23" s="429"/>
      <c r="CB23" s="429"/>
      <c r="CC23" s="429"/>
      <c r="CD23" s="429"/>
      <c r="CE23" s="429"/>
      <c r="CF23" s="429"/>
      <c r="CG23" s="429"/>
      <c r="CH23" s="429"/>
      <c r="CI23" s="429"/>
      <c r="CJ23" s="429"/>
      <c r="CK23" s="429"/>
      <c r="CL23" s="429"/>
    </row>
    <row r="24" spans="2:93" ht="15.75" customHeight="1" thickBot="1">
      <c r="B24" s="500" t="s">
        <v>266</v>
      </c>
      <c r="C24" s="501"/>
      <c r="D24" s="502"/>
      <c r="E24" s="3801" t="s">
        <v>1086</v>
      </c>
      <c r="F24" s="3802"/>
      <c r="G24" s="3802"/>
      <c r="H24" s="3802"/>
      <c r="I24" s="3802"/>
      <c r="J24" s="3802"/>
      <c r="K24" s="3803"/>
      <c r="L24" s="432"/>
      <c r="M24" s="433"/>
      <c r="N24" s="241"/>
      <c r="O24" s="241"/>
      <c r="P24" s="241"/>
      <c r="Q24" s="241"/>
      <c r="R24" s="241"/>
      <c r="S24" s="241"/>
      <c r="T24" s="241"/>
      <c r="U24" s="241"/>
      <c r="W24" s="435"/>
      <c r="X24" s="435" t="str">
        <f>X8</f>
        <v>Annual Crop</v>
      </c>
      <c r="Y24" s="435" t="str">
        <f t="shared" ref="Y24:AE24" si="11">Y8</f>
        <v>Perennial/Tree Crop</v>
      </c>
      <c r="Z24" s="435" t="str">
        <f t="shared" si="11"/>
        <v>Flooded Rice</v>
      </c>
      <c r="AA24" s="435" t="str">
        <f t="shared" si="11"/>
        <v>Grassland</v>
      </c>
      <c r="AB24" s="435" t="str">
        <f t="shared" si="11"/>
        <v>Set aside</v>
      </c>
      <c r="AC24" s="435" t="str">
        <f t="shared" si="11"/>
        <v>Degraded</v>
      </c>
      <c r="AD24" s="435" t="str">
        <f>AD8</f>
        <v>Other (nominal)</v>
      </c>
      <c r="AE24" s="435" t="str">
        <f t="shared" si="11"/>
        <v>Other (degraded)</v>
      </c>
      <c r="AG24" s="447" t="s">
        <v>661</v>
      </c>
      <c r="AH24" s="437" t="s">
        <v>985</v>
      </c>
      <c r="AI24" s="437" t="s">
        <v>987</v>
      </c>
      <c r="AJ24" s="437" t="s">
        <v>988</v>
      </c>
      <c r="AK24" s="437" t="s">
        <v>1608</v>
      </c>
      <c r="AL24" s="437" t="s">
        <v>659</v>
      </c>
      <c r="AM24" s="437" t="s">
        <v>329</v>
      </c>
      <c r="AN24" s="437" t="s">
        <v>982</v>
      </c>
      <c r="AP24" s="438" t="s">
        <v>661</v>
      </c>
      <c r="AQ24" s="439" t="str">
        <f t="shared" ref="AQ24:AX24" si="12">AQ7</f>
        <v>Perennial/Tree Crop</v>
      </c>
      <c r="AR24" s="439" t="str">
        <f t="shared" si="12"/>
        <v>Flooded Rice</v>
      </c>
      <c r="AS24" s="439" t="str">
        <f t="shared" si="12"/>
        <v>Set aside</v>
      </c>
      <c r="AT24" s="439" t="str">
        <f t="shared" si="12"/>
        <v>Grassland</v>
      </c>
      <c r="AU24" s="439" t="str">
        <f t="shared" si="12"/>
        <v>Degraded</v>
      </c>
      <c r="AV24" s="439" t="str">
        <f t="shared" si="12"/>
        <v xml:space="preserve">Other </v>
      </c>
      <c r="AW24" s="440" t="str">
        <f t="shared" si="12"/>
        <v>Perennial/Tree Crop</v>
      </c>
      <c r="AX24" s="439" t="str">
        <f t="shared" si="12"/>
        <v>Annual Crop</v>
      </c>
      <c r="AY24" s="439" t="str">
        <f t="shared" ref="AY24:BD24" si="13">AY7</f>
        <v>Flooded Rice</v>
      </c>
      <c r="AZ24" s="439" t="str">
        <f t="shared" si="13"/>
        <v>Set aside</v>
      </c>
      <c r="BA24" s="439" t="str">
        <f t="shared" si="13"/>
        <v>Grassland</v>
      </c>
      <c r="BB24" s="439" t="str">
        <f t="shared" si="13"/>
        <v>Degraded</v>
      </c>
      <c r="BC24" s="439" t="str">
        <f t="shared" si="13"/>
        <v xml:space="preserve">Other </v>
      </c>
      <c r="BD24" s="440" t="str">
        <f t="shared" si="13"/>
        <v>Flooded Rice</v>
      </c>
      <c r="BE24" s="439" t="str">
        <f t="shared" ref="BE24:BJ24" si="14">BE7</f>
        <v>Annual Crop</v>
      </c>
      <c r="BF24" s="439" t="str">
        <f t="shared" si="14"/>
        <v>Perennial/Tree Crop</v>
      </c>
      <c r="BG24" s="439" t="str">
        <f t="shared" si="14"/>
        <v>Set aside</v>
      </c>
      <c r="BH24" s="439" t="str">
        <f t="shared" si="14"/>
        <v>Grassland</v>
      </c>
      <c r="BI24" s="439" t="str">
        <f t="shared" si="14"/>
        <v>Degraded</v>
      </c>
      <c r="BJ24" s="439" t="str">
        <f t="shared" si="14"/>
        <v xml:space="preserve">Other </v>
      </c>
      <c r="BK24" s="440" t="str">
        <f t="shared" ref="BK24:CL24" si="15">BK7</f>
        <v>Set aside</v>
      </c>
      <c r="BL24" s="439" t="str">
        <f t="shared" si="15"/>
        <v>Annual Crop</v>
      </c>
      <c r="BM24" s="439" t="str">
        <f t="shared" si="15"/>
        <v>Perennial/Tree Crop</v>
      </c>
      <c r="BN24" s="439" t="str">
        <f t="shared" si="15"/>
        <v>Flooded Rice</v>
      </c>
      <c r="BO24" s="439" t="str">
        <f t="shared" si="15"/>
        <v>Grassland</v>
      </c>
      <c r="BP24" s="439" t="str">
        <f t="shared" si="15"/>
        <v>Degraded</v>
      </c>
      <c r="BQ24" s="439" t="str">
        <f t="shared" si="15"/>
        <v xml:space="preserve">Other </v>
      </c>
      <c r="BR24" s="440" t="str">
        <f t="shared" si="15"/>
        <v>Grassland</v>
      </c>
      <c r="BS24" s="439" t="str">
        <f t="shared" si="15"/>
        <v>Annual Crop</v>
      </c>
      <c r="BT24" s="439" t="str">
        <f t="shared" si="15"/>
        <v>Perennial/Tree Crop</v>
      </c>
      <c r="BU24" s="439" t="str">
        <f t="shared" si="15"/>
        <v>Flooded Rice</v>
      </c>
      <c r="BV24" s="439" t="str">
        <f t="shared" si="15"/>
        <v>Set aside</v>
      </c>
      <c r="BW24" s="439" t="str">
        <f t="shared" si="15"/>
        <v>Degraded</v>
      </c>
      <c r="BX24" s="439" t="str">
        <f t="shared" si="15"/>
        <v xml:space="preserve">Other </v>
      </c>
      <c r="BY24" s="440" t="str">
        <f t="shared" si="15"/>
        <v>Degraded</v>
      </c>
      <c r="BZ24" s="439" t="str">
        <f t="shared" si="15"/>
        <v>Annual Crop</v>
      </c>
      <c r="CA24" s="439" t="str">
        <f t="shared" si="15"/>
        <v>Perennial/Tree Crop</v>
      </c>
      <c r="CB24" s="439" t="str">
        <f t="shared" si="15"/>
        <v>Flooded Rice</v>
      </c>
      <c r="CC24" s="439" t="str">
        <f t="shared" si="15"/>
        <v>Set aside</v>
      </c>
      <c r="CD24" s="439" t="str">
        <f t="shared" si="15"/>
        <v>Grassland</v>
      </c>
      <c r="CE24" s="439" t="str">
        <f t="shared" si="15"/>
        <v xml:space="preserve">Other </v>
      </c>
      <c r="CF24" s="441" t="str">
        <f t="shared" si="15"/>
        <v xml:space="preserve">Other </v>
      </c>
      <c r="CG24" s="439" t="str">
        <f t="shared" si="15"/>
        <v>Annual Crop</v>
      </c>
      <c r="CH24" s="439" t="str">
        <f t="shared" si="15"/>
        <v>Perennial/Tree Crop</v>
      </c>
      <c r="CI24" s="439" t="str">
        <f t="shared" si="15"/>
        <v>Flooded Rice</v>
      </c>
      <c r="CJ24" s="439" t="str">
        <f t="shared" si="15"/>
        <v>Set aside</v>
      </c>
      <c r="CK24" s="439" t="str">
        <f t="shared" si="15"/>
        <v>Grassland</v>
      </c>
      <c r="CL24" s="439" t="str">
        <f t="shared" si="15"/>
        <v>Degraded</v>
      </c>
    </row>
    <row r="25" spans="2:93" ht="15.75" customHeight="1">
      <c r="B25" s="503"/>
      <c r="C25" s="504" t="s">
        <v>672</v>
      </c>
      <c r="D25" s="505"/>
      <c r="E25" s="445" t="s">
        <v>1100</v>
      </c>
      <c r="F25" s="3800" t="s">
        <v>1087</v>
      </c>
      <c r="G25" s="3800"/>
      <c r="H25" s="3800"/>
      <c r="I25" s="446" t="s">
        <v>329</v>
      </c>
      <c r="J25" s="3800" t="s">
        <v>1088</v>
      </c>
      <c r="K25" s="3804"/>
      <c r="L25" s="241"/>
      <c r="M25" s="433"/>
      <c r="O25" s="240"/>
      <c r="P25" s="240"/>
      <c r="Q25" s="240"/>
      <c r="R25" s="240"/>
      <c r="S25" s="240"/>
      <c r="T25" s="240"/>
      <c r="U25" s="240"/>
      <c r="W25" s="435"/>
      <c r="X25" s="455">
        <f>IF(Deforestation!$I28=X$24,1,0)*Deforestation!$I43</f>
        <v>0</v>
      </c>
      <c r="Y25" s="455">
        <f>IF(Deforestation!$I28=Y$24,1,0)*Deforestation!$I43</f>
        <v>0</v>
      </c>
      <c r="Z25" s="455">
        <f>IF(Deforestation!$I28=Z$24,1,0)*Deforestation!$I43</f>
        <v>0</v>
      </c>
      <c r="AA25" s="455">
        <f>IF(Deforestation!$I28=AA$24,1,0)*Deforestation!$I43</f>
        <v>0</v>
      </c>
      <c r="AB25" s="455">
        <f>IF(Deforestation!$I28=AB$24,1,0)*Deforestation!$I43</f>
        <v>0</v>
      </c>
      <c r="AC25" s="455">
        <f>IF(Deforestation!$I28=AC$24,1,0)*Deforestation!$I43</f>
        <v>0</v>
      </c>
      <c r="AD25" s="455">
        <f>IF(Deforestation!$I28=AD$24,1,0)*Deforestation!$I43</f>
        <v>0</v>
      </c>
      <c r="AE25" s="455">
        <f>IF(Deforestation!$I28=AE$24,1,0)*Deforestation!$I43</f>
        <v>0</v>
      </c>
      <c r="AG25" s="437">
        <f>IF(AG$8='A-R'!$E28,'A-R'!$G43,0)</f>
        <v>0</v>
      </c>
      <c r="AH25" s="437">
        <f>IF(AH$8='A-R'!$E28,'A-R'!$G43,0)</f>
        <v>0</v>
      </c>
      <c r="AI25" s="437">
        <f>IF(AI$8='A-R'!$E28,'A-R'!$G43,0)</f>
        <v>0</v>
      </c>
      <c r="AJ25" s="437">
        <f>IF(AJ$8='A-R'!$E28,'A-R'!$G43,0)</f>
        <v>0</v>
      </c>
      <c r="AK25" s="437">
        <f>IF(AK$8='A-R'!$E28,'A-R'!$G43,0)</f>
        <v>0</v>
      </c>
      <c r="AL25" s="437">
        <f>IF(AL$8='A-R'!$E28,'A-R'!$G43,0)</f>
        <v>0</v>
      </c>
      <c r="AM25" s="437">
        <f>IF(AM$8='A-R'!$E28,'A-R'!$G43,0)</f>
        <v>0</v>
      </c>
      <c r="AN25" s="437">
        <f>IF(AN$8='A-R'!$E28,'A-R'!$G43,0)</f>
        <v>0</v>
      </c>
      <c r="AP25" s="440"/>
      <c r="AQ25" s="429">
        <f>IF(LEFT('non Forest LUC'!$D9,6)=LEFT(Matrix!$AP$24,6),IF(LEFT('non Forest LUC'!$F9,6)=LEFT(Matrix!AQ$24,6),'non Forest LUC'!$F31,0),0)</f>
        <v>0</v>
      </c>
      <c r="AR25" s="429">
        <f>IF(LEFT('non Forest LUC'!$D9,6)=LEFT(Matrix!$AP$24,6),IF(LEFT('non Forest LUC'!$F9,6)=LEFT(Matrix!AR$24,6),'non Forest LUC'!$F31,0),0)</f>
        <v>0</v>
      </c>
      <c r="AS25" s="429">
        <f>IF(LEFT('non Forest LUC'!$D9,6)=LEFT(Matrix!$AP$24,6),IF(LEFT('non Forest LUC'!$F9,6)=LEFT(Matrix!AS$24,6),'non Forest LUC'!$F31,0),0)</f>
        <v>0</v>
      </c>
      <c r="AT25" s="429">
        <f>IF(LEFT('non Forest LUC'!$D9,6)=LEFT(Matrix!$AP$24,6),IF(LEFT('non Forest LUC'!$F9,6)=LEFT(Matrix!AT$24,6),'non Forest LUC'!$F31,0),0)</f>
        <v>0</v>
      </c>
      <c r="AU25" s="429">
        <f>IF(LEFT('non Forest LUC'!$D9,6)=LEFT(Matrix!$AP$24,6),IF(LEFT('non Forest LUC'!$F9,6)=LEFT(Matrix!AU$24,6),'non Forest LUC'!$F31,0),0)</f>
        <v>0</v>
      </c>
      <c r="AV25" s="429">
        <f>IF(LEFT('non Forest LUC'!$D9,6)=LEFT(Matrix!$AP$24,6),IF(LEFT('non Forest LUC'!$F9,6)=LEFT(Matrix!AV$24,6),'non Forest LUC'!$F31,0),0)</f>
        <v>0</v>
      </c>
      <c r="AW25" s="440"/>
      <c r="AX25" s="429">
        <f>IF(LEFT('non Forest LUC'!$D9,6)=LEFT(Matrix!$AW$24,6),IF(LEFT('non Forest LUC'!$F9,6)=LEFT(Matrix!AX$24,6),'non Forest LUC'!$F31,0),0)</f>
        <v>0</v>
      </c>
      <c r="AY25" s="429">
        <f>IF(LEFT('non Forest LUC'!$D9,6)=LEFT(Matrix!$AW$24,6),IF(LEFT('non Forest LUC'!$F9,6)=LEFT(Matrix!AY$24,6),'non Forest LUC'!$F31,0),0)</f>
        <v>0</v>
      </c>
      <c r="AZ25" s="429">
        <f>IF(LEFT('non Forest LUC'!$D9,6)=LEFT(Matrix!$AW$24,6),IF(LEFT('non Forest LUC'!$F9,6)=LEFT(Matrix!AZ$24,6),'non Forest LUC'!$F31,0),0)</f>
        <v>0</v>
      </c>
      <c r="BA25" s="429">
        <f>IF(LEFT('non Forest LUC'!$D9,6)=LEFT(Matrix!$AW$24,6),IF(LEFT('non Forest LUC'!$F9,6)=LEFT(Matrix!BA$24,6),'non Forest LUC'!$F31,0),0)</f>
        <v>0</v>
      </c>
      <c r="BB25" s="429">
        <f>IF(LEFT('non Forest LUC'!$D9,6)=LEFT(Matrix!$AW$24,6),IF(LEFT('non Forest LUC'!$F9,6)=LEFT(Matrix!BB$24,6),'non Forest LUC'!$F31,0),0)</f>
        <v>0</v>
      </c>
      <c r="BC25" s="429">
        <f>IF(LEFT('non Forest LUC'!$D9,6)=LEFT(Matrix!$AW$24,6),IF(LEFT('non Forest LUC'!$F9,6)=LEFT(Matrix!BC$24,6),'non Forest LUC'!$F31,0),0)</f>
        <v>0</v>
      </c>
      <c r="BD25" s="440"/>
      <c r="BE25" s="429">
        <f>IF(LEFT('non Forest LUC'!$D9,6)=LEFT(Matrix!$BD$24,6),IF(LEFT('non Forest LUC'!$F9,6)=LEFT(Matrix!BE$24,6),'non Forest LUC'!$F31,0),0)</f>
        <v>0</v>
      </c>
      <c r="BF25" s="429">
        <f>IF(LEFT('non Forest LUC'!$D9,6)=LEFT(Matrix!$BD$24,6),IF(LEFT('non Forest LUC'!$F9,6)=LEFT(Matrix!BF$24,6),'non Forest LUC'!$F31,0),0)</f>
        <v>0</v>
      </c>
      <c r="BG25" s="429">
        <f>IF(LEFT('non Forest LUC'!$D9,6)=LEFT(Matrix!$BD$24,6),IF(LEFT('non Forest LUC'!$F9,6)=LEFT(Matrix!BG$24,6),'non Forest LUC'!$F31,0),0)</f>
        <v>0</v>
      </c>
      <c r="BH25" s="429">
        <f>IF(LEFT('non Forest LUC'!$D9,6)=LEFT(Matrix!$BD$24,6),IF(LEFT('non Forest LUC'!$F9,6)=LEFT(Matrix!BH$24,6),'non Forest LUC'!$F31,0),0)</f>
        <v>0</v>
      </c>
      <c r="BI25" s="429">
        <f>IF(LEFT('non Forest LUC'!$D9,6)=LEFT(Matrix!$BD$24,6),IF(LEFT('non Forest LUC'!$F9,6)=LEFT(Matrix!BI$24,6),'non Forest LUC'!$F31,0),0)</f>
        <v>0</v>
      </c>
      <c r="BJ25" s="429">
        <f>IF(LEFT('non Forest LUC'!$D9,6)=LEFT(Matrix!$BD$24,6),IF(LEFT('non Forest LUC'!$F9,6)=LEFT(Matrix!BJ$24,6),'non Forest LUC'!$F31,0),0)</f>
        <v>0</v>
      </c>
      <c r="BK25" s="440"/>
      <c r="BL25" s="429">
        <f>IF(LEFT('non Forest LUC'!$D9,6)=LEFT(Matrix!$BK$24,6),IF(LEFT('non Forest LUC'!$F9,6)=LEFT(Matrix!BL$24,6),'non Forest LUC'!$F31,0),0)</f>
        <v>0</v>
      </c>
      <c r="BM25" s="429">
        <f>IF(LEFT('non Forest LUC'!$D9,6)=LEFT(Matrix!$BK$24,6),IF(LEFT('non Forest LUC'!$F9,6)=LEFT(Matrix!BM$24,6),'non Forest LUC'!$F31,0),0)</f>
        <v>0</v>
      </c>
      <c r="BN25" s="429">
        <f>IF(LEFT('non Forest LUC'!$D9,6)=LEFT(Matrix!$BK$24,6),IF(LEFT('non Forest LUC'!$F9,6)=LEFT(Matrix!BN$24,6),'non Forest LUC'!$F31,0),0)</f>
        <v>0</v>
      </c>
      <c r="BO25" s="429">
        <f>IF(LEFT('non Forest LUC'!$D9,6)=LEFT(Matrix!$BK$24,6),IF(LEFT('non Forest LUC'!$F9,6)=LEFT(Matrix!BO$24,6),'non Forest LUC'!$F31,0),0)</f>
        <v>0</v>
      </c>
      <c r="BP25" s="429">
        <f>IF(LEFT('non Forest LUC'!$D9,6)=LEFT(Matrix!$BK$24,6),IF(LEFT('non Forest LUC'!$F9,6)=LEFT(Matrix!BP$24,6),'non Forest LUC'!$F31,0),0)</f>
        <v>0</v>
      </c>
      <c r="BQ25" s="429">
        <f>IF(LEFT('non Forest LUC'!$D9,6)=LEFT(Matrix!$BK$24,6),IF(LEFT('non Forest LUC'!$F9,6)=LEFT(Matrix!BQ$24,6),'non Forest LUC'!$F31,0),0)</f>
        <v>0</v>
      </c>
      <c r="BR25" s="440"/>
      <c r="BS25" s="429">
        <f>IF(LEFT('non Forest LUC'!$D9,6)=LEFT(Matrix!$BR$24,6),IF(LEFT('non Forest LUC'!$F9,6)=LEFT(Matrix!BS$24,6),'non Forest LUC'!$F31,0),0)</f>
        <v>0</v>
      </c>
      <c r="BT25" s="429">
        <f>IF(LEFT('non Forest LUC'!$D9,6)=LEFT(Matrix!$BR$24,6),IF(LEFT('non Forest LUC'!$F9,6)=LEFT(Matrix!BT$24,6),'non Forest LUC'!$F31,0),0)</f>
        <v>0</v>
      </c>
      <c r="BU25" s="429">
        <f>IF(LEFT('non Forest LUC'!$D9,6)=LEFT(Matrix!$BR$24,6),IF(LEFT('non Forest LUC'!$F9,6)=LEFT(Matrix!BU$24,6),'non Forest LUC'!$F31,0),0)</f>
        <v>0</v>
      </c>
      <c r="BV25" s="429">
        <f>IF(LEFT('non Forest LUC'!$D9,6)=LEFT(Matrix!$BR$24,6),IF(LEFT('non Forest LUC'!$F9,6)=LEFT(Matrix!BV$24,6),'non Forest LUC'!$F31,0),0)</f>
        <v>0</v>
      </c>
      <c r="BW25" s="429">
        <f>IF(LEFT('non Forest LUC'!$D9,6)=LEFT(Matrix!$BR$24,6),IF(LEFT('non Forest LUC'!$F9,6)=LEFT(Matrix!BW$24,6),'non Forest LUC'!$F31,0),0)</f>
        <v>0</v>
      </c>
      <c r="BX25" s="429">
        <f>IF(LEFT('non Forest LUC'!$D9,6)=LEFT(Matrix!$BR$24,6),IF(LEFT('non Forest LUC'!$F9,6)=LEFT(Matrix!BX$24,6),'non Forest LUC'!$F31,0),0)</f>
        <v>0</v>
      </c>
      <c r="BY25" s="440"/>
      <c r="BZ25" s="429">
        <f>IF(LEFT('non Forest LUC'!$D9,6)=LEFT(Matrix!$BY$24,6),IF(LEFT('non Forest LUC'!$F9,6)=LEFT(Matrix!BZ$24,6),'non Forest LUC'!$F31,0),0)</f>
        <v>0</v>
      </c>
      <c r="CA25" s="429">
        <f>IF(LEFT('non Forest LUC'!$D9,6)=LEFT(Matrix!$BY$24,6),IF(LEFT('non Forest LUC'!$F9,6)=LEFT(Matrix!CA$24,6),'non Forest LUC'!$F31,0),0)</f>
        <v>0</v>
      </c>
      <c r="CB25" s="429">
        <f>IF(LEFT('non Forest LUC'!$D9,6)=LEFT(Matrix!$BY$24,6),IF(LEFT('non Forest LUC'!$F9,6)=LEFT(Matrix!CB$24,6),'non Forest LUC'!$F31,0),0)</f>
        <v>0</v>
      </c>
      <c r="CC25" s="429">
        <f>IF(LEFT('non Forest LUC'!$D9,6)=LEFT(Matrix!$BY$24,6),IF(LEFT('non Forest LUC'!$F9,6)=LEFT(Matrix!CC$24,6),'non Forest LUC'!$F31,0),0)</f>
        <v>0</v>
      </c>
      <c r="CD25" s="429">
        <f>IF(LEFT('non Forest LUC'!$D9,6)=LEFT(Matrix!$BY$24,6),IF(LEFT('non Forest LUC'!$F9,6)=LEFT(Matrix!CD$24,6),'non Forest LUC'!$F31,0),0)</f>
        <v>0</v>
      </c>
      <c r="CE25" s="429">
        <f>IF(LEFT('non Forest LUC'!$D9,6)=LEFT(Matrix!$BY$24,6),IF(LEFT('non Forest LUC'!$F9,6)=LEFT(Matrix!CE$24,6),'non Forest LUC'!$F31,0),0)</f>
        <v>0</v>
      </c>
      <c r="CF25" s="440"/>
      <c r="CG25" s="429">
        <f>IF(LEFT('non Forest LUC'!$D9,6)=LEFT(Matrix!$CF$24,6),IF(LEFT('non Forest LUC'!$F9,6)=LEFT(Matrix!CG$24,6),'non Forest LUC'!$F31,0),0)</f>
        <v>0</v>
      </c>
      <c r="CH25" s="429">
        <f>IF(LEFT('non Forest LUC'!$D9,6)=LEFT(Matrix!$CF$24,6),IF(LEFT('non Forest LUC'!$F9,6)=LEFT(Matrix!CH$24,6),'non Forest LUC'!$F31,0),0)</f>
        <v>0</v>
      </c>
      <c r="CI25" s="429">
        <f>IF(LEFT('non Forest LUC'!$D9,6)=LEFT(Matrix!$CF$24,6),IF(LEFT('non Forest LUC'!$F9,6)=LEFT(Matrix!CI$24,6),'non Forest LUC'!$F31,0),0)</f>
        <v>0</v>
      </c>
      <c r="CJ25" s="429">
        <f>IF(LEFT('non Forest LUC'!$D9,6)=LEFT(Matrix!$CF$24,6),IF(LEFT('non Forest LUC'!$F9,6)=LEFT(Matrix!CJ$24,6),'non Forest LUC'!$F31,0),0)</f>
        <v>0</v>
      </c>
      <c r="CK25" s="429">
        <f>IF(LEFT('non Forest LUC'!$D9,6)=LEFT(Matrix!$CF$24,6),IF(LEFT('non Forest LUC'!$F9,6)=LEFT(Matrix!CK$24,6),'non Forest LUC'!$F31,0),0)</f>
        <v>0</v>
      </c>
      <c r="CL25" s="429">
        <f>IF(LEFT('non Forest LUC'!$D9,6)=LEFT(Matrix!$CF$24,6),IF(LEFT('non Forest LUC'!$F9,6)=LEFT(Matrix!CL$24,6),'non Forest LUC'!$F31,0),0)</f>
        <v>0</v>
      </c>
    </row>
    <row r="26" spans="2:93" ht="13.5" thickBot="1">
      <c r="B26" s="506"/>
      <c r="C26" s="507"/>
      <c r="D26" s="508"/>
      <c r="E26" s="450" t="s">
        <v>387</v>
      </c>
      <c r="F26" s="451" t="s">
        <v>1091</v>
      </c>
      <c r="G26" s="451" t="s">
        <v>1092</v>
      </c>
      <c r="H26" s="451" t="s">
        <v>1093</v>
      </c>
      <c r="I26" s="452"/>
      <c r="J26" s="452" t="s">
        <v>1187</v>
      </c>
      <c r="K26" s="453" t="s">
        <v>388</v>
      </c>
      <c r="L26" s="240"/>
      <c r="M26" s="454" t="s">
        <v>1098</v>
      </c>
      <c r="O26" s="464"/>
      <c r="P26" s="464"/>
      <c r="Q26" s="464"/>
      <c r="R26" s="464"/>
      <c r="S26" s="464"/>
      <c r="T26" s="464"/>
      <c r="U26" s="464"/>
      <c r="W26" s="435"/>
      <c r="X26" s="455">
        <f>IF(Deforestation!$I29=X$24,1,0)*Deforestation!$I44</f>
        <v>0</v>
      </c>
      <c r="Y26" s="455">
        <f>IF(Deforestation!$I29=Y$24,1,0)*Deforestation!$I44</f>
        <v>0</v>
      </c>
      <c r="Z26" s="455">
        <f>IF(Deforestation!$I29=Z$24,1,0)*Deforestation!$I44</f>
        <v>0</v>
      </c>
      <c r="AA26" s="455">
        <f>IF(Deforestation!$I29=AA$24,1,0)*Deforestation!$I44</f>
        <v>0</v>
      </c>
      <c r="AB26" s="455">
        <f>IF(Deforestation!$I29=AB$24,1,0)*Deforestation!$I44</f>
        <v>0</v>
      </c>
      <c r="AC26" s="455">
        <f>IF(Deforestation!$I29=AC$24,1,0)*Deforestation!$I44</f>
        <v>0</v>
      </c>
      <c r="AD26" s="455">
        <f>IF(Deforestation!$I29=AD$24,1,0)*Deforestation!$I44</f>
        <v>0</v>
      </c>
      <c r="AE26" s="455">
        <f>IF(Deforestation!$I29=AE$24,1,0)*Deforestation!$I44</f>
        <v>0</v>
      </c>
      <c r="AG26" s="437">
        <f>IF(AG$8='A-R'!$E29,'A-R'!$G44,0)</f>
        <v>0</v>
      </c>
      <c r="AH26" s="437">
        <f>IF(AH$8='A-R'!$E29,'A-R'!$G44,0)</f>
        <v>0</v>
      </c>
      <c r="AI26" s="437">
        <f>IF(AI$8='A-R'!$E29,'A-R'!$G44,0)</f>
        <v>0</v>
      </c>
      <c r="AJ26" s="437">
        <f>IF(AJ$8='A-R'!$E29,'A-R'!$G44,0)</f>
        <v>0</v>
      </c>
      <c r="AK26" s="437">
        <f>IF(AK$8='A-R'!$E29,'A-R'!$G44,0)</f>
        <v>0</v>
      </c>
      <c r="AL26" s="437">
        <f>IF(AL$8='A-R'!$E29,'A-R'!$G44,0)</f>
        <v>0</v>
      </c>
      <c r="AM26" s="437">
        <f>IF(AM$8='A-R'!$E29,'A-R'!$G44,0)</f>
        <v>0</v>
      </c>
      <c r="AN26" s="437">
        <f>IF(AN$8='A-R'!$E29,'A-R'!$G44,0)</f>
        <v>0</v>
      </c>
      <c r="AP26" s="440"/>
      <c r="AQ26" s="429">
        <f>IF(LEFT('non Forest LUC'!$D10,6)=LEFT(Matrix!$AP$24,6),IF(LEFT('non Forest LUC'!$F10,6)=LEFT(Matrix!AQ$24,6),'non Forest LUC'!$F32,0),0)</f>
        <v>0</v>
      </c>
      <c r="AR26" s="429">
        <f>IF(LEFT('non Forest LUC'!$D10,6)=LEFT(Matrix!$AP$24,6),IF(LEFT('non Forest LUC'!$F10,6)=LEFT(Matrix!AR$24,6),'non Forest LUC'!$F32,0),0)</f>
        <v>0</v>
      </c>
      <c r="AS26" s="429">
        <f>IF(LEFT('non Forest LUC'!$D10,6)=LEFT(Matrix!$AP$24,6),IF(LEFT('non Forest LUC'!$F10,6)=LEFT(Matrix!AS$24,6),'non Forest LUC'!$F32,0),0)</f>
        <v>0</v>
      </c>
      <c r="AT26" s="429">
        <f>IF(LEFT('non Forest LUC'!$D10,6)=LEFT(Matrix!$AP$24,6),IF(LEFT('non Forest LUC'!$F10,6)=LEFT(Matrix!AT$24,6),'non Forest LUC'!$F32,0),0)</f>
        <v>0</v>
      </c>
      <c r="AU26" s="429">
        <f>IF(LEFT('non Forest LUC'!$D10,6)=LEFT(Matrix!$AP$24,6),IF(LEFT('non Forest LUC'!$F10,6)=LEFT(Matrix!AU$24,6),'non Forest LUC'!$F32,0),0)</f>
        <v>0</v>
      </c>
      <c r="AV26" s="429">
        <f>IF(LEFT('non Forest LUC'!$D10,6)=LEFT(Matrix!$AP$24,6),IF(LEFT('non Forest LUC'!$F10,6)=LEFT(Matrix!AV$24,6),'non Forest LUC'!$F32,0),0)</f>
        <v>0</v>
      </c>
      <c r="AW26" s="440"/>
      <c r="AX26" s="429">
        <f>IF(LEFT('non Forest LUC'!$D10,6)=LEFT(Matrix!$AW$24,6),IF(LEFT('non Forest LUC'!$F10,6)=LEFT(Matrix!AX$24,6),'non Forest LUC'!$F32,0),0)</f>
        <v>0</v>
      </c>
      <c r="AY26" s="429">
        <f>IF(LEFT('non Forest LUC'!$D10,6)=LEFT(Matrix!$AW$24,6),IF(LEFT('non Forest LUC'!$F10,6)=LEFT(Matrix!AY$24,6),'non Forest LUC'!$F32,0),0)</f>
        <v>0</v>
      </c>
      <c r="AZ26" s="429">
        <f>IF(LEFT('non Forest LUC'!$D10,6)=LEFT(Matrix!$AW$24,6),IF(LEFT('non Forest LUC'!$F10,6)=LEFT(Matrix!AZ$24,6),'non Forest LUC'!$F32,0),0)</f>
        <v>0</v>
      </c>
      <c r="BA26" s="429">
        <f>IF(LEFT('non Forest LUC'!$D10,6)=LEFT(Matrix!$AW$24,6),IF(LEFT('non Forest LUC'!$F10,6)=LEFT(Matrix!BA$24,6),'non Forest LUC'!$F32,0),0)</f>
        <v>0</v>
      </c>
      <c r="BB26" s="429">
        <f>IF(LEFT('non Forest LUC'!$D10,6)=LEFT(Matrix!$AW$24,6),IF(LEFT('non Forest LUC'!$F10,6)=LEFT(Matrix!BB$24,6),'non Forest LUC'!$F32,0),0)</f>
        <v>0</v>
      </c>
      <c r="BC26" s="429">
        <f>IF(LEFT('non Forest LUC'!$D10,6)=LEFT(Matrix!$AW$24,6),IF(LEFT('non Forest LUC'!$F10,6)=LEFT(Matrix!BC$24,6),'non Forest LUC'!$F32,0),0)</f>
        <v>0</v>
      </c>
      <c r="BD26" s="440"/>
      <c r="BE26" s="429">
        <f>IF(LEFT('non Forest LUC'!$D10,6)=LEFT(Matrix!$BD$24,6),IF(LEFT('non Forest LUC'!$F10,6)=LEFT(Matrix!BE$24,6),'non Forest LUC'!$F32,0),0)</f>
        <v>0</v>
      </c>
      <c r="BF26" s="429">
        <f>IF(LEFT('non Forest LUC'!$D10,6)=LEFT(Matrix!$BD$24,6),IF(LEFT('non Forest LUC'!$F10,6)=LEFT(Matrix!BF$24,6),'non Forest LUC'!$F32,0),0)</f>
        <v>0</v>
      </c>
      <c r="BG26" s="429">
        <f>IF(LEFT('non Forest LUC'!$D10,6)=LEFT(Matrix!$BD$24,6),IF(LEFT('non Forest LUC'!$F10,6)=LEFT(Matrix!BG$24,6),'non Forest LUC'!$F32,0),0)</f>
        <v>0</v>
      </c>
      <c r="BH26" s="429">
        <f>IF(LEFT('non Forest LUC'!$D10,6)=LEFT(Matrix!$BD$24,6),IF(LEFT('non Forest LUC'!$F10,6)=LEFT(Matrix!BH$24,6),'non Forest LUC'!$F32,0),0)</f>
        <v>0</v>
      </c>
      <c r="BI26" s="429">
        <f>IF(LEFT('non Forest LUC'!$D10,6)=LEFT(Matrix!$BD$24,6),IF(LEFT('non Forest LUC'!$F10,6)=LEFT(Matrix!BI$24,6),'non Forest LUC'!$F32,0),0)</f>
        <v>0</v>
      </c>
      <c r="BJ26" s="429">
        <f>IF(LEFT('non Forest LUC'!$D10,6)=LEFT(Matrix!$BD$24,6),IF(LEFT('non Forest LUC'!$F10,6)=LEFT(Matrix!BJ$24,6),'non Forest LUC'!$F32,0),0)</f>
        <v>0</v>
      </c>
      <c r="BK26" s="440"/>
      <c r="BL26" s="429">
        <f>IF(LEFT('non Forest LUC'!$D10,6)=LEFT(Matrix!$BK$24,6),IF(LEFT('non Forest LUC'!$F10,6)=LEFT(Matrix!BL$24,6),'non Forest LUC'!$F32,0),0)</f>
        <v>0</v>
      </c>
      <c r="BM26" s="429">
        <f>IF(LEFT('non Forest LUC'!$D10,6)=LEFT(Matrix!$BK$24,6),IF(LEFT('non Forest LUC'!$F10,6)=LEFT(Matrix!BM$24,6),'non Forest LUC'!$F32,0),0)</f>
        <v>0</v>
      </c>
      <c r="BN26" s="429">
        <f>IF(LEFT('non Forest LUC'!$D10,6)=LEFT(Matrix!$BK$24,6),IF(LEFT('non Forest LUC'!$F10,6)=LEFT(Matrix!BN$24,6),'non Forest LUC'!$F32,0),0)</f>
        <v>0</v>
      </c>
      <c r="BO26" s="429">
        <f>IF(LEFT('non Forest LUC'!$D10,6)=LEFT(Matrix!$BK$24,6),IF(LEFT('non Forest LUC'!$F10,6)=LEFT(Matrix!BO$24,6),'non Forest LUC'!$F32,0),0)</f>
        <v>0</v>
      </c>
      <c r="BP26" s="429">
        <f>IF(LEFT('non Forest LUC'!$D10,6)=LEFT(Matrix!$BK$24,6),IF(LEFT('non Forest LUC'!$F10,6)=LEFT(Matrix!BP$24,6),'non Forest LUC'!$F32,0),0)</f>
        <v>0</v>
      </c>
      <c r="BQ26" s="429">
        <f>IF(LEFT('non Forest LUC'!$D10,6)=LEFT(Matrix!$BK$24,6),IF(LEFT('non Forest LUC'!$F10,6)=LEFT(Matrix!BQ$24,6),'non Forest LUC'!$F32,0),0)</f>
        <v>0</v>
      </c>
      <c r="BR26" s="440"/>
      <c r="BS26" s="429">
        <f>IF(LEFT('non Forest LUC'!$D10,6)=LEFT(Matrix!$BR$24,6),IF(LEFT('non Forest LUC'!$F10,6)=LEFT(Matrix!BS$24,6),'non Forest LUC'!$F32,0),0)</f>
        <v>0</v>
      </c>
      <c r="BT26" s="429">
        <f>IF(LEFT('non Forest LUC'!$D10,6)=LEFT(Matrix!$BR$24,6),IF(LEFT('non Forest LUC'!$F10,6)=LEFT(Matrix!BT$24,6),'non Forest LUC'!$F32,0),0)</f>
        <v>0</v>
      </c>
      <c r="BU26" s="429">
        <f>IF(LEFT('non Forest LUC'!$D10,6)=LEFT(Matrix!$BR$24,6),IF(LEFT('non Forest LUC'!$F10,6)=LEFT(Matrix!BU$24,6),'non Forest LUC'!$F32,0),0)</f>
        <v>0</v>
      </c>
      <c r="BV26" s="429">
        <f>IF(LEFT('non Forest LUC'!$D10,6)=LEFT(Matrix!$BR$24,6),IF(LEFT('non Forest LUC'!$F10,6)=LEFT(Matrix!BV$24,6),'non Forest LUC'!$F32,0),0)</f>
        <v>0</v>
      </c>
      <c r="BW26" s="429">
        <f>IF(LEFT('non Forest LUC'!$D10,6)=LEFT(Matrix!$BR$24,6),IF(LEFT('non Forest LUC'!$F10,6)=LEFT(Matrix!BW$24,6),'non Forest LUC'!$F32,0),0)</f>
        <v>0</v>
      </c>
      <c r="BX26" s="429">
        <f>IF(LEFT('non Forest LUC'!$D10,6)=LEFT(Matrix!$BR$24,6),IF(LEFT('non Forest LUC'!$F10,6)=LEFT(Matrix!BX$24,6),'non Forest LUC'!$F32,0),0)</f>
        <v>0</v>
      </c>
      <c r="BY26" s="440"/>
      <c r="BZ26" s="429">
        <f>IF(LEFT('non Forest LUC'!$D10,6)=LEFT(Matrix!$BY$24,6),IF(LEFT('non Forest LUC'!$F10,6)=LEFT(Matrix!BZ$24,6),'non Forest LUC'!$F32,0),0)</f>
        <v>0</v>
      </c>
      <c r="CA26" s="429">
        <f>IF(LEFT('non Forest LUC'!$D10,6)=LEFT(Matrix!$BY$24,6),IF(LEFT('non Forest LUC'!$F10,6)=LEFT(Matrix!CA$24,6),'non Forest LUC'!$F32,0),0)</f>
        <v>0</v>
      </c>
      <c r="CB26" s="429">
        <f>IF(LEFT('non Forest LUC'!$D10,6)=LEFT(Matrix!$BY$24,6),IF(LEFT('non Forest LUC'!$F10,6)=LEFT(Matrix!CB$24,6),'non Forest LUC'!$F32,0),0)</f>
        <v>0</v>
      </c>
      <c r="CC26" s="429">
        <f>IF(LEFT('non Forest LUC'!$D10,6)=LEFT(Matrix!$BY$24,6),IF(LEFT('non Forest LUC'!$F10,6)=LEFT(Matrix!CC$24,6),'non Forest LUC'!$F32,0),0)</f>
        <v>0</v>
      </c>
      <c r="CD26" s="429">
        <f>IF(LEFT('non Forest LUC'!$D10,6)=LEFT(Matrix!$BY$24,6),IF(LEFT('non Forest LUC'!$F10,6)=LEFT(Matrix!CD$24,6),'non Forest LUC'!$F32,0),0)</f>
        <v>0</v>
      </c>
      <c r="CE26" s="429">
        <f>IF(LEFT('non Forest LUC'!$D10,6)=LEFT(Matrix!$BY$24,6),IF(LEFT('non Forest LUC'!$F10,6)=LEFT(Matrix!CE$24,6),'non Forest LUC'!$F32,0),0)</f>
        <v>0</v>
      </c>
      <c r="CF26" s="440"/>
      <c r="CG26" s="429">
        <f>IF(LEFT('non Forest LUC'!$D10,6)=LEFT(Matrix!$CF$24,6),IF(LEFT('non Forest LUC'!$F10,6)=LEFT(Matrix!CG$24,6),'non Forest LUC'!$F32,0),0)</f>
        <v>0</v>
      </c>
      <c r="CH26" s="429">
        <f>IF(LEFT('non Forest LUC'!$D10,6)=LEFT(Matrix!$CF$24,6),IF(LEFT('non Forest LUC'!$F10,6)=LEFT(Matrix!CH$24,6),'non Forest LUC'!$F32,0),0)</f>
        <v>0</v>
      </c>
      <c r="CI26" s="429">
        <f>IF(LEFT('non Forest LUC'!$D10,6)=LEFT(Matrix!$CF$24,6),IF(LEFT('non Forest LUC'!$F10,6)=LEFT(Matrix!CI$24,6),'non Forest LUC'!$F32,0),0)</f>
        <v>0</v>
      </c>
      <c r="CJ26" s="429">
        <f>IF(LEFT('non Forest LUC'!$D10,6)=LEFT(Matrix!$CF$24,6),IF(LEFT('non Forest LUC'!$F10,6)=LEFT(Matrix!CJ$24,6),'non Forest LUC'!$F32,0),0)</f>
        <v>0</v>
      </c>
      <c r="CK26" s="429">
        <f>IF(LEFT('non Forest LUC'!$D10,6)=LEFT(Matrix!$CF$24,6),IF(LEFT('non Forest LUC'!$F10,6)=LEFT(Matrix!CK$24,6),'non Forest LUC'!$F32,0),0)</f>
        <v>0</v>
      </c>
      <c r="CL26" s="429">
        <f>IF(LEFT('non Forest LUC'!$D10,6)=LEFT(Matrix!$CF$24,6),IF(LEFT('non Forest LUC'!$F10,6)=LEFT(Matrix!CL$24,6),'non Forest LUC'!$F32,0),0)</f>
        <v>0</v>
      </c>
    </row>
    <row r="27" spans="2:93">
      <c r="B27" s="509" t="s">
        <v>1089</v>
      </c>
      <c r="C27" s="445" t="s">
        <v>1095</v>
      </c>
      <c r="D27" s="456"/>
      <c r="E27" s="1272">
        <f>SUM(Deforestation!C43:C52)-SUM(Deforestation!I43:I52)+SUM('Forest Degradation'!C44:C53)</f>
        <v>0</v>
      </c>
      <c r="F27" s="458">
        <f>X35</f>
        <v>0</v>
      </c>
      <c r="G27" s="459">
        <f>Y35</f>
        <v>0</v>
      </c>
      <c r="H27" s="459">
        <f>Z35</f>
        <v>0</v>
      </c>
      <c r="I27" s="460">
        <f>AA35</f>
        <v>0</v>
      </c>
      <c r="J27" s="461">
        <f>AC35+AE35</f>
        <v>0</v>
      </c>
      <c r="K27" s="462">
        <f>AB35+AD35</f>
        <v>0</v>
      </c>
      <c r="L27" s="240"/>
      <c r="M27" s="1478">
        <f>SUM(E27:K27)</f>
        <v>0</v>
      </c>
      <c r="O27" s="474"/>
      <c r="P27" s="474"/>
      <c r="Q27" s="474"/>
      <c r="R27" s="474"/>
      <c r="S27" s="474"/>
      <c r="T27" s="474"/>
      <c r="U27" s="474"/>
      <c r="W27" s="435"/>
      <c r="X27" s="455">
        <f>IF(Deforestation!$I30=X$24,1,0)*Deforestation!$I45</f>
        <v>0</v>
      </c>
      <c r="Y27" s="455">
        <f>IF(Deforestation!$I30=Y$24,1,0)*Deforestation!$I45</f>
        <v>0</v>
      </c>
      <c r="Z27" s="455">
        <f>IF(Deforestation!$I30=Z$24,1,0)*Deforestation!$I45</f>
        <v>0</v>
      </c>
      <c r="AA27" s="455">
        <f>IF(Deforestation!$I30=AA$24,1,0)*Deforestation!$I45</f>
        <v>0</v>
      </c>
      <c r="AB27" s="455">
        <f>IF(Deforestation!$I30=AB$24,1,0)*Deforestation!$I45</f>
        <v>0</v>
      </c>
      <c r="AC27" s="455">
        <f>IF(Deforestation!$I30=AC$24,1,0)*Deforestation!$I45</f>
        <v>0</v>
      </c>
      <c r="AD27" s="455">
        <f>IF(Deforestation!$I30=AD$24,1,0)*Deforestation!$I45</f>
        <v>0</v>
      </c>
      <c r="AE27" s="455">
        <f>IF(Deforestation!$I30=AE$24,1,0)*Deforestation!$I45</f>
        <v>0</v>
      </c>
      <c r="AG27" s="437">
        <f>IF(AG$8='A-R'!$E30,'A-R'!$G45,0)</f>
        <v>0</v>
      </c>
      <c r="AH27" s="437">
        <f>IF(AH$8='A-R'!$E30,'A-R'!$G45,0)</f>
        <v>0</v>
      </c>
      <c r="AI27" s="437">
        <f>IF(AI$8='A-R'!$E30,'A-R'!$G45,0)</f>
        <v>0</v>
      </c>
      <c r="AJ27" s="437">
        <f>IF(AJ$8='A-R'!$E30,'A-R'!$G45,0)</f>
        <v>0</v>
      </c>
      <c r="AK27" s="437">
        <f>IF(AK$8='A-R'!$E30,'A-R'!$G45,0)</f>
        <v>0</v>
      </c>
      <c r="AL27" s="437">
        <f>IF(AL$8='A-R'!$E30,'A-R'!$G45,0)</f>
        <v>0</v>
      </c>
      <c r="AM27" s="437">
        <f>IF(AM$8='A-R'!$E30,'A-R'!$G45,0)</f>
        <v>0</v>
      </c>
      <c r="AN27" s="437">
        <f>IF(AN$8='A-R'!$E30,'A-R'!$G45,0)</f>
        <v>0</v>
      </c>
      <c r="AP27" s="440"/>
      <c r="AQ27" s="429">
        <f>IF(LEFT('non Forest LUC'!$D11,6)=LEFT(Matrix!$AP$24,6),IF(LEFT('non Forest LUC'!$F11,6)=LEFT(Matrix!AQ$24,6),'non Forest LUC'!$F33,0),0)</f>
        <v>0</v>
      </c>
      <c r="AR27" s="429">
        <f>IF(LEFT('non Forest LUC'!$D11,6)=LEFT(Matrix!$AP$24,6),IF(LEFT('non Forest LUC'!$F11,6)=LEFT(Matrix!AR$24,6),'non Forest LUC'!$F33,0),0)</f>
        <v>0</v>
      </c>
      <c r="AS27" s="429">
        <f>IF(LEFT('non Forest LUC'!$D11,6)=LEFT(Matrix!$AP$24,6),IF(LEFT('non Forest LUC'!$F11,6)=LEFT(Matrix!AS$24,6),'non Forest LUC'!$F33,0),0)</f>
        <v>0</v>
      </c>
      <c r="AT27" s="429">
        <f>IF(LEFT('non Forest LUC'!$D11,6)=LEFT(Matrix!$AP$24,6),IF(LEFT('non Forest LUC'!$F11,6)=LEFT(Matrix!AT$24,6),'non Forest LUC'!$F33,0),0)</f>
        <v>0</v>
      </c>
      <c r="AU27" s="429">
        <f>IF(LEFT('non Forest LUC'!$D11,6)=LEFT(Matrix!$AP$24,6),IF(LEFT('non Forest LUC'!$F11,6)=LEFT(Matrix!AU$24,6),'non Forest LUC'!$F33,0),0)</f>
        <v>0</v>
      </c>
      <c r="AV27" s="429">
        <f>IF(LEFT('non Forest LUC'!$D11,6)=LEFT(Matrix!$AP$24,6),IF(LEFT('non Forest LUC'!$F11,6)=LEFT(Matrix!AV$24,6),'non Forest LUC'!$F33,0),0)</f>
        <v>0</v>
      </c>
      <c r="AW27" s="440"/>
      <c r="AX27" s="429">
        <f>IF(LEFT('non Forest LUC'!$D11,6)=LEFT(Matrix!$AW$24,6),IF(LEFT('non Forest LUC'!$F11,6)=LEFT(Matrix!AX$24,6),'non Forest LUC'!$F33,0),0)</f>
        <v>0</v>
      </c>
      <c r="AY27" s="429">
        <f>IF(LEFT('non Forest LUC'!$D11,6)=LEFT(Matrix!$AW$24,6),IF(LEFT('non Forest LUC'!$F11,6)=LEFT(Matrix!AY$24,6),'non Forest LUC'!$F33,0),0)</f>
        <v>0</v>
      </c>
      <c r="AZ27" s="429">
        <f>IF(LEFT('non Forest LUC'!$D11,6)=LEFT(Matrix!$AW$24,6),IF(LEFT('non Forest LUC'!$F11,6)=LEFT(Matrix!AZ$24,6),'non Forest LUC'!$F33,0),0)</f>
        <v>0</v>
      </c>
      <c r="BA27" s="429">
        <f>IF(LEFT('non Forest LUC'!$D11,6)=LEFT(Matrix!$AW$24,6),IF(LEFT('non Forest LUC'!$F11,6)=LEFT(Matrix!BA$24,6),'non Forest LUC'!$F33,0),0)</f>
        <v>0</v>
      </c>
      <c r="BB27" s="429">
        <f>IF(LEFT('non Forest LUC'!$D11,6)=LEFT(Matrix!$AW$24,6),IF(LEFT('non Forest LUC'!$F11,6)=LEFT(Matrix!BB$24,6),'non Forest LUC'!$F33,0),0)</f>
        <v>0</v>
      </c>
      <c r="BC27" s="429">
        <f>IF(LEFT('non Forest LUC'!$D11,6)=LEFT(Matrix!$AW$24,6),IF(LEFT('non Forest LUC'!$F11,6)=LEFT(Matrix!BC$24,6),'non Forest LUC'!$F33,0),0)</f>
        <v>0</v>
      </c>
      <c r="BD27" s="440"/>
      <c r="BE27" s="429">
        <f>IF(LEFT('non Forest LUC'!$D11,6)=LEFT(Matrix!$BD$24,6),IF(LEFT('non Forest LUC'!$F11,6)=LEFT(Matrix!BE$24,6),'non Forest LUC'!$F33,0),0)</f>
        <v>0</v>
      </c>
      <c r="BF27" s="429">
        <f>IF(LEFT('non Forest LUC'!$D11,6)=LEFT(Matrix!$BD$24,6),IF(LEFT('non Forest LUC'!$F11,6)=LEFT(Matrix!BF$24,6),'non Forest LUC'!$F33,0),0)</f>
        <v>0</v>
      </c>
      <c r="BG27" s="429">
        <f>IF(LEFT('non Forest LUC'!$D11,6)=LEFT(Matrix!$BD$24,6),IF(LEFT('non Forest LUC'!$F11,6)=LEFT(Matrix!BG$24,6),'non Forest LUC'!$F33,0),0)</f>
        <v>0</v>
      </c>
      <c r="BH27" s="429">
        <f>IF(LEFT('non Forest LUC'!$D11,6)=LEFT(Matrix!$BD$24,6),IF(LEFT('non Forest LUC'!$F11,6)=LEFT(Matrix!BH$24,6),'non Forest LUC'!$F33,0),0)</f>
        <v>0</v>
      </c>
      <c r="BI27" s="429">
        <f>IF(LEFT('non Forest LUC'!$D11,6)=LEFT(Matrix!$BD$24,6),IF(LEFT('non Forest LUC'!$F11,6)=LEFT(Matrix!BI$24,6),'non Forest LUC'!$F33,0),0)</f>
        <v>0</v>
      </c>
      <c r="BJ27" s="429">
        <f>IF(LEFT('non Forest LUC'!$D11,6)=LEFT(Matrix!$BD$24,6),IF(LEFT('non Forest LUC'!$F11,6)=LEFT(Matrix!BJ$24,6),'non Forest LUC'!$F33,0),0)</f>
        <v>0</v>
      </c>
      <c r="BK27" s="440"/>
      <c r="BL27" s="429">
        <f>IF(LEFT('non Forest LUC'!$D11,6)=LEFT(Matrix!$BK$24,6),IF(LEFT('non Forest LUC'!$F11,6)=LEFT(Matrix!BL$24,6),'non Forest LUC'!$F33,0),0)</f>
        <v>0</v>
      </c>
      <c r="BM27" s="429">
        <f>IF(LEFT('non Forest LUC'!$D11,6)=LEFT(Matrix!$BK$24,6),IF(LEFT('non Forest LUC'!$F11,6)=LEFT(Matrix!BM$24,6),'non Forest LUC'!$F33,0),0)</f>
        <v>0</v>
      </c>
      <c r="BN27" s="429">
        <f>IF(LEFT('non Forest LUC'!$D11,6)=LEFT(Matrix!$BK$24,6),IF(LEFT('non Forest LUC'!$F11,6)=LEFT(Matrix!BN$24,6),'non Forest LUC'!$F33,0),0)</f>
        <v>0</v>
      </c>
      <c r="BO27" s="429">
        <f>IF(LEFT('non Forest LUC'!$D11,6)=LEFT(Matrix!$BK$24,6),IF(LEFT('non Forest LUC'!$F11,6)=LEFT(Matrix!BO$24,6),'non Forest LUC'!$F33,0),0)</f>
        <v>0</v>
      </c>
      <c r="BP27" s="429">
        <f>IF(LEFT('non Forest LUC'!$D11,6)=LEFT(Matrix!$BK$24,6),IF(LEFT('non Forest LUC'!$F11,6)=LEFT(Matrix!BP$24,6),'non Forest LUC'!$F33,0),0)</f>
        <v>0</v>
      </c>
      <c r="BQ27" s="429">
        <f>IF(LEFT('non Forest LUC'!$D11,6)=LEFT(Matrix!$BK$24,6),IF(LEFT('non Forest LUC'!$F11,6)=LEFT(Matrix!BQ$24,6),'non Forest LUC'!$F33,0),0)</f>
        <v>0</v>
      </c>
      <c r="BR27" s="440"/>
      <c r="BS27" s="429">
        <f>IF(LEFT('non Forest LUC'!$D11,6)=LEFT(Matrix!$BR$24,6),IF(LEFT('non Forest LUC'!$F11,6)=LEFT(Matrix!BS$24,6),'non Forest LUC'!$F33,0),0)</f>
        <v>0</v>
      </c>
      <c r="BT27" s="429">
        <f>IF(LEFT('non Forest LUC'!$D11,6)=LEFT(Matrix!$BR$24,6),IF(LEFT('non Forest LUC'!$F11,6)=LEFT(Matrix!BT$24,6),'non Forest LUC'!$F33,0),0)</f>
        <v>0</v>
      </c>
      <c r="BU27" s="429">
        <f>IF(LEFT('non Forest LUC'!$D11,6)=LEFT(Matrix!$BR$24,6),IF(LEFT('non Forest LUC'!$F11,6)=LEFT(Matrix!BU$24,6),'non Forest LUC'!$F33,0),0)</f>
        <v>0</v>
      </c>
      <c r="BV27" s="429">
        <f>IF(LEFT('non Forest LUC'!$D11,6)=LEFT(Matrix!$BR$24,6),IF(LEFT('non Forest LUC'!$F11,6)=LEFT(Matrix!BV$24,6),'non Forest LUC'!$F33,0),0)</f>
        <v>0</v>
      </c>
      <c r="BW27" s="429">
        <f>IF(LEFT('non Forest LUC'!$D11,6)=LEFT(Matrix!$BR$24,6),IF(LEFT('non Forest LUC'!$F11,6)=LEFT(Matrix!BW$24,6),'non Forest LUC'!$F33,0),0)</f>
        <v>0</v>
      </c>
      <c r="BX27" s="429">
        <f>IF(LEFT('non Forest LUC'!$D11,6)=LEFT(Matrix!$BR$24,6),IF(LEFT('non Forest LUC'!$F11,6)=LEFT(Matrix!BX$24,6),'non Forest LUC'!$F33,0),0)</f>
        <v>0</v>
      </c>
      <c r="BY27" s="440"/>
      <c r="BZ27" s="429">
        <f>IF(LEFT('non Forest LUC'!$D11,6)=LEFT(Matrix!$BY$24,6),IF(LEFT('non Forest LUC'!$F11,6)=LEFT(Matrix!BZ$24,6),'non Forest LUC'!$F33,0),0)</f>
        <v>0</v>
      </c>
      <c r="CA27" s="429">
        <f>IF(LEFT('non Forest LUC'!$D11,6)=LEFT(Matrix!$BY$24,6),IF(LEFT('non Forest LUC'!$F11,6)=LEFT(Matrix!CA$24,6),'non Forest LUC'!$F33,0),0)</f>
        <v>0</v>
      </c>
      <c r="CB27" s="429">
        <f>IF(LEFT('non Forest LUC'!$D11,6)=LEFT(Matrix!$BY$24,6),IF(LEFT('non Forest LUC'!$F11,6)=LEFT(Matrix!CB$24,6),'non Forest LUC'!$F33,0),0)</f>
        <v>0</v>
      </c>
      <c r="CC27" s="429">
        <f>IF(LEFT('non Forest LUC'!$D11,6)=LEFT(Matrix!$BY$24,6),IF(LEFT('non Forest LUC'!$F11,6)=LEFT(Matrix!CC$24,6),'non Forest LUC'!$F33,0),0)</f>
        <v>0</v>
      </c>
      <c r="CD27" s="429">
        <f>IF(LEFT('non Forest LUC'!$D11,6)=LEFT(Matrix!$BY$24,6),IF(LEFT('non Forest LUC'!$F11,6)=LEFT(Matrix!CD$24,6),'non Forest LUC'!$F33,0),0)</f>
        <v>0</v>
      </c>
      <c r="CE27" s="429">
        <f>IF(LEFT('non Forest LUC'!$D11,6)=LEFT(Matrix!$BY$24,6),IF(LEFT('non Forest LUC'!$F11,6)=LEFT(Matrix!CE$24,6),'non Forest LUC'!$F33,0),0)</f>
        <v>0</v>
      </c>
      <c r="CF27" s="440"/>
      <c r="CG27" s="429">
        <f>IF(LEFT('non Forest LUC'!$D11,6)=LEFT(Matrix!$CF$24,6),IF(LEFT('non Forest LUC'!$F11,6)=LEFT(Matrix!CG$24,6),'non Forest LUC'!$F33,0),0)</f>
        <v>0</v>
      </c>
      <c r="CH27" s="429">
        <f>IF(LEFT('non Forest LUC'!$D11,6)=LEFT(Matrix!$CF$24,6),IF(LEFT('non Forest LUC'!$F11,6)=LEFT(Matrix!CH$24,6),'non Forest LUC'!$F33,0),0)</f>
        <v>0</v>
      </c>
      <c r="CI27" s="429">
        <f>IF(LEFT('non Forest LUC'!$D11,6)=LEFT(Matrix!$CF$24,6),IF(LEFT('non Forest LUC'!$F11,6)=LEFT(Matrix!CI$24,6),'non Forest LUC'!$F33,0),0)</f>
        <v>0</v>
      </c>
      <c r="CJ27" s="429">
        <f>IF(LEFT('non Forest LUC'!$D11,6)=LEFT(Matrix!$CF$24,6),IF(LEFT('non Forest LUC'!$F11,6)=LEFT(Matrix!CJ$24,6),'non Forest LUC'!$F33,0),0)</f>
        <v>0</v>
      </c>
      <c r="CK27" s="429">
        <f>IF(LEFT('non Forest LUC'!$D11,6)=LEFT(Matrix!$CF$24,6),IF(LEFT('non Forest LUC'!$F11,6)=LEFT(Matrix!CK$24,6),'non Forest LUC'!$F33,0),0)</f>
        <v>0</v>
      </c>
      <c r="CL27" s="429">
        <f>IF(LEFT('non Forest LUC'!$D11,6)=LEFT(Matrix!$CF$24,6),IF(LEFT('non Forest LUC'!$F11,6)=LEFT(Matrix!CL$24,6),'non Forest LUC'!$F33,0),0)</f>
        <v>0</v>
      </c>
    </row>
    <row r="28" spans="2:93">
      <c r="B28" s="510"/>
      <c r="C28" s="466"/>
      <c r="D28" s="467" t="s">
        <v>1091</v>
      </c>
      <c r="E28" s="511">
        <f>AG35</f>
        <v>0</v>
      </c>
      <c r="F28" s="512">
        <f>Annual!D48+Annual!F35+Annual!F37</f>
        <v>0</v>
      </c>
      <c r="G28" s="470">
        <f>AQ38</f>
        <v>0</v>
      </c>
      <c r="H28" s="470">
        <f>AR38</f>
        <v>0</v>
      </c>
      <c r="I28" s="471">
        <f>AT38</f>
        <v>0</v>
      </c>
      <c r="J28" s="472">
        <f>AU38</f>
        <v>0</v>
      </c>
      <c r="K28" s="473">
        <f>AV38+AS38</f>
        <v>0</v>
      </c>
      <c r="L28" s="240"/>
      <c r="M28" s="463">
        <f t="shared" ref="M28:M33" si="16">SUM(E28:K28)</f>
        <v>0</v>
      </c>
      <c r="O28" s="474"/>
      <c r="P28" s="474"/>
      <c r="Q28" s="474"/>
      <c r="R28" s="474"/>
      <c r="S28" s="474"/>
      <c r="T28" s="474"/>
      <c r="U28" s="474"/>
      <c r="W28" s="435"/>
      <c r="X28" s="455">
        <f>IF(Deforestation!$I31=X$24,1,0)*Deforestation!$I46</f>
        <v>0</v>
      </c>
      <c r="Y28" s="455">
        <f>IF(Deforestation!$I31=Y$24,1,0)*Deforestation!$I46</f>
        <v>0</v>
      </c>
      <c r="Z28" s="455">
        <f>IF(Deforestation!$I31=Z$24,1,0)*Deforestation!$I46</f>
        <v>0</v>
      </c>
      <c r="AA28" s="455">
        <f>IF(Deforestation!$I31=AA$24,1,0)*Deforestation!$I46</f>
        <v>0</v>
      </c>
      <c r="AB28" s="455">
        <f>IF(Deforestation!$I31=AB$24,1,0)*Deforestation!$I46</f>
        <v>0</v>
      </c>
      <c r="AC28" s="455">
        <f>IF(Deforestation!$I31=AC$24,1,0)*Deforestation!$I46</f>
        <v>0</v>
      </c>
      <c r="AD28" s="455">
        <f>IF(Deforestation!$I31=AD$24,1,0)*Deforestation!$I46</f>
        <v>0</v>
      </c>
      <c r="AE28" s="455">
        <f>IF(Deforestation!$I31=AE$24,1,0)*Deforestation!$I46</f>
        <v>0</v>
      </c>
      <c r="AG28" s="437">
        <f>IF(AG$8='A-R'!$E31,'A-R'!$G46,0)</f>
        <v>0</v>
      </c>
      <c r="AH28" s="437">
        <f>IF(AH$8='A-R'!$E31,'A-R'!$G46,0)</f>
        <v>0</v>
      </c>
      <c r="AI28" s="437">
        <f>IF(AI$8='A-R'!$E31,'A-R'!$G46,0)</f>
        <v>0</v>
      </c>
      <c r="AJ28" s="437">
        <f>IF(AJ$8='A-R'!$E31,'A-R'!$G46,0)</f>
        <v>0</v>
      </c>
      <c r="AK28" s="437">
        <f>IF(AK$8='A-R'!$E31,'A-R'!$G46,0)</f>
        <v>0</v>
      </c>
      <c r="AL28" s="437">
        <f>IF(AL$8='A-R'!$E31,'A-R'!$G46,0)</f>
        <v>0</v>
      </c>
      <c r="AM28" s="437">
        <f>IF(AM$8='A-R'!$E31,'A-R'!$G46,0)</f>
        <v>0</v>
      </c>
      <c r="AN28" s="437">
        <f>IF(AN$8='A-R'!$E31,'A-R'!$G46,0)</f>
        <v>0</v>
      </c>
      <c r="AP28" s="440"/>
      <c r="AQ28" s="429">
        <f>IF(LEFT('non Forest LUC'!$D12,6)=LEFT(Matrix!$AP$24,6),IF(LEFT('non Forest LUC'!$F12,6)=LEFT(Matrix!AQ$24,6),'non Forest LUC'!$F34,0),0)</f>
        <v>0</v>
      </c>
      <c r="AR28" s="429">
        <f>IF(LEFT('non Forest LUC'!$D12,6)=LEFT(Matrix!$AP$24,6),IF(LEFT('non Forest LUC'!$F12,6)=LEFT(Matrix!AR$24,6),'non Forest LUC'!$F34,0),0)</f>
        <v>0</v>
      </c>
      <c r="AS28" s="429">
        <f>IF(LEFT('non Forest LUC'!$D12,6)=LEFT(Matrix!$AP$24,6),IF(LEFT('non Forest LUC'!$F12,6)=LEFT(Matrix!AS$24,6),'non Forest LUC'!$F34,0),0)</f>
        <v>0</v>
      </c>
      <c r="AT28" s="429">
        <f>IF(LEFT('non Forest LUC'!$D12,6)=LEFT(Matrix!$AP$24,6),IF(LEFT('non Forest LUC'!$F12,6)=LEFT(Matrix!AT$24,6),'non Forest LUC'!$F34,0),0)</f>
        <v>0</v>
      </c>
      <c r="AU28" s="429">
        <f>IF(LEFT('non Forest LUC'!$D12,6)=LEFT(Matrix!$AP$24,6),IF(LEFT('non Forest LUC'!$F12,6)=LEFT(Matrix!AU$24,6),'non Forest LUC'!$F34,0),0)</f>
        <v>0</v>
      </c>
      <c r="AV28" s="429">
        <f>IF(LEFT('non Forest LUC'!$D12,6)=LEFT(Matrix!$AP$24,6),IF(LEFT('non Forest LUC'!$F12,6)=LEFT(Matrix!AV$24,6),'non Forest LUC'!$F34,0),0)</f>
        <v>0</v>
      </c>
      <c r="AW28" s="440"/>
      <c r="AX28" s="429">
        <f>IF(LEFT('non Forest LUC'!$D12,6)=LEFT(Matrix!$AW$24,6),IF(LEFT('non Forest LUC'!$F12,6)=LEFT(Matrix!AX$24,6),'non Forest LUC'!$F34,0),0)</f>
        <v>0</v>
      </c>
      <c r="AY28" s="429">
        <f>IF(LEFT('non Forest LUC'!$D12,6)=LEFT(Matrix!$AW$24,6),IF(LEFT('non Forest LUC'!$F12,6)=LEFT(Matrix!AY$24,6),'non Forest LUC'!$F34,0),0)</f>
        <v>0</v>
      </c>
      <c r="AZ28" s="429">
        <f>IF(LEFT('non Forest LUC'!$D12,6)=LEFT(Matrix!$AW$24,6),IF(LEFT('non Forest LUC'!$F12,6)=LEFT(Matrix!AZ$24,6),'non Forest LUC'!$F34,0),0)</f>
        <v>0</v>
      </c>
      <c r="BA28" s="429">
        <f>IF(LEFT('non Forest LUC'!$D12,6)=LEFT(Matrix!$AW$24,6),IF(LEFT('non Forest LUC'!$F12,6)=LEFT(Matrix!BA$24,6),'non Forest LUC'!$F34,0),0)</f>
        <v>0</v>
      </c>
      <c r="BB28" s="429">
        <f>IF(LEFT('non Forest LUC'!$D12,6)=LEFT(Matrix!$AW$24,6),IF(LEFT('non Forest LUC'!$F12,6)=LEFT(Matrix!BB$24,6),'non Forest LUC'!$F34,0),0)</f>
        <v>0</v>
      </c>
      <c r="BC28" s="429">
        <f>IF(LEFT('non Forest LUC'!$D12,6)=LEFT(Matrix!$AW$24,6),IF(LEFT('non Forest LUC'!$F12,6)=LEFT(Matrix!BC$24,6),'non Forest LUC'!$F34,0),0)</f>
        <v>0</v>
      </c>
      <c r="BD28" s="440"/>
      <c r="BE28" s="429">
        <f>IF(LEFT('non Forest LUC'!$D12,6)=LEFT(Matrix!$BD$24,6),IF(LEFT('non Forest LUC'!$F12,6)=LEFT(Matrix!BE$24,6),'non Forest LUC'!$F34,0),0)</f>
        <v>0</v>
      </c>
      <c r="BF28" s="429">
        <f>IF(LEFT('non Forest LUC'!$D12,6)=LEFT(Matrix!$BD$24,6),IF(LEFT('non Forest LUC'!$F12,6)=LEFT(Matrix!BF$24,6),'non Forest LUC'!$F34,0),0)</f>
        <v>0</v>
      </c>
      <c r="BG28" s="429">
        <f>IF(LEFT('non Forest LUC'!$D12,6)=LEFT(Matrix!$BD$24,6),IF(LEFT('non Forest LUC'!$F12,6)=LEFT(Matrix!BG$24,6),'non Forest LUC'!$F34,0),0)</f>
        <v>0</v>
      </c>
      <c r="BH28" s="429">
        <f>IF(LEFT('non Forest LUC'!$D12,6)=LEFT(Matrix!$BD$24,6),IF(LEFT('non Forest LUC'!$F12,6)=LEFT(Matrix!BH$24,6),'non Forest LUC'!$F34,0),0)</f>
        <v>0</v>
      </c>
      <c r="BI28" s="429">
        <f>IF(LEFT('non Forest LUC'!$D12,6)=LEFT(Matrix!$BD$24,6),IF(LEFT('non Forest LUC'!$F12,6)=LEFT(Matrix!BI$24,6),'non Forest LUC'!$F34,0),0)</f>
        <v>0</v>
      </c>
      <c r="BJ28" s="429">
        <f>IF(LEFT('non Forest LUC'!$D12,6)=LEFT(Matrix!$BD$24,6),IF(LEFT('non Forest LUC'!$F12,6)=LEFT(Matrix!BJ$24,6),'non Forest LUC'!$F34,0),0)</f>
        <v>0</v>
      </c>
      <c r="BK28" s="440"/>
      <c r="BL28" s="429">
        <f>IF(LEFT('non Forest LUC'!$D12,6)=LEFT(Matrix!$BK$24,6),IF(LEFT('non Forest LUC'!$F12,6)=LEFT(Matrix!BL$24,6),'non Forest LUC'!$F34,0),0)</f>
        <v>0</v>
      </c>
      <c r="BM28" s="429">
        <f>IF(LEFT('non Forest LUC'!$D12,6)=LEFT(Matrix!$BK$24,6),IF(LEFT('non Forest LUC'!$F12,6)=LEFT(Matrix!BM$24,6),'non Forest LUC'!$F34,0),0)</f>
        <v>0</v>
      </c>
      <c r="BN28" s="429">
        <f>IF(LEFT('non Forest LUC'!$D12,6)=LEFT(Matrix!$BK$24,6),IF(LEFT('non Forest LUC'!$F12,6)=LEFT(Matrix!BN$24,6),'non Forest LUC'!$F34,0),0)</f>
        <v>0</v>
      </c>
      <c r="BO28" s="429">
        <f>IF(LEFT('non Forest LUC'!$D12,6)=LEFT(Matrix!$BK$24,6),IF(LEFT('non Forest LUC'!$F12,6)=LEFT(Matrix!BO$24,6),'non Forest LUC'!$F34,0),0)</f>
        <v>0</v>
      </c>
      <c r="BP28" s="429">
        <f>IF(LEFT('non Forest LUC'!$D12,6)=LEFT(Matrix!$BK$24,6),IF(LEFT('non Forest LUC'!$F12,6)=LEFT(Matrix!BP$24,6),'non Forest LUC'!$F34,0),0)</f>
        <v>0</v>
      </c>
      <c r="BQ28" s="429">
        <f>IF(LEFT('non Forest LUC'!$D12,6)=LEFT(Matrix!$BK$24,6),IF(LEFT('non Forest LUC'!$F12,6)=LEFT(Matrix!BQ$24,6),'non Forest LUC'!$F34,0),0)</f>
        <v>0</v>
      </c>
      <c r="BR28" s="440"/>
      <c r="BS28" s="429">
        <f>IF(LEFT('non Forest LUC'!$D12,6)=LEFT(Matrix!$BR$24,6),IF(LEFT('non Forest LUC'!$F12,6)=LEFT(Matrix!BS$24,6),'non Forest LUC'!$F34,0),0)</f>
        <v>0</v>
      </c>
      <c r="BT28" s="429">
        <f>IF(LEFT('non Forest LUC'!$D12,6)=LEFT(Matrix!$BR$24,6),IF(LEFT('non Forest LUC'!$F12,6)=LEFT(Matrix!BT$24,6),'non Forest LUC'!$F34,0),0)</f>
        <v>0</v>
      </c>
      <c r="BU28" s="429">
        <f>IF(LEFT('non Forest LUC'!$D12,6)=LEFT(Matrix!$BR$24,6),IF(LEFT('non Forest LUC'!$F12,6)=LEFT(Matrix!BU$24,6),'non Forest LUC'!$F34,0),0)</f>
        <v>0</v>
      </c>
      <c r="BV28" s="429">
        <f>IF(LEFT('non Forest LUC'!$D12,6)=LEFT(Matrix!$BR$24,6),IF(LEFT('non Forest LUC'!$F12,6)=LEFT(Matrix!BV$24,6),'non Forest LUC'!$F34,0),0)</f>
        <v>0</v>
      </c>
      <c r="BW28" s="429">
        <f>IF(LEFT('non Forest LUC'!$D12,6)=LEFT(Matrix!$BR$24,6),IF(LEFT('non Forest LUC'!$F12,6)=LEFT(Matrix!BW$24,6),'non Forest LUC'!$F34,0),0)</f>
        <v>0</v>
      </c>
      <c r="BX28" s="429">
        <f>IF(LEFT('non Forest LUC'!$D12,6)=LEFT(Matrix!$BR$24,6),IF(LEFT('non Forest LUC'!$F12,6)=LEFT(Matrix!BX$24,6),'non Forest LUC'!$F34,0),0)</f>
        <v>0</v>
      </c>
      <c r="BY28" s="440"/>
      <c r="BZ28" s="429">
        <f>IF(LEFT('non Forest LUC'!$D12,6)=LEFT(Matrix!$BY$24,6),IF(LEFT('non Forest LUC'!$F12,6)=LEFT(Matrix!BZ$24,6),'non Forest LUC'!$F34,0),0)</f>
        <v>0</v>
      </c>
      <c r="CA28" s="429">
        <f>IF(LEFT('non Forest LUC'!$D12,6)=LEFT(Matrix!$BY$24,6),IF(LEFT('non Forest LUC'!$F12,6)=LEFT(Matrix!CA$24,6),'non Forest LUC'!$F34,0),0)</f>
        <v>0</v>
      </c>
      <c r="CB28" s="429">
        <f>IF(LEFT('non Forest LUC'!$D12,6)=LEFT(Matrix!$BY$24,6),IF(LEFT('non Forest LUC'!$F12,6)=LEFT(Matrix!CB$24,6),'non Forest LUC'!$F34,0),0)</f>
        <v>0</v>
      </c>
      <c r="CC28" s="429">
        <f>IF(LEFT('non Forest LUC'!$D12,6)=LEFT(Matrix!$BY$24,6),IF(LEFT('non Forest LUC'!$F12,6)=LEFT(Matrix!CC$24,6),'non Forest LUC'!$F34,0),0)</f>
        <v>0</v>
      </c>
      <c r="CD28" s="429">
        <f>IF(LEFT('non Forest LUC'!$D12,6)=LEFT(Matrix!$BY$24,6),IF(LEFT('non Forest LUC'!$F12,6)=LEFT(Matrix!CD$24,6),'non Forest LUC'!$F34,0),0)</f>
        <v>0</v>
      </c>
      <c r="CE28" s="429">
        <f>IF(LEFT('non Forest LUC'!$D12,6)=LEFT(Matrix!$BY$24,6),IF(LEFT('non Forest LUC'!$F12,6)=LEFT(Matrix!CE$24,6),'non Forest LUC'!$F34,0),0)</f>
        <v>0</v>
      </c>
      <c r="CF28" s="440"/>
      <c r="CG28" s="429">
        <f>IF(LEFT('non Forest LUC'!$D12,6)=LEFT(Matrix!$CF$24,6),IF(LEFT('non Forest LUC'!$F12,6)=LEFT(Matrix!CG$24,6),'non Forest LUC'!$F34,0),0)</f>
        <v>0</v>
      </c>
      <c r="CH28" s="429">
        <f>IF(LEFT('non Forest LUC'!$D12,6)=LEFT(Matrix!$CF$24,6),IF(LEFT('non Forest LUC'!$F12,6)=LEFT(Matrix!CH$24,6),'non Forest LUC'!$F34,0),0)</f>
        <v>0</v>
      </c>
      <c r="CI28" s="429">
        <f>IF(LEFT('non Forest LUC'!$D12,6)=LEFT(Matrix!$CF$24,6),IF(LEFT('non Forest LUC'!$F12,6)=LEFT(Matrix!CI$24,6),'non Forest LUC'!$F34,0),0)</f>
        <v>0</v>
      </c>
      <c r="CJ28" s="429">
        <f>IF(LEFT('non Forest LUC'!$D12,6)=LEFT(Matrix!$CF$24,6),IF(LEFT('non Forest LUC'!$F12,6)=LEFT(Matrix!CJ$24,6),'non Forest LUC'!$F34,0),0)</f>
        <v>0</v>
      </c>
      <c r="CK28" s="429">
        <f>IF(LEFT('non Forest LUC'!$D12,6)=LEFT(Matrix!$CF$24,6),IF(LEFT('non Forest LUC'!$F12,6)=LEFT(Matrix!CK$24,6),'non Forest LUC'!$F34,0),0)</f>
        <v>0</v>
      </c>
      <c r="CL28" s="429">
        <f>IF(LEFT('non Forest LUC'!$D12,6)=LEFT(Matrix!$CF$24,6),IF(LEFT('non Forest LUC'!$F12,6)=LEFT(Matrix!CL$24,6),'non Forest LUC'!$F34,0),0)</f>
        <v>0</v>
      </c>
    </row>
    <row r="29" spans="2:93">
      <c r="B29" s="510"/>
      <c r="C29" s="475" t="s">
        <v>1087</v>
      </c>
      <c r="D29" s="467" t="s">
        <v>1092</v>
      </c>
      <c r="E29" s="513">
        <f>SUM(AH35:AJ35)</f>
        <v>0</v>
      </c>
      <c r="F29" s="477">
        <f>AX38</f>
        <v>0</v>
      </c>
      <c r="G29" s="478">
        <f>Perennial!F46+Perennial!F33+Perennial!F35</f>
        <v>0</v>
      </c>
      <c r="H29" s="477">
        <f>AY38</f>
        <v>0</v>
      </c>
      <c r="I29" s="479">
        <f>BA38</f>
        <v>0</v>
      </c>
      <c r="J29" s="472">
        <f>BB38</f>
        <v>0</v>
      </c>
      <c r="K29" s="480">
        <f>AZ38+BC38</f>
        <v>0</v>
      </c>
      <c r="L29" s="240"/>
      <c r="M29" s="463">
        <f t="shared" si="16"/>
        <v>0</v>
      </c>
      <c r="O29" s="474"/>
      <c r="P29" s="474"/>
      <c r="Q29" s="474"/>
      <c r="R29" s="474"/>
      <c r="S29" s="474"/>
      <c r="T29" s="474"/>
      <c r="U29" s="474"/>
      <c r="W29" s="435"/>
      <c r="X29" s="455">
        <f>IF(Deforestation!$I32=X$24,1,0)*Deforestation!$I47</f>
        <v>0</v>
      </c>
      <c r="Y29" s="455">
        <f>IF(Deforestation!$I32=Y$24,1,0)*Deforestation!$I47</f>
        <v>0</v>
      </c>
      <c r="Z29" s="455">
        <f>IF(Deforestation!$I32=Z$24,1,0)*Deforestation!$I47</f>
        <v>0</v>
      </c>
      <c r="AA29" s="455">
        <f>IF(Deforestation!$I32=AA$24,1,0)*Deforestation!$I47</f>
        <v>0</v>
      </c>
      <c r="AB29" s="455">
        <f>IF(Deforestation!$I32=AB$24,1,0)*Deforestation!$I47</f>
        <v>0</v>
      </c>
      <c r="AC29" s="455">
        <f>IF(Deforestation!$I32=AC$24,1,0)*Deforestation!$I47</f>
        <v>0</v>
      </c>
      <c r="AD29" s="455">
        <f>IF(Deforestation!$I32=AD$24,1,0)*Deforestation!$I47</f>
        <v>0</v>
      </c>
      <c r="AE29" s="455">
        <f>IF(Deforestation!$I32=AE$24,1,0)*Deforestation!$I47</f>
        <v>0</v>
      </c>
      <c r="AG29" s="437">
        <f>IF(AG$8='A-R'!$E32,'A-R'!$G47,0)</f>
        <v>0</v>
      </c>
      <c r="AH29" s="437">
        <f>IF(AH$8='A-R'!$E32,'A-R'!$G47,0)</f>
        <v>0</v>
      </c>
      <c r="AI29" s="437">
        <f>IF(AI$8='A-R'!$E32,'A-R'!$G47,0)</f>
        <v>0</v>
      </c>
      <c r="AJ29" s="437">
        <f>IF(AJ$8='A-R'!$E32,'A-R'!$G47,0)</f>
        <v>0</v>
      </c>
      <c r="AK29" s="437">
        <f>IF(AK$8='A-R'!$E32,'A-R'!$G47,0)</f>
        <v>0</v>
      </c>
      <c r="AL29" s="437">
        <f>IF(AL$8='A-R'!$E32,'A-R'!$G47,0)</f>
        <v>0</v>
      </c>
      <c r="AM29" s="437">
        <f>IF(AM$8='A-R'!$E32,'A-R'!$G47,0)</f>
        <v>0</v>
      </c>
      <c r="AN29" s="437">
        <f>IF(AN$8='A-R'!$E32,'A-R'!$G47,0)</f>
        <v>0</v>
      </c>
      <c r="AP29" s="440"/>
      <c r="AQ29" s="429">
        <f>IF(LEFT('non Forest LUC'!$D13,6)=LEFT(Matrix!$AP$24,6),IF(LEFT('non Forest LUC'!$F13,6)=LEFT(Matrix!AQ$24,6),'non Forest LUC'!$F35,0),0)</f>
        <v>0</v>
      </c>
      <c r="AR29" s="429">
        <f>IF(LEFT('non Forest LUC'!$D13,6)=LEFT(Matrix!$AP$24,6),IF(LEFT('non Forest LUC'!$F13,6)=LEFT(Matrix!AR$24,6),'non Forest LUC'!$F35,0),0)</f>
        <v>0</v>
      </c>
      <c r="AS29" s="429">
        <f>IF(LEFT('non Forest LUC'!$D13,6)=LEFT(Matrix!$AP$24,6),IF(LEFT('non Forest LUC'!$F13,6)=LEFT(Matrix!AS$24,6),'non Forest LUC'!$F35,0),0)</f>
        <v>0</v>
      </c>
      <c r="AT29" s="429">
        <f>IF(LEFT('non Forest LUC'!$D13,6)=LEFT(Matrix!$AP$24,6),IF(LEFT('non Forest LUC'!$F13,6)=LEFT(Matrix!AT$24,6),'non Forest LUC'!$F35,0),0)</f>
        <v>0</v>
      </c>
      <c r="AU29" s="429">
        <f>IF(LEFT('non Forest LUC'!$D13,6)=LEFT(Matrix!$AP$24,6),IF(LEFT('non Forest LUC'!$F13,6)=LEFT(Matrix!AU$24,6),'non Forest LUC'!$F35,0),0)</f>
        <v>0</v>
      </c>
      <c r="AV29" s="429">
        <f>IF(LEFT('non Forest LUC'!$D13,6)=LEFT(Matrix!$AP$24,6),IF(LEFT('non Forest LUC'!$F13,6)=LEFT(Matrix!AV$24,6),'non Forest LUC'!$F35,0),0)</f>
        <v>0</v>
      </c>
      <c r="AW29" s="440"/>
      <c r="AX29" s="429">
        <f>IF(LEFT('non Forest LUC'!$D13,6)=LEFT(Matrix!$AW$24,6),IF(LEFT('non Forest LUC'!$F13,6)=LEFT(Matrix!AX$24,6),'non Forest LUC'!$F35,0),0)</f>
        <v>0</v>
      </c>
      <c r="AY29" s="429">
        <f>IF(LEFT('non Forest LUC'!$D13,6)=LEFT(Matrix!$AW$24,6),IF(LEFT('non Forest LUC'!$F13,6)=LEFT(Matrix!AY$24,6),'non Forest LUC'!$F35,0),0)</f>
        <v>0</v>
      </c>
      <c r="AZ29" s="429">
        <f>IF(LEFT('non Forest LUC'!$D13,6)=LEFT(Matrix!$AW$24,6),IF(LEFT('non Forest LUC'!$F13,6)=LEFT(Matrix!AZ$24,6),'non Forest LUC'!$F35,0),0)</f>
        <v>0</v>
      </c>
      <c r="BA29" s="429">
        <f>IF(LEFT('non Forest LUC'!$D13,6)=LEFT(Matrix!$AW$24,6),IF(LEFT('non Forest LUC'!$F13,6)=LEFT(Matrix!BA$24,6),'non Forest LUC'!$F35,0),0)</f>
        <v>0</v>
      </c>
      <c r="BB29" s="429">
        <f>IF(LEFT('non Forest LUC'!$D13,6)=LEFT(Matrix!$AW$24,6),IF(LEFT('non Forest LUC'!$F13,6)=LEFT(Matrix!BB$24,6),'non Forest LUC'!$F35,0),0)</f>
        <v>0</v>
      </c>
      <c r="BC29" s="429">
        <f>IF(LEFT('non Forest LUC'!$D13,6)=LEFT(Matrix!$AW$24,6),IF(LEFT('non Forest LUC'!$F13,6)=LEFT(Matrix!BC$24,6),'non Forest LUC'!$F35,0),0)</f>
        <v>0</v>
      </c>
      <c r="BD29" s="440"/>
      <c r="BE29" s="429">
        <f>IF(LEFT('non Forest LUC'!$D13,6)=LEFT(Matrix!$BD$24,6),IF(LEFT('non Forest LUC'!$F13,6)=LEFT(Matrix!BE$24,6),'non Forest LUC'!$F35,0),0)</f>
        <v>0</v>
      </c>
      <c r="BF29" s="429">
        <f>IF(LEFT('non Forest LUC'!$D13,6)=LEFT(Matrix!$BD$24,6),IF(LEFT('non Forest LUC'!$F13,6)=LEFT(Matrix!BF$24,6),'non Forest LUC'!$F35,0),0)</f>
        <v>0</v>
      </c>
      <c r="BG29" s="429">
        <f>IF(LEFT('non Forest LUC'!$D13,6)=LEFT(Matrix!$BD$24,6),IF(LEFT('non Forest LUC'!$F13,6)=LEFT(Matrix!BG$24,6),'non Forest LUC'!$F35,0),0)</f>
        <v>0</v>
      </c>
      <c r="BH29" s="429">
        <f>IF(LEFT('non Forest LUC'!$D13,6)=LEFT(Matrix!$BD$24,6),IF(LEFT('non Forest LUC'!$F13,6)=LEFT(Matrix!BH$24,6),'non Forest LUC'!$F35,0),0)</f>
        <v>0</v>
      </c>
      <c r="BI29" s="429">
        <f>IF(LEFT('non Forest LUC'!$D13,6)=LEFT(Matrix!$BD$24,6),IF(LEFT('non Forest LUC'!$F13,6)=LEFT(Matrix!BI$24,6),'non Forest LUC'!$F35,0),0)</f>
        <v>0</v>
      </c>
      <c r="BJ29" s="429">
        <f>IF(LEFT('non Forest LUC'!$D13,6)=LEFT(Matrix!$BD$24,6),IF(LEFT('non Forest LUC'!$F13,6)=LEFT(Matrix!BJ$24,6),'non Forest LUC'!$F35,0),0)</f>
        <v>0</v>
      </c>
      <c r="BK29" s="440"/>
      <c r="BL29" s="429">
        <f>IF(LEFT('non Forest LUC'!$D13,6)=LEFT(Matrix!$BK$24,6),IF(LEFT('non Forest LUC'!$F13,6)=LEFT(Matrix!BL$24,6),'non Forest LUC'!$F35,0),0)</f>
        <v>0</v>
      </c>
      <c r="BM29" s="429">
        <f>IF(LEFT('non Forest LUC'!$D13,6)=LEFT(Matrix!$BK$24,6),IF(LEFT('non Forest LUC'!$F13,6)=LEFT(Matrix!BM$24,6),'non Forest LUC'!$F35,0),0)</f>
        <v>0</v>
      </c>
      <c r="BN29" s="429">
        <f>IF(LEFT('non Forest LUC'!$D13,6)=LEFT(Matrix!$BK$24,6),IF(LEFT('non Forest LUC'!$F13,6)=LEFT(Matrix!BN$24,6),'non Forest LUC'!$F35,0),0)</f>
        <v>0</v>
      </c>
      <c r="BO29" s="429">
        <f>IF(LEFT('non Forest LUC'!$D13,6)=LEFT(Matrix!$BK$24,6),IF(LEFT('non Forest LUC'!$F13,6)=LEFT(Matrix!BO$24,6),'non Forest LUC'!$F35,0),0)</f>
        <v>0</v>
      </c>
      <c r="BP29" s="429">
        <f>IF(LEFT('non Forest LUC'!$D13,6)=LEFT(Matrix!$BK$24,6),IF(LEFT('non Forest LUC'!$F13,6)=LEFT(Matrix!BP$24,6),'non Forest LUC'!$F35,0),0)</f>
        <v>0</v>
      </c>
      <c r="BQ29" s="429">
        <f>IF(LEFT('non Forest LUC'!$D13,6)=LEFT(Matrix!$BK$24,6),IF(LEFT('non Forest LUC'!$F13,6)=LEFT(Matrix!BQ$24,6),'non Forest LUC'!$F35,0),0)</f>
        <v>0</v>
      </c>
      <c r="BR29" s="440"/>
      <c r="BS29" s="429">
        <f>IF(LEFT('non Forest LUC'!$D13,6)=LEFT(Matrix!$BR$24,6),IF(LEFT('non Forest LUC'!$F13,6)=LEFT(Matrix!BS$24,6),'non Forest LUC'!$F35,0),0)</f>
        <v>0</v>
      </c>
      <c r="BT29" s="429">
        <f>IF(LEFT('non Forest LUC'!$D13,6)=LEFT(Matrix!$BR$24,6),IF(LEFT('non Forest LUC'!$F13,6)=LEFT(Matrix!BT$24,6),'non Forest LUC'!$F35,0),0)</f>
        <v>0</v>
      </c>
      <c r="BU29" s="429">
        <f>IF(LEFT('non Forest LUC'!$D13,6)=LEFT(Matrix!$BR$24,6),IF(LEFT('non Forest LUC'!$F13,6)=LEFT(Matrix!BU$24,6),'non Forest LUC'!$F35,0),0)</f>
        <v>0</v>
      </c>
      <c r="BV29" s="429">
        <f>IF(LEFT('non Forest LUC'!$D13,6)=LEFT(Matrix!$BR$24,6),IF(LEFT('non Forest LUC'!$F13,6)=LEFT(Matrix!BV$24,6),'non Forest LUC'!$F35,0),0)</f>
        <v>0</v>
      </c>
      <c r="BW29" s="429">
        <f>IF(LEFT('non Forest LUC'!$D13,6)=LEFT(Matrix!$BR$24,6),IF(LEFT('non Forest LUC'!$F13,6)=LEFT(Matrix!BW$24,6),'non Forest LUC'!$F35,0),0)</f>
        <v>0</v>
      </c>
      <c r="BX29" s="429">
        <f>IF(LEFT('non Forest LUC'!$D13,6)=LEFT(Matrix!$BR$24,6),IF(LEFT('non Forest LUC'!$F13,6)=LEFT(Matrix!BX$24,6),'non Forest LUC'!$F35,0),0)</f>
        <v>0</v>
      </c>
      <c r="BY29" s="440"/>
      <c r="BZ29" s="429">
        <f>IF(LEFT('non Forest LUC'!$D13,6)=LEFT(Matrix!$BY$24,6),IF(LEFT('non Forest LUC'!$F13,6)=LEFT(Matrix!BZ$24,6),'non Forest LUC'!$F35,0),0)</f>
        <v>0</v>
      </c>
      <c r="CA29" s="429">
        <f>IF(LEFT('non Forest LUC'!$D13,6)=LEFT(Matrix!$BY$24,6),IF(LEFT('non Forest LUC'!$F13,6)=LEFT(Matrix!CA$24,6),'non Forest LUC'!$F35,0),0)</f>
        <v>0</v>
      </c>
      <c r="CB29" s="429">
        <f>IF(LEFT('non Forest LUC'!$D13,6)=LEFT(Matrix!$BY$24,6),IF(LEFT('non Forest LUC'!$F13,6)=LEFT(Matrix!CB$24,6),'non Forest LUC'!$F35,0),0)</f>
        <v>0</v>
      </c>
      <c r="CC29" s="429">
        <f>IF(LEFT('non Forest LUC'!$D13,6)=LEFT(Matrix!$BY$24,6),IF(LEFT('non Forest LUC'!$F13,6)=LEFT(Matrix!CC$24,6),'non Forest LUC'!$F35,0),0)</f>
        <v>0</v>
      </c>
      <c r="CD29" s="429">
        <f>IF(LEFT('non Forest LUC'!$D13,6)=LEFT(Matrix!$BY$24,6),IF(LEFT('non Forest LUC'!$F13,6)=LEFT(Matrix!CD$24,6),'non Forest LUC'!$F35,0),0)</f>
        <v>0</v>
      </c>
      <c r="CE29" s="429">
        <f>IF(LEFT('non Forest LUC'!$D13,6)=LEFT(Matrix!$BY$24,6),IF(LEFT('non Forest LUC'!$F13,6)=LEFT(Matrix!CE$24,6),'non Forest LUC'!$F35,0),0)</f>
        <v>0</v>
      </c>
      <c r="CF29" s="440"/>
      <c r="CG29" s="429">
        <f>IF(LEFT('non Forest LUC'!$D13,6)=LEFT(Matrix!$CF$24,6),IF(LEFT('non Forest LUC'!$F13,6)=LEFT(Matrix!CG$24,6),'non Forest LUC'!$F35,0),0)</f>
        <v>0</v>
      </c>
      <c r="CH29" s="429">
        <f>IF(LEFT('non Forest LUC'!$D13,6)=LEFT(Matrix!$CF$24,6),IF(LEFT('non Forest LUC'!$F13,6)=LEFT(Matrix!CH$24,6),'non Forest LUC'!$F35,0),0)</f>
        <v>0</v>
      </c>
      <c r="CI29" s="429">
        <f>IF(LEFT('non Forest LUC'!$D13,6)=LEFT(Matrix!$CF$24,6),IF(LEFT('non Forest LUC'!$F13,6)=LEFT(Matrix!CI$24,6),'non Forest LUC'!$F35,0),0)</f>
        <v>0</v>
      </c>
      <c r="CJ29" s="429">
        <f>IF(LEFT('non Forest LUC'!$D13,6)=LEFT(Matrix!$CF$24,6),IF(LEFT('non Forest LUC'!$F13,6)=LEFT(Matrix!CJ$24,6),'non Forest LUC'!$F35,0),0)</f>
        <v>0</v>
      </c>
      <c r="CK29" s="429">
        <f>IF(LEFT('non Forest LUC'!$D13,6)=LEFT(Matrix!$CF$24,6),IF(LEFT('non Forest LUC'!$F13,6)=LEFT(Matrix!CK$24,6),'non Forest LUC'!$F35,0),0)</f>
        <v>0</v>
      </c>
      <c r="CL29" s="429">
        <f>IF(LEFT('non Forest LUC'!$D13,6)=LEFT(Matrix!$CF$24,6),IF(LEFT('non Forest LUC'!$F13,6)=LEFT(Matrix!CL$24,6),'non Forest LUC'!$F35,0),0)</f>
        <v>0</v>
      </c>
    </row>
    <row r="30" spans="2:93">
      <c r="B30" s="510"/>
      <c r="C30" s="475"/>
      <c r="D30" s="467" t="s">
        <v>1093</v>
      </c>
      <c r="E30" s="513">
        <f>AK35</f>
        <v>0</v>
      </c>
      <c r="F30" s="477">
        <f>BE38</f>
        <v>0</v>
      </c>
      <c r="G30" s="477">
        <f>BF38</f>
        <v>0</v>
      </c>
      <c r="H30" s="478">
        <f>'Irrigated Rice'!C46+'Irrigated Rice'!F33+'Irrigated Rice'!F35</f>
        <v>0</v>
      </c>
      <c r="I30" s="479">
        <f>BH38</f>
        <v>0</v>
      </c>
      <c r="J30" s="472">
        <f>BI38</f>
        <v>0</v>
      </c>
      <c r="K30" s="480">
        <f>BJ38+BG38</f>
        <v>0</v>
      </c>
      <c r="L30" s="240"/>
      <c r="M30" s="463">
        <f t="shared" si="16"/>
        <v>0</v>
      </c>
      <c r="O30" s="474"/>
      <c r="P30" s="474"/>
      <c r="Q30" s="474"/>
      <c r="R30" s="474"/>
      <c r="S30" s="474"/>
      <c r="T30" s="474"/>
      <c r="U30" s="474"/>
      <c r="W30" s="435"/>
      <c r="X30" s="455">
        <f>IF(Deforestation!$I33=X$24,1,0)*Deforestation!$I48</f>
        <v>0</v>
      </c>
      <c r="Y30" s="455">
        <f>IF(Deforestation!$I33=Y$24,1,0)*Deforestation!$I48</f>
        <v>0</v>
      </c>
      <c r="Z30" s="455">
        <f>IF(Deforestation!$I33=Z$24,1,0)*Deforestation!$I48</f>
        <v>0</v>
      </c>
      <c r="AA30" s="455">
        <f>IF(Deforestation!$I33=AA$24,1,0)*Deforestation!$I48</f>
        <v>0</v>
      </c>
      <c r="AB30" s="455">
        <f>IF(Deforestation!$I33=AB$24,1,0)*Deforestation!$I48</f>
        <v>0</v>
      </c>
      <c r="AC30" s="455">
        <f>IF(Deforestation!$I33=AC$24,1,0)*Deforestation!$I48</f>
        <v>0</v>
      </c>
      <c r="AD30" s="455">
        <f>IF(Deforestation!$I33=AD$24,1,0)*Deforestation!$I48</f>
        <v>0</v>
      </c>
      <c r="AE30" s="455">
        <f>IF(Deforestation!$I33=AE$24,1,0)*Deforestation!$I48</f>
        <v>0</v>
      </c>
      <c r="AG30" s="437">
        <f>IF(AG$8='A-R'!$E33,'A-R'!$G48,0)</f>
        <v>0</v>
      </c>
      <c r="AH30" s="437">
        <f>IF(AH$8='A-R'!$E33,'A-R'!$G48,0)</f>
        <v>0</v>
      </c>
      <c r="AI30" s="437">
        <f>IF(AI$8='A-R'!$E33,'A-R'!$G48,0)</f>
        <v>0</v>
      </c>
      <c r="AJ30" s="437">
        <f>IF(AJ$8='A-R'!$E33,'A-R'!$G48,0)</f>
        <v>0</v>
      </c>
      <c r="AK30" s="437">
        <f>IF(AK$8='A-R'!$E33,'A-R'!$G48,0)</f>
        <v>0</v>
      </c>
      <c r="AL30" s="437">
        <f>IF(AL$8='A-R'!$E33,'A-R'!$G48,0)</f>
        <v>0</v>
      </c>
      <c r="AM30" s="437">
        <f>IF(AM$8='A-R'!$E33,'A-R'!$G48,0)</f>
        <v>0</v>
      </c>
      <c r="AN30" s="437">
        <f>IF(AN$8='A-R'!$E33,'A-R'!$G48,0)</f>
        <v>0</v>
      </c>
      <c r="AP30" s="440"/>
      <c r="AQ30" s="429">
        <f>IF(LEFT('non Forest LUC'!$D14,6)=LEFT(Matrix!$AP$24,6),IF(LEFT('non Forest LUC'!$F14,6)=LEFT(Matrix!AQ$24,6),'non Forest LUC'!$F36,0),0)</f>
        <v>0</v>
      </c>
      <c r="AR30" s="429">
        <f>IF(LEFT('non Forest LUC'!$D14,6)=LEFT(Matrix!$AP$24,6),IF(LEFT('non Forest LUC'!$F14,6)=LEFT(Matrix!AR$24,6),'non Forest LUC'!$F36,0),0)</f>
        <v>0</v>
      </c>
      <c r="AS30" s="429">
        <f>IF(LEFT('non Forest LUC'!$D14,6)=LEFT(Matrix!$AP$24,6),IF(LEFT('non Forest LUC'!$F14,6)=LEFT(Matrix!AS$24,6),'non Forest LUC'!$F36,0),0)</f>
        <v>0</v>
      </c>
      <c r="AT30" s="429">
        <f>IF(LEFT('non Forest LUC'!$D14,6)=LEFT(Matrix!$AP$24,6),IF(LEFT('non Forest LUC'!$F14,6)=LEFT(Matrix!AT$24,6),'non Forest LUC'!$F36,0),0)</f>
        <v>0</v>
      </c>
      <c r="AU30" s="429">
        <f>IF(LEFT('non Forest LUC'!$D14,6)=LEFT(Matrix!$AP$24,6),IF(LEFT('non Forest LUC'!$F14,6)=LEFT(Matrix!AU$24,6),'non Forest LUC'!$F36,0),0)</f>
        <v>0</v>
      </c>
      <c r="AV30" s="429">
        <f>IF(LEFT('non Forest LUC'!$D14,6)=LEFT(Matrix!$AP$24,6),IF(LEFT('non Forest LUC'!$F14,6)=LEFT(Matrix!AV$24,6),'non Forest LUC'!$F36,0),0)</f>
        <v>0</v>
      </c>
      <c r="AW30" s="440"/>
      <c r="AX30" s="429">
        <f>IF(LEFT('non Forest LUC'!$D14,6)=LEFT(Matrix!$AW$24,6),IF(LEFT('non Forest LUC'!$F14,6)=LEFT(Matrix!AX$24,6),'non Forest LUC'!$F36,0),0)</f>
        <v>0</v>
      </c>
      <c r="AY30" s="429">
        <f>IF(LEFT('non Forest LUC'!$D14,6)=LEFT(Matrix!$AW$24,6),IF(LEFT('non Forest LUC'!$F14,6)=LEFT(Matrix!AY$24,6),'non Forest LUC'!$F36,0),0)</f>
        <v>0</v>
      </c>
      <c r="AZ30" s="429">
        <f>IF(LEFT('non Forest LUC'!$D14,6)=LEFT(Matrix!$AW$24,6),IF(LEFT('non Forest LUC'!$F14,6)=LEFT(Matrix!AZ$24,6),'non Forest LUC'!$F36,0),0)</f>
        <v>0</v>
      </c>
      <c r="BA30" s="429">
        <f>IF(LEFT('non Forest LUC'!$D14,6)=LEFT(Matrix!$AW$24,6),IF(LEFT('non Forest LUC'!$F14,6)=LEFT(Matrix!BA$24,6),'non Forest LUC'!$F36,0),0)</f>
        <v>0</v>
      </c>
      <c r="BB30" s="429">
        <f>IF(LEFT('non Forest LUC'!$D14,6)=LEFT(Matrix!$AW$24,6),IF(LEFT('non Forest LUC'!$F14,6)=LEFT(Matrix!BB$24,6),'non Forest LUC'!$F36,0),0)</f>
        <v>0</v>
      </c>
      <c r="BC30" s="429">
        <f>IF(LEFT('non Forest LUC'!$D14,6)=LEFT(Matrix!$AW$24,6),IF(LEFT('non Forest LUC'!$F14,6)=LEFT(Matrix!BC$24,6),'non Forest LUC'!$F36,0),0)</f>
        <v>0</v>
      </c>
      <c r="BD30" s="440"/>
      <c r="BE30" s="429">
        <f>IF(LEFT('non Forest LUC'!$D14,6)=LEFT(Matrix!$BD$24,6),IF(LEFT('non Forest LUC'!$F14,6)=LEFT(Matrix!BE$24,6),'non Forest LUC'!$F36,0),0)</f>
        <v>0</v>
      </c>
      <c r="BF30" s="429">
        <f>IF(LEFT('non Forest LUC'!$D14,6)=LEFT(Matrix!$BD$24,6),IF(LEFT('non Forest LUC'!$F14,6)=LEFT(Matrix!BF$24,6),'non Forest LUC'!$F36,0),0)</f>
        <v>0</v>
      </c>
      <c r="BG30" s="429">
        <f>IF(LEFT('non Forest LUC'!$D14,6)=LEFT(Matrix!$BD$24,6),IF(LEFT('non Forest LUC'!$F14,6)=LEFT(Matrix!BG$24,6),'non Forest LUC'!$F36,0),0)</f>
        <v>0</v>
      </c>
      <c r="BH30" s="429">
        <f>IF(LEFT('non Forest LUC'!$D14,6)=LEFT(Matrix!$BD$24,6),IF(LEFT('non Forest LUC'!$F14,6)=LEFT(Matrix!BH$24,6),'non Forest LUC'!$F36,0),0)</f>
        <v>0</v>
      </c>
      <c r="BI30" s="429">
        <f>IF(LEFT('non Forest LUC'!$D14,6)=LEFT(Matrix!$BD$24,6),IF(LEFT('non Forest LUC'!$F14,6)=LEFT(Matrix!BI$24,6),'non Forest LUC'!$F36,0),0)</f>
        <v>0</v>
      </c>
      <c r="BJ30" s="429">
        <f>IF(LEFT('non Forest LUC'!$D14,6)=LEFT(Matrix!$BD$24,6),IF(LEFT('non Forest LUC'!$F14,6)=LEFT(Matrix!BJ$24,6),'non Forest LUC'!$F36,0),0)</f>
        <v>0</v>
      </c>
      <c r="BK30" s="440"/>
      <c r="BL30" s="429">
        <f>IF(LEFT('non Forest LUC'!$D14,6)=LEFT(Matrix!$BK$24,6),IF(LEFT('non Forest LUC'!$F14,6)=LEFT(Matrix!BL$24,6),'non Forest LUC'!$F36,0),0)</f>
        <v>0</v>
      </c>
      <c r="BM30" s="429">
        <f>IF(LEFT('non Forest LUC'!$D14,6)=LEFT(Matrix!$BK$24,6),IF(LEFT('non Forest LUC'!$F14,6)=LEFT(Matrix!BM$24,6),'non Forest LUC'!$F36,0),0)</f>
        <v>0</v>
      </c>
      <c r="BN30" s="429">
        <f>IF(LEFT('non Forest LUC'!$D14,6)=LEFT(Matrix!$BK$24,6),IF(LEFT('non Forest LUC'!$F14,6)=LEFT(Matrix!BN$24,6),'non Forest LUC'!$F36,0),0)</f>
        <v>0</v>
      </c>
      <c r="BO30" s="429">
        <f>IF(LEFT('non Forest LUC'!$D14,6)=LEFT(Matrix!$BK$24,6),IF(LEFT('non Forest LUC'!$F14,6)=LEFT(Matrix!BO$24,6),'non Forest LUC'!$F36,0),0)</f>
        <v>0</v>
      </c>
      <c r="BP30" s="429">
        <f>IF(LEFT('non Forest LUC'!$D14,6)=LEFT(Matrix!$BK$24,6),IF(LEFT('non Forest LUC'!$F14,6)=LEFT(Matrix!BP$24,6),'non Forest LUC'!$F36,0),0)</f>
        <v>0</v>
      </c>
      <c r="BQ30" s="429">
        <f>IF(LEFT('non Forest LUC'!$D14,6)=LEFT(Matrix!$BK$24,6),IF(LEFT('non Forest LUC'!$F14,6)=LEFT(Matrix!BQ$24,6),'non Forest LUC'!$F36,0),0)</f>
        <v>0</v>
      </c>
      <c r="BR30" s="440"/>
      <c r="BS30" s="429">
        <f>IF(LEFT('non Forest LUC'!$D14,6)=LEFT(Matrix!$BR$24,6),IF(LEFT('non Forest LUC'!$F14,6)=LEFT(Matrix!BS$24,6),'non Forest LUC'!$F36,0),0)</f>
        <v>0</v>
      </c>
      <c r="BT30" s="429">
        <f>IF(LEFT('non Forest LUC'!$D14,6)=LEFT(Matrix!$BR$24,6),IF(LEFT('non Forest LUC'!$F14,6)=LEFT(Matrix!BT$24,6),'non Forest LUC'!$F36,0),0)</f>
        <v>0</v>
      </c>
      <c r="BU30" s="429">
        <f>IF(LEFT('non Forest LUC'!$D14,6)=LEFT(Matrix!$BR$24,6),IF(LEFT('non Forest LUC'!$F14,6)=LEFT(Matrix!BU$24,6),'non Forest LUC'!$F36,0),0)</f>
        <v>0</v>
      </c>
      <c r="BV30" s="429">
        <f>IF(LEFT('non Forest LUC'!$D14,6)=LEFT(Matrix!$BR$24,6),IF(LEFT('non Forest LUC'!$F14,6)=LEFT(Matrix!BV$24,6),'non Forest LUC'!$F36,0),0)</f>
        <v>0</v>
      </c>
      <c r="BW30" s="429">
        <f>IF(LEFT('non Forest LUC'!$D14,6)=LEFT(Matrix!$BR$24,6),IF(LEFT('non Forest LUC'!$F14,6)=LEFT(Matrix!BW$24,6),'non Forest LUC'!$F36,0),0)</f>
        <v>0</v>
      </c>
      <c r="BX30" s="429">
        <f>IF(LEFT('non Forest LUC'!$D14,6)=LEFT(Matrix!$BR$24,6),IF(LEFT('non Forest LUC'!$F14,6)=LEFT(Matrix!BX$24,6),'non Forest LUC'!$F36,0),0)</f>
        <v>0</v>
      </c>
      <c r="BY30" s="440"/>
      <c r="BZ30" s="429">
        <f>IF(LEFT('non Forest LUC'!$D14,6)=LEFT(Matrix!$BY$24,6),IF(LEFT('non Forest LUC'!$F14,6)=LEFT(Matrix!BZ$24,6),'non Forest LUC'!$F36,0),0)</f>
        <v>0</v>
      </c>
      <c r="CA30" s="429">
        <f>IF(LEFT('non Forest LUC'!$D14,6)=LEFT(Matrix!$BY$24,6),IF(LEFT('non Forest LUC'!$F14,6)=LEFT(Matrix!CA$24,6),'non Forest LUC'!$F36,0),0)</f>
        <v>0</v>
      </c>
      <c r="CB30" s="429">
        <f>IF(LEFT('non Forest LUC'!$D14,6)=LEFT(Matrix!$BY$24,6),IF(LEFT('non Forest LUC'!$F14,6)=LEFT(Matrix!CB$24,6),'non Forest LUC'!$F36,0),0)</f>
        <v>0</v>
      </c>
      <c r="CC30" s="429">
        <f>IF(LEFT('non Forest LUC'!$D14,6)=LEFT(Matrix!$BY$24,6),IF(LEFT('non Forest LUC'!$F14,6)=LEFT(Matrix!CC$24,6),'non Forest LUC'!$F36,0),0)</f>
        <v>0</v>
      </c>
      <c r="CD30" s="429">
        <f>IF(LEFT('non Forest LUC'!$D14,6)=LEFT(Matrix!$BY$24,6),IF(LEFT('non Forest LUC'!$F14,6)=LEFT(Matrix!CD$24,6),'non Forest LUC'!$F36,0),0)</f>
        <v>0</v>
      </c>
      <c r="CE30" s="429">
        <f>IF(LEFT('non Forest LUC'!$D14,6)=LEFT(Matrix!$BY$24,6),IF(LEFT('non Forest LUC'!$F14,6)=LEFT(Matrix!CE$24,6),'non Forest LUC'!$F36,0),0)</f>
        <v>0</v>
      </c>
      <c r="CF30" s="440"/>
      <c r="CG30" s="429">
        <f>IF(LEFT('non Forest LUC'!$D14,6)=LEFT(Matrix!$CF$24,6),IF(LEFT('non Forest LUC'!$F14,6)=LEFT(Matrix!CG$24,6),'non Forest LUC'!$F36,0),0)</f>
        <v>0</v>
      </c>
      <c r="CH30" s="429">
        <f>IF(LEFT('non Forest LUC'!$D14,6)=LEFT(Matrix!$CF$24,6),IF(LEFT('non Forest LUC'!$F14,6)=LEFT(Matrix!CH$24,6),'non Forest LUC'!$F36,0),0)</f>
        <v>0</v>
      </c>
      <c r="CI30" s="429">
        <f>IF(LEFT('non Forest LUC'!$D14,6)=LEFT(Matrix!$CF$24,6),IF(LEFT('non Forest LUC'!$F14,6)=LEFT(Matrix!CI$24,6),'non Forest LUC'!$F36,0),0)</f>
        <v>0</v>
      </c>
      <c r="CJ30" s="429">
        <f>IF(LEFT('non Forest LUC'!$D14,6)=LEFT(Matrix!$CF$24,6),IF(LEFT('non Forest LUC'!$F14,6)=LEFT(Matrix!CJ$24,6),'non Forest LUC'!$F36,0),0)</f>
        <v>0</v>
      </c>
      <c r="CK30" s="429">
        <f>IF(LEFT('non Forest LUC'!$D14,6)=LEFT(Matrix!$CF$24,6),IF(LEFT('non Forest LUC'!$F14,6)=LEFT(Matrix!CK$24,6),'non Forest LUC'!$F36,0),0)</f>
        <v>0</v>
      </c>
      <c r="CL30" s="429">
        <f>IF(LEFT('non Forest LUC'!$D14,6)=LEFT(Matrix!$CF$24,6),IF(LEFT('non Forest LUC'!$F14,6)=LEFT(Matrix!CL$24,6),'non Forest LUC'!$F36,0),0)</f>
        <v>0</v>
      </c>
    </row>
    <row r="31" spans="2:93">
      <c r="B31" s="510"/>
      <c r="C31" s="481" t="s">
        <v>329</v>
      </c>
      <c r="D31" s="467"/>
      <c r="E31" s="513">
        <f>AM35</f>
        <v>0</v>
      </c>
      <c r="F31" s="482">
        <f>BS38</f>
        <v>0</v>
      </c>
      <c r="G31" s="483">
        <f>BT38</f>
        <v>0</v>
      </c>
      <c r="H31" s="484">
        <f>BU38</f>
        <v>0</v>
      </c>
      <c r="I31" s="485">
        <f>Grass!G43+Grass!G30+Grass!G32</f>
        <v>0</v>
      </c>
      <c r="J31" s="472">
        <f>BW38</f>
        <v>0</v>
      </c>
      <c r="K31" s="480">
        <f>BV38+BX38</f>
        <v>0</v>
      </c>
      <c r="L31" s="240"/>
      <c r="M31" s="463">
        <f t="shared" si="16"/>
        <v>0</v>
      </c>
      <c r="O31" s="242"/>
      <c r="P31" s="242"/>
      <c r="Q31" s="242"/>
      <c r="R31" s="242"/>
      <c r="S31" s="242"/>
      <c r="T31" s="242"/>
      <c r="U31" s="242"/>
      <c r="W31" s="435"/>
      <c r="X31" s="455">
        <f>IF(Deforestation!$I34=X$24,1,0)*Deforestation!$I49</f>
        <v>0</v>
      </c>
      <c r="Y31" s="455">
        <f>IF(Deforestation!$I34=Y$24,1,0)*Deforestation!$I49</f>
        <v>0</v>
      </c>
      <c r="Z31" s="455">
        <f>IF(Deforestation!$I34=Z$24,1,0)*Deforestation!$I49</f>
        <v>0</v>
      </c>
      <c r="AA31" s="455">
        <f>IF(Deforestation!$I34=AA$24,1,0)*Deforestation!$I49</f>
        <v>0</v>
      </c>
      <c r="AB31" s="455">
        <f>IF(Deforestation!$I34=AB$24,1,0)*Deforestation!$I49</f>
        <v>0</v>
      </c>
      <c r="AC31" s="455">
        <f>IF(Deforestation!$I34=AC$24,1,0)*Deforestation!$I49</f>
        <v>0</v>
      </c>
      <c r="AD31" s="455">
        <f>IF(Deforestation!$I34=AD$24,1,0)*Deforestation!$I49</f>
        <v>0</v>
      </c>
      <c r="AE31" s="455">
        <f>IF(Deforestation!$I34=AE$24,1,0)*Deforestation!$I49</f>
        <v>0</v>
      </c>
      <c r="AG31" s="437">
        <f>IF(AG$8='A-R'!$E34,'A-R'!$G49,0)</f>
        <v>0</v>
      </c>
      <c r="AH31" s="437">
        <f>IF(AH$8='A-R'!$E34,'A-R'!$G49,0)</f>
        <v>0</v>
      </c>
      <c r="AI31" s="437">
        <f>IF(AI$8='A-R'!$E34,'A-R'!$G49,0)</f>
        <v>0</v>
      </c>
      <c r="AJ31" s="437">
        <f>IF(AJ$8='A-R'!$E34,'A-R'!$G49,0)</f>
        <v>0</v>
      </c>
      <c r="AK31" s="437">
        <f>IF(AK$8='A-R'!$E34,'A-R'!$G49,0)</f>
        <v>0</v>
      </c>
      <c r="AL31" s="437">
        <f>IF(AL$8='A-R'!$E34,'A-R'!$G49,0)</f>
        <v>0</v>
      </c>
      <c r="AM31" s="437">
        <f>IF(AM$8='A-R'!$E34,'A-R'!$G49,0)</f>
        <v>0</v>
      </c>
      <c r="AN31" s="437">
        <f>IF(AN$8='A-R'!$E34,'A-R'!$G49,0)</f>
        <v>0</v>
      </c>
      <c r="AP31" s="440"/>
      <c r="AQ31" s="429">
        <f>IF(LEFT('non Forest LUC'!$D15,6)=LEFT(Matrix!$AP$24,6),IF(LEFT('non Forest LUC'!$F15,6)=LEFT(Matrix!AQ$24,6),'non Forest LUC'!$F37,0),0)</f>
        <v>0</v>
      </c>
      <c r="AR31" s="429">
        <f>IF(LEFT('non Forest LUC'!$D15,6)=LEFT(Matrix!$AP$24,6),IF(LEFT('non Forest LUC'!$F15,6)=LEFT(Matrix!AR$24,6),'non Forest LUC'!$F37,0),0)</f>
        <v>0</v>
      </c>
      <c r="AS31" s="429">
        <f>IF(LEFT('non Forest LUC'!$D15,6)=LEFT(Matrix!$AP$24,6),IF(LEFT('non Forest LUC'!$F15,6)=LEFT(Matrix!AS$24,6),'non Forest LUC'!$F37,0),0)</f>
        <v>0</v>
      </c>
      <c r="AT31" s="429">
        <f>IF(LEFT('non Forest LUC'!$D15,6)=LEFT(Matrix!$AP$24,6),IF(LEFT('non Forest LUC'!$F15,6)=LEFT(Matrix!AT$24,6),'non Forest LUC'!$F37,0),0)</f>
        <v>0</v>
      </c>
      <c r="AU31" s="429">
        <f>IF(LEFT('non Forest LUC'!$D15,6)=LEFT(Matrix!$AP$24,6),IF(LEFT('non Forest LUC'!$F15,6)=LEFT(Matrix!AU$24,6),'non Forest LUC'!$F37,0),0)</f>
        <v>0</v>
      </c>
      <c r="AV31" s="429">
        <f>IF(LEFT('non Forest LUC'!$D15,6)=LEFT(Matrix!$AP$24,6),IF(LEFT('non Forest LUC'!$F15,6)=LEFT(Matrix!AV$24,6),'non Forest LUC'!$F37,0),0)</f>
        <v>0</v>
      </c>
      <c r="AW31" s="440"/>
      <c r="AX31" s="429">
        <f>IF(LEFT('non Forest LUC'!$D15,6)=LEFT(Matrix!$AW$24,6),IF(LEFT('non Forest LUC'!$F15,6)=LEFT(Matrix!AX$24,6),'non Forest LUC'!$F37,0),0)</f>
        <v>0</v>
      </c>
      <c r="AY31" s="429">
        <f>IF(LEFT('non Forest LUC'!$D15,6)=LEFT(Matrix!$AW$24,6),IF(LEFT('non Forest LUC'!$F15,6)=LEFT(Matrix!AY$24,6),'non Forest LUC'!$F37,0),0)</f>
        <v>0</v>
      </c>
      <c r="AZ31" s="429">
        <f>IF(LEFT('non Forest LUC'!$D15,6)=LEFT(Matrix!$AW$24,6),IF(LEFT('non Forest LUC'!$F15,6)=LEFT(Matrix!AZ$24,6),'non Forest LUC'!$F37,0),0)</f>
        <v>0</v>
      </c>
      <c r="BA31" s="429">
        <f>IF(LEFT('non Forest LUC'!$D15,6)=LEFT(Matrix!$AW$24,6),IF(LEFT('non Forest LUC'!$F15,6)=LEFT(Matrix!BA$24,6),'non Forest LUC'!$F37,0),0)</f>
        <v>0</v>
      </c>
      <c r="BB31" s="429">
        <f>IF(LEFT('non Forest LUC'!$D15,6)=LEFT(Matrix!$AW$24,6),IF(LEFT('non Forest LUC'!$F15,6)=LEFT(Matrix!BB$24,6),'non Forest LUC'!$F37,0),0)</f>
        <v>0</v>
      </c>
      <c r="BC31" s="429">
        <f>IF(LEFT('non Forest LUC'!$D15,6)=LEFT(Matrix!$AW$24,6),IF(LEFT('non Forest LUC'!$F15,6)=LEFT(Matrix!BC$24,6),'non Forest LUC'!$F37,0),0)</f>
        <v>0</v>
      </c>
      <c r="BD31" s="440"/>
      <c r="BE31" s="429">
        <f>IF(LEFT('non Forest LUC'!$D15,6)=LEFT(Matrix!$BD$24,6),IF(LEFT('non Forest LUC'!$F15,6)=LEFT(Matrix!BE$24,6),'non Forest LUC'!$F37,0),0)</f>
        <v>0</v>
      </c>
      <c r="BF31" s="429">
        <f>IF(LEFT('non Forest LUC'!$D15,6)=LEFT(Matrix!$BD$24,6),IF(LEFT('non Forest LUC'!$F15,6)=LEFT(Matrix!BF$24,6),'non Forest LUC'!$F37,0),0)</f>
        <v>0</v>
      </c>
      <c r="BG31" s="429">
        <f>IF(LEFT('non Forest LUC'!$D15,6)=LEFT(Matrix!$BD$24,6),IF(LEFT('non Forest LUC'!$F15,6)=LEFT(Matrix!BG$24,6),'non Forest LUC'!$F37,0),0)</f>
        <v>0</v>
      </c>
      <c r="BH31" s="429">
        <f>IF(LEFT('non Forest LUC'!$D15,6)=LEFT(Matrix!$BD$24,6),IF(LEFT('non Forest LUC'!$F15,6)=LEFT(Matrix!BH$24,6),'non Forest LUC'!$F37,0),0)</f>
        <v>0</v>
      </c>
      <c r="BI31" s="429">
        <f>IF(LEFT('non Forest LUC'!$D15,6)=LEFT(Matrix!$BD$24,6),IF(LEFT('non Forest LUC'!$F15,6)=LEFT(Matrix!BI$24,6),'non Forest LUC'!$F37,0),0)</f>
        <v>0</v>
      </c>
      <c r="BJ31" s="429">
        <f>IF(LEFT('non Forest LUC'!$D15,6)=LEFT(Matrix!$BD$24,6),IF(LEFT('non Forest LUC'!$F15,6)=LEFT(Matrix!BJ$24,6),'non Forest LUC'!$F37,0),0)</f>
        <v>0</v>
      </c>
      <c r="BK31" s="440"/>
      <c r="BL31" s="429">
        <f>IF(LEFT('non Forest LUC'!$D15,6)=LEFT(Matrix!$BK$24,6),IF(LEFT('non Forest LUC'!$F15,6)=LEFT(Matrix!BL$24,6),'non Forest LUC'!$F37,0),0)</f>
        <v>0</v>
      </c>
      <c r="BM31" s="429">
        <f>IF(LEFT('non Forest LUC'!$D15,6)=LEFT(Matrix!$BK$24,6),IF(LEFT('non Forest LUC'!$F15,6)=LEFT(Matrix!BM$24,6),'non Forest LUC'!$F37,0),0)</f>
        <v>0</v>
      </c>
      <c r="BN31" s="429">
        <f>IF(LEFT('non Forest LUC'!$D15,6)=LEFT(Matrix!$BK$24,6),IF(LEFT('non Forest LUC'!$F15,6)=LEFT(Matrix!BN$24,6),'non Forest LUC'!$F37,0),0)</f>
        <v>0</v>
      </c>
      <c r="BO31" s="429">
        <f>IF(LEFT('non Forest LUC'!$D15,6)=LEFT(Matrix!$BK$24,6),IF(LEFT('non Forest LUC'!$F15,6)=LEFT(Matrix!BO$24,6),'non Forest LUC'!$F37,0),0)</f>
        <v>0</v>
      </c>
      <c r="BP31" s="429">
        <f>IF(LEFT('non Forest LUC'!$D15,6)=LEFT(Matrix!$BK$24,6),IF(LEFT('non Forest LUC'!$F15,6)=LEFT(Matrix!BP$24,6),'non Forest LUC'!$F37,0),0)</f>
        <v>0</v>
      </c>
      <c r="BQ31" s="429">
        <f>IF(LEFT('non Forest LUC'!$D15,6)=LEFT(Matrix!$BK$24,6),IF(LEFT('non Forest LUC'!$F15,6)=LEFT(Matrix!BQ$24,6),'non Forest LUC'!$F37,0),0)</f>
        <v>0</v>
      </c>
      <c r="BR31" s="440"/>
      <c r="BS31" s="429">
        <f>IF(LEFT('non Forest LUC'!$D15,6)=LEFT(Matrix!$BR$24,6),IF(LEFT('non Forest LUC'!$F15,6)=LEFT(Matrix!BS$24,6),'non Forest LUC'!$F37,0),0)</f>
        <v>0</v>
      </c>
      <c r="BT31" s="429">
        <f>IF(LEFT('non Forest LUC'!$D15,6)=LEFT(Matrix!$BR$24,6),IF(LEFT('non Forest LUC'!$F15,6)=LEFT(Matrix!BT$24,6),'non Forest LUC'!$F37,0),0)</f>
        <v>0</v>
      </c>
      <c r="BU31" s="429">
        <f>IF(LEFT('non Forest LUC'!$D15,6)=LEFT(Matrix!$BR$24,6),IF(LEFT('non Forest LUC'!$F15,6)=LEFT(Matrix!BU$24,6),'non Forest LUC'!$F37,0),0)</f>
        <v>0</v>
      </c>
      <c r="BV31" s="429">
        <f>IF(LEFT('non Forest LUC'!$D15,6)=LEFT(Matrix!$BR$24,6),IF(LEFT('non Forest LUC'!$F15,6)=LEFT(Matrix!BV$24,6),'non Forest LUC'!$F37,0),0)</f>
        <v>0</v>
      </c>
      <c r="BW31" s="429">
        <f>IF(LEFT('non Forest LUC'!$D15,6)=LEFT(Matrix!$BR$24,6),IF(LEFT('non Forest LUC'!$F15,6)=LEFT(Matrix!BW$24,6),'non Forest LUC'!$F37,0),0)</f>
        <v>0</v>
      </c>
      <c r="BX31" s="429">
        <f>IF(LEFT('non Forest LUC'!$D15,6)=LEFT(Matrix!$BR$24,6),IF(LEFT('non Forest LUC'!$F15,6)=LEFT(Matrix!BX$24,6),'non Forest LUC'!$F37,0),0)</f>
        <v>0</v>
      </c>
      <c r="BY31" s="440"/>
      <c r="BZ31" s="429">
        <f>IF(LEFT('non Forest LUC'!$D15,6)=LEFT(Matrix!$BY$24,6),IF(LEFT('non Forest LUC'!$F15,6)=LEFT(Matrix!BZ$24,6),'non Forest LUC'!$F37,0),0)</f>
        <v>0</v>
      </c>
      <c r="CA31" s="429">
        <f>IF(LEFT('non Forest LUC'!$D15,6)=LEFT(Matrix!$BY$24,6),IF(LEFT('non Forest LUC'!$F15,6)=LEFT(Matrix!CA$24,6),'non Forest LUC'!$F37,0),0)</f>
        <v>0</v>
      </c>
      <c r="CB31" s="429">
        <f>IF(LEFT('non Forest LUC'!$D15,6)=LEFT(Matrix!$BY$24,6),IF(LEFT('non Forest LUC'!$F15,6)=LEFT(Matrix!CB$24,6),'non Forest LUC'!$F37,0),0)</f>
        <v>0</v>
      </c>
      <c r="CC31" s="429">
        <f>IF(LEFT('non Forest LUC'!$D15,6)=LEFT(Matrix!$BY$24,6),IF(LEFT('non Forest LUC'!$F15,6)=LEFT(Matrix!CC$24,6),'non Forest LUC'!$F37,0),0)</f>
        <v>0</v>
      </c>
      <c r="CD31" s="429">
        <f>IF(LEFT('non Forest LUC'!$D15,6)=LEFT(Matrix!$BY$24,6),IF(LEFT('non Forest LUC'!$F15,6)=LEFT(Matrix!CD$24,6),'non Forest LUC'!$F37,0),0)</f>
        <v>0</v>
      </c>
      <c r="CE31" s="429">
        <f>IF(LEFT('non Forest LUC'!$D15,6)=LEFT(Matrix!$BY$24,6),IF(LEFT('non Forest LUC'!$F15,6)=LEFT(Matrix!CE$24,6),'non Forest LUC'!$F37,0),0)</f>
        <v>0</v>
      </c>
      <c r="CF31" s="440"/>
      <c r="CG31" s="429">
        <f>IF(LEFT('non Forest LUC'!$D15,6)=LEFT(Matrix!$CF$24,6),IF(LEFT('non Forest LUC'!$F15,6)=LEFT(Matrix!CG$24,6),'non Forest LUC'!$F37,0),0)</f>
        <v>0</v>
      </c>
      <c r="CH31" s="429">
        <f>IF(LEFT('non Forest LUC'!$D15,6)=LEFT(Matrix!$CF$24,6),IF(LEFT('non Forest LUC'!$F15,6)=LEFT(Matrix!CH$24,6),'non Forest LUC'!$F37,0),0)</f>
        <v>0</v>
      </c>
      <c r="CI31" s="429">
        <f>IF(LEFT('non Forest LUC'!$D15,6)=LEFT(Matrix!$CF$24,6),IF(LEFT('non Forest LUC'!$F15,6)=LEFT(Matrix!CI$24,6),'non Forest LUC'!$F37,0),0)</f>
        <v>0</v>
      </c>
      <c r="CJ31" s="429">
        <f>IF(LEFT('non Forest LUC'!$D15,6)=LEFT(Matrix!$CF$24,6),IF(LEFT('non Forest LUC'!$F15,6)=LEFT(Matrix!CJ$24,6),'non Forest LUC'!$F37,0),0)</f>
        <v>0</v>
      </c>
      <c r="CK31" s="429">
        <f>IF(LEFT('non Forest LUC'!$D15,6)=LEFT(Matrix!$CF$24,6),IF(LEFT('non Forest LUC'!$F15,6)=LEFT(Matrix!CK$24,6),'non Forest LUC'!$F37,0),0)</f>
        <v>0</v>
      </c>
      <c r="CL31" s="429">
        <f>IF(LEFT('non Forest LUC'!$D15,6)=LEFT(Matrix!$CF$24,6),IF(LEFT('non Forest LUC'!$F15,6)=LEFT(Matrix!CL$24,6),'non Forest LUC'!$F37,0),0)</f>
        <v>0</v>
      </c>
    </row>
    <row r="32" spans="2:93">
      <c r="B32" s="465"/>
      <c r="C32" s="481" t="s">
        <v>1088</v>
      </c>
      <c r="D32" s="486" t="s">
        <v>1187</v>
      </c>
      <c r="E32" s="476">
        <f>AN35</f>
        <v>0</v>
      </c>
      <c r="F32" s="477">
        <f>BZ38</f>
        <v>0</v>
      </c>
      <c r="G32" s="477">
        <f>CA38</f>
        <v>0</v>
      </c>
      <c r="H32" s="477">
        <f>CB38</f>
        <v>0</v>
      </c>
      <c r="I32" s="477">
        <f>CD38</f>
        <v>0</v>
      </c>
      <c r="J32" s="487">
        <f>MAX((SUM(E15:I15)+K15),(SUM(E32:I32)+K32))-(SUM(E32:I32)+K32)</f>
        <v>0</v>
      </c>
      <c r="K32" s="488">
        <f>CE38+CC38</f>
        <v>0</v>
      </c>
      <c r="L32" s="240"/>
      <c r="M32" s="463">
        <f t="shared" si="16"/>
        <v>0</v>
      </c>
      <c r="W32" s="435"/>
      <c r="X32" s="455">
        <f>IF(Deforestation!$I35=X$24,1,0)*Deforestation!$I50</f>
        <v>0</v>
      </c>
      <c r="Y32" s="455">
        <f>IF(Deforestation!$I35=Y$24,1,0)*Deforestation!$I50</f>
        <v>0</v>
      </c>
      <c r="Z32" s="455">
        <f>IF(Deforestation!$I35=Z$24,1,0)*Deforestation!$I50</f>
        <v>0</v>
      </c>
      <c r="AA32" s="455">
        <f>IF(Deforestation!$I35=AA$24,1,0)*Deforestation!$I50</f>
        <v>0</v>
      </c>
      <c r="AB32" s="455">
        <f>IF(Deforestation!$I35=AB$24,1,0)*Deforestation!$I50</f>
        <v>0</v>
      </c>
      <c r="AC32" s="455">
        <f>IF(Deforestation!$I35=AC$24,1,0)*Deforestation!$I50</f>
        <v>0</v>
      </c>
      <c r="AD32" s="455">
        <f>IF(Deforestation!$I35=AD$24,1,0)*Deforestation!$I50</f>
        <v>0</v>
      </c>
      <c r="AE32" s="455">
        <f>IF(Deforestation!$I35=AE$24,1,0)*Deforestation!$I50</f>
        <v>0</v>
      </c>
      <c r="AG32" s="437">
        <f>IF(AG$8='A-R'!$E35,'A-R'!$G50,0)</f>
        <v>0</v>
      </c>
      <c r="AH32" s="437">
        <f>IF(AH$8='A-R'!$E35,'A-R'!$G50,0)</f>
        <v>0</v>
      </c>
      <c r="AI32" s="437">
        <f>IF(AI$8='A-R'!$E35,'A-R'!$G50,0)</f>
        <v>0</v>
      </c>
      <c r="AJ32" s="437">
        <f>IF(AJ$8='A-R'!$E35,'A-R'!$G50,0)</f>
        <v>0</v>
      </c>
      <c r="AK32" s="437">
        <f>IF(AK$8='A-R'!$E35,'A-R'!$G50,0)</f>
        <v>0</v>
      </c>
      <c r="AL32" s="437">
        <f>IF(AL$8='A-R'!$E35,'A-R'!$G50,0)</f>
        <v>0</v>
      </c>
      <c r="AM32" s="437">
        <f>IF(AM$8='A-R'!$E35,'A-R'!$G50,0)</f>
        <v>0</v>
      </c>
      <c r="AN32" s="437">
        <f>IF(AN$8='A-R'!$E35,'A-R'!$G50,0)</f>
        <v>0</v>
      </c>
      <c r="AP32" s="440"/>
      <c r="AQ32" s="429">
        <f>IF(LEFT('non Forest LUC'!$D16,6)=LEFT(Matrix!$AP$24,6),IF(LEFT('non Forest LUC'!$F16,6)=LEFT(Matrix!AQ$24,6),'non Forest LUC'!$F38,0),0)</f>
        <v>0</v>
      </c>
      <c r="AR32" s="429">
        <f>IF(LEFT('non Forest LUC'!$D16,6)=LEFT(Matrix!$AP$24,6),IF(LEFT('non Forest LUC'!$F16,6)=LEFT(Matrix!AR$24,6),'non Forest LUC'!$F38,0),0)</f>
        <v>0</v>
      </c>
      <c r="AS32" s="429">
        <f>IF(LEFT('non Forest LUC'!$D16,6)=LEFT(Matrix!$AP$24,6),IF(LEFT('non Forest LUC'!$F16,6)=LEFT(Matrix!AS$24,6),'non Forest LUC'!$F38,0),0)</f>
        <v>0</v>
      </c>
      <c r="AT32" s="429">
        <f>IF(LEFT('non Forest LUC'!$D16,6)=LEFT(Matrix!$AP$24,6),IF(LEFT('non Forest LUC'!$F16,6)=LEFT(Matrix!AT$24,6),'non Forest LUC'!$F38,0),0)</f>
        <v>0</v>
      </c>
      <c r="AU32" s="429">
        <f>IF(LEFT('non Forest LUC'!$D16,6)=LEFT(Matrix!$AP$24,6),IF(LEFT('non Forest LUC'!$F16,6)=LEFT(Matrix!AU$24,6),'non Forest LUC'!$F38,0),0)</f>
        <v>0</v>
      </c>
      <c r="AV32" s="429">
        <f>IF(LEFT('non Forest LUC'!$D16,6)=LEFT(Matrix!$AP$24,6),IF(LEFT('non Forest LUC'!$F16,6)=LEFT(Matrix!AV$24,6),'non Forest LUC'!$F38,0),0)</f>
        <v>0</v>
      </c>
      <c r="AW32" s="440"/>
      <c r="AX32" s="429">
        <f>IF(LEFT('non Forest LUC'!$D16,6)=LEFT(Matrix!$AW$24,6),IF(LEFT('non Forest LUC'!$F16,6)=LEFT(Matrix!AX$24,6),'non Forest LUC'!$F38,0),0)</f>
        <v>0</v>
      </c>
      <c r="AY32" s="429">
        <f>IF(LEFT('non Forest LUC'!$D16,6)=LEFT(Matrix!$AW$24,6),IF(LEFT('non Forest LUC'!$F16,6)=LEFT(Matrix!AY$24,6),'non Forest LUC'!$F38,0),0)</f>
        <v>0</v>
      </c>
      <c r="AZ32" s="429">
        <f>IF(LEFT('non Forest LUC'!$D16,6)=LEFT(Matrix!$AW$24,6),IF(LEFT('non Forest LUC'!$F16,6)=LEFT(Matrix!AZ$24,6),'non Forest LUC'!$F38,0),0)</f>
        <v>0</v>
      </c>
      <c r="BA32" s="429">
        <f>IF(LEFT('non Forest LUC'!$D16,6)=LEFT(Matrix!$AW$24,6),IF(LEFT('non Forest LUC'!$F16,6)=LEFT(Matrix!BA$24,6),'non Forest LUC'!$F38,0),0)</f>
        <v>0</v>
      </c>
      <c r="BB32" s="429">
        <f>IF(LEFT('non Forest LUC'!$D16,6)=LEFT(Matrix!$AW$24,6),IF(LEFT('non Forest LUC'!$F16,6)=LEFT(Matrix!BB$24,6),'non Forest LUC'!$F38,0),0)</f>
        <v>0</v>
      </c>
      <c r="BC32" s="429">
        <f>IF(LEFT('non Forest LUC'!$D16,6)=LEFT(Matrix!$AW$24,6),IF(LEFT('non Forest LUC'!$F16,6)=LEFT(Matrix!BC$24,6),'non Forest LUC'!$F38,0),0)</f>
        <v>0</v>
      </c>
      <c r="BD32" s="440"/>
      <c r="BE32" s="429">
        <f>IF(LEFT('non Forest LUC'!$D16,6)=LEFT(Matrix!$BD$24,6),IF(LEFT('non Forest LUC'!$F16,6)=LEFT(Matrix!BE$24,6),'non Forest LUC'!$F38,0),0)</f>
        <v>0</v>
      </c>
      <c r="BF32" s="429">
        <f>IF(LEFT('non Forest LUC'!$D16,6)=LEFT(Matrix!$BD$24,6),IF(LEFT('non Forest LUC'!$F16,6)=LEFT(Matrix!BF$24,6),'non Forest LUC'!$F38,0),0)</f>
        <v>0</v>
      </c>
      <c r="BG32" s="429">
        <f>IF(LEFT('non Forest LUC'!$D16,6)=LEFT(Matrix!$BD$24,6),IF(LEFT('non Forest LUC'!$F16,6)=LEFT(Matrix!BG$24,6),'non Forest LUC'!$F38,0),0)</f>
        <v>0</v>
      </c>
      <c r="BH32" s="429">
        <f>IF(LEFT('non Forest LUC'!$D16,6)=LEFT(Matrix!$BD$24,6),IF(LEFT('non Forest LUC'!$F16,6)=LEFT(Matrix!BH$24,6),'non Forest LUC'!$F38,0),0)</f>
        <v>0</v>
      </c>
      <c r="BI32" s="429">
        <f>IF(LEFT('non Forest LUC'!$D16,6)=LEFT(Matrix!$BD$24,6),IF(LEFT('non Forest LUC'!$F16,6)=LEFT(Matrix!BI$24,6),'non Forest LUC'!$F38,0),0)</f>
        <v>0</v>
      </c>
      <c r="BJ32" s="429">
        <f>IF(LEFT('non Forest LUC'!$D16,6)=LEFT(Matrix!$BD$24,6),IF(LEFT('non Forest LUC'!$F16,6)=LEFT(Matrix!BJ$24,6),'non Forest LUC'!$F38,0),0)</f>
        <v>0</v>
      </c>
      <c r="BK32" s="440"/>
      <c r="BL32" s="429">
        <f>IF(LEFT('non Forest LUC'!$D16,6)=LEFT(Matrix!$BK$24,6),IF(LEFT('non Forest LUC'!$F16,6)=LEFT(Matrix!BL$24,6),'non Forest LUC'!$F38,0),0)</f>
        <v>0</v>
      </c>
      <c r="BM32" s="429">
        <f>IF(LEFT('non Forest LUC'!$D16,6)=LEFT(Matrix!$BK$24,6),IF(LEFT('non Forest LUC'!$F16,6)=LEFT(Matrix!BM$24,6),'non Forest LUC'!$F38,0),0)</f>
        <v>0</v>
      </c>
      <c r="BN32" s="429">
        <f>IF(LEFT('non Forest LUC'!$D16,6)=LEFT(Matrix!$BK$24,6),IF(LEFT('non Forest LUC'!$F16,6)=LEFT(Matrix!BN$24,6),'non Forest LUC'!$F38,0),0)</f>
        <v>0</v>
      </c>
      <c r="BO32" s="429">
        <f>IF(LEFT('non Forest LUC'!$D16,6)=LEFT(Matrix!$BK$24,6),IF(LEFT('non Forest LUC'!$F16,6)=LEFT(Matrix!BO$24,6),'non Forest LUC'!$F38,0),0)</f>
        <v>0</v>
      </c>
      <c r="BP32" s="429">
        <f>IF(LEFT('non Forest LUC'!$D16,6)=LEFT(Matrix!$BK$24,6),IF(LEFT('non Forest LUC'!$F16,6)=LEFT(Matrix!BP$24,6),'non Forest LUC'!$F38,0),0)</f>
        <v>0</v>
      </c>
      <c r="BQ32" s="429">
        <f>IF(LEFT('non Forest LUC'!$D16,6)=LEFT(Matrix!$BK$24,6),IF(LEFT('non Forest LUC'!$F16,6)=LEFT(Matrix!BQ$24,6),'non Forest LUC'!$F38,0),0)</f>
        <v>0</v>
      </c>
      <c r="BR32" s="440"/>
      <c r="BS32" s="429">
        <f>IF(LEFT('non Forest LUC'!$D16,6)=LEFT(Matrix!$BR$24,6),IF(LEFT('non Forest LUC'!$F16,6)=LEFT(Matrix!BS$24,6),'non Forest LUC'!$F38,0),0)</f>
        <v>0</v>
      </c>
      <c r="BT32" s="429">
        <f>IF(LEFT('non Forest LUC'!$D16,6)=LEFT(Matrix!$BR$24,6),IF(LEFT('non Forest LUC'!$F16,6)=LEFT(Matrix!BT$24,6),'non Forest LUC'!$F38,0),0)</f>
        <v>0</v>
      </c>
      <c r="BU32" s="429">
        <f>IF(LEFT('non Forest LUC'!$D16,6)=LEFT(Matrix!$BR$24,6),IF(LEFT('non Forest LUC'!$F16,6)=LEFT(Matrix!BU$24,6),'non Forest LUC'!$F38,0),0)</f>
        <v>0</v>
      </c>
      <c r="BV32" s="429">
        <f>IF(LEFT('non Forest LUC'!$D16,6)=LEFT(Matrix!$BR$24,6),IF(LEFT('non Forest LUC'!$F16,6)=LEFT(Matrix!BV$24,6),'non Forest LUC'!$F38,0),0)</f>
        <v>0</v>
      </c>
      <c r="BW32" s="429">
        <f>IF(LEFT('non Forest LUC'!$D16,6)=LEFT(Matrix!$BR$24,6),IF(LEFT('non Forest LUC'!$F16,6)=LEFT(Matrix!BW$24,6),'non Forest LUC'!$F38,0),0)</f>
        <v>0</v>
      </c>
      <c r="BX32" s="429">
        <f>IF(LEFT('non Forest LUC'!$D16,6)=LEFT(Matrix!$BR$24,6),IF(LEFT('non Forest LUC'!$F16,6)=LEFT(Matrix!BX$24,6),'non Forest LUC'!$F38,0),0)</f>
        <v>0</v>
      </c>
      <c r="BY32" s="440"/>
      <c r="BZ32" s="429">
        <f>IF(LEFT('non Forest LUC'!$D16,6)=LEFT(Matrix!$BY$24,6),IF(LEFT('non Forest LUC'!$F16,6)=LEFT(Matrix!BZ$24,6),'non Forest LUC'!$F38,0),0)</f>
        <v>0</v>
      </c>
      <c r="CA32" s="429">
        <f>IF(LEFT('non Forest LUC'!$D16,6)=LEFT(Matrix!$BY$24,6),IF(LEFT('non Forest LUC'!$F16,6)=LEFT(Matrix!CA$24,6),'non Forest LUC'!$F38,0),0)</f>
        <v>0</v>
      </c>
      <c r="CB32" s="429">
        <f>IF(LEFT('non Forest LUC'!$D16,6)=LEFT(Matrix!$BY$24,6),IF(LEFT('non Forest LUC'!$F16,6)=LEFT(Matrix!CB$24,6),'non Forest LUC'!$F38,0),0)</f>
        <v>0</v>
      </c>
      <c r="CC32" s="429">
        <f>IF(LEFT('non Forest LUC'!$D16,6)=LEFT(Matrix!$BY$24,6),IF(LEFT('non Forest LUC'!$F16,6)=LEFT(Matrix!CC$24,6),'non Forest LUC'!$F38,0),0)</f>
        <v>0</v>
      </c>
      <c r="CD32" s="429">
        <f>IF(LEFT('non Forest LUC'!$D16,6)=LEFT(Matrix!$BY$24,6),IF(LEFT('non Forest LUC'!$F16,6)=LEFT(Matrix!CD$24,6),'non Forest LUC'!$F38,0),0)</f>
        <v>0</v>
      </c>
      <c r="CE32" s="429">
        <f>IF(LEFT('non Forest LUC'!$D16,6)=LEFT(Matrix!$BY$24,6),IF(LEFT('non Forest LUC'!$F16,6)=LEFT(Matrix!CE$24,6),'non Forest LUC'!$F38,0),0)</f>
        <v>0</v>
      </c>
      <c r="CF32" s="440"/>
      <c r="CG32" s="429">
        <f>IF(LEFT('non Forest LUC'!$D16,6)=LEFT(Matrix!$CF$24,6),IF(LEFT('non Forest LUC'!$F16,6)=LEFT(Matrix!CG$24,6),'non Forest LUC'!$F38,0),0)</f>
        <v>0</v>
      </c>
      <c r="CH32" s="429">
        <f>IF(LEFT('non Forest LUC'!$D16,6)=LEFT(Matrix!$CF$24,6),IF(LEFT('non Forest LUC'!$F16,6)=LEFT(Matrix!CH$24,6),'non Forest LUC'!$F38,0),0)</f>
        <v>0</v>
      </c>
      <c r="CI32" s="429">
        <f>IF(LEFT('non Forest LUC'!$D16,6)=LEFT(Matrix!$CF$24,6),IF(LEFT('non Forest LUC'!$F16,6)=LEFT(Matrix!CI$24,6),'non Forest LUC'!$F38,0),0)</f>
        <v>0</v>
      </c>
      <c r="CJ32" s="429">
        <f>IF(LEFT('non Forest LUC'!$D16,6)=LEFT(Matrix!$CF$24,6),IF(LEFT('non Forest LUC'!$F16,6)=LEFT(Matrix!CJ$24,6),'non Forest LUC'!$F38,0),0)</f>
        <v>0</v>
      </c>
      <c r="CK32" s="429">
        <f>IF(LEFT('non Forest LUC'!$D16,6)=LEFT(Matrix!$CF$24,6),IF(LEFT('non Forest LUC'!$F16,6)=LEFT(Matrix!CK$24,6),'non Forest LUC'!$F38,0),0)</f>
        <v>0</v>
      </c>
      <c r="CL32" s="429">
        <f>IF(LEFT('non Forest LUC'!$D16,6)=LEFT(Matrix!$CF$24,6),IF(LEFT('non Forest LUC'!$F16,6)=LEFT(Matrix!CL$24,6),'non Forest LUC'!$F38,0),0)</f>
        <v>0</v>
      </c>
    </row>
    <row r="33" spans="2:91" ht="13.5" thickBot="1">
      <c r="B33" s="489"/>
      <c r="C33" s="450"/>
      <c r="D33" s="490" t="s">
        <v>388</v>
      </c>
      <c r="E33" s="491">
        <f>AL35</f>
        <v>0</v>
      </c>
      <c r="F33" s="492">
        <f>BL38+CG38</f>
        <v>0</v>
      </c>
      <c r="G33" s="492">
        <f>BM38+CH38</f>
        <v>0</v>
      </c>
      <c r="H33" s="492">
        <f>BN38+CI38</f>
        <v>0</v>
      </c>
      <c r="I33" s="492">
        <f>BO38+CK38</f>
        <v>0</v>
      </c>
      <c r="J33" s="492">
        <f>BP38+CL38</f>
        <v>0</v>
      </c>
      <c r="K33" s="457">
        <f>MAX(SUM(E16:J16),SUM(E33:J33))-SUM(E33:J33)+Wetlands!F31+Wetlands!L51+Wetlands!L64</f>
        <v>0</v>
      </c>
      <c r="L33" s="240"/>
      <c r="M33" s="463">
        <f t="shared" si="16"/>
        <v>0</v>
      </c>
      <c r="W33" s="435"/>
      <c r="X33" s="455">
        <f>IF(Deforestation!$I36=X$24,1,0)*Deforestation!$I51</f>
        <v>0</v>
      </c>
      <c r="Y33" s="455">
        <f>IF(Deforestation!$I36=Y$24,1,0)*Deforestation!$I51</f>
        <v>0</v>
      </c>
      <c r="Z33" s="455">
        <f>IF(Deforestation!$I36=Z$24,1,0)*Deforestation!$I51</f>
        <v>0</v>
      </c>
      <c r="AA33" s="455">
        <f>IF(Deforestation!$I36=AA$24,1,0)*Deforestation!$I51</f>
        <v>0</v>
      </c>
      <c r="AB33" s="455">
        <f>IF(Deforestation!$I36=AB$24,1,0)*Deforestation!$I51</f>
        <v>0</v>
      </c>
      <c r="AC33" s="455">
        <f>IF(Deforestation!$I36=AC$24,1,0)*Deforestation!$I51</f>
        <v>0</v>
      </c>
      <c r="AD33" s="455">
        <f>IF(Deforestation!$I36=AD$24,1,0)*Deforestation!$I51</f>
        <v>0</v>
      </c>
      <c r="AE33" s="455">
        <f>IF(Deforestation!$I36=AE$24,1,0)*Deforestation!$I51</f>
        <v>0</v>
      </c>
      <c r="AG33" s="437">
        <f>IF(AG$8='A-R'!$E36,'A-R'!$G51,0)</f>
        <v>0</v>
      </c>
      <c r="AH33" s="437">
        <f>IF(AH$8='A-R'!$E36,'A-R'!$G51,0)</f>
        <v>0</v>
      </c>
      <c r="AI33" s="437">
        <f>IF(AI$8='A-R'!$E36,'A-R'!$G51,0)</f>
        <v>0</v>
      </c>
      <c r="AJ33" s="437">
        <f>IF(AJ$8='A-R'!$E36,'A-R'!$G51,0)</f>
        <v>0</v>
      </c>
      <c r="AK33" s="437">
        <f>IF(AK$8='A-R'!$E36,'A-R'!$G51,0)</f>
        <v>0</v>
      </c>
      <c r="AL33" s="437">
        <f>IF(AL$8='A-R'!$E36,'A-R'!$G51,0)</f>
        <v>0</v>
      </c>
      <c r="AM33" s="437">
        <f>IF(AM$8='A-R'!$E36,'A-R'!$G51,0)</f>
        <v>0</v>
      </c>
      <c r="AN33" s="437">
        <f>IF(AN$8='A-R'!$E36,'A-R'!$G51,0)</f>
        <v>0</v>
      </c>
      <c r="AP33" s="440"/>
      <c r="AQ33" s="429">
        <f>IF(LEFT('non Forest LUC'!$D17,6)=LEFT(Matrix!$AP$24,6),IF(LEFT('non Forest LUC'!$F17,6)=LEFT(Matrix!AQ$24,6),'non Forest LUC'!$F39,0),0)</f>
        <v>0</v>
      </c>
      <c r="AR33" s="429">
        <f>IF(LEFT('non Forest LUC'!$D17,6)=LEFT(Matrix!$AP$24,6),IF(LEFT('non Forest LUC'!$F17,6)=LEFT(Matrix!AR$24,6),'non Forest LUC'!$F39,0),0)</f>
        <v>0</v>
      </c>
      <c r="AS33" s="429">
        <f>IF(LEFT('non Forest LUC'!$D17,6)=LEFT(Matrix!$AP$24,6),IF(LEFT('non Forest LUC'!$F17,6)=LEFT(Matrix!AS$24,6),'non Forest LUC'!$F39,0),0)</f>
        <v>0</v>
      </c>
      <c r="AT33" s="429">
        <f>IF(LEFT('non Forest LUC'!$D17,6)=LEFT(Matrix!$AP$24,6),IF(LEFT('non Forest LUC'!$F17,6)=LEFT(Matrix!AT$24,6),'non Forest LUC'!$F39,0),0)</f>
        <v>0</v>
      </c>
      <c r="AU33" s="429">
        <f>IF(LEFT('non Forest LUC'!$D17,6)=LEFT(Matrix!$AP$24,6),IF(LEFT('non Forest LUC'!$F17,6)=LEFT(Matrix!AU$24,6),'non Forest LUC'!$F39,0),0)</f>
        <v>0</v>
      </c>
      <c r="AV33" s="429">
        <f>IF(LEFT('non Forest LUC'!$D17,6)=LEFT(Matrix!$AP$24,6),IF(LEFT('non Forest LUC'!$F17,6)=LEFT(Matrix!AV$24,6),'non Forest LUC'!$F39,0),0)</f>
        <v>0</v>
      </c>
      <c r="AW33" s="440"/>
      <c r="AX33" s="429">
        <f>IF(LEFT('non Forest LUC'!$D17,6)=LEFT(Matrix!$AW$24,6),IF(LEFT('non Forest LUC'!$F17,6)=LEFT(Matrix!AX$24,6),'non Forest LUC'!$F39,0),0)</f>
        <v>0</v>
      </c>
      <c r="AY33" s="429">
        <f>IF(LEFT('non Forest LUC'!$D17,6)=LEFT(Matrix!$AW$24,6),IF(LEFT('non Forest LUC'!$F17,6)=LEFT(Matrix!AY$24,6),'non Forest LUC'!$F39,0),0)</f>
        <v>0</v>
      </c>
      <c r="AZ33" s="429">
        <f>IF(LEFT('non Forest LUC'!$D17,6)=LEFT(Matrix!$AW$24,6),IF(LEFT('non Forest LUC'!$F17,6)=LEFT(Matrix!AZ$24,6),'non Forest LUC'!$F39,0),0)</f>
        <v>0</v>
      </c>
      <c r="BA33" s="429">
        <f>IF(LEFT('non Forest LUC'!$D17,6)=LEFT(Matrix!$AW$24,6),IF(LEFT('non Forest LUC'!$F17,6)=LEFT(Matrix!BA$24,6),'non Forest LUC'!$F39,0),0)</f>
        <v>0</v>
      </c>
      <c r="BB33" s="429">
        <f>IF(LEFT('non Forest LUC'!$D17,6)=LEFT(Matrix!$AW$24,6),IF(LEFT('non Forest LUC'!$F17,6)=LEFT(Matrix!BB$24,6),'non Forest LUC'!$F39,0),0)</f>
        <v>0</v>
      </c>
      <c r="BC33" s="429">
        <f>IF(LEFT('non Forest LUC'!$D17,6)=LEFT(Matrix!$AW$24,6),IF(LEFT('non Forest LUC'!$F17,6)=LEFT(Matrix!BC$24,6),'non Forest LUC'!$F39,0),0)</f>
        <v>0</v>
      </c>
      <c r="BD33" s="440"/>
      <c r="BE33" s="429">
        <f>IF(LEFT('non Forest LUC'!$D17,6)=LEFT(Matrix!$BD$24,6),IF(LEFT('non Forest LUC'!$F17,6)=LEFT(Matrix!BE$24,6),'non Forest LUC'!$F39,0),0)</f>
        <v>0</v>
      </c>
      <c r="BF33" s="429">
        <f>IF(LEFT('non Forest LUC'!$D17,6)=LEFT(Matrix!$BD$24,6),IF(LEFT('non Forest LUC'!$F17,6)=LEFT(Matrix!BF$24,6),'non Forest LUC'!$F39,0),0)</f>
        <v>0</v>
      </c>
      <c r="BG33" s="429">
        <f>IF(LEFT('non Forest LUC'!$D17,6)=LEFT(Matrix!$BD$24,6),IF(LEFT('non Forest LUC'!$F17,6)=LEFT(Matrix!BG$24,6),'non Forest LUC'!$F39,0),0)</f>
        <v>0</v>
      </c>
      <c r="BH33" s="429">
        <f>IF(LEFT('non Forest LUC'!$D17,6)=LEFT(Matrix!$BD$24,6),IF(LEFT('non Forest LUC'!$F17,6)=LEFT(Matrix!BH$24,6),'non Forest LUC'!$F39,0),0)</f>
        <v>0</v>
      </c>
      <c r="BI33" s="429">
        <f>IF(LEFT('non Forest LUC'!$D17,6)=LEFT(Matrix!$BD$24,6),IF(LEFT('non Forest LUC'!$F17,6)=LEFT(Matrix!BI$24,6),'non Forest LUC'!$F39,0),0)</f>
        <v>0</v>
      </c>
      <c r="BJ33" s="429">
        <f>IF(LEFT('non Forest LUC'!$D17,6)=LEFT(Matrix!$BD$24,6),IF(LEFT('non Forest LUC'!$F17,6)=LEFT(Matrix!BJ$24,6),'non Forest LUC'!$F39,0),0)</f>
        <v>0</v>
      </c>
      <c r="BK33" s="440"/>
      <c r="BL33" s="429">
        <f>IF(LEFT('non Forest LUC'!$D17,6)=LEFT(Matrix!$BK$24,6),IF(LEFT('non Forest LUC'!$F17,6)=LEFT(Matrix!BL$24,6),'non Forest LUC'!$F39,0),0)</f>
        <v>0</v>
      </c>
      <c r="BM33" s="429">
        <f>IF(LEFT('non Forest LUC'!$D17,6)=LEFT(Matrix!$BK$24,6),IF(LEFT('non Forest LUC'!$F17,6)=LEFT(Matrix!BM$24,6),'non Forest LUC'!$F39,0),0)</f>
        <v>0</v>
      </c>
      <c r="BN33" s="429">
        <f>IF(LEFT('non Forest LUC'!$D17,6)=LEFT(Matrix!$BK$24,6),IF(LEFT('non Forest LUC'!$F17,6)=LEFT(Matrix!BN$24,6),'non Forest LUC'!$F39,0),0)</f>
        <v>0</v>
      </c>
      <c r="BO33" s="429">
        <f>IF(LEFT('non Forest LUC'!$D17,6)=LEFT(Matrix!$BK$24,6),IF(LEFT('non Forest LUC'!$F17,6)=LEFT(Matrix!BO$24,6),'non Forest LUC'!$F39,0),0)</f>
        <v>0</v>
      </c>
      <c r="BP33" s="429">
        <f>IF(LEFT('non Forest LUC'!$D17,6)=LEFT(Matrix!$BK$24,6),IF(LEFT('non Forest LUC'!$F17,6)=LEFT(Matrix!BP$24,6),'non Forest LUC'!$F39,0),0)</f>
        <v>0</v>
      </c>
      <c r="BQ33" s="429">
        <f>IF(LEFT('non Forest LUC'!$D17,6)=LEFT(Matrix!$BK$24,6),IF(LEFT('non Forest LUC'!$F17,6)=LEFT(Matrix!BQ$24,6),'non Forest LUC'!$F39,0),0)</f>
        <v>0</v>
      </c>
      <c r="BR33" s="440"/>
      <c r="BS33" s="429">
        <f>IF(LEFT('non Forest LUC'!$D17,6)=LEFT(Matrix!$BR$24,6),IF(LEFT('non Forest LUC'!$F17,6)=LEFT(Matrix!BS$24,6),'non Forest LUC'!$F39,0),0)</f>
        <v>0</v>
      </c>
      <c r="BT33" s="429">
        <f>IF(LEFT('non Forest LUC'!$D17,6)=LEFT(Matrix!$BR$24,6),IF(LEFT('non Forest LUC'!$F17,6)=LEFT(Matrix!BT$24,6),'non Forest LUC'!$F39,0),0)</f>
        <v>0</v>
      </c>
      <c r="BU33" s="429">
        <f>IF(LEFT('non Forest LUC'!$D17,6)=LEFT(Matrix!$BR$24,6),IF(LEFT('non Forest LUC'!$F17,6)=LEFT(Matrix!BU$24,6),'non Forest LUC'!$F39,0),0)</f>
        <v>0</v>
      </c>
      <c r="BV33" s="429">
        <f>IF(LEFT('non Forest LUC'!$D17,6)=LEFT(Matrix!$BR$24,6),IF(LEFT('non Forest LUC'!$F17,6)=LEFT(Matrix!BV$24,6),'non Forest LUC'!$F39,0),0)</f>
        <v>0</v>
      </c>
      <c r="BW33" s="429">
        <f>IF(LEFT('non Forest LUC'!$D17,6)=LEFT(Matrix!$BR$24,6),IF(LEFT('non Forest LUC'!$F17,6)=LEFT(Matrix!BW$24,6),'non Forest LUC'!$F39,0),0)</f>
        <v>0</v>
      </c>
      <c r="BX33" s="429">
        <f>IF(LEFT('non Forest LUC'!$D17,6)=LEFT(Matrix!$BR$24,6),IF(LEFT('non Forest LUC'!$F17,6)=LEFT(Matrix!BX$24,6),'non Forest LUC'!$F39,0),0)</f>
        <v>0</v>
      </c>
      <c r="BY33" s="440"/>
      <c r="BZ33" s="429">
        <f>IF(LEFT('non Forest LUC'!$D17,6)=LEFT(Matrix!$BY$24,6),IF(LEFT('non Forest LUC'!$F17,6)=LEFT(Matrix!BZ$24,6),'non Forest LUC'!$F39,0),0)</f>
        <v>0</v>
      </c>
      <c r="CA33" s="429">
        <f>IF(LEFT('non Forest LUC'!$D17,6)=LEFT(Matrix!$BY$24,6),IF(LEFT('non Forest LUC'!$F17,6)=LEFT(Matrix!CA$24,6),'non Forest LUC'!$F39,0),0)</f>
        <v>0</v>
      </c>
      <c r="CB33" s="429">
        <f>IF(LEFT('non Forest LUC'!$D17,6)=LEFT(Matrix!$BY$24,6),IF(LEFT('non Forest LUC'!$F17,6)=LEFT(Matrix!CB$24,6),'non Forest LUC'!$F39,0),0)</f>
        <v>0</v>
      </c>
      <c r="CC33" s="429">
        <f>IF(LEFT('non Forest LUC'!$D17,6)=LEFT(Matrix!$BY$24,6),IF(LEFT('non Forest LUC'!$F17,6)=LEFT(Matrix!CC$24,6),'non Forest LUC'!$F39,0),0)</f>
        <v>0</v>
      </c>
      <c r="CD33" s="429">
        <f>IF(LEFT('non Forest LUC'!$D17,6)=LEFT(Matrix!$BY$24,6),IF(LEFT('non Forest LUC'!$F17,6)=LEFT(Matrix!CD$24,6),'non Forest LUC'!$F39,0),0)</f>
        <v>0</v>
      </c>
      <c r="CE33" s="429">
        <f>IF(LEFT('non Forest LUC'!$D17,6)=LEFT(Matrix!$BY$24,6),IF(LEFT('non Forest LUC'!$F17,6)=LEFT(Matrix!CE$24,6),'non Forest LUC'!$F39,0),0)</f>
        <v>0</v>
      </c>
      <c r="CF33" s="440"/>
      <c r="CG33" s="429">
        <f>IF(LEFT('non Forest LUC'!$D17,6)=LEFT(Matrix!$CF$24,6),IF(LEFT('non Forest LUC'!$F17,6)=LEFT(Matrix!CG$24,6),'non Forest LUC'!$F39,0),0)</f>
        <v>0</v>
      </c>
      <c r="CH33" s="429">
        <f>IF(LEFT('non Forest LUC'!$D17,6)=LEFT(Matrix!$CF$24,6),IF(LEFT('non Forest LUC'!$F17,6)=LEFT(Matrix!CH$24,6),'non Forest LUC'!$F39,0),0)</f>
        <v>0</v>
      </c>
      <c r="CI33" s="429">
        <f>IF(LEFT('non Forest LUC'!$D17,6)=LEFT(Matrix!$CF$24,6),IF(LEFT('non Forest LUC'!$F17,6)=LEFT(Matrix!CI$24,6),'non Forest LUC'!$F39,0),0)</f>
        <v>0</v>
      </c>
      <c r="CJ33" s="429">
        <f>IF(LEFT('non Forest LUC'!$D17,6)=LEFT(Matrix!$CF$24,6),IF(LEFT('non Forest LUC'!$F17,6)=LEFT(Matrix!CJ$24,6),'non Forest LUC'!$F39,0),0)</f>
        <v>0</v>
      </c>
      <c r="CK33" s="429">
        <f>IF(LEFT('non Forest LUC'!$D17,6)=LEFT(Matrix!$CF$24,6),IF(LEFT('non Forest LUC'!$F17,6)=LEFT(Matrix!CK$24,6),'non Forest LUC'!$F39,0),0)</f>
        <v>0</v>
      </c>
      <c r="CL33" s="429">
        <f>IF(LEFT('non Forest LUC'!$D17,6)=LEFT(Matrix!$CF$24,6),IF(LEFT('non Forest LUC'!$F17,6)=LEFT(Matrix!CL$24,6),'non Forest LUC'!$F39,0),0)</f>
        <v>0</v>
      </c>
    </row>
    <row r="34" spans="2:91">
      <c r="M34" s="233"/>
      <c r="W34" s="435"/>
      <c r="X34" s="455">
        <f>IF(Deforestation!$I37=X$24,1,0)*Deforestation!$I52</f>
        <v>0</v>
      </c>
      <c r="Y34" s="455">
        <f>IF(Deforestation!$I37=Y$24,1,0)*Deforestation!$I52</f>
        <v>0</v>
      </c>
      <c r="Z34" s="455">
        <f>IF(Deforestation!$I37=Z$24,1,0)*Deforestation!$I52</f>
        <v>0</v>
      </c>
      <c r="AA34" s="455">
        <f>IF(Deforestation!$I37=AA$24,1,0)*Deforestation!$I52</f>
        <v>0</v>
      </c>
      <c r="AB34" s="455">
        <f>IF(Deforestation!$I37=AB$24,1,0)*Deforestation!$I52</f>
        <v>0</v>
      </c>
      <c r="AC34" s="455">
        <f>IF(Deforestation!$I37=AC$24,1,0)*Deforestation!$I52</f>
        <v>0</v>
      </c>
      <c r="AD34" s="455">
        <f>IF(Deforestation!$I37=AD$24,1,0)*Deforestation!$I52</f>
        <v>0</v>
      </c>
      <c r="AE34" s="455">
        <f>IF(Deforestation!$I37=AE$24,1,0)*Deforestation!$I52</f>
        <v>0</v>
      </c>
      <c r="AG34" s="437">
        <f>IF(AG$8='A-R'!$E37,'A-R'!$G52,0)</f>
        <v>0</v>
      </c>
      <c r="AH34" s="437">
        <f>IF(AH$8='A-R'!$E37,'A-R'!$G52,0)</f>
        <v>0</v>
      </c>
      <c r="AI34" s="437">
        <f>IF(AI$8='A-R'!$E37,'A-R'!$G52,0)</f>
        <v>0</v>
      </c>
      <c r="AJ34" s="437">
        <f>IF(AJ$8='A-R'!$E37,'A-R'!$G52,0)</f>
        <v>0</v>
      </c>
      <c r="AK34" s="437">
        <f>IF(AK$8='A-R'!$E37,'A-R'!$G52,0)</f>
        <v>0</v>
      </c>
      <c r="AL34" s="437">
        <f>IF(AL$8='A-R'!$E37,'A-R'!$G52,0)</f>
        <v>0</v>
      </c>
      <c r="AM34" s="437">
        <f>IF(AM$8='A-R'!$E37,'A-R'!$G52,0)</f>
        <v>0</v>
      </c>
      <c r="AN34" s="437">
        <f>IF(AN$8='A-R'!$E37,'A-R'!$G52,0)</f>
        <v>0</v>
      </c>
      <c r="AP34" s="440"/>
      <c r="AQ34" s="429">
        <f>IF(LEFT('non Forest LUC'!$D18,6)=LEFT(Matrix!$AP$24,6),IF(LEFT('non Forest LUC'!$F18,6)=LEFT(Matrix!AQ$24,6),'non Forest LUC'!$F40,0),0)</f>
        <v>0</v>
      </c>
      <c r="AR34" s="429">
        <f>IF(LEFT('non Forest LUC'!$D18,6)=LEFT(Matrix!$AP$24,6),IF(LEFT('non Forest LUC'!$F18,6)=LEFT(Matrix!AR$24,6),'non Forest LUC'!$F40,0),0)</f>
        <v>0</v>
      </c>
      <c r="AS34" s="429">
        <f>IF(LEFT('non Forest LUC'!$D18,6)=LEFT(Matrix!$AP$24,6),IF(LEFT('non Forest LUC'!$F18,6)=LEFT(Matrix!AS$24,6),'non Forest LUC'!$F40,0),0)</f>
        <v>0</v>
      </c>
      <c r="AT34" s="429">
        <f>IF(LEFT('non Forest LUC'!$D18,6)=LEFT(Matrix!$AP$24,6),IF(LEFT('non Forest LUC'!$F18,6)=LEFT(Matrix!AT$24,6),'non Forest LUC'!$F40,0),0)</f>
        <v>0</v>
      </c>
      <c r="AU34" s="429">
        <f>IF(LEFT('non Forest LUC'!$D18,6)=LEFT(Matrix!$AP$24,6),IF(LEFT('non Forest LUC'!$F18,6)=LEFT(Matrix!AU$24,6),'non Forest LUC'!$F40,0),0)</f>
        <v>0</v>
      </c>
      <c r="AV34" s="429">
        <f>IF(LEFT('non Forest LUC'!$D18,6)=LEFT(Matrix!$AP$24,6),IF(LEFT('non Forest LUC'!$F18,6)=LEFT(Matrix!AV$24,6),'non Forest LUC'!$F40,0),0)</f>
        <v>0</v>
      </c>
      <c r="AW34" s="440"/>
      <c r="AX34" s="429">
        <f>IF(LEFT('non Forest LUC'!$D18,6)=LEFT(Matrix!$AW$24,6),IF(LEFT('non Forest LUC'!$F18,6)=LEFT(Matrix!AX$24,6),'non Forest LUC'!$F40,0),0)</f>
        <v>0</v>
      </c>
      <c r="AY34" s="429">
        <f>IF(LEFT('non Forest LUC'!$D18,6)=LEFT(Matrix!$AW$24,6),IF(LEFT('non Forest LUC'!$F18,6)=LEFT(Matrix!AY$24,6),'non Forest LUC'!$F40,0),0)</f>
        <v>0</v>
      </c>
      <c r="AZ34" s="429">
        <f>IF(LEFT('non Forest LUC'!$D18,6)=LEFT(Matrix!$AW$24,6),IF(LEFT('non Forest LUC'!$F18,6)=LEFT(Matrix!AZ$24,6),'non Forest LUC'!$F40,0),0)</f>
        <v>0</v>
      </c>
      <c r="BA34" s="429">
        <f>IF(LEFT('non Forest LUC'!$D18,6)=LEFT(Matrix!$AW$24,6),IF(LEFT('non Forest LUC'!$F18,6)=LEFT(Matrix!BA$24,6),'non Forest LUC'!$F40,0),0)</f>
        <v>0</v>
      </c>
      <c r="BB34" s="429">
        <f>IF(LEFT('non Forest LUC'!$D18,6)=LEFT(Matrix!$AW$24,6),IF(LEFT('non Forest LUC'!$F18,6)=LEFT(Matrix!BB$24,6),'non Forest LUC'!$F40,0),0)</f>
        <v>0</v>
      </c>
      <c r="BC34" s="429">
        <f>IF(LEFT('non Forest LUC'!$D18,6)=LEFT(Matrix!$AW$24,6),IF(LEFT('non Forest LUC'!$F18,6)=LEFT(Matrix!BC$24,6),'non Forest LUC'!$F40,0),0)</f>
        <v>0</v>
      </c>
      <c r="BD34" s="440"/>
      <c r="BE34" s="429">
        <f>IF(LEFT('non Forest LUC'!$D18,6)=LEFT(Matrix!$BD$24,6),IF(LEFT('non Forest LUC'!$F18,6)=LEFT(Matrix!BE$24,6),'non Forest LUC'!$F40,0),0)</f>
        <v>0</v>
      </c>
      <c r="BF34" s="429">
        <f>IF(LEFT('non Forest LUC'!$D18,6)=LEFT(Matrix!$BD$24,6),IF(LEFT('non Forest LUC'!$F18,6)=LEFT(Matrix!BF$24,6),'non Forest LUC'!$F40,0),0)</f>
        <v>0</v>
      </c>
      <c r="BG34" s="429">
        <f>IF(LEFT('non Forest LUC'!$D18,6)=LEFT(Matrix!$BD$24,6),IF(LEFT('non Forest LUC'!$F18,6)=LEFT(Matrix!BG$24,6),'non Forest LUC'!$F40,0),0)</f>
        <v>0</v>
      </c>
      <c r="BH34" s="429">
        <f>IF(LEFT('non Forest LUC'!$D18,6)=LEFT(Matrix!$BD$24,6),IF(LEFT('non Forest LUC'!$F18,6)=LEFT(Matrix!BH$24,6),'non Forest LUC'!$F40,0),0)</f>
        <v>0</v>
      </c>
      <c r="BI34" s="429">
        <f>IF(LEFT('non Forest LUC'!$D18,6)=LEFT(Matrix!$BD$24,6),IF(LEFT('non Forest LUC'!$F18,6)=LEFT(Matrix!BI$24,6),'non Forest LUC'!$F40,0),0)</f>
        <v>0</v>
      </c>
      <c r="BJ34" s="429">
        <f>IF(LEFT('non Forest LUC'!$D18,6)=LEFT(Matrix!$BD$24,6),IF(LEFT('non Forest LUC'!$F18,6)=LEFT(Matrix!BJ$24,6),'non Forest LUC'!$F40,0),0)</f>
        <v>0</v>
      </c>
      <c r="BK34" s="440"/>
      <c r="BL34" s="429">
        <f>IF(LEFT('non Forest LUC'!$D18,6)=LEFT(Matrix!$BK$24,6),IF(LEFT('non Forest LUC'!$F18,6)=LEFT(Matrix!BL$24,6),'non Forest LUC'!$F40,0),0)</f>
        <v>0</v>
      </c>
      <c r="BM34" s="429">
        <f>IF(LEFT('non Forest LUC'!$D18,6)=LEFT(Matrix!$BK$24,6),IF(LEFT('non Forest LUC'!$F18,6)=LEFT(Matrix!BM$24,6),'non Forest LUC'!$F40,0),0)</f>
        <v>0</v>
      </c>
      <c r="BN34" s="429">
        <f>IF(LEFT('non Forest LUC'!$D18,6)=LEFT(Matrix!$BK$24,6),IF(LEFT('non Forest LUC'!$F18,6)=LEFT(Matrix!BN$24,6),'non Forest LUC'!$F40,0),0)</f>
        <v>0</v>
      </c>
      <c r="BO34" s="429">
        <f>IF(LEFT('non Forest LUC'!$D18,6)=LEFT(Matrix!$BK$24,6),IF(LEFT('non Forest LUC'!$F18,6)=LEFT(Matrix!BO$24,6),'non Forest LUC'!$F40,0),0)</f>
        <v>0</v>
      </c>
      <c r="BP34" s="429">
        <f>IF(LEFT('non Forest LUC'!$D18,6)=LEFT(Matrix!$BK$24,6),IF(LEFT('non Forest LUC'!$F18,6)=LEFT(Matrix!BP$24,6),'non Forest LUC'!$F40,0),0)</f>
        <v>0</v>
      </c>
      <c r="BQ34" s="429">
        <f>IF(LEFT('non Forest LUC'!$D18,6)=LEFT(Matrix!$BK$24,6),IF(LEFT('non Forest LUC'!$F18,6)=LEFT(Matrix!BQ$24,6),'non Forest LUC'!$F40,0),0)</f>
        <v>0</v>
      </c>
      <c r="BR34" s="440"/>
      <c r="BS34" s="429">
        <f>IF(LEFT('non Forest LUC'!$D18,6)=LEFT(Matrix!$BR$24,6),IF(LEFT('non Forest LUC'!$F18,6)=LEFT(Matrix!BS$24,6),'non Forest LUC'!$F40,0),0)</f>
        <v>0</v>
      </c>
      <c r="BT34" s="429">
        <f>IF(LEFT('non Forest LUC'!$D18,6)=LEFT(Matrix!$BR$24,6),IF(LEFT('non Forest LUC'!$F18,6)=LEFT(Matrix!BT$24,6),'non Forest LUC'!$F40,0),0)</f>
        <v>0</v>
      </c>
      <c r="BU34" s="429">
        <f>IF(LEFT('non Forest LUC'!$D18,6)=LEFT(Matrix!$BR$24,6),IF(LEFT('non Forest LUC'!$F18,6)=LEFT(Matrix!BU$24,6),'non Forest LUC'!$F40,0),0)</f>
        <v>0</v>
      </c>
      <c r="BV34" s="429">
        <f>IF(LEFT('non Forest LUC'!$D18,6)=LEFT(Matrix!$BR$24,6),IF(LEFT('non Forest LUC'!$F18,6)=LEFT(Matrix!BV$24,6),'non Forest LUC'!$F40,0),0)</f>
        <v>0</v>
      </c>
      <c r="BW34" s="429">
        <f>IF(LEFT('non Forest LUC'!$D18,6)=LEFT(Matrix!$BR$24,6),IF(LEFT('non Forest LUC'!$F18,6)=LEFT(Matrix!BW$24,6),'non Forest LUC'!$F40,0),0)</f>
        <v>0</v>
      </c>
      <c r="BX34" s="429">
        <f>IF(LEFT('non Forest LUC'!$D18,6)=LEFT(Matrix!$BR$24,6),IF(LEFT('non Forest LUC'!$F18,6)=LEFT(Matrix!BX$24,6),'non Forest LUC'!$F40,0),0)</f>
        <v>0</v>
      </c>
      <c r="BY34" s="440"/>
      <c r="BZ34" s="429">
        <f>IF(LEFT('non Forest LUC'!$D18,6)=LEFT(Matrix!$BY$24,6),IF(LEFT('non Forest LUC'!$F18,6)=LEFT(Matrix!BZ$24,6),'non Forest LUC'!$F40,0),0)</f>
        <v>0</v>
      </c>
      <c r="CA34" s="429">
        <f>IF(LEFT('non Forest LUC'!$D18,6)=LEFT(Matrix!$BY$24,6),IF(LEFT('non Forest LUC'!$F18,6)=LEFT(Matrix!CA$24,6),'non Forest LUC'!$F40,0),0)</f>
        <v>0</v>
      </c>
      <c r="CB34" s="429">
        <f>IF(LEFT('non Forest LUC'!$D18,6)=LEFT(Matrix!$BY$24,6),IF(LEFT('non Forest LUC'!$F18,6)=LEFT(Matrix!CB$24,6),'non Forest LUC'!$F40,0),0)</f>
        <v>0</v>
      </c>
      <c r="CC34" s="429">
        <f>IF(LEFT('non Forest LUC'!$D18,6)=LEFT(Matrix!$BY$24,6),IF(LEFT('non Forest LUC'!$F18,6)=LEFT(Matrix!CC$24,6),'non Forest LUC'!$F40,0),0)</f>
        <v>0</v>
      </c>
      <c r="CD34" s="429">
        <f>IF(LEFT('non Forest LUC'!$D18,6)=LEFT(Matrix!$BY$24,6),IF(LEFT('non Forest LUC'!$F18,6)=LEFT(Matrix!CD$24,6),'non Forest LUC'!$F40,0),0)</f>
        <v>0</v>
      </c>
      <c r="CE34" s="429">
        <f>IF(LEFT('non Forest LUC'!$D18,6)=LEFT(Matrix!$BY$24,6),IF(LEFT('non Forest LUC'!$F18,6)=LEFT(Matrix!CE$24,6),'non Forest LUC'!$F40,0),0)</f>
        <v>0</v>
      </c>
      <c r="CF34" s="440"/>
      <c r="CG34" s="429">
        <f>IF(LEFT('non Forest LUC'!$D18,6)=LEFT(Matrix!$CF$24,6),IF(LEFT('non Forest LUC'!$F18,6)=LEFT(Matrix!CG$24,6),'non Forest LUC'!$F40,0),0)</f>
        <v>0</v>
      </c>
      <c r="CH34" s="429">
        <f>IF(LEFT('non Forest LUC'!$D18,6)=LEFT(Matrix!$CF$24,6),IF(LEFT('non Forest LUC'!$F18,6)=LEFT(Matrix!CH$24,6),'non Forest LUC'!$F40,0),0)</f>
        <v>0</v>
      </c>
      <c r="CI34" s="429">
        <f>IF(LEFT('non Forest LUC'!$D18,6)=LEFT(Matrix!$CF$24,6),IF(LEFT('non Forest LUC'!$F18,6)=LEFT(Matrix!CI$24,6),'non Forest LUC'!$F40,0),0)</f>
        <v>0</v>
      </c>
      <c r="CJ34" s="429">
        <f>IF(LEFT('non Forest LUC'!$D18,6)=LEFT(Matrix!$CF$24,6),IF(LEFT('non Forest LUC'!$F18,6)=LEFT(Matrix!CJ$24,6),'non Forest LUC'!$F40,0),0)</f>
        <v>0</v>
      </c>
      <c r="CK34" s="429">
        <f>IF(LEFT('non Forest LUC'!$D18,6)=LEFT(Matrix!$CF$24,6),IF(LEFT('non Forest LUC'!$F18,6)=LEFT(Matrix!CK$24,6),'non Forest LUC'!$F40,0),0)</f>
        <v>0</v>
      </c>
      <c r="CL34" s="429">
        <f>IF(LEFT('non Forest LUC'!$D18,6)=LEFT(Matrix!$CF$24,6),IF(LEFT('non Forest LUC'!$F18,6)=LEFT(Matrix!CL$24,6),'non Forest LUC'!$F40,0),0)</f>
        <v>0</v>
      </c>
    </row>
    <row r="35" spans="2:91">
      <c r="D35" s="493" t="s">
        <v>1099</v>
      </c>
      <c r="E35" s="494">
        <f t="shared" ref="E35:J35" si="17">SUM(E27:E33)</f>
        <v>0</v>
      </c>
      <c r="F35" s="494">
        <f t="shared" si="17"/>
        <v>0</v>
      </c>
      <c r="G35" s="494">
        <f t="shared" si="17"/>
        <v>0</v>
      </c>
      <c r="H35" s="494">
        <f>SUM(H27:H33)</f>
        <v>0</v>
      </c>
      <c r="I35" s="494">
        <f t="shared" si="17"/>
        <v>0</v>
      </c>
      <c r="J35" s="494">
        <f t="shared" si="17"/>
        <v>0</v>
      </c>
      <c r="K35" s="494">
        <f>SUM(K27:K33)</f>
        <v>0</v>
      </c>
      <c r="M35" s="494">
        <f>SUM(M27:M33)</f>
        <v>0</v>
      </c>
      <c r="W35" s="495" t="s">
        <v>516</v>
      </c>
      <c r="X35" s="495">
        <f t="shared" ref="X35:AE35" si="18">SUM(X25:X34)</f>
        <v>0</v>
      </c>
      <c r="Y35" s="495">
        <f t="shared" si="18"/>
        <v>0</v>
      </c>
      <c r="Z35" s="495">
        <f t="shared" si="18"/>
        <v>0</v>
      </c>
      <c r="AA35" s="495">
        <f t="shared" si="18"/>
        <v>0</v>
      </c>
      <c r="AB35" s="495">
        <f t="shared" si="18"/>
        <v>0</v>
      </c>
      <c r="AC35" s="495">
        <f t="shared" si="18"/>
        <v>0</v>
      </c>
      <c r="AD35" s="495">
        <f t="shared" si="18"/>
        <v>0</v>
      </c>
      <c r="AE35" s="495">
        <f t="shared" si="18"/>
        <v>0</v>
      </c>
      <c r="AG35" s="1589">
        <f>SUM(AG25:AG34)</f>
        <v>0</v>
      </c>
      <c r="AH35" s="1589">
        <f t="shared" ref="AH35:AN35" si="19">SUM(AH25:AH34)</f>
        <v>0</v>
      </c>
      <c r="AI35" s="1589">
        <f t="shared" si="19"/>
        <v>0</v>
      </c>
      <c r="AJ35" s="1589">
        <f t="shared" si="19"/>
        <v>0</v>
      </c>
      <c r="AK35" s="1589">
        <f t="shared" si="19"/>
        <v>0</v>
      </c>
      <c r="AL35" s="1589">
        <f t="shared" si="19"/>
        <v>0</v>
      </c>
      <c r="AM35" s="1589">
        <f t="shared" si="19"/>
        <v>0</v>
      </c>
      <c r="AN35" s="1589">
        <f t="shared" si="19"/>
        <v>0</v>
      </c>
      <c r="AP35" s="440"/>
      <c r="AQ35" s="429">
        <f>IF(LEFT('non Forest LUC'!$D19,6)=LEFT(Matrix!$AP$24,6),IF(LEFT('non Forest LUC'!$F19,6)=LEFT(Matrix!AQ$24,6),'non Forest LUC'!$F41,0),0)</f>
        <v>0</v>
      </c>
      <c r="AR35" s="429">
        <f>IF(LEFT('non Forest LUC'!$D19,6)=LEFT(Matrix!$AP$24,6),IF(LEFT('non Forest LUC'!$F19,6)=LEFT(Matrix!AR$24,6),'non Forest LUC'!$F41,0),0)</f>
        <v>0</v>
      </c>
      <c r="AS35" s="429">
        <f>IF(LEFT('non Forest LUC'!$D19,6)=LEFT(Matrix!$AP$24,6),IF(LEFT('non Forest LUC'!$F19,6)=LEFT(Matrix!AS$24,6),'non Forest LUC'!$F41,0),0)</f>
        <v>0</v>
      </c>
      <c r="AT35" s="429">
        <f>IF(LEFT('non Forest LUC'!$D19,6)=LEFT(Matrix!$AP$24,6),IF(LEFT('non Forest LUC'!$F19,6)=LEFT(Matrix!AT$24,6),'non Forest LUC'!$F41,0),0)</f>
        <v>0</v>
      </c>
      <c r="AU35" s="429">
        <f>IF(LEFT('non Forest LUC'!$D19,6)=LEFT(Matrix!$AP$24,6),IF(LEFT('non Forest LUC'!$F19,6)=LEFT(Matrix!AU$24,6),'non Forest LUC'!$F41,0),0)</f>
        <v>0</v>
      </c>
      <c r="AV35" s="429">
        <f>IF(LEFT('non Forest LUC'!$D19,6)=LEFT(Matrix!$AP$24,6),IF(LEFT('non Forest LUC'!$F19,6)=LEFT(Matrix!AV$24,6),'non Forest LUC'!$F41,0),0)</f>
        <v>0</v>
      </c>
      <c r="AW35" s="440"/>
      <c r="AX35" s="429">
        <f>IF(LEFT('non Forest LUC'!$D19,6)=LEFT(Matrix!$AW$24,6),IF(LEFT('non Forest LUC'!$F19,6)=LEFT(Matrix!AX$24,6),'non Forest LUC'!$F41,0),0)</f>
        <v>0</v>
      </c>
      <c r="AY35" s="429">
        <f>IF(LEFT('non Forest LUC'!$D19,6)=LEFT(Matrix!$AW$24,6),IF(LEFT('non Forest LUC'!$F19,6)=LEFT(Matrix!AY$24,6),'non Forest LUC'!$F41,0),0)</f>
        <v>0</v>
      </c>
      <c r="AZ35" s="429">
        <f>IF(LEFT('non Forest LUC'!$D19,6)=LEFT(Matrix!$AW$24,6),IF(LEFT('non Forest LUC'!$F19,6)=LEFT(Matrix!AZ$24,6),'non Forest LUC'!$F41,0),0)</f>
        <v>0</v>
      </c>
      <c r="BA35" s="429">
        <f>IF(LEFT('non Forest LUC'!$D19,6)=LEFT(Matrix!$AW$24,6),IF(LEFT('non Forest LUC'!$F19,6)=LEFT(Matrix!BA$24,6),'non Forest LUC'!$F41,0),0)</f>
        <v>0</v>
      </c>
      <c r="BB35" s="429">
        <f>IF(LEFT('non Forest LUC'!$D19,6)=LEFT(Matrix!$AW$24,6),IF(LEFT('non Forest LUC'!$F19,6)=LEFT(Matrix!BB$24,6),'non Forest LUC'!$F41,0),0)</f>
        <v>0</v>
      </c>
      <c r="BC35" s="429">
        <f>IF(LEFT('non Forest LUC'!$D19,6)=LEFT(Matrix!$AW$24,6),IF(LEFT('non Forest LUC'!$F19,6)=LEFT(Matrix!BC$24,6),'non Forest LUC'!$F41,0),0)</f>
        <v>0</v>
      </c>
      <c r="BD35" s="440"/>
      <c r="BE35" s="429">
        <f>IF(LEFT('non Forest LUC'!$D19,6)=LEFT(Matrix!$BD$24,6),IF(LEFT('non Forest LUC'!$F19,6)=LEFT(Matrix!BE$24,6),'non Forest LUC'!$F41,0),0)</f>
        <v>0</v>
      </c>
      <c r="BF35" s="429">
        <f>IF(LEFT('non Forest LUC'!$D19,6)=LEFT(Matrix!$BD$24,6),IF(LEFT('non Forest LUC'!$F19,6)=LEFT(Matrix!BF$24,6),'non Forest LUC'!$F41,0),0)</f>
        <v>0</v>
      </c>
      <c r="BG35" s="429">
        <f>IF(LEFT('non Forest LUC'!$D19,6)=LEFT(Matrix!$BD$24,6),IF(LEFT('non Forest LUC'!$F19,6)=LEFT(Matrix!BG$24,6),'non Forest LUC'!$F41,0),0)</f>
        <v>0</v>
      </c>
      <c r="BH35" s="429">
        <f>IF(LEFT('non Forest LUC'!$D19,6)=LEFT(Matrix!$BD$24,6),IF(LEFT('non Forest LUC'!$F19,6)=LEFT(Matrix!BH$24,6),'non Forest LUC'!$F41,0),0)</f>
        <v>0</v>
      </c>
      <c r="BI35" s="429">
        <f>IF(LEFT('non Forest LUC'!$D19,6)=LEFT(Matrix!$BD$24,6),IF(LEFT('non Forest LUC'!$F19,6)=LEFT(Matrix!BI$24,6),'non Forest LUC'!$F41,0),0)</f>
        <v>0</v>
      </c>
      <c r="BJ35" s="429">
        <f>IF(LEFT('non Forest LUC'!$D19,6)=LEFT(Matrix!$BD$24,6),IF(LEFT('non Forest LUC'!$F19,6)=LEFT(Matrix!BJ$24,6),'non Forest LUC'!$F41,0),0)</f>
        <v>0</v>
      </c>
      <c r="BK35" s="440"/>
      <c r="BL35" s="429">
        <f>IF(LEFT('non Forest LUC'!$D19,6)=LEFT(Matrix!$BK$24,6),IF(LEFT('non Forest LUC'!$F19,6)=LEFT(Matrix!BL$24,6),'non Forest LUC'!$F41,0),0)</f>
        <v>0</v>
      </c>
      <c r="BM35" s="429">
        <f>IF(LEFT('non Forest LUC'!$D19,6)=LEFT(Matrix!$BK$24,6),IF(LEFT('non Forest LUC'!$F19,6)=LEFT(Matrix!BM$24,6),'non Forest LUC'!$F41,0),0)</f>
        <v>0</v>
      </c>
      <c r="BN35" s="429">
        <f>IF(LEFT('non Forest LUC'!$D19,6)=LEFT(Matrix!$BK$24,6),IF(LEFT('non Forest LUC'!$F19,6)=LEFT(Matrix!BN$24,6),'non Forest LUC'!$F41,0),0)</f>
        <v>0</v>
      </c>
      <c r="BO35" s="429">
        <f>IF(LEFT('non Forest LUC'!$D19,6)=LEFT(Matrix!$BK$24,6),IF(LEFT('non Forest LUC'!$F19,6)=LEFT(Matrix!BO$24,6),'non Forest LUC'!$F41,0),0)</f>
        <v>0</v>
      </c>
      <c r="BP35" s="429">
        <f>IF(LEFT('non Forest LUC'!$D19,6)=LEFT(Matrix!$BK$24,6),IF(LEFT('non Forest LUC'!$F19,6)=LEFT(Matrix!BP$24,6),'non Forest LUC'!$F41,0),0)</f>
        <v>0</v>
      </c>
      <c r="BQ35" s="429">
        <f>IF(LEFT('non Forest LUC'!$D19,6)=LEFT(Matrix!$BK$24,6),IF(LEFT('non Forest LUC'!$F19,6)=LEFT(Matrix!BQ$24,6),'non Forest LUC'!$F41,0),0)</f>
        <v>0</v>
      </c>
      <c r="BR35" s="440"/>
      <c r="BS35" s="429">
        <f>IF(LEFT('non Forest LUC'!$D19,6)=LEFT(Matrix!$BR$24,6),IF(LEFT('non Forest LUC'!$F19,6)=LEFT(Matrix!BS$24,6),'non Forest LUC'!$F41,0),0)</f>
        <v>0</v>
      </c>
      <c r="BT35" s="429">
        <f>IF(LEFT('non Forest LUC'!$D19,6)=LEFT(Matrix!$BR$24,6),IF(LEFT('non Forest LUC'!$F19,6)=LEFT(Matrix!BT$24,6),'non Forest LUC'!$F41,0),0)</f>
        <v>0</v>
      </c>
      <c r="BU35" s="429">
        <f>IF(LEFT('non Forest LUC'!$D19,6)=LEFT(Matrix!$BR$24,6),IF(LEFT('non Forest LUC'!$F19,6)=LEFT(Matrix!BU$24,6),'non Forest LUC'!$F41,0),0)</f>
        <v>0</v>
      </c>
      <c r="BV35" s="429">
        <f>IF(LEFT('non Forest LUC'!$D19,6)=LEFT(Matrix!$BR$24,6),IF(LEFT('non Forest LUC'!$F19,6)=LEFT(Matrix!BV$24,6),'non Forest LUC'!$F41,0),0)</f>
        <v>0</v>
      </c>
      <c r="BW35" s="429">
        <f>IF(LEFT('non Forest LUC'!$D19,6)=LEFT(Matrix!$BR$24,6),IF(LEFT('non Forest LUC'!$F19,6)=LEFT(Matrix!BW$24,6),'non Forest LUC'!$F41,0),0)</f>
        <v>0</v>
      </c>
      <c r="BX35" s="429">
        <f>IF(LEFT('non Forest LUC'!$D19,6)=LEFT(Matrix!$BR$24,6),IF(LEFT('non Forest LUC'!$F19,6)=LEFT(Matrix!BX$24,6),'non Forest LUC'!$F41,0),0)</f>
        <v>0</v>
      </c>
      <c r="BY35" s="440"/>
      <c r="BZ35" s="429">
        <f>IF(LEFT('non Forest LUC'!$D19,6)=LEFT(Matrix!$BY$24,6),IF(LEFT('non Forest LUC'!$F19,6)=LEFT(Matrix!BZ$24,6),'non Forest LUC'!$F41,0),0)</f>
        <v>0</v>
      </c>
      <c r="CA35" s="429">
        <f>IF(LEFT('non Forest LUC'!$D19,6)=LEFT(Matrix!$BY$24,6),IF(LEFT('non Forest LUC'!$F19,6)=LEFT(Matrix!CA$24,6),'non Forest LUC'!$F41,0),0)</f>
        <v>0</v>
      </c>
      <c r="CB35" s="429">
        <f>IF(LEFT('non Forest LUC'!$D19,6)=LEFT(Matrix!$BY$24,6),IF(LEFT('non Forest LUC'!$F19,6)=LEFT(Matrix!CB$24,6),'non Forest LUC'!$F41,0),0)</f>
        <v>0</v>
      </c>
      <c r="CC35" s="429">
        <f>IF(LEFT('non Forest LUC'!$D19,6)=LEFT(Matrix!$BY$24,6),IF(LEFT('non Forest LUC'!$F19,6)=LEFT(Matrix!CC$24,6),'non Forest LUC'!$F41,0),0)</f>
        <v>0</v>
      </c>
      <c r="CD35" s="429">
        <f>IF(LEFT('non Forest LUC'!$D19,6)=LEFT(Matrix!$BY$24,6),IF(LEFT('non Forest LUC'!$F19,6)=LEFT(Matrix!CD$24,6),'non Forest LUC'!$F41,0),0)</f>
        <v>0</v>
      </c>
      <c r="CE35" s="429">
        <f>IF(LEFT('non Forest LUC'!$D19,6)=LEFT(Matrix!$BY$24,6),IF(LEFT('non Forest LUC'!$F19,6)=LEFT(Matrix!CE$24,6),'non Forest LUC'!$F41,0),0)</f>
        <v>0</v>
      </c>
      <c r="CF35" s="440"/>
      <c r="CG35" s="429">
        <f>IF(LEFT('non Forest LUC'!$D19,6)=LEFT(Matrix!$CF$24,6),IF(LEFT('non Forest LUC'!$F19,6)=LEFT(Matrix!CG$24,6),'non Forest LUC'!$F41,0),0)</f>
        <v>0</v>
      </c>
      <c r="CH35" s="429">
        <f>IF(LEFT('non Forest LUC'!$D19,6)=LEFT(Matrix!$CF$24,6),IF(LEFT('non Forest LUC'!$F19,6)=LEFT(Matrix!CH$24,6),'non Forest LUC'!$F41,0),0)</f>
        <v>0</v>
      </c>
      <c r="CI35" s="429">
        <f>IF(LEFT('non Forest LUC'!$D19,6)=LEFT(Matrix!$CF$24,6),IF(LEFT('non Forest LUC'!$F19,6)=LEFT(Matrix!CI$24,6),'non Forest LUC'!$F41,0),0)</f>
        <v>0</v>
      </c>
      <c r="CJ35" s="429">
        <f>IF(LEFT('non Forest LUC'!$D19,6)=LEFT(Matrix!$CF$24,6),IF(LEFT('non Forest LUC'!$F19,6)=LEFT(Matrix!CJ$24,6),'non Forest LUC'!$F41,0),0)</f>
        <v>0</v>
      </c>
      <c r="CK35" s="429">
        <f>IF(LEFT('non Forest LUC'!$D19,6)=LEFT(Matrix!$CF$24,6),IF(LEFT('non Forest LUC'!$F19,6)=LEFT(Matrix!CK$24,6),'non Forest LUC'!$F41,0),0)</f>
        <v>0</v>
      </c>
      <c r="CL35" s="429">
        <f>IF(LEFT('non Forest LUC'!$D19,6)=LEFT(Matrix!$CF$24,6),IF(LEFT('non Forest LUC'!$F19,6)=LEFT(Matrix!CL$24,6),'non Forest LUC'!$F41,0),0)</f>
        <v>0</v>
      </c>
    </row>
    <row r="36" spans="2:91">
      <c r="AP36" s="440"/>
      <c r="AQ36" s="429">
        <f>IF(LEFT('non Forest LUC'!$D20,6)=LEFT(Matrix!$AP$24,6),IF(LEFT('non Forest LUC'!$F20,6)=LEFT(Matrix!AQ$24,6),'non Forest LUC'!$F42,0),0)</f>
        <v>0</v>
      </c>
      <c r="AR36" s="429">
        <f>IF(LEFT('non Forest LUC'!$D20,6)=LEFT(Matrix!$AP$24,6),IF(LEFT('non Forest LUC'!$F20,6)=LEFT(Matrix!AR$24,6),'non Forest LUC'!$F42,0),0)</f>
        <v>0</v>
      </c>
      <c r="AS36" s="429">
        <f>IF(LEFT('non Forest LUC'!$D20,6)=LEFT(Matrix!$AP$24,6),IF(LEFT('non Forest LUC'!$F20,6)=LEFT(Matrix!AS$24,6),'non Forest LUC'!$F42,0),0)</f>
        <v>0</v>
      </c>
      <c r="AT36" s="429">
        <f>IF(LEFT('non Forest LUC'!$D20,6)=LEFT(Matrix!$AP$24,6),IF(LEFT('non Forest LUC'!$F20,6)=LEFT(Matrix!AT$24,6),'non Forest LUC'!$F42,0),0)</f>
        <v>0</v>
      </c>
      <c r="AU36" s="429">
        <f>IF(LEFT('non Forest LUC'!$D20,6)=LEFT(Matrix!$AP$24,6),IF(LEFT('non Forest LUC'!$F20,6)=LEFT(Matrix!AU$24,6),'non Forest LUC'!$F42,0),0)</f>
        <v>0</v>
      </c>
      <c r="AV36" s="429">
        <f>IF(LEFT('non Forest LUC'!$D20,6)=LEFT(Matrix!$AP$24,6),IF(LEFT('non Forest LUC'!$F20,6)=LEFT(Matrix!AV$24,6),'non Forest LUC'!$F42,0),0)</f>
        <v>0</v>
      </c>
      <c r="AW36" s="440"/>
      <c r="AX36" s="429">
        <f>IF(LEFT('non Forest LUC'!$D20,6)=LEFT(Matrix!$AW$24,6),IF(LEFT('non Forest LUC'!$F20,6)=LEFT(Matrix!AX$24,6),'non Forest LUC'!$F42,0),0)</f>
        <v>0</v>
      </c>
      <c r="AY36" s="429">
        <f>IF(LEFT('non Forest LUC'!$D20,6)=LEFT(Matrix!$AW$24,6),IF(LEFT('non Forest LUC'!$F20,6)=LEFT(Matrix!AY$24,6),'non Forest LUC'!$F42,0),0)</f>
        <v>0</v>
      </c>
      <c r="AZ36" s="429">
        <f>IF(LEFT('non Forest LUC'!$D20,6)=LEFT(Matrix!$AW$24,6),IF(LEFT('non Forest LUC'!$F20,6)=LEFT(Matrix!AZ$24,6),'non Forest LUC'!$F42,0),0)</f>
        <v>0</v>
      </c>
      <c r="BA36" s="429">
        <f>IF(LEFT('non Forest LUC'!$D20,6)=LEFT(Matrix!$AW$24,6),IF(LEFT('non Forest LUC'!$F20,6)=LEFT(Matrix!BA$24,6),'non Forest LUC'!$F42,0),0)</f>
        <v>0</v>
      </c>
      <c r="BB36" s="429">
        <f>IF(LEFT('non Forest LUC'!$D20,6)=LEFT(Matrix!$AW$24,6),IF(LEFT('non Forest LUC'!$F20,6)=LEFT(Matrix!BB$24,6),'non Forest LUC'!$F42,0),0)</f>
        <v>0</v>
      </c>
      <c r="BC36" s="429">
        <f>IF(LEFT('non Forest LUC'!$D20,6)=LEFT(Matrix!$AW$24,6),IF(LEFT('non Forest LUC'!$F20,6)=LEFT(Matrix!BC$24,6),'non Forest LUC'!$F42,0),0)</f>
        <v>0</v>
      </c>
      <c r="BD36" s="440"/>
      <c r="BE36" s="429">
        <f>IF(LEFT('non Forest LUC'!$D20,6)=LEFT(Matrix!$BD$24,6),IF(LEFT('non Forest LUC'!$F20,6)=LEFT(Matrix!BE$24,6),'non Forest LUC'!$F42,0),0)</f>
        <v>0</v>
      </c>
      <c r="BF36" s="429">
        <f>IF(LEFT('non Forest LUC'!$D20,6)=LEFT(Matrix!$BD$24,6),IF(LEFT('non Forest LUC'!$F20,6)=LEFT(Matrix!BF$24,6),'non Forest LUC'!$F42,0),0)</f>
        <v>0</v>
      </c>
      <c r="BG36" s="429">
        <f>IF(LEFT('non Forest LUC'!$D20,6)=LEFT(Matrix!$BD$24,6),IF(LEFT('non Forest LUC'!$F20,6)=LEFT(Matrix!BG$24,6),'non Forest LUC'!$F42,0),0)</f>
        <v>0</v>
      </c>
      <c r="BH36" s="429">
        <f>IF(LEFT('non Forest LUC'!$D20,6)=LEFT(Matrix!$BD$24,6),IF(LEFT('non Forest LUC'!$F20,6)=LEFT(Matrix!BH$24,6),'non Forest LUC'!$F42,0),0)</f>
        <v>0</v>
      </c>
      <c r="BI36" s="429">
        <f>IF(LEFT('non Forest LUC'!$D20,6)=LEFT(Matrix!$BD$24,6),IF(LEFT('non Forest LUC'!$F20,6)=LEFT(Matrix!BI$24,6),'non Forest LUC'!$F42,0),0)</f>
        <v>0</v>
      </c>
      <c r="BJ36" s="429">
        <f>IF(LEFT('non Forest LUC'!$D20,6)=LEFT(Matrix!$BD$24,6),IF(LEFT('non Forest LUC'!$F20,6)=LEFT(Matrix!BJ$24,6),'non Forest LUC'!$F42,0),0)</f>
        <v>0</v>
      </c>
      <c r="BK36" s="440"/>
      <c r="BL36" s="429">
        <f>IF(LEFT('non Forest LUC'!$D20,6)=LEFT(Matrix!$BK$24,6),IF(LEFT('non Forest LUC'!$F20,6)=LEFT(Matrix!BL$24,6),'non Forest LUC'!$F42,0),0)</f>
        <v>0</v>
      </c>
      <c r="BM36" s="429">
        <f>IF(LEFT('non Forest LUC'!$D20,6)=LEFT(Matrix!$BK$24,6),IF(LEFT('non Forest LUC'!$F20,6)=LEFT(Matrix!BM$24,6),'non Forest LUC'!$F42,0),0)</f>
        <v>0</v>
      </c>
      <c r="BN36" s="429">
        <f>IF(LEFT('non Forest LUC'!$D20,6)=LEFT(Matrix!$BK$24,6),IF(LEFT('non Forest LUC'!$F20,6)=LEFT(Matrix!BN$24,6),'non Forest LUC'!$F42,0),0)</f>
        <v>0</v>
      </c>
      <c r="BO36" s="429">
        <f>IF(LEFT('non Forest LUC'!$D20,6)=LEFT(Matrix!$BK$24,6),IF(LEFT('non Forest LUC'!$F20,6)=LEFT(Matrix!BO$24,6),'non Forest LUC'!$F42,0),0)</f>
        <v>0</v>
      </c>
      <c r="BP36" s="429">
        <f>IF(LEFT('non Forest LUC'!$D20,6)=LEFT(Matrix!$BK$24,6),IF(LEFT('non Forest LUC'!$F20,6)=LEFT(Matrix!BP$24,6),'non Forest LUC'!$F42,0),0)</f>
        <v>0</v>
      </c>
      <c r="BQ36" s="429">
        <f>IF(LEFT('non Forest LUC'!$D20,6)=LEFT(Matrix!$BK$24,6),IF(LEFT('non Forest LUC'!$F20,6)=LEFT(Matrix!BQ$24,6),'non Forest LUC'!$F42,0),0)</f>
        <v>0</v>
      </c>
      <c r="BR36" s="440"/>
      <c r="BS36" s="429">
        <f>IF(LEFT('non Forest LUC'!$D20,6)=LEFT(Matrix!$BR$24,6),IF(LEFT('non Forest LUC'!$F20,6)=LEFT(Matrix!BS$24,6),'non Forest LUC'!$F42,0),0)</f>
        <v>0</v>
      </c>
      <c r="BT36" s="429">
        <f>IF(LEFT('non Forest LUC'!$D20,6)=LEFT(Matrix!$BR$24,6),IF(LEFT('non Forest LUC'!$F20,6)=LEFT(Matrix!BT$24,6),'non Forest LUC'!$F42,0),0)</f>
        <v>0</v>
      </c>
      <c r="BU36" s="429">
        <f>IF(LEFT('non Forest LUC'!$D20,6)=LEFT(Matrix!$BR$24,6),IF(LEFT('non Forest LUC'!$F20,6)=LEFT(Matrix!BU$24,6),'non Forest LUC'!$F42,0),0)</f>
        <v>0</v>
      </c>
      <c r="BV36" s="429">
        <f>IF(LEFT('non Forest LUC'!$D20,6)=LEFT(Matrix!$BR$24,6),IF(LEFT('non Forest LUC'!$F20,6)=LEFT(Matrix!BV$24,6),'non Forest LUC'!$F42,0),0)</f>
        <v>0</v>
      </c>
      <c r="BW36" s="429">
        <f>IF(LEFT('non Forest LUC'!$D20,6)=LEFT(Matrix!$BR$24,6),IF(LEFT('non Forest LUC'!$F20,6)=LEFT(Matrix!BW$24,6),'non Forest LUC'!$F42,0),0)</f>
        <v>0</v>
      </c>
      <c r="BX36" s="429">
        <f>IF(LEFT('non Forest LUC'!$D20,6)=LEFT(Matrix!$BR$24,6),IF(LEFT('non Forest LUC'!$F20,6)=LEFT(Matrix!BX$24,6),'non Forest LUC'!$F42,0),0)</f>
        <v>0</v>
      </c>
      <c r="BY36" s="440"/>
      <c r="BZ36" s="429">
        <f>IF(LEFT('non Forest LUC'!$D20,6)=LEFT(Matrix!$BY$24,6),IF(LEFT('non Forest LUC'!$F20,6)=LEFT(Matrix!BZ$24,6),'non Forest LUC'!$F42,0),0)</f>
        <v>0</v>
      </c>
      <c r="CA36" s="429">
        <f>IF(LEFT('non Forest LUC'!$D20,6)=LEFT(Matrix!$BY$24,6),IF(LEFT('non Forest LUC'!$F20,6)=LEFT(Matrix!CA$24,6),'non Forest LUC'!$F42,0),0)</f>
        <v>0</v>
      </c>
      <c r="CB36" s="429">
        <f>IF(LEFT('non Forest LUC'!$D20,6)=LEFT(Matrix!$BY$24,6),IF(LEFT('non Forest LUC'!$F20,6)=LEFT(Matrix!CB$24,6),'non Forest LUC'!$F42,0),0)</f>
        <v>0</v>
      </c>
      <c r="CC36" s="429">
        <f>IF(LEFT('non Forest LUC'!$D20,6)=LEFT(Matrix!$BY$24,6),IF(LEFT('non Forest LUC'!$F20,6)=LEFT(Matrix!CC$24,6),'non Forest LUC'!$F42,0),0)</f>
        <v>0</v>
      </c>
      <c r="CD36" s="429">
        <f>IF(LEFT('non Forest LUC'!$D20,6)=LEFT(Matrix!$BY$24,6),IF(LEFT('non Forest LUC'!$F20,6)=LEFT(Matrix!CD$24,6),'non Forest LUC'!$F42,0),0)</f>
        <v>0</v>
      </c>
      <c r="CE36" s="429">
        <f>IF(LEFT('non Forest LUC'!$D20,6)=LEFT(Matrix!$BY$24,6),IF(LEFT('non Forest LUC'!$F20,6)=LEFT(Matrix!CE$24,6),'non Forest LUC'!$F42,0),0)</f>
        <v>0</v>
      </c>
      <c r="CF36" s="440"/>
      <c r="CG36" s="429">
        <f>IF(LEFT('non Forest LUC'!$D20,6)=LEFT(Matrix!$CF$24,6),IF(LEFT('non Forest LUC'!$F20,6)=LEFT(Matrix!CG$24,6),'non Forest LUC'!$F42,0),0)</f>
        <v>0</v>
      </c>
      <c r="CH36" s="429">
        <f>IF(LEFT('non Forest LUC'!$D20,6)=LEFT(Matrix!$CF$24,6),IF(LEFT('non Forest LUC'!$F20,6)=LEFT(Matrix!CH$24,6),'non Forest LUC'!$F42,0),0)</f>
        <v>0</v>
      </c>
      <c r="CI36" s="429">
        <f>IF(LEFT('non Forest LUC'!$D20,6)=LEFT(Matrix!$CF$24,6),IF(LEFT('non Forest LUC'!$F20,6)=LEFT(Matrix!CI$24,6),'non Forest LUC'!$F42,0),0)</f>
        <v>0</v>
      </c>
      <c r="CJ36" s="429">
        <f>IF(LEFT('non Forest LUC'!$D20,6)=LEFT(Matrix!$CF$24,6),IF(LEFT('non Forest LUC'!$F20,6)=LEFT(Matrix!CJ$24,6),'non Forest LUC'!$F42,0),0)</f>
        <v>0</v>
      </c>
      <c r="CK36" s="429">
        <f>IF(LEFT('non Forest LUC'!$D20,6)=LEFT(Matrix!$CF$24,6),IF(LEFT('non Forest LUC'!$F20,6)=LEFT(Matrix!CK$24,6),'non Forest LUC'!$F42,0),0)</f>
        <v>0</v>
      </c>
      <c r="CL36" s="429">
        <f>IF(LEFT('non Forest LUC'!$D20,6)=LEFT(Matrix!$CF$24,6),IF(LEFT('non Forest LUC'!$F20,6)=LEFT(Matrix!CL$24,6),'non Forest LUC'!$F42,0),0)</f>
        <v>0</v>
      </c>
    </row>
    <row r="37" spans="2:91">
      <c r="J37" s="1587"/>
      <c r="K37" s="1588" t="s">
        <v>267</v>
      </c>
      <c r="M37" s="494">
        <f>'Organic Soils NEW'!S46+Wetlands!H31+Wetlands!M51+Wetlands!M64</f>
        <v>0</v>
      </c>
      <c r="AP37" s="496"/>
      <c r="AQ37" s="429">
        <f>IF(LEFT('non Forest LUC'!$D21,6)=LEFT(Matrix!$AP$24,6),IF(LEFT('non Forest LUC'!$F21,6)=LEFT(Matrix!AQ$24,6),'non Forest LUC'!$F43,0),0)</f>
        <v>0</v>
      </c>
      <c r="AR37" s="429">
        <f>IF(LEFT('non Forest LUC'!$D21,6)=LEFT(Matrix!$AP$24,6),IF(LEFT('non Forest LUC'!$F21,6)=LEFT(Matrix!AR$24,6),'non Forest LUC'!$F43,0),0)</f>
        <v>0</v>
      </c>
      <c r="AS37" s="429">
        <f>IF(LEFT('non Forest LUC'!$D21,6)=LEFT(Matrix!$AP$24,6),IF(LEFT('non Forest LUC'!$F21,6)=LEFT(Matrix!AS$24,6),'non Forest LUC'!$F43,0),0)</f>
        <v>0</v>
      </c>
      <c r="AT37" s="429">
        <f>IF(LEFT('non Forest LUC'!$D21,6)=LEFT(Matrix!$AP$24,6),IF(LEFT('non Forest LUC'!$F21,6)=LEFT(Matrix!AT$24,6),'non Forest LUC'!$F43,0),0)</f>
        <v>0</v>
      </c>
      <c r="AU37" s="429">
        <f>IF(LEFT('non Forest LUC'!$D21,6)=LEFT(Matrix!$AP$24,6),IF(LEFT('non Forest LUC'!$F21,6)=LEFT(Matrix!AU$24,6),'non Forest LUC'!$F43,0),0)</f>
        <v>0</v>
      </c>
      <c r="AV37" s="429">
        <f>IF(LEFT('non Forest LUC'!$D21,6)=LEFT(Matrix!$AP$24,6),IF(LEFT('non Forest LUC'!$F21,6)=LEFT(Matrix!AV$24,6),'non Forest LUC'!$F43,0),0)</f>
        <v>0</v>
      </c>
      <c r="AW37" s="440"/>
      <c r="AX37" s="429">
        <f>IF(LEFT('non Forest LUC'!$D21,6)=LEFT(Matrix!$AW$24,6),IF(LEFT('non Forest LUC'!$F21,6)=LEFT(Matrix!AX$24,6),'non Forest LUC'!$F43,0),0)</f>
        <v>0</v>
      </c>
      <c r="AY37" s="429">
        <f>IF(LEFT('non Forest LUC'!$D21,6)=LEFT(Matrix!$AW$24,6),IF(LEFT('non Forest LUC'!$F21,6)=LEFT(Matrix!AY$24,6),'non Forest LUC'!$F43,0),0)</f>
        <v>0</v>
      </c>
      <c r="AZ37" s="429">
        <f>IF(LEFT('non Forest LUC'!$D21,6)=LEFT(Matrix!$AW$24,6),IF(LEFT('non Forest LUC'!$F21,6)=LEFT(Matrix!AZ$24,6),'non Forest LUC'!$F43,0),0)</f>
        <v>0</v>
      </c>
      <c r="BA37" s="429">
        <f>IF(LEFT('non Forest LUC'!$D21,6)=LEFT(Matrix!$AW$24,6),IF(LEFT('non Forest LUC'!$F21,6)=LEFT(Matrix!BA$24,6),'non Forest LUC'!$F43,0),0)</f>
        <v>0</v>
      </c>
      <c r="BB37" s="429">
        <f>IF(LEFT('non Forest LUC'!$D21,6)=LEFT(Matrix!$AW$24,6),IF(LEFT('non Forest LUC'!$F21,6)=LEFT(Matrix!BB$24,6),'non Forest LUC'!$F43,0),0)</f>
        <v>0</v>
      </c>
      <c r="BC37" s="429">
        <f>IF(LEFT('non Forest LUC'!$D21,6)=LEFT(Matrix!$AW$24,6),IF(LEFT('non Forest LUC'!$F21,6)=LEFT(Matrix!BC$24,6),'non Forest LUC'!$F43,0),0)</f>
        <v>0</v>
      </c>
      <c r="BD37" s="440"/>
      <c r="BE37" s="429">
        <f>IF(LEFT('non Forest LUC'!$D21,6)=LEFT(Matrix!$BD$24,6),IF(LEFT('non Forest LUC'!$F21,6)=LEFT(Matrix!BE$24,6),'non Forest LUC'!$F43,0),0)</f>
        <v>0</v>
      </c>
      <c r="BF37" s="429">
        <f>IF(LEFT('non Forest LUC'!$D21,6)=LEFT(Matrix!$BD$24,6),IF(LEFT('non Forest LUC'!$F21,6)=LEFT(Matrix!BF$24,6),'non Forest LUC'!$F43,0),0)</f>
        <v>0</v>
      </c>
      <c r="BG37" s="429">
        <f>IF(LEFT('non Forest LUC'!$D21,6)=LEFT(Matrix!$BD$24,6),IF(LEFT('non Forest LUC'!$F21,6)=LEFT(Matrix!BG$24,6),'non Forest LUC'!$F43,0),0)</f>
        <v>0</v>
      </c>
      <c r="BH37" s="429">
        <f>IF(LEFT('non Forest LUC'!$D21,6)=LEFT(Matrix!$BD$24,6),IF(LEFT('non Forest LUC'!$F21,6)=LEFT(Matrix!BH$24,6),'non Forest LUC'!$F43,0),0)</f>
        <v>0</v>
      </c>
      <c r="BI37" s="429">
        <f>IF(LEFT('non Forest LUC'!$D21,6)=LEFT(Matrix!$BD$24,6),IF(LEFT('non Forest LUC'!$F21,6)=LEFT(Matrix!BI$24,6),'non Forest LUC'!$F43,0),0)</f>
        <v>0</v>
      </c>
      <c r="BJ37" s="429">
        <f>IF(LEFT('non Forest LUC'!$D21,6)=LEFT(Matrix!$BD$24,6),IF(LEFT('non Forest LUC'!$F21,6)=LEFT(Matrix!BJ$24,6),'non Forest LUC'!$F43,0),0)</f>
        <v>0</v>
      </c>
      <c r="BK37" s="440"/>
      <c r="BL37" s="429">
        <f>IF(LEFT('non Forest LUC'!$D21,6)=LEFT(Matrix!$BK$24,6),IF(LEFT('non Forest LUC'!$F21,6)=LEFT(Matrix!BL$24,6),'non Forest LUC'!$F43,0),0)</f>
        <v>0</v>
      </c>
      <c r="BM37" s="429">
        <f>IF(LEFT('non Forest LUC'!$D21,6)=LEFT(Matrix!$BK$24,6),IF(LEFT('non Forest LUC'!$F21,6)=LEFT(Matrix!BM$24,6),'non Forest LUC'!$F43,0),0)</f>
        <v>0</v>
      </c>
      <c r="BN37" s="429">
        <f>IF(LEFT('non Forest LUC'!$D21,6)=LEFT(Matrix!$BK$24,6),IF(LEFT('non Forest LUC'!$F21,6)=LEFT(Matrix!BN$24,6),'non Forest LUC'!$F43,0),0)</f>
        <v>0</v>
      </c>
      <c r="BO37" s="429">
        <f>IF(LEFT('non Forest LUC'!$D21,6)=LEFT(Matrix!$BK$24,6),IF(LEFT('non Forest LUC'!$F21,6)=LEFT(Matrix!BO$24,6),'non Forest LUC'!$F43,0),0)</f>
        <v>0</v>
      </c>
      <c r="BP37" s="429">
        <f>IF(LEFT('non Forest LUC'!$D21,6)=LEFT(Matrix!$BK$24,6),IF(LEFT('non Forest LUC'!$F21,6)=LEFT(Matrix!BP$24,6),'non Forest LUC'!$F43,0),0)</f>
        <v>0</v>
      </c>
      <c r="BQ37" s="429">
        <f>IF(LEFT('non Forest LUC'!$D21,6)=LEFT(Matrix!$BK$24,6),IF(LEFT('non Forest LUC'!$F21,6)=LEFT(Matrix!BQ$24,6),'non Forest LUC'!$F43,0),0)</f>
        <v>0</v>
      </c>
      <c r="BR37" s="440"/>
      <c r="BS37" s="429">
        <f>IF(LEFT('non Forest LUC'!$D21,6)=LEFT(Matrix!$BR$24,6),IF(LEFT('non Forest LUC'!$F21,6)=LEFT(Matrix!BS$24,6),'non Forest LUC'!$F43,0),0)</f>
        <v>0</v>
      </c>
      <c r="BT37" s="429">
        <f>IF(LEFT('non Forest LUC'!$D21,6)=LEFT(Matrix!$BR$24,6),IF(LEFT('non Forest LUC'!$F21,6)=LEFT(Matrix!BT$24,6),'non Forest LUC'!$F43,0),0)</f>
        <v>0</v>
      </c>
      <c r="BU37" s="429">
        <f>IF(LEFT('non Forest LUC'!$D21,6)=LEFT(Matrix!$BR$24,6),IF(LEFT('non Forest LUC'!$F21,6)=LEFT(Matrix!BU$24,6),'non Forest LUC'!$F43,0),0)</f>
        <v>0</v>
      </c>
      <c r="BV37" s="429">
        <f>IF(LEFT('non Forest LUC'!$D21,6)=LEFT(Matrix!$BR$24,6),IF(LEFT('non Forest LUC'!$F21,6)=LEFT(Matrix!BV$24,6),'non Forest LUC'!$F43,0),0)</f>
        <v>0</v>
      </c>
      <c r="BW37" s="429">
        <f>IF(LEFT('non Forest LUC'!$D21,6)=LEFT(Matrix!$BR$24,6),IF(LEFT('non Forest LUC'!$F21,6)=LEFT(Matrix!BW$24,6),'non Forest LUC'!$F43,0),0)</f>
        <v>0</v>
      </c>
      <c r="BX37" s="429">
        <f>IF(LEFT('non Forest LUC'!$D21,6)=LEFT(Matrix!$BR$24,6),IF(LEFT('non Forest LUC'!$F21,6)=LEFT(Matrix!BX$24,6),'non Forest LUC'!$F43,0),0)</f>
        <v>0</v>
      </c>
      <c r="BY37" s="440"/>
      <c r="BZ37" s="429">
        <f>IF(LEFT('non Forest LUC'!$D21,6)=LEFT(Matrix!$BY$24,6),IF(LEFT('non Forest LUC'!$F21,6)=LEFT(Matrix!BZ$24,6),'non Forest LUC'!$F43,0),0)</f>
        <v>0</v>
      </c>
      <c r="CA37" s="429">
        <f>IF(LEFT('non Forest LUC'!$D21,6)=LEFT(Matrix!$BY$24,6),IF(LEFT('non Forest LUC'!$F21,6)=LEFT(Matrix!CA$24,6),'non Forest LUC'!$F43,0),0)</f>
        <v>0</v>
      </c>
      <c r="CB37" s="429">
        <f>IF(LEFT('non Forest LUC'!$D21,6)=LEFT(Matrix!$BY$24,6),IF(LEFT('non Forest LUC'!$F21,6)=LEFT(Matrix!CB$24,6),'non Forest LUC'!$F43,0),0)</f>
        <v>0</v>
      </c>
      <c r="CC37" s="429">
        <f>IF(LEFT('non Forest LUC'!$D21,6)=LEFT(Matrix!$BY$24,6),IF(LEFT('non Forest LUC'!$F21,6)=LEFT(Matrix!CC$24,6),'non Forest LUC'!$F43,0),0)</f>
        <v>0</v>
      </c>
      <c r="CD37" s="429">
        <f>IF(LEFT('non Forest LUC'!$D21,6)=LEFT(Matrix!$BY$24,6),IF(LEFT('non Forest LUC'!$F21,6)=LEFT(Matrix!CD$24,6),'non Forest LUC'!$F43,0),0)</f>
        <v>0</v>
      </c>
      <c r="CE37" s="429">
        <f>IF(LEFT('non Forest LUC'!$D21,6)=LEFT(Matrix!$BY$24,6),IF(LEFT('non Forest LUC'!$F21,6)=LEFT(Matrix!CE$24,6),'non Forest LUC'!$F43,0),0)</f>
        <v>0</v>
      </c>
      <c r="CF37" s="440"/>
      <c r="CG37" s="429">
        <f>IF(LEFT('non Forest LUC'!$D21,6)=LEFT(Matrix!$CF$24,6),IF(LEFT('non Forest LUC'!$F21,6)=LEFT(Matrix!CG$24,6),'non Forest LUC'!$F43,0),0)</f>
        <v>0</v>
      </c>
      <c r="CH37" s="429">
        <f>IF(LEFT('non Forest LUC'!$D21,6)=LEFT(Matrix!$CF$24,6),IF(LEFT('non Forest LUC'!$F21,6)=LEFT(Matrix!CH$24,6),'non Forest LUC'!$F43,0),0)</f>
        <v>0</v>
      </c>
      <c r="CI37" s="429">
        <f>IF(LEFT('non Forest LUC'!$D21,6)=LEFT(Matrix!$CF$24,6),IF(LEFT('non Forest LUC'!$F21,6)=LEFT(Matrix!CI$24,6),'non Forest LUC'!$F43,0),0)</f>
        <v>0</v>
      </c>
      <c r="CJ37" s="429">
        <f>IF(LEFT('non Forest LUC'!$D21,6)=LEFT(Matrix!$CF$24,6),IF(LEFT('non Forest LUC'!$F21,6)=LEFT(Matrix!CJ$24,6),'non Forest LUC'!$F43,0),0)</f>
        <v>0</v>
      </c>
      <c r="CK37" s="429">
        <f>IF(LEFT('non Forest LUC'!$D21,6)=LEFT(Matrix!$CF$24,6),IF(LEFT('non Forest LUC'!$F21,6)=LEFT(Matrix!CK$24,6),'non Forest LUC'!$F43,0),0)</f>
        <v>0</v>
      </c>
      <c r="CL37" s="429">
        <f>IF(LEFT('non Forest LUC'!$D21,6)=LEFT(Matrix!$CF$24,6),IF(LEFT('non Forest LUC'!$F21,6)=LEFT(Matrix!CL$24,6),'non Forest LUC'!$F43,0),0)</f>
        <v>0</v>
      </c>
    </row>
    <row r="38" spans="2:91">
      <c r="B38" s="514" t="s">
        <v>1</v>
      </c>
      <c r="AP38" s="496" t="s">
        <v>1219</v>
      </c>
      <c r="AQ38" s="516">
        <f t="shared" ref="AQ38:AV38" si="20">SUM(AQ25:AQ37)</f>
        <v>0</v>
      </c>
      <c r="AR38" s="516">
        <f t="shared" si="20"/>
        <v>0</v>
      </c>
      <c r="AS38" s="516">
        <f t="shared" si="20"/>
        <v>0</v>
      </c>
      <c r="AT38" s="516">
        <f t="shared" si="20"/>
        <v>0</v>
      </c>
      <c r="AU38" s="516">
        <f t="shared" si="20"/>
        <v>0</v>
      </c>
      <c r="AV38" s="516">
        <f t="shared" si="20"/>
        <v>0</v>
      </c>
      <c r="AW38" s="440" t="s">
        <v>1219</v>
      </c>
      <c r="AX38" s="516">
        <f t="shared" ref="AX38:BC38" si="21">SUM(AX25:AX37)</f>
        <v>0</v>
      </c>
      <c r="AY38" s="516">
        <f t="shared" si="21"/>
        <v>0</v>
      </c>
      <c r="AZ38" s="516">
        <f t="shared" si="21"/>
        <v>0</v>
      </c>
      <c r="BA38" s="516">
        <f t="shared" si="21"/>
        <v>0</v>
      </c>
      <c r="BB38" s="516">
        <f t="shared" si="21"/>
        <v>0</v>
      </c>
      <c r="BC38" s="516">
        <f t="shared" si="21"/>
        <v>0</v>
      </c>
      <c r="BD38" s="440" t="s">
        <v>1219</v>
      </c>
      <c r="BE38" s="516">
        <f t="shared" ref="BE38:BJ38" si="22">SUM(BE25:BE37)</f>
        <v>0</v>
      </c>
      <c r="BF38" s="516">
        <f t="shared" si="22"/>
        <v>0</v>
      </c>
      <c r="BG38" s="516">
        <f t="shared" si="22"/>
        <v>0</v>
      </c>
      <c r="BH38" s="516">
        <f t="shared" si="22"/>
        <v>0</v>
      </c>
      <c r="BI38" s="516">
        <f t="shared" si="22"/>
        <v>0</v>
      </c>
      <c r="BJ38" s="516">
        <f t="shared" si="22"/>
        <v>0</v>
      </c>
      <c r="BK38" s="440" t="s">
        <v>1219</v>
      </c>
      <c r="BL38" s="516">
        <f t="shared" ref="BL38:BQ38" si="23">SUM(BL25:BL37)</f>
        <v>0</v>
      </c>
      <c r="BM38" s="516">
        <f t="shared" si="23"/>
        <v>0</v>
      </c>
      <c r="BN38" s="516">
        <f t="shared" si="23"/>
        <v>0</v>
      </c>
      <c r="BO38" s="516">
        <f t="shared" si="23"/>
        <v>0</v>
      </c>
      <c r="BP38" s="516">
        <f t="shared" si="23"/>
        <v>0</v>
      </c>
      <c r="BQ38" s="516">
        <f t="shared" si="23"/>
        <v>0</v>
      </c>
      <c r="BR38" s="440" t="s">
        <v>1219</v>
      </c>
      <c r="BS38" s="516">
        <f t="shared" ref="BS38:BX38" si="24">SUM(BS25:BS37)</f>
        <v>0</v>
      </c>
      <c r="BT38" s="516">
        <f t="shared" si="24"/>
        <v>0</v>
      </c>
      <c r="BU38" s="516">
        <f t="shared" si="24"/>
        <v>0</v>
      </c>
      <c r="BV38" s="516">
        <f t="shared" si="24"/>
        <v>0</v>
      </c>
      <c r="BW38" s="516">
        <f t="shared" si="24"/>
        <v>0</v>
      </c>
      <c r="BX38" s="516">
        <f t="shared" si="24"/>
        <v>0</v>
      </c>
      <c r="BY38" s="440" t="s">
        <v>1219</v>
      </c>
      <c r="BZ38" s="516">
        <f t="shared" ref="BZ38:CE38" si="25">SUM(BZ25:BZ37)</f>
        <v>0</v>
      </c>
      <c r="CA38" s="516">
        <f t="shared" si="25"/>
        <v>0</v>
      </c>
      <c r="CB38" s="516">
        <f t="shared" si="25"/>
        <v>0</v>
      </c>
      <c r="CC38" s="516">
        <f t="shared" si="25"/>
        <v>0</v>
      </c>
      <c r="CD38" s="516">
        <f t="shared" si="25"/>
        <v>0</v>
      </c>
      <c r="CE38" s="516">
        <f t="shared" si="25"/>
        <v>0</v>
      </c>
      <c r="CF38" s="440" t="s">
        <v>1219</v>
      </c>
      <c r="CG38" s="516">
        <f t="shared" ref="CG38:CL38" si="26">SUM(CG25:CG37)</f>
        <v>0</v>
      </c>
      <c r="CH38" s="516">
        <f t="shared" si="26"/>
        <v>0</v>
      </c>
      <c r="CI38" s="516">
        <f t="shared" si="26"/>
        <v>0</v>
      </c>
      <c r="CJ38" s="516">
        <f t="shared" si="26"/>
        <v>0</v>
      </c>
      <c r="CK38" s="516">
        <f t="shared" si="26"/>
        <v>0</v>
      </c>
      <c r="CL38" s="516">
        <f t="shared" si="26"/>
        <v>0</v>
      </c>
      <c r="CM38" s="233">
        <f>SUM(AQ38:CL38)</f>
        <v>0</v>
      </c>
    </row>
    <row r="39" spans="2:91">
      <c r="B39" s="515" t="s">
        <v>1227</v>
      </c>
      <c r="AP39" s="496"/>
      <c r="AQ39" s="516"/>
      <c r="AR39" s="516"/>
      <c r="AS39" s="516"/>
      <c r="AT39" s="516"/>
      <c r="AU39" s="516"/>
      <c r="AV39" s="516"/>
      <c r="AW39" s="496"/>
      <c r="AX39" s="516"/>
      <c r="AY39" s="516"/>
      <c r="AZ39" s="516"/>
      <c r="BA39" s="516"/>
      <c r="BB39" s="516"/>
      <c r="BC39" s="516"/>
      <c r="BD39" s="496"/>
      <c r="BE39" s="516"/>
      <c r="BF39" s="516"/>
      <c r="BG39" s="516"/>
      <c r="BH39" s="516"/>
      <c r="BI39" s="516"/>
      <c r="BJ39" s="516"/>
      <c r="BK39" s="496"/>
      <c r="BL39" s="516"/>
      <c r="BM39" s="516"/>
      <c r="BN39" s="516"/>
      <c r="BO39" s="516"/>
      <c r="BP39" s="516"/>
      <c r="BQ39" s="516"/>
      <c r="BR39" s="496"/>
      <c r="BS39" s="516"/>
      <c r="BT39" s="516"/>
      <c r="BU39" s="516"/>
      <c r="BV39" s="516"/>
      <c r="BW39" s="516"/>
      <c r="BX39" s="516"/>
      <c r="BY39" s="496"/>
      <c r="BZ39" s="516"/>
      <c r="CA39" s="516"/>
      <c r="CB39" s="516"/>
      <c r="CC39" s="516"/>
      <c r="CD39" s="516"/>
      <c r="CE39" s="516"/>
      <c r="CF39" s="496"/>
      <c r="CG39" s="516"/>
      <c r="CH39" s="516"/>
      <c r="CI39" s="516"/>
      <c r="CJ39" s="516"/>
      <c r="CK39" s="516"/>
      <c r="CL39" s="516"/>
    </row>
    <row r="40" spans="2:91">
      <c r="B40" s="515"/>
    </row>
    <row r="41" spans="2:91">
      <c r="B41" s="517"/>
      <c r="C41" s="233" t="s">
        <v>1245</v>
      </c>
    </row>
    <row r="42" spans="2:91">
      <c r="B42" s="518"/>
      <c r="C42" s="233" t="s">
        <v>1246</v>
      </c>
    </row>
    <row r="43" spans="2:91">
      <c r="B43" s="519"/>
      <c r="C43" s="233" t="s">
        <v>1247</v>
      </c>
    </row>
    <row r="44" spans="2:91">
      <c r="B44" s="520"/>
      <c r="C44" s="233" t="s">
        <v>1248</v>
      </c>
    </row>
    <row r="45" spans="2:91">
      <c r="B45" s="521"/>
      <c r="C45" s="233" t="s">
        <v>1249</v>
      </c>
    </row>
    <row r="46" spans="2:91">
      <c r="B46" s="522"/>
      <c r="C46" s="233" t="s">
        <v>1250</v>
      </c>
    </row>
  </sheetData>
  <sheetProtection formatCells="0" formatColumns="0" formatRows="0"/>
  <mergeCells count="6">
    <mergeCell ref="F8:H8"/>
    <mergeCell ref="F25:H25"/>
    <mergeCell ref="E7:K7"/>
    <mergeCell ref="J8:K8"/>
    <mergeCell ref="E24:K24"/>
    <mergeCell ref="J25:K25"/>
  </mergeCells>
  <phoneticPr fontId="11" type="noConversion"/>
  <pageMargins left="0.43307086614173229" right="0.39370078740157483" top="0.78" bottom="0.67" header="0.41" footer="0.25"/>
  <pageSetup paperSize="9" scale="90" orientation="landscape" r:id="rId1"/>
  <headerFooter alignWithMargins="0">
    <oddHeader>Page &amp;P&amp;R&amp;A</oddHeader>
    <oddFooter>&amp;F</oddFooter>
  </headerFooter>
  <ignoredErrors>
    <ignoredError sqref="H30 H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0"/>
    <pageSetUpPr fitToPage="1"/>
  </sheetPr>
  <dimension ref="A1:AX47"/>
  <sheetViews>
    <sheetView zoomScale="70" zoomScaleNormal="70" workbookViewId="0">
      <selection activeCell="P29" sqref="P29"/>
    </sheetView>
  </sheetViews>
  <sheetFormatPr defaultColWidth="11.42578125" defaultRowHeight="12.75"/>
  <cols>
    <col min="1" max="1" width="4.5703125" style="233" customWidth="1"/>
    <col min="2" max="2" width="21.85546875" style="233" customWidth="1"/>
    <col min="3" max="3" width="29.5703125" style="233" customWidth="1"/>
    <col min="4" max="6" width="10" style="233" customWidth="1"/>
    <col min="7" max="9" width="10.42578125" style="233" customWidth="1"/>
    <col min="10" max="10" width="15.42578125" style="233" customWidth="1"/>
    <col min="11" max="12" width="10.42578125" style="233" customWidth="1"/>
    <col min="13" max="16" width="10" style="233" customWidth="1"/>
    <col min="17" max="17" width="9.5703125" style="233" customWidth="1"/>
    <col min="18" max="19" width="10.28515625" style="233" customWidth="1"/>
    <col min="20" max="23" width="8" style="234" customWidth="1"/>
    <col min="24" max="24" width="11.28515625" style="234" customWidth="1"/>
    <col min="25" max="25" width="14" style="234" customWidth="1"/>
    <col min="26" max="26" width="12.7109375" style="234" customWidth="1"/>
    <col min="27" max="27" width="10.140625" style="234" customWidth="1"/>
    <col min="28" max="28" width="11" style="234" customWidth="1"/>
    <col min="29" max="29" width="11.42578125" style="234"/>
    <col min="30" max="30" width="11.42578125" style="233"/>
    <col min="31" max="31" width="11.42578125" style="655"/>
    <col min="32" max="32" width="11.42578125" style="1340"/>
    <col min="33" max="33" width="9.140625" style="1340" customWidth="1"/>
    <col min="34" max="36" width="11.42578125" style="1340"/>
    <col min="37" max="37" width="15.28515625" style="1340" customWidth="1"/>
    <col min="38" max="43" width="11.42578125" style="1340"/>
    <col min="44" max="47" width="11.42578125" style="1109"/>
    <col min="48" max="48" width="11.42578125" style="654"/>
    <col min="49" max="50" width="11.42578125" style="1109"/>
    <col min="51" max="16384" width="11.42578125" style="233"/>
  </cols>
  <sheetData>
    <row r="1" spans="1:50" s="1644" customFormat="1" ht="22.9" customHeight="1">
      <c r="T1" s="1648"/>
      <c r="U1" s="1648"/>
      <c r="V1" s="1648"/>
      <c r="W1" s="1648"/>
      <c r="X1" s="1648"/>
      <c r="Y1" s="1648"/>
      <c r="Z1" s="1648"/>
      <c r="AA1" s="1648"/>
      <c r="AB1" s="1648"/>
      <c r="AC1" s="1648"/>
      <c r="AE1" s="1676"/>
      <c r="AF1" s="1677"/>
      <c r="AG1" s="1677"/>
      <c r="AH1" s="1677"/>
      <c r="AI1" s="1677"/>
      <c r="AJ1" s="1677"/>
      <c r="AK1" s="1677"/>
      <c r="AL1" s="1677"/>
      <c r="AM1" s="1677"/>
      <c r="AN1" s="1677"/>
      <c r="AO1" s="1677"/>
      <c r="AP1" s="1677"/>
      <c r="AQ1" s="1677"/>
      <c r="AR1" s="1650"/>
      <c r="AS1" s="1650"/>
      <c r="AT1" s="1650"/>
      <c r="AU1" s="1650"/>
      <c r="AV1" s="1649"/>
      <c r="AW1" s="1650"/>
      <c r="AX1" s="1650"/>
    </row>
    <row r="2" spans="1:50" s="1644" customFormat="1" ht="22.9" customHeight="1">
      <c r="T2" s="1648"/>
      <c r="U2" s="1648"/>
      <c r="V2" s="1648"/>
      <c r="W2" s="1648"/>
      <c r="X2" s="1648"/>
      <c r="Y2" s="1648"/>
      <c r="Z2" s="1648"/>
      <c r="AA2" s="1648"/>
      <c r="AB2" s="1648"/>
      <c r="AC2" s="1648"/>
      <c r="AE2" s="1676"/>
      <c r="AF2" s="1677"/>
      <c r="AG2" s="1677"/>
      <c r="AH2" s="1677"/>
      <c r="AI2" s="1677"/>
      <c r="AJ2" s="1677"/>
      <c r="AK2" s="1677"/>
      <c r="AL2" s="1677"/>
      <c r="AM2" s="1677"/>
      <c r="AN2" s="1677"/>
      <c r="AO2" s="1677"/>
      <c r="AP2" s="1677"/>
      <c r="AQ2" s="1677"/>
      <c r="AR2" s="1650"/>
      <c r="AS2" s="1650"/>
      <c r="AT2" s="1650"/>
      <c r="AU2" s="1650"/>
      <c r="AV2" s="1649"/>
      <c r="AW2" s="1650"/>
      <c r="AX2" s="1650"/>
    </row>
    <row r="3" spans="1:50" s="1644" customFormat="1" ht="22.9" customHeight="1">
      <c r="T3" s="1648"/>
      <c r="U3" s="1648"/>
      <c r="V3" s="1648"/>
      <c r="W3" s="1648"/>
      <c r="X3" s="1648"/>
      <c r="Y3" s="1648"/>
      <c r="Z3" s="1648"/>
      <c r="AA3" s="1648"/>
      <c r="AB3" s="1648"/>
      <c r="AC3" s="1648"/>
      <c r="AE3" s="1676"/>
      <c r="AF3" s="1677"/>
      <c r="AG3" s="1677"/>
      <c r="AH3" s="1677"/>
      <c r="AI3" s="1677"/>
      <c r="AJ3" s="1677"/>
      <c r="AK3" s="1677"/>
      <c r="AL3" s="1677"/>
      <c r="AM3" s="1677"/>
      <c r="AN3" s="1677"/>
      <c r="AO3" s="1677"/>
      <c r="AP3" s="1677"/>
      <c r="AQ3" s="1677"/>
      <c r="AR3" s="1650"/>
      <c r="AS3" s="1650"/>
      <c r="AT3" s="1650"/>
      <c r="AU3" s="1650"/>
      <c r="AV3" s="1649"/>
      <c r="AW3" s="1650"/>
      <c r="AX3" s="1650"/>
    </row>
    <row r="4" spans="1:50" s="1644" customFormat="1" ht="22.9" customHeight="1">
      <c r="T4" s="1648"/>
      <c r="U4" s="1648"/>
      <c r="V4" s="1648"/>
      <c r="W4" s="1648"/>
      <c r="X4" s="1648"/>
      <c r="Y4" s="1648"/>
      <c r="Z4" s="1648"/>
      <c r="AA4" s="1648"/>
      <c r="AB4" s="1648"/>
      <c r="AC4" s="1648"/>
      <c r="AE4" s="1676"/>
      <c r="AF4" s="1677"/>
      <c r="AG4" s="1677"/>
      <c r="AH4" s="1677"/>
      <c r="AI4" s="1677"/>
      <c r="AJ4" s="1677"/>
      <c r="AK4" s="1677"/>
      <c r="AL4" s="1677"/>
      <c r="AM4" s="1677"/>
      <c r="AN4" s="1677"/>
      <c r="AO4" s="1677"/>
      <c r="AP4" s="1677"/>
      <c r="AQ4" s="1677"/>
      <c r="AR4" s="1650"/>
      <c r="AS4" s="1650"/>
      <c r="AT4" s="1650"/>
      <c r="AU4" s="1650"/>
      <c r="AV4" s="1649"/>
      <c r="AW4" s="1650"/>
      <c r="AX4" s="1650"/>
    </row>
    <row r="5" spans="1:50" s="1645" customFormat="1" ht="22.9" customHeight="1">
      <c r="A5" s="1645" t="s">
        <v>329</v>
      </c>
      <c r="D5" s="3817" t="s">
        <v>470</v>
      </c>
      <c r="E5" s="3817"/>
      <c r="F5" s="1678"/>
      <c r="G5" s="1678"/>
      <c r="H5" s="1678"/>
      <c r="I5" s="1678"/>
      <c r="J5" s="1678"/>
      <c r="K5" s="1678"/>
      <c r="L5" s="1678"/>
      <c r="M5" s="1678"/>
      <c r="N5" s="1678"/>
      <c r="O5" s="1678"/>
      <c r="P5" s="1678"/>
      <c r="Q5" s="1678"/>
      <c r="R5" s="1678"/>
      <c r="S5" s="1678"/>
      <c r="T5" s="1678"/>
      <c r="U5" s="1678"/>
      <c r="V5" s="1678"/>
      <c r="W5" s="1678"/>
      <c r="Y5" s="1678"/>
      <c r="AE5" s="1679"/>
      <c r="AF5" s="1680"/>
      <c r="AG5" s="1680"/>
      <c r="AH5" s="1680"/>
      <c r="AI5" s="1680"/>
      <c r="AJ5" s="1680"/>
      <c r="AK5" s="1680"/>
      <c r="AL5" s="1680"/>
      <c r="AM5" s="1680"/>
      <c r="AN5" s="1680"/>
      <c r="AO5" s="1680"/>
      <c r="AP5" s="1680"/>
      <c r="AQ5" s="1680"/>
      <c r="AR5" s="1681"/>
      <c r="AS5" s="1681"/>
      <c r="AT5" s="1681"/>
      <c r="AU5" s="1681"/>
      <c r="AV5" s="1679"/>
      <c r="AW5" s="1681"/>
      <c r="AX5" s="1681"/>
    </row>
    <row r="6" spans="1:50">
      <c r="Q6" s="234"/>
      <c r="R6" s="234"/>
      <c r="S6" s="234"/>
      <c r="AA6" s="233"/>
      <c r="AC6" s="233"/>
      <c r="AD6" s="234"/>
      <c r="AE6" s="2410"/>
      <c r="AF6" s="2416"/>
      <c r="AG6" s="2423" t="s">
        <v>203</v>
      </c>
      <c r="AH6" s="2416"/>
      <c r="AI6" s="2416"/>
      <c r="AJ6" s="2416"/>
      <c r="AK6" s="2790" t="s">
        <v>63</v>
      </c>
      <c r="AL6" s="2416"/>
      <c r="AM6" s="2416"/>
      <c r="AN6" s="2423"/>
      <c r="AO6" s="2423"/>
      <c r="AP6" s="2416"/>
      <c r="AQ6" s="2423"/>
      <c r="AR6" s="2403"/>
      <c r="AS6" s="2403"/>
      <c r="AT6" s="2403"/>
      <c r="AU6" s="2403"/>
    </row>
    <row r="7" spans="1:50">
      <c r="B7" s="617" t="s">
        <v>862</v>
      </c>
      <c r="C7" s="618"/>
      <c r="D7" s="618"/>
      <c r="E7" s="618"/>
      <c r="F7" s="618"/>
      <c r="G7" s="618"/>
      <c r="H7" s="618"/>
      <c r="I7" s="618"/>
      <c r="J7" s="618"/>
      <c r="K7" s="618"/>
      <c r="L7" s="618"/>
      <c r="M7" s="618"/>
      <c r="N7" s="618"/>
      <c r="O7" s="618"/>
      <c r="P7" s="618"/>
      <c r="Q7" s="618"/>
      <c r="R7" s="619"/>
      <c r="S7" s="619"/>
      <c r="T7" s="1300"/>
      <c r="U7" s="819"/>
      <c r="V7" s="819"/>
      <c r="Y7" s="1256" t="s">
        <v>863</v>
      </c>
      <c r="Z7" s="690"/>
      <c r="AA7" s="690"/>
      <c r="AB7" s="548" t="s">
        <v>667</v>
      </c>
      <c r="AC7" s="240"/>
      <c r="AE7" s="2403"/>
      <c r="AF7" s="2423"/>
      <c r="AG7" s="2790" t="s">
        <v>692</v>
      </c>
      <c r="AH7" s="2423"/>
      <c r="AI7" s="2423"/>
      <c r="AJ7" s="2416"/>
      <c r="AK7" s="2800" t="s">
        <v>53</v>
      </c>
      <c r="AL7" s="2411"/>
      <c r="AM7" s="2411"/>
      <c r="AN7" s="2411"/>
      <c r="AO7" s="2411"/>
      <c r="AP7" s="2411"/>
      <c r="AQ7" s="2423"/>
      <c r="AR7" s="2403"/>
      <c r="AS7" s="2403"/>
      <c r="AT7" s="2403"/>
      <c r="AU7" s="2403"/>
    </row>
    <row r="8" spans="1:50">
      <c r="B8" s="271" t="s">
        <v>874</v>
      </c>
      <c r="C8" s="695"/>
      <c r="D8" s="267"/>
      <c r="E8" s="267"/>
      <c r="F8" s="267"/>
      <c r="G8" s="271"/>
      <c r="H8" s="267"/>
      <c r="I8" s="267"/>
      <c r="J8" s="267"/>
      <c r="K8" s="267"/>
      <c r="L8" s="267"/>
      <c r="M8" s="3814" t="s">
        <v>1266</v>
      </c>
      <c r="N8" s="3767"/>
      <c r="O8" s="3767"/>
      <c r="P8" s="3767"/>
      <c r="Q8" s="3814" t="s">
        <v>202</v>
      </c>
      <c r="R8" s="3767"/>
      <c r="S8" s="3815"/>
      <c r="T8" s="3814" t="s">
        <v>201</v>
      </c>
      <c r="U8" s="3815"/>
      <c r="V8" s="2056"/>
      <c r="W8" s="234" t="s">
        <v>1315</v>
      </c>
      <c r="Y8" s="1301" t="s">
        <v>77</v>
      </c>
      <c r="Z8" s="267"/>
      <c r="AA8" s="267"/>
      <c r="AB8" s="557"/>
      <c r="AC8" s="240"/>
      <c r="AE8" s="2403"/>
      <c r="AF8" s="2423"/>
      <c r="AG8" s="2790"/>
      <c r="AH8" s="2423" t="s">
        <v>332</v>
      </c>
      <c r="AI8" s="2423"/>
      <c r="AJ8" s="2423" t="s">
        <v>48</v>
      </c>
      <c r="AK8" s="2423"/>
      <c r="AL8" s="2423"/>
      <c r="AM8" s="2411" t="s">
        <v>332</v>
      </c>
      <c r="AN8" s="2411"/>
      <c r="AO8" s="2411" t="s">
        <v>333</v>
      </c>
      <c r="AP8" s="2411"/>
      <c r="AQ8" s="2423"/>
      <c r="AR8" s="2403"/>
      <c r="AS8" s="2403"/>
      <c r="AT8" s="2403"/>
      <c r="AU8" s="2403"/>
    </row>
    <row r="9" spans="1:50">
      <c r="B9" s="271"/>
      <c r="C9" s="695"/>
      <c r="D9" s="592" t="s">
        <v>1146</v>
      </c>
      <c r="E9" s="267"/>
      <c r="F9" s="695"/>
      <c r="G9" s="3821" t="s">
        <v>197</v>
      </c>
      <c r="H9" s="3822"/>
      <c r="I9" s="3822"/>
      <c r="J9" s="3822"/>
      <c r="K9" s="3822"/>
      <c r="L9" s="3823"/>
      <c r="M9" s="3819" t="s">
        <v>676</v>
      </c>
      <c r="N9" s="3820"/>
      <c r="O9" s="3818" t="s">
        <v>882</v>
      </c>
      <c r="P9" s="3818"/>
      <c r="Q9" s="547" t="s">
        <v>880</v>
      </c>
      <c r="R9" s="545" t="s">
        <v>199</v>
      </c>
      <c r="S9" s="557" t="s">
        <v>198</v>
      </c>
      <c r="T9" s="547" t="s">
        <v>674</v>
      </c>
      <c r="U9" s="557" t="s">
        <v>675</v>
      </c>
      <c r="V9" s="2055" t="s">
        <v>340</v>
      </c>
      <c r="W9" s="234" t="s">
        <v>674</v>
      </c>
      <c r="X9" s="234" t="s">
        <v>675</v>
      </c>
      <c r="Y9" s="725" t="s">
        <v>876</v>
      </c>
      <c r="Z9" s="726"/>
      <c r="AA9" s="726"/>
      <c r="AB9" s="2589">
        <f>IF('4.Grassland'!G92="",'4.Grassland'!E92,'4.Grassland'!G92)</f>
        <v>0</v>
      </c>
      <c r="AC9" s="240"/>
      <c r="AE9" s="2403"/>
      <c r="AF9" s="2423"/>
      <c r="AG9" s="2423" t="s">
        <v>49</v>
      </c>
      <c r="AH9" s="2423" t="s">
        <v>675</v>
      </c>
      <c r="AI9" s="2423" t="s">
        <v>50</v>
      </c>
      <c r="AJ9" s="2423" t="s">
        <v>675</v>
      </c>
      <c r="AK9" s="2423"/>
      <c r="AL9" s="2423"/>
      <c r="AM9" s="2423" t="s">
        <v>49</v>
      </c>
      <c r="AN9" s="2423" t="s">
        <v>675</v>
      </c>
      <c r="AO9" s="2423" t="s">
        <v>50</v>
      </c>
      <c r="AP9" s="2423" t="s">
        <v>675</v>
      </c>
      <c r="AQ9" s="2423"/>
      <c r="AR9" s="2403"/>
      <c r="AS9" s="2403"/>
      <c r="AT9" s="2403"/>
      <c r="AU9" s="2403"/>
    </row>
    <row r="10" spans="1:50" ht="13.5" thickBot="1">
      <c r="B10" s="271" t="s">
        <v>339</v>
      </c>
      <c r="C10" s="695" t="s">
        <v>875</v>
      </c>
      <c r="D10" s="772"/>
      <c r="E10" s="267"/>
      <c r="F10" s="1302"/>
      <c r="G10" s="772" t="s">
        <v>673</v>
      </c>
      <c r="H10" s="267"/>
      <c r="I10" s="267"/>
      <c r="J10" s="772" t="s">
        <v>672</v>
      </c>
      <c r="K10" s="267"/>
      <c r="L10" s="267"/>
      <c r="M10" s="1303" t="s">
        <v>1257</v>
      </c>
      <c r="N10" s="1304" t="s">
        <v>133</v>
      </c>
      <c r="O10" s="1305" t="s">
        <v>1257</v>
      </c>
      <c r="P10" s="1305" t="s">
        <v>133</v>
      </c>
      <c r="Q10" s="542" t="s">
        <v>484</v>
      </c>
      <c r="R10" s="543" t="s">
        <v>484</v>
      </c>
      <c r="S10" s="546" t="s">
        <v>200</v>
      </c>
      <c r="T10" s="3768" t="s">
        <v>889</v>
      </c>
      <c r="U10" s="3816"/>
      <c r="V10" s="2056"/>
      <c r="Y10" s="725" t="s">
        <v>877</v>
      </c>
      <c r="Z10" s="726"/>
      <c r="AA10" s="726"/>
      <c r="AB10" s="2589">
        <f>IF('4.Grassland'!G93="",'4.Grassland'!E93,'4.Grassland'!G93)</f>
        <v>0</v>
      </c>
      <c r="AC10" s="240"/>
      <c r="AE10" s="2403"/>
      <c r="AF10" s="2423"/>
      <c r="AG10" s="2411">
        <f>IF($M11="yes",(MIN(D29,E29)*time_tot+ABS(E29-D29)*IF(E29&gt;D29,time2+time*(VLOOKUP(F29,List!$E$35:$F$37,2,)),time*(1-(VLOOKUP(F29,List!$E$35:$F$37,2,))))),0)*($Y$18*$Z$18*($AA$18*methane)/1000)/$N11</f>
        <v>0</v>
      </c>
      <c r="AH10" s="2411">
        <f>IF($O11="yes",(MIN(D29,G29)*time_tot+ABS(G29-D29)*IF(G29&gt;D29,time2+time*(VLOOKUP(H29,List!$E$35:$F$37,2,)),time*(1-(VLOOKUP(H29,List!$E$35:$F$37,2,))))),0)*($Y$18*$Z$18*($AA$18*methane)/1000)/$P11</f>
        <v>0</v>
      </c>
      <c r="AI10" s="2411">
        <f>IF($M11="yes",(MIN(D29,E29)*time_tot+ABS(E29-D29)*IF(E29&gt;D29,time2+time*(VLOOKUP(F29,List!$E$35:$F$37,2,)),time*(1-(VLOOKUP(F29,List!$E$35:$F$37,2,))))),0)*($Y$18*$Z$18*($AB$18*Nitrous)/1000)/$N11</f>
        <v>0</v>
      </c>
      <c r="AJ10" s="2411">
        <f>IF($O11="yes",(MIN(D29,G29)*time_tot+ABS(G29-D29)*IF(G29&gt;D29,time2+time*(VLOOKUP(H29,List!$E$35:$F$37,2,)),time*(1-(VLOOKUP(H29,List!$E$35:$F$37,2,))))),0)*($Y$18*$Z$18*($AB$18*Nitrous)/1000)/$P11</f>
        <v>0</v>
      </c>
      <c r="AK10" s="2423"/>
      <c r="AL10" s="2423"/>
      <c r="AM10" s="2411">
        <f>IF($M11="yes",(MIN(D29,E29)*time+ABS(E29-D29)*IF(E29&gt;D29,time*(VLOOKUP(F29,List!$E$35:$F$37,2,)),time*(1-(VLOOKUP(F29,List!$E$35:$F$37,2,))))),0)*($Y$18*$Z$18*($AA$18*methane)/1000)/$N11</f>
        <v>0</v>
      </c>
      <c r="AN10" s="2411">
        <f>IF($O11="yes",(MIN(D29,G29)*time+ABS(G29-D29)*IF(G29&gt;D29,time*(VLOOKUP(H29,List!$E$35:$F$37,2,)),time*(1-(VLOOKUP(H29,List!$E$35:$F$37,2,))))),0)*($Y$18*$Z$18*($AA$18*methane)/1000)/$P11</f>
        <v>0</v>
      </c>
      <c r="AO10" s="2411">
        <f>IF($M11="yes",(MIN(D29,E29)*time+ABS(E29-D29)*IF(E29&gt;D29,time*(VLOOKUP(F29,List!$E$35:$F$37,2,)),time*(1-(VLOOKUP(F29,List!$E$35:$F$37,2,))))),0)*($Y$18*$Z$18*($AB$18*Nitrous)/1000)/$N11</f>
        <v>0</v>
      </c>
      <c r="AP10" s="2411">
        <f>IF($O11="yes",(MIN(D29,G29)*time+ABS(G29-D29)*IF(G29&gt;D29,time*(VLOOKUP(H29,List!$E$35:$F$37,2,)),time*(1-(VLOOKUP(H29,List!$E$35:$F$37,2,))))),0)*($Y$18*$Z$18*($AB$18*Nitrous)/1000)/$P11</f>
        <v>0</v>
      </c>
      <c r="AQ10" s="2563" t="s">
        <v>23</v>
      </c>
      <c r="AR10" s="2412" t="s">
        <v>516</v>
      </c>
      <c r="AS10" s="2412" t="s">
        <v>35</v>
      </c>
      <c r="AT10" s="2412" t="s">
        <v>36</v>
      </c>
      <c r="AU10" s="2403"/>
    </row>
    <row r="11" spans="1:50" ht="13.5" thickBot="1">
      <c r="B11" s="731" t="s">
        <v>1142</v>
      </c>
      <c r="C11" s="1306" t="s">
        <v>1096</v>
      </c>
      <c r="D11" s="3808" t="str">
        <f>'4.Grassland'!D13</f>
        <v>Select state</v>
      </c>
      <c r="E11" s="3809"/>
      <c r="F11" s="3810"/>
      <c r="G11" s="3805" t="str">
        <f>'4.Grassland'!J13</f>
        <v>Select state</v>
      </c>
      <c r="H11" s="3806"/>
      <c r="I11" s="3807"/>
      <c r="J11" s="3805" t="str">
        <f>'4.Grassland'!N13</f>
        <v>Select state</v>
      </c>
      <c r="K11" s="3806"/>
      <c r="L11" s="3807"/>
      <c r="M11" s="1855" t="str">
        <f>'4.Grassland'!R13</f>
        <v>NO</v>
      </c>
      <c r="N11" s="1855">
        <f>'4.Grassland'!S13</f>
        <v>5</v>
      </c>
      <c r="O11" s="1855" t="str">
        <f>'4.Grassland'!T13</f>
        <v>NO</v>
      </c>
      <c r="P11" s="1855">
        <f>'4.Grassland'!U13</f>
        <v>5</v>
      </c>
      <c r="Q11" s="1307">
        <f t="shared" ref="Q11:Q24" si="0">VLOOKUP($D11,$Y$8:$AB$13,4,)</f>
        <v>0</v>
      </c>
      <c r="R11" s="1307">
        <f t="shared" ref="R11:R24" si="1">VLOOKUP($G11,$Y$8:$AB$13,4,)</f>
        <v>0</v>
      </c>
      <c r="S11" s="1307">
        <f t="shared" ref="S11:S24" si="2">VLOOKUP($J11,$Y$8:$AB$13,4,)</f>
        <v>0</v>
      </c>
      <c r="T11" s="1308">
        <f>44*(R11-Q11)/(20*12)</f>
        <v>0</v>
      </c>
      <c r="U11" s="1309">
        <f>44*(S11-Q11)/(20*12)</f>
        <v>0</v>
      </c>
      <c r="V11" s="2064">
        <f>'4.Grassland'!W13</f>
        <v>0</v>
      </c>
      <c r="W11" s="2065">
        <f>'4.Grassland'!X13</f>
        <v>0</v>
      </c>
      <c r="X11" s="2065">
        <f>'4.Grassland'!Y13</f>
        <v>0</v>
      </c>
      <c r="Y11" s="725" t="s">
        <v>878</v>
      </c>
      <c r="Z11" s="726"/>
      <c r="AA11" s="726"/>
      <c r="AB11" s="2589">
        <f>IF('4.Grassland'!G94="",'4.Grassland'!E94,'4.Grassland'!G94)</f>
        <v>0</v>
      </c>
      <c r="AC11" s="240"/>
      <c r="AD11" s="240"/>
      <c r="AE11" s="2423"/>
      <c r="AF11" s="2423"/>
      <c r="AG11" s="2411">
        <f>IF($M12="yes",(MIN(D30,E30)*time_tot+ABS(E30-D30)*IF(E30&gt;D30,time2+time*(VLOOKUP(F30,List!$E$35:$F$37,2,)),time*(1-(VLOOKUP(F30,List!$E$35:$F$37,2,))))),0)*($Y$18*$Z$18*($AA$18*methane)/1000)/$N12</f>
        <v>0</v>
      </c>
      <c r="AH11" s="2411">
        <f>IF($O12="yes",(MIN(D30,G30)*time_tot+ABS(G30-D30)*IF(G30&gt;D30,time2+time*(VLOOKUP(H30,List!$E$35:$F$37,2,)),time*(1-(VLOOKUP(H30,List!$E$35:$F$37,2,))))),0)*($Y$18*$Z$18*($AA$18*methane)/1000)/$P12</f>
        <v>0</v>
      </c>
      <c r="AI11" s="2411">
        <f>IF($M12="yes",(MIN(D30,E30)*time_tot+ABS(E30-D30)*IF(E30&gt;D30,time2+time*(VLOOKUP(F30,List!$E$35:$F$37,2,)),time*(1-(VLOOKUP(F30,List!$E$35:$F$37,2,))))),0)*($Y$18*$Z$18*($AB$18*Nitrous)/1000)/$N12</f>
        <v>0</v>
      </c>
      <c r="AJ11" s="2411">
        <f>IF($O12="yes",(MIN(D30,G30)*time_tot+ABS(G30-D30)*IF(G30&gt;D30,time2+time*(VLOOKUP(H30,List!$E$35:$F$37,2,)),time*(1-(VLOOKUP(H30,List!$E$35:$F$37,2,))))),0)*($Y$18*$Z$18*($AB$18*Nitrous)/1000)/$P12</f>
        <v>0</v>
      </c>
      <c r="AK11" s="2423"/>
      <c r="AL11" s="2423"/>
      <c r="AM11" s="2411">
        <f>IF($M12="yes",(MIN(D30,E30)*time+ABS(E30-D30)*IF(E30&gt;D30,time*(VLOOKUP(F30,List!$E$35:$F$37,2,)),time*(1-(VLOOKUP(F30,List!$E$35:$F$37,2,))))),0)*($Y$18*$Z$18*($AA$18*methane)/1000)/$N12</f>
        <v>0</v>
      </c>
      <c r="AN11" s="2411">
        <f>IF($O12="yes",(MIN(D30,G30)*time+ABS(G30-D30)*IF(G30&gt;D30,time*(VLOOKUP(H30,List!$E$35:$F$37,2,)),time*(1-(VLOOKUP(H30,List!$E$35:$F$37,2,))))),0)*($Y$18*$Z$18*($AA$18*methane)/1000)/$P12</f>
        <v>0</v>
      </c>
      <c r="AO11" s="2411">
        <f>IF($M12="yes",(MIN(D30,E30)*time+ABS(E30-D30)*IF(E30&gt;D30,time*(VLOOKUP(F30,List!$E$35:$F$37,2,)),time*(1-(VLOOKUP(F30,List!$E$35:$F$37,2,))))),0)*($Y$18*$Z$18*($AB$18*Nitrous)/1000)/$N12</f>
        <v>0</v>
      </c>
      <c r="AP11" s="2411">
        <f>IF($O12="yes",(MIN(D30,G30)*time+ABS(G30-D30)*IF(G30&gt;D30,time*(VLOOKUP(H30,List!$E$35:$F$37,2,)),time*(1-(VLOOKUP(H30,List!$E$35:$F$37,2,))))),0)*($Y$18*$Z$18*($AB$18*Nitrous)/1000)/$P12</f>
        <v>0</v>
      </c>
      <c r="AQ11" s="2563" t="s">
        <v>24</v>
      </c>
      <c r="AR11" s="2412">
        <v>0</v>
      </c>
      <c r="AS11" s="2412"/>
      <c r="AT11" s="2412"/>
      <c r="AU11" s="2403"/>
    </row>
    <row r="12" spans="1:50" ht="13.5" thickBot="1">
      <c r="B12" s="731" t="s">
        <v>1143</v>
      </c>
      <c r="C12" s="1306" t="s">
        <v>1148</v>
      </c>
      <c r="D12" s="3808" t="str">
        <f>'4.Grassland'!D14</f>
        <v>Select state</v>
      </c>
      <c r="E12" s="3809"/>
      <c r="F12" s="3810"/>
      <c r="G12" s="3805" t="str">
        <f>'4.Grassland'!J14</f>
        <v>Select state</v>
      </c>
      <c r="H12" s="3806"/>
      <c r="I12" s="3807"/>
      <c r="J12" s="3805" t="str">
        <f>'4.Grassland'!N14</f>
        <v>Select state</v>
      </c>
      <c r="K12" s="3806"/>
      <c r="L12" s="3807"/>
      <c r="M12" s="1855" t="str">
        <f>'4.Grassland'!R14</f>
        <v>NO</v>
      </c>
      <c r="N12" s="1855">
        <f>'4.Grassland'!S14</f>
        <v>5</v>
      </c>
      <c r="O12" s="1855" t="str">
        <f>'4.Grassland'!T14</f>
        <v>NO</v>
      </c>
      <c r="P12" s="1855">
        <f>'4.Grassland'!U14</f>
        <v>5</v>
      </c>
      <c r="Q12" s="1307">
        <f t="shared" si="0"/>
        <v>0</v>
      </c>
      <c r="R12" s="1307">
        <f t="shared" si="1"/>
        <v>0</v>
      </c>
      <c r="S12" s="1307">
        <f t="shared" si="2"/>
        <v>0</v>
      </c>
      <c r="T12" s="1310">
        <f>44*(R12-Q12)/(20*12)</f>
        <v>0</v>
      </c>
      <c r="U12" s="1311">
        <f t="shared" ref="U12:U24" si="3">44*(S12-Q12)/(20*12)</f>
        <v>0</v>
      </c>
      <c r="V12" s="2064">
        <f>'4.Grassland'!W14</f>
        <v>0</v>
      </c>
      <c r="W12" s="2065">
        <f>'4.Grassland'!X14</f>
        <v>0</v>
      </c>
      <c r="X12" s="2065">
        <f>'4.Grassland'!Y14</f>
        <v>0</v>
      </c>
      <c r="Y12" s="725" t="s">
        <v>879</v>
      </c>
      <c r="Z12" s="726"/>
      <c r="AA12" s="726"/>
      <c r="AB12" s="2589">
        <f>IF('4.Grassland'!G95="",'4.Grassland'!E95,'4.Grassland'!G95)</f>
        <v>0</v>
      </c>
      <c r="AC12" s="240"/>
      <c r="AD12" s="240"/>
      <c r="AE12" s="2423"/>
      <c r="AF12" s="2423"/>
      <c r="AG12" s="2411">
        <f>IF($M13="yes",(MIN(D31,E31)*time_tot+ABS(E31-D31)*IF(E31&gt;D31,time2+time*(VLOOKUP(F31,List!$E$35:$F$37,2,)),time*(1-(VLOOKUP(F31,List!$E$35:$F$37,2,))))),0)*($Y$18*$Z$18*($AA$18*methane)/1000)/$N13</f>
        <v>0</v>
      </c>
      <c r="AH12" s="2411">
        <f>IF($O13="yes",(MIN(D31,G31)*time_tot+ABS(G31-D31)*IF(G31&gt;D31,time2+time*(VLOOKUP(H31,List!$E$35:$F$37,2,)),time*(1-(VLOOKUP(H31,List!$E$35:$F$37,2,))))),0)*($Y$18*$Z$18*($AA$18*methane)/1000)/$P13</f>
        <v>0</v>
      </c>
      <c r="AI12" s="2411">
        <f>IF($M13="yes",(MIN(D31,E31)*time_tot+ABS(E31-D31)*IF(E31&gt;D31,time2+time*(VLOOKUP(F31,List!$E$35:$F$37,2,)),time*(1-(VLOOKUP(F31,List!$E$35:$F$37,2,))))),0)*($Y$18*$Z$18*($AB$18*Nitrous)/1000)/$N13</f>
        <v>0</v>
      </c>
      <c r="AJ12" s="2411">
        <f>IF($O13="yes",(MIN(D31,G31)*time_tot+ABS(G31-D31)*IF(G31&gt;D31,time2+time*(VLOOKUP(H31,List!$E$35:$F$37,2,)),time*(1-(VLOOKUP(H31,List!$E$35:$F$37,2,))))),0)*($Y$18*$Z$18*($AB$18*Nitrous)/1000)/$P13</f>
        <v>0</v>
      </c>
      <c r="AK12" s="2423"/>
      <c r="AL12" s="2423"/>
      <c r="AM12" s="2411">
        <f>IF($M13="yes",(MIN(D31,E31)*time+ABS(E31-D31)*IF(E31&gt;D31,time*(VLOOKUP(F31,List!$E$35:$F$37,2,)),time*(1-(VLOOKUP(F31,List!$E$35:$F$37,2,))))),0)*($Y$18*$Z$18*($AA$18*methane)/1000)/$N13</f>
        <v>0</v>
      </c>
      <c r="AN12" s="2411">
        <f>IF($O13="yes",(MIN(D31,G31)*time+ABS(G31-D31)*IF(G31&gt;D31,time*(VLOOKUP(H31,List!$E$35:$F$37,2,)),time*(1-(VLOOKUP(H31,List!$E$35:$F$37,2,))))),0)*($Y$18*$Z$18*($AA$18*methane)/1000)/$P13</f>
        <v>0</v>
      </c>
      <c r="AO12" s="2411">
        <f>IF($M13="yes",(MIN(D31,E31)*time+ABS(E31-D31)*IF(E31&gt;D31,time*(VLOOKUP(F31,List!$E$35:$F$37,2,)),time*(1-(VLOOKUP(F31,List!$E$35:$F$37,2,))))),0)*($Y$18*$Z$18*($AB$18*Nitrous)/1000)/$N13</f>
        <v>0</v>
      </c>
      <c r="AP12" s="2411">
        <f>IF($O13="yes",(MIN(D31,G31)*time+ABS(G31-D31)*IF(G31&gt;D31,time*(VLOOKUP(H31,List!$E$35:$F$37,2,)),time*(1-(VLOOKUP(H31,List!$E$35:$F$37,2,))))),0)*($Y$18*$Z$18*($AB$18*Nitrous)/1000)/$P13</f>
        <v>0</v>
      </c>
      <c r="AQ12" s="2563" t="s">
        <v>25</v>
      </c>
      <c r="AR12" s="2412">
        <f>SUM(J29:J42)-SUM(I29:I42)</f>
        <v>0</v>
      </c>
      <c r="AS12" s="2412">
        <f>SUM(AL29:AL42)-SUM(AK29:AK42)</f>
        <v>0</v>
      </c>
      <c r="AT12" s="2412">
        <f>AR12-AS12</f>
        <v>0</v>
      </c>
      <c r="AU12" s="2403"/>
    </row>
    <row r="13" spans="1:50" ht="13.5" thickBot="1">
      <c r="B13" s="731" t="s">
        <v>1238</v>
      </c>
      <c r="C13" s="1306" t="s">
        <v>1223</v>
      </c>
      <c r="D13" s="3808" t="str">
        <f>'4.Grassland'!D15</f>
        <v>Select state</v>
      </c>
      <c r="E13" s="3809"/>
      <c r="F13" s="3810"/>
      <c r="G13" s="3805" t="str">
        <f>'4.Grassland'!J15</f>
        <v>Select state</v>
      </c>
      <c r="H13" s="3806"/>
      <c r="I13" s="3807"/>
      <c r="J13" s="3805" t="str">
        <f>'4.Grassland'!N15</f>
        <v>Select state</v>
      </c>
      <c r="K13" s="3806"/>
      <c r="L13" s="3807"/>
      <c r="M13" s="1855" t="str">
        <f>'4.Grassland'!R15</f>
        <v>NO</v>
      </c>
      <c r="N13" s="1855">
        <f>'4.Grassland'!S15</f>
        <v>5</v>
      </c>
      <c r="O13" s="1855" t="str">
        <f>'4.Grassland'!T15</f>
        <v>NO</v>
      </c>
      <c r="P13" s="1855">
        <f>'4.Grassland'!U15</f>
        <v>5</v>
      </c>
      <c r="Q13" s="1307">
        <f t="shared" si="0"/>
        <v>0</v>
      </c>
      <c r="R13" s="1307">
        <f t="shared" si="1"/>
        <v>0</v>
      </c>
      <c r="S13" s="1307">
        <f t="shared" si="2"/>
        <v>0</v>
      </c>
      <c r="T13" s="1310">
        <f>44*(R13-Q13)/(20*12)</f>
        <v>0</v>
      </c>
      <c r="U13" s="1311">
        <f t="shared" si="3"/>
        <v>0</v>
      </c>
      <c r="V13" s="2064">
        <f>'4.Grassland'!W15</f>
        <v>0</v>
      </c>
      <c r="W13" s="2065">
        <f>'4.Grassland'!X15</f>
        <v>0</v>
      </c>
      <c r="X13" s="2065">
        <f>'4.Grassland'!Y15</f>
        <v>0</v>
      </c>
      <c r="Y13" s="818" t="s">
        <v>881</v>
      </c>
      <c r="Z13" s="776"/>
      <c r="AA13" s="776"/>
      <c r="AB13" s="2589">
        <f>IF('4.Grassland'!G96="",'4.Grassland'!E96,'4.Grassland'!G96)</f>
        <v>0</v>
      </c>
      <c r="AC13" s="240"/>
      <c r="AD13" s="240"/>
      <c r="AE13" s="2423"/>
      <c r="AF13" s="2423"/>
      <c r="AG13" s="2411">
        <f>IF($M14="yes",(MIN(D32,E32)*time_tot+ABS(E32-D32)*IF(E32&gt;D32,time2+time*(VLOOKUP(F32,List!$E$35:$F$37,2,)),time*(1-(VLOOKUP(F32,List!$E$35:$F$37,2,))))),0)*($Y$18*$Z$18*($AA$18*methane)/1000)/$N14</f>
        <v>0</v>
      </c>
      <c r="AH13" s="2411">
        <f>IF($O14="yes",(MIN(D32,G32)*time_tot+ABS(G32-D32)*IF(G32&gt;D32,time2+time*(VLOOKUP(H32,List!$E$35:$F$37,2,)),time*(1-(VLOOKUP(H32,List!$E$35:$F$37,2,))))),0)*($Y$18*$Z$18*($AA$18*methane)/1000)/$P14</f>
        <v>0</v>
      </c>
      <c r="AI13" s="2411">
        <f>IF($M14="yes",(MIN(D32,E32)*time_tot+ABS(E32-D32)*IF(E32&gt;D32,time2+time*(VLOOKUP(F32,List!$E$35:$F$37,2,)),time*(1-(VLOOKUP(F32,List!$E$35:$F$37,2,))))),0)*($Y$18*$Z$18*($AB$18*Nitrous)/1000)/$N14</f>
        <v>0</v>
      </c>
      <c r="AJ13" s="2411">
        <f>IF($O14="yes",(MIN(D32,G32)*time_tot+ABS(G32-D32)*IF(G32&gt;D32,time2+time*(VLOOKUP(H32,List!$E$35:$F$37,2,)),time*(1-(VLOOKUP(H32,List!$E$35:$F$37,2,))))),0)*($Y$18*$Z$18*($AB$18*Nitrous)/1000)/$P14</f>
        <v>0</v>
      </c>
      <c r="AK13" s="2423"/>
      <c r="AL13" s="2423"/>
      <c r="AM13" s="2411">
        <f>IF($M14="yes",(MIN(D32,E32)*time+ABS(E32-D32)*IF(E32&gt;D32,time*(VLOOKUP(F32,List!$E$35:$F$37,2,)),time*(1-(VLOOKUP(F32,List!$E$35:$F$37,2,))))),0)*($Y$18*$Z$18*($AA$18*methane)/1000)/$N14</f>
        <v>0</v>
      </c>
      <c r="AN13" s="2411">
        <f>IF($O14="yes",(MIN(D32,G32)*time+ABS(G32-D32)*IF(G32&gt;D32,time*(VLOOKUP(H32,List!$E$35:$F$37,2,)),time*(1-(VLOOKUP(H32,List!$E$35:$F$37,2,))))),0)*($Y$18*$Z$18*($AA$18*methane)/1000)/$P14</f>
        <v>0</v>
      </c>
      <c r="AO13" s="2411">
        <f>IF($M14="yes",(MIN(D32,E32)*time+ABS(E32-D32)*IF(E32&gt;D32,time*(VLOOKUP(F32,List!$E$35:$F$37,2,)),time*(1-(VLOOKUP(F32,List!$E$35:$F$37,2,))))),0)*($Y$18*$Z$18*($AB$18*Nitrous)/1000)/$N14</f>
        <v>0</v>
      </c>
      <c r="AP13" s="2411">
        <f>IF($O14="yes",(MIN(D32,G32)*time+ABS(G32-D32)*IF(G32&gt;D32,time*(VLOOKUP(H32,List!$E$35:$F$37,2,)),time*(1-(VLOOKUP(H32,List!$E$35:$F$37,2,))))),0)*($Y$18*$Z$18*($AB$18*Nitrous)/1000)/$P14</f>
        <v>0</v>
      </c>
      <c r="AQ13" s="2563" t="s">
        <v>332</v>
      </c>
      <c r="AR13" s="2412">
        <f>SUM(AH10:AH23)-SUM(AG10:AG23)</f>
        <v>0</v>
      </c>
      <c r="AS13" s="2412">
        <f>SUM(AN10:AN23)-SUM(AM10:AM23)</f>
        <v>0</v>
      </c>
      <c r="AT13" s="2412">
        <f>AR13-AS13</f>
        <v>0</v>
      </c>
      <c r="AU13" s="2403"/>
    </row>
    <row r="14" spans="1:50" ht="13.5" thickBot="1">
      <c r="B14" s="731" t="s">
        <v>1239</v>
      </c>
      <c r="C14" s="1306" t="s">
        <v>71</v>
      </c>
      <c r="D14" s="3808" t="str">
        <f>'4.Grassland'!D16</f>
        <v>Select state</v>
      </c>
      <c r="E14" s="3809"/>
      <c r="F14" s="3810"/>
      <c r="G14" s="3805" t="str">
        <f>'4.Grassland'!J16</f>
        <v>Select state</v>
      </c>
      <c r="H14" s="3806"/>
      <c r="I14" s="3807"/>
      <c r="J14" s="3805" t="str">
        <f>'4.Grassland'!N16</f>
        <v>Select state</v>
      </c>
      <c r="K14" s="3806"/>
      <c r="L14" s="3807"/>
      <c r="M14" s="1855" t="str">
        <f>'4.Grassland'!R16</f>
        <v>NO</v>
      </c>
      <c r="N14" s="1855">
        <f>'4.Grassland'!S16</f>
        <v>5</v>
      </c>
      <c r="O14" s="1855" t="str">
        <f>'4.Grassland'!T16</f>
        <v>NO</v>
      </c>
      <c r="P14" s="1855">
        <f>'4.Grassland'!U16</f>
        <v>5</v>
      </c>
      <c r="Q14" s="1307">
        <f t="shared" si="0"/>
        <v>0</v>
      </c>
      <c r="R14" s="1307">
        <f t="shared" si="1"/>
        <v>0</v>
      </c>
      <c r="S14" s="1307">
        <f t="shared" si="2"/>
        <v>0</v>
      </c>
      <c r="T14" s="1310">
        <f>44*(R14-Q14)/(20*12)</f>
        <v>0</v>
      </c>
      <c r="U14" s="1311">
        <f t="shared" si="3"/>
        <v>0</v>
      </c>
      <c r="V14" s="2064">
        <f>'4.Grassland'!W16</f>
        <v>0</v>
      </c>
      <c r="W14" s="2065">
        <f>'4.Grassland'!X16</f>
        <v>0</v>
      </c>
      <c r="X14" s="2065">
        <f>'4.Grassland'!Y16</f>
        <v>0</v>
      </c>
      <c r="Z14" s="233"/>
      <c r="AB14" s="233"/>
      <c r="AC14" s="240"/>
      <c r="AD14" s="242"/>
      <c r="AE14" s="2403"/>
      <c r="AF14" s="2423"/>
      <c r="AG14" s="2411">
        <f>IF($M15="yes",(MIN(D33,E33)*time_tot+ABS(E33-D33)*IF(E33&gt;D33,time2+time*(VLOOKUP(F33,List!$E$35:$F$37,2,)),time*(1-(VLOOKUP(F33,List!$E$35:$F$37,2,))))),0)*($Y$18*$Z$18*($AA$18*methane)/1000)/$N15</f>
        <v>0</v>
      </c>
      <c r="AH14" s="2411">
        <f>IF($O15="yes",(MIN(D33,G33)*time_tot+ABS(G33-D33)*IF(G33&gt;D33,time2+time*(VLOOKUP(H33,List!$E$35:$F$37,2,)),time*(1-(VLOOKUP(H33,List!$E$35:$F$37,2,))))),0)*($Y$18*$Z$18*($AA$18*methane)/1000)/$P15</f>
        <v>0</v>
      </c>
      <c r="AI14" s="2411">
        <f>IF($M15="yes",(MIN(D33,E33)*time_tot+ABS(E33-D33)*IF(E33&gt;D33,time2+time*(VLOOKUP(F33,List!$E$35:$F$37,2,)),time*(1-(VLOOKUP(F33,List!$E$35:$F$37,2,))))),0)*($Y$18*$Z$18*($AB$18*Nitrous)/1000)/$N15</f>
        <v>0</v>
      </c>
      <c r="AJ14" s="2411">
        <f>IF($O15="yes",(MIN(D33,G33)*time_tot+ABS(G33-D33)*IF(G33&gt;D33,time2+time*(VLOOKUP(H33,List!$E$35:$F$37,2,)),time*(1-(VLOOKUP(H33,List!$E$35:$F$37,2,))))),0)*($Y$18*$Z$18*($AB$18*Nitrous)/1000)/$P15</f>
        <v>0</v>
      </c>
      <c r="AK14" s="2423"/>
      <c r="AL14" s="2423"/>
      <c r="AM14" s="2411">
        <f>IF($M15="yes",(MIN(D33,E33)*time+ABS(E33-D33)*IF(E33&gt;D33,time*(VLOOKUP(F33,List!$E$35:$F$37,2,)),time*(1-(VLOOKUP(F33,List!$E$35:$F$37,2,))))),0)*($Y$18*$Z$18*($AA$18*methane)/1000)/$N15</f>
        <v>0</v>
      </c>
      <c r="AN14" s="2411">
        <f>IF($O15="yes",(MIN(D33,G33)*time+ABS(G33-D33)*IF(G33&gt;D33,time*(VLOOKUP(H33,List!$E$35:$F$37,2,)),time*(1-(VLOOKUP(H33,List!$E$35:$F$37,2,))))),0)*($Y$18*$Z$18*($AA$18*methane)/1000)/$P15</f>
        <v>0</v>
      </c>
      <c r="AO14" s="2411">
        <f>IF($M15="yes",(MIN(D33,E33)*time+ABS(E33-D33)*IF(E33&gt;D33,time*(VLOOKUP(F33,List!$E$35:$F$37,2,)),time*(1-(VLOOKUP(F33,List!$E$35:$F$37,2,))))),0)*($Y$18*$Z$18*($AB$18*Nitrous)/1000)/$N15</f>
        <v>0</v>
      </c>
      <c r="AP14" s="2411">
        <f>IF($O15="yes",(MIN(D33,G33)*time+ABS(G33-D33)*IF(G33&gt;D33,time*(VLOOKUP(H33,List!$E$35:$F$37,2,)),time*(1-(VLOOKUP(H33,List!$E$35:$F$37,2,))))),0)*($Y$18*$Z$18*($AB$18*Nitrous)/1000)/$P15</f>
        <v>0</v>
      </c>
      <c r="AQ14" s="2563" t="s">
        <v>333</v>
      </c>
      <c r="AR14" s="2412">
        <f>SUM(AJ10:AJ23)-SUM(AI10:AI23)</f>
        <v>0</v>
      </c>
      <c r="AS14" s="2412">
        <f>SUM(AP10:AP23)-SUM(AO10:AO23)</f>
        <v>0</v>
      </c>
      <c r="AT14" s="2412">
        <f>AR14-AS14</f>
        <v>0</v>
      </c>
      <c r="AU14" s="2403"/>
    </row>
    <row r="15" spans="1:50" ht="13.5" thickBot="1">
      <c r="B15" s="271" t="s">
        <v>864</v>
      </c>
      <c r="C15" s="757"/>
      <c r="D15" s="3805" t="str">
        <f>'4.Grassland'!D22</f>
        <v>Select state</v>
      </c>
      <c r="E15" s="3806"/>
      <c r="F15" s="3807"/>
      <c r="G15" s="3812" t="str">
        <f>'4.Grassland'!J22</f>
        <v>Select state</v>
      </c>
      <c r="H15" s="3812"/>
      <c r="I15" s="3813"/>
      <c r="J15" s="3811" t="str">
        <f>'4.Grassland'!N22</f>
        <v>Select state</v>
      </c>
      <c r="K15" s="3812"/>
      <c r="L15" s="3813"/>
      <c r="M15" s="1813" t="str">
        <f>'4.Grassland'!R22</f>
        <v>NO</v>
      </c>
      <c r="N15" s="1813">
        <f>'4.Grassland'!S22</f>
        <v>5</v>
      </c>
      <c r="O15" s="1813" t="str">
        <f>'4.Grassland'!T22</f>
        <v>NO</v>
      </c>
      <c r="P15" s="1813">
        <f>'4.Grassland'!U22</f>
        <v>5</v>
      </c>
      <c r="Q15" s="1307">
        <f t="shared" si="0"/>
        <v>0</v>
      </c>
      <c r="R15" s="1307">
        <f t="shared" si="1"/>
        <v>0</v>
      </c>
      <c r="S15" s="1307">
        <f t="shared" si="2"/>
        <v>0</v>
      </c>
      <c r="T15" s="1310">
        <f>44*(R15-Q15)/(20*12)</f>
        <v>0</v>
      </c>
      <c r="U15" s="1311">
        <f t="shared" si="3"/>
        <v>0</v>
      </c>
      <c r="V15" s="2064">
        <f>'4.Grassland'!W22</f>
        <v>0</v>
      </c>
      <c r="W15" s="2064">
        <f>'4.Grassland'!X22</f>
        <v>0</v>
      </c>
      <c r="X15" s="2064">
        <f>'4.Grassland'!Y22</f>
        <v>0</v>
      </c>
      <c r="Y15" s="580" t="s">
        <v>853</v>
      </c>
      <c r="Z15" s="724" t="s">
        <v>523</v>
      </c>
      <c r="AA15" s="544"/>
      <c r="AB15" s="548"/>
      <c r="AC15" s="560" t="s">
        <v>859</v>
      </c>
      <c r="AD15" s="242"/>
      <c r="AE15" s="2403"/>
      <c r="AF15" s="2423"/>
      <c r="AG15" s="2411">
        <f>IF($M16="yes",(MIN(D34,E34)*time_tot+ABS(E34-D34)*IF(E34&gt;D34,time2+time*(VLOOKUP(F34,List!$E$35:$F$37,2,)),time*(1-(VLOOKUP(F34,List!$E$35:$F$37,2,))))),0)*($Y$18*$Z$18*($AA$18*methane)/1000)/$N16</f>
        <v>0</v>
      </c>
      <c r="AH15" s="2411">
        <f>IF($O16="yes",(MIN(D34,G34)*time_tot+ABS(G34-D34)*IF(G34&gt;D34,time2+time*(VLOOKUP(H34,List!$E$35:$F$37,2,)),time*(1-(VLOOKUP(H34,List!$E$35:$F$37,2,))))),0)*($Y$18*$Z$18*($AA$18*methane)/1000)/$P16</f>
        <v>0</v>
      </c>
      <c r="AI15" s="2411">
        <f>IF($M16="yes",(MIN(D34,E34)*time_tot+ABS(E34-D34)*IF(E34&gt;D34,time2+time*(VLOOKUP(F34,List!$E$35:$F$37,2,)),time*(1-(VLOOKUP(F34,List!$E$35:$F$37,2,))))),0)*($Y$18*$Z$18*($AB$18*Nitrous)/1000)/$N16</f>
        <v>0</v>
      </c>
      <c r="AJ15" s="2411">
        <f>IF($O16="yes",(MIN(D34,G34)*time_tot+ABS(G34-D34)*IF(G34&gt;D34,time2+time*(VLOOKUP(H34,List!$E$35:$F$37,2,)),time*(1-(VLOOKUP(H34,List!$E$35:$F$37,2,))))),0)*($Y$18*$Z$18*($AB$18*Nitrous)/1000)/$P16</f>
        <v>0</v>
      </c>
      <c r="AK15" s="2423"/>
      <c r="AL15" s="2423"/>
      <c r="AM15" s="2411">
        <f>IF($M16="yes",(MIN(D34,E34)*time+ABS(E34-D34)*IF(E34&gt;D34,time*(VLOOKUP(F34,List!$E$35:$F$37,2,)),time*(1-(VLOOKUP(F34,List!$E$35:$F$37,2,))))),0)*($Y$18*$Z$18*($AA$18*methane)/1000)/$N16</f>
        <v>0</v>
      </c>
      <c r="AN15" s="2411">
        <f>IF($O16="yes",(MIN(D34,G34)*time+ABS(G34-D34)*IF(G34&gt;D34,time*(VLOOKUP(H34,List!$E$35:$F$37,2,)),time*(1-(VLOOKUP(H34,List!$E$35:$F$37,2,))))),0)*($Y$18*$Z$18*($AA$18*methane)/1000)/$P16</f>
        <v>0</v>
      </c>
      <c r="AO15" s="2411">
        <f>IF($M16="yes",(MIN(D34,E34)*time+ABS(E34-D34)*IF(E34&gt;D34,time*(VLOOKUP(F34,List!$E$35:$F$37,2,)),time*(1-(VLOOKUP(F34,List!$E$35:$F$37,2,))))),0)*($Y$18*$Z$18*($AB$18*Nitrous)/1000)/$N16</f>
        <v>0</v>
      </c>
      <c r="AP15" s="2411">
        <f>IF($O16="yes",(MIN(D34,G34)*time+ABS(G34-D34)*IF(G34&gt;D34,time*(VLOOKUP(H34,List!$E$35:$F$37,2,)),time*(1-(VLOOKUP(H34,List!$E$35:$F$37,2,))))),0)*($Y$18*$Z$18*($AB$18*Nitrous)/1000)/$P16</f>
        <v>0</v>
      </c>
      <c r="AQ15" s="2563"/>
      <c r="AR15" s="2412">
        <f>SUM(AR11:AR14)</f>
        <v>0</v>
      </c>
      <c r="AS15" s="2412">
        <f>SUM(AS11:AS14)</f>
        <v>0</v>
      </c>
      <c r="AT15" s="2412">
        <f>SUM(AT11:AT14)</f>
        <v>0</v>
      </c>
      <c r="AU15" s="2403"/>
    </row>
    <row r="16" spans="1:50" ht="13.5" thickBot="1">
      <c r="B16" s="271" t="s">
        <v>865</v>
      </c>
      <c r="C16" s="757"/>
      <c r="D16" s="3805" t="str">
        <f>'4.Grassland'!D23</f>
        <v>Select state</v>
      </c>
      <c r="E16" s="3806"/>
      <c r="F16" s="3807"/>
      <c r="G16" s="3812" t="str">
        <f>'4.Grassland'!J23</f>
        <v>Select state</v>
      </c>
      <c r="H16" s="3812"/>
      <c r="I16" s="3813"/>
      <c r="J16" s="3811" t="str">
        <f>'4.Grassland'!N23</f>
        <v>Select state</v>
      </c>
      <c r="K16" s="3812"/>
      <c r="L16" s="3813"/>
      <c r="M16" s="1813" t="str">
        <f>'4.Grassland'!R23</f>
        <v>NO</v>
      </c>
      <c r="N16" s="1813">
        <f>'4.Grassland'!S23</f>
        <v>5</v>
      </c>
      <c r="O16" s="1813" t="str">
        <f>'4.Grassland'!T23</f>
        <v>NO</v>
      </c>
      <c r="P16" s="1813">
        <f>'4.Grassland'!U23</f>
        <v>5</v>
      </c>
      <c r="Q16" s="1307">
        <f t="shared" si="0"/>
        <v>0</v>
      </c>
      <c r="R16" s="1307">
        <f t="shared" si="1"/>
        <v>0</v>
      </c>
      <c r="S16" s="1307">
        <f t="shared" si="2"/>
        <v>0</v>
      </c>
      <c r="T16" s="1310">
        <f t="shared" ref="T16:T24" si="4">44*(R16-Q16)/(20*12)</f>
        <v>0</v>
      </c>
      <c r="U16" s="1311">
        <f>44*(S16-Q16)/(20*12)</f>
        <v>0</v>
      </c>
      <c r="V16" s="2064">
        <f>'4.Grassland'!W23</f>
        <v>0</v>
      </c>
      <c r="W16" s="2064">
        <f>'4.Grassland'!X23</f>
        <v>0</v>
      </c>
      <c r="X16" s="2064">
        <f>'4.Grassland'!Y23</f>
        <v>0</v>
      </c>
      <c r="Y16" s="582" t="s">
        <v>854</v>
      </c>
      <c r="Z16" s="547" t="s">
        <v>522</v>
      </c>
      <c r="AA16" s="544" t="s">
        <v>332</v>
      </c>
      <c r="AB16" s="548" t="s">
        <v>333</v>
      </c>
      <c r="AC16" s="557" t="s">
        <v>860</v>
      </c>
      <c r="AD16" s="242"/>
      <c r="AE16" s="2403"/>
      <c r="AF16" s="2423"/>
      <c r="AG16" s="2411">
        <f>IF($M17="yes",(MIN(D35,E35)*time_tot+ABS(E35-D35)*IF(E35&gt;D35,time2+time*(VLOOKUP(F35,List!$E$35:$F$37,2,)),time*(1-(VLOOKUP(F35,List!$E$35:$F$37,2,))))),0)*($Y$18*$Z$18*($AA$18*methane)/1000)/$N17</f>
        <v>0</v>
      </c>
      <c r="AH16" s="2411">
        <f>IF($O17="yes",(MIN(D35,G35)*time_tot+ABS(G35-D35)*IF(G35&gt;D35,time2+time*(VLOOKUP(H35,List!$E$35:$F$37,2,)),time*(1-(VLOOKUP(H35,List!$E$35:$F$37,2,))))),0)*($Y$18*$Z$18*($AA$18*methane)/1000)/$P17</f>
        <v>0</v>
      </c>
      <c r="AI16" s="2411">
        <f>IF($M17="yes",(MIN(D35,E35)*time_tot+ABS(E35-D35)*IF(E35&gt;D35,time2+time*(VLOOKUP(F35,List!$E$35:$F$37,2,)),time*(1-(VLOOKUP(F35,List!$E$35:$F$37,2,))))),0)*($Y$18*$Z$18*($AB$18*Nitrous)/1000)/$N17</f>
        <v>0</v>
      </c>
      <c r="AJ16" s="2411">
        <f>IF($O17="yes",(MIN(D35,G35)*time_tot+ABS(G35-D35)*IF(G35&gt;D35,time2+time*(VLOOKUP(H35,List!$E$35:$F$37,2,)),time*(1-(VLOOKUP(H35,List!$E$35:$F$37,2,))))),0)*($Y$18*$Z$18*($AB$18*Nitrous)/1000)/$P17</f>
        <v>0</v>
      </c>
      <c r="AK16" s="2423"/>
      <c r="AL16" s="2423"/>
      <c r="AM16" s="2411">
        <f>IF($M17="yes",(MIN(D35,E35)*time+ABS(E35-D35)*IF(E35&gt;D35,time*(VLOOKUP(F35,List!$E$35:$F$37,2,)),time*(1-(VLOOKUP(F35,List!$E$35:$F$37,2,))))),0)*($Y$18*$Z$18*($AA$18*methane)/1000)/$N17</f>
        <v>0</v>
      </c>
      <c r="AN16" s="2411">
        <f>IF($O17="yes",(MIN(D35,G35)*time+ABS(G35-D35)*IF(G35&gt;D35,time*(VLOOKUP(H35,List!$E$35:$F$37,2,)),time*(1-(VLOOKUP(H35,List!$E$35:$F$37,2,))))),0)*($Y$18*$Z$18*($AA$18*methane)/1000)/$P17</f>
        <v>0</v>
      </c>
      <c r="AO16" s="2411">
        <f>IF($M17="yes",(MIN(D35,E35)*time+ABS(E35-D35)*IF(E35&gt;D35,time*(VLOOKUP(F35,List!$E$35:$F$37,2,)),time*(1-(VLOOKUP(F35,List!$E$35:$F$37,2,))))),0)*($Y$18*$Z$18*($AB$18*Nitrous)/1000)/$N17</f>
        <v>0</v>
      </c>
      <c r="AP16" s="2411">
        <f>IF($O17="yes",(MIN(D35,G35)*time+ABS(G35-D35)*IF(G35&gt;D35,time*(VLOOKUP(H35,List!$E$35:$F$37,2,)),time*(1-(VLOOKUP(H35,List!$E$35:$F$37,2,))))),0)*($Y$18*$Z$18*($AB$18*Nitrous)/1000)/$P17</f>
        <v>0</v>
      </c>
      <c r="AQ16" s="2423"/>
      <c r="AR16" s="2403"/>
      <c r="AS16" s="2403"/>
      <c r="AT16" s="2403"/>
      <c r="AU16" s="2403"/>
    </row>
    <row r="17" spans="2:47" ht="13.5" thickBot="1">
      <c r="B17" s="271" t="s">
        <v>866</v>
      </c>
      <c r="C17" s="757"/>
      <c r="D17" s="3805" t="str">
        <f>'4.Grassland'!D24</f>
        <v>Select state</v>
      </c>
      <c r="E17" s="3806"/>
      <c r="F17" s="3807"/>
      <c r="G17" s="3812" t="str">
        <f>'4.Grassland'!J24</f>
        <v>Select state</v>
      </c>
      <c r="H17" s="3812"/>
      <c r="I17" s="3813"/>
      <c r="J17" s="3811" t="str">
        <f>'4.Grassland'!N24</f>
        <v>Select state</v>
      </c>
      <c r="K17" s="3812"/>
      <c r="L17" s="3813"/>
      <c r="M17" s="1813" t="str">
        <f>'4.Grassland'!R24</f>
        <v>NO</v>
      </c>
      <c r="N17" s="1813">
        <f>'4.Grassland'!S24</f>
        <v>5</v>
      </c>
      <c r="O17" s="1813" t="str">
        <f>'4.Grassland'!T24</f>
        <v>NO</v>
      </c>
      <c r="P17" s="1813">
        <f>'4.Grassland'!U24</f>
        <v>5</v>
      </c>
      <c r="Q17" s="1307">
        <f t="shared" si="0"/>
        <v>0</v>
      </c>
      <c r="R17" s="1307">
        <f t="shared" si="1"/>
        <v>0</v>
      </c>
      <c r="S17" s="1307">
        <f t="shared" si="2"/>
        <v>0</v>
      </c>
      <c r="T17" s="1310">
        <f t="shared" si="4"/>
        <v>0</v>
      </c>
      <c r="U17" s="1311">
        <f t="shared" si="3"/>
        <v>0</v>
      </c>
      <c r="V17" s="2064">
        <f>'4.Grassland'!W24</f>
        <v>0</v>
      </c>
      <c r="W17" s="2064">
        <f>'4.Grassland'!X24</f>
        <v>0</v>
      </c>
      <c r="X17" s="2064">
        <f>'4.Grassland'!Y24</f>
        <v>0</v>
      </c>
      <c r="Y17" s="582" t="s">
        <v>858</v>
      </c>
      <c r="Z17" s="547" t="s">
        <v>524</v>
      </c>
      <c r="AA17" s="605" t="s">
        <v>525</v>
      </c>
      <c r="AB17" s="727"/>
      <c r="AC17" s="557" t="s">
        <v>861</v>
      </c>
      <c r="AD17" s="242"/>
      <c r="AE17" s="2403"/>
      <c r="AF17" s="2423"/>
      <c r="AG17" s="2411">
        <f>IF($M18="yes",(MIN(D36,E36)*time_tot+ABS(E36-D36)*IF(E36&gt;D36,time2+time*(VLOOKUP(F36,List!$E$35:$F$37,2,)),time*(1-(VLOOKUP(F36,List!$E$35:$F$37,2,))))),0)*($Y$18*$Z$18*($AA$18*methane)/1000)/$N18</f>
        <v>0</v>
      </c>
      <c r="AH17" s="2411">
        <f>IF($O18="yes",(MIN(D36,G36)*time_tot+ABS(G36-D36)*IF(G36&gt;D36,time2+time*(VLOOKUP(H36,List!$E$35:$F$37,2,)),time*(1-(VLOOKUP(H36,List!$E$35:$F$37,2,))))),0)*($Y$18*$Z$18*($AA$18*methane)/1000)/$P18</f>
        <v>0</v>
      </c>
      <c r="AI17" s="2411">
        <f>IF($M18="yes",(MIN(D36,E36)*time_tot+ABS(E36-D36)*IF(E36&gt;D36,time2+time*(VLOOKUP(F36,List!$E$35:$F$37,2,)),time*(1-(VLOOKUP(F36,List!$E$35:$F$37,2,))))),0)*($Y$18*$Z$18*($AB$18*Nitrous)/1000)/$N18</f>
        <v>0</v>
      </c>
      <c r="AJ17" s="2411">
        <f>IF($O18="yes",(MIN(D36,G36)*time_tot+ABS(G36-D36)*IF(G36&gt;D36,time2+time*(VLOOKUP(H36,List!$E$35:$F$37,2,)),time*(1-(VLOOKUP(H36,List!$E$35:$F$37,2,))))),0)*($Y$18*$Z$18*($AB$18*Nitrous)/1000)/$P18</f>
        <v>0</v>
      </c>
      <c r="AK17" s="2423"/>
      <c r="AL17" s="2423"/>
      <c r="AM17" s="2411">
        <f>IF($M18="yes",(MIN(D36,E36)*time+ABS(E36-D36)*IF(E36&gt;D36,time*(VLOOKUP(F36,List!$E$35:$F$37,2,)),time*(1-(VLOOKUP(F36,List!$E$35:$F$37,2,))))),0)*($Y$18*$Z$18*($AA$18*methane)/1000)/$N18</f>
        <v>0</v>
      </c>
      <c r="AN17" s="2411">
        <f>IF($O18="yes",(MIN(D36,G36)*time+ABS(G36-D36)*IF(G36&gt;D36,time*(VLOOKUP(H36,List!$E$35:$F$37,2,)),time*(1-(VLOOKUP(H36,List!$E$35:$F$37,2,))))),0)*($Y$18*$Z$18*($AA$18*methane)/1000)/$P18</f>
        <v>0</v>
      </c>
      <c r="AO17" s="2411">
        <f>IF($M18="yes",(MIN(D36,E36)*time+ABS(E36-D36)*IF(E36&gt;D36,time*(VLOOKUP(F36,List!$E$35:$F$37,2,)),time*(1-(VLOOKUP(F36,List!$E$35:$F$37,2,))))),0)*($Y$18*$Z$18*($AB$18*Nitrous)/1000)/$N18</f>
        <v>0</v>
      </c>
      <c r="AP17" s="2411">
        <f>IF($O18="yes",(MIN(D36,G36)*time+ABS(G36-D36)*IF(G36&gt;D36,time*(VLOOKUP(H36,List!$E$35:$F$37,2,)),time*(1-(VLOOKUP(H36,List!$E$35:$F$37,2,))))),0)*($Y$18*$Z$18*($AB$18*Nitrous)/1000)/$P18</f>
        <v>0</v>
      </c>
      <c r="AQ17" s="2423"/>
      <c r="AR17" s="2403"/>
      <c r="AS17" s="2403"/>
      <c r="AT17" s="2403"/>
      <c r="AU17" s="2403"/>
    </row>
    <row r="18" spans="2:47" ht="13.5" thickBot="1">
      <c r="B18" s="271" t="s">
        <v>867</v>
      </c>
      <c r="C18" s="757"/>
      <c r="D18" s="3805" t="str">
        <f>'4.Grassland'!D25</f>
        <v>Select state</v>
      </c>
      <c r="E18" s="3806"/>
      <c r="F18" s="3807"/>
      <c r="G18" s="3812" t="str">
        <f>'4.Grassland'!J25</f>
        <v>Select state</v>
      </c>
      <c r="H18" s="3812"/>
      <c r="I18" s="3813"/>
      <c r="J18" s="3811" t="str">
        <f>'4.Grassland'!N25</f>
        <v>Select state</v>
      </c>
      <c r="K18" s="3812"/>
      <c r="L18" s="3813"/>
      <c r="M18" s="1813" t="str">
        <f>'4.Grassland'!R25</f>
        <v>NO</v>
      </c>
      <c r="N18" s="1813">
        <f>'4.Grassland'!S25</f>
        <v>5</v>
      </c>
      <c r="O18" s="1813" t="str">
        <f>'4.Grassland'!T25</f>
        <v>NO</v>
      </c>
      <c r="P18" s="1813">
        <f>'4.Grassland'!U25</f>
        <v>5</v>
      </c>
      <c r="Q18" s="1307">
        <f t="shared" si="0"/>
        <v>0</v>
      </c>
      <c r="R18" s="1307">
        <f t="shared" si="1"/>
        <v>0</v>
      </c>
      <c r="S18" s="1307">
        <f t="shared" si="2"/>
        <v>0</v>
      </c>
      <c r="T18" s="1310">
        <f t="shared" si="4"/>
        <v>0</v>
      </c>
      <c r="U18" s="1311">
        <f t="shared" si="3"/>
        <v>0</v>
      </c>
      <c r="V18" s="2064">
        <f>'4.Grassland'!W25</f>
        <v>0</v>
      </c>
      <c r="W18" s="2064">
        <f>'4.Grassland'!X25</f>
        <v>0</v>
      </c>
      <c r="X18" s="2064">
        <f>'4.Grassland'!Y25</f>
        <v>0</v>
      </c>
      <c r="Y18" s="2590">
        <f>IF('4.Grassland'!O92="",'4.Grassland'!N92,'4.Grassland'!O92)</f>
        <v>0</v>
      </c>
      <c r="Z18" s="2591">
        <f>IF('4.Grassland'!O96="",'4.Grassland'!N96,'4.Grassland'!O96)</f>
        <v>0.77</v>
      </c>
      <c r="AA18" s="544">
        <v>2.2999999999999998</v>
      </c>
      <c r="AB18" s="548">
        <v>0.21</v>
      </c>
      <c r="AC18" s="1312">
        <f>$Y$18*$Z$18*($AA$18*methane+$AB$18*Nitrous)/1000</f>
        <v>0</v>
      </c>
      <c r="AD18" s="234"/>
      <c r="AE18" s="2410"/>
      <c r="AF18" s="2416"/>
      <c r="AG18" s="2411">
        <f>IF($M19="yes",(MIN(D37,E37)*time_tot+ABS(E37-D37)*IF(E37&gt;D37,time2+time*(VLOOKUP(F37,List!$E$35:$F$37,2,)),time*(1-(VLOOKUP(F37,List!$E$35:$F$37,2,))))),0)*($Y$18*$Z$18*($AA$18*methane)/1000)/$N19</f>
        <v>0</v>
      </c>
      <c r="AH18" s="2411">
        <f>IF($O19="yes",(MIN(D37,G37)*time_tot+ABS(G37-D37)*IF(G37&gt;D37,time2+time*(VLOOKUP(H37,List!$E$35:$F$37,2,)),time*(1-(VLOOKUP(H37,List!$E$35:$F$37,2,))))),0)*($Y$18*$Z$18*($AA$18*methane)/1000)/$P19</f>
        <v>0</v>
      </c>
      <c r="AI18" s="2411">
        <f>IF($M19="yes",(MIN(D37,E37)*time_tot+ABS(E37-D37)*IF(E37&gt;D37,time2+time*(VLOOKUP(F37,List!$E$35:$F$37,2,)),time*(1-(VLOOKUP(F37,List!$E$35:$F$37,2,))))),0)*($Y$18*$Z$18*($AB$18*Nitrous)/1000)/$N19</f>
        <v>0</v>
      </c>
      <c r="AJ18" s="2411">
        <f>IF($O19="yes",(MIN(D37,G37)*time_tot+ABS(G37-D37)*IF(G37&gt;D37,time2+time*(VLOOKUP(H37,List!$E$35:$F$37,2,)),time*(1-(VLOOKUP(H37,List!$E$35:$F$37,2,))))),0)*($Y$18*$Z$18*($AB$18*Nitrous)/1000)/$P19</f>
        <v>0</v>
      </c>
      <c r="AK18" s="2423"/>
      <c r="AL18" s="2423"/>
      <c r="AM18" s="2411">
        <f>IF($M19="yes",(MIN(D37,E37)*time+ABS(E37-D37)*IF(E37&gt;D37,time*(VLOOKUP(F37,List!$E$35:$F$37,2,)),time*(1-(VLOOKUP(F37,List!$E$35:$F$37,2,))))),0)*($Y$18*$Z$18*($AA$18*methane)/1000)/$N19</f>
        <v>0</v>
      </c>
      <c r="AN18" s="2411">
        <f>IF($O19="yes",(MIN(D37,G37)*time+ABS(G37-D37)*IF(G37&gt;D37,time*(VLOOKUP(H37,List!$E$35:$F$37,2,)),time*(1-(VLOOKUP(H37,List!$E$35:$F$37,2,))))),0)*($Y$18*$Z$18*($AA$18*methane)/1000)/$P19</f>
        <v>0</v>
      </c>
      <c r="AO18" s="2411">
        <f>IF($M19="yes",(MIN(D37,E37)*time+ABS(E37-D37)*IF(E37&gt;D37,time*(VLOOKUP(F37,List!$E$35:$F$37,2,)),time*(1-(VLOOKUP(F37,List!$E$35:$F$37,2,))))),0)*($Y$18*$Z$18*($AB$18*Nitrous)/1000)/$N19</f>
        <v>0</v>
      </c>
      <c r="AP18" s="2411">
        <f>IF($O19="yes",(MIN(D37,G37)*time+ABS(G37-D37)*IF(G37&gt;D37,time*(VLOOKUP(H37,List!$E$35:$F$37,2,)),time*(1-(VLOOKUP(H37,List!$E$35:$F$37,2,))))),0)*($Y$18*$Z$18*($AB$18*Nitrous)/1000)/$P19</f>
        <v>0</v>
      </c>
      <c r="AQ18" s="2563" t="s">
        <v>23</v>
      </c>
      <c r="AR18" s="2412" t="s">
        <v>674</v>
      </c>
      <c r="AS18" s="2403" t="s">
        <v>675</v>
      </c>
      <c r="AT18" s="2403"/>
      <c r="AU18" s="2403"/>
    </row>
    <row r="19" spans="2:47" ht="13.5" thickBot="1">
      <c r="B19" s="271" t="s">
        <v>868</v>
      </c>
      <c r="C19" s="757"/>
      <c r="D19" s="3805" t="str">
        <f>'4.Grassland'!D26</f>
        <v>Select state</v>
      </c>
      <c r="E19" s="3806"/>
      <c r="F19" s="3807"/>
      <c r="G19" s="3812" t="str">
        <f>'4.Grassland'!J26</f>
        <v>Select state</v>
      </c>
      <c r="H19" s="3812"/>
      <c r="I19" s="3813"/>
      <c r="J19" s="3811" t="str">
        <f>'4.Grassland'!N26</f>
        <v>Select state</v>
      </c>
      <c r="K19" s="3812"/>
      <c r="L19" s="3813"/>
      <c r="M19" s="1813" t="str">
        <f>'4.Grassland'!R26</f>
        <v>NO</v>
      </c>
      <c r="N19" s="1813">
        <f>'4.Grassland'!S26</f>
        <v>5</v>
      </c>
      <c r="O19" s="1813" t="str">
        <f>'4.Grassland'!T26</f>
        <v>NO</v>
      </c>
      <c r="P19" s="1813">
        <f>'4.Grassland'!U26</f>
        <v>5</v>
      </c>
      <c r="Q19" s="1307">
        <f t="shared" si="0"/>
        <v>0</v>
      </c>
      <c r="R19" s="1307">
        <f t="shared" si="1"/>
        <v>0</v>
      </c>
      <c r="S19" s="1307">
        <f t="shared" si="2"/>
        <v>0</v>
      </c>
      <c r="T19" s="1310">
        <f t="shared" si="4"/>
        <v>0</v>
      </c>
      <c r="U19" s="1311">
        <f t="shared" si="3"/>
        <v>0</v>
      </c>
      <c r="V19" s="2064">
        <f>'4.Grassland'!W26</f>
        <v>0</v>
      </c>
      <c r="W19" s="2064">
        <f>'4.Grassland'!X26</f>
        <v>0</v>
      </c>
      <c r="X19" s="2064">
        <f>'4.Grassland'!Y26</f>
        <v>0</v>
      </c>
      <c r="AD19" s="234"/>
      <c r="AE19" s="2410"/>
      <c r="AF19" s="2416"/>
      <c r="AG19" s="2411">
        <f>IF($M20="yes",(MIN(D38,E38)*time_tot+ABS(E38-D38)*IF(E38&gt;D38,time2+time*(VLOOKUP(F38,List!$E$35:$F$37,2,)),time*(1-(VLOOKUP(F38,List!$E$35:$F$37,2,))))),0)*($Y$18*$Z$18*($AA$18*methane)/1000)/$N20</f>
        <v>0</v>
      </c>
      <c r="AH19" s="2411">
        <f>IF($O20="yes",(MIN(D38,G38)*time_tot+ABS(G38-D38)*IF(G38&gt;D38,time2+time*(VLOOKUP(H38,List!$E$35:$F$37,2,)),time*(1-(VLOOKUP(H38,List!$E$35:$F$37,2,))))),0)*($Y$18*$Z$18*($AA$18*methane)/1000)/$P20</f>
        <v>0</v>
      </c>
      <c r="AI19" s="2411">
        <f>IF($M20="yes",(MIN(D38,E38)*time_tot+ABS(E38-D38)*IF(E38&gt;D38,time2+time*(VLOOKUP(F38,List!$E$35:$F$37,2,)),time*(1-(VLOOKUP(F38,List!$E$35:$F$37,2,))))),0)*($Y$18*$Z$18*($AB$18*Nitrous)/1000)/$N20</f>
        <v>0</v>
      </c>
      <c r="AJ19" s="2411">
        <f>IF($O20="yes",(MIN(D38,G38)*time_tot+ABS(G38-D38)*IF(G38&gt;D38,time2+time*(VLOOKUP(H38,List!$E$35:$F$37,2,)),time*(1-(VLOOKUP(H38,List!$E$35:$F$37,2,))))),0)*($Y$18*$Z$18*($AB$18*Nitrous)/1000)/$P20</f>
        <v>0</v>
      </c>
      <c r="AK19" s="2423"/>
      <c r="AL19" s="2423"/>
      <c r="AM19" s="2411">
        <f>IF($M20="yes",(MIN(D38,E38)*time+ABS(E38-D38)*IF(E38&gt;D38,time*(VLOOKUP(F38,List!$E$35:$F$37,2,)),time*(1-(VLOOKUP(F38,List!$E$35:$F$37,2,))))),0)*($Y$18*$Z$18*($AA$18*methane)/1000)/$N20</f>
        <v>0</v>
      </c>
      <c r="AN19" s="2411">
        <f>IF($O20="yes",(MIN(D38,G38)*time+ABS(G38-D38)*IF(G38&gt;D38,time*(VLOOKUP(H38,List!$E$35:$F$37,2,)),time*(1-(VLOOKUP(H38,List!$E$35:$F$37,2,))))),0)*($Y$18*$Z$18*($AA$18*methane)/1000)/$P20</f>
        <v>0</v>
      </c>
      <c r="AO19" s="2411">
        <f>IF($M20="yes",(MIN(D38,E38)*time+ABS(E38-D38)*IF(E38&gt;D38,time*(VLOOKUP(F38,List!$E$35:$F$37,2,)),time*(1-(VLOOKUP(F38,List!$E$35:$F$37,2,))))),0)*($Y$18*$Z$18*($AB$18*Nitrous)/1000)/$N20</f>
        <v>0</v>
      </c>
      <c r="AP19" s="2411">
        <f>IF($O20="yes",(MIN(D38,G38)*time+ABS(G38-D38)*IF(G38&gt;D38,time*(VLOOKUP(H38,List!$E$35:$F$37,2,)),time*(1-(VLOOKUP(H38,List!$E$35:$F$37,2,))))),0)*($Y$18*$Z$18*($AB$18*Nitrous)/1000)/$P20</f>
        <v>0</v>
      </c>
      <c r="AQ19" s="2563" t="s">
        <v>24</v>
      </c>
      <c r="AR19" s="2412">
        <v>0</v>
      </c>
      <c r="AS19" s="2403">
        <v>0</v>
      </c>
      <c r="AT19" s="2403"/>
      <c r="AU19" s="2403"/>
    </row>
    <row r="20" spans="2:47" ht="13.5" thickBot="1">
      <c r="B20" s="271" t="s">
        <v>869</v>
      </c>
      <c r="C20" s="757"/>
      <c r="D20" s="3805" t="str">
        <f>'4.Grassland'!D27</f>
        <v>Select state</v>
      </c>
      <c r="E20" s="3806"/>
      <c r="F20" s="3807"/>
      <c r="G20" s="3812" t="str">
        <f>'4.Grassland'!J27</f>
        <v>Select state</v>
      </c>
      <c r="H20" s="3812"/>
      <c r="I20" s="3813"/>
      <c r="J20" s="3811" t="str">
        <f>'4.Grassland'!N27</f>
        <v>Select state</v>
      </c>
      <c r="K20" s="3812"/>
      <c r="L20" s="3813"/>
      <c r="M20" s="1813" t="str">
        <f>'4.Grassland'!R27</f>
        <v>NO</v>
      </c>
      <c r="N20" s="1813">
        <f>'4.Grassland'!S27</f>
        <v>5</v>
      </c>
      <c r="O20" s="1813" t="str">
        <f>'4.Grassland'!T27</f>
        <v>NO</v>
      </c>
      <c r="P20" s="1813">
        <f>'4.Grassland'!U27</f>
        <v>5</v>
      </c>
      <c r="Q20" s="1307">
        <f t="shared" si="0"/>
        <v>0</v>
      </c>
      <c r="R20" s="1307">
        <f t="shared" si="1"/>
        <v>0</v>
      </c>
      <c r="S20" s="1307">
        <f t="shared" si="2"/>
        <v>0</v>
      </c>
      <c r="T20" s="1310">
        <f t="shared" si="4"/>
        <v>0</v>
      </c>
      <c r="U20" s="1311">
        <f t="shared" si="3"/>
        <v>0</v>
      </c>
      <c r="V20" s="2064">
        <f>'4.Grassland'!W27</f>
        <v>0</v>
      </c>
      <c r="W20" s="2064">
        <f>'4.Grassland'!X27</f>
        <v>0</v>
      </c>
      <c r="X20" s="2064">
        <f>'4.Grassland'!Y27</f>
        <v>0</v>
      </c>
      <c r="AD20" s="234"/>
      <c r="AE20" s="2410"/>
      <c r="AF20" s="2416"/>
      <c r="AG20" s="2411">
        <f>IF($M21="yes",(MIN(D39,E39)*time_tot+ABS(E39-D39)*IF(E39&gt;D39,time2+time*(VLOOKUP(F39,List!$E$35:$F$37,2,)),time*(1-(VLOOKUP(F39,List!$E$35:$F$37,2,))))),0)*($Y$18*$Z$18*($AA$18*methane)/1000)/$N21</f>
        <v>0</v>
      </c>
      <c r="AH20" s="2411">
        <f>IF($O21="yes",(MIN(D39,G39)*time_tot+ABS(G39-D39)*IF(G39&gt;D39,time2+time*(VLOOKUP(H39,List!$E$35:$F$37,2,)),time*(1-(VLOOKUP(H39,List!$E$35:$F$37,2,))))),0)*($Y$18*$Z$18*($AA$18*methane)/1000)/$P21</f>
        <v>0</v>
      </c>
      <c r="AI20" s="2411">
        <f>IF($M21="yes",(MIN(D39,E39)*time_tot+ABS(E39-D39)*IF(E39&gt;D39,time2+time*(VLOOKUP(F39,List!$E$35:$F$37,2,)),time*(1-(VLOOKUP(F39,List!$E$35:$F$37,2,))))),0)*($Y$18*$Z$18*($AB$18*Nitrous)/1000)/$N21</f>
        <v>0</v>
      </c>
      <c r="AJ20" s="2411">
        <f>IF($O21="yes",(MIN(D39,G39)*time_tot+ABS(G39-D39)*IF(G39&gt;D39,time2+time*(VLOOKUP(H39,List!$E$35:$F$37,2,)),time*(1-(VLOOKUP(H39,List!$E$35:$F$37,2,))))),0)*($Y$18*$Z$18*($AB$18*Nitrous)/1000)/$P21</f>
        <v>0</v>
      </c>
      <c r="AK20" s="2423"/>
      <c r="AL20" s="2423"/>
      <c r="AM20" s="2411">
        <f>IF($M21="yes",(MIN(D39,E39)*time+ABS(E39-D39)*IF(E39&gt;D39,time*(VLOOKUP(F39,List!$E$35:$F$37,2,)),time*(1-(VLOOKUP(F39,List!$E$35:$F$37,2,))))),0)*($Y$18*$Z$18*($AA$18*methane)/1000)/$N21</f>
        <v>0</v>
      </c>
      <c r="AN20" s="2411">
        <f>IF($O21="yes",(MIN(D39,G39)*time+ABS(G39-D39)*IF(G39&gt;D39,time*(VLOOKUP(H39,List!$E$35:$F$37,2,)),time*(1-(VLOOKUP(H39,List!$E$35:$F$37,2,))))),0)*($Y$18*$Z$18*($AA$18*methane)/1000)/$P21</f>
        <v>0</v>
      </c>
      <c r="AO20" s="2411">
        <f>IF($M21="yes",(MIN(D39,E39)*time+ABS(E39-D39)*IF(E39&gt;D39,time*(VLOOKUP(F39,List!$E$35:$F$37,2,)),time*(1-(VLOOKUP(F39,List!$E$35:$F$37,2,))))),0)*($Y$18*$Z$18*($AB$18*Nitrous)/1000)/$N21</f>
        <v>0</v>
      </c>
      <c r="AP20" s="2411">
        <f>IF($O21="yes",(MIN(D39,G39)*time+ABS(G39-D39)*IF(G39&gt;D39,time*(VLOOKUP(H39,List!$E$35:$F$37,2,)),time*(1-(VLOOKUP(H39,List!$E$35:$F$37,2,))))),0)*($Y$18*$Z$18*($AB$18*Nitrous)/1000)/$P21</f>
        <v>0</v>
      </c>
      <c r="AQ20" s="2563" t="s">
        <v>25</v>
      </c>
      <c r="AR20" s="2412">
        <f>SUM(I29:I42)</f>
        <v>0</v>
      </c>
      <c r="AS20" s="2412">
        <f>SUM(J29:J42)</f>
        <v>0</v>
      </c>
      <c r="AT20" s="2403"/>
      <c r="AU20" s="2403"/>
    </row>
    <row r="21" spans="2:47" ht="13.5" thickBot="1">
      <c r="B21" s="271" t="s">
        <v>870</v>
      </c>
      <c r="C21" s="757"/>
      <c r="D21" s="3805" t="str">
        <f>'4.Grassland'!D28</f>
        <v>Select state</v>
      </c>
      <c r="E21" s="3806"/>
      <c r="F21" s="3807"/>
      <c r="G21" s="3812" t="str">
        <f>'4.Grassland'!J28</f>
        <v>Select state</v>
      </c>
      <c r="H21" s="3812"/>
      <c r="I21" s="3813"/>
      <c r="J21" s="3811" t="str">
        <f>'4.Grassland'!N28</f>
        <v>Select state</v>
      </c>
      <c r="K21" s="3812"/>
      <c r="L21" s="3813"/>
      <c r="M21" s="1813" t="str">
        <f>'4.Grassland'!R28</f>
        <v>NO</v>
      </c>
      <c r="N21" s="1813">
        <f>'4.Grassland'!S28</f>
        <v>5</v>
      </c>
      <c r="O21" s="1813" t="str">
        <f>'4.Grassland'!T28</f>
        <v>NO</v>
      </c>
      <c r="P21" s="1813">
        <f>'4.Grassland'!U28</f>
        <v>5</v>
      </c>
      <c r="Q21" s="1307">
        <f t="shared" si="0"/>
        <v>0</v>
      </c>
      <c r="R21" s="1307">
        <f t="shared" si="1"/>
        <v>0</v>
      </c>
      <c r="S21" s="1307">
        <f t="shared" si="2"/>
        <v>0</v>
      </c>
      <c r="T21" s="1310">
        <f t="shared" si="4"/>
        <v>0</v>
      </c>
      <c r="U21" s="1311">
        <f t="shared" si="3"/>
        <v>0</v>
      </c>
      <c r="V21" s="2064">
        <f>'4.Grassland'!W28</f>
        <v>0</v>
      </c>
      <c r="W21" s="2064">
        <f>'4.Grassland'!X28</f>
        <v>0</v>
      </c>
      <c r="X21" s="2064">
        <f>'4.Grassland'!Y28</f>
        <v>0</v>
      </c>
      <c r="AD21" s="234"/>
      <c r="AE21" s="2410"/>
      <c r="AF21" s="2416"/>
      <c r="AG21" s="2411">
        <f>IF($M22="yes",(MIN(D40,E40)*time_tot+ABS(E40-D40)*IF(E40&gt;D40,time2+time*(VLOOKUP(F40,List!$E$35:$F$37,2,)),time*(1-(VLOOKUP(F40,List!$E$35:$F$37,2,))))),0)*($Y$18*$Z$18*($AA$18*methane)/1000)/$N22</f>
        <v>0</v>
      </c>
      <c r="AH21" s="2411">
        <f>IF($O22="yes",(MIN(D40,G40)*time_tot+ABS(G40-D40)*IF(G40&gt;D40,time2+time*(VLOOKUP(H40,List!$E$35:$F$37,2,)),time*(1-(VLOOKUP(H40,List!$E$35:$F$37,2,))))),0)*($Y$18*$Z$18*($AA$18*methane)/1000)/$P22</f>
        <v>0</v>
      </c>
      <c r="AI21" s="2411">
        <f>IF($M22="yes",(MIN(D40,E40)*time_tot+ABS(E40-D40)*IF(E40&gt;D40,time2+time*(VLOOKUP(F40,List!$E$35:$F$37,2,)),time*(1-(VLOOKUP(F40,List!$E$35:$F$37,2,))))),0)*($Y$18*$Z$18*($AB$18*Nitrous)/1000)/$N22</f>
        <v>0</v>
      </c>
      <c r="AJ21" s="2411">
        <f>IF($O22="yes",(MIN(D40,G40)*time_tot+ABS(G40-D40)*IF(G40&gt;D40,time2+time*(VLOOKUP(H40,List!$E$35:$F$37,2,)),time*(1-(VLOOKUP(H40,List!$E$35:$F$37,2,))))),0)*($Y$18*$Z$18*($AB$18*Nitrous)/1000)/$P22</f>
        <v>0</v>
      </c>
      <c r="AK21" s="2423"/>
      <c r="AL21" s="2423"/>
      <c r="AM21" s="2411">
        <f>IF($M22="yes",(MIN(D40,E40)*time+ABS(E40-D40)*IF(E40&gt;D40,time*(VLOOKUP(F40,List!$E$35:$F$37,2,)),time*(1-(VLOOKUP(F40,List!$E$35:$F$37,2,))))),0)*($Y$18*$Z$18*($AA$18*methane)/1000)/$N22</f>
        <v>0</v>
      </c>
      <c r="AN21" s="2411">
        <f>IF($O22="yes",(MIN(D40,G40)*time+ABS(G40-D40)*IF(G40&gt;D40,time*(VLOOKUP(H40,List!$E$35:$F$37,2,)),time*(1-(VLOOKUP(H40,List!$E$35:$F$37,2,))))),0)*($Y$18*$Z$18*($AA$18*methane)/1000)/$P22</f>
        <v>0</v>
      </c>
      <c r="AO21" s="2411">
        <f>IF($M22="yes",(MIN(D40,E40)*time+ABS(E40-D40)*IF(E40&gt;D40,time*(VLOOKUP(F40,List!$E$35:$F$37,2,)),time*(1-(VLOOKUP(F40,List!$E$35:$F$37,2,))))),0)*($Y$18*$Z$18*($AB$18*Nitrous)/1000)/$N22</f>
        <v>0</v>
      </c>
      <c r="AP21" s="2411">
        <f>IF($O22="yes",(MIN(D40,G40)*time+ABS(G40-D40)*IF(G40&gt;D40,time*(VLOOKUP(H40,List!$E$35:$F$37,2,)),time*(1-(VLOOKUP(H40,List!$E$35:$F$37,2,))))),0)*($Y$18*$Z$18*($AB$18*Nitrous)/1000)/$P22</f>
        <v>0</v>
      </c>
      <c r="AQ21" s="2563" t="s">
        <v>332</v>
      </c>
      <c r="AR21" s="2412">
        <f>SUM(AG10:AG23)</f>
        <v>0</v>
      </c>
      <c r="AS21" s="2412">
        <f>SUM(AH10:AH23)</f>
        <v>0</v>
      </c>
      <c r="AT21" s="2403"/>
      <c r="AU21" s="2403"/>
    </row>
    <row r="22" spans="2:47" ht="13.5" thickBot="1">
      <c r="B22" s="271" t="s">
        <v>871</v>
      </c>
      <c r="C22" s="757"/>
      <c r="D22" s="3805" t="str">
        <f>'4.Grassland'!D29</f>
        <v>Select state</v>
      </c>
      <c r="E22" s="3806"/>
      <c r="F22" s="3807"/>
      <c r="G22" s="3812" t="str">
        <f>'4.Grassland'!J29</f>
        <v>Select state</v>
      </c>
      <c r="H22" s="3812"/>
      <c r="I22" s="3813"/>
      <c r="J22" s="3811" t="str">
        <f>'4.Grassland'!N29</f>
        <v>Select state</v>
      </c>
      <c r="K22" s="3812"/>
      <c r="L22" s="3813"/>
      <c r="M22" s="1813" t="str">
        <f>'4.Grassland'!R29</f>
        <v>NO</v>
      </c>
      <c r="N22" s="1813">
        <f>'4.Grassland'!S29</f>
        <v>5</v>
      </c>
      <c r="O22" s="1813" t="str">
        <f>'4.Grassland'!T29</f>
        <v>NO</v>
      </c>
      <c r="P22" s="1813">
        <f>'4.Grassland'!U29</f>
        <v>5</v>
      </c>
      <c r="Q22" s="1307">
        <f t="shared" si="0"/>
        <v>0</v>
      </c>
      <c r="R22" s="1307">
        <f t="shared" si="1"/>
        <v>0</v>
      </c>
      <c r="S22" s="1307">
        <f t="shared" si="2"/>
        <v>0</v>
      </c>
      <c r="T22" s="1310">
        <f t="shared" si="4"/>
        <v>0</v>
      </c>
      <c r="U22" s="1311">
        <f t="shared" si="3"/>
        <v>0</v>
      </c>
      <c r="V22" s="2064">
        <f>'4.Grassland'!W29</f>
        <v>0</v>
      </c>
      <c r="W22" s="2064">
        <f>'4.Grassland'!X29</f>
        <v>0</v>
      </c>
      <c r="X22" s="2064">
        <f>'4.Grassland'!Y29</f>
        <v>0</v>
      </c>
      <c r="AD22" s="234"/>
      <c r="AE22" s="2410"/>
      <c r="AF22" s="2416"/>
      <c r="AG22" s="2411">
        <f>IF($M23="yes",(MIN(D41,E41)*time_tot+ABS(E41-D41)*IF(E41&gt;D41,time2+time*(VLOOKUP(F41,List!$E$35:$F$37,2,)),time*(1-(VLOOKUP(F41,List!$E$35:$F$37,2,))))),0)*($Y$18*$Z$18*($AA$18*methane)/1000)/$N23</f>
        <v>0</v>
      </c>
      <c r="AH22" s="2411">
        <f>IF($O23="yes",(MIN(D41,G41)*time_tot+ABS(G41-D41)*IF(G41&gt;D41,time2+time*(VLOOKUP(H41,List!$E$35:$F$37,2,)),time*(1-(VLOOKUP(H41,List!$E$35:$F$37,2,))))),0)*($Y$18*$Z$18*($AA$18*methane)/1000)/$P23</f>
        <v>0</v>
      </c>
      <c r="AI22" s="2411">
        <f>IF($M23="yes",(MIN(D41,E41)*time_tot+ABS(E41-D41)*IF(E41&gt;D41,time2+time*(VLOOKUP(F41,List!$E$35:$F$37,2,)),time*(1-(VLOOKUP(F41,List!$E$35:$F$37,2,))))),0)*($Y$18*$Z$18*($AB$18*Nitrous)/1000)/$N23</f>
        <v>0</v>
      </c>
      <c r="AJ22" s="2411">
        <f>IF($O23="yes",(MIN(D41,G41)*time_tot+ABS(G41-D41)*IF(G41&gt;D41,time2+time*(VLOOKUP(H41,List!$E$35:$F$37,2,)),time*(1-(VLOOKUP(H41,List!$E$35:$F$37,2,))))),0)*($Y$18*$Z$18*($AB$18*Nitrous)/1000)/$P23</f>
        <v>0</v>
      </c>
      <c r="AK22" s="2423"/>
      <c r="AL22" s="2423"/>
      <c r="AM22" s="2411">
        <f>IF($M23="yes",(MIN(D41,E41)*time+ABS(E41-D41)*IF(E41&gt;D41,time*(VLOOKUP(F41,List!$E$35:$F$37,2,)),time*(1-(VLOOKUP(F41,List!$E$35:$F$37,2,))))),0)*($Y$18*$Z$18*($AA$18*methane)/1000)/$N23</f>
        <v>0</v>
      </c>
      <c r="AN22" s="2411">
        <f>IF($O23="yes",(MIN(D41,G41)*time+ABS(G41-D41)*IF(G41&gt;D41,time*(VLOOKUP(H41,List!$E$35:$F$37,2,)),time*(1-(VLOOKUP(H41,List!$E$35:$F$37,2,))))),0)*($Y$18*$Z$18*($AA$18*methane)/1000)/$P23</f>
        <v>0</v>
      </c>
      <c r="AO22" s="2411">
        <f>IF($M23="yes",(MIN(D41,E41)*time+ABS(E41-D41)*IF(E41&gt;D41,time*(VLOOKUP(F41,List!$E$35:$F$37,2,)),time*(1-(VLOOKUP(F41,List!$E$35:$F$37,2,))))),0)*($Y$18*$Z$18*($AB$18*Nitrous)/1000)/$N23</f>
        <v>0</v>
      </c>
      <c r="AP22" s="2411">
        <f>IF($O23="yes",(MIN(D41,G41)*time+ABS(G41-D41)*IF(G41&gt;D41,time*(VLOOKUP(H41,List!$E$35:$F$37,2,)),time*(1-(VLOOKUP(H41,List!$E$35:$F$37,2,))))),0)*($Y$18*$Z$18*($AB$18*Nitrous)/1000)/$P23</f>
        <v>0</v>
      </c>
      <c r="AQ22" s="2563" t="s">
        <v>333</v>
      </c>
      <c r="AR22" s="2412">
        <f>SUM(AI10:AI23)</f>
        <v>0</v>
      </c>
      <c r="AS22" s="2412">
        <f>SUM(AJ10:AJ23)</f>
        <v>0</v>
      </c>
      <c r="AT22" s="2403"/>
      <c r="AU22" s="2403"/>
    </row>
    <row r="23" spans="2:47" ht="13.5" thickBot="1">
      <c r="B23" s="271" t="s">
        <v>872</v>
      </c>
      <c r="C23" s="757"/>
      <c r="D23" s="3805" t="str">
        <f>'4.Grassland'!D30</f>
        <v>Select state</v>
      </c>
      <c r="E23" s="3806"/>
      <c r="F23" s="3807"/>
      <c r="G23" s="3812" t="str">
        <f>'4.Grassland'!J30</f>
        <v>Select state</v>
      </c>
      <c r="H23" s="3812"/>
      <c r="I23" s="3813"/>
      <c r="J23" s="3811" t="str">
        <f>'4.Grassland'!N30</f>
        <v>Select state</v>
      </c>
      <c r="K23" s="3812"/>
      <c r="L23" s="3813"/>
      <c r="M23" s="1813" t="str">
        <f>'4.Grassland'!R30</f>
        <v>NO</v>
      </c>
      <c r="N23" s="1813">
        <f>'4.Grassland'!S30</f>
        <v>5</v>
      </c>
      <c r="O23" s="1813" t="str">
        <f>'4.Grassland'!T30</f>
        <v>NO</v>
      </c>
      <c r="P23" s="1813">
        <f>'4.Grassland'!U30</f>
        <v>5</v>
      </c>
      <c r="Q23" s="1307">
        <f t="shared" si="0"/>
        <v>0</v>
      </c>
      <c r="R23" s="1307">
        <f t="shared" si="1"/>
        <v>0</v>
      </c>
      <c r="S23" s="1307">
        <f t="shared" si="2"/>
        <v>0</v>
      </c>
      <c r="T23" s="1310">
        <f t="shared" si="4"/>
        <v>0</v>
      </c>
      <c r="U23" s="1311">
        <f t="shared" si="3"/>
        <v>0</v>
      </c>
      <c r="V23" s="2064">
        <f>'4.Grassland'!W30</f>
        <v>0</v>
      </c>
      <c r="W23" s="2064">
        <f>'4.Grassland'!X30</f>
        <v>0</v>
      </c>
      <c r="X23" s="2064">
        <f>'4.Grassland'!Y30</f>
        <v>0</v>
      </c>
      <c r="AD23" s="234"/>
      <c r="AE23" s="2410"/>
      <c r="AF23" s="2416"/>
      <c r="AG23" s="2411">
        <f>IF($M24="yes",(MIN(D42,E42)*time_tot+ABS(E42-D42)*IF(E42&gt;D42,time2+time*(VLOOKUP(F42,List!$E$35:$F$37,2,)),time*(1-(VLOOKUP(F42,List!$E$35:$F$37,2,))))),0)*($Y$18*$Z$18*($AA$18*methane)/1000)/$N24</f>
        <v>0</v>
      </c>
      <c r="AH23" s="2411">
        <f>IF($O24="yes",(MIN(D42,G42)*time_tot+ABS(G42-D42)*IF(G42&gt;D42,time2+time*(VLOOKUP(H42,List!$E$35:$F$37,2,)),time*(1-(VLOOKUP(H42,List!$E$35:$F$37,2,))))),0)*($Y$18*$Z$18*($AA$18*methane)/1000)/$P24</f>
        <v>0</v>
      </c>
      <c r="AI23" s="2411">
        <f>IF($M24="yes",(MIN(D42,E42)*time_tot+ABS(E42-D42)*IF(E42&gt;D42,time2+time*(VLOOKUP(F42,List!$E$35:$F$37,2,)),time*(1-(VLOOKUP(F42,List!$E$35:$F$37,2,))))),0)*($Y$18*$Z$18*($AB$18*Nitrous)/1000)/$N24</f>
        <v>0</v>
      </c>
      <c r="AJ23" s="2411">
        <f>IF($O24="yes",(MIN(D42,G42)*time_tot+ABS(G42-D42)*IF(G42&gt;D42,time2+time*(VLOOKUP(H42,List!$E$35:$F$37,2,)),time*(1-(VLOOKUP(H42,List!$E$35:$F$37,2,))))),0)*($Y$18*$Z$18*($AB$18*Nitrous)/1000)/$P24</f>
        <v>0</v>
      </c>
      <c r="AK23" s="2423"/>
      <c r="AL23" s="2423"/>
      <c r="AM23" s="2411">
        <f>IF($M24="yes",(MIN(D42,E42)*time+ABS(E42-D42)*IF(E42&gt;D42,time*(VLOOKUP(F42,List!$E$35:$F$37,2,)),time*(1-(VLOOKUP(F42,List!$E$35:$F$37,2,))))),0)*($Y$18*$Z$18*($AA$18*methane)/1000)/$N24</f>
        <v>0</v>
      </c>
      <c r="AN23" s="2411">
        <f>IF($O24="yes",(MIN(D42,G42)*time+ABS(G42-D42)*IF(G42&gt;D42,time*(VLOOKUP(H42,List!$E$35:$F$37,2,)),time*(1-(VLOOKUP(H42,List!$E$35:$F$37,2,))))),0)*($Y$18*$Z$18*($AA$18*methane)/1000)/$P24</f>
        <v>0</v>
      </c>
      <c r="AO23" s="2411">
        <f>IF($M24="yes",(MIN(D42,E42)*time+ABS(E42-D42)*IF(E42&gt;D42,time*(VLOOKUP(F42,List!$E$35:$F$37,2,)),time*(1-(VLOOKUP(F42,List!$E$35:$F$37,2,))))),0)*($Y$18*$Z$18*($AB$18*Nitrous)/1000)/$N24</f>
        <v>0</v>
      </c>
      <c r="AP23" s="2411">
        <f>IF($O24="yes",(MIN(D42,G42)*time+ABS(G42-D42)*IF(G42&gt;D42,time*(VLOOKUP(H42,List!$E$35:$F$37,2,)),time*(1-(VLOOKUP(H42,List!$E$35:$F$37,2,))))),0)*($Y$18*$Z$18*($AB$18*Nitrous)/1000)/$P24</f>
        <v>0</v>
      </c>
      <c r="AQ23" s="2563"/>
      <c r="AR23" s="2412">
        <f>SUM(AR19:AR22)</f>
        <v>0</v>
      </c>
      <c r="AS23" s="2412">
        <f>SUM(AS19:AS22)</f>
        <v>0</v>
      </c>
      <c r="AT23" s="2403"/>
      <c r="AU23" s="2403"/>
    </row>
    <row r="24" spans="2:47">
      <c r="B24" s="272" t="s">
        <v>873</v>
      </c>
      <c r="C24" s="758"/>
      <c r="D24" s="3805" t="str">
        <f>'4.Grassland'!D31</f>
        <v>Select state</v>
      </c>
      <c r="E24" s="3806"/>
      <c r="F24" s="3807"/>
      <c r="G24" s="3812" t="str">
        <f>'4.Grassland'!J31</f>
        <v>Select state</v>
      </c>
      <c r="H24" s="3812"/>
      <c r="I24" s="3813"/>
      <c r="J24" s="3811" t="str">
        <f>'4.Grassland'!N31</f>
        <v>Select state</v>
      </c>
      <c r="K24" s="3812"/>
      <c r="L24" s="3813"/>
      <c r="M24" s="1813" t="str">
        <f>'4.Grassland'!R31</f>
        <v>NO</v>
      </c>
      <c r="N24" s="1813">
        <f>'4.Grassland'!S31</f>
        <v>5</v>
      </c>
      <c r="O24" s="1813" t="str">
        <f>'4.Grassland'!T31</f>
        <v>NO</v>
      </c>
      <c r="P24" s="1813">
        <f>'4.Grassland'!U31</f>
        <v>5</v>
      </c>
      <c r="Q24" s="1313">
        <f t="shared" si="0"/>
        <v>0</v>
      </c>
      <c r="R24" s="1313">
        <f t="shared" si="1"/>
        <v>0</v>
      </c>
      <c r="S24" s="1313">
        <f t="shared" si="2"/>
        <v>0</v>
      </c>
      <c r="T24" s="1314">
        <f t="shared" si="4"/>
        <v>0</v>
      </c>
      <c r="U24" s="1315">
        <f t="shared" si="3"/>
        <v>0</v>
      </c>
      <c r="V24" s="2064">
        <f>'4.Grassland'!W31</f>
        <v>0</v>
      </c>
      <c r="W24" s="2064">
        <f>'4.Grassland'!X31</f>
        <v>0</v>
      </c>
      <c r="X24" s="2064">
        <f>'4.Grassland'!Y31</f>
        <v>0</v>
      </c>
      <c r="AD24" s="234"/>
      <c r="AE24" s="2410"/>
      <c r="AF24" s="2416"/>
      <c r="AG24" s="2416"/>
      <c r="AH24" s="2416"/>
      <c r="AI24" s="2416"/>
      <c r="AJ24" s="2416"/>
      <c r="AK24" s="2423"/>
      <c r="AL24" s="2423"/>
      <c r="AM24" s="2423"/>
      <c r="AN24" s="2423"/>
      <c r="AO24" s="2423"/>
      <c r="AP24" s="2423"/>
      <c r="AQ24" s="2423"/>
      <c r="AR24" s="2403"/>
      <c r="AS24" s="2403"/>
      <c r="AT24" s="2403"/>
      <c r="AU24" s="2403"/>
    </row>
    <row r="25" spans="2:47">
      <c r="M25" s="233" t="s">
        <v>1258</v>
      </c>
      <c r="T25" s="1265" t="s">
        <v>883</v>
      </c>
      <c r="AE25" s="2410"/>
      <c r="AF25" s="2423"/>
      <c r="AG25" s="2423" t="s">
        <v>204</v>
      </c>
      <c r="AH25" s="2423"/>
      <c r="AI25" s="2423"/>
      <c r="AJ25" s="2423"/>
      <c r="AK25" s="2790" t="s">
        <v>63</v>
      </c>
      <c r="AL25" s="2416"/>
      <c r="AM25" s="2423"/>
      <c r="AN25" s="2423"/>
      <c r="AO25" s="2423"/>
      <c r="AP25" s="2423"/>
      <c r="AQ25" s="2423"/>
      <c r="AR25" s="2403"/>
      <c r="AS25" s="2403"/>
      <c r="AT25" s="2403"/>
      <c r="AU25" s="2403"/>
    </row>
    <row r="26" spans="2:47">
      <c r="U26" s="2037" t="s">
        <v>1486</v>
      </c>
      <c r="V26" s="2033"/>
      <c r="W26" s="2039"/>
      <c r="AE26" s="2410"/>
      <c r="AF26" s="2423"/>
      <c r="AG26" s="2423" t="s">
        <v>205</v>
      </c>
      <c r="AH26" s="2423"/>
      <c r="AI26" s="2423"/>
      <c r="AJ26" s="2423"/>
      <c r="AK26" s="2800" t="s">
        <v>53</v>
      </c>
      <c r="AL26" s="2411"/>
      <c r="AM26" s="2423"/>
      <c r="AN26" s="2423"/>
      <c r="AO26" s="2423"/>
      <c r="AP26" s="2423"/>
      <c r="AQ26" s="2423"/>
      <c r="AR26" s="2403"/>
      <c r="AS26" s="2403"/>
      <c r="AT26" s="2403"/>
      <c r="AU26" s="2403"/>
    </row>
    <row r="27" spans="2:47">
      <c r="B27" s="1256" t="s">
        <v>339</v>
      </c>
      <c r="C27" s="1256"/>
      <c r="D27" s="1316" t="s">
        <v>340</v>
      </c>
      <c r="E27" s="1317" t="s">
        <v>676</v>
      </c>
      <c r="F27" s="1318"/>
      <c r="G27" s="1319" t="s">
        <v>672</v>
      </c>
      <c r="H27" s="1320"/>
      <c r="I27" s="269" t="s">
        <v>886</v>
      </c>
      <c r="J27" s="237"/>
      <c r="K27" s="269" t="s">
        <v>884</v>
      </c>
      <c r="L27" s="237"/>
      <c r="M27" s="707" t="s">
        <v>885</v>
      </c>
      <c r="N27" s="560"/>
      <c r="O27" s="548" t="s">
        <v>343</v>
      </c>
      <c r="Q27" s="1368" t="s">
        <v>1493</v>
      </c>
      <c r="R27" s="1876"/>
      <c r="S27" s="1876"/>
      <c r="U27" s="2036" t="s">
        <v>674</v>
      </c>
      <c r="V27" s="2038" t="s">
        <v>675</v>
      </c>
      <c r="W27" s="2031" t="s">
        <v>343</v>
      </c>
      <c r="AD27" s="2403"/>
      <c r="AE27" s="2422" t="s">
        <v>1562</v>
      </c>
      <c r="AF27" s="2423"/>
      <c r="AG27" s="2423"/>
      <c r="AH27" s="2423"/>
      <c r="AI27" s="2423"/>
      <c r="AJ27" s="2423"/>
      <c r="AK27" s="2411" t="s">
        <v>540</v>
      </c>
      <c r="AL27" s="2411"/>
      <c r="AM27" s="2423"/>
      <c r="AN27" s="2423"/>
      <c r="AO27" s="2423"/>
      <c r="AP27" s="2423"/>
      <c r="AQ27" s="2423"/>
      <c r="AR27" s="2403"/>
      <c r="AS27" s="2403"/>
      <c r="AT27" s="2403"/>
      <c r="AU27" s="2403"/>
    </row>
    <row r="28" spans="2:47">
      <c r="B28" s="269"/>
      <c r="C28" s="269"/>
      <c r="D28" s="1321" t="s">
        <v>347</v>
      </c>
      <c r="E28" s="1322" t="s">
        <v>341</v>
      </c>
      <c r="F28" s="1323" t="s">
        <v>348</v>
      </c>
      <c r="G28" s="1324" t="s">
        <v>341</v>
      </c>
      <c r="H28" s="1325" t="s">
        <v>348</v>
      </c>
      <c r="I28" s="271" t="s">
        <v>674</v>
      </c>
      <c r="J28" s="695" t="s">
        <v>675</v>
      </c>
      <c r="K28" s="271" t="s">
        <v>674</v>
      </c>
      <c r="L28" s="695" t="s">
        <v>675</v>
      </c>
      <c r="M28" s="272" t="s">
        <v>674</v>
      </c>
      <c r="N28" s="541" t="s">
        <v>675</v>
      </c>
      <c r="O28" s="1326" t="s">
        <v>859</v>
      </c>
      <c r="Q28" s="1399" t="s">
        <v>340</v>
      </c>
      <c r="R28" s="1367" t="s">
        <v>674</v>
      </c>
      <c r="S28" s="1368" t="s">
        <v>675</v>
      </c>
      <c r="U28" s="2040" t="s">
        <v>1434</v>
      </c>
      <c r="V28" s="2041" t="s">
        <v>1434</v>
      </c>
      <c r="W28" s="2030"/>
      <c r="AD28" s="2403"/>
      <c r="AE28" s="2410" t="s">
        <v>674</v>
      </c>
      <c r="AF28" s="2423" t="s">
        <v>675</v>
      </c>
      <c r="AG28" s="2423"/>
      <c r="AH28" s="2423"/>
      <c r="AI28" s="2423"/>
      <c r="AJ28" s="2423"/>
      <c r="AK28" s="2411" t="s">
        <v>674</v>
      </c>
      <c r="AL28" s="2411" t="s">
        <v>675</v>
      </c>
      <c r="AM28" s="2423"/>
      <c r="AN28" s="2423"/>
      <c r="AO28" s="2423"/>
      <c r="AP28" s="2423"/>
      <c r="AQ28" s="2423"/>
      <c r="AR28" s="2403"/>
      <c r="AS28" s="2403"/>
      <c r="AT28" s="2403"/>
      <c r="AU28" s="2403"/>
    </row>
    <row r="29" spans="2:47">
      <c r="B29" s="750" t="s">
        <v>1144</v>
      </c>
      <c r="C29" s="750" t="str">
        <f t="shared" ref="C29:C34" si="5">IF(C11="","",C11)</f>
        <v>from Deforestation</v>
      </c>
      <c r="D29" s="1327">
        <v>0</v>
      </c>
      <c r="E29" s="1328">
        <f>Matrix!I10</f>
        <v>0</v>
      </c>
      <c r="F29" s="1329" t="s">
        <v>351</v>
      </c>
      <c r="G29" s="1330">
        <f>Matrix!I27</f>
        <v>0</v>
      </c>
      <c r="H29" s="1350" t="s">
        <v>351</v>
      </c>
      <c r="I29" s="1361">
        <f>-T11*((MIN($D29,E29)*MIN(20,time_tot))+IF(F29="immediate",IF(E29&gt;$D29,E29*MIN(20,time_tot),0),IF($D29&gt;E29,($D29-E29)*IF(time&gt;20,IF(F29="linear",time-((time-20)^2)/(2*time),(0.215*time)-(time/4.6)*(EXP(-92.1/time)-0.01)),time*(1-VLOOKUP(F29,List!$E$35:$F$37,2,))),(E29-$D29)*IF(time_tot&gt;time+20,20,IF(time_tot&lt;20,(time*VLOOKUP(F29,List!$E$35:$F$37,2,))+(time_tot-time),((MIN(20,time)*VLOOKUP(F29,List!$E$35:$F$37,2,))+(time_tot-MIN(20,time))-IF(F29="exponential",time_tot-20+0.217*time*(EXP(4.606*(20-time_tot)/time)-1),((time_tot-20)^2)*(0.5/time))))))))</f>
        <v>0</v>
      </c>
      <c r="J29" s="1362">
        <f>-U11*((MIN($D29,G29)*MIN(20,time_tot))+IF(H29="immediate",IF(G29&gt;$D29,G29*MIN(20,time_tot),0),IF($D29&gt;G29,($D29-G29)*IF(time&gt;20,IF(H29="linear",time-((time-20)^2)/(2*time),(0.215*time)-(time/4.6)*(EXP(-92.1/time)-0.01)),time*(1-VLOOKUP(H29,List!$E$35:$F$37,2,))),(G29-$D29)*IF(time_tot&gt;time+20,20,IF(time_tot&lt;20,(time*VLOOKUP(H29,List!$E$35:$F$37,2,))+(time_tot-time),((MIN(20,time)*VLOOKUP(H29,List!$E$35:$F$37,2,))+(time_tot-MIN(20,time))-IF(H29="exponential",time_tot-20+0.217*time*(EXP(4.606*(20-time_tot)/time)-1),((time_tot-20)^2)*(0.5/time))))))))</f>
        <v>0</v>
      </c>
      <c r="K29" s="3130">
        <f>IF(N11&gt;time_tot,0,IF($M11="yes",(MIN(D29,E29)*time_tot+ABS(E29-D29)*IF(E29&gt;D29,time2+time*(VLOOKUP(F29,List!$E$35:$F$37,2,)),time*(1-(VLOOKUP(F29,List!$E$35:$F$37,2,))))),0)*$AC$18/$N11)</f>
        <v>0</v>
      </c>
      <c r="L29" s="3131">
        <f>IF(P11&gt;time_tot,0,IF($O11="yes",(MIN(D29,G29)*time_tot+ABS(G29-D29)*IF(G29&gt;D29,time2+time*(VLOOKUP(H29,List!$E$35:$F$37,2,)),time*(1-(VLOOKUP(H29,List!$E$35:$F$37,2,))))),0)*$AC$18/$P11)</f>
        <v>0</v>
      </c>
      <c r="M29" s="1453">
        <f t="shared" ref="M29:M42" si="6">K29+I29</f>
        <v>0</v>
      </c>
      <c r="N29" s="1449">
        <f t="shared" ref="N29:N42" si="7">L29+J29</f>
        <v>0</v>
      </c>
      <c r="O29" s="1293">
        <f>N29-M29</f>
        <v>0</v>
      </c>
      <c r="Q29" s="2066">
        <f t="shared" ref="Q29:Q42" si="8">D29*V11</f>
        <v>0</v>
      </c>
      <c r="R29" s="2066">
        <f t="shared" ref="R29:R42" si="9">E29*W11</f>
        <v>0</v>
      </c>
      <c r="S29" s="2066">
        <f>G29*X11</f>
        <v>0</v>
      </c>
      <c r="U29" s="2043">
        <f>(time*((ABS(R29-Q29)*(IF(Q29&lt;=R29,VLOOKUP(F29,List!$E$35:$F$37,2,),1-VLOOKUP(F29,List!$E$35:$F$37,2,))))+MIN(R29,Q29))+(R29*time2))</f>
        <v>0</v>
      </c>
      <c r="V29" s="2043">
        <f>(time*((ABS(S29-Q29)*(IF(Q29&lt;=S29,VLOOKUP(H29,List!$E$35:$F$37,2,),1-VLOOKUP(H29,List!$E$35:$F$37,2,))))+MIN(S29,Q29))+(S29*time2))</f>
        <v>0</v>
      </c>
      <c r="W29" s="2034">
        <f>V29-U29</f>
        <v>0</v>
      </c>
      <c r="AD29" s="2403"/>
      <c r="AE29" s="2410">
        <f>IF(K29&gt;0,K29/$AC$18,0)</f>
        <v>0</v>
      </c>
      <c r="AF29" s="2410">
        <f>IF(L29&gt;0,L29/$AC$18,0)</f>
        <v>0</v>
      </c>
      <c r="AG29" s="2423"/>
      <c r="AH29" s="2423"/>
      <c r="AI29" s="2423"/>
      <c r="AJ29" s="2423"/>
      <c r="AK29" s="2411">
        <f>-T11*((MIN($D29,E29)*MIN(20,time))+IF(F29="immediate",IF(E29&gt;$D29,E29*MIN(20,time),0),IF($D29&gt;E29,($D29-E29)*IF(time&gt;20,IF(F29="linear",time-((time-20)^2)/(2*time),(0.215*time)-(time/4.6)*(EXP(-92.1/time)-0.01)),time*(1-VLOOKUP(F29,List!$E$35:$F$37,2,))),(E29-$D29)*IF(time&gt;time+20,20,IF(time&lt;20,(time*VLOOKUP(F29,List!$E$35:$F$37,2,))+(time-time),((MIN(20,time)*VLOOKUP(F29,List!$E$35:$F$37,2,))+(time-MIN(20,time))-IF(F29="exponential",time-20+0.217*time*(EXP(4.606*(20-time)/time)-1),((time-20)^2)*(0.5/time))))))))</f>
        <v>0</v>
      </c>
      <c r="AL29" s="2411">
        <f>-U11*((MIN($D29,G29)*MIN(20,time))+IF(H29="immediate",IF(G29&gt;$D29,G29*MIN(20,time),0),IF($D29&gt;G29,($D29-G29)*IF(time&gt;20,IF(H29="linear",time-((time-20)^2)/(2*time),(0.215*time)-(time/4.6)*(EXP(-92.1/time)-0.01)),time*(1-VLOOKUP(H29,List!$E$35:$F$37,2,))),(G29-$D29)*IF(time&gt;time+20,20,IF(time&lt;20,(time*VLOOKUP(H29,List!$E$35:$F$37,2,))+(time-time),((MIN(20,time)*VLOOKUP(H29,List!$E$35:$F$37,2,))+(time-MIN(20,time))-IF(H29="exponential",time-20+0.217*time*(EXP(4.606*(20-time)/time)-1),((time-20)^2)*(0.5/time))))))))</f>
        <v>0</v>
      </c>
      <c r="AM29" s="2423"/>
      <c r="AN29" s="2423"/>
      <c r="AO29" s="2423"/>
      <c r="AP29" s="2423"/>
      <c r="AQ29" s="2423"/>
      <c r="AR29" s="2403"/>
      <c r="AS29" s="2403"/>
      <c r="AT29" s="2403"/>
      <c r="AU29" s="2403"/>
    </row>
    <row r="30" spans="2:47">
      <c r="B30" s="753" t="s">
        <v>1145</v>
      </c>
      <c r="C30" s="753" t="str">
        <f t="shared" si="5"/>
        <v>converted to A/R</v>
      </c>
      <c r="D30" s="1327">
        <f>MAX(Matrix!E31,Matrix!E14)</f>
        <v>0</v>
      </c>
      <c r="E30" s="1328">
        <f>MAX(Matrix!E31,Matrix!E14)-Matrix!E14</f>
        <v>0</v>
      </c>
      <c r="F30" s="1329" t="s">
        <v>351</v>
      </c>
      <c r="G30" s="1330">
        <f>MAX(Matrix!E31,Matrix!E14)-Matrix!E31</f>
        <v>0</v>
      </c>
      <c r="H30" s="1350" t="s">
        <v>351</v>
      </c>
      <c r="I30" s="1441">
        <f>-T12*((MIN($D30,E30)*MIN(20,time_tot))+IF(F30="immediate",IF(E30&gt;$D30,E30*MIN(20,time_tot),0),IF($D30&gt;E30,($D30-E30)*IF(time&gt;20,IF(F30="linear",time-((time-20)^2)/(2*time),(0.215*time)-(time/4.6)*(EXP(-92.1/time)-0.01)),time*(1-VLOOKUP(F30,List!$E$35:$F$37,2,))),(E30-$D30)*IF(time_tot&gt;time+20,20,IF(time_tot&lt;20,(time*VLOOKUP(F30,List!$E$35:$F$37,2,))+(time_tot-time),((MIN(20,time)*VLOOKUP(F30,List!$E$35:$F$37,2,))+(time_tot-MIN(20,time))-IF(F30="exponential",time_tot-20+0.217*time*(EXP(4.606*(20-time_tot)/time)-1),((time_tot-20)^2)*(0.5/time))))))))</f>
        <v>0</v>
      </c>
      <c r="J30" s="1442">
        <f>-U12*((MIN($D30,G30)*MIN(20,time_tot))+IF(H30="immediate",IF(G30&gt;$D30,G30*MIN(20,time_tot),0),IF($D30&gt;G30,($D30-G30)*IF(time&gt;20,IF(H30="linear",time-((time-20)^2)/(2*time),(0.215*time)-(time/4.6)*(EXP(-92.1/time)-0.01)),time*(1-VLOOKUP(H30,List!$E$35:$F$37,2,))),(G30-$D30)*IF(time_tot&gt;time+20,20,IF(time_tot&lt;20,(time*VLOOKUP(H30,List!$E$35:$F$37,2,))+(time_tot-time),((MIN(20,time)*VLOOKUP(H30,List!$E$35:$F$37,2,))+(time_tot-MIN(20,time))-IF(H30="exponential",time_tot-20+0.217*time*(EXP(4.606*(20-time_tot)/time)-1),((time_tot-20)^2)*(0.5/time))))))))</f>
        <v>0</v>
      </c>
      <c r="K30" s="3130">
        <f>IF(N12&gt;time_tot,0,IF($M12="yes",(MIN(D30,E30)*time_tot+ABS(E30-D30)*IF(E30&gt;D30,time2+time*(VLOOKUP(F30,List!$E$35:$F$37,2,)),time*(1-(VLOOKUP(F30,List!$E$35:$F$37,2,))))),0)*$AC$18/$N12)</f>
        <v>0</v>
      </c>
      <c r="L30" s="3131">
        <f>IF(P12&gt;time_tot,0,IF($O12="yes",(MIN(D30,G30)*time_tot+ABS(G30-D30)*IF(G30&gt;D30,time2+time*(VLOOKUP(H30,List!$E$35:$F$37,2,)),time*(1-(VLOOKUP(H30,List!$E$35:$F$37,2,))))),0)*$AC$18/$P12)</f>
        <v>0</v>
      </c>
      <c r="M30" s="1455">
        <f t="shared" si="6"/>
        <v>0</v>
      </c>
      <c r="N30" s="1452">
        <f t="shared" si="7"/>
        <v>0</v>
      </c>
      <c r="O30" s="1331">
        <f>N30-M30</f>
        <v>0</v>
      </c>
      <c r="Q30" s="2066">
        <f t="shared" si="8"/>
        <v>0</v>
      </c>
      <c r="R30" s="2066">
        <f t="shared" si="9"/>
        <v>0</v>
      </c>
      <c r="S30" s="2066">
        <f t="shared" ref="S30:S42" si="10">G30*X12</f>
        <v>0</v>
      </c>
      <c r="U30" s="2043">
        <f>(time*((ABS(R30-Q30)*(IF(Q30&lt;=R30,VLOOKUP(F30,List!$E$35:$F$37,2,),1-VLOOKUP(F30,List!$E$35:$F$37,2,))))+MIN(R30,Q30))+(R30*time2))</f>
        <v>0</v>
      </c>
      <c r="V30" s="2043">
        <f>(time*((ABS(S30-Q30)*(IF(Q30&lt;=S30,VLOOKUP(H30,List!$E$35:$F$37,2,),1-VLOOKUP(H30,List!$E$35:$F$37,2,))))+MIN(S30,Q30))+(S30*time2))</f>
        <v>0</v>
      </c>
      <c r="W30" s="2034">
        <f t="shared" ref="W30:W42" si="11">V30-U30</f>
        <v>0</v>
      </c>
      <c r="AD30" s="2403"/>
      <c r="AE30" s="2410">
        <f t="shared" ref="AE30:AE42" si="12">IF(K30&gt;0,K30/$AC$18,0)</f>
        <v>0</v>
      </c>
      <c r="AF30" s="2410">
        <f t="shared" ref="AF30:AF42" si="13">IF(L30&gt;0,L30/$AC$18,0)</f>
        <v>0</v>
      </c>
      <c r="AG30" s="2423"/>
      <c r="AH30" s="2423"/>
      <c r="AI30" s="2423"/>
      <c r="AJ30" s="2423"/>
      <c r="AK30" s="2411">
        <f>-T12*((MIN($D30,E30)*MIN(20,time))+IF(F30="immediate",IF(E30&gt;$D30,E30*MIN(20,time),0),IF($D30&gt;E30,($D30-E30)*IF(time&gt;20,IF(F30="linear",time-((time-20)^2)/(2*time),(0.215*time)-(time/4.6)*(EXP(-92.1/time)-0.01)),time*(1-VLOOKUP(F30,List!$E$35:$F$37,2,))),(E30-$D30)*IF(time&gt;time+20,20,IF(time&lt;20,(time*VLOOKUP(F30,List!$E$35:$F$37,2,))+(time-time),((MIN(20,time)*VLOOKUP(F30,List!$E$35:$F$37,2,))+(time-MIN(20,time))-IF(F30="exponential",time-20+0.217*time*(EXP(4.606*(20-time)/time)-1),((time-20)^2)*(0.5/time))))))))</f>
        <v>0</v>
      </c>
      <c r="AL30" s="2411">
        <f>-U12*((MIN($D30,G30)*MIN(20,time))+IF(H30="immediate",IF(G30&gt;$D30,G30*MIN(20,time),0),IF($D30&gt;G30,($D30-G30)*IF(time&gt;20,IF(H30="linear",time-((time-20)^2)/(2*time),(0.215*time)-(time/4.6)*(EXP(-92.1/time)-0.01)),time*(1-VLOOKUP(H30,List!$E$35:$F$37,2,))),(G30-$D30)*IF(time&gt;time+20,20,IF(time&lt;20,(time*VLOOKUP(H30,List!$E$35:$F$37,2,))+(time-time),((MIN(20,time)*VLOOKUP(H30,List!$E$35:$F$37,2,))+(time-MIN(20,time))-IF(H30="exponential",time-20+0.217*time*(EXP(4.606*(20-time)/time)-1),((time-20)^2)*(0.5/time))))))))</f>
        <v>0</v>
      </c>
      <c r="AM30" s="2423"/>
      <c r="AN30" s="2423"/>
      <c r="AO30" s="2423"/>
      <c r="AP30" s="2423"/>
      <c r="AQ30" s="2423"/>
      <c r="AR30" s="2403"/>
      <c r="AS30" s="2403"/>
      <c r="AT30" s="2403"/>
      <c r="AU30" s="2403"/>
    </row>
    <row r="31" spans="2:47">
      <c r="B31" s="753" t="s">
        <v>1240</v>
      </c>
      <c r="C31" s="753" t="str">
        <f t="shared" si="5"/>
        <v>From OLUC</v>
      </c>
      <c r="D31" s="1327">
        <v>0</v>
      </c>
      <c r="E31" s="1328">
        <f>Matrix!AT22+Matrix!BA22+Matrix!BH22+Matrix!BO22+Matrix!CD22+Matrix!CK22</f>
        <v>0</v>
      </c>
      <c r="F31" s="1329" t="s">
        <v>351</v>
      </c>
      <c r="G31" s="1330">
        <f>Matrix!CK38+Matrix!CD38+Matrix!BO38+Matrix!BH38+Matrix!BA38+Matrix!AT38</f>
        <v>0</v>
      </c>
      <c r="H31" s="1350" t="s">
        <v>351</v>
      </c>
      <c r="I31" s="1439">
        <f>-T13*((MIN($D31,E31)*MIN(20,time_tot))+IF(F31="immediate",IF(E31&gt;$D31,E31*MIN(20,time_tot),0),IF($D31&gt;E31,($D31-E31)*IF(time&gt;20,IF(F31="linear",time-((time-20)^2)/(2*time),(0.215*time)-(time/4.6)*(EXP(-92.1/time)-0.01)),time*(1-VLOOKUP(F31,List!$E$35:$F$37,2,))),(E31-$D31)*IF(time_tot&gt;time+20,20,IF(time_tot&lt;20,(time*VLOOKUP(F31,List!$E$35:$F$37,2,))+(time_tot-time),((MIN(20,time)*VLOOKUP(F31,List!$E$35:$F$37,2,))+(time_tot-MIN(20,time))-IF(F31="exponential",time_tot-20+0.217*time*(EXP(4.606*(20-time_tot)/time)-1),((time_tot-20)^2)*(0.5/time))))))))</f>
        <v>0</v>
      </c>
      <c r="J31" s="1440">
        <f>-U13*((MIN($D31,G31)*MIN(20,time_tot))+IF(H31="immediate",IF(G31&gt;$D31,G31*MIN(20,time_tot),0),IF($D31&gt;G31,($D31-G31)*IF(time&gt;20,IF(H31="linear",time-((time-20)^2)/(2*time),(0.215*time)-(time/4.6)*(EXP(-92.1/time)-0.01)),time*(1-VLOOKUP(H31,List!$E$35:$F$37,2,))),(G31-$D31)*IF(time_tot&gt;time+20,20,IF(time_tot&lt;20,(time*VLOOKUP(H31,List!$E$35:$F$37,2,))+(time_tot-time),((MIN(20,time)*VLOOKUP(H31,List!$E$35:$F$37,2,))+(time_tot-MIN(20,time))-IF(H31="exponential",time_tot-20+0.217*time*(EXP(4.606*(20-time_tot)/time)-1),((time_tot-20)^2)*(0.5/time))))))))</f>
        <v>0</v>
      </c>
      <c r="K31" s="3130">
        <f>IF(N13&gt;time_tot,0,IF($M13="yes",(MIN(D31,E31)*time_tot+ABS(E31-D31)*IF(E31&gt;D31,time2+time*(VLOOKUP(F31,List!$E$35:$F$37,2,)),time*(1-(VLOOKUP(F31,List!$E$35:$F$37,2,))))),0)*$AC$18/$N13)</f>
        <v>0</v>
      </c>
      <c r="L31" s="3131">
        <f>IF(P13&gt;time_tot,0,IF($O13="yes",(MIN(D31,G31)*time_tot+ABS(G31-D31)*IF(G31&gt;D31,time2+time*(VLOOKUP(H31,List!$E$35:$F$37,2,)),time*(1-(VLOOKUP(H31,List!$E$35:$F$37,2,))))),0)*$AC$18/$P13)</f>
        <v>0</v>
      </c>
      <c r="M31" s="1455">
        <f t="shared" si="6"/>
        <v>0</v>
      </c>
      <c r="N31" s="1452">
        <f t="shared" si="7"/>
        <v>0</v>
      </c>
      <c r="O31" s="1331">
        <f>N31-M31</f>
        <v>0</v>
      </c>
      <c r="Q31" s="2066">
        <f t="shared" si="8"/>
        <v>0</v>
      </c>
      <c r="R31" s="2066">
        <f t="shared" si="9"/>
        <v>0</v>
      </c>
      <c r="S31" s="2066">
        <f t="shared" si="10"/>
        <v>0</v>
      </c>
      <c r="U31" s="2043">
        <f>(time*((ABS(R31-Q31)*(IF(Q31&lt;=R31,VLOOKUP(F31,List!$E$35:$F$37,2,),1-VLOOKUP(F31,List!$E$35:$F$37,2,))))+MIN(R31,Q31))+(R31*time2))</f>
        <v>0</v>
      </c>
      <c r="V31" s="2043">
        <f>(time*((ABS(S31-Q31)*(IF(Q31&lt;=S31,VLOOKUP(H31,List!$E$35:$F$37,2,),1-VLOOKUP(H31,List!$E$35:$F$37,2,))))+MIN(S31,Q31))+(S31*time2))</f>
        <v>0</v>
      </c>
      <c r="W31" s="2034">
        <f t="shared" si="11"/>
        <v>0</v>
      </c>
      <c r="AD31" s="2403"/>
      <c r="AE31" s="2410">
        <f t="shared" si="12"/>
        <v>0</v>
      </c>
      <c r="AF31" s="2410">
        <f t="shared" si="13"/>
        <v>0</v>
      </c>
      <c r="AG31" s="2423"/>
      <c r="AH31" s="2423"/>
      <c r="AI31" s="2423"/>
      <c r="AJ31" s="2423"/>
      <c r="AK31" s="2411">
        <f>-T13*((MIN($D31,E31)*MIN(20,time))+IF(F31="immediate",IF(E31&gt;$D31,E31*MIN(20,time),0),IF($D31&gt;E31,($D31-E31)*IF(time&gt;20,IF(F31="linear",time-((time-20)^2)/(2*time),(0.215*time)-(time/4.6)*(EXP(-92.1/time)-0.01)),time*(1-VLOOKUP(F31,List!$E$35:$F$37,2,))),(E31-$D31)*IF(time&gt;time+20,20,IF(time&lt;20,(time*VLOOKUP(F31,List!$E$35:$F$37,2,))+(time-time),((MIN(20,time)*VLOOKUP(F31,List!$E$35:$F$37,2,))+(time-MIN(20,time))-IF(F31="exponential",time-20+0.217*time*(EXP(4.606*(20-time)/time)-1),((time-20)^2)*(0.5/time))))))))</f>
        <v>0</v>
      </c>
      <c r="AL31" s="2411">
        <f>-U13*((MIN($D31,G31)*MIN(20,time))+IF(H31="immediate",IF(G31&gt;$D31,G31*MIN(20,time),0),IF($D31&gt;G31,($D31-G31)*IF(time&gt;20,IF(H31="linear",time-((time-20)^2)/(2*time),(0.215*time)-(time/4.6)*(EXP(-92.1/time)-0.01)),time*(1-VLOOKUP(H31,List!$E$35:$F$37,2,))),(G31-$D31)*IF(time&gt;time+20,20,IF(time&lt;20,(time*VLOOKUP(H31,List!$E$35:$F$37,2,))+(time-time),((MIN(20,time)*VLOOKUP(H31,List!$E$35:$F$37,2,))+(time-MIN(20,time))-IF(H31="exponential",time-20+0.217*time*(EXP(4.606*(20-time)/time)-1),((time-20)^2)*(0.5/time))))))))</f>
        <v>0</v>
      </c>
      <c r="AM31" s="2423"/>
      <c r="AN31" s="2423"/>
      <c r="AO31" s="2423"/>
      <c r="AP31" s="2423"/>
      <c r="AQ31" s="2423"/>
      <c r="AR31" s="2403"/>
      <c r="AS31" s="2403"/>
      <c r="AT31" s="2403"/>
      <c r="AU31" s="2403"/>
    </row>
    <row r="32" spans="2:47" ht="13.5" thickBot="1">
      <c r="B32" s="754" t="s">
        <v>1241</v>
      </c>
      <c r="C32" s="754" t="str">
        <f t="shared" si="5"/>
        <v>Grassland to OLUC</v>
      </c>
      <c r="D32" s="1341">
        <f>MAX(SUM(Matrix!BS22:BX22),SUM(Matrix!BS38:BX38))</f>
        <v>0</v>
      </c>
      <c r="E32" s="1328">
        <f>MAX(SUM(Matrix!BS22:BX22),SUM(Matrix!BS38:BX38))-SUM(Matrix!BS22:BX22)</f>
        <v>0</v>
      </c>
      <c r="F32" s="1332" t="s">
        <v>351</v>
      </c>
      <c r="G32" s="1333">
        <f>MAX(SUM(Matrix!BS22:BX22),SUM(Matrix!BS38:BX38))-SUM(Matrix!BS38:BX38)</f>
        <v>0</v>
      </c>
      <c r="H32" s="1484" t="s">
        <v>351</v>
      </c>
      <c r="I32" s="1361">
        <f>-T14*((MIN($D32,E32)*MIN(20,time_tot))+IF(F32="immediate",IF(E32&gt;$D32,E32*MIN(20,time_tot),0),IF($D32&gt;E32,($D32-E32)*IF(time&gt;20,IF(F32="linear",time-((time-20)^2)/(2*time),(0.215*time)-(time/4.6)*(EXP(-92.1/time)-0.01)),time*(1-VLOOKUP(F32,List!$E$35:$F$37,2,))),(E32-$D32)*IF(time_tot&gt;time+20,20,IF(time_tot&lt;20,(time*VLOOKUP(F32,List!$E$35:$F$37,2,))+(time_tot-time),((MIN(20,time)*VLOOKUP(F32,List!$E$35:$F$37,2,))+(time_tot-MIN(20,time))-IF(F32="exponential",time_tot-20+0.217*time*(EXP(4.606*(20-time_tot)/time)-1),((time_tot-20)^2)*(0.5/time))))))))</f>
        <v>0</v>
      </c>
      <c r="J32" s="1362">
        <f>-U14*((MIN($D32,G32)*MIN(20,time_tot))+IF(H32="immediate",IF(G32&gt;$D32,G32*MIN(20,time_tot),0),IF($D32&gt;G32,($D32-G32)*IF(time&gt;20,IF(H32="linear",time-((time-20)^2)/(2*time),(0.215*time)-(time/4.6)*(EXP(-92.1/time)-0.01)),time*(1-VLOOKUP(H32,List!$E$35:$F$37,2,))),(G32-$D32)*IF(time_tot&gt;time+20,20,IF(time_tot&lt;20,(time*VLOOKUP(H32,List!$E$35:$F$37,2,))+(time_tot-time),((MIN(20,time)*VLOOKUP(H32,List!$E$35:$F$37,2,))+(time_tot-MIN(20,time))-IF(H32="exponential",time_tot-20+0.217*time*(EXP(4.606*(20-time_tot)/time)-1),((time_tot-20)^2)*(0.5/time))))))))</f>
        <v>0</v>
      </c>
      <c r="K32" s="3130">
        <f>IF(N14&gt;time_tot,0,IF($M14="yes",(MIN(D32,E32)*time_tot+ABS(E32-D32)*IF(E32&gt;D32,time2+time*(VLOOKUP(F32,List!$E$35:$F$37,2,)),time*(1-(VLOOKUP(F32,List!$E$35:$F$37,2,))))),0)*$AC$18/$N14)</f>
        <v>0</v>
      </c>
      <c r="L32" s="3131">
        <f>IF(P14&gt;time_tot,0,IF($O14="yes",(MIN(D32,G32)*time_tot+ABS(G32-D32)*IF(G32&gt;D32,time2+time*(VLOOKUP(H32,List!$E$35:$F$37,2,)),time*(1-(VLOOKUP(H32,List!$E$35:$F$37,2,))))),0)*$AC$18/$P14)</f>
        <v>0</v>
      </c>
      <c r="M32" s="1455">
        <f t="shared" si="6"/>
        <v>0</v>
      </c>
      <c r="N32" s="1452">
        <f t="shared" si="7"/>
        <v>0</v>
      </c>
      <c r="O32" s="1331">
        <f>N32-M32</f>
        <v>0</v>
      </c>
      <c r="Q32" s="2066">
        <f t="shared" si="8"/>
        <v>0</v>
      </c>
      <c r="R32" s="2066">
        <f t="shared" si="9"/>
        <v>0</v>
      </c>
      <c r="S32" s="2066">
        <f t="shared" si="10"/>
        <v>0</v>
      </c>
      <c r="U32" s="2043">
        <f>(time*((ABS(R32-Q32)*(IF(Q32&lt;=R32,VLOOKUP(F32,List!$E$35:$F$37,2,),1-VLOOKUP(F32,List!$E$35:$F$37,2,))))+MIN(R32,Q32))+(R32*time2))</f>
        <v>0</v>
      </c>
      <c r="V32" s="2043">
        <f>(time*((ABS(S32-Q32)*(IF(Q32&lt;=S32,VLOOKUP(H32,List!$E$35:$F$37,2,),1-VLOOKUP(H32,List!$E$35:$F$37,2,))))+MIN(S32,Q32))+(S32*time2))</f>
        <v>0</v>
      </c>
      <c r="W32" s="2034">
        <f t="shared" si="11"/>
        <v>0</v>
      </c>
      <c r="Y32" s="234" t="e">
        <f>K33/AC18</f>
        <v>#DIV/0!</v>
      </c>
      <c r="AD32" s="2403"/>
      <c r="AE32" s="2410">
        <f t="shared" si="12"/>
        <v>0</v>
      </c>
      <c r="AF32" s="2410">
        <f t="shared" si="13"/>
        <v>0</v>
      </c>
      <c r="AG32" s="2423"/>
      <c r="AH32" s="2423"/>
      <c r="AI32" s="2423"/>
      <c r="AJ32" s="2423"/>
      <c r="AK32" s="2411">
        <f>-T14*((MIN($D32,E32)*MIN(20,time))+IF(F32="immediate",IF(E32&gt;$D32,E32*MIN(20,time),0),IF($D32&gt;E32,($D32-E32)*IF(time&gt;20,IF(F32="linear",time-((time-20)^2)/(2*time),(0.215*time)-(time/4.6)*(EXP(-92.1/time)-0.01)),time*(1-VLOOKUP(F32,List!$E$35:$F$37,2,))),(E32-$D32)*IF(time&gt;time+20,20,IF(time&lt;20,(time*VLOOKUP(F32,List!$E$35:$F$37,2,))+(time-time),((MIN(20,time)*VLOOKUP(F32,List!$E$35:$F$37,2,))+(time-MIN(20,time))-IF(F32="exponential",time-20+0.217*time*(EXP(4.606*(20-time)/time)-1),((time-20)^2)*(0.5/time))))))))</f>
        <v>0</v>
      </c>
      <c r="AL32" s="2411">
        <f>-U14*((MIN($D32,G32)*MIN(20,time))+IF(H32="immediate",IF(G32&gt;$D32,G32*MIN(20,time),0),IF($D32&gt;G32,($D32-G32)*IF(time&gt;20,IF(H32="linear",time-((time-20)^2)/(2*time),(0.215*time)-(time/4.6)*(EXP(-92.1/time)-0.01)),time*(1-VLOOKUP(H32,List!$E$35:$F$37,2,))),(G32-$D32)*IF(time&gt;time+20,20,IF(time&lt;20,(time*VLOOKUP(H32,List!$E$35:$F$37,2,))+(time-time),((MIN(20,time)*VLOOKUP(H32,List!$E$35:$F$37,2,))+(time-MIN(20,time))-IF(H32="exponential",time-20+0.217*time*(EXP(4.606*(20-time)/time)-1),((time-20)^2)*(0.5/time))))))))</f>
        <v>0</v>
      </c>
      <c r="AM32" s="2423"/>
      <c r="AN32" s="2423"/>
      <c r="AO32" s="2423"/>
      <c r="AP32" s="2423"/>
      <c r="AQ32" s="2423"/>
      <c r="AR32" s="2403"/>
      <c r="AS32" s="2403"/>
      <c r="AT32" s="2403"/>
      <c r="AU32" s="2403"/>
    </row>
    <row r="33" spans="2:47" ht="13.5" thickBot="1">
      <c r="B33" s="755" t="s">
        <v>864</v>
      </c>
      <c r="C33" s="755" t="str">
        <f t="shared" si="5"/>
        <v/>
      </c>
      <c r="D33" s="1953">
        <f>'4.Grassland'!AA22</f>
        <v>0</v>
      </c>
      <c r="E33" s="1294">
        <f>D33</f>
        <v>0</v>
      </c>
      <c r="F33" s="2253" t="str">
        <f>VLOOKUP('4.Grassland'!AC22,List!$D$35:$E$37,2,)</f>
        <v>Linear</v>
      </c>
      <c r="G33" s="1292">
        <f>D33</f>
        <v>0</v>
      </c>
      <c r="H33" s="2253" t="str">
        <f>VLOOKUP('4.Grassland'!AE22,List!$D$35:$E$37,2,)</f>
        <v>Linear</v>
      </c>
      <c r="I33" s="1361">
        <f>-$T15*(IF(F33="immediate",IF(D33&gt;0,D33*MIN(20,time_tot),0),D33*IF(time_tot&gt;time+20,20,IF(time_tot&lt;20,(time*VLOOKUP(F33,List!$E$35:$F$37,2,))+(time_tot-time),((MIN(20,time)*VLOOKUP(F33,List!$E$35:$F$37,2,))+(time_tot-MIN(20,time))-IF(F33="exponential",time_tot-20+0.217*time*(EXP(4.606*(20-time_tot)/time)-1),((time_tot-20)^2)*(0.5/time)))))))</f>
        <v>0</v>
      </c>
      <c r="J33" s="1362">
        <f>-$U15*(IF(H33="immediate",IF(D33&gt;0,D33*MIN(20,time_tot),0),D33*IF(time_tot&gt;time+20,20,IF(time_tot&lt;20,(time*VLOOKUP(H33,List!$E$35:$F$37,2,))+(time_tot-time),((MIN(20,time)*VLOOKUP(H33,List!$E$35:$F$37,2,))+(time_tot-MIN(20,time))-IF(H33="exponential",time_tot-20+0.217*time*(EXP(4.606*(20-time_tot)/time)-1),((time_tot-20)^2)*(0.5/time)))))))</f>
        <v>0</v>
      </c>
      <c r="K33" s="3130">
        <f>IF(N15&gt;time_tot,0,IF($M15="yes",(MIN(D33,E33)*time_tot+ABS(E33-D33)*IF(E33&gt;D33,time2+time*(VLOOKUP(F33,List!$E$35:$F$37,2,)),time*(1-(VLOOKUP(F33,List!$E$35:$F$37,2,))))),0)*$AC$18/$N15)</f>
        <v>0</v>
      </c>
      <c r="L33" s="3131">
        <f>IF(P15&gt;time_tot,0,IF($O15="yes",(MIN(D33,G33)*time_tot+ABS(G33-D33)*IF(G33&gt;D33,time2+time*(VLOOKUP(H33,List!$E$35:$F$37,2,)),time*(1-(VLOOKUP(H33,List!$E$35:$F$37,2,))))),0)*$AC$18/$P15)</f>
        <v>0</v>
      </c>
      <c r="M33" s="1453">
        <f t="shared" si="6"/>
        <v>0</v>
      </c>
      <c r="N33" s="1449">
        <f t="shared" si="7"/>
        <v>0</v>
      </c>
      <c r="O33" s="1296">
        <f>N33-M33</f>
        <v>0</v>
      </c>
      <c r="Q33" s="2066">
        <f t="shared" si="8"/>
        <v>0</v>
      </c>
      <c r="R33" s="2066">
        <f t="shared" si="9"/>
        <v>0</v>
      </c>
      <c r="S33" s="2066">
        <f t="shared" si="10"/>
        <v>0</v>
      </c>
      <c r="U33" s="2043">
        <f>(time*((ABS(R33-Q33)*(IF(Q33&lt;=R33,VLOOKUP(F33,List!$E$35:$F$37,2,),1-VLOOKUP(F33,List!$E$35:$F$37,2,))))+MIN(R33,Q33))+(R33*time2))</f>
        <v>0</v>
      </c>
      <c r="V33" s="2043">
        <f>(time*((ABS(S33-Q33)*(IF(Q33&lt;=S33,VLOOKUP(H33,List!$E$35:$F$37,2,),1-VLOOKUP(H33,List!$E$35:$F$37,2,))))+MIN(S33,Q33))+(S33*time2))</f>
        <v>0</v>
      </c>
      <c r="W33" s="2034">
        <f t="shared" si="11"/>
        <v>0</v>
      </c>
      <c r="AD33" s="2403"/>
      <c r="AE33" s="2410">
        <f t="shared" si="12"/>
        <v>0</v>
      </c>
      <c r="AF33" s="2410">
        <f t="shared" si="13"/>
        <v>0</v>
      </c>
      <c r="AG33" s="2423"/>
      <c r="AH33" s="2423"/>
      <c r="AI33" s="2423"/>
      <c r="AJ33" s="2423"/>
      <c r="AK33" s="2411">
        <f>-$T15*(IF(F33="immediate",IF(D33&gt;0,D33*MIN(20,time),0),D33*IF(time&gt;time+20,20,IF(time&lt;20,(time*VLOOKUP(F33,List!$E$35:$F$37,2,))+(time-time),((MIN(20,time)*VLOOKUP(F33,List!$E$35:$F$37,2,))+(time-MIN(20,time))-IF(F33="exponential",time-20+0.217*time*(EXP(4.606*(20-time)/time)-1),((time-20)^2)*(0.5/time)))))))</f>
        <v>0</v>
      </c>
      <c r="AL33" s="2411">
        <f>-$U15*(IF(H33="immediate",IF(D33&gt;0,D33*MIN(20,time),0),D33*IF(time&gt;time+20,20,IF(time&lt;20,(time*VLOOKUP(H33,List!$E$35:$F$37,2,))+(time-time),((MIN(20,time)*VLOOKUP(H33,List!$E$35:$F$37,2,))+(time-MIN(20,time))-IF(H33="exponential",time-20+0.217*time*(EXP(4.606*(20-time)/time)-1),((time-20)^2)*(0.5/time)))))))</f>
        <v>0</v>
      </c>
      <c r="AM33" s="2423"/>
      <c r="AN33" s="2423"/>
      <c r="AO33" s="2423"/>
      <c r="AP33" s="2423"/>
      <c r="AQ33" s="2423"/>
      <c r="AR33" s="2403"/>
      <c r="AS33" s="2403"/>
      <c r="AT33" s="2403"/>
      <c r="AU33" s="2403"/>
    </row>
    <row r="34" spans="2:47" ht="13.5" thickBot="1">
      <c r="B34" s="755" t="s">
        <v>865</v>
      </c>
      <c r="C34" s="755" t="str">
        <f t="shared" si="5"/>
        <v/>
      </c>
      <c r="D34" s="1953">
        <f>'4.Grassland'!AA23</f>
        <v>0</v>
      </c>
      <c r="E34" s="1294">
        <f>D34</f>
        <v>0</v>
      </c>
      <c r="F34" s="2253" t="str">
        <f>VLOOKUP('4.Grassland'!AC23,List!$D$35:$E$37,2,)</f>
        <v>Linear</v>
      </c>
      <c r="G34" s="1524">
        <f>D34</f>
        <v>0</v>
      </c>
      <c r="H34" s="2253" t="str">
        <f>VLOOKUP('4.Grassland'!AE23,List!$D$35:$E$37,2,)</f>
        <v>Linear</v>
      </c>
      <c r="I34" s="1439">
        <f>-$T16*(IF(F34="immediate",IF(D34&gt;0,D34*MIN(20,time_tot),0),D34*IF(time_tot&gt;time+20,20,IF(time_tot&lt;20,(time*VLOOKUP(F34,List!$E$35:$F$37,2,))+(time_tot-time),((MIN(20,time)*VLOOKUP(F34,List!$E$35:$F$37,2,))+(time_tot-MIN(20,time))-IF(F34="exponential",time_tot-20+0.217*time*(EXP(4.606*(20-time_tot)/time)-1),((time_tot-20)^2)*(0.5/time)))))))</f>
        <v>0</v>
      </c>
      <c r="J34" s="1440">
        <f>-$U16*(IF(H34="immediate",IF(D34&gt;0,D34*MIN(20,time_tot),0),D34*IF(time_tot&gt;time+20,20,IF(time_tot&lt;20,(time*VLOOKUP(H34,List!$E$35:$F$37,2,))+(time_tot-time),((MIN(20,time)*VLOOKUP(H34,List!$E$35:$F$37,2,))+(time_tot-MIN(20,time))-IF(H34="exponential",time_tot-20+0.217*time*(EXP(4.606*(20-time_tot)/time)-1),((time_tot-20)^2)*(0.5/time)))))))</f>
        <v>0</v>
      </c>
      <c r="K34" s="3130">
        <f>IF(N16&gt;time_tot,0,IF($M16="yes",(MIN(D34,E34)*time_tot+ABS(E34-D34)*IF(E34&gt;D34,time2+time*(VLOOKUP(F34,List!$E$35:$F$37,2,)),time*(1-(VLOOKUP(F34,List!$E$35:$F$37,2,))))),0)*$AC$18/$N16)</f>
        <v>0</v>
      </c>
      <c r="L34" s="3131">
        <f>IF(P16&gt;time_tot,0,IF($O16="yes",(MIN(D34,G34)*time_tot+ABS(G34-D34)*IF(G34&gt;D34,time2+time*(VLOOKUP(H34,List!$E$35:$F$37,2,)),time*(1-(VLOOKUP(H34,List!$E$35:$F$37,2,))))),0)*$AC$18/$P16)</f>
        <v>0</v>
      </c>
      <c r="M34" s="1453">
        <f t="shared" si="6"/>
        <v>0</v>
      </c>
      <c r="N34" s="1449">
        <f t="shared" si="7"/>
        <v>0</v>
      </c>
      <c r="O34" s="1296">
        <f t="shared" ref="O34:O42" si="14">N34-M34</f>
        <v>0</v>
      </c>
      <c r="Q34" s="2066">
        <f t="shared" si="8"/>
        <v>0</v>
      </c>
      <c r="R34" s="2066">
        <f t="shared" si="9"/>
        <v>0</v>
      </c>
      <c r="S34" s="2066">
        <f t="shared" si="10"/>
        <v>0</v>
      </c>
      <c r="U34" s="2043">
        <f>(time*((ABS(R34-Q34)*(IF(Q34&lt;=R34,VLOOKUP(F34,List!$E$35:$F$37,2,),1-VLOOKUP(F34,List!$E$35:$F$37,2,))))+MIN(R34,Q34))+(R34*time2))</f>
        <v>0</v>
      </c>
      <c r="V34" s="2043">
        <f>(time*((ABS(S34-Q34)*(IF(Q34&lt;=S34,VLOOKUP(H34,List!$E$35:$F$37,2,),1-VLOOKUP(H34,List!$E$35:$F$37,2,))))+MIN(S34,Q34))+(S34*time2))</f>
        <v>0</v>
      </c>
      <c r="W34" s="2034">
        <f t="shared" si="11"/>
        <v>0</v>
      </c>
      <c r="AD34" s="2403"/>
      <c r="AE34" s="2410">
        <f t="shared" si="12"/>
        <v>0</v>
      </c>
      <c r="AF34" s="2410">
        <f t="shared" si="13"/>
        <v>0</v>
      </c>
      <c r="AG34" s="2423"/>
      <c r="AH34" s="2423"/>
      <c r="AI34" s="2423"/>
      <c r="AJ34" s="2423"/>
      <c r="AK34" s="2411">
        <f>-$T16*(IF(F34="immediate",IF(D34&gt;0,D34*MIN(20,time),0),D34*IF(time&gt;time+20,20,IF(time&lt;20,(time*VLOOKUP(F34,List!$E$35:$F$37,2,))+(time-time),((MIN(20,time)*VLOOKUP(F34,List!$E$35:$F$37,2,))+(time-MIN(20,time))-IF(F34="exponential",time-20+0.217*time*(EXP(4.606*(20-time)/time)-1),((time-20)^2)*(0.5/time)))))))</f>
        <v>0</v>
      </c>
      <c r="AL34" s="2411">
        <f>-$U16*(IF(H34="immediate",IF(D34&gt;0,D34*MIN(20,time),0),D34*IF(time&gt;time+20,20,IF(time&lt;20,(time*VLOOKUP(H34,List!$E$35:$F$37,2,))+(time-time),((MIN(20,time)*VLOOKUP(H34,List!$E$35:$F$37,2,))+(time-MIN(20,time))-IF(H34="exponential",time-20+0.217*time*(EXP(4.606*(20-time)/time)-1),((time-20)^2)*(0.5/time)))))))</f>
        <v>0</v>
      </c>
      <c r="AM34" s="2423"/>
      <c r="AN34" s="2423"/>
      <c r="AO34" s="2423"/>
      <c r="AP34" s="2423"/>
      <c r="AQ34" s="2423"/>
      <c r="AR34" s="2403"/>
      <c r="AS34" s="2403"/>
      <c r="AT34" s="2403"/>
      <c r="AU34" s="2403"/>
    </row>
    <row r="35" spans="2:47" ht="13.5" thickBot="1">
      <c r="B35" s="755" t="s">
        <v>866</v>
      </c>
      <c r="C35" s="755" t="str">
        <f>IF(C17="","",C17)</f>
        <v/>
      </c>
      <c r="D35" s="1953">
        <f>'4.Grassland'!AA24</f>
        <v>0</v>
      </c>
      <c r="E35" s="1294">
        <f t="shared" ref="E35:E41" si="15">D35</f>
        <v>0</v>
      </c>
      <c r="F35" s="2253" t="str">
        <f>VLOOKUP('4.Grassland'!AC24,List!$D$35:$E$37,2,)</f>
        <v>Linear</v>
      </c>
      <c r="G35" s="1524">
        <f t="shared" ref="G35:G41" si="16">D35</f>
        <v>0</v>
      </c>
      <c r="H35" s="2253" t="str">
        <f>VLOOKUP('4.Grassland'!AE24,List!$D$35:$E$37,2,)</f>
        <v>Linear</v>
      </c>
      <c r="I35" s="1439">
        <f>-$T17*(IF(F35="immediate",IF(D35&gt;0,D35*MIN(20,time_tot),0),D35*IF(time_tot&gt;time+20,20,IF(time_tot&lt;20,(time*VLOOKUP(F35,List!$E$35:$F$37,2,))+(time_tot-time),((MIN(20,time)*VLOOKUP(F35,List!$E$35:$F$37,2,))+(time_tot-MIN(20,time))-IF(F35="exponential",time_tot-20+0.217*time*(EXP(4.606*(20-time_tot)/time)-1),((time_tot-20)^2)*(0.5/time)))))))</f>
        <v>0</v>
      </c>
      <c r="J35" s="1440">
        <f>-$U17*(IF(H35="immediate",IF(D35&gt;0,D35*MIN(20,time_tot),0),D35*IF(time_tot&gt;time+20,20,IF(time_tot&lt;20,(time*VLOOKUP(H35,List!$E$35:$F$37,2,))+(time_tot-time),((MIN(20,time)*VLOOKUP(H35,List!$E$35:$F$37,2,))+(time_tot-MIN(20,time))-IF(H35="exponential",time_tot-20+0.217*time*(EXP(4.606*(20-time_tot)/time)-1),((time_tot-20)^2)*(0.5/time)))))))</f>
        <v>0</v>
      </c>
      <c r="K35" s="3130">
        <f>IF(N17&gt;time_tot,0,IF($M17="yes",(MIN(D35,E35)*time_tot+ABS(E35-D35)*IF(E35&gt;D35,time2+time*(VLOOKUP(F35,List!$E$35:$F$37,2,)),time*(1-(VLOOKUP(F35,List!$E$35:$F$37,2,))))),0)*$AC$18/$N17)</f>
        <v>0</v>
      </c>
      <c r="L35" s="3131">
        <f>IF(P17&gt;time_tot,0,IF($O17="yes",(MIN(D35,G35)*time_tot+ABS(G35-D35)*IF(G35&gt;D35,time2+time*(VLOOKUP(H35,List!$E$35:$F$37,2,)),time*(1-(VLOOKUP(H35,List!$E$35:$F$37,2,))))),0)*$AC$18/$P17)</f>
        <v>0</v>
      </c>
      <c r="M35" s="1453">
        <f t="shared" si="6"/>
        <v>0</v>
      </c>
      <c r="N35" s="1449">
        <f t="shared" si="7"/>
        <v>0</v>
      </c>
      <c r="O35" s="1296">
        <f t="shared" si="14"/>
        <v>0</v>
      </c>
      <c r="Q35" s="2066">
        <f t="shared" si="8"/>
        <v>0</v>
      </c>
      <c r="R35" s="2066">
        <f t="shared" si="9"/>
        <v>0</v>
      </c>
      <c r="S35" s="2066">
        <f t="shared" si="10"/>
        <v>0</v>
      </c>
      <c r="U35" s="2043">
        <f>(time*((ABS(R35-Q35)*(IF(Q35&lt;=R35,VLOOKUP(F35,List!$E$35:$F$37,2,),1-VLOOKUP(F35,List!$E$35:$F$37,2,))))+MIN(R35,Q35))+(R35*time2))</f>
        <v>0</v>
      </c>
      <c r="V35" s="2043">
        <f>(time*((ABS(S35-Q35)*(IF(Q35&lt;=S35,VLOOKUP(H35,List!$E$35:$F$37,2,),1-VLOOKUP(H35,List!$E$35:$F$37,2,))))+MIN(S35,Q35))+(S35*time2))</f>
        <v>0</v>
      </c>
      <c r="W35" s="2034">
        <f t="shared" si="11"/>
        <v>0</v>
      </c>
      <c r="AD35" s="2403"/>
      <c r="AE35" s="2410">
        <f t="shared" si="12"/>
        <v>0</v>
      </c>
      <c r="AF35" s="2410">
        <f t="shared" si="13"/>
        <v>0</v>
      </c>
      <c r="AG35" s="2423"/>
      <c r="AH35" s="2423"/>
      <c r="AI35" s="2423"/>
      <c r="AJ35" s="2423"/>
      <c r="AK35" s="2411">
        <f>-$T17*(IF(F35="immediate",IF(D35&gt;0,D35*MIN(20,time),0),D35*IF(time&gt;time+20,20,IF(time&lt;20,(time*VLOOKUP(F35,List!$E$35:$F$37,2,))+(time-time),((MIN(20,time)*VLOOKUP(F35,List!$E$35:$F$37,2,))+(time-MIN(20,time))-IF(F35="exponential",time-20+0.217*time*(EXP(4.606*(20-time)/time)-1),((time-20)^2)*(0.5/time)))))))</f>
        <v>0</v>
      </c>
      <c r="AL35" s="2411">
        <f>-$U17*(IF(H35="immediate",IF(D35&gt;0,D35*MIN(20,time),0),D35*IF(time&gt;time+20,20,IF(time&lt;20,(time*VLOOKUP(H35,List!$E$35:$F$37,2,))+(time-time),((MIN(20,time)*VLOOKUP(H35,List!$E$35:$F$37,2,))+(time-MIN(20,time))-IF(H35="exponential",time-20+0.217*time*(EXP(4.606*(20-time)/time)-1),((time-20)^2)*(0.5/time)))))))</f>
        <v>0</v>
      </c>
      <c r="AM35" s="2423"/>
      <c r="AN35" s="2423"/>
      <c r="AO35" s="2423"/>
      <c r="AP35" s="2423"/>
      <c r="AQ35" s="2423"/>
      <c r="AR35" s="2403"/>
      <c r="AS35" s="2403"/>
      <c r="AT35" s="2403"/>
      <c r="AU35" s="2403"/>
    </row>
    <row r="36" spans="2:47" ht="13.5" thickBot="1">
      <c r="B36" s="755" t="s">
        <v>867</v>
      </c>
      <c r="C36" s="755" t="str">
        <f t="shared" ref="C36:C43" si="17">IF(C18="","",C18)</f>
        <v/>
      </c>
      <c r="D36" s="1953">
        <f>'4.Grassland'!AA25</f>
        <v>0</v>
      </c>
      <c r="E36" s="1294">
        <f t="shared" si="15"/>
        <v>0</v>
      </c>
      <c r="F36" s="2253" t="str">
        <f>VLOOKUP('4.Grassland'!AC25,List!$D$35:$E$37,2,)</f>
        <v>Linear</v>
      </c>
      <c r="G36" s="1524">
        <f t="shared" si="16"/>
        <v>0</v>
      </c>
      <c r="H36" s="2253" t="str">
        <f>VLOOKUP('4.Grassland'!AE25,List!$D$35:$E$37,2,)</f>
        <v>Linear</v>
      </c>
      <c r="I36" s="1439">
        <f>-$T18*(IF(F36="immediate",IF(D36&gt;0,D36*MIN(20,time_tot),0),D36*IF(time_tot&gt;time+20,20,IF(time_tot&lt;20,(time*VLOOKUP(F36,List!$E$35:$F$37,2,))+(time_tot-time),((MIN(20,time)*VLOOKUP(F36,List!$E$35:$F$37,2,))+(time_tot-MIN(20,time))-IF(F36="exponential",time_tot-20+0.217*time*(EXP(4.606*(20-time_tot)/time)-1),((time_tot-20)^2)*(0.5/time)))))))</f>
        <v>0</v>
      </c>
      <c r="J36" s="1440">
        <f>-$U18*(IF(H36="immediate",IF(D36&gt;0,D36*MIN(20,time_tot),0),D36*IF(time_tot&gt;time+20,20,IF(time_tot&lt;20,(time*VLOOKUP(H36,List!$E$35:$F$37,2,))+(time_tot-time),((MIN(20,time)*VLOOKUP(H36,List!$E$35:$F$37,2,))+(time_tot-MIN(20,time))-IF(H36="exponential",time_tot-20+0.217*time*(EXP(4.606*(20-time_tot)/time)-1),((time_tot-20)^2)*(0.5/time)))))))</f>
        <v>0</v>
      </c>
      <c r="K36" s="3130">
        <f>IF(N18&gt;time_tot,0,IF($M18="yes",(MIN(D36,E36)*time_tot+ABS(E36-D36)*IF(E36&gt;D36,time2+time*(VLOOKUP(F36,List!$E$35:$F$37,2,)),time*(1-(VLOOKUP(F36,List!$E$35:$F$37,2,))))),0)*$AC$18/$N18)</f>
        <v>0</v>
      </c>
      <c r="L36" s="3131">
        <f>IF(P18&gt;time_tot,0,IF($O18="yes",(MIN(D36,G36)*time_tot+ABS(G36-D36)*IF(G36&gt;D36,time2+time*(VLOOKUP(H36,List!$E$35:$F$37,2,)),time*(1-(VLOOKUP(H36,List!$E$35:$F$37,2,))))),0)*$AC$18/$P18)</f>
        <v>0</v>
      </c>
      <c r="M36" s="1453">
        <f t="shared" si="6"/>
        <v>0</v>
      </c>
      <c r="N36" s="1449">
        <f t="shared" si="7"/>
        <v>0</v>
      </c>
      <c r="O36" s="1296">
        <f t="shared" si="14"/>
        <v>0</v>
      </c>
      <c r="Q36" s="2066">
        <f t="shared" si="8"/>
        <v>0</v>
      </c>
      <c r="R36" s="2066">
        <f t="shared" si="9"/>
        <v>0</v>
      </c>
      <c r="S36" s="2066">
        <f t="shared" si="10"/>
        <v>0</v>
      </c>
      <c r="U36" s="2043">
        <f>(time*((ABS(R36-Q36)*(IF(Q36&lt;=R36,VLOOKUP(F36,List!$E$35:$F$37,2,),1-VLOOKUP(F36,List!$E$35:$F$37,2,))))+MIN(R36,Q36))+(R36*time2))</f>
        <v>0</v>
      </c>
      <c r="V36" s="2043">
        <f>(time*((ABS(S36-Q36)*(IF(Q36&lt;=S36,VLOOKUP(H36,List!$E$35:$F$37,2,),1-VLOOKUP(H36,List!$E$35:$F$37,2,))))+MIN(S36,Q36))+(S36*time2))</f>
        <v>0</v>
      </c>
      <c r="W36" s="2034">
        <f t="shared" si="11"/>
        <v>0</v>
      </c>
      <c r="AD36" s="2403"/>
      <c r="AE36" s="2410">
        <f t="shared" si="12"/>
        <v>0</v>
      </c>
      <c r="AF36" s="2410">
        <f t="shared" si="13"/>
        <v>0</v>
      </c>
      <c r="AG36" s="2423"/>
      <c r="AH36" s="2423"/>
      <c r="AI36" s="2423"/>
      <c r="AJ36" s="2423"/>
      <c r="AK36" s="2411">
        <f>-$T18*(IF(F36="immediate",IF(D36&gt;0,D36*MIN(20,time),0),D36*IF(time&gt;time+20,20,IF(time&lt;20,(time*VLOOKUP(F36,List!$E$35:$F$37,2,))+(time-time),((MIN(20,time)*VLOOKUP(F36,List!$E$35:$F$37,2,))+(time-MIN(20,time))-IF(F36="exponential",time-20+0.217*time*(EXP(4.606*(20-time)/time)-1),((time-20)^2)*(0.5/time)))))))</f>
        <v>0</v>
      </c>
      <c r="AL36" s="2411">
        <f>-$U18*(IF(H36="immediate",IF(D36&gt;0,D36*MIN(20,time),0),D36*IF(time&gt;time+20,20,IF(time&lt;20,(time*VLOOKUP(H36,List!$E$35:$F$37,2,))+(time-time),((MIN(20,time)*VLOOKUP(H36,List!$E$35:$F$37,2,))+(time-MIN(20,time))-IF(H36="exponential",time-20+0.217*time*(EXP(4.606*(20-time)/time)-1),((time-20)^2)*(0.5/time)))))))</f>
        <v>0</v>
      </c>
      <c r="AM36" s="2423"/>
      <c r="AN36" s="2423"/>
      <c r="AO36" s="2423"/>
      <c r="AP36" s="2423"/>
      <c r="AQ36" s="2423"/>
      <c r="AR36" s="2403"/>
      <c r="AS36" s="2403"/>
      <c r="AT36" s="2403"/>
      <c r="AU36" s="2403"/>
    </row>
    <row r="37" spans="2:47" ht="13.5" thickBot="1">
      <c r="B37" s="755" t="s">
        <v>868</v>
      </c>
      <c r="C37" s="755" t="str">
        <f t="shared" si="17"/>
        <v/>
      </c>
      <c r="D37" s="1953">
        <f>'4.Grassland'!AA26</f>
        <v>0</v>
      </c>
      <c r="E37" s="1294">
        <f t="shared" si="15"/>
        <v>0</v>
      </c>
      <c r="F37" s="2253" t="str">
        <f>VLOOKUP('4.Grassland'!AC26,List!$D$35:$E$37,2,)</f>
        <v>Linear</v>
      </c>
      <c r="G37" s="1524">
        <f t="shared" si="16"/>
        <v>0</v>
      </c>
      <c r="H37" s="2253" t="str">
        <f>VLOOKUP('4.Grassland'!AE26,List!$D$35:$E$37,2,)</f>
        <v>Linear</v>
      </c>
      <c r="I37" s="1439">
        <f>-$T19*(IF(F37="immediate",IF(D37&gt;0,D37*MIN(20,time_tot),0),D37*IF(time_tot&gt;time+20,20,IF(time_tot&lt;20,(time*VLOOKUP(F37,List!$E$35:$F$37,2,))+(time_tot-time),((MIN(20,time)*VLOOKUP(F37,List!$E$35:$F$37,2,))+(time_tot-MIN(20,time))-IF(F37="exponential",time_tot-20+0.217*time*(EXP(4.606*(20-time_tot)/time)-1),((time_tot-20)^2)*(0.5/time)))))))</f>
        <v>0</v>
      </c>
      <c r="J37" s="1440">
        <f>-$U19*(IF(H37="immediate",IF(D37&gt;0,D37*MIN(20,time_tot),0),D37*IF(time_tot&gt;time+20,20,IF(time_tot&lt;20,(time*VLOOKUP(H37,List!$E$35:$F$37,2,))+(time_tot-time),((MIN(20,time)*VLOOKUP(H37,List!$E$35:$F$37,2,))+(time_tot-MIN(20,time))-IF(H37="exponential",time_tot-20+0.217*time*(EXP(4.606*(20-time_tot)/time)-1),((time_tot-20)^2)*(0.5/time)))))))</f>
        <v>0</v>
      </c>
      <c r="K37" s="3130">
        <f>IF(N19&gt;time_tot,0,IF($M19="yes",(MIN(D37,E37)*time_tot+ABS(E37-D37)*IF(E37&gt;D37,time2+time*(VLOOKUP(F37,List!$E$35:$F$37,2,)),time*(1-(VLOOKUP(F37,List!$E$35:$F$37,2,))))),0)*$AC$18/$N19)</f>
        <v>0</v>
      </c>
      <c r="L37" s="3131">
        <f>IF(P19&gt;time_tot,0,IF($O19="yes",(MIN(D37,G37)*time_tot+ABS(G37-D37)*IF(G37&gt;D37,time2+time*(VLOOKUP(H37,List!$E$35:$F$37,2,)),time*(1-(VLOOKUP(H37,List!$E$35:$F$37,2,))))),0)*$AC$18/$P19)</f>
        <v>0</v>
      </c>
      <c r="M37" s="1453">
        <f t="shared" si="6"/>
        <v>0</v>
      </c>
      <c r="N37" s="1449">
        <f t="shared" si="7"/>
        <v>0</v>
      </c>
      <c r="O37" s="1296">
        <f t="shared" si="14"/>
        <v>0</v>
      </c>
      <c r="Q37" s="2066">
        <f t="shared" si="8"/>
        <v>0</v>
      </c>
      <c r="R37" s="2066">
        <f t="shared" si="9"/>
        <v>0</v>
      </c>
      <c r="S37" s="2066">
        <f t="shared" si="10"/>
        <v>0</v>
      </c>
      <c r="U37" s="2043">
        <f>(time*((ABS(R37-Q37)*(IF(Q37&lt;=R37,VLOOKUP(F37,List!$E$35:$F$37,2,),1-VLOOKUP(F37,List!$E$35:$F$37,2,))))+MIN(R37,Q37))+(R37*time2))</f>
        <v>0</v>
      </c>
      <c r="V37" s="2043">
        <f>(time*((ABS(S37-Q37)*(IF(Q37&lt;=S37,VLOOKUP(H37,List!$E$35:$F$37,2,),1-VLOOKUP(H37,List!$E$35:$F$37,2,))))+MIN(S37,Q37))+(S37*time2))</f>
        <v>0</v>
      </c>
      <c r="W37" s="2034">
        <f t="shared" si="11"/>
        <v>0</v>
      </c>
      <c r="AD37" s="2403"/>
      <c r="AE37" s="2410">
        <f t="shared" si="12"/>
        <v>0</v>
      </c>
      <c r="AF37" s="2410">
        <f t="shared" si="13"/>
        <v>0</v>
      </c>
      <c r="AG37" s="2423"/>
      <c r="AH37" s="2423"/>
      <c r="AI37" s="2423"/>
      <c r="AJ37" s="2423"/>
      <c r="AK37" s="2411">
        <f>-$T19*(IF(F37="immediate",IF(D37&gt;0,D37*MIN(20,time),0),D37*IF(time&gt;time+20,20,IF(time&lt;20,(time*VLOOKUP(F37,List!$E$35:$F$37,2,))+(time-time),((MIN(20,time)*VLOOKUP(F37,List!$E$35:$F$37,2,))+(time-MIN(20,time))-IF(F37="exponential",time-20+0.217*time*(EXP(4.606*(20-time)/time)-1),((time-20)^2)*(0.5/time)))))))</f>
        <v>0</v>
      </c>
      <c r="AL37" s="2411">
        <f>-$U19*(IF(H37="immediate",IF(D37&gt;0,D37*MIN(20,time),0),D37*IF(time&gt;time+20,20,IF(time&lt;20,(time*VLOOKUP(H37,List!$E$35:$F$37,2,))+(time-time),((MIN(20,time)*VLOOKUP(H37,List!$E$35:$F$37,2,))+(time-MIN(20,time))-IF(H37="exponential",time-20+0.217*time*(EXP(4.606*(20-time)/time)-1),((time-20)^2)*(0.5/time)))))))</f>
        <v>0</v>
      </c>
      <c r="AM37" s="2423"/>
      <c r="AN37" s="2423"/>
      <c r="AO37" s="2423"/>
      <c r="AP37" s="2423"/>
      <c r="AQ37" s="2423"/>
      <c r="AR37" s="2403"/>
      <c r="AS37" s="2403"/>
      <c r="AT37" s="2403"/>
      <c r="AU37" s="2403"/>
    </row>
    <row r="38" spans="2:47" ht="13.5" thickBot="1">
      <c r="B38" s="755" t="s">
        <v>869</v>
      </c>
      <c r="C38" s="755" t="str">
        <f t="shared" si="17"/>
        <v/>
      </c>
      <c r="D38" s="1953">
        <f>'4.Grassland'!AA27</f>
        <v>0</v>
      </c>
      <c r="E38" s="1294">
        <f t="shared" si="15"/>
        <v>0</v>
      </c>
      <c r="F38" s="2253" t="str">
        <f>VLOOKUP('4.Grassland'!AC27,List!$D$35:$E$37,2,)</f>
        <v>Linear</v>
      </c>
      <c r="G38" s="1524">
        <f t="shared" si="16"/>
        <v>0</v>
      </c>
      <c r="H38" s="2253" t="str">
        <f>VLOOKUP('4.Grassland'!AE27,List!$D$35:$E$37,2,)</f>
        <v>Linear</v>
      </c>
      <c r="I38" s="1439">
        <f>-$T20*(IF(F38="immediate",IF(D38&gt;0,D38*MIN(20,time_tot),0),D38*IF(time_tot&gt;time+20,20,IF(time_tot&lt;20,(time*VLOOKUP(F38,List!$E$35:$F$37,2,))+(time_tot-time),((MIN(20,time)*VLOOKUP(F38,List!$E$35:$F$37,2,))+(time_tot-MIN(20,time))-IF(F38="exponential",time_tot-20+0.217*time*(EXP(4.606*(20-time_tot)/time)-1),((time_tot-20)^2)*(0.5/time)))))))</f>
        <v>0</v>
      </c>
      <c r="J38" s="1440">
        <f>-$U20*(IF(H38="immediate",IF(D38&gt;0,D38*MIN(20,time_tot),0),D38*IF(time_tot&gt;time+20,20,IF(time_tot&lt;20,(time*VLOOKUP(H38,List!$E$35:$F$37,2,))+(time_tot-time),((MIN(20,time)*VLOOKUP(H38,List!$E$35:$F$37,2,))+(time_tot-MIN(20,time))-IF(H38="exponential",time_tot-20+0.217*time*(EXP(4.606*(20-time_tot)/time)-1),((time_tot-20)^2)*(0.5/time)))))))</f>
        <v>0</v>
      </c>
      <c r="K38" s="3130">
        <f>IF(N20&gt;time_tot,0,IF($M20="yes",(MIN(D38,E38)*time_tot+ABS(E38-D38)*IF(E38&gt;D38,time2+time*(VLOOKUP(F38,List!$E$35:$F$37,2,)),time*(1-(VLOOKUP(F38,List!$E$35:$F$37,2,))))),0)*$AC$18/$N20)</f>
        <v>0</v>
      </c>
      <c r="L38" s="3131">
        <f>IF(P20&gt;time_tot,0,IF($O20="yes",(MIN(D38,G38)*time_tot+ABS(G38-D38)*IF(G38&gt;D38,time2+time*(VLOOKUP(H38,List!$E$35:$F$37,2,)),time*(1-(VLOOKUP(H38,List!$E$35:$F$37,2,))))),0)*$AC$18/$P20)</f>
        <v>0</v>
      </c>
      <c r="M38" s="1453">
        <f t="shared" si="6"/>
        <v>0</v>
      </c>
      <c r="N38" s="1449">
        <f t="shared" si="7"/>
        <v>0</v>
      </c>
      <c r="O38" s="1296">
        <f t="shared" si="14"/>
        <v>0</v>
      </c>
      <c r="Q38" s="2066">
        <f t="shared" si="8"/>
        <v>0</v>
      </c>
      <c r="R38" s="2066">
        <f t="shared" si="9"/>
        <v>0</v>
      </c>
      <c r="S38" s="2066">
        <f t="shared" si="10"/>
        <v>0</v>
      </c>
      <c r="U38" s="2043">
        <f>(time*((ABS(R38-Q38)*(IF(Q38&lt;=R38,VLOOKUP(F38,List!$E$35:$F$37,2,),1-VLOOKUP(F38,List!$E$35:$F$37,2,))))+MIN(R38,Q38))+(R38*time2))</f>
        <v>0</v>
      </c>
      <c r="V38" s="2043">
        <f>(time*((ABS(S38-Q38)*(IF(Q38&lt;=S38,VLOOKUP(H38,List!$E$35:$F$37,2,),1-VLOOKUP(H38,List!$E$35:$F$37,2,))))+MIN(S38,Q38))+(S38*time2))</f>
        <v>0</v>
      </c>
      <c r="W38" s="2034">
        <f t="shared" si="11"/>
        <v>0</v>
      </c>
      <c r="AD38" s="2403"/>
      <c r="AE38" s="2410">
        <f t="shared" si="12"/>
        <v>0</v>
      </c>
      <c r="AF38" s="2410">
        <f t="shared" si="13"/>
        <v>0</v>
      </c>
      <c r="AG38" s="2423"/>
      <c r="AH38" s="2423"/>
      <c r="AI38" s="2423"/>
      <c r="AJ38" s="2423"/>
      <c r="AK38" s="2411">
        <f>-$T20*(IF(F38="immediate",IF(D38&gt;0,D38*MIN(20,time),0),D38*IF(time&gt;time+20,20,IF(time&lt;20,(time*VLOOKUP(F38,List!$E$35:$F$37,2,))+(time-time),((MIN(20,time)*VLOOKUP(F38,List!$E$35:$F$37,2,))+(time-MIN(20,time))-IF(F38="exponential",time-20+0.217*time*(EXP(4.606*(20-time)/time)-1),((time-20)^2)*(0.5/time)))))))</f>
        <v>0</v>
      </c>
      <c r="AL38" s="2411">
        <f>-$U20*(IF(H38="immediate",IF(D38&gt;0,D38*MIN(20,time),0),D38*IF(time&gt;time+20,20,IF(time&lt;20,(time*VLOOKUP(H38,List!$E$35:$F$37,2,))+(time-time),((MIN(20,time)*VLOOKUP(H38,List!$E$35:$F$37,2,))+(time-MIN(20,time))-IF(H38="exponential",time-20+0.217*time*(EXP(4.606*(20-time)/time)-1),((time-20)^2)*(0.5/time)))))))</f>
        <v>0</v>
      </c>
      <c r="AM38" s="2423"/>
      <c r="AN38" s="2423"/>
      <c r="AO38" s="2423"/>
      <c r="AP38" s="2423"/>
      <c r="AQ38" s="2423"/>
      <c r="AR38" s="2403"/>
      <c r="AS38" s="2403"/>
      <c r="AT38" s="2403"/>
      <c r="AU38" s="2403"/>
    </row>
    <row r="39" spans="2:47" ht="13.5" thickBot="1">
      <c r="B39" s="755" t="s">
        <v>870</v>
      </c>
      <c r="C39" s="755" t="str">
        <f t="shared" si="17"/>
        <v/>
      </c>
      <c r="D39" s="1953">
        <f>'4.Grassland'!AA28</f>
        <v>0</v>
      </c>
      <c r="E39" s="1294">
        <f t="shared" si="15"/>
        <v>0</v>
      </c>
      <c r="F39" s="2253" t="str">
        <f>VLOOKUP('4.Grassland'!AC28,List!$D$35:$E$37,2,)</f>
        <v>Linear</v>
      </c>
      <c r="G39" s="1524">
        <f t="shared" si="16"/>
        <v>0</v>
      </c>
      <c r="H39" s="2253" t="str">
        <f>VLOOKUP('4.Grassland'!AE28,List!$D$35:$E$37,2,)</f>
        <v>Linear</v>
      </c>
      <c r="I39" s="1439">
        <f>-$T21*(IF(F39="immediate",IF(D39&gt;0,D39*MIN(20,time_tot),0),D39*IF(time_tot&gt;time+20,20,IF(time_tot&lt;20,(time*VLOOKUP(F39,List!$E$35:$F$37,2,))+(time_tot-time),((MIN(20,time)*VLOOKUP(F39,List!$E$35:$F$37,2,))+(time_tot-MIN(20,time))-IF(F39="exponential",time_tot-20+0.217*time*(EXP(4.606*(20-time_tot)/time)-1),((time_tot-20)^2)*(0.5/time)))))))</f>
        <v>0</v>
      </c>
      <c r="J39" s="1440">
        <f>-$U21*(IF(H39="immediate",IF(D39&gt;0,D39*MIN(20,time_tot),0),D39*IF(time_tot&gt;time+20,20,IF(time_tot&lt;20,(time*VLOOKUP(H39,List!$E$35:$F$37,2,))+(time_tot-time),((MIN(20,time)*VLOOKUP(H39,List!$E$35:$F$37,2,))+(time_tot-MIN(20,time))-IF(H39="exponential",time_tot-20+0.217*time*(EXP(4.606*(20-time_tot)/time)-1),((time_tot-20)^2)*(0.5/time)))))))</f>
        <v>0</v>
      </c>
      <c r="K39" s="3130">
        <f>IF(N21&gt;time_tot,0,IF($M21="yes",(MIN(D39,E39)*time_tot+ABS(E39-D39)*IF(E39&gt;D39,time2+time*(VLOOKUP(F39,List!$E$35:$F$37,2,)),time*(1-(VLOOKUP(F39,List!$E$35:$F$37,2,))))),0)*$AC$18/$N21)</f>
        <v>0</v>
      </c>
      <c r="L39" s="3131">
        <f>IF(P21&gt;time_tot,0,IF($O21="yes",(MIN(D39,G39)*time_tot+ABS(G39-D39)*IF(G39&gt;D39,time2+time*(VLOOKUP(H39,List!$E$35:$F$37,2,)),time*(1-(VLOOKUP(H39,List!$E$35:$F$37,2,))))),0)*$AC$18/$P21)</f>
        <v>0</v>
      </c>
      <c r="M39" s="1453">
        <f t="shared" si="6"/>
        <v>0</v>
      </c>
      <c r="N39" s="1449">
        <f t="shared" si="7"/>
        <v>0</v>
      </c>
      <c r="O39" s="1296">
        <f t="shared" si="14"/>
        <v>0</v>
      </c>
      <c r="Q39" s="2066">
        <f t="shared" si="8"/>
        <v>0</v>
      </c>
      <c r="R39" s="2066">
        <f t="shared" si="9"/>
        <v>0</v>
      </c>
      <c r="S39" s="2066">
        <f t="shared" si="10"/>
        <v>0</v>
      </c>
      <c r="U39" s="2043">
        <f>(time*((ABS(R39-Q39)*(IF(Q39&lt;=R39,VLOOKUP(F39,List!$E$35:$F$37,2,),1-VLOOKUP(F39,List!$E$35:$F$37,2,))))+MIN(R39,Q39))+(R39*time2))</f>
        <v>0</v>
      </c>
      <c r="V39" s="2043">
        <f>(time*((ABS(S39-Q39)*(IF(Q39&lt;=S39,VLOOKUP(H39,List!$E$35:$F$37,2,),1-VLOOKUP(H39,List!$E$35:$F$37,2,))))+MIN(S39,Q39))+(S39*time2))</f>
        <v>0</v>
      </c>
      <c r="W39" s="2034">
        <f t="shared" si="11"/>
        <v>0</v>
      </c>
      <c r="AD39" s="2403"/>
      <c r="AE39" s="2410">
        <f t="shared" si="12"/>
        <v>0</v>
      </c>
      <c r="AF39" s="2410">
        <f t="shared" si="13"/>
        <v>0</v>
      </c>
      <c r="AG39" s="2423"/>
      <c r="AH39" s="2423"/>
      <c r="AI39" s="2423"/>
      <c r="AJ39" s="2423"/>
      <c r="AK39" s="2411">
        <f>-$T21*(IF(F39="immediate",IF(D39&gt;0,D39*MIN(20,time),0),D39*IF(time&gt;time+20,20,IF(time&lt;20,(time*VLOOKUP(F39,List!$E$35:$F$37,2,))+(time-time),((MIN(20,time)*VLOOKUP(F39,List!$E$35:$F$37,2,))+(time-MIN(20,time))-IF(F39="exponential",time-20+0.217*time*(EXP(4.606*(20-time)/time)-1),((time-20)^2)*(0.5/time)))))))</f>
        <v>0</v>
      </c>
      <c r="AL39" s="2411">
        <f>-$U21*(IF(H39="immediate",IF(D39&gt;0,D39*MIN(20,time),0),D39*IF(time&gt;time+20,20,IF(time&lt;20,(time*VLOOKUP(H39,List!$E$35:$F$37,2,))+(time-time),((MIN(20,time)*VLOOKUP(H39,List!$E$35:$F$37,2,))+(time-MIN(20,time))-IF(H39="exponential",time-20+0.217*time*(EXP(4.606*(20-time)/time)-1),((time-20)^2)*(0.5/time)))))))</f>
        <v>0</v>
      </c>
      <c r="AM39" s="2423"/>
      <c r="AN39" s="2423"/>
      <c r="AO39" s="2423"/>
      <c r="AP39" s="2423"/>
      <c r="AQ39" s="2423"/>
      <c r="AR39" s="2403"/>
      <c r="AS39" s="2403"/>
      <c r="AT39" s="2403"/>
      <c r="AU39" s="2403"/>
    </row>
    <row r="40" spans="2:47" ht="13.5" thickBot="1">
      <c r="B40" s="755" t="s">
        <v>871</v>
      </c>
      <c r="C40" s="755" t="str">
        <f t="shared" si="17"/>
        <v/>
      </c>
      <c r="D40" s="1953">
        <f>'4.Grassland'!AA29</f>
        <v>0</v>
      </c>
      <c r="E40" s="1294">
        <f t="shared" si="15"/>
        <v>0</v>
      </c>
      <c r="F40" s="2253" t="str">
        <f>VLOOKUP('4.Grassland'!AC29,List!$D$35:$E$37,2,)</f>
        <v>Linear</v>
      </c>
      <c r="G40" s="1524">
        <f t="shared" si="16"/>
        <v>0</v>
      </c>
      <c r="H40" s="2253" t="str">
        <f>VLOOKUP('4.Grassland'!AE29,List!$D$35:$E$37,2,)</f>
        <v>Linear</v>
      </c>
      <c r="I40" s="1439">
        <f>-$T22*(IF(F40="immediate",IF(D40&gt;0,D40*MIN(20,time_tot),0),D40*IF(time_tot&gt;time+20,20,IF(time_tot&lt;20,(time*VLOOKUP(F40,List!$E$35:$F$37,2,))+(time_tot-time),((MIN(20,time)*VLOOKUP(F40,List!$E$35:$F$37,2,))+(time_tot-MIN(20,time))-IF(F40="exponential",time_tot-20+0.217*time*(EXP(4.606*(20-time_tot)/time)-1),((time_tot-20)^2)*(0.5/time)))))))</f>
        <v>0</v>
      </c>
      <c r="J40" s="1440">
        <f>-$U22*(IF(H40="immediate",IF(D40&gt;0,D40*MIN(20,time_tot),0),D40*IF(time_tot&gt;time+20,20,IF(time_tot&lt;20,(time*VLOOKUP(H40,List!$E$35:$F$37,2,))+(time_tot-time),((MIN(20,time)*VLOOKUP(H40,List!$E$35:$F$37,2,))+(time_tot-MIN(20,time))-IF(H40="exponential",time_tot-20+0.217*time*(EXP(4.606*(20-time_tot)/time)-1),((time_tot-20)^2)*(0.5/time)))))))</f>
        <v>0</v>
      </c>
      <c r="K40" s="3130">
        <f>IF(N22&gt;time_tot,0,IF($M22="yes",(MIN(D40,E40)*time_tot+ABS(E40-D40)*IF(E40&gt;D40,time2+time*(VLOOKUP(F40,List!$E$35:$F$37,2,)),time*(1-(VLOOKUP(F40,List!$E$35:$F$37,2,))))),0)*$AC$18/$N22)</f>
        <v>0</v>
      </c>
      <c r="L40" s="3131">
        <f>IF(P22&gt;time_tot,0,IF($O22="yes",(MIN(D40,G40)*time_tot+ABS(G40-D40)*IF(G40&gt;D40,time2+time*(VLOOKUP(H40,List!$E$35:$F$37,2,)),time*(1-(VLOOKUP(H40,List!$E$35:$F$37,2,))))),0)*$AC$18/$P22)</f>
        <v>0</v>
      </c>
      <c r="M40" s="1453">
        <f t="shared" si="6"/>
        <v>0</v>
      </c>
      <c r="N40" s="1449">
        <f t="shared" si="7"/>
        <v>0</v>
      </c>
      <c r="O40" s="1296">
        <f t="shared" si="14"/>
        <v>0</v>
      </c>
      <c r="Q40" s="2066">
        <f t="shared" si="8"/>
        <v>0</v>
      </c>
      <c r="R40" s="2066">
        <f t="shared" si="9"/>
        <v>0</v>
      </c>
      <c r="S40" s="2066">
        <f t="shared" si="10"/>
        <v>0</v>
      </c>
      <c r="U40" s="2043">
        <f>(time*((ABS(R40-Q40)*(IF(Q40&lt;=R40,VLOOKUP(F40,List!$E$35:$F$37,2,),1-VLOOKUP(F40,List!$E$35:$F$37,2,))))+MIN(R40,Q40))+(R40*time2))</f>
        <v>0</v>
      </c>
      <c r="V40" s="2043">
        <f>(time*((ABS(S40-Q40)*(IF(Q40&lt;=S40,VLOOKUP(H40,List!$E$35:$F$37,2,),1-VLOOKUP(H40,List!$E$35:$F$37,2,))))+MIN(S40,Q40))+(S40*time2))</f>
        <v>0</v>
      </c>
      <c r="W40" s="2034">
        <f t="shared" si="11"/>
        <v>0</v>
      </c>
      <c r="AD40" s="2403"/>
      <c r="AE40" s="2410">
        <f t="shared" si="12"/>
        <v>0</v>
      </c>
      <c r="AF40" s="2410">
        <f t="shared" si="13"/>
        <v>0</v>
      </c>
      <c r="AG40" s="2423"/>
      <c r="AH40" s="2423"/>
      <c r="AI40" s="2423"/>
      <c r="AJ40" s="2423"/>
      <c r="AK40" s="2411">
        <f>-$T22*(IF(F40="immediate",IF(D40&gt;0,D40*MIN(20,time),0),D40*IF(time&gt;time+20,20,IF(time&lt;20,(time*VLOOKUP(F40,List!$E$35:$F$37,2,))+(time-time),((MIN(20,time)*VLOOKUP(F40,List!$E$35:$F$37,2,))+(time-MIN(20,time))-IF(F40="exponential",time-20+0.217*time*(EXP(4.606*(20-time)/time)-1),((time-20)^2)*(0.5/time)))))))</f>
        <v>0</v>
      </c>
      <c r="AL40" s="2411">
        <f>-$U22*(IF(H40="immediate",IF(D40&gt;0,D40*MIN(20,time),0),D40*IF(time&gt;time+20,20,IF(time&lt;20,(time*VLOOKUP(H40,List!$E$35:$F$37,2,))+(time-time),((MIN(20,time)*VLOOKUP(H40,List!$E$35:$F$37,2,))+(time-MIN(20,time))-IF(H40="exponential",time-20+0.217*time*(EXP(4.606*(20-time)/time)-1),((time-20)^2)*(0.5/time)))))))</f>
        <v>0</v>
      </c>
      <c r="AM40" s="2423"/>
      <c r="AN40" s="2423"/>
      <c r="AO40" s="2423"/>
      <c r="AP40" s="2423"/>
      <c r="AQ40" s="2423"/>
      <c r="AR40" s="2403"/>
      <c r="AS40" s="2403"/>
      <c r="AT40" s="2403"/>
      <c r="AU40" s="2403"/>
    </row>
    <row r="41" spans="2:47" ht="13.5" thickBot="1">
      <c r="B41" s="755" t="s">
        <v>872</v>
      </c>
      <c r="C41" s="755" t="str">
        <f t="shared" si="17"/>
        <v/>
      </c>
      <c r="D41" s="1953">
        <f>'4.Grassland'!AA30</f>
        <v>0</v>
      </c>
      <c r="E41" s="1294">
        <f t="shared" si="15"/>
        <v>0</v>
      </c>
      <c r="F41" s="2253" t="str">
        <f>VLOOKUP('4.Grassland'!AC30,List!$D$35:$E$37,2,)</f>
        <v>Linear</v>
      </c>
      <c r="G41" s="1524">
        <f t="shared" si="16"/>
        <v>0</v>
      </c>
      <c r="H41" s="2253" t="str">
        <f>VLOOKUP('4.Grassland'!AE30,List!$D$35:$E$37,2,)</f>
        <v>Linear</v>
      </c>
      <c r="I41" s="1439">
        <f>-$T23*(IF(F41="immediate",IF(D41&gt;0,D41*MIN(20,time_tot),0),D41*IF(time_tot&gt;time+20,20,IF(time_tot&lt;20,(time*VLOOKUP(F41,List!$E$35:$F$37,2,))+(time_tot-time),((MIN(20,time)*VLOOKUP(F41,List!$E$35:$F$37,2,))+(time_tot-MIN(20,time))-IF(F41="exponential",time_tot-20+0.217*time*(EXP(4.606*(20-time_tot)/time)-1),((time_tot-20)^2)*(0.5/time)))))))</f>
        <v>0</v>
      </c>
      <c r="J41" s="1440">
        <f>-$U23*(IF(H41="immediate",IF(D41&gt;0,D41*MIN(20,time_tot),0),D41*IF(time_tot&gt;time+20,20,IF(time_tot&lt;20,(time*VLOOKUP(H41,List!$E$35:$F$37,2,))+(time_tot-time),((MIN(20,time)*VLOOKUP(H41,List!$E$35:$F$37,2,))+(time_tot-MIN(20,time))-IF(H41="exponential",time_tot-20+0.217*time*(EXP(4.606*(20-time_tot)/time)-1),((time_tot-20)^2)*(0.5/time)))))))</f>
        <v>0</v>
      </c>
      <c r="K41" s="3130">
        <f>IF(N23&gt;time_tot,0,IF($M23="yes",(MIN(D41,E41)*time_tot+ABS(E41-D41)*IF(E41&gt;D41,time2+time*(VLOOKUP(F41,List!$E$35:$F$37,2,)),time*(1-(VLOOKUP(F41,List!$E$35:$F$37,2,))))),0)*$AC$18/$N23)</f>
        <v>0</v>
      </c>
      <c r="L41" s="3131">
        <f>IF(P23&gt;time_tot,0,IF($O23="yes",(MIN(D41,G41)*time_tot+ABS(G41-D41)*IF(G41&gt;D41,time2+time*(VLOOKUP(H41,List!$E$35:$F$37,2,)),time*(1-(VLOOKUP(H41,List!$E$35:$F$37,2,))))),0)*$AC$18/$P23)</f>
        <v>0</v>
      </c>
      <c r="M41" s="1453">
        <f t="shared" si="6"/>
        <v>0</v>
      </c>
      <c r="N41" s="1449">
        <f t="shared" si="7"/>
        <v>0</v>
      </c>
      <c r="O41" s="1296">
        <f t="shared" si="14"/>
        <v>0</v>
      </c>
      <c r="Q41" s="2066">
        <f t="shared" si="8"/>
        <v>0</v>
      </c>
      <c r="R41" s="2066">
        <f t="shared" si="9"/>
        <v>0</v>
      </c>
      <c r="S41" s="2066">
        <f t="shared" si="10"/>
        <v>0</v>
      </c>
      <c r="U41" s="2043">
        <f>(time*((ABS(R41-Q41)*(IF(Q41&lt;=R41,VLOOKUP(F41,List!$E$35:$F$37,2,),1-VLOOKUP(F41,List!$E$35:$F$37,2,))))+MIN(R41,Q41))+(R41*time2))</f>
        <v>0</v>
      </c>
      <c r="V41" s="2043">
        <f>(time*((ABS(S41-Q41)*(IF(Q41&lt;=S41,VLOOKUP(H41,List!$E$35:$F$37,2,),1-VLOOKUP(H41,List!$E$35:$F$37,2,))))+MIN(S41,Q41))+(S41*time2))</f>
        <v>0</v>
      </c>
      <c r="W41" s="2034">
        <f t="shared" si="11"/>
        <v>0</v>
      </c>
      <c r="AD41" s="2403"/>
      <c r="AE41" s="2410">
        <f t="shared" si="12"/>
        <v>0</v>
      </c>
      <c r="AF41" s="2410">
        <f t="shared" si="13"/>
        <v>0</v>
      </c>
      <c r="AG41" s="2423"/>
      <c r="AH41" s="2423"/>
      <c r="AI41" s="2423"/>
      <c r="AJ41" s="2423"/>
      <c r="AK41" s="2411">
        <f>-$T23*(IF(F41="immediate",IF(D41&gt;0,D41*MIN(20,time),0),D41*IF(time&gt;time+20,20,IF(time&lt;20,(time*VLOOKUP(F41,List!$E$35:$F$37,2,))+(time-time),((MIN(20,time)*VLOOKUP(F41,List!$E$35:$F$37,2,))+(time-MIN(20,time))-IF(F41="exponential",time-20+0.217*time*(EXP(4.606*(20-time)/time)-1),((time-20)^2)*(0.5/time)))))))</f>
        <v>0</v>
      </c>
      <c r="AL41" s="2411">
        <f>-$U23*(IF(H41="immediate",IF(D41&gt;0,D41*MIN(20,time),0),D41*IF(time&gt;time+20,20,IF(time&lt;20,(time*VLOOKUP(H41,List!$E$35:$F$37,2,))+(time-time),((MIN(20,time)*VLOOKUP(H41,List!$E$35:$F$37,2,))+(time-MIN(20,time))-IF(H41="exponential",time-20+0.217*time*(EXP(4.606*(20-time)/time)-1),((time-20)^2)*(0.5/time)))))))</f>
        <v>0</v>
      </c>
      <c r="AM41" s="2423"/>
      <c r="AN41" s="2423"/>
      <c r="AO41" s="2423"/>
      <c r="AP41" s="2423"/>
      <c r="AQ41" s="2423"/>
      <c r="AR41" s="2403"/>
      <c r="AS41" s="2403"/>
      <c r="AT41" s="2403"/>
      <c r="AU41" s="2403"/>
    </row>
    <row r="42" spans="2:47">
      <c r="B42" s="1335" t="s">
        <v>873</v>
      </c>
      <c r="C42" s="1335" t="str">
        <f t="shared" si="17"/>
        <v/>
      </c>
      <c r="D42" s="1953">
        <f>'4.Grassland'!AA31</f>
        <v>0</v>
      </c>
      <c r="E42" s="1297">
        <f>D42</f>
        <v>0</v>
      </c>
      <c r="F42" s="2253" t="str">
        <f>VLOOKUP('4.Grassland'!AC31,List!$D$35:$E$37,2,)</f>
        <v>Linear</v>
      </c>
      <c r="G42" s="1525">
        <f>D42</f>
        <v>0</v>
      </c>
      <c r="H42" s="2253" t="str">
        <f>VLOOKUP('4.Grassland'!AE31,List!$D$35:$E$37,2,)</f>
        <v>Linear</v>
      </c>
      <c r="I42" s="1363">
        <f>-$T24*(IF(F42="immediate",IF(D42&gt;0,D42*MIN(20,time_tot),0),D42*IF(time_tot&gt;time+20,20,IF(time_tot&lt;20,(time*VLOOKUP(F42,List!$E$35:$F$37,2,))+(time_tot-time),((MIN(20,time)*VLOOKUP(F42,List!$E$35:$F$37,2,))+(time_tot-MIN(20,time))-IF(F42="exponential",time_tot-20+0.217*time*(EXP(4.606*(20-time_tot)/time)-1),((time_tot-20)^2)*(0.5/time)))))))</f>
        <v>0</v>
      </c>
      <c r="J42" s="1364">
        <f>-$U24*(IF(H42="immediate",IF(D42&gt;0,D42*MIN(20,time_tot),0),D42*IF(time_tot&gt;time+20,20,IF(time_tot&lt;20,(time*VLOOKUP(H42,List!$E$35:$F$37,2,))+(time_tot-time),((MIN(20,time)*VLOOKUP(H42,List!$E$35:$F$37,2,))+(time_tot-MIN(20,time))-IF(H42="exponential",time_tot-20+0.217*time*(EXP(4.606*(20-time_tot)/time)-1),((time_tot-20)^2)*(0.5/time)))))))</f>
        <v>0</v>
      </c>
      <c r="K42" s="3130">
        <f>IF(N24&gt;time_tot,0,IF($M24="yes",(MIN(D42,E42)*time_tot+ABS(E42-D42)*IF(E42&gt;D42,time2+time*(VLOOKUP(F42,List!$E$35:$F$37,2,)),time*(1-(VLOOKUP(F42,List!$E$35:$F$37,2,))))),0)*$AC$18/$N24)</f>
        <v>0</v>
      </c>
      <c r="L42" s="3131">
        <f>IF(P24&gt;time_tot,0,IF($O24="yes",(MIN(D42,G42)*time_tot+ABS(G42-D42)*IF(G42&gt;D42,time2+time*(VLOOKUP(H42,List!$E$35:$F$37,2,)),time*(1-(VLOOKUP(H42,List!$E$35:$F$37,2,))))),0)*$AC$18/$P24)</f>
        <v>0</v>
      </c>
      <c r="M42" s="1454">
        <f t="shared" si="6"/>
        <v>0</v>
      </c>
      <c r="N42" s="1451">
        <f t="shared" si="7"/>
        <v>0</v>
      </c>
      <c r="O42" s="1299">
        <f t="shared" si="14"/>
        <v>0</v>
      </c>
      <c r="Q42" s="2066">
        <f t="shared" si="8"/>
        <v>0</v>
      </c>
      <c r="R42" s="2066">
        <f t="shared" si="9"/>
        <v>0</v>
      </c>
      <c r="S42" s="2066">
        <f t="shared" si="10"/>
        <v>0</v>
      </c>
      <c r="U42" s="2043">
        <f>(time*((ABS(R42-Q42)*(IF(Q42&lt;=R42,VLOOKUP(F42,List!$E$35:$F$37,2,),1-VLOOKUP(F42,List!$E$35:$F$37,2,))))+MIN(R42,Q42))+(R42*time2))</f>
        <v>0</v>
      </c>
      <c r="V42" s="2043">
        <f>(time*((ABS(S42-Q42)*(IF(Q42&lt;=S42,VLOOKUP(H42,List!$E$35:$F$37,2,),1-VLOOKUP(H42,List!$E$35:$F$37,2,))))+MIN(S42,Q42))+(S42*time2))</f>
        <v>0</v>
      </c>
      <c r="W42" s="2034">
        <f t="shared" si="11"/>
        <v>0</v>
      </c>
      <c r="AD42" s="2403"/>
      <c r="AE42" s="2410">
        <f t="shared" si="12"/>
        <v>0</v>
      </c>
      <c r="AF42" s="2410">
        <f t="shared" si="13"/>
        <v>0</v>
      </c>
      <c r="AG42" s="2423"/>
      <c r="AH42" s="2423"/>
      <c r="AI42" s="2423"/>
      <c r="AJ42" s="2423"/>
      <c r="AK42" s="2411">
        <f>-$T24*(IF(F42="immediate",IF(D42&gt;0,D42*MIN(20,time),0),D42*IF(time&gt;time+20,20,IF(time&lt;20,(time*VLOOKUP(F42,List!$E$35:$F$37,2,))+(time-time),((MIN(20,time)*VLOOKUP(F42,List!$E$35:$F$37,2,))+(time-MIN(20,time))-IF(F42="exponential",time-20+0.217*time*(EXP(4.606*(20-time)/time)-1),((time-20)^2)*(0.5/time)))))))</f>
        <v>0</v>
      </c>
      <c r="AL42" s="2411">
        <f>-$U24*(IF(H42="immediate",IF(D42&gt;0,D42*MIN(20,time),0),D42*IF(time&gt;time+20,20,IF(time&lt;20,(time*VLOOKUP(H42,List!$E$35:$F$37,2,))+(time-time),((MIN(20,time)*VLOOKUP(H42,List!$E$35:$F$37,2,))+(time-MIN(20,time))-IF(H42="exponential",time-20+0.217*time*(EXP(4.606*(20-time)/time)-1),((time-20)^2)*(0.5/time)))))))</f>
        <v>0</v>
      </c>
      <c r="AM42" s="2423"/>
      <c r="AN42" s="2423"/>
      <c r="AO42" s="2423"/>
      <c r="AP42" s="2423"/>
      <c r="AQ42" s="2423"/>
      <c r="AR42" s="2403"/>
      <c r="AS42" s="2403"/>
      <c r="AT42" s="2403"/>
      <c r="AU42" s="2403"/>
    </row>
    <row r="43" spans="2:47" ht="13.5" thickBot="1">
      <c r="B43" s="756" t="s">
        <v>1101</v>
      </c>
      <c r="C43" s="756" t="str">
        <f t="shared" si="17"/>
        <v/>
      </c>
      <c r="D43" s="1526">
        <f>SUM(D33:D42)</f>
        <v>0</v>
      </c>
      <c r="E43" s="1526">
        <f>SUM(E33:E42)</f>
        <v>0</v>
      </c>
      <c r="F43" s="906"/>
      <c r="G43" s="1526">
        <f>SUM(G33:G42)</f>
        <v>0</v>
      </c>
      <c r="H43" s="294"/>
      <c r="L43" s="234"/>
      <c r="M43" s="234"/>
      <c r="N43" s="234"/>
      <c r="O43" s="234"/>
      <c r="T43" s="739"/>
      <c r="U43" s="2028"/>
      <c r="V43" s="2028"/>
      <c r="W43" s="2028"/>
      <c r="AD43" s="2403"/>
      <c r="AE43" s="2403"/>
      <c r="AF43" s="2423"/>
      <c r="AG43" s="2423"/>
      <c r="AH43" s="2423"/>
      <c r="AI43" s="2423"/>
      <c r="AJ43" s="2423"/>
      <c r="AK43" s="2423"/>
      <c r="AL43" s="2423"/>
      <c r="AM43" s="2423"/>
      <c r="AN43" s="2423"/>
      <c r="AO43" s="2423"/>
      <c r="AP43" s="2423"/>
      <c r="AQ43" s="2423"/>
      <c r="AR43" s="2403"/>
      <c r="AS43" s="2403"/>
      <c r="AT43" s="2403"/>
      <c r="AU43" s="2403"/>
    </row>
    <row r="44" spans="2:47" ht="13.5" thickBot="1">
      <c r="K44" s="1336" t="s">
        <v>887</v>
      </c>
      <c r="L44" s="651"/>
      <c r="M44" s="1337">
        <f>SUM(M29:M42)</f>
        <v>0</v>
      </c>
      <c r="N44" s="1338">
        <f>SUM(N29:N42)</f>
        <v>0</v>
      </c>
      <c r="O44" s="909">
        <f>SUM(O29:O42)</f>
        <v>0</v>
      </c>
      <c r="U44" s="2042">
        <f>SUM(U29:U42)</f>
        <v>0</v>
      </c>
      <c r="V44" s="2042">
        <f>SUM(V29:V42)</f>
        <v>0</v>
      </c>
      <c r="W44" s="2042">
        <f>SUM(W29:W42)</f>
        <v>0</v>
      </c>
      <c r="X44" s="233"/>
      <c r="Z44" s="1339"/>
      <c r="AA44" s="233"/>
      <c r="AB44" s="233"/>
      <c r="AC44" s="233"/>
      <c r="AD44" s="2403" t="s">
        <v>516</v>
      </c>
      <c r="AE44" s="2403">
        <f>SUM(AE29:AE42)</f>
        <v>0</v>
      </c>
      <c r="AF44" s="2403">
        <f>SUM(AF29:AF42)</f>
        <v>0</v>
      </c>
    </row>
    <row r="45" spans="2:47">
      <c r="T45" s="233"/>
      <c r="U45" s="233"/>
      <c r="V45" s="233"/>
      <c r="W45" s="233"/>
      <c r="X45" s="233"/>
      <c r="Z45" s="739"/>
      <c r="AA45" s="233"/>
      <c r="AB45" s="233"/>
      <c r="AC45" s="233"/>
      <c r="AD45" s="234"/>
      <c r="AE45" s="654"/>
      <c r="AF45" s="1606"/>
    </row>
    <row r="46" spans="2:47">
      <c r="Y46" s="233"/>
    </row>
    <row r="47" spans="2:47">
      <c r="Z47" s="1255"/>
    </row>
  </sheetData>
  <sheetProtection formatCells="0" formatColumns="0" formatRows="0"/>
  <mergeCells count="50">
    <mergeCell ref="T8:U8"/>
    <mergeCell ref="T10:U10"/>
    <mergeCell ref="J13:L13"/>
    <mergeCell ref="J14:L14"/>
    <mergeCell ref="D5:E5"/>
    <mergeCell ref="D11:F11"/>
    <mergeCell ref="D12:F12"/>
    <mergeCell ref="D13:F13"/>
    <mergeCell ref="M8:P8"/>
    <mergeCell ref="J11:L11"/>
    <mergeCell ref="O9:P9"/>
    <mergeCell ref="M9:N9"/>
    <mergeCell ref="Q8:S8"/>
    <mergeCell ref="G9:L9"/>
    <mergeCell ref="J15:L15"/>
    <mergeCell ref="J16:L16"/>
    <mergeCell ref="J17:L17"/>
    <mergeCell ref="J18:L18"/>
    <mergeCell ref="J12:L12"/>
    <mergeCell ref="G15:I15"/>
    <mergeCell ref="G13:I13"/>
    <mergeCell ref="G14:I14"/>
    <mergeCell ref="G16:I16"/>
    <mergeCell ref="G11:I11"/>
    <mergeCell ref="G12:I12"/>
    <mergeCell ref="J21:L21"/>
    <mergeCell ref="G17:I17"/>
    <mergeCell ref="G18:I18"/>
    <mergeCell ref="G19:I19"/>
    <mergeCell ref="J24:L24"/>
    <mergeCell ref="J22:L22"/>
    <mergeCell ref="J23:L23"/>
    <mergeCell ref="J19:L19"/>
    <mergeCell ref="J20:L20"/>
    <mergeCell ref="G24:I24"/>
    <mergeCell ref="G20:I20"/>
    <mergeCell ref="G21:I21"/>
    <mergeCell ref="G22:I22"/>
    <mergeCell ref="G23:I23"/>
    <mergeCell ref="D23:F23"/>
    <mergeCell ref="D24:F24"/>
    <mergeCell ref="D14:F14"/>
    <mergeCell ref="D20:F20"/>
    <mergeCell ref="D21:F21"/>
    <mergeCell ref="D22:F22"/>
    <mergeCell ref="D19:F19"/>
    <mergeCell ref="D15:F15"/>
    <mergeCell ref="D16:F16"/>
    <mergeCell ref="D17:F17"/>
    <mergeCell ref="D18:F18"/>
  </mergeCells>
  <phoneticPr fontId="11" type="noConversion"/>
  <dataValidations count="4">
    <dataValidation type="list" allowBlank="1" showInputMessage="1" showErrorMessage="1" sqref="F29:F42 H29:H42">
      <formula1>Rate</formula1>
    </dataValidation>
    <dataValidation type="list" allowBlank="1" showInputMessage="1" showErrorMessage="1" sqref="M11:P24">
      <formula1>YES_NO</formula1>
    </dataValidation>
    <dataValidation type="list" allowBlank="1" showInputMessage="1" showErrorMessage="1" sqref="D11:D24 G11:G24 J11:J24">
      <formula1>grassland_type</formula1>
    </dataValidation>
    <dataValidation type="decimal" operator="greaterThanOrEqual" allowBlank="1" showInputMessage="1" showErrorMessage="1" sqref="G33:G42 D33:E42">
      <formula1>0</formula1>
    </dataValidation>
  </dataValidations>
  <hyperlinks>
    <hyperlink ref="D5" location="Description!A1" display="Back to Description"/>
  </hyperlinks>
  <pageMargins left="0.34" right="0.3" top="0.984251969" bottom="0.984251969" header="0.4921259845" footer="0.4921259845"/>
  <pageSetup paperSize="9" scale="41" orientation="landscape" horizontalDpi="1200" verticalDpi="1200" r:id="rId1"/>
  <headerFooter alignWithMargins="0">
    <oddHeader>&amp;CPage &amp;P&amp;R&amp;A</oddHeader>
    <oddFooter>&amp;F</oddFooter>
  </headerFooter>
  <ignoredErrors>
    <ignoredError sqref="E36:E42 E34:E35 G34:G42"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pageSetUpPr fitToPage="1"/>
  </sheetPr>
  <dimension ref="A1:AN405"/>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11.140625" style="232" customWidth="1"/>
    <col min="3" max="3" width="13" style="232" customWidth="1"/>
    <col min="4" max="4" width="9.7109375" style="232" customWidth="1"/>
    <col min="5" max="5" width="9" style="232" customWidth="1"/>
    <col min="6" max="6" width="2.85546875" style="232" customWidth="1"/>
    <col min="7" max="7" width="8.28515625" style="232" customWidth="1"/>
    <col min="8" max="8" width="2.85546875" style="232" customWidth="1"/>
    <col min="9" max="9" width="1" style="232" customWidth="1"/>
    <col min="10" max="12" width="8.28515625" style="232" customWidth="1"/>
    <col min="13" max="13" width="1" style="232" customWidth="1"/>
    <col min="14" max="16" width="8.28515625" style="232" customWidth="1"/>
    <col min="17" max="17" width="1.28515625" style="244" customWidth="1"/>
    <col min="18" max="18" width="8.28515625" style="244" customWidth="1"/>
    <col min="19" max="19" width="4.7109375" style="232" customWidth="1"/>
    <col min="20" max="20" width="8" style="232" customWidth="1"/>
    <col min="21" max="21" width="6" style="244" customWidth="1"/>
    <col min="22" max="22" width="0.7109375" style="244" customWidth="1"/>
    <col min="23" max="23" width="6.7109375" style="244" customWidth="1"/>
    <col min="24" max="24" width="6.42578125" style="244" customWidth="1"/>
    <col min="25" max="25" width="6.7109375" style="244" customWidth="1"/>
    <col min="26" max="26" width="2.7109375" style="244" customWidth="1"/>
    <col min="27" max="28" width="6.7109375" style="244" customWidth="1"/>
    <col min="29" max="29" width="2.140625" style="244" customWidth="1"/>
    <col min="30" max="30" width="6.7109375" style="244" customWidth="1"/>
    <col min="31" max="31" width="2.85546875" style="244" customWidth="1"/>
    <col min="32" max="33" width="9.28515625" style="244" customWidth="1"/>
    <col min="34" max="34" width="9.28515625" style="232" customWidth="1"/>
    <col min="35" max="35" width="10.7109375" style="232" customWidth="1"/>
    <col min="36" max="36" width="30" style="232" customWidth="1"/>
    <col min="37" max="37" width="2.7109375" style="232" customWidth="1"/>
    <col min="38" max="38" width="28.42578125" style="232" customWidth="1"/>
    <col min="39" max="39" width="2.7109375" style="232" customWidth="1"/>
    <col min="40" max="40" width="27.28515625" style="232" customWidth="1"/>
    <col min="41" max="16384" width="14.140625" style="232"/>
  </cols>
  <sheetData>
    <row r="1" spans="1:40" s="2233" customFormat="1" ht="22.9" customHeight="1">
      <c r="Q1" s="2234"/>
      <c r="R1" s="2234"/>
      <c r="U1" s="2234"/>
      <c r="V1" s="2234"/>
      <c r="W1" s="2234"/>
      <c r="X1" s="2237"/>
      <c r="Y1" s="2234"/>
      <c r="AA1" s="2234"/>
      <c r="AB1" s="2234"/>
      <c r="AC1" s="2234"/>
      <c r="AD1" s="2234"/>
      <c r="AE1" s="2234"/>
      <c r="AF1" s="2234"/>
      <c r="AG1" s="2234"/>
    </row>
    <row r="2" spans="1:40" s="2233" customFormat="1" ht="22.9" customHeight="1">
      <c r="Q2" s="2234"/>
      <c r="R2" s="2234"/>
      <c r="U2" s="2234"/>
      <c r="V2" s="2234"/>
      <c r="W2" s="2234"/>
      <c r="X2" s="2238"/>
      <c r="Y2" s="2234"/>
      <c r="Z2" s="2234"/>
      <c r="AA2" s="2234"/>
      <c r="AB2" s="2234"/>
      <c r="AC2" s="2234"/>
      <c r="AD2" s="2234"/>
      <c r="AE2" s="2234"/>
      <c r="AF2" s="2234"/>
      <c r="AG2" s="2234"/>
    </row>
    <row r="3" spans="1:40" s="2233" customFormat="1" ht="22.9" customHeight="1">
      <c r="Q3" s="2234"/>
      <c r="R3" s="2234"/>
      <c r="U3" s="2234"/>
      <c r="V3" s="2234"/>
      <c r="W3" s="2234"/>
      <c r="X3" s="2234"/>
      <c r="Y3" s="2234"/>
      <c r="Z3" s="2234"/>
      <c r="AA3" s="2234"/>
      <c r="AB3" s="2234"/>
      <c r="AC3" s="2234"/>
      <c r="AD3" s="2234"/>
      <c r="AE3" s="2234"/>
      <c r="AF3" s="2234"/>
      <c r="AG3" s="2234"/>
    </row>
    <row r="4" spans="1:40" s="2233" customFormat="1" ht="22.9" customHeight="1">
      <c r="Q4" s="2234"/>
      <c r="R4" s="2234"/>
      <c r="U4" s="2234"/>
      <c r="V4" s="2234"/>
      <c r="W4" s="2234"/>
      <c r="X4" s="2234"/>
      <c r="Y4" s="2234"/>
      <c r="Z4" s="2234"/>
      <c r="AA4" s="2234"/>
      <c r="AB4" s="2234"/>
      <c r="AC4" s="2234"/>
      <c r="AD4" s="2234"/>
      <c r="AE4" s="2234"/>
      <c r="AF4" s="2234"/>
      <c r="AG4" s="2234"/>
    </row>
    <row r="5" spans="1:40" s="2235" customFormat="1" ht="22.9" customHeight="1">
      <c r="A5" s="2706" t="str">
        <f>HLOOKUP(select,translations!$B$436:$H$450,2,)</f>
        <v xml:space="preserve"> </v>
      </c>
      <c r="Q5" s="2236"/>
      <c r="R5" s="2236"/>
      <c r="U5" s="2236"/>
      <c r="V5" s="2236"/>
      <c r="W5" s="2236"/>
      <c r="X5" s="2236"/>
      <c r="Y5" s="2236"/>
      <c r="Z5" s="2236"/>
      <c r="AA5" s="2236"/>
      <c r="AB5" s="2236"/>
      <c r="AC5" s="2236"/>
      <c r="AD5" s="2236"/>
      <c r="AE5" s="2236"/>
      <c r="AF5" s="2236"/>
      <c r="AG5" s="2236"/>
    </row>
    <row r="6" spans="1:40" s="1715" customFormat="1">
      <c r="B6" s="1797"/>
      <c r="U6" s="1717"/>
      <c r="V6" s="1717"/>
      <c r="W6" s="1717"/>
      <c r="X6" s="1717"/>
      <c r="Y6" s="1717"/>
      <c r="Z6" s="1717"/>
      <c r="AA6" s="1717"/>
      <c r="AB6" s="1717"/>
      <c r="AC6" s="1717"/>
      <c r="AD6" s="1717"/>
      <c r="AE6" s="1717"/>
      <c r="AF6" s="1717"/>
      <c r="AG6" s="1717"/>
    </row>
    <row r="7" spans="1:40" s="1715" customFormat="1" ht="15.75">
      <c r="B7" s="2531" t="str">
        <f>HLOOKUP(select,translations!$A$145:$H$201,2,)</f>
        <v>4.1. Grassland systems</v>
      </c>
      <c r="C7" s="2532"/>
      <c r="D7" s="2532"/>
      <c r="E7" s="2532"/>
      <c r="F7" s="2532"/>
      <c r="G7" s="2532"/>
      <c r="H7" s="2532"/>
      <c r="I7" s="2532"/>
      <c r="J7" s="2532"/>
      <c r="K7" s="2532"/>
      <c r="L7" s="2532"/>
      <c r="M7" s="2532"/>
      <c r="N7" s="2532"/>
      <c r="O7" s="2532"/>
      <c r="P7" s="2532"/>
      <c r="Q7" s="2532"/>
      <c r="R7" s="2532"/>
      <c r="S7" s="2532"/>
      <c r="T7" s="2532"/>
      <c r="U7" s="2532"/>
      <c r="V7" s="2532"/>
      <c r="W7" s="2532"/>
      <c r="X7" s="2532"/>
      <c r="Y7" s="2532"/>
      <c r="Z7" s="2532"/>
      <c r="AA7" s="2532"/>
      <c r="AB7" s="2532"/>
      <c r="AC7" s="2532"/>
      <c r="AD7" s="2532"/>
      <c r="AE7" s="2532"/>
      <c r="AF7" s="2532"/>
      <c r="AG7" s="2533"/>
      <c r="AH7" s="2533"/>
    </row>
    <row r="8" spans="1:40" s="1715" customFormat="1">
      <c r="B8" s="1719"/>
      <c r="AE8" s="1749"/>
      <c r="AF8" s="1749"/>
      <c r="AG8" s="1749"/>
    </row>
    <row r="9" spans="1:40" s="1715" customFormat="1">
      <c r="B9" s="1805" t="str">
        <f>HLOOKUP(select,translations!$A$145:$H$201,3,)</f>
        <v>4.1.1. Grassland systems from other LU or converted to other LU (please fill step 2.LUC previously)</v>
      </c>
      <c r="C9" s="1806"/>
      <c r="D9" s="1806"/>
      <c r="E9" s="1806"/>
      <c r="F9" s="1806"/>
      <c r="G9" s="1806"/>
      <c r="H9" s="1806"/>
      <c r="I9" s="1806"/>
      <c r="J9" s="1806"/>
      <c r="K9" s="1806"/>
      <c r="L9" s="1806"/>
      <c r="M9" s="1806"/>
      <c r="N9" s="1806"/>
      <c r="O9" s="1806"/>
      <c r="P9" s="1806"/>
      <c r="Q9" s="1806"/>
      <c r="R9" s="1806"/>
      <c r="S9" s="1806"/>
      <c r="T9" s="1806"/>
      <c r="U9" s="1807"/>
      <c r="V9" s="1807"/>
      <c r="W9" s="1807"/>
      <c r="X9" s="1807"/>
      <c r="Y9" s="1807"/>
      <c r="Z9" s="1807"/>
      <c r="AA9" s="1807"/>
      <c r="AB9" s="1807"/>
      <c r="AC9" s="1807"/>
      <c r="AD9" s="1807"/>
      <c r="AE9" s="1807"/>
      <c r="AF9" s="1807"/>
      <c r="AG9" s="1807"/>
      <c r="AH9" s="1807"/>
      <c r="AJ9" s="1706" t="str">
        <f>'2.LUC'!V9</f>
        <v xml:space="preserve"> </v>
      </c>
      <c r="AK9" s="1706"/>
      <c r="AL9" s="1706"/>
      <c r="AM9" s="1706"/>
      <c r="AN9" s="1706"/>
    </row>
    <row r="10" spans="1:40" s="1704" customFormat="1">
      <c r="B10" s="2618" t="str">
        <f>'3.Cropland'!B11</f>
        <v>Description</v>
      </c>
      <c r="C10" s="2618"/>
      <c r="D10" s="2643" t="str">
        <f>HLOOKUP(select,translations!$A$145:$H$201,5,)</f>
        <v>Initial State</v>
      </c>
      <c r="E10" s="2618"/>
      <c r="F10" s="2619"/>
      <c r="G10" s="2619"/>
      <c r="H10" s="2619"/>
      <c r="I10" s="2619"/>
      <c r="J10" s="2620" t="str">
        <f>HLOOKUP(select,translations!$A$145:$H$201,16,)</f>
        <v>Final state of the grassland</v>
      </c>
      <c r="K10" s="2621"/>
      <c r="L10" s="2621"/>
      <c r="M10" s="2621"/>
      <c r="N10" s="2622"/>
      <c r="O10" s="2623"/>
      <c r="P10" s="2623"/>
      <c r="Q10" s="2624"/>
      <c r="R10" s="2644" t="str">
        <f>HLOOKUP(select,translations!$A$145:$H$201,6,)</f>
        <v>Fire use to manage?</v>
      </c>
      <c r="S10" s="2626"/>
      <c r="T10" s="2626"/>
      <c r="U10" s="2626"/>
      <c r="V10" s="2627"/>
      <c r="W10" s="2625" t="str">
        <f>'3.Cropland'!O11</f>
        <v>Yield</v>
      </c>
      <c r="X10" s="2628"/>
      <c r="Y10" s="2629"/>
      <c r="Z10" s="2630"/>
      <c r="AA10" s="2631" t="str">
        <f>'3.Cropland'!P11</f>
        <v>Area (ha)</v>
      </c>
      <c r="AB10" s="2631"/>
      <c r="AC10" s="2631"/>
      <c r="AD10" s="2631"/>
      <c r="AE10" s="2631"/>
      <c r="AF10" s="3834" t="str">
        <f>HLOOKUP(select,translations!$A$145:$H$201,7,)</f>
        <v>Total Emissions</v>
      </c>
      <c r="AG10" s="3834"/>
      <c r="AH10" s="2632" t="str">
        <f>'3.Cropland'!Z11</f>
        <v>Balance</v>
      </c>
      <c r="AJ10" s="1937" t="str">
        <f>IF(Nlang=1,"",D10)</f>
        <v/>
      </c>
      <c r="AK10" s="1937"/>
      <c r="AL10" s="1937" t="str">
        <f>IF(Nlang=1,"",J10)</f>
        <v/>
      </c>
      <c r="AM10" s="1937"/>
      <c r="AN10" s="1937"/>
    </row>
    <row r="11" spans="1:40" s="1704" customFormat="1">
      <c r="B11" s="2618"/>
      <c r="C11" s="2619"/>
      <c r="D11" s="2619"/>
      <c r="E11" s="2619"/>
      <c r="F11" s="2619"/>
      <c r="G11" s="2619"/>
      <c r="H11" s="2619"/>
      <c r="I11" s="2619"/>
      <c r="J11" s="2647" t="str">
        <f>HLOOKUP(select,translations!$A$145:$H$201,10,)</f>
        <v>Without project</v>
      </c>
      <c r="K11" s="2634"/>
      <c r="L11" s="2634"/>
      <c r="M11" s="2634"/>
      <c r="N11" s="2633" t="str">
        <f>HLOOKUP(select,translations!$A$145:$H$201,11,)</f>
        <v>With project</v>
      </c>
      <c r="O11" s="2635"/>
      <c r="P11" s="2635"/>
      <c r="Q11" s="2624"/>
      <c r="R11" s="2636"/>
      <c r="S11" s="2904" t="str">
        <f>CONCATENATE((HLOOKUP(select,translations!$A$145:$H$201,9,))," (",X11,")")</f>
        <v>Periodicity (Without)</v>
      </c>
      <c r="T11" s="2632"/>
      <c r="U11" s="2904" t="str">
        <f>CONCATENATE((HLOOKUP(select,translations!$A$145:$H$201,9,))," (",Y11,")")</f>
        <v>Periodicity (With)</v>
      </c>
      <c r="V11" s="2627"/>
      <c r="W11" s="2637" t="str">
        <f>'3.Cropland'!P12</f>
        <v>Start</v>
      </c>
      <c r="X11" s="2635" t="str">
        <f>'3.Cropland'!Q12</f>
        <v>Without</v>
      </c>
      <c r="Y11" s="2635" t="str">
        <f>'3.Cropland'!T12</f>
        <v>With</v>
      </c>
      <c r="Z11" s="2630"/>
      <c r="AA11" s="2638" t="str">
        <f>W11</f>
        <v>Start</v>
      </c>
      <c r="AB11" s="2645" t="str">
        <f>X11</f>
        <v>Without</v>
      </c>
      <c r="AC11" s="2640"/>
      <c r="AD11" s="2641" t="str">
        <f>Y11</f>
        <v>With</v>
      </c>
      <c r="AE11" s="2639"/>
      <c r="AF11" s="3833" t="str">
        <f>HLOOKUP(select,translations!$A$145:$H$201,17,)</f>
        <v>(tCO2-eq)</v>
      </c>
      <c r="AG11" s="3833"/>
      <c r="AH11" s="2630"/>
      <c r="AJ11" s="1937"/>
      <c r="AK11" s="1937"/>
      <c r="AL11" s="1937" t="str">
        <f>IF(Nlang=1,"",J11)</f>
        <v/>
      </c>
      <c r="AM11" s="1937"/>
      <c r="AN11" s="1937" t="str">
        <f>IF(Nlang=1,"",N11)</f>
        <v/>
      </c>
    </row>
    <row r="12" spans="1:40" s="1704" customFormat="1">
      <c r="B12" s="2619"/>
      <c r="C12" s="2619"/>
      <c r="D12" s="2619"/>
      <c r="E12" s="2619"/>
      <c r="F12" s="2619"/>
      <c r="G12" s="2619"/>
      <c r="H12" s="2619"/>
      <c r="I12" s="2619"/>
      <c r="J12" s="2634"/>
      <c r="K12" s="2634"/>
      <c r="L12" s="2634"/>
      <c r="M12" s="2634"/>
      <c r="N12" s="2642"/>
      <c r="O12" s="2635"/>
      <c r="P12" s="2635"/>
      <c r="Q12" s="2906"/>
      <c r="R12" s="2907" t="str">
        <f>'2.LUC'!K48</f>
        <v>(y/n)</v>
      </c>
      <c r="S12" s="2907" t="str">
        <f>HLOOKUP(select,translations!$A$145:$H$201,8,)</f>
        <v>(year)</v>
      </c>
      <c r="T12" s="2907" t="str">
        <f>R12</f>
        <v>(y/n)</v>
      </c>
      <c r="U12" s="2635" t="str">
        <f>S12</f>
        <v>(year)</v>
      </c>
      <c r="V12" s="2627"/>
      <c r="W12" s="3835" t="str">
        <f>'3.Cropland'!O12</f>
        <v>(t/ha/yr)</v>
      </c>
      <c r="X12" s="3835"/>
      <c r="Y12" s="3835"/>
      <c r="Z12" s="2630"/>
      <c r="AA12" s="2630"/>
      <c r="AB12" s="2627"/>
      <c r="AC12" s="2627"/>
      <c r="AD12" s="2627"/>
      <c r="AE12" s="2627"/>
      <c r="AF12" s="2641" t="str">
        <f>AB11</f>
        <v>Without</v>
      </c>
      <c r="AG12" s="2641" t="str">
        <f>AD11</f>
        <v>With</v>
      </c>
      <c r="AH12" s="2630"/>
    </row>
    <row r="13" spans="1:40" s="1704" customFormat="1">
      <c r="B13" s="2087" t="str">
        <f>HLOOKUP(select,translations!$A$145:$H$201,12,)</f>
        <v>Grassland after Deforestation</v>
      </c>
      <c r="C13" s="2083"/>
      <c r="D13" s="3825" t="s">
        <v>77</v>
      </c>
      <c r="E13" s="3825"/>
      <c r="F13" s="3825"/>
      <c r="G13" s="3825"/>
      <c r="H13" s="3825"/>
      <c r="I13" s="2083"/>
      <c r="J13" s="3825" t="s">
        <v>77</v>
      </c>
      <c r="K13" s="3825"/>
      <c r="L13" s="3825"/>
      <c r="M13" s="2081"/>
      <c r="N13" s="3825" t="s">
        <v>77</v>
      </c>
      <c r="O13" s="3825"/>
      <c r="P13" s="3825"/>
      <c r="Q13" s="1866"/>
      <c r="R13" s="2075" t="s">
        <v>354</v>
      </c>
      <c r="S13" s="2072">
        <v>5</v>
      </c>
      <c r="T13" s="2075" t="s">
        <v>354</v>
      </c>
      <c r="U13" s="2072">
        <v>5</v>
      </c>
      <c r="V13" s="1812"/>
      <c r="W13" s="2321"/>
      <c r="X13" s="2322"/>
      <c r="Y13" s="2322"/>
      <c r="Z13" s="1748"/>
      <c r="AA13" s="1748">
        <f>Grass!D29</f>
        <v>0</v>
      </c>
      <c r="AB13" s="1812">
        <f>Grass!E29</f>
        <v>0</v>
      </c>
      <c r="AC13" s="1812"/>
      <c r="AD13" s="1812">
        <f>Grass!G29</f>
        <v>0</v>
      </c>
      <c r="AE13" s="1812"/>
      <c r="AF13" s="1812">
        <f>Grass!M29</f>
        <v>0</v>
      </c>
      <c r="AG13" s="1812">
        <f>Grass!N29</f>
        <v>0</v>
      </c>
      <c r="AH13" s="1812">
        <f>Grass!O29</f>
        <v>0</v>
      </c>
      <c r="AJ13" s="2653" t="str">
        <f>IF(Nlang=1,"",VLOOKUP(D13,'Name translation'!$A$122:$H$127,Nlang+1,))</f>
        <v/>
      </c>
      <c r="AK13" s="1955"/>
      <c r="AL13" s="2653" t="str">
        <f>IF(Nlang=1,"",VLOOKUP(J13,'Name translation'!$A$122:$H$127,Nlang+1,))</f>
        <v/>
      </c>
      <c r="AM13" s="1955"/>
      <c r="AN13" s="2653" t="str">
        <f>IF(Nlang=1,"",VLOOKUP(N13,'Name translation'!$A$122:$H$127,Nlang+1,))</f>
        <v/>
      </c>
    </row>
    <row r="14" spans="1:40" s="1704" customFormat="1">
      <c r="B14" s="2087" t="str">
        <f>HLOOKUP(select,translations!$A$145:$H$201,13,)</f>
        <v>Converted to A/R</v>
      </c>
      <c r="C14" s="2083"/>
      <c r="D14" s="3825" t="s">
        <v>77</v>
      </c>
      <c r="E14" s="3825"/>
      <c r="F14" s="3825"/>
      <c r="G14" s="3825"/>
      <c r="H14" s="3825"/>
      <c r="I14" s="2083"/>
      <c r="J14" s="3825" t="s">
        <v>77</v>
      </c>
      <c r="K14" s="3825"/>
      <c r="L14" s="3825"/>
      <c r="M14" s="2081"/>
      <c r="N14" s="3825" t="s">
        <v>77</v>
      </c>
      <c r="O14" s="3825"/>
      <c r="P14" s="3825"/>
      <c r="Q14" s="1866"/>
      <c r="R14" s="2075" t="s">
        <v>354</v>
      </c>
      <c r="S14" s="2072">
        <v>5</v>
      </c>
      <c r="T14" s="2075" t="s">
        <v>354</v>
      </c>
      <c r="U14" s="2072">
        <v>5</v>
      </c>
      <c r="V14" s="1812"/>
      <c r="W14" s="2321"/>
      <c r="X14" s="2322"/>
      <c r="Y14" s="2322"/>
      <c r="Z14" s="1748"/>
      <c r="AA14" s="1748">
        <f>Grass!D30</f>
        <v>0</v>
      </c>
      <c r="AB14" s="1812">
        <f>Grass!E30</f>
        <v>0</v>
      </c>
      <c r="AC14" s="1812"/>
      <c r="AD14" s="1812">
        <f>Grass!G30</f>
        <v>0</v>
      </c>
      <c r="AE14" s="1812"/>
      <c r="AF14" s="1812">
        <f>Grass!M30</f>
        <v>0</v>
      </c>
      <c r="AG14" s="1812">
        <f>Grass!N30</f>
        <v>0</v>
      </c>
      <c r="AH14" s="1812">
        <f>Grass!O30</f>
        <v>0</v>
      </c>
      <c r="AJ14" s="2653" t="str">
        <f>IF(Nlang=1,"",VLOOKUP(D14,'Name translation'!$A$122:$H$127,Nlang+1,))</f>
        <v/>
      </c>
      <c r="AL14" s="2653" t="str">
        <f>IF(Nlang=1,"",VLOOKUP(J14,'Name translation'!$A$122:$H$127,Nlang+1,))</f>
        <v/>
      </c>
      <c r="AN14" s="2653" t="str">
        <f>IF(Nlang=1,"",VLOOKUP(N14,'Name translation'!$A$122:$H$127,Nlang+1,))</f>
        <v/>
      </c>
    </row>
    <row r="15" spans="1:40" s="1704" customFormat="1">
      <c r="B15" s="2087" t="str">
        <f>HLOOKUP(select,translations!$A$145:$H$201,14,)</f>
        <v>Grassland after non-forest LU</v>
      </c>
      <c r="C15" s="2083"/>
      <c r="D15" s="3825" t="s">
        <v>77</v>
      </c>
      <c r="E15" s="3825"/>
      <c r="F15" s="3825"/>
      <c r="G15" s="3825"/>
      <c r="H15" s="3825"/>
      <c r="I15" s="2083"/>
      <c r="J15" s="3825" t="s">
        <v>77</v>
      </c>
      <c r="K15" s="3825"/>
      <c r="L15" s="3825"/>
      <c r="M15" s="2081"/>
      <c r="N15" s="3825" t="s">
        <v>77</v>
      </c>
      <c r="O15" s="3825"/>
      <c r="P15" s="3825"/>
      <c r="Q15" s="1866"/>
      <c r="R15" s="2075" t="s">
        <v>354</v>
      </c>
      <c r="S15" s="2072">
        <v>5</v>
      </c>
      <c r="T15" s="2075" t="s">
        <v>354</v>
      </c>
      <c r="U15" s="2072">
        <v>5</v>
      </c>
      <c r="V15" s="1812"/>
      <c r="W15" s="2321"/>
      <c r="X15" s="2322"/>
      <c r="Y15" s="2322"/>
      <c r="Z15" s="1748"/>
      <c r="AA15" s="1748">
        <f>Grass!D31</f>
        <v>0</v>
      </c>
      <c r="AB15" s="1812">
        <f>Grass!E31</f>
        <v>0</v>
      </c>
      <c r="AC15" s="1812"/>
      <c r="AD15" s="1812">
        <f>Grass!G31</f>
        <v>0</v>
      </c>
      <c r="AE15" s="1812"/>
      <c r="AF15" s="1812">
        <f>Grass!M31</f>
        <v>0</v>
      </c>
      <c r="AG15" s="1812">
        <f>Grass!N31</f>
        <v>0</v>
      </c>
      <c r="AH15" s="1812">
        <f>Grass!O31</f>
        <v>0</v>
      </c>
      <c r="AJ15" s="2653" t="str">
        <f>IF(Nlang=1,"",VLOOKUP(D15,'Name translation'!$A$122:$H$127,Nlang+1,))</f>
        <v/>
      </c>
      <c r="AL15" s="2653" t="str">
        <f>IF(Nlang=1,"",VLOOKUP(J15,'Name translation'!$A$122:$H$127,Nlang+1,))</f>
        <v/>
      </c>
      <c r="AN15" s="2653" t="str">
        <f>IF(Nlang=1,"",VLOOKUP(N15,'Name translation'!$A$122:$H$127,Nlang+1,))</f>
        <v/>
      </c>
    </row>
    <row r="16" spans="1:40" s="1704" customFormat="1">
      <c r="B16" s="2087" t="str">
        <f>HLOOKUP(select,translations!$A$145:$H$201,15,)</f>
        <v>Converted to OLUC</v>
      </c>
      <c r="C16" s="2083"/>
      <c r="D16" s="3825" t="s">
        <v>77</v>
      </c>
      <c r="E16" s="3825"/>
      <c r="F16" s="3825"/>
      <c r="G16" s="3825"/>
      <c r="H16" s="3825"/>
      <c r="I16" s="2083"/>
      <c r="J16" s="3825" t="s">
        <v>77</v>
      </c>
      <c r="K16" s="3825"/>
      <c r="L16" s="3825"/>
      <c r="M16" s="2081"/>
      <c r="N16" s="3825" t="s">
        <v>77</v>
      </c>
      <c r="O16" s="3825"/>
      <c r="P16" s="3825"/>
      <c r="Q16" s="1866"/>
      <c r="R16" s="2075" t="s">
        <v>354</v>
      </c>
      <c r="S16" s="2072">
        <v>5</v>
      </c>
      <c r="T16" s="2075" t="s">
        <v>354</v>
      </c>
      <c r="U16" s="2072">
        <v>5</v>
      </c>
      <c r="V16" s="1812"/>
      <c r="W16" s="2321"/>
      <c r="X16" s="2322"/>
      <c r="Y16" s="2322"/>
      <c r="Z16" s="1748"/>
      <c r="AA16" s="1748">
        <f>Grass!D32</f>
        <v>0</v>
      </c>
      <c r="AB16" s="1812">
        <f>Grass!E32</f>
        <v>0</v>
      </c>
      <c r="AC16" s="1812"/>
      <c r="AD16" s="1812">
        <f>Grass!G32</f>
        <v>0</v>
      </c>
      <c r="AE16" s="1812"/>
      <c r="AF16" s="1812">
        <f>Grass!M32</f>
        <v>0</v>
      </c>
      <c r="AG16" s="1812">
        <f>Grass!N32</f>
        <v>0</v>
      </c>
      <c r="AH16" s="1812">
        <f>Grass!O32</f>
        <v>0</v>
      </c>
      <c r="AJ16" s="2653" t="str">
        <f>IF(Nlang=1,"",VLOOKUP(D16,'Name translation'!$A$122:$H$127,Nlang+1,))</f>
        <v/>
      </c>
      <c r="AL16" s="2653" t="str">
        <f>IF(Nlang=1,"",VLOOKUP(J16,'Name translation'!$A$122:$H$127,Nlang+1,))</f>
        <v/>
      </c>
      <c r="AN16" s="2653" t="str">
        <f>IF(Nlang=1,"",VLOOKUP(N16,'Name translation'!$A$122:$H$127,Nlang+1,))</f>
        <v/>
      </c>
    </row>
    <row r="17" spans="2:40" s="1704" customFormat="1">
      <c r="Q17" s="1709"/>
      <c r="R17" s="1709"/>
      <c r="U17" s="1709"/>
      <c r="V17" s="1709"/>
      <c r="W17" s="1709"/>
      <c r="X17" s="1709"/>
      <c r="Y17" s="1709"/>
      <c r="Z17" s="1709"/>
      <c r="AA17" s="1992"/>
      <c r="AB17" s="1992"/>
      <c r="AC17" s="1992"/>
      <c r="AD17" s="1709"/>
      <c r="AE17" s="1709"/>
      <c r="AF17" s="1709"/>
      <c r="AG17" s="1709"/>
    </row>
    <row r="18" spans="2:40" s="1704" customFormat="1">
      <c r="B18" s="1805" t="str">
        <f>HLOOKUP(select,translations!$A$145:$H$201,4,)</f>
        <v>4.1.2. Grassland systems remaining grassland systems (total area must remain contant)</v>
      </c>
      <c r="C18" s="1806"/>
      <c r="D18" s="1806"/>
      <c r="E18" s="1806"/>
      <c r="F18" s="1806"/>
      <c r="G18" s="1806"/>
      <c r="H18" s="1806"/>
      <c r="I18" s="1806"/>
      <c r="J18" s="1806"/>
      <c r="K18" s="1806"/>
      <c r="L18" s="1806"/>
      <c r="M18" s="1806"/>
      <c r="N18" s="1806"/>
      <c r="O18" s="1806"/>
      <c r="P18" s="1806"/>
      <c r="Q18" s="1806"/>
      <c r="R18" s="1806"/>
      <c r="S18" s="1806"/>
      <c r="T18" s="1806"/>
      <c r="U18" s="1807"/>
      <c r="V18" s="1807"/>
      <c r="W18" s="1807"/>
      <c r="X18" s="1807"/>
      <c r="Y18" s="1807"/>
      <c r="Z18" s="1807"/>
      <c r="AA18" s="1807"/>
      <c r="AB18" s="1807"/>
      <c r="AC18" s="1807"/>
      <c r="AD18" s="1807"/>
      <c r="AE18" s="1807"/>
      <c r="AF18" s="1807"/>
      <c r="AG18" s="1807"/>
      <c r="AH18" s="1807"/>
    </row>
    <row r="19" spans="2:40" s="1704" customFormat="1">
      <c r="B19" s="1778" t="str">
        <f>'3.Cropland'!B20</f>
        <v>Fill with your description</v>
      </c>
      <c r="C19" s="2081"/>
      <c r="D19" s="2647" t="str">
        <f>D10</f>
        <v>Initial State</v>
      </c>
      <c r="E19" s="2619"/>
      <c r="F19" s="2619"/>
      <c r="G19" s="2619"/>
      <c r="H19" s="2619"/>
      <c r="I19" s="2619"/>
      <c r="J19" s="2620" t="str">
        <f>J10</f>
        <v>Final state of the grassland</v>
      </c>
      <c r="K19" s="2621"/>
      <c r="L19" s="2621"/>
      <c r="M19" s="2621"/>
      <c r="N19" s="2622"/>
      <c r="O19" s="2623"/>
      <c r="P19" s="2623"/>
      <c r="Q19" s="2624"/>
      <c r="R19" s="2625" t="str">
        <f>R10</f>
        <v>Fire use to manage?</v>
      </c>
      <c r="S19" s="2626"/>
      <c r="T19" s="2626"/>
      <c r="U19" s="2626"/>
      <c r="V19" s="1812"/>
      <c r="W19" s="2654" t="str">
        <f>W10</f>
        <v>Yield</v>
      </c>
      <c r="X19" s="2063"/>
      <c r="Y19" s="1870"/>
      <c r="Z19" s="1755"/>
      <c r="AA19" s="1731" t="str">
        <f>AA10</f>
        <v>Area (ha)</v>
      </c>
      <c r="AB19" s="1731"/>
      <c r="AC19" s="1731"/>
      <c r="AD19" s="1731"/>
      <c r="AE19" s="1731"/>
      <c r="AF19" s="3716" t="str">
        <f>AF10</f>
        <v>Total Emissions</v>
      </c>
      <c r="AG19" s="3716"/>
      <c r="AH19" s="2074" t="str">
        <f>AH10</f>
        <v>Balance</v>
      </c>
    </row>
    <row r="20" spans="2:40" s="1704" customFormat="1">
      <c r="B20" s="1778"/>
      <c r="C20" s="2081"/>
      <c r="D20" s="2619"/>
      <c r="E20" s="2619"/>
      <c r="F20" s="2619"/>
      <c r="G20" s="2619"/>
      <c r="H20" s="2619"/>
      <c r="I20" s="2619"/>
      <c r="J20" s="2633" t="str">
        <f>J11</f>
        <v>Without project</v>
      </c>
      <c r="K20" s="2634"/>
      <c r="L20" s="2634"/>
      <c r="M20" s="2634"/>
      <c r="N20" s="2633" t="str">
        <f>N11</f>
        <v>With project</v>
      </c>
      <c r="O20" s="2635"/>
      <c r="P20" s="2635"/>
      <c r="Q20" s="2624"/>
      <c r="R20" s="2619"/>
      <c r="S20" s="2904" t="str">
        <f>S11</f>
        <v>Periodicity (Without)</v>
      </c>
      <c r="T20" s="2905"/>
      <c r="U20" s="2904" t="str">
        <f>U11</f>
        <v>Periodicity (With)</v>
      </c>
      <c r="V20" s="1812"/>
      <c r="W20" s="1869" t="str">
        <f>W11</f>
        <v>Start</v>
      </c>
      <c r="X20" s="1867" t="str">
        <f>X11</f>
        <v>Without</v>
      </c>
      <c r="Y20" s="1867" t="str">
        <f>Y11</f>
        <v>With</v>
      </c>
      <c r="Z20" s="1755"/>
      <c r="AA20" s="1783" t="str">
        <f>AA11</f>
        <v>Start</v>
      </c>
      <c r="AB20" s="2646" t="str">
        <f>AB11</f>
        <v>Without</v>
      </c>
      <c r="AC20" s="2239"/>
      <c r="AD20" s="2617" t="str">
        <f>AD11</f>
        <v>With</v>
      </c>
      <c r="AE20" s="1852"/>
      <c r="AF20" s="3691" t="str">
        <f>AF11</f>
        <v>(tCO2-eq)</v>
      </c>
      <c r="AG20" s="3691"/>
      <c r="AH20" s="1745"/>
    </row>
    <row r="21" spans="2:40" s="1704" customFormat="1">
      <c r="B21" s="2083"/>
      <c r="C21" s="2083"/>
      <c r="D21" s="2619"/>
      <c r="E21" s="2619"/>
      <c r="F21" s="2619"/>
      <c r="G21" s="2619"/>
      <c r="H21" s="2619"/>
      <c r="I21" s="2619"/>
      <c r="J21" s="2634"/>
      <c r="K21" s="2634"/>
      <c r="L21" s="2634"/>
      <c r="M21" s="2634"/>
      <c r="N21" s="2642"/>
      <c r="O21" s="2635"/>
      <c r="P21" s="2635"/>
      <c r="Q21" s="2624"/>
      <c r="R21" s="2907" t="str">
        <f>R12</f>
        <v>(y/n)</v>
      </c>
      <c r="S21" s="2907" t="str">
        <f>S12</f>
        <v>(year)</v>
      </c>
      <c r="T21" s="2907" t="str">
        <f>T12</f>
        <v>(y/n)</v>
      </c>
      <c r="U21" s="2898" t="str">
        <f>U12</f>
        <v>(year)</v>
      </c>
      <c r="V21" s="1812"/>
      <c r="W21" s="3836" t="str">
        <f>W12</f>
        <v>(t/ha/yr)</v>
      </c>
      <c r="X21" s="3836"/>
      <c r="Y21" s="3836"/>
      <c r="Z21" s="1755"/>
      <c r="AA21" s="1812"/>
      <c r="AB21" s="1812"/>
      <c r="AC21" s="2227" t="s">
        <v>91</v>
      </c>
      <c r="AD21" s="1812"/>
      <c r="AE21" s="2227" t="s">
        <v>91</v>
      </c>
      <c r="AF21" s="2617" t="str">
        <f>AB20</f>
        <v>Without</v>
      </c>
      <c r="AG21" s="2617" t="str">
        <f>AD20</f>
        <v>With</v>
      </c>
      <c r="AH21" s="1745"/>
    </row>
    <row r="22" spans="2:40" s="1704" customFormat="1">
      <c r="B22" s="3832"/>
      <c r="C22" s="3694"/>
      <c r="D22" s="3825" t="s">
        <v>77</v>
      </c>
      <c r="E22" s="3825"/>
      <c r="F22" s="3825"/>
      <c r="G22" s="3825"/>
      <c r="H22" s="3825"/>
      <c r="I22" s="2083"/>
      <c r="J22" s="3825" t="s">
        <v>77</v>
      </c>
      <c r="K22" s="3825"/>
      <c r="L22" s="3825"/>
      <c r="M22" s="2081"/>
      <c r="N22" s="3825" t="s">
        <v>77</v>
      </c>
      <c r="O22" s="3825"/>
      <c r="P22" s="3825"/>
      <c r="Q22" s="1866"/>
      <c r="R22" s="2826" t="s">
        <v>354</v>
      </c>
      <c r="S22" s="2072">
        <v>5</v>
      </c>
      <c r="T22" s="2826" t="s">
        <v>354</v>
      </c>
      <c r="U22" s="2072">
        <v>5</v>
      </c>
      <c r="V22" s="1812"/>
      <c r="W22" s="2322"/>
      <c r="X22" s="2322"/>
      <c r="Y22" s="2322"/>
      <c r="Z22" s="1755"/>
      <c r="AA22" s="2319">
        <v>0</v>
      </c>
      <c r="AB22" s="1812">
        <f>AA22</f>
        <v>0</v>
      </c>
      <c r="AC22" s="2113" t="s">
        <v>1498</v>
      </c>
      <c r="AD22" s="1812">
        <f>AB22</f>
        <v>0</v>
      </c>
      <c r="AE22" s="2113" t="s">
        <v>1498</v>
      </c>
      <c r="AF22" s="1812">
        <f>Grass!M33</f>
        <v>0</v>
      </c>
      <c r="AG22" s="1812">
        <f>Grass!N33</f>
        <v>0</v>
      </c>
      <c r="AH22" s="1812">
        <f>Grass!O33</f>
        <v>0</v>
      </c>
      <c r="AJ22" s="2653" t="str">
        <f>IF(Nlang=1,"",VLOOKUP(D22,'Name translation'!$A$122:$H$127,Nlang+1,))</f>
        <v/>
      </c>
      <c r="AL22" s="2653" t="str">
        <f>IF(Nlang=1,"",VLOOKUP(J22,'Name translation'!$A$122:$H$127,Nlang+1,))</f>
        <v/>
      </c>
      <c r="AN22" s="2653" t="str">
        <f>IF(Nlang=1,"",VLOOKUP(N22,'Name translation'!$A$122:$H$127,Nlang+1,))</f>
        <v/>
      </c>
    </row>
    <row r="23" spans="2:40" s="1704" customFormat="1">
      <c r="B23" s="3832"/>
      <c r="C23" s="3694"/>
      <c r="D23" s="3825" t="s">
        <v>77</v>
      </c>
      <c r="E23" s="3825"/>
      <c r="F23" s="3825"/>
      <c r="G23" s="3825"/>
      <c r="H23" s="3825"/>
      <c r="I23" s="2083"/>
      <c r="J23" s="3825" t="s">
        <v>77</v>
      </c>
      <c r="K23" s="3825"/>
      <c r="L23" s="3825"/>
      <c r="M23" s="2081"/>
      <c r="N23" s="3825" t="s">
        <v>77</v>
      </c>
      <c r="O23" s="3825"/>
      <c r="P23" s="3825"/>
      <c r="Q23" s="1866"/>
      <c r="R23" s="2075" t="s">
        <v>354</v>
      </c>
      <c r="S23" s="2072">
        <v>5</v>
      </c>
      <c r="T23" s="2075" t="s">
        <v>354</v>
      </c>
      <c r="U23" s="2072">
        <v>5</v>
      </c>
      <c r="V23" s="2076"/>
      <c r="W23" s="2322"/>
      <c r="X23" s="2322"/>
      <c r="Y23" s="2322"/>
      <c r="Z23" s="1755"/>
      <c r="AA23" s="2088">
        <v>0</v>
      </c>
      <c r="AB23" s="1812">
        <f t="shared" ref="AB23:AB31" si="0">AA23</f>
        <v>0</v>
      </c>
      <c r="AC23" s="2113" t="s">
        <v>1498</v>
      </c>
      <c r="AD23" s="1812">
        <f t="shared" ref="AD23:AD31" si="1">AB23</f>
        <v>0</v>
      </c>
      <c r="AE23" s="2113" t="s">
        <v>1498</v>
      </c>
      <c r="AF23" s="1812">
        <f>Grass!M34</f>
        <v>0</v>
      </c>
      <c r="AG23" s="1812">
        <f>Grass!N34</f>
        <v>0</v>
      </c>
      <c r="AH23" s="1812">
        <f>Grass!O34</f>
        <v>0</v>
      </c>
      <c r="AJ23" s="2653" t="str">
        <f>IF(Nlang=1,"",VLOOKUP(D23,'Name translation'!$A$122:$H$127,Nlang+1,))</f>
        <v/>
      </c>
      <c r="AL23" s="2653" t="str">
        <f>IF(Nlang=1,"",VLOOKUP(J23,'Name translation'!$A$122:$H$127,Nlang+1,))</f>
        <v/>
      </c>
      <c r="AN23" s="2653" t="str">
        <f>IF(Nlang=1,"",VLOOKUP(N23,'Name translation'!$A$122:$H$127,Nlang+1,))</f>
        <v/>
      </c>
    </row>
    <row r="24" spans="2:40" s="1704" customFormat="1">
      <c r="B24" s="3832"/>
      <c r="C24" s="3694"/>
      <c r="D24" s="3825" t="s">
        <v>77</v>
      </c>
      <c r="E24" s="3825"/>
      <c r="F24" s="3825"/>
      <c r="G24" s="3825"/>
      <c r="H24" s="3825"/>
      <c r="I24" s="2083"/>
      <c r="J24" s="3825" t="s">
        <v>77</v>
      </c>
      <c r="K24" s="3825"/>
      <c r="L24" s="3825"/>
      <c r="M24" s="2081"/>
      <c r="N24" s="3825" t="s">
        <v>77</v>
      </c>
      <c r="O24" s="3825"/>
      <c r="P24" s="3825"/>
      <c r="Q24" s="1866"/>
      <c r="R24" s="2075" t="s">
        <v>354</v>
      </c>
      <c r="S24" s="2072">
        <v>5</v>
      </c>
      <c r="T24" s="2075" t="s">
        <v>354</v>
      </c>
      <c r="U24" s="2072">
        <v>5</v>
      </c>
      <c r="V24" s="2076"/>
      <c r="W24" s="2322"/>
      <c r="X24" s="2322"/>
      <c r="Y24" s="2322"/>
      <c r="Z24" s="1755"/>
      <c r="AA24" s="2088">
        <v>0</v>
      </c>
      <c r="AB24" s="1812">
        <f t="shared" si="0"/>
        <v>0</v>
      </c>
      <c r="AC24" s="2113" t="s">
        <v>1498</v>
      </c>
      <c r="AD24" s="1812">
        <f t="shared" si="1"/>
        <v>0</v>
      </c>
      <c r="AE24" s="2113" t="s">
        <v>1498</v>
      </c>
      <c r="AF24" s="1812">
        <f>Grass!M35</f>
        <v>0</v>
      </c>
      <c r="AG24" s="1812">
        <f>Grass!N35</f>
        <v>0</v>
      </c>
      <c r="AH24" s="1812">
        <f>Grass!O35</f>
        <v>0</v>
      </c>
      <c r="AJ24" s="2653" t="str">
        <f>IF(Nlang=1,"",VLOOKUP(D24,'Name translation'!$A$122:$H$127,Nlang+1,))</f>
        <v/>
      </c>
      <c r="AL24" s="2653" t="str">
        <f>IF(Nlang=1,"",VLOOKUP(J24,'Name translation'!$A$122:$H$127,Nlang+1,))</f>
        <v/>
      </c>
      <c r="AN24" s="2653" t="str">
        <f>IF(Nlang=1,"",VLOOKUP(N24,'Name translation'!$A$122:$H$127,Nlang+1,))</f>
        <v/>
      </c>
    </row>
    <row r="25" spans="2:40" s="1704" customFormat="1">
      <c r="B25" s="3694"/>
      <c r="C25" s="3694"/>
      <c r="D25" s="3825" t="s">
        <v>77</v>
      </c>
      <c r="E25" s="3825"/>
      <c r="F25" s="3825"/>
      <c r="G25" s="3825"/>
      <c r="H25" s="3825"/>
      <c r="I25" s="2083"/>
      <c r="J25" s="3825" t="s">
        <v>77</v>
      </c>
      <c r="K25" s="3825"/>
      <c r="L25" s="3825"/>
      <c r="M25" s="2081"/>
      <c r="N25" s="3825" t="s">
        <v>77</v>
      </c>
      <c r="O25" s="3825"/>
      <c r="P25" s="3825"/>
      <c r="Q25" s="1866"/>
      <c r="R25" s="2075" t="s">
        <v>354</v>
      </c>
      <c r="S25" s="2072">
        <v>5</v>
      </c>
      <c r="T25" s="2075" t="s">
        <v>354</v>
      </c>
      <c r="U25" s="2072">
        <v>5</v>
      </c>
      <c r="V25" s="2076"/>
      <c r="W25" s="2322"/>
      <c r="X25" s="2322"/>
      <c r="Y25" s="2322"/>
      <c r="Z25" s="1755"/>
      <c r="AA25" s="2088">
        <v>0</v>
      </c>
      <c r="AB25" s="1812">
        <f t="shared" si="0"/>
        <v>0</v>
      </c>
      <c r="AC25" s="2113" t="s">
        <v>1498</v>
      </c>
      <c r="AD25" s="1812">
        <f t="shared" si="1"/>
        <v>0</v>
      </c>
      <c r="AE25" s="2113" t="s">
        <v>1498</v>
      </c>
      <c r="AF25" s="1812">
        <f>Grass!M36</f>
        <v>0</v>
      </c>
      <c r="AG25" s="1812">
        <f>Grass!N36</f>
        <v>0</v>
      </c>
      <c r="AH25" s="1812">
        <f>Grass!O36</f>
        <v>0</v>
      </c>
      <c r="AJ25" s="2653" t="str">
        <f>IF(Nlang=1,"",VLOOKUP(D25,'Name translation'!$A$122:$H$127,Nlang+1,))</f>
        <v/>
      </c>
      <c r="AL25" s="2653" t="str">
        <f>IF(Nlang=1,"",VLOOKUP(J25,'Name translation'!$A$122:$H$127,Nlang+1,))</f>
        <v/>
      </c>
      <c r="AN25" s="2653" t="str">
        <f>IF(Nlang=1,"",VLOOKUP(N25,'Name translation'!$A$122:$H$127,Nlang+1,))</f>
        <v/>
      </c>
    </row>
    <row r="26" spans="2:40" s="1704" customFormat="1">
      <c r="B26" s="3694"/>
      <c r="C26" s="3694"/>
      <c r="D26" s="3825" t="s">
        <v>77</v>
      </c>
      <c r="E26" s="3825"/>
      <c r="F26" s="3825"/>
      <c r="G26" s="3825"/>
      <c r="H26" s="3825"/>
      <c r="I26" s="2083"/>
      <c r="J26" s="3825" t="s">
        <v>77</v>
      </c>
      <c r="K26" s="3825"/>
      <c r="L26" s="3825"/>
      <c r="M26" s="2081"/>
      <c r="N26" s="3825" t="s">
        <v>77</v>
      </c>
      <c r="O26" s="3825"/>
      <c r="P26" s="3825"/>
      <c r="Q26" s="1866"/>
      <c r="R26" s="2075" t="s">
        <v>354</v>
      </c>
      <c r="S26" s="2072">
        <v>5</v>
      </c>
      <c r="T26" s="2075" t="s">
        <v>354</v>
      </c>
      <c r="U26" s="2072">
        <v>5</v>
      </c>
      <c r="V26" s="2076"/>
      <c r="W26" s="2322"/>
      <c r="X26" s="2322"/>
      <c r="Y26" s="2322"/>
      <c r="Z26" s="1755"/>
      <c r="AA26" s="2088">
        <v>0</v>
      </c>
      <c r="AB26" s="1812">
        <f t="shared" si="0"/>
        <v>0</v>
      </c>
      <c r="AC26" s="2113" t="s">
        <v>1498</v>
      </c>
      <c r="AD26" s="1812">
        <f t="shared" si="1"/>
        <v>0</v>
      </c>
      <c r="AE26" s="2113" t="s">
        <v>1498</v>
      </c>
      <c r="AF26" s="1812">
        <f>Grass!M37</f>
        <v>0</v>
      </c>
      <c r="AG26" s="1812">
        <f>Grass!N37</f>
        <v>0</v>
      </c>
      <c r="AH26" s="1812">
        <f>Grass!O37</f>
        <v>0</v>
      </c>
      <c r="AJ26" s="2653" t="str">
        <f>IF(Nlang=1,"",VLOOKUP(D26,'Name translation'!$A$122:$H$127,Nlang+1,))</f>
        <v/>
      </c>
      <c r="AL26" s="2653" t="str">
        <f>IF(Nlang=1,"",VLOOKUP(J26,'Name translation'!$A$122:$H$127,Nlang+1,))</f>
        <v/>
      </c>
      <c r="AN26" s="2653" t="str">
        <f>IF(Nlang=1,"",VLOOKUP(N26,'Name translation'!$A$122:$H$127,Nlang+1,))</f>
        <v/>
      </c>
    </row>
    <row r="27" spans="2:40" s="1704" customFormat="1">
      <c r="B27" s="3694"/>
      <c r="C27" s="3694"/>
      <c r="D27" s="3825" t="s">
        <v>77</v>
      </c>
      <c r="E27" s="3825"/>
      <c r="F27" s="3825"/>
      <c r="G27" s="3825"/>
      <c r="H27" s="3825"/>
      <c r="I27" s="2083"/>
      <c r="J27" s="3825" t="s">
        <v>77</v>
      </c>
      <c r="K27" s="3825"/>
      <c r="L27" s="3825"/>
      <c r="M27" s="2081"/>
      <c r="N27" s="3825" t="s">
        <v>77</v>
      </c>
      <c r="O27" s="3825"/>
      <c r="P27" s="3825"/>
      <c r="Q27" s="1866"/>
      <c r="R27" s="2075" t="s">
        <v>354</v>
      </c>
      <c r="S27" s="2072">
        <v>5</v>
      </c>
      <c r="T27" s="2075" t="s">
        <v>354</v>
      </c>
      <c r="U27" s="2072">
        <v>5</v>
      </c>
      <c r="V27" s="2076"/>
      <c r="W27" s="2322"/>
      <c r="X27" s="2322"/>
      <c r="Y27" s="2322"/>
      <c r="Z27" s="1755"/>
      <c r="AA27" s="2088">
        <v>0</v>
      </c>
      <c r="AB27" s="1812">
        <f t="shared" si="0"/>
        <v>0</v>
      </c>
      <c r="AC27" s="2113" t="s">
        <v>1498</v>
      </c>
      <c r="AD27" s="1812">
        <f t="shared" si="1"/>
        <v>0</v>
      </c>
      <c r="AE27" s="2113" t="s">
        <v>1498</v>
      </c>
      <c r="AF27" s="1812">
        <f>Grass!M38</f>
        <v>0</v>
      </c>
      <c r="AG27" s="1812">
        <f>Grass!N38</f>
        <v>0</v>
      </c>
      <c r="AH27" s="1812">
        <f>Grass!O38</f>
        <v>0</v>
      </c>
      <c r="AJ27" s="2653" t="str">
        <f>IF(Nlang=1,"",VLOOKUP(D27,'Name translation'!$A$122:$H$127,Nlang+1,))</f>
        <v/>
      </c>
      <c r="AL27" s="2653" t="str">
        <f>IF(Nlang=1,"",VLOOKUP(J27,'Name translation'!$A$122:$H$127,Nlang+1,))</f>
        <v/>
      </c>
      <c r="AN27" s="2653" t="str">
        <f>IF(Nlang=1,"",VLOOKUP(N27,'Name translation'!$A$122:$H$127,Nlang+1,))</f>
        <v/>
      </c>
    </row>
    <row r="28" spans="2:40" s="1704" customFormat="1">
      <c r="B28" s="3694"/>
      <c r="C28" s="3694"/>
      <c r="D28" s="3825" t="s">
        <v>77</v>
      </c>
      <c r="E28" s="3825"/>
      <c r="F28" s="3825"/>
      <c r="G28" s="3825"/>
      <c r="H28" s="3825"/>
      <c r="I28" s="2083"/>
      <c r="J28" s="3825" t="s">
        <v>77</v>
      </c>
      <c r="K28" s="3825"/>
      <c r="L28" s="3825"/>
      <c r="M28" s="2081"/>
      <c r="N28" s="3825" t="s">
        <v>77</v>
      </c>
      <c r="O28" s="3825"/>
      <c r="P28" s="3825"/>
      <c r="Q28" s="1866"/>
      <c r="R28" s="2075" t="s">
        <v>354</v>
      </c>
      <c r="S28" s="2072">
        <v>5</v>
      </c>
      <c r="T28" s="2075" t="s">
        <v>354</v>
      </c>
      <c r="U28" s="2072">
        <v>5</v>
      </c>
      <c r="V28" s="2076"/>
      <c r="W28" s="2322"/>
      <c r="X28" s="2322"/>
      <c r="Y28" s="2322"/>
      <c r="Z28" s="1755"/>
      <c r="AA28" s="2088">
        <v>0</v>
      </c>
      <c r="AB28" s="1812">
        <f t="shared" si="0"/>
        <v>0</v>
      </c>
      <c r="AC28" s="2113" t="s">
        <v>1498</v>
      </c>
      <c r="AD28" s="1812">
        <f t="shared" si="1"/>
        <v>0</v>
      </c>
      <c r="AE28" s="2113" t="s">
        <v>1498</v>
      </c>
      <c r="AF28" s="1812">
        <f>Grass!M39</f>
        <v>0</v>
      </c>
      <c r="AG28" s="1812">
        <f>Grass!N39</f>
        <v>0</v>
      </c>
      <c r="AH28" s="1812">
        <f>Grass!O39</f>
        <v>0</v>
      </c>
      <c r="AJ28" s="2653" t="str">
        <f>IF(Nlang=1,"",VLOOKUP(D28,'Name translation'!$A$122:$H$127,Nlang+1,))</f>
        <v/>
      </c>
      <c r="AL28" s="2653" t="str">
        <f>IF(Nlang=1,"",VLOOKUP(J28,'Name translation'!$A$122:$H$127,Nlang+1,))</f>
        <v/>
      </c>
      <c r="AN28" s="2653" t="str">
        <f>IF(Nlang=1,"",VLOOKUP(N28,'Name translation'!$A$122:$H$127,Nlang+1,))</f>
        <v/>
      </c>
    </row>
    <row r="29" spans="2:40" s="1704" customFormat="1">
      <c r="B29" s="3694"/>
      <c r="C29" s="3694"/>
      <c r="D29" s="3825" t="s">
        <v>77</v>
      </c>
      <c r="E29" s="3825"/>
      <c r="F29" s="3825"/>
      <c r="G29" s="3825"/>
      <c r="H29" s="3825"/>
      <c r="I29" s="2083"/>
      <c r="J29" s="3825" t="s">
        <v>77</v>
      </c>
      <c r="K29" s="3825"/>
      <c r="L29" s="3825"/>
      <c r="M29" s="2081"/>
      <c r="N29" s="3825" t="s">
        <v>77</v>
      </c>
      <c r="O29" s="3825"/>
      <c r="P29" s="3825"/>
      <c r="Q29" s="1866"/>
      <c r="R29" s="2075" t="s">
        <v>354</v>
      </c>
      <c r="S29" s="2072">
        <v>5</v>
      </c>
      <c r="T29" s="2075" t="s">
        <v>354</v>
      </c>
      <c r="U29" s="2072">
        <v>5</v>
      </c>
      <c r="V29" s="2076"/>
      <c r="W29" s="2322"/>
      <c r="X29" s="2322"/>
      <c r="Y29" s="2322"/>
      <c r="Z29" s="1755"/>
      <c r="AA29" s="2088">
        <v>0</v>
      </c>
      <c r="AB29" s="1812">
        <f t="shared" si="0"/>
        <v>0</v>
      </c>
      <c r="AC29" s="2113" t="s">
        <v>1498</v>
      </c>
      <c r="AD29" s="1812">
        <f t="shared" si="1"/>
        <v>0</v>
      </c>
      <c r="AE29" s="2113" t="s">
        <v>1498</v>
      </c>
      <c r="AF29" s="1812">
        <f>Grass!M40</f>
        <v>0</v>
      </c>
      <c r="AG29" s="1812">
        <f>Grass!N40</f>
        <v>0</v>
      </c>
      <c r="AH29" s="1812">
        <f>Grass!O40</f>
        <v>0</v>
      </c>
      <c r="AJ29" s="2653" t="str">
        <f>IF(Nlang=1,"",VLOOKUP(D29,'Name translation'!$A$122:$H$127,Nlang+1,))</f>
        <v/>
      </c>
      <c r="AL29" s="2653" t="str">
        <f>IF(Nlang=1,"",VLOOKUP(J29,'Name translation'!$A$122:$H$127,Nlang+1,))</f>
        <v/>
      </c>
      <c r="AN29" s="2653" t="str">
        <f>IF(Nlang=1,"",VLOOKUP(N29,'Name translation'!$A$122:$H$127,Nlang+1,))</f>
        <v/>
      </c>
    </row>
    <row r="30" spans="2:40" s="1704" customFormat="1">
      <c r="B30" s="3694"/>
      <c r="C30" s="3694"/>
      <c r="D30" s="3825" t="s">
        <v>77</v>
      </c>
      <c r="E30" s="3825"/>
      <c r="F30" s="3825"/>
      <c r="G30" s="3825"/>
      <c r="H30" s="3825"/>
      <c r="I30" s="2083"/>
      <c r="J30" s="3825" t="s">
        <v>77</v>
      </c>
      <c r="K30" s="3825"/>
      <c r="L30" s="3825"/>
      <c r="M30" s="2081"/>
      <c r="N30" s="3825" t="s">
        <v>77</v>
      </c>
      <c r="O30" s="3825"/>
      <c r="P30" s="3825"/>
      <c r="Q30" s="1866"/>
      <c r="R30" s="2075" t="s">
        <v>354</v>
      </c>
      <c r="S30" s="2072">
        <v>5</v>
      </c>
      <c r="T30" s="2075" t="s">
        <v>354</v>
      </c>
      <c r="U30" s="2072">
        <v>5</v>
      </c>
      <c r="V30" s="2076"/>
      <c r="W30" s="2322"/>
      <c r="X30" s="2322"/>
      <c r="Y30" s="2322"/>
      <c r="Z30" s="1755"/>
      <c r="AA30" s="2088">
        <v>0</v>
      </c>
      <c r="AB30" s="1812">
        <f t="shared" si="0"/>
        <v>0</v>
      </c>
      <c r="AC30" s="2113" t="s">
        <v>1498</v>
      </c>
      <c r="AD30" s="1812">
        <f t="shared" si="1"/>
        <v>0</v>
      </c>
      <c r="AE30" s="2113" t="s">
        <v>1498</v>
      </c>
      <c r="AF30" s="1812">
        <f>Grass!M41</f>
        <v>0</v>
      </c>
      <c r="AG30" s="1812">
        <f>Grass!N41</f>
        <v>0</v>
      </c>
      <c r="AH30" s="1812">
        <f>Grass!O41</f>
        <v>0</v>
      </c>
      <c r="AJ30" s="2653" t="str">
        <f>IF(Nlang=1,"",VLOOKUP(D30,'Name translation'!$A$122:$H$127,Nlang+1,))</f>
        <v/>
      </c>
      <c r="AL30" s="2653" t="str">
        <f>IF(Nlang=1,"",VLOOKUP(J30,'Name translation'!$A$122:$H$127,Nlang+1,))</f>
        <v/>
      </c>
      <c r="AN30" s="2653" t="str">
        <f>IF(Nlang=1,"",VLOOKUP(N30,'Name translation'!$A$122:$H$127,Nlang+1,))</f>
        <v/>
      </c>
    </row>
    <row r="31" spans="2:40" s="1704" customFormat="1">
      <c r="B31" s="3694"/>
      <c r="C31" s="3694"/>
      <c r="D31" s="3825" t="s">
        <v>77</v>
      </c>
      <c r="E31" s="3825"/>
      <c r="F31" s="3825"/>
      <c r="G31" s="3825"/>
      <c r="H31" s="3825"/>
      <c r="I31" s="2083"/>
      <c r="J31" s="3825" t="s">
        <v>77</v>
      </c>
      <c r="K31" s="3825"/>
      <c r="L31" s="3825"/>
      <c r="M31" s="2081"/>
      <c r="N31" s="3825" t="s">
        <v>77</v>
      </c>
      <c r="O31" s="3825"/>
      <c r="P31" s="3825"/>
      <c r="Q31" s="1866"/>
      <c r="R31" s="2075" t="s">
        <v>354</v>
      </c>
      <c r="S31" s="2072">
        <v>5</v>
      </c>
      <c r="T31" s="2075" t="s">
        <v>354</v>
      </c>
      <c r="U31" s="2072">
        <v>5</v>
      </c>
      <c r="V31" s="2076"/>
      <c r="W31" s="2322"/>
      <c r="X31" s="2322"/>
      <c r="Y31" s="2322"/>
      <c r="Z31" s="1755"/>
      <c r="AA31" s="2088">
        <v>0</v>
      </c>
      <c r="AB31" s="1812">
        <f t="shared" si="0"/>
        <v>0</v>
      </c>
      <c r="AC31" s="2113" t="s">
        <v>1498</v>
      </c>
      <c r="AD31" s="1812">
        <f t="shared" si="1"/>
        <v>0</v>
      </c>
      <c r="AE31" s="2113" t="s">
        <v>1498</v>
      </c>
      <c r="AF31" s="1812">
        <f>Grass!M42</f>
        <v>0</v>
      </c>
      <c r="AG31" s="1812">
        <f>Grass!N42</f>
        <v>0</v>
      </c>
      <c r="AH31" s="1812">
        <f>Grass!O42</f>
        <v>0</v>
      </c>
      <c r="AJ31" s="2653" t="str">
        <f>IF(Nlang=1,"",VLOOKUP(D31,'Name translation'!$A$122:$H$127,Nlang+1,))</f>
        <v/>
      </c>
      <c r="AL31" s="2653" t="str">
        <f>IF(Nlang=1,"",VLOOKUP(J31,'Name translation'!$A$122:$H$127,Nlang+1,))</f>
        <v/>
      </c>
      <c r="AN31" s="2653" t="str">
        <f>IF(Nlang=1,"",VLOOKUP(N31,'Name translation'!$A$122:$H$127,Nlang+1,))</f>
        <v/>
      </c>
    </row>
    <row r="32" spans="2:40" s="1704" customFormat="1">
      <c r="B32" s="1755"/>
      <c r="C32" s="1755"/>
      <c r="D32" s="1755"/>
      <c r="E32" s="1755"/>
      <c r="F32" s="1755"/>
      <c r="G32" s="1755"/>
      <c r="H32" s="1755"/>
      <c r="I32" s="1755"/>
      <c r="J32" s="1755"/>
      <c r="K32" s="1755"/>
      <c r="L32" s="1755"/>
      <c r="M32" s="1755"/>
      <c r="N32" s="1755"/>
      <c r="O32" s="2079"/>
      <c r="P32" s="2076"/>
      <c r="Q32" s="1866"/>
      <c r="R32" s="1866"/>
      <c r="S32" s="1866"/>
      <c r="T32" s="2076"/>
      <c r="U32" s="1816"/>
      <c r="V32" s="1816"/>
      <c r="W32" s="1816"/>
      <c r="X32" s="1816"/>
      <c r="Y32" s="1816"/>
      <c r="Z32" s="1816"/>
      <c r="AA32" s="1816"/>
      <c r="AB32" s="1816"/>
      <c r="AC32" s="1816"/>
      <c r="AD32" s="1816"/>
      <c r="AE32" s="2076"/>
      <c r="AF32" s="2076"/>
      <c r="AG32" s="2076"/>
      <c r="AH32" s="1812"/>
    </row>
    <row r="33" spans="2:34" s="1704" customFormat="1">
      <c r="O33" s="2135" t="str">
        <f>'3.Cropland'!J33</f>
        <v>* Note concerning dynamics of change : "D" corresponds to default/linear, "I" to immediate and "E" to exponential (Please refer to the guidelines)</v>
      </c>
      <c r="P33" s="2133"/>
      <c r="Q33" s="2133"/>
      <c r="R33" s="2133"/>
      <c r="S33" s="2133"/>
      <c r="T33" s="2133"/>
      <c r="U33" s="2133"/>
      <c r="V33" s="2133"/>
      <c r="W33" s="2133"/>
      <c r="X33" s="2133"/>
      <c r="Y33" s="2133"/>
      <c r="Z33" s="2134"/>
      <c r="AA33" s="2134"/>
      <c r="AB33" s="2133"/>
      <c r="AC33" s="2170"/>
      <c r="AD33" s="2170"/>
      <c r="AE33" s="2170"/>
      <c r="AF33" s="2170"/>
      <c r="AG33" s="2170"/>
      <c r="AH33" s="2249"/>
    </row>
    <row r="34" spans="2:34" s="1704" customFormat="1"/>
    <row r="35" spans="2:34" s="1704" customFormat="1">
      <c r="Z35" s="1645" t="str">
        <f>HLOOKUP(select,translations!$A$145:$H$201,18,)</f>
        <v>Total Grassland Systems</v>
      </c>
      <c r="AA35" s="1695"/>
      <c r="AB35" s="1695"/>
      <c r="AC35" s="1695"/>
      <c r="AD35" s="1696"/>
      <c r="AE35" s="2173"/>
      <c r="AF35" s="2173">
        <f>Grass!M44</f>
        <v>0</v>
      </c>
      <c r="AG35" s="2173">
        <f>Grass!N44</f>
        <v>0</v>
      </c>
      <c r="AH35" s="2173">
        <f>Grass!O44</f>
        <v>0</v>
      </c>
    </row>
    <row r="36" spans="2:34" s="1704" customFormat="1"/>
    <row r="37" spans="2:34" s="1704" customFormat="1"/>
    <row r="38" spans="2:34" s="1704" customFormat="1"/>
    <row r="39" spans="2:34" s="1704" customFormat="1">
      <c r="Q39" s="1709"/>
      <c r="R39" s="1709"/>
      <c r="U39" s="1709"/>
      <c r="V39" s="1709"/>
      <c r="W39" s="1709"/>
      <c r="X39" s="1709"/>
      <c r="Y39" s="1709"/>
      <c r="Z39" s="1709"/>
      <c r="AA39" s="1709"/>
      <c r="AB39" s="1709"/>
      <c r="AC39" s="1709"/>
      <c r="AD39" s="1709"/>
      <c r="AE39" s="1709"/>
      <c r="AF39" s="1709"/>
      <c r="AG39" s="1709"/>
    </row>
    <row r="40" spans="2:34" s="1715" customFormat="1" ht="15.75">
      <c r="B40" s="2529" t="str">
        <f>HLOOKUP(select,translations!$A$145:$H$201,19,)</f>
        <v>4.2. Livestock (and manure management)</v>
      </c>
      <c r="C40" s="2534"/>
      <c r="D40" s="2534"/>
      <c r="E40" s="2534"/>
      <c r="F40" s="2534"/>
      <c r="G40" s="2534"/>
      <c r="H40" s="2534"/>
      <c r="I40" s="2534"/>
      <c r="J40" s="2534"/>
      <c r="K40" s="2534"/>
      <c r="L40" s="2534"/>
      <c r="M40" s="2534"/>
      <c r="N40" s="2534"/>
      <c r="O40" s="2534"/>
      <c r="P40" s="2534"/>
      <c r="Q40" s="2534"/>
      <c r="R40" s="2534"/>
      <c r="S40" s="2534"/>
      <c r="T40" s="2534"/>
      <c r="U40" s="2534"/>
      <c r="V40" s="2534"/>
      <c r="W40" s="2534"/>
      <c r="X40" s="2534"/>
      <c r="Y40" s="2534"/>
      <c r="Z40" s="2534"/>
      <c r="AA40" s="2534"/>
      <c r="AB40" s="2534"/>
      <c r="AC40" s="2534"/>
      <c r="AD40" s="2534"/>
      <c r="AE40" s="2534"/>
      <c r="AF40" s="2534"/>
      <c r="AG40" s="2535"/>
      <c r="AH40" s="2535"/>
    </row>
    <row r="41" spans="2:34" s="1704" customFormat="1">
      <c r="Q41" s="1709"/>
      <c r="R41" s="1709"/>
      <c r="U41" s="1709"/>
      <c r="V41" s="1709"/>
      <c r="W41" s="1709"/>
      <c r="X41" s="1709"/>
      <c r="Y41" s="1709"/>
      <c r="Z41" s="1709"/>
      <c r="AA41" s="1709"/>
      <c r="AB41" s="1709"/>
      <c r="AC41" s="1709"/>
      <c r="AD41" s="1709"/>
      <c r="AE41" s="1709"/>
      <c r="AF41" s="1709"/>
      <c r="AG41" s="1709"/>
      <c r="AH41" s="1709"/>
    </row>
    <row r="42" spans="2:34" s="1937" customFormat="1">
      <c r="B42" s="2273" t="str">
        <f>HLOOKUP(select,translations!$A$145:$H$201,20,)</f>
        <v>Livestock categories</v>
      </c>
      <c r="C42" s="2139"/>
      <c r="D42" s="2139" t="str">
        <f>HLOOKUP(select,translations!$A$145:$H$201,21,)</f>
        <v>Head number (mean per year)</v>
      </c>
      <c r="E42" s="2139"/>
      <c r="F42" s="2139"/>
      <c r="G42" s="2139"/>
      <c r="H42" s="2139"/>
      <c r="I42" s="2139"/>
      <c r="J42" s="3680" t="str">
        <f>HLOOKUP(select,translations!$A$145:$H$201,22,)</f>
        <v>Technical mitigation option (%)</v>
      </c>
      <c r="K42" s="3680"/>
      <c r="L42" s="3680"/>
      <c r="M42" s="3680"/>
      <c r="N42" s="3680"/>
      <c r="O42" s="3680"/>
      <c r="P42" s="3680"/>
      <c r="Q42" s="3680"/>
      <c r="R42" s="3680"/>
      <c r="S42" s="3680"/>
      <c r="T42" s="3680"/>
      <c r="U42" s="2048"/>
      <c r="V42" s="2048"/>
      <c r="W42" s="2048" t="str">
        <f>HLOOKUP(select,translations!$A$145:$H$201,23,)</f>
        <v xml:space="preserve">Production  (meat, milk, etc) </v>
      </c>
      <c r="X42" s="2048"/>
      <c r="Y42" s="2048"/>
      <c r="Z42" s="2048"/>
      <c r="AA42" s="2048"/>
      <c r="AB42" s="2048"/>
      <c r="AC42" s="2048"/>
      <c r="AD42" s="2048"/>
      <c r="AE42" s="2283"/>
      <c r="AF42" s="3714" t="str">
        <f>AF19</f>
        <v>Total Emissions</v>
      </c>
      <c r="AG42" s="3714"/>
      <c r="AH42" s="2141" t="str">
        <f>AH19</f>
        <v>Balance</v>
      </c>
    </row>
    <row r="43" spans="2:34" s="1937" customFormat="1" ht="20.45" customHeight="1">
      <c r="B43" s="2273"/>
      <c r="C43" s="2139"/>
      <c r="D43" s="2275" t="str">
        <f>AA20</f>
        <v>Start</v>
      </c>
      <c r="E43" s="3826" t="str">
        <f>J20</f>
        <v>Without project</v>
      </c>
      <c r="F43" s="2285"/>
      <c r="G43" s="3826" t="str">
        <f>N20</f>
        <v>With project</v>
      </c>
      <c r="H43" s="2285"/>
      <c r="I43" s="2139"/>
      <c r="J43" s="3839" t="str">
        <f>HLOOKUP(select,translations!$A$145:$H$201,24,)</f>
        <v>Feeding practices*</v>
      </c>
      <c r="K43" s="3839"/>
      <c r="L43" s="3839"/>
      <c r="M43" s="2286"/>
      <c r="N43" s="3839" t="str">
        <f>HLOOKUP(select,translations!$A$145:$H$201,25,)</f>
        <v>Specific Agents*</v>
      </c>
      <c r="O43" s="3839"/>
      <c r="P43" s="3839"/>
      <c r="Q43" s="2286"/>
      <c r="R43" s="3837" t="str">
        <f>HLOOKUP(select,translations!$A$145:$H$201,26,)</f>
        <v>Breeding*</v>
      </c>
      <c r="S43" s="3837"/>
      <c r="T43" s="3837"/>
      <c r="U43" s="2283"/>
      <c r="V43" s="2283"/>
      <c r="W43" s="2651" t="str">
        <f>HLOOKUP(select,translations!$A$145:$H$201,27,)</f>
        <v>in tonnes of product per year</v>
      </c>
      <c r="X43" s="2287"/>
      <c r="Y43" s="2287"/>
      <c r="Z43" s="2287"/>
      <c r="AA43" s="2288"/>
      <c r="AB43" s="2288"/>
      <c r="AC43" s="2288"/>
      <c r="AD43" s="2289"/>
      <c r="AE43" s="2283"/>
      <c r="AF43" s="3711" t="str">
        <f>AF20</f>
        <v>(tCO2-eq)</v>
      </c>
      <c r="AG43" s="3711"/>
      <c r="AH43" s="2279"/>
    </row>
    <row r="44" spans="2:34" s="1704" customFormat="1">
      <c r="B44" s="2275"/>
      <c r="C44" s="2275"/>
      <c r="D44" s="2275"/>
      <c r="E44" s="3826"/>
      <c r="F44" s="2145" t="s">
        <v>91</v>
      </c>
      <c r="G44" s="3826"/>
      <c r="H44" s="2145" t="s">
        <v>91</v>
      </c>
      <c r="I44" s="2275"/>
      <c r="J44" s="2275" t="str">
        <f>W44</f>
        <v>Start</v>
      </c>
      <c r="K44" s="2649" t="str">
        <f>X44</f>
        <v>Without</v>
      </c>
      <c r="L44" s="2650" t="str">
        <f>Y44</f>
        <v>With</v>
      </c>
      <c r="M44" s="2291"/>
      <c r="N44" s="2275" t="str">
        <f>J44</f>
        <v>Start</v>
      </c>
      <c r="O44" s="2649" t="str">
        <f>K44</f>
        <v>Without</v>
      </c>
      <c r="P44" s="2650" t="str">
        <f>L44</f>
        <v>With</v>
      </c>
      <c r="Q44" s="2286"/>
      <c r="R44" s="2275" t="str">
        <f>J44</f>
        <v>Start</v>
      </c>
      <c r="S44" s="2649" t="str">
        <f>K44</f>
        <v>Without</v>
      </c>
      <c r="T44" s="2650" t="str">
        <f>L44</f>
        <v>With</v>
      </c>
      <c r="U44" s="2292"/>
      <c r="V44" s="2283"/>
      <c r="W44" s="2292" t="str">
        <f>AA20</f>
        <v>Start</v>
      </c>
      <c r="X44" s="2295" t="str">
        <f>AB20</f>
        <v>Without</v>
      </c>
      <c r="Y44" s="2295" t="str">
        <f>AD20</f>
        <v>With</v>
      </c>
      <c r="Z44" s="2293"/>
      <c r="AA44" s="2293"/>
      <c r="AB44" s="2293"/>
      <c r="AC44" s="2293"/>
      <c r="AD44" s="2292"/>
      <c r="AE44" s="2294"/>
      <c r="AF44" s="2648" t="str">
        <f>AF21</f>
        <v>Without</v>
      </c>
      <c r="AG44" s="2648" t="str">
        <f>AG21</f>
        <v>With</v>
      </c>
      <c r="AH44" s="2279"/>
    </row>
    <row r="45" spans="2:34" s="1704" customFormat="1">
      <c r="B45" s="2277" t="str">
        <f>HLOOKUP(select,translations!$A$145:$H$201,28,)</f>
        <v>Dairy cattle</v>
      </c>
      <c r="C45" s="2138"/>
      <c r="D45" s="2088">
        <v>0</v>
      </c>
      <c r="E45" s="2088">
        <v>0</v>
      </c>
      <c r="F45" s="2113" t="s">
        <v>1498</v>
      </c>
      <c r="G45" s="2088">
        <v>0</v>
      </c>
      <c r="H45" s="2113" t="s">
        <v>1498</v>
      </c>
      <c r="I45" s="2275"/>
      <c r="J45" s="1939">
        <v>0</v>
      </c>
      <c r="K45" s="1939">
        <v>0</v>
      </c>
      <c r="L45" s="1939">
        <v>0</v>
      </c>
      <c r="M45" s="2291"/>
      <c r="N45" s="1939">
        <v>0</v>
      </c>
      <c r="O45" s="1939">
        <v>0</v>
      </c>
      <c r="P45" s="1939">
        <v>0</v>
      </c>
      <c r="Q45" s="2286"/>
      <c r="R45" s="1939">
        <v>0</v>
      </c>
      <c r="S45" s="1939">
        <v>0</v>
      </c>
      <c r="T45" s="1939">
        <v>0</v>
      </c>
      <c r="U45" s="2295"/>
      <c r="V45" s="2283"/>
      <c r="W45" s="2323"/>
      <c r="X45" s="2323"/>
      <c r="Y45" s="2324"/>
      <c r="Z45" s="2293"/>
      <c r="AA45" s="2295"/>
      <c r="AB45" s="2295"/>
      <c r="AC45" s="2295"/>
      <c r="AD45" s="2295"/>
      <c r="AE45" s="2140"/>
      <c r="AF45" s="2296">
        <f>Livestock!Q12+Livestock!Q40+Livestock!Q57+Livestock!Q58+SUM(Livestock!Q84:Q87)</f>
        <v>0</v>
      </c>
      <c r="AG45" s="2296">
        <f>Livestock!R12+Livestock!R40+Livestock!R57+Livestock!R58+SUM(Livestock!R84:R87)</f>
        <v>0</v>
      </c>
      <c r="AH45" s="2296">
        <f>AG45-AF45</f>
        <v>0</v>
      </c>
    </row>
    <row r="46" spans="2:34" s="1704" customFormat="1">
      <c r="B46" s="2277" t="str">
        <f>HLOOKUP(select,translations!$A$145:$H$201,29,)</f>
        <v>Other cattle</v>
      </c>
      <c r="C46" s="2138"/>
      <c r="D46" s="2088">
        <v>0</v>
      </c>
      <c r="E46" s="2088">
        <v>0</v>
      </c>
      <c r="F46" s="2113" t="s">
        <v>1498</v>
      </c>
      <c r="G46" s="2088">
        <v>0</v>
      </c>
      <c r="H46" s="2113" t="s">
        <v>1498</v>
      </c>
      <c r="I46" s="2275"/>
      <c r="J46" s="1939">
        <v>0</v>
      </c>
      <c r="K46" s="1939">
        <v>0</v>
      </c>
      <c r="L46" s="1939">
        <v>0</v>
      </c>
      <c r="M46" s="2291"/>
      <c r="N46" s="1939">
        <v>0</v>
      </c>
      <c r="O46" s="1939">
        <v>0</v>
      </c>
      <c r="P46" s="1939">
        <v>0</v>
      </c>
      <c r="Q46" s="2286"/>
      <c r="R46" s="1939">
        <v>0</v>
      </c>
      <c r="S46" s="1939">
        <v>0</v>
      </c>
      <c r="T46" s="1939">
        <v>0</v>
      </c>
      <c r="U46" s="2295"/>
      <c r="V46" s="2283"/>
      <c r="W46" s="2323"/>
      <c r="X46" s="2323"/>
      <c r="Y46" s="2324"/>
      <c r="Z46" s="2293"/>
      <c r="AA46" s="2295"/>
      <c r="AB46" s="2295"/>
      <c r="AC46" s="2295"/>
      <c r="AD46" s="2295"/>
      <c r="AE46" s="2140"/>
      <c r="AF46" s="2296">
        <f>Livestock!Q13+Livestock!Q41+Livestock!Q59+Livestock!Q60+SUM(Livestock!Q88:Q91)</f>
        <v>0</v>
      </c>
      <c r="AG46" s="2296">
        <f>Livestock!R13+Livestock!R41+Livestock!R59+Livestock!R60+SUM(Livestock!R88:R91)</f>
        <v>0</v>
      </c>
      <c r="AH46" s="2296">
        <f t="shared" ref="AH46:AH53" si="2">AG46-AF46</f>
        <v>0</v>
      </c>
    </row>
    <row r="47" spans="2:34" s="1704" customFormat="1">
      <c r="B47" s="2277" t="str">
        <f>HLOOKUP(select,translations!$A$145:$H$201,30,)</f>
        <v>Buffalo</v>
      </c>
      <c r="C47" s="2138"/>
      <c r="D47" s="2088">
        <v>0</v>
      </c>
      <c r="E47" s="2088">
        <v>0</v>
      </c>
      <c r="F47" s="2113" t="s">
        <v>1498</v>
      </c>
      <c r="G47" s="2088">
        <v>0</v>
      </c>
      <c r="H47" s="2113" t="s">
        <v>1498</v>
      </c>
      <c r="I47" s="2275"/>
      <c r="J47" s="1939">
        <v>0</v>
      </c>
      <c r="K47" s="1939">
        <v>0</v>
      </c>
      <c r="L47" s="1939">
        <v>0</v>
      </c>
      <c r="M47" s="2291"/>
      <c r="N47" s="1939">
        <v>0</v>
      </c>
      <c r="O47" s="1939">
        <v>0</v>
      </c>
      <c r="P47" s="1939">
        <v>0</v>
      </c>
      <c r="Q47" s="2286"/>
      <c r="R47" s="1939">
        <v>0</v>
      </c>
      <c r="S47" s="1939">
        <v>0</v>
      </c>
      <c r="T47" s="1939">
        <v>0</v>
      </c>
      <c r="U47" s="2295"/>
      <c r="V47" s="2283"/>
      <c r="W47" s="2323"/>
      <c r="X47" s="2323"/>
      <c r="Y47" s="2324"/>
      <c r="Z47" s="2293"/>
      <c r="AA47" s="2295"/>
      <c r="AB47" s="2295"/>
      <c r="AC47" s="2295"/>
      <c r="AD47" s="2295"/>
      <c r="AE47" s="2140"/>
      <c r="AF47" s="2296">
        <f>Livestock!Q14+Livestock!Q42+Livestock!Q61+Livestock!Q62+SUM(Livestock!Q92:Q95)</f>
        <v>0</v>
      </c>
      <c r="AG47" s="2296">
        <f>Livestock!R14+Livestock!R42+Livestock!R61+Livestock!R62+SUM(Livestock!R92:R95)</f>
        <v>0</v>
      </c>
      <c r="AH47" s="2296">
        <f t="shared" si="2"/>
        <v>0</v>
      </c>
    </row>
    <row r="48" spans="2:34" s="1704" customFormat="1">
      <c r="B48" s="2277" t="str">
        <f>HLOOKUP(select,translations!$A$145:$H$201,31,)</f>
        <v>Sheep</v>
      </c>
      <c r="C48" s="2138"/>
      <c r="D48" s="2088">
        <v>0</v>
      </c>
      <c r="E48" s="2088">
        <v>0</v>
      </c>
      <c r="F48" s="2113" t="s">
        <v>1498</v>
      </c>
      <c r="G48" s="2088">
        <v>0</v>
      </c>
      <c r="H48" s="2113" t="s">
        <v>1498</v>
      </c>
      <c r="I48" s="2275"/>
      <c r="J48" s="1939">
        <v>0</v>
      </c>
      <c r="K48" s="1939">
        <v>0</v>
      </c>
      <c r="L48" s="1939">
        <v>0</v>
      </c>
      <c r="M48" s="2291"/>
      <c r="N48" s="1939">
        <v>0</v>
      </c>
      <c r="O48" s="1939">
        <v>0</v>
      </c>
      <c r="P48" s="1939">
        <v>0</v>
      </c>
      <c r="Q48" s="2286"/>
      <c r="R48" s="1939">
        <v>0</v>
      </c>
      <c r="S48" s="1939">
        <v>0</v>
      </c>
      <c r="T48" s="1939">
        <v>0</v>
      </c>
      <c r="U48" s="2295"/>
      <c r="V48" s="2283"/>
      <c r="W48" s="2323"/>
      <c r="X48" s="2323"/>
      <c r="Y48" s="2324"/>
      <c r="Z48" s="2293"/>
      <c r="AA48" s="2295"/>
      <c r="AB48" s="2295"/>
      <c r="AC48" s="2295"/>
      <c r="AD48" s="2295"/>
      <c r="AE48" s="2140"/>
      <c r="AF48" s="2296">
        <f>Livestock!Q43+Livestock!Q63+Livestock!Q64+Livestock!Q15+SUM(Livestock!Q96:Q99)</f>
        <v>0</v>
      </c>
      <c r="AG48" s="2296">
        <f>Livestock!R43+Livestock!R63+Livestock!R64+Livestock!R15+SUM(Livestock!R96:R99)</f>
        <v>0</v>
      </c>
      <c r="AH48" s="2296">
        <f t="shared" si="2"/>
        <v>0</v>
      </c>
    </row>
    <row r="49" spans="2:34" s="1704" customFormat="1">
      <c r="B49" s="2277" t="str">
        <f>HLOOKUP(select,translations!$A$145:$H$201,32,)</f>
        <v>Swine (Market)</v>
      </c>
      <c r="C49" s="2138"/>
      <c r="D49" s="2088">
        <v>0</v>
      </c>
      <c r="E49" s="2088">
        <v>0</v>
      </c>
      <c r="F49" s="2113" t="s">
        <v>1498</v>
      </c>
      <c r="G49" s="2088">
        <v>0</v>
      </c>
      <c r="H49" s="2113" t="s">
        <v>1498</v>
      </c>
      <c r="I49" s="2275"/>
      <c r="J49" s="3827" t="str">
        <f>HLOOKUP(select,translations!$A$145:$H$201,34,)</f>
        <v>Feeding practices: e.g. more concentrates, adding certain oils or oilseeds to the diet, improving pasture quality,…</v>
      </c>
      <c r="K49" s="3827"/>
      <c r="L49" s="3827"/>
      <c r="M49" s="2281"/>
      <c r="N49" s="3828" t="str">
        <f>HLOOKUP(select,translations!$A$145:$H$201,35,)</f>
        <v>Specific agents: specific agents and dietary additives to reduces CH4 emisisons (Ionophores, vaccines, bST…)</v>
      </c>
      <c r="O49" s="3828"/>
      <c r="P49" s="3828"/>
      <c r="Q49" s="2286"/>
      <c r="R49" s="3827" t="str">
        <f>HLOOKUP(select,translations!$A$145:$H$201,36,)</f>
        <v>Breeding: increasing productivity through breeding and better management practices (reduction in the number of replacement heifers)</v>
      </c>
      <c r="S49" s="3827"/>
      <c r="T49" s="3827"/>
      <c r="U49" s="2295"/>
      <c r="V49" s="2283"/>
      <c r="W49" s="2323"/>
      <c r="X49" s="2323"/>
      <c r="Y49" s="2324"/>
      <c r="Z49" s="2293"/>
      <c r="AA49" s="2292"/>
      <c r="AB49" s="2292"/>
      <c r="AC49" s="2292"/>
      <c r="AD49" s="2292"/>
      <c r="AE49" s="2140"/>
      <c r="AF49" s="2296">
        <f>Livestock!Q16+Livestock!Q44+Livestock!Q66+Livestock!Q65</f>
        <v>0</v>
      </c>
      <c r="AG49" s="2296">
        <f>Livestock!R16+Livestock!R44+Livestock!R66+Livestock!R65</f>
        <v>0</v>
      </c>
      <c r="AH49" s="2296">
        <f t="shared" si="2"/>
        <v>0</v>
      </c>
    </row>
    <row r="50" spans="2:34" s="1704" customFormat="1" ht="13.15" customHeight="1">
      <c r="B50" s="2277" t="str">
        <f>HLOOKUP(select,translations!$A$145:$H$201,33,)</f>
        <v>Swine (Breeding)</v>
      </c>
      <c r="C50" s="2138"/>
      <c r="D50" s="2088">
        <v>0</v>
      </c>
      <c r="E50" s="2088">
        <v>0</v>
      </c>
      <c r="F50" s="2113" t="s">
        <v>1498</v>
      </c>
      <c r="G50" s="2088">
        <v>0</v>
      </c>
      <c r="H50" s="2113" t="s">
        <v>1498</v>
      </c>
      <c r="I50" s="2275"/>
      <c r="J50" s="3827"/>
      <c r="K50" s="3827"/>
      <c r="L50" s="3827"/>
      <c r="M50" s="2281"/>
      <c r="N50" s="3828"/>
      <c r="O50" s="3828"/>
      <c r="P50" s="3828"/>
      <c r="Q50" s="2286"/>
      <c r="R50" s="3827"/>
      <c r="S50" s="3827"/>
      <c r="T50" s="3827"/>
      <c r="U50" s="2295"/>
      <c r="V50" s="2283"/>
      <c r="W50" s="2323"/>
      <c r="X50" s="2323"/>
      <c r="Y50" s="2324"/>
      <c r="Z50" s="2293"/>
      <c r="AA50" s="2292"/>
      <c r="AB50" s="2292"/>
      <c r="AC50" s="2292"/>
      <c r="AD50" s="2292"/>
      <c r="AE50" s="2140"/>
      <c r="AF50" s="2296">
        <f>Livestock!Q17+Livestock!Q45+Livestock!Q67+Livestock!Q68</f>
        <v>0</v>
      </c>
      <c r="AG50" s="2296">
        <f>Livestock!R17+Livestock!R45+Livestock!R67+Livestock!R68</f>
        <v>0</v>
      </c>
      <c r="AH50" s="2296">
        <f t="shared" si="2"/>
        <v>0</v>
      </c>
    </row>
    <row r="51" spans="2:34" s="1704" customFormat="1" ht="18" customHeight="1">
      <c r="B51" s="3824" t="s">
        <v>4</v>
      </c>
      <c r="C51" s="3824"/>
      <c r="D51" s="2088">
        <v>0</v>
      </c>
      <c r="E51" s="2088">
        <v>0</v>
      </c>
      <c r="F51" s="2113" t="s">
        <v>1498</v>
      </c>
      <c r="G51" s="2088">
        <v>0</v>
      </c>
      <c r="H51" s="2113" t="s">
        <v>1498</v>
      </c>
      <c r="I51" s="2275"/>
      <c r="J51" s="3827"/>
      <c r="K51" s="3827"/>
      <c r="L51" s="3827"/>
      <c r="M51" s="2281"/>
      <c r="N51" s="3828"/>
      <c r="O51" s="3828"/>
      <c r="P51" s="3828"/>
      <c r="Q51" s="2286"/>
      <c r="R51" s="3827"/>
      <c r="S51" s="3827"/>
      <c r="T51" s="3827"/>
      <c r="U51" s="2295"/>
      <c r="V51" s="2283"/>
      <c r="W51" s="2323"/>
      <c r="X51" s="2323"/>
      <c r="Y51" s="2324"/>
      <c r="Z51" s="2293"/>
      <c r="AA51" s="2292"/>
      <c r="AB51" s="2292"/>
      <c r="AC51" s="2292"/>
      <c r="AD51" s="2292"/>
      <c r="AE51" s="2140"/>
      <c r="AF51" s="2296">
        <f>Livestock!Q18+Livestock!Q46+Livestock!Q69</f>
        <v>0</v>
      </c>
      <c r="AG51" s="2296">
        <f>Livestock!R18+Livestock!R46+Livestock!R69</f>
        <v>0</v>
      </c>
      <c r="AH51" s="2296">
        <f t="shared" si="2"/>
        <v>0</v>
      </c>
    </row>
    <row r="52" spans="2:34" s="1704" customFormat="1" ht="15.75" customHeight="1">
      <c r="B52" s="3824" t="s">
        <v>415</v>
      </c>
      <c r="C52" s="3824"/>
      <c r="D52" s="2088">
        <v>0</v>
      </c>
      <c r="E52" s="2088">
        <v>0</v>
      </c>
      <c r="F52" s="2113" t="s">
        <v>1498</v>
      </c>
      <c r="G52" s="2088">
        <v>0</v>
      </c>
      <c r="H52" s="2113" t="s">
        <v>1498</v>
      </c>
      <c r="I52" s="2275"/>
      <c r="J52" s="3827"/>
      <c r="K52" s="3827"/>
      <c r="L52" s="3827"/>
      <c r="M52" s="2281"/>
      <c r="N52" s="3828"/>
      <c r="O52" s="3828"/>
      <c r="P52" s="3828"/>
      <c r="Q52" s="2286"/>
      <c r="R52" s="3827"/>
      <c r="S52" s="3827"/>
      <c r="T52" s="3827"/>
      <c r="U52" s="2295"/>
      <c r="V52" s="2283"/>
      <c r="W52" s="2323"/>
      <c r="X52" s="2323"/>
      <c r="Y52" s="2324"/>
      <c r="Z52" s="2293"/>
      <c r="AA52" s="2292"/>
      <c r="AB52" s="2292"/>
      <c r="AC52" s="2292"/>
      <c r="AD52" s="2292"/>
      <c r="AE52" s="2140"/>
      <c r="AF52" s="2296">
        <f>Livestock!Q19+Livestock!Q47+Livestock!Q70</f>
        <v>0</v>
      </c>
      <c r="AG52" s="2296">
        <f>Livestock!R19+Livestock!R47+Livestock!R70</f>
        <v>0</v>
      </c>
      <c r="AH52" s="2296">
        <f t="shared" si="2"/>
        <v>0</v>
      </c>
    </row>
    <row r="53" spans="2:34" s="1704" customFormat="1" ht="21" customHeight="1">
      <c r="B53" s="3824" t="s">
        <v>413</v>
      </c>
      <c r="C53" s="3824"/>
      <c r="D53" s="2088">
        <v>0</v>
      </c>
      <c r="E53" s="2088">
        <v>0</v>
      </c>
      <c r="F53" s="2113" t="s">
        <v>1498</v>
      </c>
      <c r="G53" s="2088">
        <v>0</v>
      </c>
      <c r="H53" s="2113" t="s">
        <v>1498</v>
      </c>
      <c r="I53" s="2275"/>
      <c r="J53" s="3827"/>
      <c r="K53" s="3827"/>
      <c r="L53" s="3827"/>
      <c r="M53" s="2281"/>
      <c r="N53" s="3828"/>
      <c r="O53" s="3828"/>
      <c r="P53" s="3828"/>
      <c r="Q53" s="2286"/>
      <c r="R53" s="3827"/>
      <c r="S53" s="3827"/>
      <c r="T53" s="3827"/>
      <c r="U53" s="2295"/>
      <c r="V53" s="2283"/>
      <c r="W53" s="2323"/>
      <c r="X53" s="2323"/>
      <c r="Y53" s="2324"/>
      <c r="Z53" s="2293"/>
      <c r="AA53" s="2292"/>
      <c r="AB53" s="2292"/>
      <c r="AC53" s="2292"/>
      <c r="AD53" s="2292"/>
      <c r="AE53" s="2140"/>
      <c r="AF53" s="2296">
        <f>Livestock!Q20+Livestock!Q48+Livestock!Q71</f>
        <v>0</v>
      </c>
      <c r="AG53" s="2296">
        <f>Livestock!R20+Livestock!R48+Livestock!R71</f>
        <v>0</v>
      </c>
      <c r="AH53" s="2296">
        <f t="shared" si="2"/>
        <v>0</v>
      </c>
    </row>
    <row r="54" spans="2:34" s="1704" customFormat="1">
      <c r="Q54" s="1709"/>
      <c r="R54" s="1709"/>
      <c r="U54" s="1709"/>
      <c r="V54" s="1709"/>
      <c r="W54" s="1709"/>
      <c r="X54" s="1709"/>
      <c r="Y54" s="1709"/>
      <c r="Z54" s="1709"/>
      <c r="AA54" s="1709"/>
      <c r="AB54" s="1709"/>
      <c r="AC54" s="1709"/>
      <c r="AD54" s="1709"/>
      <c r="AE54" s="1709"/>
      <c r="AF54" s="1709"/>
      <c r="AG54" s="1709"/>
      <c r="AH54" s="1709"/>
    </row>
    <row r="55" spans="2:34" s="1704" customFormat="1">
      <c r="D55" s="1937"/>
      <c r="E55" s="1937" t="str">
        <f>'2.LUC'!V46</f>
        <v xml:space="preserve"> </v>
      </c>
      <c r="Q55" s="1709"/>
      <c r="R55" s="1709"/>
      <c r="U55" s="1709"/>
      <c r="V55" s="1709"/>
      <c r="W55" s="1709"/>
      <c r="X55" s="1709"/>
      <c r="Y55" s="1709"/>
      <c r="Z55" s="2652" t="str">
        <f>HLOOKUP(select,translations!$A$145:$H$201,37,)</f>
        <v>Total Livestock</v>
      </c>
      <c r="AA55" s="1849"/>
      <c r="AB55" s="1849"/>
      <c r="AC55" s="1849"/>
      <c r="AD55" s="1854"/>
      <c r="AE55" s="1850"/>
      <c r="AF55" s="1850">
        <f>SUM(AF45:AF53)</f>
        <v>0</v>
      </c>
      <c r="AG55" s="1850">
        <f>SUM(AG45:AG53)</f>
        <v>0</v>
      </c>
      <c r="AH55" s="1850">
        <f>SUM(AH45:AH53)</f>
        <v>0</v>
      </c>
    </row>
    <row r="56" spans="2:34" s="1704" customFormat="1">
      <c r="D56" s="2653"/>
      <c r="E56" s="2593" t="str">
        <f>IF(Nlang=1,"",CONCATENATE(B51," = ",))</f>
        <v/>
      </c>
      <c r="F56" s="2653" t="str">
        <f>IF(Nlang=1,"",VLOOKUP(B51,'Name translation'!$A$114:$H$121,Nlang+1,))</f>
        <v/>
      </c>
      <c r="G56" s="2653"/>
      <c r="H56" s="2653"/>
      <c r="I56" s="2653"/>
      <c r="Q56" s="1709"/>
      <c r="R56" s="1709"/>
      <c r="U56" s="1709"/>
      <c r="V56" s="1709"/>
      <c r="W56" s="1709"/>
      <c r="X56" s="1709"/>
      <c r="Y56" s="1709"/>
      <c r="Z56" s="1709"/>
      <c r="AA56" s="1709"/>
      <c r="AB56" s="1709"/>
      <c r="AC56" s="1709"/>
      <c r="AD56" s="1709"/>
      <c r="AE56" s="1709"/>
      <c r="AF56" s="1709"/>
      <c r="AG56" s="1709"/>
    </row>
    <row r="57" spans="2:34" s="1704" customFormat="1">
      <c r="D57" s="2653"/>
      <c r="E57" s="2593" t="str">
        <f>IF(Nlang=1,"",CONCATENATE(B52," = ",))</f>
        <v/>
      </c>
      <c r="F57" s="2653" t="str">
        <f>IF(Nlang=1,"",VLOOKUP(B52,'Name translation'!$A$114:$H$121,Nlang+1,))</f>
        <v/>
      </c>
      <c r="G57" s="2653"/>
      <c r="H57" s="2653"/>
      <c r="I57" s="2653"/>
      <c r="Q57" s="1709"/>
      <c r="R57" s="1709"/>
      <c r="U57" s="1709"/>
      <c r="V57" s="1709"/>
      <c r="W57" s="1709"/>
      <c r="X57" s="1709"/>
      <c r="Y57" s="1709"/>
      <c r="Z57" s="1709"/>
      <c r="AA57" s="1709"/>
      <c r="AB57" s="1709"/>
      <c r="AC57" s="1709"/>
      <c r="AD57" s="1709"/>
      <c r="AE57" s="1709"/>
      <c r="AF57" s="1709"/>
      <c r="AG57" s="1709"/>
    </row>
    <row r="58" spans="2:34" s="1704" customFormat="1">
      <c r="D58" s="2653"/>
      <c r="E58" s="2593" t="str">
        <f>IF(Nlang=1,"",CONCATENATE(B53," = ",))</f>
        <v/>
      </c>
      <c r="F58" s="2653" t="str">
        <f>IF(Nlang=1,"",VLOOKUP(B53,'Name translation'!$A$114:$H$121,Nlang+1,))</f>
        <v/>
      </c>
      <c r="G58" s="2653"/>
      <c r="H58" s="2653"/>
      <c r="I58" s="2653"/>
      <c r="Q58" s="1709"/>
      <c r="R58" s="1709"/>
      <c r="U58" s="1709"/>
      <c r="V58" s="1709"/>
      <c r="W58" s="1709"/>
      <c r="X58" s="1709"/>
      <c r="Y58" s="1709"/>
      <c r="Z58" s="1709"/>
      <c r="AA58" s="1709"/>
      <c r="AB58" s="1709"/>
      <c r="AC58" s="1709"/>
      <c r="AD58" s="1709"/>
      <c r="AE58" s="1709"/>
      <c r="AF58" s="1709"/>
      <c r="AG58" s="1709"/>
    </row>
    <row r="59" spans="2:34" s="1704" customFormat="1">
      <c r="Q59" s="1709"/>
      <c r="R59" s="1709"/>
      <c r="U59" s="1709"/>
      <c r="V59" s="1709"/>
      <c r="W59" s="1709"/>
      <c r="X59" s="1709"/>
      <c r="Y59" s="1709"/>
      <c r="Z59" s="1709"/>
      <c r="AA59" s="1709"/>
      <c r="AB59" s="1709"/>
      <c r="AC59" s="1709"/>
      <c r="AD59" s="1709"/>
      <c r="AE59" s="1709"/>
      <c r="AF59" s="1709"/>
      <c r="AG59" s="1709"/>
    </row>
    <row r="60" spans="2:34" s="1704" customFormat="1">
      <c r="Q60" s="1709"/>
      <c r="R60" s="1709"/>
      <c r="U60" s="1709"/>
      <c r="V60" s="1709"/>
      <c r="W60" s="1709"/>
      <c r="X60" s="1709"/>
      <c r="Y60" s="1709"/>
      <c r="Z60" s="1709"/>
      <c r="AA60" s="1709"/>
      <c r="AB60" s="1709"/>
      <c r="AC60" s="1709"/>
      <c r="AD60" s="1709"/>
      <c r="AE60" s="1709"/>
      <c r="AF60" s="1709"/>
      <c r="AG60" s="1709"/>
    </row>
    <row r="61" spans="2:34" s="1704" customFormat="1">
      <c r="Q61" s="1709"/>
      <c r="R61" s="1709"/>
      <c r="U61" s="1709"/>
      <c r="V61" s="1709"/>
      <c r="W61" s="1709"/>
      <c r="X61" s="1709"/>
      <c r="Y61" s="1709"/>
      <c r="Z61" s="1709"/>
      <c r="AA61" s="1709"/>
      <c r="AB61" s="1709"/>
      <c r="AC61" s="1709"/>
      <c r="AD61" s="1709"/>
      <c r="AE61" s="1709"/>
      <c r="AF61" s="1709"/>
      <c r="AG61" s="1709"/>
    </row>
    <row r="62" spans="2:34" s="1704" customFormat="1">
      <c r="Q62" s="1709"/>
      <c r="R62" s="1709"/>
      <c r="U62" s="1709"/>
      <c r="V62" s="1709"/>
      <c r="W62" s="1709"/>
      <c r="X62" s="1709"/>
      <c r="Y62" s="1709"/>
      <c r="Z62" s="1709"/>
      <c r="AA62" s="1709"/>
      <c r="AB62" s="1709"/>
      <c r="AC62" s="1709"/>
      <c r="AD62" s="1709"/>
      <c r="AE62" s="1709"/>
      <c r="AF62" s="1709"/>
      <c r="AG62" s="1709"/>
    </row>
    <row r="63" spans="2:34" s="1704" customFormat="1">
      <c r="Q63" s="1709"/>
      <c r="R63" s="1709"/>
      <c r="U63" s="1709"/>
      <c r="V63" s="1709"/>
      <c r="W63" s="1709"/>
      <c r="X63" s="1709"/>
      <c r="Y63" s="1709"/>
      <c r="Z63" s="1709"/>
      <c r="AA63" s="1709"/>
      <c r="AB63" s="1709"/>
      <c r="AC63" s="1709"/>
      <c r="AD63" s="1709"/>
      <c r="AE63" s="1709"/>
      <c r="AF63" s="1709"/>
      <c r="AG63" s="1709"/>
    </row>
    <row r="64" spans="2:34" s="1704" customFormat="1">
      <c r="Q64" s="1709"/>
      <c r="R64" s="1709"/>
      <c r="U64" s="1709"/>
      <c r="V64" s="1709"/>
      <c r="W64" s="1709"/>
      <c r="X64" s="1709"/>
      <c r="Y64" s="1709"/>
      <c r="Z64" s="1709"/>
      <c r="AA64" s="1709"/>
      <c r="AB64" s="1709"/>
      <c r="AC64" s="1709"/>
      <c r="AD64" s="1709"/>
      <c r="AE64" s="1709"/>
      <c r="AF64" s="1709"/>
      <c r="AG64" s="1709"/>
    </row>
    <row r="65" spans="17:33" s="1704" customFormat="1">
      <c r="Q65" s="1709"/>
      <c r="R65" s="1709"/>
      <c r="U65" s="1709"/>
      <c r="V65" s="1709"/>
      <c r="W65" s="1709"/>
      <c r="X65" s="1709"/>
      <c r="Y65" s="1709"/>
      <c r="Z65" s="1709"/>
      <c r="AA65" s="1709"/>
      <c r="AB65" s="1709"/>
      <c r="AC65" s="1709"/>
      <c r="AD65" s="1709"/>
      <c r="AE65" s="1709"/>
      <c r="AF65" s="1709"/>
      <c r="AG65" s="1709"/>
    </row>
    <row r="66" spans="17:33" s="1704" customFormat="1">
      <c r="Q66" s="1709"/>
      <c r="R66" s="1709"/>
      <c r="U66" s="1709"/>
      <c r="V66" s="1709"/>
      <c r="W66" s="1709"/>
      <c r="X66" s="1709"/>
      <c r="Y66" s="1709"/>
      <c r="Z66" s="1709"/>
      <c r="AA66" s="1709"/>
      <c r="AB66" s="1709"/>
      <c r="AC66" s="1709"/>
      <c r="AD66" s="1709"/>
      <c r="AE66" s="1709"/>
      <c r="AF66" s="1709"/>
      <c r="AG66" s="1709"/>
    </row>
    <row r="67" spans="17:33" s="1704" customFormat="1">
      <c r="Q67" s="1709"/>
      <c r="R67" s="1709"/>
      <c r="U67" s="1709"/>
      <c r="V67" s="1709"/>
      <c r="W67" s="1709"/>
      <c r="X67" s="1709"/>
      <c r="Y67" s="1709"/>
      <c r="Z67" s="1709"/>
      <c r="AA67" s="1709"/>
      <c r="AB67" s="1709"/>
      <c r="AC67" s="1709"/>
      <c r="AD67" s="1709"/>
      <c r="AE67" s="1709"/>
      <c r="AF67" s="1709"/>
      <c r="AG67" s="1709"/>
    </row>
    <row r="68" spans="17:33" s="1704" customFormat="1">
      <c r="Q68" s="1709"/>
      <c r="R68" s="1709"/>
      <c r="U68" s="1709"/>
      <c r="V68" s="1709"/>
      <c r="W68" s="1709"/>
      <c r="X68" s="1709"/>
      <c r="Y68" s="1709"/>
      <c r="Z68" s="1709"/>
      <c r="AA68" s="1709"/>
      <c r="AB68" s="1709"/>
      <c r="AC68" s="1709"/>
      <c r="AD68" s="1709"/>
      <c r="AE68" s="1709"/>
      <c r="AF68" s="1709"/>
      <c r="AG68" s="1709"/>
    </row>
    <row r="69" spans="17:33" s="1704" customFormat="1">
      <c r="Q69" s="1709"/>
      <c r="R69" s="1709"/>
      <c r="U69" s="1709"/>
      <c r="V69" s="1709"/>
      <c r="W69" s="1709"/>
      <c r="X69" s="1709"/>
      <c r="Y69" s="1709"/>
      <c r="Z69" s="1709"/>
      <c r="AA69" s="1709"/>
      <c r="AB69" s="1709"/>
      <c r="AC69" s="1709"/>
      <c r="AD69" s="1709"/>
      <c r="AE69" s="1709"/>
      <c r="AF69" s="1709"/>
      <c r="AG69" s="1709"/>
    </row>
    <row r="70" spans="17:33" s="1704" customFormat="1">
      <c r="Q70" s="1709"/>
      <c r="R70" s="1709"/>
      <c r="U70" s="1709"/>
      <c r="V70" s="1709"/>
      <c r="W70" s="1709"/>
      <c r="X70" s="1709"/>
      <c r="Y70" s="1709"/>
      <c r="Z70" s="1709"/>
      <c r="AA70" s="1709"/>
      <c r="AB70" s="1709"/>
      <c r="AC70" s="1709"/>
      <c r="AD70" s="1709"/>
      <c r="AE70" s="1709"/>
      <c r="AF70" s="1709"/>
      <c r="AG70" s="1709"/>
    </row>
    <row r="71" spans="17:33" s="1704" customFormat="1">
      <c r="Q71" s="1709"/>
      <c r="R71" s="1709"/>
      <c r="U71" s="1709"/>
      <c r="V71" s="1709"/>
      <c r="W71" s="1709"/>
      <c r="X71" s="1709"/>
      <c r="Y71" s="1709"/>
      <c r="Z71" s="1709"/>
      <c r="AA71" s="1709"/>
      <c r="AB71" s="1709"/>
      <c r="AC71" s="1709"/>
      <c r="AD71" s="1709"/>
      <c r="AE71" s="1709"/>
      <c r="AF71" s="1709"/>
      <c r="AG71" s="1709"/>
    </row>
    <row r="72" spans="17:33" s="1704" customFormat="1">
      <c r="Q72" s="1709"/>
      <c r="R72" s="1709"/>
      <c r="U72" s="1709"/>
      <c r="V72" s="1709"/>
      <c r="W72" s="1709"/>
      <c r="X72" s="1709"/>
      <c r="Y72" s="1709"/>
      <c r="Z72" s="1709"/>
      <c r="AA72" s="1709"/>
      <c r="AB72" s="1709"/>
      <c r="AC72" s="1709"/>
      <c r="AD72" s="1709"/>
      <c r="AE72" s="1709"/>
      <c r="AF72" s="1709"/>
      <c r="AG72" s="1709"/>
    </row>
    <row r="73" spans="17:33" s="1704" customFormat="1">
      <c r="Q73" s="1709"/>
      <c r="R73" s="1709"/>
      <c r="U73" s="1709"/>
      <c r="V73" s="1709"/>
      <c r="W73" s="1709"/>
      <c r="X73" s="1709"/>
      <c r="Y73" s="1709"/>
      <c r="Z73" s="1709"/>
      <c r="AA73" s="1709"/>
      <c r="AB73" s="1709"/>
      <c r="AC73" s="1709"/>
      <c r="AD73" s="1709"/>
      <c r="AE73" s="1709"/>
      <c r="AF73" s="1709"/>
      <c r="AG73" s="1709"/>
    </row>
    <row r="74" spans="17:33" s="1704" customFormat="1">
      <c r="Q74" s="1709"/>
      <c r="R74" s="1709"/>
      <c r="U74" s="1709"/>
      <c r="V74" s="1709"/>
      <c r="W74" s="1709"/>
      <c r="X74" s="1709"/>
      <c r="Y74" s="1709"/>
      <c r="Z74" s="1709"/>
      <c r="AA74" s="1709"/>
      <c r="AB74" s="1709"/>
      <c r="AC74" s="1709"/>
      <c r="AD74" s="1709"/>
      <c r="AE74" s="1709"/>
      <c r="AF74" s="1709"/>
      <c r="AG74" s="1709"/>
    </row>
    <row r="75" spans="17:33" s="1704" customFormat="1">
      <c r="Q75" s="1709"/>
      <c r="R75" s="1709"/>
      <c r="U75" s="1709"/>
      <c r="V75" s="1709"/>
      <c r="W75" s="1709"/>
      <c r="X75" s="1709"/>
      <c r="Y75" s="1709"/>
      <c r="Z75" s="1709"/>
      <c r="AA75" s="1709"/>
      <c r="AB75" s="1709"/>
      <c r="AC75" s="1709"/>
      <c r="AD75" s="1709"/>
      <c r="AE75" s="1709"/>
      <c r="AF75" s="1709"/>
      <c r="AG75" s="1709"/>
    </row>
    <row r="76" spans="17:33" s="1704" customFormat="1">
      <c r="Q76" s="1709"/>
      <c r="R76" s="1709"/>
      <c r="U76" s="1709"/>
      <c r="V76" s="1709"/>
      <c r="W76" s="1709"/>
      <c r="X76" s="1709"/>
      <c r="Y76" s="1709"/>
      <c r="Z76" s="1709"/>
      <c r="AA76" s="1709"/>
      <c r="AB76" s="1709"/>
      <c r="AC76" s="1709"/>
      <c r="AD76" s="1709"/>
      <c r="AE76" s="1709"/>
      <c r="AF76" s="1709"/>
      <c r="AG76" s="1709"/>
    </row>
    <row r="77" spans="17:33" s="1704" customFormat="1">
      <c r="Q77" s="1709"/>
      <c r="R77" s="1709"/>
      <c r="U77" s="1709"/>
      <c r="V77" s="1709"/>
      <c r="W77" s="1709"/>
      <c r="X77" s="1709"/>
      <c r="Y77" s="1709"/>
      <c r="Z77" s="1709"/>
      <c r="AA77" s="1709"/>
      <c r="AB77" s="1709"/>
      <c r="AC77" s="1709"/>
      <c r="AD77" s="1709"/>
      <c r="AE77" s="1709"/>
      <c r="AF77" s="1709"/>
      <c r="AG77" s="1709"/>
    </row>
    <row r="78" spans="17:33" s="1704" customFormat="1">
      <c r="Q78" s="1709"/>
      <c r="R78" s="1709"/>
      <c r="U78" s="1709"/>
      <c r="V78" s="1709"/>
      <c r="W78" s="1709"/>
      <c r="X78" s="1709"/>
      <c r="Y78" s="1709"/>
      <c r="Z78" s="1709"/>
      <c r="AA78" s="1709"/>
      <c r="AB78" s="1709"/>
      <c r="AC78" s="1709"/>
      <c r="AD78" s="1709"/>
      <c r="AE78" s="1709"/>
      <c r="AF78" s="1709"/>
      <c r="AG78" s="1709"/>
    </row>
    <row r="79" spans="17:33" s="1704" customFormat="1">
      <c r="Q79" s="1709"/>
      <c r="R79" s="1709"/>
      <c r="U79" s="1709"/>
      <c r="V79" s="1709"/>
      <c r="W79" s="1709"/>
      <c r="X79" s="1709"/>
      <c r="Y79" s="1709"/>
      <c r="Z79" s="1709"/>
      <c r="AA79" s="1709"/>
      <c r="AB79" s="1709"/>
      <c r="AC79" s="1709"/>
      <c r="AD79" s="1709"/>
      <c r="AE79" s="1709"/>
      <c r="AF79" s="1709"/>
      <c r="AG79" s="1709"/>
    </row>
    <row r="80" spans="17:33" s="1704" customFormat="1">
      <c r="Q80" s="1709"/>
      <c r="R80" s="1709"/>
      <c r="U80" s="1709"/>
      <c r="V80" s="1709"/>
      <c r="W80" s="1709"/>
      <c r="X80" s="1709"/>
      <c r="Y80" s="1709"/>
      <c r="Z80" s="1709"/>
      <c r="AA80" s="1709"/>
      <c r="AB80" s="1709"/>
      <c r="AC80" s="1709"/>
      <c r="AD80" s="1709"/>
      <c r="AE80" s="1709"/>
      <c r="AF80" s="1709"/>
      <c r="AG80" s="1709"/>
    </row>
    <row r="81" spans="2:33" s="1704" customFormat="1">
      <c r="Q81" s="1709"/>
      <c r="R81" s="1709"/>
      <c r="U81" s="1709"/>
      <c r="V81" s="1709"/>
      <c r="W81" s="1709"/>
      <c r="X81" s="1709"/>
      <c r="Y81" s="1709"/>
      <c r="Z81" s="1709"/>
      <c r="AA81" s="1709"/>
      <c r="AB81" s="1709"/>
      <c r="AC81" s="1709"/>
      <c r="AD81" s="1709"/>
      <c r="AE81" s="1709"/>
      <c r="AF81" s="1709"/>
      <c r="AG81" s="1709"/>
    </row>
    <row r="82" spans="2:33" s="1704" customFormat="1" ht="15.75">
      <c r="B82" s="2531" t="str">
        <f>B7</f>
        <v>4.1. Grassland systems</v>
      </c>
      <c r="C82" s="2585"/>
      <c r="D82" s="2585"/>
      <c r="E82" s="2585"/>
      <c r="F82" s="2585"/>
      <c r="G82" s="2585"/>
      <c r="H82" s="2585"/>
      <c r="I82" s="2585"/>
      <c r="J82" s="2585"/>
      <c r="K82" s="2585"/>
      <c r="L82" s="2585"/>
      <c r="M82" s="2585"/>
      <c r="N82" s="2585"/>
      <c r="O82" s="2585"/>
      <c r="P82" s="2585"/>
      <c r="Q82" s="2585"/>
      <c r="R82" s="2585"/>
      <c r="S82" s="2585"/>
      <c r="T82" s="2585"/>
      <c r="U82" s="1709"/>
      <c r="V82" s="1709"/>
      <c r="W82" s="1709"/>
      <c r="X82" s="1709"/>
      <c r="Y82" s="1709"/>
      <c r="Z82" s="1709"/>
      <c r="AA82" s="1709"/>
      <c r="AB82" s="1709"/>
      <c r="AC82" s="1709"/>
      <c r="AD82" s="1709"/>
      <c r="AE82" s="1709"/>
      <c r="AF82" s="1709"/>
      <c r="AG82" s="1709"/>
    </row>
    <row r="83" spans="2:33" s="1704" customFormat="1">
      <c r="Q83" s="1709"/>
      <c r="R83" s="1709"/>
      <c r="U83" s="1709"/>
      <c r="V83" s="1709"/>
      <c r="W83" s="1709"/>
      <c r="X83" s="1709"/>
      <c r="Y83" s="1709"/>
      <c r="Z83" s="1709"/>
      <c r="AA83" s="1709"/>
      <c r="AB83" s="1709"/>
      <c r="AC83" s="1709"/>
      <c r="AD83" s="1709"/>
      <c r="AE83" s="1709"/>
      <c r="AF83" s="1709"/>
      <c r="AG83" s="1709"/>
    </row>
    <row r="84" spans="2:33" s="1704" customFormat="1">
      <c r="B84" s="1806"/>
      <c r="C84" s="1806"/>
      <c r="D84" s="1806"/>
      <c r="E84" s="1806"/>
      <c r="F84" s="1806"/>
      <c r="G84" s="1806"/>
      <c r="H84" s="1806"/>
      <c r="I84" s="1806"/>
      <c r="J84" s="1806"/>
      <c r="K84" s="1806"/>
      <c r="L84" s="1806"/>
      <c r="M84" s="1806"/>
      <c r="N84" s="1806"/>
      <c r="O84" s="1806"/>
      <c r="P84" s="1806"/>
      <c r="Q84" s="1806"/>
      <c r="R84" s="1806"/>
      <c r="S84" s="1806"/>
      <c r="T84" s="1806"/>
      <c r="U84" s="1709"/>
      <c r="V84" s="1709"/>
      <c r="W84" s="1709"/>
      <c r="X84" s="1709"/>
      <c r="Y84" s="1709"/>
      <c r="Z84" s="1709"/>
      <c r="AA84" s="1709"/>
      <c r="AB84" s="1709"/>
      <c r="AC84" s="1709"/>
      <c r="AD84" s="1709"/>
      <c r="AE84" s="1709"/>
      <c r="AF84" s="1709"/>
      <c r="AG84" s="1709"/>
    </row>
    <row r="85" spans="2:33" s="1704" customFormat="1">
      <c r="B85" s="1806"/>
      <c r="C85" s="1806"/>
      <c r="D85" s="1806"/>
      <c r="E85" s="1806"/>
      <c r="F85" s="1806"/>
      <c r="G85" s="1806"/>
      <c r="H85" s="1806"/>
      <c r="I85" s="1806"/>
      <c r="J85" s="1806"/>
      <c r="K85" s="1806"/>
      <c r="L85" s="1806"/>
      <c r="M85" s="1806"/>
      <c r="N85" s="1806"/>
      <c r="O85" s="1806"/>
      <c r="P85" s="1806"/>
      <c r="Q85" s="1806"/>
      <c r="R85" s="1806"/>
      <c r="S85" s="1806"/>
      <c r="T85" s="1806"/>
      <c r="U85" s="1709"/>
      <c r="V85" s="1709"/>
      <c r="W85" s="1709"/>
      <c r="X85" s="1709"/>
      <c r="Y85" s="1709"/>
      <c r="Z85" s="1709"/>
      <c r="AA85" s="1709"/>
      <c r="AB85" s="1709"/>
      <c r="AC85" s="1709"/>
      <c r="AD85" s="1709"/>
      <c r="AE85" s="1709"/>
      <c r="AF85" s="1709"/>
      <c r="AG85" s="1709"/>
    </row>
    <row r="86" spans="2:33" s="1704" customFormat="1">
      <c r="B86" s="1806"/>
      <c r="C86" s="1806"/>
      <c r="D86" s="1806"/>
      <c r="E86" s="1806"/>
      <c r="F86" s="1806"/>
      <c r="G86" s="1806"/>
      <c r="H86" s="1806"/>
      <c r="I86" s="1806"/>
      <c r="J86" s="1806"/>
      <c r="K86" s="1806"/>
      <c r="L86" s="1806"/>
      <c r="M86" s="1806"/>
      <c r="N86" s="1806"/>
      <c r="O86" s="1806"/>
      <c r="P86" s="1806"/>
      <c r="Q86" s="1806"/>
      <c r="R86" s="1806"/>
      <c r="S86" s="1806"/>
      <c r="T86" s="1806"/>
      <c r="U86" s="1709"/>
      <c r="V86" s="1709"/>
      <c r="W86" s="1709"/>
      <c r="X86" s="1709"/>
      <c r="Y86" s="1709"/>
      <c r="Z86" s="1709"/>
      <c r="AA86" s="1709"/>
      <c r="AB86" s="1709"/>
      <c r="AC86" s="1709"/>
      <c r="AD86" s="1709"/>
      <c r="AE86" s="1709"/>
      <c r="AF86" s="1709"/>
      <c r="AG86" s="1709"/>
    </row>
    <row r="87" spans="2:33" s="1704" customFormat="1">
      <c r="B87" s="2587" t="str">
        <f>'3.Cropland'!B122</f>
        <v>Use this part only if you want to refine the analysis with Tier 2 coefficients.</v>
      </c>
      <c r="C87" s="1806"/>
      <c r="D87" s="1806"/>
      <c r="E87" s="1806"/>
      <c r="F87" s="1806"/>
      <c r="G87" s="1806"/>
      <c r="H87" s="1806"/>
      <c r="I87" s="1806"/>
      <c r="J87" s="1806"/>
      <c r="K87" s="1806"/>
      <c r="L87" s="1806"/>
      <c r="M87" s="1806"/>
      <c r="N87" s="1806"/>
      <c r="O87" s="1806"/>
      <c r="P87" s="1806"/>
      <c r="Q87" s="1806"/>
      <c r="R87" s="1806"/>
      <c r="S87" s="1806"/>
      <c r="T87" s="1806"/>
      <c r="U87" s="1709"/>
      <c r="V87" s="1709"/>
      <c r="W87" s="1709"/>
      <c r="X87" s="1709"/>
      <c r="Y87" s="1709"/>
      <c r="Z87" s="1709"/>
      <c r="AA87" s="1709"/>
      <c r="AB87" s="1709"/>
      <c r="AC87" s="1709"/>
      <c r="AD87" s="1709"/>
      <c r="AE87" s="1709"/>
      <c r="AF87" s="1709"/>
      <c r="AG87" s="1709"/>
    </row>
    <row r="88" spans="2:33" s="1704" customFormat="1">
      <c r="B88" s="1806" t="str">
        <f>'3.Cropland'!B123</f>
        <v>(default values are provided for your information only, while EX-ACT will use Tier 2 values automatically wherever specified)</v>
      </c>
      <c r="C88" s="1806"/>
      <c r="D88" s="1806"/>
      <c r="E88" s="1806"/>
      <c r="F88" s="1806"/>
      <c r="G88" s="1806"/>
      <c r="H88" s="1806"/>
      <c r="I88" s="1806"/>
      <c r="J88" s="1806"/>
      <c r="K88" s="1806"/>
      <c r="L88" s="1806"/>
      <c r="M88" s="1806"/>
      <c r="N88" s="1806"/>
      <c r="O88" s="1806"/>
      <c r="P88" s="1806"/>
      <c r="Q88" s="1806"/>
      <c r="R88" s="1806"/>
      <c r="S88" s="1806"/>
      <c r="T88" s="1806"/>
      <c r="U88" s="1709"/>
      <c r="V88" s="1709"/>
      <c r="W88" s="1709"/>
      <c r="X88" s="1709"/>
      <c r="Y88" s="1709"/>
      <c r="Z88" s="1709"/>
      <c r="AA88" s="1709"/>
      <c r="AB88" s="1709"/>
      <c r="AC88" s="1709"/>
      <c r="AD88" s="1709"/>
      <c r="AE88" s="1709"/>
      <c r="AF88" s="1709"/>
      <c r="AG88" s="1709"/>
    </row>
    <row r="89" spans="2:33" s="1704" customFormat="1">
      <c r="U89" s="1709"/>
      <c r="V89" s="1709"/>
      <c r="W89" s="1709"/>
      <c r="X89" s="1709"/>
      <c r="Y89" s="1709"/>
      <c r="Z89" s="1709"/>
      <c r="AA89" s="1709"/>
      <c r="AB89" s="1709"/>
      <c r="AC89" s="1709"/>
      <c r="AD89" s="1709"/>
      <c r="AE89" s="1709"/>
      <c r="AF89" s="1709"/>
      <c r="AG89" s="1709"/>
    </row>
    <row r="90" spans="2:33" s="1704" customFormat="1">
      <c r="B90" s="2587" t="str">
        <f>HLOOKUP(select,translations!$A$145:$H$201,38,)</f>
        <v>Corresponding soil C stocks</v>
      </c>
      <c r="C90" s="1806"/>
      <c r="D90" s="1806"/>
      <c r="E90" s="3829" t="str">
        <f>HLOOKUP(select,translations!$A$145:$H$201,45,)</f>
        <v>(tC/ha)</v>
      </c>
      <c r="F90" s="3829"/>
      <c r="G90" s="3829"/>
      <c r="H90" s="1806"/>
      <c r="K90" s="2587" t="str">
        <f>'2.LUC'!E100</f>
        <v>Above-ground</v>
      </c>
      <c r="L90" s="1806"/>
      <c r="M90" s="1806"/>
      <c r="N90" s="2852" t="str">
        <f>'3.Cropland'!Q127</f>
        <v>Main season crop</v>
      </c>
      <c r="O90" s="2852"/>
      <c r="P90" s="1806"/>
      <c r="Q90" s="1806"/>
      <c r="R90" s="1806"/>
      <c r="S90" s="1806"/>
      <c r="T90" s="1806"/>
      <c r="U90" s="1709"/>
      <c r="V90" s="1709"/>
      <c r="W90" s="1709"/>
      <c r="X90" s="1709"/>
      <c r="Y90" s="1709"/>
      <c r="Z90" s="1709"/>
      <c r="AA90" s="1709"/>
      <c r="AB90" s="1709"/>
      <c r="AC90" s="1709"/>
      <c r="AD90" s="1709"/>
      <c r="AE90" s="1709"/>
      <c r="AF90" s="1709"/>
      <c r="AG90" s="1709"/>
    </row>
    <row r="91" spans="2:33" s="1704" customFormat="1">
      <c r="B91" s="1806"/>
      <c r="C91" s="1806"/>
      <c r="D91" s="1806"/>
      <c r="E91" s="1807" t="str">
        <f>'3.Cropland'!F128</f>
        <v>Default</v>
      </c>
      <c r="F91" s="1806"/>
      <c r="G91" s="1807" t="str">
        <f>'3.Cropland'!G128</f>
        <v>Tier 2</v>
      </c>
      <c r="H91" s="1806"/>
      <c r="K91" s="3831" t="str">
        <f>HLOOKUP(select,translations!$A$145:$H$201,45,)</f>
        <v>(tC/ha)</v>
      </c>
      <c r="L91" s="3831"/>
      <c r="M91" s="1806"/>
      <c r="N91" s="1807" t="str">
        <f>E91</f>
        <v>Default</v>
      </c>
      <c r="O91" s="2823" t="str">
        <f>G91</f>
        <v>Tier 2</v>
      </c>
      <c r="P91" s="1806"/>
      <c r="Q91" s="1806"/>
      <c r="R91" s="1806"/>
      <c r="S91" s="1806"/>
      <c r="T91" s="1806"/>
      <c r="U91" s="1709"/>
      <c r="V91" s="1709"/>
      <c r="W91" s="1709"/>
      <c r="X91" s="1709"/>
      <c r="Y91" s="1709"/>
      <c r="Z91" s="1709"/>
      <c r="AA91" s="1709"/>
      <c r="AB91" s="1709"/>
      <c r="AC91" s="1709"/>
      <c r="AD91" s="1709"/>
      <c r="AE91" s="1709"/>
      <c r="AF91" s="1709"/>
      <c r="AG91" s="1709"/>
    </row>
    <row r="92" spans="2:33" s="1704" customFormat="1">
      <c r="B92" s="2823" t="str">
        <f>HLOOKUP(select,translations!$A$145:$H$201,39,)</f>
        <v>Non degraded</v>
      </c>
      <c r="C92" s="1806"/>
      <c r="D92" s="1806"/>
      <c r="E92" s="2586">
        <f>VLOOKUP(clim_full,' IPCC'!$A$569:$I$581,1+MATCH(soil,soil_type,),)</f>
        <v>0</v>
      </c>
      <c r="F92" s="1806"/>
      <c r="G92" s="2578"/>
      <c r="H92" s="1806"/>
      <c r="K92" s="3831"/>
      <c r="L92" s="3831"/>
      <c r="M92" s="1806"/>
      <c r="N92" s="1807">
        <f>VLOOKUP(clim_full,' IPCC'!A648:B659,2,)</f>
        <v>0</v>
      </c>
      <c r="O92" s="2578"/>
      <c r="P92" s="1806"/>
      <c r="Q92" s="1806"/>
      <c r="R92" s="1806"/>
      <c r="S92" s="1806"/>
      <c r="T92" s="1806"/>
      <c r="U92" s="1709"/>
      <c r="V92" s="1709"/>
      <c r="W92" s="1709"/>
      <c r="X92" s="1709"/>
      <c r="Y92" s="1709"/>
      <c r="Z92" s="1709"/>
      <c r="AA92" s="1709"/>
      <c r="AB92" s="1709"/>
      <c r="AC92" s="1709"/>
      <c r="AD92" s="1709"/>
      <c r="AE92" s="1709"/>
      <c r="AF92" s="1709"/>
      <c r="AG92" s="1709"/>
    </row>
    <row r="93" spans="2:33" s="1704" customFormat="1">
      <c r="B93" s="2823" t="str">
        <f>HLOOKUP(select,translations!$A$145:$H$201,40,)</f>
        <v>Severely Degraded</v>
      </c>
      <c r="C93" s="1806"/>
      <c r="D93" s="1806"/>
      <c r="E93" s="2586">
        <f>VLOOKUP(clim_full,' IPCC'!$A$569:$I$581,1+MATCH(soil,soil_type,),)*0.7</f>
        <v>0</v>
      </c>
      <c r="F93" s="1806"/>
      <c r="G93" s="2578"/>
      <c r="H93" s="1806"/>
      <c r="U93" s="1709"/>
      <c r="V93" s="1709"/>
      <c r="W93" s="1709"/>
      <c r="X93" s="1709"/>
      <c r="Y93" s="1709"/>
      <c r="Z93" s="1709"/>
      <c r="AA93" s="1709"/>
      <c r="AB93" s="1709"/>
      <c r="AC93" s="1709"/>
      <c r="AD93" s="1709"/>
      <c r="AE93" s="1709"/>
      <c r="AF93" s="1709"/>
      <c r="AG93" s="1709"/>
    </row>
    <row r="94" spans="2:33" s="1704" customFormat="1">
      <c r="B94" s="2823" t="str">
        <f>HLOOKUP(select,translations!$A$145:$H$201,41,)</f>
        <v>Moderately Degraded</v>
      </c>
      <c r="C94" s="1806"/>
      <c r="D94" s="1806"/>
      <c r="E94" s="2586">
        <f>VLOOKUP(clim_full,' IPCC'!$A$569:$I$581,1+MATCH(soil,soil_type,),)*VLOOKUP(clim_full,' IPCC'!$A$633:$D$644,4,)</f>
        <v>0</v>
      </c>
      <c r="F94" s="1806"/>
      <c r="G94" s="2578"/>
      <c r="H94" s="1806"/>
      <c r="K94" s="2587" t="str">
        <f>HLOOKUP(select,translations!$A$145:$H$201,44,)</f>
        <v>Combustion</v>
      </c>
      <c r="L94" s="1807"/>
      <c r="M94" s="1806"/>
      <c r="N94" s="3829" t="s">
        <v>93</v>
      </c>
      <c r="O94" s="3829"/>
      <c r="P94" s="1806"/>
      <c r="Q94" s="1806"/>
      <c r="R94" s="1806"/>
      <c r="S94" s="1806"/>
      <c r="T94" s="1806"/>
      <c r="U94" s="1709"/>
      <c r="V94" s="1709"/>
      <c r="W94" s="1709"/>
      <c r="X94" s="1709"/>
      <c r="Y94" s="1709"/>
      <c r="Z94" s="1709"/>
      <c r="AA94" s="1709"/>
      <c r="AB94" s="1709"/>
      <c r="AC94" s="1709"/>
      <c r="AD94" s="1709"/>
      <c r="AE94" s="1709"/>
      <c r="AF94" s="1709"/>
      <c r="AG94" s="1709"/>
    </row>
    <row r="95" spans="2:33" s="1704" customFormat="1">
      <c r="B95" s="2823" t="str">
        <f>HLOOKUP(select,translations!$A$145:$H$201,42,)</f>
        <v>Improved without inputs management</v>
      </c>
      <c r="C95" s="1806"/>
      <c r="D95" s="1806"/>
      <c r="E95" s="2586">
        <f>VLOOKUP(clim_full,' IPCC'!$A$569:$I$581,1+MATCH(soil,soil_type,),)*VLOOKUP(clim_full,' IPCC'!$A$633:$E$644,5,)</f>
        <v>0</v>
      </c>
      <c r="F95" s="1806"/>
      <c r="G95" s="2578"/>
      <c r="H95" s="1806"/>
      <c r="K95" s="3831"/>
      <c r="L95" s="3831"/>
      <c r="M95" s="1807"/>
      <c r="N95" s="1807" t="str">
        <f>N91</f>
        <v>Default</v>
      </c>
      <c r="O95" s="2823" t="str">
        <f>O91</f>
        <v>Tier 2</v>
      </c>
      <c r="P95" s="1806"/>
      <c r="Q95" s="1806"/>
      <c r="R95" s="1806"/>
      <c r="S95" s="1806"/>
      <c r="T95" s="1806"/>
      <c r="U95" s="1709"/>
      <c r="V95" s="1709"/>
      <c r="W95" s="1709"/>
      <c r="X95" s="1709"/>
      <c r="Y95" s="1709"/>
      <c r="Z95" s="1709"/>
      <c r="AA95" s="1709"/>
      <c r="AB95" s="1709"/>
      <c r="AC95" s="1709"/>
      <c r="AD95" s="1709"/>
      <c r="AE95" s="1709"/>
      <c r="AF95" s="1709"/>
      <c r="AG95" s="1709"/>
    </row>
    <row r="96" spans="2:33" s="1704" customFormat="1">
      <c r="B96" s="2823" t="str">
        <f>HLOOKUP(select,translations!$A$145:$H$201,43,)</f>
        <v>Improved with inputs improvement</v>
      </c>
      <c r="C96" s="1806"/>
      <c r="D96" s="1806"/>
      <c r="E96" s="2586">
        <f>E95*1.11</f>
        <v>0</v>
      </c>
      <c r="F96" s="1806"/>
      <c r="G96" s="2578"/>
      <c r="H96" s="1806"/>
      <c r="K96" s="3831"/>
      <c r="L96" s="3831"/>
      <c r="M96" s="1807"/>
      <c r="N96" s="2588">
        <v>0.77</v>
      </c>
      <c r="O96" s="2262"/>
      <c r="P96" s="1806"/>
      <c r="Q96" s="1806"/>
      <c r="R96" s="1806"/>
      <c r="S96" s="1806"/>
      <c r="T96" s="1806"/>
      <c r="U96" s="1709"/>
      <c r="V96" s="1709"/>
      <c r="W96" s="1709"/>
      <c r="X96" s="1709"/>
      <c r="Y96" s="1709"/>
      <c r="Z96" s="1709"/>
      <c r="AA96" s="1709"/>
      <c r="AB96" s="1709"/>
      <c r="AC96" s="1709"/>
      <c r="AD96" s="1709"/>
      <c r="AE96" s="1709"/>
      <c r="AF96" s="1709"/>
      <c r="AG96" s="1709"/>
    </row>
    <row r="97" spans="17:33" s="1704" customFormat="1">
      <c r="Q97" s="1709"/>
      <c r="R97" s="1709"/>
      <c r="U97" s="1709"/>
      <c r="V97" s="1709"/>
      <c r="W97" s="1709"/>
      <c r="X97" s="1709"/>
      <c r="Y97" s="1709"/>
      <c r="Z97" s="1709"/>
      <c r="AA97" s="1709"/>
      <c r="AB97" s="1709"/>
      <c r="AC97" s="1709"/>
      <c r="AD97" s="1709"/>
      <c r="AE97" s="1709"/>
      <c r="AF97" s="1709"/>
      <c r="AG97" s="1709"/>
    </row>
    <row r="98" spans="17:33" s="1704" customFormat="1">
      <c r="Q98" s="1709"/>
      <c r="R98" s="1709"/>
      <c r="U98" s="1709"/>
      <c r="V98" s="1709"/>
      <c r="W98" s="1709"/>
      <c r="X98" s="1709"/>
      <c r="Y98" s="1709"/>
      <c r="Z98" s="1709"/>
      <c r="AA98" s="1709"/>
      <c r="AB98" s="1709"/>
      <c r="AC98" s="1709"/>
      <c r="AD98" s="1709"/>
      <c r="AE98" s="1709"/>
      <c r="AF98" s="1709"/>
      <c r="AG98" s="1709"/>
    </row>
    <row r="99" spans="17:33" s="1704" customFormat="1">
      <c r="Q99" s="1709"/>
      <c r="R99" s="1709"/>
      <c r="U99" s="1709"/>
      <c r="V99" s="1709"/>
      <c r="W99" s="1709"/>
      <c r="X99" s="1709"/>
      <c r="Y99" s="1709"/>
      <c r="Z99" s="1709"/>
      <c r="AA99" s="1709"/>
      <c r="AB99" s="1709"/>
      <c r="AC99" s="1709"/>
      <c r="AD99" s="1709"/>
      <c r="AE99" s="1709"/>
      <c r="AF99" s="1709"/>
      <c r="AG99" s="1709"/>
    </row>
    <row r="100" spans="17:33" s="1704" customFormat="1">
      <c r="Q100" s="1709"/>
      <c r="R100" s="1709"/>
      <c r="U100" s="1709"/>
      <c r="V100" s="1709"/>
      <c r="W100" s="1709"/>
      <c r="X100" s="1709"/>
      <c r="Y100" s="1709"/>
      <c r="Z100" s="1709"/>
      <c r="AA100" s="1709"/>
      <c r="AB100" s="1709"/>
      <c r="AC100" s="1709"/>
      <c r="AD100" s="1709"/>
      <c r="AE100" s="1709"/>
      <c r="AF100" s="1709"/>
      <c r="AG100" s="1709"/>
    </row>
    <row r="101" spans="17:33" s="1704" customFormat="1">
      <c r="Q101" s="1709"/>
      <c r="R101" s="1709"/>
      <c r="U101" s="1709"/>
      <c r="V101" s="1709"/>
      <c r="W101" s="1709"/>
      <c r="X101" s="1709"/>
      <c r="Y101" s="1709"/>
      <c r="Z101" s="1709"/>
      <c r="AA101" s="1709"/>
      <c r="AB101" s="1709"/>
      <c r="AC101" s="1709"/>
      <c r="AD101" s="1709"/>
      <c r="AE101" s="1709"/>
      <c r="AF101" s="1709"/>
      <c r="AG101" s="1709"/>
    </row>
    <row r="102" spans="17:33" s="1704" customFormat="1">
      <c r="Q102" s="1709"/>
      <c r="R102" s="1709"/>
      <c r="U102" s="1709"/>
      <c r="V102" s="1709"/>
      <c r="W102" s="1709"/>
      <c r="X102" s="1709"/>
      <c r="Y102" s="1709"/>
      <c r="Z102" s="1709"/>
      <c r="AA102" s="1709"/>
      <c r="AB102" s="1709"/>
      <c r="AC102" s="1709"/>
      <c r="AD102" s="1709"/>
      <c r="AE102" s="1709"/>
      <c r="AF102" s="1709"/>
      <c r="AG102" s="1709"/>
    </row>
    <row r="103" spans="17:33" s="1704" customFormat="1">
      <c r="Q103" s="1709"/>
      <c r="R103" s="1709"/>
      <c r="U103" s="1709"/>
      <c r="V103" s="1709"/>
      <c r="W103" s="1709"/>
      <c r="X103" s="1709"/>
      <c r="Y103" s="1709"/>
      <c r="Z103" s="1709"/>
      <c r="AA103" s="1709"/>
      <c r="AB103" s="1709"/>
      <c r="AC103" s="1709"/>
      <c r="AD103" s="1709"/>
      <c r="AE103" s="1709"/>
      <c r="AF103" s="1709"/>
      <c r="AG103" s="1709"/>
    </row>
    <row r="104" spans="17:33" s="1704" customFormat="1">
      <c r="Q104" s="1709"/>
      <c r="R104" s="1709"/>
      <c r="U104" s="1709"/>
      <c r="V104" s="1709"/>
      <c r="W104" s="1709"/>
      <c r="X104" s="1709"/>
      <c r="Y104" s="1709"/>
      <c r="Z104" s="1709"/>
      <c r="AA104" s="1709"/>
      <c r="AB104" s="1709"/>
      <c r="AC104" s="1709"/>
      <c r="AD104" s="1709"/>
      <c r="AE104" s="1709"/>
      <c r="AF104" s="1709"/>
      <c r="AG104" s="1709"/>
    </row>
    <row r="105" spans="17:33" s="1704" customFormat="1">
      <c r="Q105" s="1709"/>
      <c r="R105" s="1709"/>
      <c r="U105" s="1709"/>
      <c r="V105" s="1709"/>
      <c r="W105" s="1709"/>
      <c r="X105" s="1709"/>
      <c r="Y105" s="1709"/>
      <c r="Z105" s="1709"/>
      <c r="AA105" s="1709"/>
      <c r="AB105" s="1709"/>
      <c r="AC105" s="1709"/>
      <c r="AD105" s="1709"/>
      <c r="AE105" s="1709"/>
      <c r="AF105" s="1709"/>
      <c r="AG105" s="1709"/>
    </row>
    <row r="106" spans="17:33" s="1704" customFormat="1">
      <c r="Q106" s="1709"/>
      <c r="R106" s="1709"/>
      <c r="U106" s="1709"/>
      <c r="V106" s="1709"/>
      <c r="W106" s="1709"/>
      <c r="X106" s="1709"/>
      <c r="Y106" s="1709"/>
      <c r="Z106" s="1709"/>
      <c r="AA106" s="1709"/>
      <c r="AB106" s="1709"/>
      <c r="AC106" s="1709"/>
      <c r="AD106" s="1709"/>
      <c r="AE106" s="1709"/>
      <c r="AF106" s="1709"/>
      <c r="AG106" s="1709"/>
    </row>
    <row r="107" spans="17:33" s="1704" customFormat="1">
      <c r="Q107" s="1709"/>
      <c r="R107" s="1709"/>
      <c r="U107" s="1709"/>
      <c r="V107" s="1709"/>
      <c r="W107" s="1709"/>
      <c r="X107" s="1709"/>
      <c r="Y107" s="1709"/>
      <c r="Z107" s="1709"/>
      <c r="AA107" s="1709"/>
      <c r="AB107" s="1709"/>
      <c r="AC107" s="1709"/>
      <c r="AD107" s="1709"/>
      <c r="AE107" s="1709"/>
      <c r="AF107" s="1709"/>
      <c r="AG107" s="1709"/>
    </row>
    <row r="108" spans="17:33" s="1704" customFormat="1">
      <c r="Q108" s="1709"/>
      <c r="R108" s="1709"/>
      <c r="U108" s="1709"/>
      <c r="V108" s="1709"/>
      <c r="W108" s="1709"/>
      <c r="X108" s="1709"/>
      <c r="Y108" s="1709"/>
      <c r="Z108" s="1709"/>
      <c r="AA108" s="1709"/>
      <c r="AB108" s="1709"/>
      <c r="AC108" s="1709"/>
      <c r="AD108" s="1709"/>
      <c r="AE108" s="1709"/>
      <c r="AF108" s="1709"/>
      <c r="AG108" s="1709"/>
    </row>
    <row r="109" spans="17:33" s="1704" customFormat="1">
      <c r="Q109" s="1709"/>
      <c r="R109" s="1709"/>
      <c r="U109" s="1709"/>
      <c r="V109" s="1709"/>
      <c r="W109" s="1709"/>
      <c r="X109" s="1709"/>
      <c r="Y109" s="1709"/>
      <c r="Z109" s="1709"/>
      <c r="AA109" s="1709"/>
      <c r="AB109" s="1709"/>
      <c r="AC109" s="1709"/>
      <c r="AD109" s="1709"/>
      <c r="AE109" s="1709"/>
      <c r="AF109" s="1709"/>
      <c r="AG109" s="1709"/>
    </row>
    <row r="110" spans="17:33" s="1704" customFormat="1">
      <c r="Q110" s="1709"/>
      <c r="R110" s="1709"/>
      <c r="U110" s="1709"/>
      <c r="V110" s="1709"/>
      <c r="W110" s="1709"/>
      <c r="X110" s="1709"/>
      <c r="Y110" s="1709"/>
      <c r="Z110" s="1709"/>
      <c r="AA110" s="1709"/>
      <c r="AB110" s="1709"/>
      <c r="AC110" s="1709"/>
      <c r="AD110" s="1709"/>
      <c r="AE110" s="1709"/>
      <c r="AF110" s="1709"/>
      <c r="AG110" s="1709"/>
    </row>
    <row r="111" spans="17:33" s="1704" customFormat="1">
      <c r="Q111" s="1709"/>
      <c r="R111" s="1709"/>
      <c r="U111" s="1709"/>
      <c r="V111" s="1709"/>
      <c r="W111" s="1709"/>
      <c r="X111" s="1709"/>
      <c r="Y111" s="1709"/>
      <c r="Z111" s="1709"/>
      <c r="AA111" s="1709"/>
      <c r="AB111" s="1709"/>
      <c r="AC111" s="1709"/>
      <c r="AD111" s="1709"/>
      <c r="AE111" s="1709"/>
      <c r="AF111" s="1709"/>
      <c r="AG111" s="1709"/>
    </row>
    <row r="112" spans="17:33" s="1704" customFormat="1">
      <c r="Q112" s="1709"/>
      <c r="R112" s="1709"/>
      <c r="U112" s="1709"/>
      <c r="V112" s="1709"/>
      <c r="W112" s="1709"/>
      <c r="X112" s="1709"/>
      <c r="Y112" s="1709"/>
      <c r="Z112" s="1709"/>
      <c r="AA112" s="1709"/>
      <c r="AB112" s="1709"/>
      <c r="AC112" s="1709"/>
      <c r="AD112" s="1709"/>
      <c r="AE112" s="1709"/>
      <c r="AF112" s="1709"/>
      <c r="AG112" s="1709"/>
    </row>
    <row r="113" spans="2:33" s="1704" customFormat="1" ht="15.75">
      <c r="B113" s="2529" t="str">
        <f>B40</f>
        <v>4.2. Livestock (and manure management)</v>
      </c>
      <c r="C113" s="2529"/>
      <c r="D113" s="2534"/>
      <c r="E113" s="2534"/>
      <c r="F113" s="2534"/>
      <c r="G113" s="2534"/>
      <c r="H113" s="2534"/>
      <c r="I113" s="2534"/>
      <c r="J113" s="2534"/>
      <c r="K113" s="2534"/>
      <c r="L113" s="2534"/>
      <c r="M113" s="2534"/>
      <c r="N113" s="2534"/>
      <c r="O113" s="2534"/>
      <c r="P113" s="2534"/>
      <c r="Q113" s="2534"/>
      <c r="R113" s="2534"/>
      <c r="S113" s="2534"/>
      <c r="T113" s="2534"/>
      <c r="U113" s="2534"/>
      <c r="V113" s="1709"/>
      <c r="W113" s="1709"/>
      <c r="X113" s="1709"/>
      <c r="Y113" s="1709"/>
      <c r="Z113" s="1709"/>
      <c r="AA113" s="1709"/>
      <c r="AB113" s="1709"/>
      <c r="AC113" s="1709"/>
      <c r="AD113" s="1709"/>
      <c r="AE113" s="1709"/>
      <c r="AF113" s="1709"/>
      <c r="AG113" s="1709"/>
    </row>
    <row r="114" spans="2:33" s="1704" customFormat="1">
      <c r="U114" s="1709"/>
      <c r="V114" s="1709"/>
      <c r="W114" s="1709"/>
      <c r="X114" s="1709"/>
      <c r="Y114" s="1709"/>
      <c r="Z114" s="1709"/>
      <c r="AA114" s="1709"/>
      <c r="AB114" s="1709"/>
      <c r="AC114" s="1709"/>
      <c r="AD114" s="1709"/>
      <c r="AE114" s="1709"/>
      <c r="AF114" s="1709"/>
      <c r="AG114" s="1709"/>
    </row>
    <row r="115" spans="2:33" s="1704" customFormat="1">
      <c r="B115" s="2138"/>
      <c r="C115" s="2138"/>
      <c r="D115" s="2139"/>
      <c r="E115" s="2138"/>
      <c r="F115" s="2138"/>
      <c r="G115" s="2138"/>
      <c r="H115" s="2138"/>
      <c r="I115" s="2138"/>
      <c r="J115" s="2138"/>
      <c r="K115" s="2138"/>
      <c r="L115" s="2138"/>
      <c r="M115" s="2138"/>
      <c r="N115" s="2138"/>
      <c r="O115" s="2138"/>
      <c r="P115" s="2138"/>
      <c r="Q115" s="2138"/>
      <c r="R115" s="2138"/>
      <c r="S115" s="2138"/>
      <c r="T115" s="2138"/>
      <c r="U115" s="2138"/>
      <c r="V115" s="1709"/>
      <c r="W115" s="1709"/>
      <c r="X115" s="1709"/>
      <c r="Y115" s="1709"/>
      <c r="Z115" s="1709"/>
      <c r="AA115" s="1709"/>
      <c r="AB115" s="1709"/>
      <c r="AC115" s="1709"/>
      <c r="AD115" s="1709"/>
      <c r="AE115" s="1709"/>
      <c r="AF115" s="1709"/>
      <c r="AG115" s="1709"/>
    </row>
    <row r="116" spans="2:33" s="1704" customFormat="1">
      <c r="B116" s="2138"/>
      <c r="C116" s="2138"/>
      <c r="D116" s="2138"/>
      <c r="E116" s="2138"/>
      <c r="F116" s="2138"/>
      <c r="G116" s="2138"/>
      <c r="H116" s="2138"/>
      <c r="I116" s="2138"/>
      <c r="J116" s="2138"/>
      <c r="K116" s="2138"/>
      <c r="L116" s="2138"/>
      <c r="M116" s="2138"/>
      <c r="N116" s="2138"/>
      <c r="O116" s="2138"/>
      <c r="P116" s="2138"/>
      <c r="Q116" s="2138"/>
      <c r="R116" s="2138"/>
      <c r="S116" s="2138"/>
      <c r="T116" s="2138"/>
      <c r="U116" s="2138"/>
      <c r="V116" s="1709"/>
      <c r="W116" s="1709"/>
      <c r="X116" s="1709"/>
      <c r="Y116" s="1709"/>
      <c r="Z116" s="1709"/>
      <c r="AA116" s="1709"/>
      <c r="AB116" s="1709"/>
      <c r="AC116" s="1709"/>
      <c r="AD116" s="1709"/>
      <c r="AE116" s="1709"/>
      <c r="AF116" s="1709"/>
      <c r="AG116" s="1709"/>
    </row>
    <row r="117" spans="2:33" s="1704" customFormat="1">
      <c r="B117" s="2138"/>
      <c r="C117" s="2138"/>
      <c r="D117" s="2138"/>
      <c r="E117" s="2138"/>
      <c r="F117" s="2138"/>
      <c r="G117" s="2138"/>
      <c r="H117" s="2138"/>
      <c r="I117" s="2138"/>
      <c r="J117" s="2138"/>
      <c r="K117" s="2138"/>
      <c r="L117" s="2138"/>
      <c r="M117" s="2138"/>
      <c r="N117" s="2138"/>
      <c r="O117" s="2138"/>
      <c r="P117" s="2138"/>
      <c r="Q117" s="2138"/>
      <c r="R117" s="2138"/>
      <c r="S117" s="2138"/>
      <c r="T117" s="2138"/>
      <c r="U117" s="2138"/>
      <c r="V117" s="1709"/>
      <c r="W117" s="1709"/>
      <c r="X117" s="1709"/>
      <c r="Y117" s="1709"/>
      <c r="Z117" s="1709"/>
      <c r="AA117" s="1709"/>
      <c r="AB117" s="1709"/>
      <c r="AC117" s="1709"/>
      <c r="AD117" s="1709"/>
      <c r="AE117" s="1709"/>
      <c r="AF117" s="1709"/>
      <c r="AG117" s="1709"/>
    </row>
    <row r="118" spans="2:33" s="1704" customFormat="1">
      <c r="B118" s="2143" t="str">
        <f>B87</f>
        <v>Use this part only if you want to refine the analysis with Tier 2 coefficients.</v>
      </c>
      <c r="C118" s="2122"/>
      <c r="D118" s="2117"/>
      <c r="E118" s="2123"/>
      <c r="F118" s="2123"/>
      <c r="G118" s="2117"/>
      <c r="H118" s="2117"/>
      <c r="I118" s="2117"/>
      <c r="J118" s="2117"/>
      <c r="K118" s="2138"/>
      <c r="L118" s="2138"/>
      <c r="M118" s="2138"/>
      <c r="N118" s="2138"/>
      <c r="O118" s="2138"/>
      <c r="P118" s="2138"/>
      <c r="Q118" s="2138"/>
      <c r="R118" s="2138"/>
      <c r="S118" s="2138"/>
      <c r="T118" s="2138"/>
      <c r="U118" s="2138"/>
      <c r="V118" s="1709"/>
      <c r="W118" s="1709"/>
      <c r="X118" s="1709"/>
      <c r="Y118" s="1709"/>
      <c r="Z118" s="1709"/>
      <c r="AA118" s="1709"/>
      <c r="AB118" s="1709"/>
      <c r="AC118" s="1709"/>
      <c r="AD118" s="1709"/>
      <c r="AE118" s="1709"/>
      <c r="AF118" s="1709"/>
      <c r="AG118" s="1709"/>
    </row>
    <row r="119" spans="2:33" s="1704" customFormat="1">
      <c r="B119" s="2774" t="str">
        <f>B88</f>
        <v>(default values are provided for your information only, while EX-ACT will use Tier 2 values automatically wherever specified)</v>
      </c>
      <c r="C119" s="2122"/>
      <c r="D119" s="2117"/>
      <c r="E119" s="2117"/>
      <c r="F119" s="2117"/>
      <c r="G119" s="2117"/>
      <c r="H119" s="2117"/>
      <c r="I119" s="2117"/>
      <c r="J119" s="2117"/>
      <c r="K119" s="2138"/>
      <c r="L119" s="2138"/>
      <c r="M119" s="2138"/>
      <c r="N119" s="2138"/>
      <c r="O119" s="2138"/>
      <c r="P119" s="2138"/>
      <c r="Q119" s="2138"/>
      <c r="R119" s="2138"/>
      <c r="S119" s="2138"/>
      <c r="T119" s="2138"/>
      <c r="U119" s="2138"/>
      <c r="V119" s="1709"/>
      <c r="W119" s="1709"/>
      <c r="X119" s="1709"/>
      <c r="Y119" s="1709"/>
      <c r="Z119" s="1709"/>
      <c r="AA119" s="1709"/>
      <c r="AB119" s="1709"/>
      <c r="AC119" s="1709"/>
      <c r="AD119" s="1709"/>
      <c r="AE119" s="1709"/>
      <c r="AF119" s="1709"/>
      <c r="AG119" s="1709"/>
    </row>
    <row r="120" spans="2:33" s="1704" customFormat="1">
      <c r="B120" s="1709"/>
      <c r="C120" s="1709"/>
      <c r="D120" s="1709"/>
      <c r="E120" s="1709"/>
      <c r="F120" s="1709"/>
      <c r="G120" s="1709"/>
      <c r="H120" s="1709"/>
      <c r="I120" s="1709"/>
      <c r="J120" s="1709"/>
      <c r="K120" s="1709"/>
      <c r="L120" s="1709"/>
      <c r="M120" s="1709"/>
      <c r="N120" s="1709"/>
      <c r="O120" s="1709"/>
      <c r="P120" s="1709"/>
      <c r="Q120" s="1709"/>
      <c r="R120" s="1709"/>
      <c r="U120" s="1709"/>
      <c r="V120" s="1709"/>
      <c r="W120" s="1709"/>
      <c r="X120" s="1709"/>
      <c r="Y120" s="1709"/>
      <c r="Z120" s="1709"/>
      <c r="AA120" s="1709"/>
      <c r="AB120" s="1709"/>
      <c r="AC120" s="1709"/>
      <c r="AD120" s="1709"/>
      <c r="AE120" s="1709"/>
      <c r="AF120" s="1709"/>
      <c r="AG120" s="1709"/>
    </row>
    <row r="121" spans="2:33" s="1704" customFormat="1">
      <c r="B121" s="2775" t="str">
        <f>HLOOKUP(select,translations!$A$145:$H$201,47,)</f>
        <v>Mean annual temperature (MAT) of the region (in °C)</v>
      </c>
      <c r="C121" s="2139"/>
      <c r="D121" s="2139"/>
      <c r="E121" s="2139"/>
      <c r="F121" s="2139"/>
      <c r="G121" s="2139"/>
      <c r="H121" s="2155" t="str">
        <f>HLOOKUP(select,translations!$A$145:$H$201,49,)</f>
        <v>Region "type"</v>
      </c>
      <c r="I121" s="2141"/>
      <c r="J121" s="2140"/>
      <c r="K121" s="2279"/>
      <c r="L121" s="2279"/>
      <c r="M121" s="2279"/>
      <c r="N121" s="2155" t="str">
        <f>HLOOKUP(select,translations!$A$145:$H$201,51,)</f>
        <v>Emission factors for N2O from manure</v>
      </c>
      <c r="O121" s="2141"/>
      <c r="P121" s="2141"/>
      <c r="Q121" s="2141"/>
      <c r="R121" s="2141"/>
      <c r="S121" s="2141"/>
      <c r="T121" s="2141"/>
      <c r="U121" s="2141"/>
      <c r="V121" s="1709"/>
      <c r="W121" s="1709"/>
      <c r="X121" s="1709"/>
      <c r="Y121" s="1709"/>
      <c r="Z121" s="1709"/>
      <c r="AA121" s="1709"/>
      <c r="AB121" s="1709"/>
      <c r="AC121" s="1709"/>
      <c r="AD121" s="1709"/>
      <c r="AE121" s="1709"/>
      <c r="AF121" s="1709"/>
      <c r="AG121" s="1709"/>
    </row>
    <row r="122" spans="2:33" s="1704" customFormat="1">
      <c r="B122" s="2277" t="str">
        <f>HLOOKUP(select,translations!$A$145:$H$201,48,)</f>
        <v>(temperature affect emissions from manure management)</v>
      </c>
      <c r="C122" s="2138"/>
      <c r="D122" s="2138"/>
      <c r="E122" s="2138"/>
      <c r="F122" s="2138"/>
      <c r="G122" s="2138"/>
      <c r="H122" s="2280" t="str">
        <f>HLOOKUP(select,translations!$A$145:$H$201,50,)</f>
        <v>(please select if possible)</v>
      </c>
      <c r="I122" s="2279"/>
      <c r="J122" s="2140"/>
      <c r="K122" s="2279"/>
      <c r="L122" s="2279"/>
      <c r="M122" s="2279"/>
      <c r="N122" s="2280" t="str">
        <f>HLOOKUP(select,translations!$A$145:$H$201,52,)</f>
        <v>(kg N-N2O/kg N)</v>
      </c>
      <c r="O122" s="2279"/>
      <c r="P122" s="2279"/>
      <c r="Q122" s="2279"/>
      <c r="R122" s="2280" t="str">
        <f>B123</f>
        <v>Default</v>
      </c>
      <c r="S122" s="2279"/>
      <c r="T122" s="2145" t="str">
        <f>C123</f>
        <v>Tier 2</v>
      </c>
      <c r="U122" s="2279"/>
      <c r="V122" s="1709"/>
      <c r="W122" s="1709"/>
      <c r="X122" s="1709"/>
      <c r="Y122" s="1709"/>
      <c r="Z122" s="1709"/>
      <c r="AA122" s="1709"/>
      <c r="AB122" s="1709"/>
      <c r="AC122" s="1709"/>
      <c r="AD122" s="1709"/>
      <c r="AE122" s="1709"/>
      <c r="AF122" s="1709"/>
      <c r="AG122" s="1709"/>
    </row>
    <row r="123" spans="2:33" s="1704" customFormat="1">
      <c r="B123" s="2274" t="str">
        <f>E91</f>
        <v>Default</v>
      </c>
      <c r="C123" s="2281" t="str">
        <f>G91</f>
        <v>Tier 2</v>
      </c>
      <c r="D123" s="2138"/>
      <c r="E123" s="2274"/>
      <c r="F123" s="2138"/>
      <c r="G123" s="2138"/>
      <c r="H123" s="3830" t="s">
        <v>6</v>
      </c>
      <c r="I123" s="3830"/>
      <c r="J123" s="3830"/>
      <c r="K123" s="3830"/>
      <c r="L123" s="2279"/>
      <c r="M123" s="2279"/>
      <c r="N123" s="2280" t="str">
        <f>HLOOKUP(select,translations!$A$145:$H$201,53,)</f>
        <v>Pasture, range and paddock</v>
      </c>
      <c r="O123" s="2279"/>
      <c r="P123" s="2279"/>
      <c r="Q123" s="2279"/>
      <c r="R123" s="2279">
        <f>Livestock!C57</f>
        <v>0.02</v>
      </c>
      <c r="S123" s="2279"/>
      <c r="T123" s="2313"/>
      <c r="U123" s="2279"/>
      <c r="V123" s="1709"/>
      <c r="W123" s="1709"/>
      <c r="X123" s="1709"/>
      <c r="Y123" s="1709"/>
      <c r="Z123" s="1709"/>
      <c r="AA123" s="1709"/>
      <c r="AB123" s="1709"/>
      <c r="AC123" s="1709"/>
      <c r="AD123" s="1709"/>
      <c r="AE123" s="1709"/>
      <c r="AF123" s="1709"/>
      <c r="AG123" s="1709"/>
    </row>
    <row r="124" spans="2:33" s="1704" customFormat="1">
      <c r="B124" s="2140">
        <f>Livestock!M26</f>
        <v>0</v>
      </c>
      <c r="C124" s="2226"/>
      <c r="D124" s="2282" t="str">
        <f>IF(C124="","",Livestock!H26)</f>
        <v/>
      </c>
      <c r="E124" s="2282"/>
      <c r="F124" s="2282"/>
      <c r="G124" s="2282"/>
      <c r="H124" s="2279"/>
      <c r="I124" s="2279"/>
      <c r="J124" s="2140"/>
      <c r="K124" s="2279"/>
      <c r="L124" s="2279"/>
      <c r="M124" s="2279"/>
      <c r="N124" s="2280" t="str">
        <f>HLOOKUP(select,translations!$A$145:$H$201,54,)</f>
        <v>Other</v>
      </c>
      <c r="O124" s="2279"/>
      <c r="P124" s="2279"/>
      <c r="Q124" s="2279"/>
      <c r="R124" s="2279">
        <f>Livestock!C58</f>
        <v>0.01</v>
      </c>
      <c r="S124" s="2279"/>
      <c r="T124" s="2313"/>
      <c r="U124" s="2279"/>
      <c r="V124" s="1709"/>
      <c r="W124" s="1709"/>
      <c r="X124" s="1709"/>
      <c r="Y124" s="1709"/>
      <c r="Z124" s="1709"/>
      <c r="AA124" s="1709"/>
      <c r="AB124" s="1709"/>
      <c r="AC124" s="1709"/>
      <c r="AD124" s="1709"/>
      <c r="AE124" s="1709"/>
      <c r="AF124" s="1709"/>
      <c r="AG124" s="1709"/>
    </row>
    <row r="125" spans="2:33" s="1704" customFormat="1">
      <c r="V125" s="1709"/>
      <c r="W125" s="1709"/>
      <c r="X125" s="1709"/>
      <c r="Y125" s="1709"/>
      <c r="Z125" s="1709"/>
      <c r="AA125" s="1709"/>
      <c r="AB125" s="1709"/>
      <c r="AC125" s="1709"/>
      <c r="AD125" s="1709"/>
      <c r="AE125" s="1709"/>
      <c r="AF125" s="1709"/>
      <c r="AG125" s="1709"/>
    </row>
    <row r="126" spans="2:33" s="1704" customFormat="1" ht="13.15" customHeight="1">
      <c r="B126" s="2776" t="str">
        <f>B42</f>
        <v>Livestock categories</v>
      </c>
      <c r="C126" s="2139"/>
      <c r="D126" s="2139" t="str">
        <f>HLOOKUP(select,translations!$A$145:$H$201,55,)</f>
        <v>Enteric fermentation</v>
      </c>
      <c r="E126" s="2139"/>
      <c r="F126" s="2138"/>
      <c r="G126" s="2867"/>
      <c r="H126" s="2867"/>
      <c r="I126" s="2867"/>
      <c r="J126" s="2875"/>
      <c r="K126" s="3838" t="str">
        <f>HLOOKUP(select,translations!$A$145:$H$201,57,)</f>
        <v xml:space="preserve">% correspondings to pasture, range and paddock systems </v>
      </c>
      <c r="L126" s="3838"/>
      <c r="M126" s="3838"/>
      <c r="N126" s="3838"/>
      <c r="P126" s="2139" t="str">
        <f>HLOOKUP(select,translations!$A$145:$H$202,58,)</f>
        <v>Methane from manure management</v>
      </c>
      <c r="Q126" s="2138"/>
      <c r="R126" s="2138"/>
      <c r="S126" s="2138"/>
      <c r="T126" s="2138"/>
      <c r="U126" s="2138"/>
      <c r="W126" s="1709"/>
      <c r="X126" s="1709"/>
      <c r="Y126" s="1709"/>
      <c r="Z126" s="1709"/>
      <c r="AA126" s="1709"/>
      <c r="AB126" s="1709"/>
      <c r="AC126" s="1709"/>
      <c r="AD126" s="1709"/>
      <c r="AE126" s="1709"/>
      <c r="AF126" s="1709"/>
      <c r="AG126" s="1709"/>
    </row>
    <row r="127" spans="2:33" s="1704" customFormat="1" ht="24.75" customHeight="1">
      <c r="B127" s="2138"/>
      <c r="C127" s="2138"/>
      <c r="D127" s="2139" t="str">
        <f>HLOOKUP(select,translations!$A$145:$H$201,56,)</f>
        <v>(kg CH4 per head/yr)</v>
      </c>
      <c r="E127" s="2138"/>
      <c r="F127" s="2867"/>
      <c r="G127" s="2867"/>
      <c r="H127" s="2867"/>
      <c r="I127" s="2867"/>
      <c r="J127" s="2875"/>
      <c r="K127" s="3838"/>
      <c r="L127" s="3838"/>
      <c r="M127" s="3838"/>
      <c r="N127" s="3838"/>
      <c r="P127" s="2138" t="str">
        <f>D127</f>
        <v>(kg CH4 per head/yr)</v>
      </c>
      <c r="Q127" s="2138"/>
      <c r="R127" s="2138"/>
      <c r="S127" s="2860"/>
      <c r="T127" s="2860"/>
      <c r="U127" s="2860"/>
      <c r="W127" s="1709"/>
      <c r="X127" s="1709"/>
      <c r="Y127" s="1709"/>
      <c r="Z127" s="1709"/>
      <c r="AA127" s="1709"/>
      <c r="AB127" s="1709"/>
      <c r="AC127" s="1709"/>
      <c r="AD127" s="1709"/>
      <c r="AE127" s="1709"/>
      <c r="AF127" s="1709"/>
      <c r="AG127" s="1709"/>
    </row>
    <row r="128" spans="2:33" s="1704" customFormat="1">
      <c r="B128" s="2138"/>
      <c r="C128" s="2138"/>
      <c r="D128" s="2138"/>
      <c r="E128" s="2873"/>
      <c r="F128" s="2874" t="str">
        <f>C123</f>
        <v>Tier 2</v>
      </c>
      <c r="G128" s="2873"/>
      <c r="H128" s="2138"/>
      <c r="I128" s="2138"/>
      <c r="J128" s="2138"/>
      <c r="K128" s="2138"/>
      <c r="L128" s="2871"/>
      <c r="M128" s="2870" t="str">
        <f>C123</f>
        <v>Tier 2</v>
      </c>
      <c r="N128" s="2871"/>
      <c r="P128" s="2138"/>
      <c r="Q128" s="2860"/>
      <c r="R128" s="2869"/>
      <c r="S128" s="2870" t="str">
        <f>T122</f>
        <v>Tier 2</v>
      </c>
      <c r="T128" s="2871"/>
      <c r="U128" s="2860"/>
      <c r="W128" s="1709"/>
      <c r="X128" s="1709"/>
      <c r="Y128" s="1709"/>
      <c r="Z128" s="1709"/>
      <c r="AA128" s="1709"/>
      <c r="AB128" s="1709"/>
      <c r="AC128" s="1709"/>
      <c r="AD128" s="1709"/>
      <c r="AE128" s="1709"/>
      <c r="AF128" s="1709"/>
      <c r="AG128" s="1709"/>
    </row>
    <row r="129" spans="2:33" s="1704" customFormat="1">
      <c r="B129" s="2275"/>
      <c r="C129" s="2275"/>
      <c r="D129" s="2331" t="str">
        <f>B123</f>
        <v>Default</v>
      </c>
      <c r="E129" s="2296" t="str">
        <f>R129</f>
        <v>Without</v>
      </c>
      <c r="F129" s="2860"/>
      <c r="G129" s="2872" t="str">
        <f>T129</f>
        <v>With</v>
      </c>
      <c r="H129" s="2867"/>
      <c r="I129" s="2867"/>
      <c r="J129" s="2138"/>
      <c r="K129" s="2331" t="str">
        <f>B123</f>
        <v>Default</v>
      </c>
      <c r="L129" s="2296" t="str">
        <f>E129</f>
        <v>Without</v>
      </c>
      <c r="M129" s="2860"/>
      <c r="N129" s="2296" t="str">
        <f>G129</f>
        <v>With</v>
      </c>
      <c r="P129" s="2297" t="str">
        <f>K129</f>
        <v>Default</v>
      </c>
      <c r="Q129" s="2860"/>
      <c r="R129" s="2296" t="str">
        <f>K44</f>
        <v>Without</v>
      </c>
      <c r="S129" s="2860"/>
      <c r="T129" s="2296" t="str">
        <f>L44</f>
        <v>With</v>
      </c>
      <c r="U129" s="2860"/>
      <c r="W129" s="1709"/>
      <c r="X129" s="1709"/>
      <c r="Y129" s="1709"/>
      <c r="Z129" s="1709"/>
      <c r="AA129" s="1709"/>
      <c r="AB129" s="1709"/>
      <c r="AC129" s="1709"/>
      <c r="AD129" s="1709"/>
      <c r="AE129" s="1709"/>
      <c r="AF129" s="1709"/>
      <c r="AG129" s="1709"/>
    </row>
    <row r="130" spans="2:33" s="1704" customFormat="1">
      <c r="B130" s="2277" t="str">
        <f>B45</f>
        <v>Dairy cattle</v>
      </c>
      <c r="C130" s="2138"/>
      <c r="D130" s="2140">
        <f>Livestock!C12</f>
        <v>0</v>
      </c>
      <c r="E130" s="2868"/>
      <c r="F130" s="2860"/>
      <c r="G130" s="2868"/>
      <c r="H130" s="2867"/>
      <c r="I130" s="2867"/>
      <c r="J130" s="2138"/>
      <c r="K130" s="2276">
        <f>Livestock!C32</f>
        <v>0</v>
      </c>
      <c r="L130" s="2262"/>
      <c r="M130" s="2860"/>
      <c r="N130" s="2868"/>
      <c r="P130" s="2860">
        <f>Livestock!C40</f>
        <v>0</v>
      </c>
      <c r="Q130" s="2860"/>
      <c r="R130" s="2859"/>
      <c r="S130" s="2140"/>
      <c r="T130" s="2868"/>
      <c r="U130" s="2860"/>
      <c r="W130" s="1709"/>
      <c r="X130" s="1709"/>
      <c r="Y130" s="1709"/>
      <c r="Z130" s="1709"/>
      <c r="AA130" s="1709"/>
      <c r="AB130" s="1709"/>
      <c r="AC130" s="1709"/>
      <c r="AD130" s="1709"/>
      <c r="AE130" s="1709"/>
      <c r="AF130" s="1709"/>
      <c r="AG130" s="1709"/>
    </row>
    <row r="131" spans="2:33" s="1704" customFormat="1">
      <c r="B131" s="2277" t="str">
        <f t="shared" ref="B131:B135" si="3">B46</f>
        <v>Other cattle</v>
      </c>
      <c r="C131" s="2138"/>
      <c r="D131" s="2140">
        <f>Livestock!C13</f>
        <v>0</v>
      </c>
      <c r="E131" s="2868"/>
      <c r="F131" s="2860"/>
      <c r="G131" s="2868"/>
      <c r="H131" s="2867"/>
      <c r="I131" s="2867"/>
      <c r="J131" s="2138"/>
      <c r="K131" s="2276">
        <f>Livestock!C33</f>
        <v>0</v>
      </c>
      <c r="L131" s="2262"/>
      <c r="M131" s="2860"/>
      <c r="N131" s="2868"/>
      <c r="P131" s="2860">
        <f>Livestock!C41</f>
        <v>0</v>
      </c>
      <c r="Q131" s="2860"/>
      <c r="R131" s="2859"/>
      <c r="S131" s="2140"/>
      <c r="T131" s="2868"/>
      <c r="U131" s="2860"/>
      <c r="W131" s="1709"/>
      <c r="X131" s="1709"/>
      <c r="Y131" s="1709"/>
      <c r="Z131" s="1709"/>
      <c r="AA131" s="1709"/>
      <c r="AB131" s="1709"/>
      <c r="AC131" s="1709"/>
      <c r="AD131" s="1709"/>
      <c r="AE131" s="1709"/>
      <c r="AF131" s="1709"/>
      <c r="AG131" s="1709"/>
    </row>
    <row r="132" spans="2:33" s="1704" customFormat="1">
      <c r="B132" s="2277" t="str">
        <f t="shared" si="3"/>
        <v>Buffalo</v>
      </c>
      <c r="C132" s="2138"/>
      <c r="D132" s="2140">
        <f>Livestock!C14</f>
        <v>55</v>
      </c>
      <c r="E132" s="2868"/>
      <c r="F132" s="2860"/>
      <c r="G132" s="2868"/>
      <c r="H132" s="2867"/>
      <c r="I132" s="2867"/>
      <c r="J132" s="2138"/>
      <c r="K132" s="2276">
        <f>Livestock!C34</f>
        <v>0</v>
      </c>
      <c r="L132" s="2262"/>
      <c r="M132" s="2860"/>
      <c r="N132" s="2868"/>
      <c r="P132" s="2860">
        <f>Livestock!C42</f>
        <v>0</v>
      </c>
      <c r="Q132" s="2860"/>
      <c r="R132" s="2859"/>
      <c r="S132" s="2140"/>
      <c r="T132" s="2868"/>
      <c r="U132" s="2860"/>
      <c r="V132" s="1709"/>
      <c r="W132" s="1709"/>
      <c r="X132" s="1709"/>
      <c r="Y132" s="1709"/>
      <c r="Z132" s="1709"/>
      <c r="AA132" s="1709"/>
      <c r="AB132" s="1709"/>
      <c r="AC132" s="1709"/>
      <c r="AD132" s="1709"/>
      <c r="AE132" s="1709"/>
      <c r="AF132" s="1709"/>
      <c r="AG132" s="1709"/>
    </row>
    <row r="133" spans="2:33" s="1704" customFormat="1">
      <c r="B133" s="2277" t="str">
        <f t="shared" si="3"/>
        <v>Sheep</v>
      </c>
      <c r="C133" s="2138"/>
      <c r="D133" s="2140">
        <f>Livestock!C15</f>
        <v>5</v>
      </c>
      <c r="E133" s="2868"/>
      <c r="F133" s="2860"/>
      <c r="G133" s="2868"/>
      <c r="H133" s="2867"/>
      <c r="I133" s="2867"/>
      <c r="J133" s="2138"/>
      <c r="K133" s="2276">
        <f>Livestock!H32</f>
        <v>1</v>
      </c>
      <c r="L133" s="2262"/>
      <c r="M133" s="2860"/>
      <c r="N133" s="2868"/>
      <c r="P133" s="2860">
        <f>Livestock!C43</f>
        <v>0.1</v>
      </c>
      <c r="Q133" s="2860"/>
      <c r="R133" s="2859"/>
      <c r="S133" s="2140"/>
      <c r="T133" s="2868"/>
      <c r="U133" s="2860"/>
      <c r="V133" s="1709"/>
      <c r="W133" s="1709"/>
      <c r="X133" s="1709"/>
      <c r="Y133" s="1709"/>
      <c r="Z133" s="1709"/>
      <c r="AA133" s="1709"/>
      <c r="AB133" s="1709"/>
      <c r="AC133" s="1709"/>
      <c r="AD133" s="1709"/>
      <c r="AE133" s="1709"/>
      <c r="AF133" s="1709"/>
      <c r="AG133" s="1709"/>
    </row>
    <row r="134" spans="2:33" s="1704" customFormat="1">
      <c r="B134" s="2277" t="str">
        <f t="shared" si="3"/>
        <v>Swine (Market)</v>
      </c>
      <c r="C134" s="2138"/>
      <c r="D134" s="2140">
        <f>Livestock!C16</f>
        <v>1.5</v>
      </c>
      <c r="E134" s="2868"/>
      <c r="F134" s="2860"/>
      <c r="G134" s="2868"/>
      <c r="H134" s="2867"/>
      <c r="I134" s="2867"/>
      <c r="J134" s="2138"/>
      <c r="K134" s="2276">
        <f>Livestock!H33</f>
        <v>0</v>
      </c>
      <c r="L134" s="2262"/>
      <c r="M134" s="2860"/>
      <c r="N134" s="2868"/>
      <c r="P134" s="2860">
        <f>Livestock!C44</f>
        <v>0</v>
      </c>
      <c r="Q134" s="2860"/>
      <c r="R134" s="2859"/>
      <c r="S134" s="2140"/>
      <c r="T134" s="2868"/>
      <c r="U134" s="2860"/>
      <c r="V134" s="1709"/>
      <c r="W134" s="1709"/>
      <c r="X134" s="1709"/>
      <c r="Y134" s="1709"/>
      <c r="Z134" s="1709"/>
      <c r="AA134" s="1709"/>
      <c r="AB134" s="1709"/>
      <c r="AC134" s="1709"/>
      <c r="AD134" s="1709"/>
      <c r="AE134" s="1709"/>
      <c r="AF134" s="1709"/>
      <c r="AG134" s="1709"/>
    </row>
    <row r="135" spans="2:33" s="1704" customFormat="1">
      <c r="B135" s="2277" t="str">
        <f t="shared" si="3"/>
        <v>Swine (Breeding)</v>
      </c>
      <c r="C135" s="2138"/>
      <c r="D135" s="2140">
        <f>Livestock!C17</f>
        <v>1.5</v>
      </c>
      <c r="E135" s="2868"/>
      <c r="F135" s="2860"/>
      <c r="G135" s="2868"/>
      <c r="H135" s="2867"/>
      <c r="I135" s="2867"/>
      <c r="J135" s="2138"/>
      <c r="K135" s="2276">
        <f>Livestock!H34</f>
        <v>0</v>
      </c>
      <c r="L135" s="2262"/>
      <c r="M135" s="2860"/>
      <c r="N135" s="2868"/>
      <c r="P135" s="2860">
        <f>Livestock!C45</f>
        <v>0</v>
      </c>
      <c r="Q135" s="2860"/>
      <c r="R135" s="2859"/>
      <c r="S135" s="2140"/>
      <c r="T135" s="2868"/>
      <c r="U135" s="2860"/>
      <c r="V135" s="1709"/>
      <c r="W135" s="1709"/>
      <c r="X135" s="1709"/>
      <c r="Y135" s="1709"/>
      <c r="Z135" s="1709"/>
      <c r="AA135" s="1709"/>
      <c r="AB135" s="1709"/>
      <c r="AC135" s="1709"/>
      <c r="AD135" s="1709"/>
      <c r="AE135" s="1709"/>
      <c r="AF135" s="1709"/>
      <c r="AG135" s="1709"/>
    </row>
    <row r="136" spans="2:33" s="1704" customFormat="1">
      <c r="B136" s="2277" t="str">
        <f>IF(F56="",B51,F56)</f>
        <v>Please select</v>
      </c>
      <c r="C136" s="2278"/>
      <c r="D136" s="2140">
        <f>Livestock!C18</f>
        <v>0</v>
      </c>
      <c r="E136" s="2868"/>
      <c r="F136" s="2860"/>
      <c r="G136" s="2868"/>
      <c r="H136" s="2867"/>
      <c r="I136" s="2867"/>
      <c r="J136" s="2138"/>
      <c r="K136" s="2276">
        <v>1</v>
      </c>
      <c r="L136" s="2262"/>
      <c r="M136" s="2860"/>
      <c r="N136" s="2868"/>
      <c r="P136" s="2860">
        <f>Livestock!C46</f>
        <v>0</v>
      </c>
      <c r="Q136" s="2860"/>
      <c r="R136" s="2859"/>
      <c r="S136" s="2140"/>
      <c r="T136" s="2868"/>
      <c r="U136" s="2860"/>
      <c r="V136" s="1709"/>
      <c r="W136" s="1709"/>
      <c r="X136" s="1709"/>
      <c r="Y136" s="1709"/>
      <c r="Z136" s="1709"/>
      <c r="AA136" s="1709"/>
      <c r="AB136" s="1709"/>
      <c r="AC136" s="1709"/>
      <c r="AD136" s="1709"/>
      <c r="AE136" s="1709"/>
      <c r="AF136" s="1709"/>
      <c r="AG136" s="1709"/>
    </row>
    <row r="137" spans="2:33" s="1704" customFormat="1">
      <c r="B137" s="2277" t="str">
        <f t="shared" ref="B137:B138" si="4">IF(F57="",B52,F57)</f>
        <v>Horses</v>
      </c>
      <c r="C137" s="2278"/>
      <c r="D137" s="2140">
        <f>Livestock!C19</f>
        <v>18</v>
      </c>
      <c r="E137" s="2868"/>
      <c r="F137" s="2860"/>
      <c r="G137" s="2868"/>
      <c r="H137" s="2867"/>
      <c r="I137" s="2867"/>
      <c r="J137" s="2138"/>
      <c r="K137" s="2276">
        <v>1</v>
      </c>
      <c r="L137" s="2262"/>
      <c r="M137" s="2860"/>
      <c r="N137" s="2868"/>
      <c r="P137" s="2860">
        <f>Livestock!C47</f>
        <v>1.0900000000000001</v>
      </c>
      <c r="Q137" s="2860"/>
      <c r="R137" s="2859"/>
      <c r="S137" s="2140"/>
      <c r="T137" s="2868"/>
      <c r="U137" s="2860"/>
      <c r="V137" s="1709"/>
      <c r="W137" s="1709"/>
      <c r="X137" s="1709"/>
      <c r="Y137" s="1709"/>
      <c r="Z137" s="1709"/>
      <c r="AA137" s="1709"/>
      <c r="AB137" s="1709"/>
      <c r="AC137" s="1709"/>
      <c r="AD137" s="1709"/>
      <c r="AE137" s="1709"/>
      <c r="AF137" s="1709"/>
      <c r="AG137" s="1709"/>
    </row>
    <row r="138" spans="2:33" s="1704" customFormat="1">
      <c r="B138" s="2277" t="str">
        <f t="shared" si="4"/>
        <v>Goats</v>
      </c>
      <c r="C138" s="2278"/>
      <c r="D138" s="2140">
        <f>Livestock!C20</f>
        <v>5</v>
      </c>
      <c r="E138" s="2868"/>
      <c r="F138" s="2860"/>
      <c r="G138" s="2868"/>
      <c r="H138" s="2867"/>
      <c r="I138" s="2867"/>
      <c r="J138" s="2138"/>
      <c r="K138" s="2276">
        <v>1</v>
      </c>
      <c r="L138" s="2262"/>
      <c r="M138" s="2860"/>
      <c r="N138" s="2868"/>
      <c r="P138" s="2860">
        <f>Livestock!C48</f>
        <v>0.11</v>
      </c>
      <c r="Q138" s="2860"/>
      <c r="R138" s="2859"/>
      <c r="S138" s="2140"/>
      <c r="T138" s="2868"/>
      <c r="U138" s="2860"/>
      <c r="V138" s="1709"/>
      <c r="W138" s="1709"/>
      <c r="X138" s="1709"/>
      <c r="Y138" s="1709"/>
      <c r="Z138" s="1709"/>
      <c r="AA138" s="1709"/>
      <c r="AB138" s="1709"/>
      <c r="AC138" s="1709"/>
      <c r="AD138" s="1709"/>
      <c r="AE138" s="1709"/>
      <c r="AF138" s="1709"/>
      <c r="AG138" s="1709"/>
    </row>
    <row r="139" spans="2:33" s="1704" customFormat="1">
      <c r="Q139" s="1709"/>
      <c r="R139" s="1709"/>
      <c r="U139" s="1709"/>
      <c r="V139" s="1709"/>
      <c r="W139" s="1709"/>
      <c r="X139" s="1709"/>
      <c r="Y139" s="1709"/>
      <c r="Z139" s="1709"/>
      <c r="AA139" s="1709"/>
      <c r="AB139" s="1709"/>
      <c r="AC139" s="1709"/>
      <c r="AD139" s="1709"/>
      <c r="AE139" s="1709"/>
      <c r="AF139" s="1709"/>
      <c r="AG139" s="1709"/>
    </row>
    <row r="140" spans="2:33" s="1704" customFormat="1">
      <c r="Q140" s="1709"/>
      <c r="R140" s="1709"/>
      <c r="U140" s="1709"/>
      <c r="V140" s="1709"/>
      <c r="W140" s="1709"/>
      <c r="X140" s="1709"/>
      <c r="Y140" s="1709"/>
      <c r="Z140" s="1709"/>
      <c r="AA140" s="1709"/>
      <c r="AB140" s="1709"/>
      <c r="AC140" s="1709"/>
      <c r="AD140" s="1709"/>
      <c r="AE140" s="1709"/>
      <c r="AF140" s="1709"/>
      <c r="AG140" s="1709"/>
    </row>
    <row r="141" spans="2:33" s="1704" customFormat="1">
      <c r="Q141" s="1709"/>
      <c r="R141" s="1709"/>
      <c r="U141" s="1709"/>
      <c r="V141" s="1709"/>
      <c r="W141" s="1709"/>
      <c r="X141" s="1709"/>
      <c r="Y141" s="1709"/>
      <c r="Z141" s="1709"/>
      <c r="AA141" s="1709"/>
      <c r="AB141" s="1709"/>
      <c r="AC141" s="1709"/>
      <c r="AD141" s="1709"/>
      <c r="AE141" s="1709"/>
      <c r="AF141" s="1709"/>
      <c r="AG141" s="1709"/>
    </row>
    <row r="142" spans="2:33" s="1704" customFormat="1">
      <c r="Q142" s="1709"/>
      <c r="R142" s="1709"/>
      <c r="U142" s="1709"/>
      <c r="V142" s="1709"/>
      <c r="W142" s="1709"/>
      <c r="X142" s="1709"/>
      <c r="Y142" s="1709"/>
      <c r="Z142" s="1709"/>
      <c r="AA142" s="1709"/>
      <c r="AB142" s="1709"/>
      <c r="AC142" s="1709"/>
      <c r="AD142" s="1709"/>
      <c r="AE142" s="1709"/>
      <c r="AF142" s="1709"/>
      <c r="AG142" s="1709"/>
    </row>
    <row r="143" spans="2:33" s="1704" customFormat="1">
      <c r="Q143" s="1709"/>
      <c r="R143" s="1709"/>
      <c r="U143" s="1709"/>
      <c r="V143" s="1709"/>
      <c r="W143" s="1709"/>
      <c r="X143" s="1709"/>
      <c r="Y143" s="1709"/>
      <c r="Z143" s="1709"/>
      <c r="AA143" s="1709"/>
      <c r="AB143" s="1709"/>
      <c r="AC143" s="1709"/>
      <c r="AD143" s="1709"/>
      <c r="AE143" s="1709"/>
      <c r="AF143" s="1709"/>
      <c r="AG143" s="1709"/>
    </row>
    <row r="144" spans="2:33" s="1704" customFormat="1">
      <c r="Q144" s="1709"/>
      <c r="R144" s="1709"/>
      <c r="U144" s="1709"/>
      <c r="V144" s="1709"/>
      <c r="W144" s="1709"/>
      <c r="X144" s="1709"/>
      <c r="Y144" s="1709"/>
      <c r="Z144" s="1709"/>
      <c r="AA144" s="1709"/>
      <c r="AB144" s="1709"/>
      <c r="AC144" s="1709"/>
      <c r="AD144" s="1709"/>
      <c r="AE144" s="1709"/>
      <c r="AF144" s="1709"/>
      <c r="AG144" s="1709"/>
    </row>
    <row r="145" spans="17:33" s="1704" customFormat="1">
      <c r="Q145" s="1709"/>
      <c r="R145" s="1709"/>
      <c r="U145" s="1709"/>
      <c r="V145" s="1709"/>
      <c r="W145" s="1709"/>
      <c r="X145" s="1709"/>
      <c r="Y145" s="1709"/>
      <c r="Z145" s="1709"/>
      <c r="AA145" s="1709"/>
      <c r="AB145" s="1709"/>
      <c r="AC145" s="1709"/>
      <c r="AD145" s="1709"/>
      <c r="AE145" s="1709"/>
      <c r="AF145" s="1709"/>
      <c r="AG145" s="1709"/>
    </row>
    <row r="146" spans="17:33" s="1704" customFormat="1">
      <c r="Q146" s="1709"/>
      <c r="R146" s="1709"/>
      <c r="U146" s="1709"/>
      <c r="V146" s="1709"/>
      <c r="W146" s="1709"/>
      <c r="X146" s="1709"/>
      <c r="Y146" s="1709"/>
      <c r="Z146" s="1709"/>
      <c r="AA146" s="1709"/>
      <c r="AB146" s="1709"/>
      <c r="AC146" s="1709"/>
      <c r="AD146" s="1709"/>
      <c r="AE146" s="1709"/>
      <c r="AF146" s="1709"/>
      <c r="AG146" s="1709"/>
    </row>
    <row r="147" spans="17:33" s="1704" customFormat="1">
      <c r="Q147" s="1709"/>
      <c r="R147" s="1709"/>
      <c r="U147" s="1709"/>
      <c r="V147" s="1709"/>
      <c r="W147" s="1709"/>
      <c r="X147" s="1709"/>
      <c r="Y147" s="1709"/>
      <c r="Z147" s="1709"/>
      <c r="AA147" s="1709"/>
      <c r="AB147" s="1709"/>
      <c r="AC147" s="1709"/>
      <c r="AD147" s="1709"/>
      <c r="AE147" s="1709"/>
      <c r="AF147" s="1709"/>
      <c r="AG147" s="1709"/>
    </row>
    <row r="148" spans="17:33" s="1704" customFormat="1">
      <c r="Q148" s="1709"/>
      <c r="R148" s="1709"/>
      <c r="U148" s="1709"/>
      <c r="V148" s="1709"/>
      <c r="W148" s="1709"/>
      <c r="X148" s="1709"/>
      <c r="Y148" s="1709"/>
      <c r="Z148" s="1709"/>
      <c r="AA148" s="1709"/>
      <c r="AB148" s="1709"/>
      <c r="AC148" s="1709"/>
      <c r="AD148" s="1709"/>
      <c r="AE148" s="1709"/>
      <c r="AF148" s="1709"/>
      <c r="AG148" s="1709"/>
    </row>
    <row r="149" spans="17:33" s="1704" customFormat="1">
      <c r="Q149" s="1709"/>
      <c r="R149" s="1709"/>
      <c r="U149" s="1709"/>
      <c r="V149" s="1709"/>
      <c r="W149" s="1709"/>
      <c r="X149" s="1709"/>
      <c r="Y149" s="1709"/>
      <c r="Z149" s="1709"/>
      <c r="AA149" s="1709"/>
      <c r="AB149" s="1709"/>
      <c r="AC149" s="1709"/>
      <c r="AD149" s="1709"/>
      <c r="AE149" s="1709"/>
      <c r="AF149" s="1709"/>
      <c r="AG149" s="1709"/>
    </row>
    <row r="150" spans="17:33" s="1704" customFormat="1">
      <c r="Q150" s="1709"/>
      <c r="R150" s="1709"/>
      <c r="U150" s="1709"/>
      <c r="V150" s="1709"/>
      <c r="W150" s="1709"/>
      <c r="X150" s="1709"/>
      <c r="Y150" s="1709"/>
      <c r="Z150" s="1709"/>
      <c r="AA150" s="1709"/>
      <c r="AB150" s="1709"/>
      <c r="AC150" s="1709"/>
      <c r="AD150" s="1709"/>
      <c r="AE150" s="1709"/>
      <c r="AF150" s="1709"/>
      <c r="AG150" s="1709"/>
    </row>
    <row r="151" spans="17:33" s="1704" customFormat="1">
      <c r="Q151" s="1709"/>
      <c r="R151" s="1709"/>
      <c r="U151" s="1709"/>
      <c r="V151" s="1709"/>
      <c r="W151" s="1709"/>
      <c r="X151" s="1709"/>
      <c r="Y151" s="1709"/>
      <c r="Z151" s="1709"/>
      <c r="AA151" s="1709"/>
      <c r="AB151" s="1709"/>
      <c r="AC151" s="1709"/>
      <c r="AD151" s="1709"/>
      <c r="AE151" s="1709"/>
      <c r="AF151" s="1709"/>
      <c r="AG151" s="1709"/>
    </row>
    <row r="152" spans="17:33" s="1704" customFormat="1">
      <c r="Q152" s="1709"/>
      <c r="R152" s="1709"/>
      <c r="U152" s="1709"/>
      <c r="V152" s="1709"/>
      <c r="W152" s="1709"/>
      <c r="X152" s="1709"/>
      <c r="Y152" s="1709"/>
      <c r="Z152" s="1709"/>
      <c r="AA152" s="1709"/>
      <c r="AB152" s="1709"/>
      <c r="AC152" s="1709"/>
      <c r="AD152" s="1709"/>
      <c r="AE152" s="1709"/>
      <c r="AF152" s="1709"/>
      <c r="AG152" s="1709"/>
    </row>
    <row r="153" spans="17:33" s="1704" customFormat="1">
      <c r="Q153" s="1709"/>
      <c r="R153" s="1709"/>
      <c r="U153" s="1709"/>
      <c r="V153" s="1709"/>
      <c r="W153" s="1709"/>
      <c r="X153" s="1709"/>
      <c r="Y153" s="1709"/>
      <c r="Z153" s="1709"/>
      <c r="AA153" s="1709"/>
      <c r="AB153" s="1709"/>
      <c r="AC153" s="1709"/>
      <c r="AD153" s="1709"/>
      <c r="AE153" s="1709"/>
      <c r="AF153" s="1709"/>
      <c r="AG153" s="1709"/>
    </row>
    <row r="154" spans="17:33" s="1704" customFormat="1">
      <c r="Q154" s="1709"/>
      <c r="R154" s="1709"/>
      <c r="U154" s="1709"/>
      <c r="V154" s="1709"/>
      <c r="W154" s="1709"/>
      <c r="X154" s="1709"/>
      <c r="Y154" s="1709"/>
      <c r="Z154" s="1709"/>
      <c r="AA154" s="1709"/>
      <c r="AB154" s="1709"/>
      <c r="AC154" s="1709"/>
      <c r="AD154" s="1709"/>
      <c r="AE154" s="1709"/>
      <c r="AF154" s="1709"/>
      <c r="AG154" s="1709"/>
    </row>
    <row r="155" spans="17:33" s="1704" customFormat="1">
      <c r="Q155" s="1709"/>
      <c r="R155" s="1709"/>
      <c r="U155" s="1709"/>
      <c r="V155" s="1709"/>
      <c r="W155" s="1709"/>
      <c r="X155" s="1709"/>
      <c r="Y155" s="1709"/>
      <c r="Z155" s="1709"/>
      <c r="AA155" s="1709"/>
      <c r="AB155" s="1709"/>
      <c r="AC155" s="1709"/>
      <c r="AD155" s="1709"/>
      <c r="AE155" s="1709"/>
      <c r="AF155" s="1709"/>
      <c r="AG155" s="1709"/>
    </row>
    <row r="156" spans="17:33" s="1704" customFormat="1">
      <c r="Q156" s="1709"/>
      <c r="R156" s="1709"/>
      <c r="U156" s="1709"/>
      <c r="V156" s="1709"/>
      <c r="W156" s="1709"/>
      <c r="X156" s="1709"/>
      <c r="Y156" s="1709"/>
      <c r="Z156" s="1709"/>
      <c r="AA156" s="1709"/>
      <c r="AB156" s="1709"/>
      <c r="AC156" s="1709"/>
      <c r="AD156" s="1709"/>
      <c r="AE156" s="1709"/>
      <c r="AF156" s="1709"/>
      <c r="AG156" s="1709"/>
    </row>
    <row r="157" spans="17:33" s="1704" customFormat="1">
      <c r="Q157" s="1709"/>
      <c r="R157" s="1709"/>
      <c r="U157" s="1709"/>
      <c r="V157" s="1709"/>
      <c r="W157" s="1709"/>
      <c r="X157" s="1709"/>
      <c r="Y157" s="1709"/>
      <c r="Z157" s="1709"/>
      <c r="AA157" s="1709"/>
      <c r="AB157" s="1709"/>
      <c r="AC157" s="1709"/>
      <c r="AD157" s="1709"/>
      <c r="AE157" s="1709"/>
      <c r="AF157" s="1709"/>
      <c r="AG157" s="1709"/>
    </row>
    <row r="158" spans="17:33" s="1704" customFormat="1">
      <c r="Q158" s="1709"/>
      <c r="R158" s="1709"/>
      <c r="U158" s="1709"/>
      <c r="V158" s="1709"/>
      <c r="W158" s="1709"/>
      <c r="X158" s="1709"/>
      <c r="Y158" s="1709"/>
      <c r="Z158" s="1709"/>
      <c r="AA158" s="1709"/>
      <c r="AB158" s="1709"/>
      <c r="AC158" s="1709"/>
      <c r="AD158" s="1709"/>
      <c r="AE158" s="1709"/>
      <c r="AF158" s="1709"/>
      <c r="AG158" s="1709"/>
    </row>
    <row r="159" spans="17:33" s="1704" customFormat="1">
      <c r="Q159" s="1709"/>
      <c r="R159" s="1709"/>
      <c r="U159" s="1709"/>
      <c r="V159" s="1709"/>
      <c r="W159" s="1709"/>
      <c r="X159" s="1709"/>
      <c r="Y159" s="1709"/>
      <c r="Z159" s="1709"/>
      <c r="AA159" s="1709"/>
      <c r="AB159" s="1709"/>
      <c r="AC159" s="1709"/>
      <c r="AD159" s="1709"/>
      <c r="AE159" s="1709"/>
      <c r="AF159" s="1709"/>
      <c r="AG159" s="1709"/>
    </row>
    <row r="160" spans="17:33" s="1704" customFormat="1">
      <c r="Q160" s="1709"/>
      <c r="R160" s="1709"/>
      <c r="U160" s="1709"/>
      <c r="V160" s="1709"/>
      <c r="W160" s="1709"/>
      <c r="X160" s="1709"/>
      <c r="Y160" s="1709"/>
      <c r="Z160" s="1709"/>
      <c r="AA160" s="1709"/>
      <c r="AB160" s="1709"/>
      <c r="AC160" s="1709"/>
      <c r="AD160" s="1709"/>
      <c r="AE160" s="1709"/>
      <c r="AF160" s="1709"/>
      <c r="AG160" s="1709"/>
    </row>
    <row r="161" spans="17:33" s="1704" customFormat="1">
      <c r="Q161" s="1709"/>
      <c r="R161" s="1709"/>
      <c r="U161" s="1709"/>
      <c r="V161" s="1709"/>
      <c r="W161" s="1709"/>
      <c r="X161" s="1709"/>
      <c r="Y161" s="1709"/>
      <c r="Z161" s="1709"/>
      <c r="AA161" s="1709"/>
      <c r="AB161" s="1709"/>
      <c r="AC161" s="1709"/>
      <c r="AD161" s="1709"/>
      <c r="AE161" s="1709"/>
      <c r="AF161" s="1709"/>
      <c r="AG161" s="1709"/>
    </row>
    <row r="162" spans="17:33" s="1704" customFormat="1">
      <c r="Q162" s="1709"/>
      <c r="R162" s="1709"/>
      <c r="U162" s="1709"/>
      <c r="V162" s="1709"/>
      <c r="W162" s="1709"/>
      <c r="X162" s="1709"/>
      <c r="Y162" s="1709"/>
      <c r="Z162" s="1709"/>
      <c r="AA162" s="1709"/>
      <c r="AB162" s="1709"/>
      <c r="AC162" s="1709"/>
      <c r="AD162" s="1709"/>
      <c r="AE162" s="1709"/>
      <c r="AF162" s="1709"/>
      <c r="AG162" s="1709"/>
    </row>
    <row r="163" spans="17:33" s="1704" customFormat="1">
      <c r="Q163" s="1709"/>
      <c r="R163" s="1709"/>
      <c r="U163" s="1709"/>
      <c r="V163" s="1709"/>
      <c r="W163" s="1709"/>
      <c r="X163" s="1709"/>
      <c r="Y163" s="1709"/>
      <c r="Z163" s="1709"/>
      <c r="AA163" s="1709"/>
      <c r="AB163" s="1709"/>
      <c r="AC163" s="1709"/>
      <c r="AD163" s="1709"/>
      <c r="AE163" s="1709"/>
      <c r="AF163" s="1709"/>
      <c r="AG163" s="1709"/>
    </row>
    <row r="164" spans="17:33" s="1704" customFormat="1">
      <c r="Q164" s="1709"/>
      <c r="R164" s="1709"/>
      <c r="U164" s="1709"/>
      <c r="V164" s="1709"/>
      <c r="W164" s="1709"/>
      <c r="X164" s="1709"/>
      <c r="Y164" s="1709"/>
      <c r="Z164" s="1709"/>
      <c r="AA164" s="1709"/>
      <c r="AB164" s="1709"/>
      <c r="AC164" s="1709"/>
      <c r="AD164" s="1709"/>
      <c r="AE164" s="1709"/>
      <c r="AF164" s="1709"/>
      <c r="AG164" s="1709"/>
    </row>
    <row r="165" spans="17:33" s="1704" customFormat="1">
      <c r="Q165" s="1709"/>
      <c r="R165" s="1709"/>
      <c r="U165" s="1709"/>
      <c r="V165" s="1709"/>
      <c r="W165" s="1709"/>
      <c r="X165" s="1709"/>
      <c r="Y165" s="1709"/>
      <c r="Z165" s="1709"/>
      <c r="AA165" s="1709"/>
      <c r="AB165" s="1709"/>
      <c r="AC165" s="1709"/>
      <c r="AD165" s="1709"/>
      <c r="AE165" s="1709"/>
      <c r="AF165" s="1709"/>
      <c r="AG165" s="1709"/>
    </row>
    <row r="166" spans="17:33" s="1704" customFormat="1">
      <c r="Q166" s="1709"/>
      <c r="R166" s="1709"/>
      <c r="U166" s="1709"/>
      <c r="V166" s="1709"/>
      <c r="W166" s="1709"/>
      <c r="X166" s="1709"/>
      <c r="Y166" s="1709"/>
      <c r="Z166" s="1709"/>
      <c r="AA166" s="1709"/>
      <c r="AB166" s="1709"/>
      <c r="AC166" s="1709"/>
      <c r="AD166" s="1709"/>
      <c r="AE166" s="1709"/>
      <c r="AF166" s="1709"/>
      <c r="AG166" s="1709"/>
    </row>
    <row r="167" spans="17:33" s="1704" customFormat="1">
      <c r="Q167" s="1709"/>
      <c r="R167" s="1709"/>
      <c r="U167" s="1709"/>
      <c r="V167" s="1709"/>
      <c r="W167" s="1709"/>
      <c r="X167" s="1709"/>
      <c r="Y167" s="1709"/>
      <c r="Z167" s="1709"/>
      <c r="AA167" s="1709"/>
      <c r="AB167" s="1709"/>
      <c r="AC167" s="1709"/>
      <c r="AD167" s="1709"/>
      <c r="AE167" s="1709"/>
      <c r="AF167" s="1709"/>
      <c r="AG167" s="1709"/>
    </row>
    <row r="168" spans="17:33" s="1704" customFormat="1">
      <c r="Q168" s="1709"/>
      <c r="R168" s="1709"/>
      <c r="U168" s="1709"/>
      <c r="V168" s="1709"/>
      <c r="W168" s="1709"/>
      <c r="X168" s="1709"/>
      <c r="Y168" s="1709"/>
      <c r="Z168" s="1709"/>
      <c r="AA168" s="1709"/>
      <c r="AB168" s="1709"/>
      <c r="AC168" s="1709"/>
      <c r="AD168" s="1709"/>
      <c r="AE168" s="1709"/>
      <c r="AF168" s="1709"/>
      <c r="AG168" s="1709"/>
    </row>
    <row r="169" spans="17:33" s="1704" customFormat="1">
      <c r="Q169" s="1709"/>
      <c r="R169" s="1709"/>
      <c r="U169" s="1709"/>
      <c r="V169" s="1709"/>
      <c r="W169" s="1709"/>
      <c r="X169" s="1709"/>
      <c r="Y169" s="1709"/>
      <c r="Z169" s="1709"/>
      <c r="AA169" s="1709"/>
      <c r="AB169" s="1709"/>
      <c r="AC169" s="1709"/>
      <c r="AD169" s="1709"/>
      <c r="AE169" s="1709"/>
      <c r="AF169" s="1709"/>
      <c r="AG169" s="1709"/>
    </row>
    <row r="170" spans="17:33" s="1704" customFormat="1">
      <c r="Q170" s="1709"/>
      <c r="R170" s="1709"/>
      <c r="U170" s="1709"/>
      <c r="V170" s="1709"/>
      <c r="W170" s="1709"/>
      <c r="X170" s="1709"/>
      <c r="Y170" s="1709"/>
      <c r="Z170" s="1709"/>
      <c r="AA170" s="1709"/>
      <c r="AB170" s="1709"/>
      <c r="AC170" s="1709"/>
      <c r="AD170" s="1709"/>
      <c r="AE170" s="1709"/>
      <c r="AF170" s="1709"/>
      <c r="AG170" s="1709"/>
    </row>
    <row r="171" spans="17:33" s="1704" customFormat="1">
      <c r="Q171" s="1709"/>
      <c r="R171" s="1709"/>
      <c r="U171" s="1709"/>
      <c r="V171" s="1709"/>
      <c r="W171" s="1709"/>
      <c r="X171" s="1709"/>
      <c r="Y171" s="1709"/>
      <c r="Z171" s="1709"/>
      <c r="AA171" s="1709"/>
      <c r="AB171" s="1709"/>
      <c r="AC171" s="1709"/>
      <c r="AD171" s="1709"/>
      <c r="AE171" s="1709"/>
      <c r="AF171" s="1709"/>
      <c r="AG171" s="1709"/>
    </row>
    <row r="172" spans="17:33" s="1704" customFormat="1">
      <c r="Q172" s="1709"/>
      <c r="R172" s="1709"/>
      <c r="U172" s="1709"/>
      <c r="V172" s="1709"/>
      <c r="W172" s="1709"/>
      <c r="X172" s="1709"/>
      <c r="Y172" s="1709"/>
      <c r="Z172" s="1709"/>
      <c r="AA172" s="1709"/>
      <c r="AB172" s="1709"/>
      <c r="AC172" s="1709"/>
      <c r="AD172" s="1709"/>
      <c r="AE172" s="1709"/>
      <c r="AF172" s="1709"/>
      <c r="AG172" s="1709"/>
    </row>
    <row r="173" spans="17:33" s="1704" customFormat="1">
      <c r="Q173" s="1709"/>
      <c r="R173" s="1709"/>
      <c r="U173" s="1709"/>
      <c r="V173" s="1709"/>
      <c r="W173" s="1709"/>
      <c r="X173" s="1709"/>
      <c r="Y173" s="1709"/>
      <c r="Z173" s="1709"/>
      <c r="AA173" s="1709"/>
      <c r="AB173" s="1709"/>
      <c r="AC173" s="1709"/>
      <c r="AD173" s="1709"/>
      <c r="AE173" s="1709"/>
      <c r="AF173" s="1709"/>
      <c r="AG173" s="1709"/>
    </row>
    <row r="174" spans="17:33" s="1704" customFormat="1">
      <c r="Q174" s="1709"/>
      <c r="R174" s="1709"/>
      <c r="U174" s="1709"/>
      <c r="V174" s="1709"/>
      <c r="W174" s="1709"/>
      <c r="X174" s="1709"/>
      <c r="Y174" s="1709"/>
      <c r="Z174" s="1709"/>
      <c r="AA174" s="1709"/>
      <c r="AB174" s="1709"/>
      <c r="AC174" s="1709"/>
      <c r="AD174" s="1709"/>
      <c r="AE174" s="1709"/>
      <c r="AF174" s="1709"/>
      <c r="AG174" s="1709"/>
    </row>
    <row r="175" spans="17:33" s="1704" customFormat="1">
      <c r="Q175" s="1709"/>
      <c r="R175" s="1709"/>
      <c r="U175" s="1709"/>
      <c r="V175" s="1709"/>
      <c r="W175" s="1709"/>
      <c r="X175" s="1709"/>
      <c r="Y175" s="1709"/>
      <c r="Z175" s="1709"/>
      <c r="AA175" s="1709"/>
      <c r="AB175" s="1709"/>
      <c r="AC175" s="1709"/>
      <c r="AD175" s="1709"/>
      <c r="AE175" s="1709"/>
      <c r="AF175" s="1709"/>
      <c r="AG175" s="1709"/>
    </row>
    <row r="176" spans="17:33" s="1704" customFormat="1">
      <c r="Q176" s="1709"/>
      <c r="R176" s="1709"/>
      <c r="U176" s="1709"/>
      <c r="V176" s="1709"/>
      <c r="W176" s="1709"/>
      <c r="X176" s="1709"/>
      <c r="Y176" s="1709"/>
      <c r="Z176" s="1709"/>
      <c r="AA176" s="1709"/>
      <c r="AB176" s="1709"/>
      <c r="AC176" s="1709"/>
      <c r="AD176" s="1709"/>
      <c r="AE176" s="1709"/>
      <c r="AF176" s="1709"/>
      <c r="AG176" s="1709"/>
    </row>
    <row r="177" spans="17:33" s="1704" customFormat="1">
      <c r="Q177" s="1709"/>
      <c r="R177" s="1709"/>
      <c r="U177" s="1709"/>
      <c r="V177" s="1709"/>
      <c r="W177" s="1709"/>
      <c r="X177" s="1709"/>
      <c r="Y177" s="1709"/>
      <c r="Z177" s="1709"/>
      <c r="AA177" s="1709"/>
      <c r="AB177" s="1709"/>
      <c r="AC177" s="1709"/>
      <c r="AD177" s="1709"/>
      <c r="AE177" s="1709"/>
      <c r="AF177" s="1709"/>
      <c r="AG177" s="1709"/>
    </row>
    <row r="178" spans="17:33" s="1704" customFormat="1">
      <c r="Q178" s="1709"/>
      <c r="R178" s="1709"/>
      <c r="U178" s="1709"/>
      <c r="V178" s="1709"/>
      <c r="W178" s="1709"/>
      <c r="X178" s="1709"/>
      <c r="Y178" s="1709"/>
      <c r="Z178" s="1709"/>
      <c r="AA178" s="1709"/>
      <c r="AB178" s="1709"/>
      <c r="AC178" s="1709"/>
      <c r="AD178" s="1709"/>
      <c r="AE178" s="1709"/>
      <c r="AF178" s="1709"/>
      <c r="AG178" s="1709"/>
    </row>
    <row r="179" spans="17:33" s="1704" customFormat="1">
      <c r="Q179" s="1709"/>
      <c r="R179" s="1709"/>
      <c r="U179" s="1709"/>
      <c r="V179" s="1709"/>
      <c r="W179" s="1709"/>
      <c r="X179" s="1709"/>
      <c r="Y179" s="1709"/>
      <c r="Z179" s="1709"/>
      <c r="AA179" s="1709"/>
      <c r="AB179" s="1709"/>
      <c r="AC179" s="1709"/>
      <c r="AD179" s="1709"/>
      <c r="AE179" s="1709"/>
      <c r="AF179" s="1709"/>
      <c r="AG179" s="1709"/>
    </row>
    <row r="180" spans="17:33" s="1704" customFormat="1">
      <c r="Q180" s="1709"/>
      <c r="R180" s="1709"/>
      <c r="U180" s="1709"/>
      <c r="V180" s="1709"/>
      <c r="W180" s="1709"/>
      <c r="X180" s="1709"/>
      <c r="Y180" s="1709"/>
      <c r="Z180" s="1709"/>
      <c r="AA180" s="1709"/>
      <c r="AB180" s="1709"/>
      <c r="AC180" s="1709"/>
      <c r="AD180" s="1709"/>
      <c r="AE180" s="1709"/>
      <c r="AF180" s="1709"/>
      <c r="AG180" s="1709"/>
    </row>
    <row r="181" spans="17:33" s="1704" customFormat="1">
      <c r="Q181" s="1709"/>
      <c r="R181" s="1709"/>
      <c r="U181" s="1709"/>
      <c r="V181" s="1709"/>
      <c r="W181" s="1709"/>
      <c r="X181" s="1709"/>
      <c r="Y181" s="1709"/>
      <c r="Z181" s="1709"/>
      <c r="AA181" s="1709"/>
      <c r="AB181" s="1709"/>
      <c r="AC181" s="1709"/>
      <c r="AD181" s="1709"/>
      <c r="AE181" s="1709"/>
      <c r="AF181" s="1709"/>
      <c r="AG181" s="1709"/>
    </row>
    <row r="182" spans="17:33" s="1704" customFormat="1">
      <c r="Q182" s="1709"/>
      <c r="R182" s="1709"/>
      <c r="U182" s="1709"/>
      <c r="V182" s="1709"/>
      <c r="W182" s="1709"/>
      <c r="X182" s="1709"/>
      <c r="Y182" s="1709"/>
      <c r="Z182" s="1709"/>
      <c r="AA182" s="1709"/>
      <c r="AB182" s="1709"/>
      <c r="AC182" s="1709"/>
      <c r="AD182" s="1709"/>
      <c r="AE182" s="1709"/>
      <c r="AF182" s="1709"/>
      <c r="AG182" s="1709"/>
    </row>
    <row r="183" spans="17:33" s="1704" customFormat="1">
      <c r="Q183" s="1709"/>
      <c r="R183" s="1709"/>
      <c r="U183" s="1709"/>
      <c r="V183" s="1709"/>
      <c r="W183" s="1709"/>
      <c r="X183" s="1709"/>
      <c r="Y183" s="1709"/>
      <c r="Z183" s="1709"/>
      <c r="AA183" s="1709"/>
      <c r="AB183" s="1709"/>
      <c r="AC183" s="1709"/>
      <c r="AD183" s="1709"/>
      <c r="AE183" s="1709"/>
      <c r="AF183" s="1709"/>
      <c r="AG183" s="1709"/>
    </row>
    <row r="184" spans="17:33" s="1704" customFormat="1">
      <c r="Q184" s="1709"/>
      <c r="R184" s="1709"/>
      <c r="U184" s="1709"/>
      <c r="V184" s="1709"/>
      <c r="W184" s="1709"/>
      <c r="X184" s="1709"/>
      <c r="Y184" s="1709"/>
      <c r="Z184" s="1709"/>
      <c r="AA184" s="1709"/>
      <c r="AB184" s="1709"/>
      <c r="AC184" s="1709"/>
      <c r="AD184" s="1709"/>
      <c r="AE184" s="1709"/>
      <c r="AF184" s="1709"/>
      <c r="AG184" s="1709"/>
    </row>
    <row r="185" spans="17:33" s="1704" customFormat="1">
      <c r="Q185" s="1709"/>
      <c r="R185" s="1709"/>
      <c r="U185" s="1709"/>
      <c r="V185" s="1709"/>
      <c r="W185" s="1709"/>
      <c r="X185" s="1709"/>
      <c r="Y185" s="1709"/>
      <c r="Z185" s="1709"/>
      <c r="AA185" s="1709"/>
      <c r="AB185" s="1709"/>
      <c r="AC185" s="1709"/>
      <c r="AD185" s="1709"/>
      <c r="AE185" s="1709"/>
      <c r="AF185" s="1709"/>
      <c r="AG185" s="1709"/>
    </row>
    <row r="186" spans="17:33" s="1704" customFormat="1">
      <c r="Q186" s="1709"/>
      <c r="R186" s="1709"/>
      <c r="U186" s="1709"/>
      <c r="V186" s="1709"/>
      <c r="W186" s="1709"/>
      <c r="X186" s="1709"/>
      <c r="Y186" s="1709"/>
      <c r="Z186" s="1709"/>
      <c r="AA186" s="1709"/>
      <c r="AB186" s="1709"/>
      <c r="AC186" s="1709"/>
      <c r="AD186" s="1709"/>
      <c r="AE186" s="1709"/>
      <c r="AF186" s="1709"/>
      <c r="AG186" s="1709"/>
    </row>
    <row r="187" spans="17:33" s="1704" customFormat="1">
      <c r="Q187" s="1709"/>
      <c r="R187" s="1709"/>
      <c r="U187" s="1709"/>
      <c r="V187" s="1709"/>
      <c r="W187" s="1709"/>
      <c r="X187" s="1709"/>
      <c r="Y187" s="1709"/>
      <c r="Z187" s="1709"/>
      <c r="AA187" s="1709"/>
      <c r="AB187" s="1709"/>
      <c r="AC187" s="1709"/>
      <c r="AD187" s="1709"/>
      <c r="AE187" s="1709"/>
      <c r="AF187" s="1709"/>
      <c r="AG187" s="1709"/>
    </row>
    <row r="188" spans="17:33" s="1704" customFormat="1">
      <c r="Q188" s="1709"/>
      <c r="R188" s="1709"/>
      <c r="U188" s="1709"/>
      <c r="V188" s="1709"/>
      <c r="W188" s="1709"/>
      <c r="X188" s="1709"/>
      <c r="Y188" s="1709"/>
      <c r="Z188" s="1709"/>
      <c r="AA188" s="1709"/>
      <c r="AB188" s="1709"/>
      <c r="AC188" s="1709"/>
      <c r="AD188" s="1709"/>
      <c r="AE188" s="1709"/>
      <c r="AF188" s="1709"/>
      <c r="AG188" s="1709"/>
    </row>
    <row r="189" spans="17:33" s="1704" customFormat="1">
      <c r="Q189" s="1709"/>
      <c r="R189" s="1709"/>
      <c r="U189" s="1709"/>
      <c r="V189" s="1709"/>
      <c r="W189" s="1709"/>
      <c r="X189" s="1709"/>
      <c r="Y189" s="1709"/>
      <c r="Z189" s="1709"/>
      <c r="AA189" s="1709"/>
      <c r="AB189" s="1709"/>
      <c r="AC189" s="1709"/>
      <c r="AD189" s="1709"/>
      <c r="AE189" s="1709"/>
      <c r="AF189" s="1709"/>
      <c r="AG189" s="1709"/>
    </row>
    <row r="190" spans="17:33" s="1704" customFormat="1">
      <c r="Q190" s="1709"/>
      <c r="R190" s="1709"/>
      <c r="U190" s="1709"/>
      <c r="V190" s="1709"/>
      <c r="W190" s="1709"/>
      <c r="X190" s="1709"/>
      <c r="Y190" s="1709"/>
      <c r="Z190" s="1709"/>
      <c r="AA190" s="1709"/>
      <c r="AB190" s="1709"/>
      <c r="AC190" s="1709"/>
      <c r="AD190" s="1709"/>
      <c r="AE190" s="1709"/>
      <c r="AF190" s="1709"/>
      <c r="AG190" s="1709"/>
    </row>
    <row r="191" spans="17:33" s="1704" customFormat="1">
      <c r="Q191" s="1709"/>
      <c r="R191" s="1709"/>
      <c r="U191" s="1709"/>
      <c r="V191" s="1709"/>
      <c r="W191" s="1709"/>
      <c r="X191" s="1709"/>
      <c r="Y191" s="1709"/>
      <c r="Z191" s="1709"/>
      <c r="AA191" s="1709"/>
      <c r="AB191" s="1709"/>
      <c r="AC191" s="1709"/>
      <c r="AD191" s="1709"/>
      <c r="AE191" s="1709"/>
      <c r="AF191" s="1709"/>
      <c r="AG191" s="1709"/>
    </row>
    <row r="192" spans="17:33" s="1704" customFormat="1">
      <c r="Q192" s="1709"/>
      <c r="R192" s="1709"/>
      <c r="U192" s="1709"/>
      <c r="V192" s="1709"/>
      <c r="W192" s="1709"/>
      <c r="X192" s="1709"/>
      <c r="Y192" s="1709"/>
      <c r="Z192" s="1709"/>
      <c r="AA192" s="1709"/>
      <c r="AB192" s="1709"/>
      <c r="AC192" s="1709"/>
      <c r="AD192" s="1709"/>
      <c r="AE192" s="1709"/>
      <c r="AF192" s="1709"/>
      <c r="AG192" s="1709"/>
    </row>
    <row r="193" spans="17:33" s="1704" customFormat="1">
      <c r="Q193" s="1709"/>
      <c r="R193" s="1709"/>
      <c r="U193" s="1709"/>
      <c r="V193" s="1709"/>
      <c r="W193" s="1709"/>
      <c r="X193" s="1709"/>
      <c r="Y193" s="1709"/>
      <c r="Z193" s="1709"/>
      <c r="AA193" s="1709"/>
      <c r="AB193" s="1709"/>
      <c r="AC193" s="1709"/>
      <c r="AD193" s="1709"/>
      <c r="AE193" s="1709"/>
      <c r="AF193" s="1709"/>
      <c r="AG193" s="1709"/>
    </row>
    <row r="194" spans="17:33" s="1704" customFormat="1">
      <c r="Q194" s="1709"/>
      <c r="R194" s="1709"/>
      <c r="U194" s="1709"/>
      <c r="V194" s="1709"/>
      <c r="W194" s="1709"/>
      <c r="X194" s="1709"/>
      <c r="Y194" s="1709"/>
      <c r="Z194" s="1709"/>
      <c r="AA194" s="1709"/>
      <c r="AB194" s="1709"/>
      <c r="AC194" s="1709"/>
      <c r="AD194" s="1709"/>
      <c r="AE194" s="1709"/>
      <c r="AF194" s="1709"/>
      <c r="AG194" s="1709"/>
    </row>
    <row r="195" spans="17:33" s="1704" customFormat="1">
      <c r="Q195" s="1709"/>
      <c r="R195" s="1709"/>
      <c r="U195" s="1709"/>
      <c r="V195" s="1709"/>
      <c r="W195" s="1709"/>
      <c r="X195" s="1709"/>
      <c r="Y195" s="1709"/>
      <c r="Z195" s="1709"/>
      <c r="AA195" s="1709"/>
      <c r="AB195" s="1709"/>
      <c r="AC195" s="1709"/>
      <c r="AD195" s="1709"/>
      <c r="AE195" s="1709"/>
      <c r="AF195" s="1709"/>
      <c r="AG195" s="1709"/>
    </row>
    <row r="196" spans="17:33" s="1704" customFormat="1">
      <c r="Q196" s="1709"/>
      <c r="R196" s="1709"/>
      <c r="U196" s="1709"/>
      <c r="V196" s="1709"/>
      <c r="W196" s="1709"/>
      <c r="X196" s="1709"/>
      <c r="Y196" s="1709"/>
      <c r="Z196" s="1709"/>
      <c r="AA196" s="1709"/>
      <c r="AB196" s="1709"/>
      <c r="AC196" s="1709"/>
      <c r="AD196" s="1709"/>
      <c r="AE196" s="1709"/>
      <c r="AF196" s="1709"/>
      <c r="AG196" s="1709"/>
    </row>
    <row r="197" spans="17:33" s="1704" customFormat="1">
      <c r="Q197" s="1709"/>
      <c r="R197" s="1709"/>
      <c r="U197" s="1709"/>
      <c r="V197" s="1709"/>
      <c r="W197" s="1709"/>
      <c r="X197" s="1709"/>
      <c r="Y197" s="1709"/>
      <c r="Z197" s="1709"/>
      <c r="AA197" s="1709"/>
      <c r="AB197" s="1709"/>
      <c r="AC197" s="1709"/>
      <c r="AD197" s="1709"/>
      <c r="AE197" s="1709"/>
      <c r="AF197" s="1709"/>
      <c r="AG197" s="1709"/>
    </row>
    <row r="198" spans="17:33" s="1704" customFormat="1">
      <c r="Q198" s="1709"/>
      <c r="R198" s="1709"/>
      <c r="U198" s="1709"/>
      <c r="V198" s="1709"/>
      <c r="W198" s="1709"/>
      <c r="X198" s="1709"/>
      <c r="Y198" s="1709"/>
      <c r="Z198" s="1709"/>
      <c r="AA198" s="1709"/>
      <c r="AB198" s="1709"/>
      <c r="AC198" s="1709"/>
      <c r="AD198" s="1709"/>
      <c r="AE198" s="1709"/>
      <c r="AF198" s="1709"/>
      <c r="AG198" s="1709"/>
    </row>
    <row r="199" spans="17:33" s="1704" customFormat="1">
      <c r="Q199" s="1709"/>
      <c r="R199" s="1709"/>
      <c r="U199" s="1709"/>
      <c r="V199" s="1709"/>
      <c r="W199" s="1709"/>
      <c r="X199" s="1709"/>
      <c r="Y199" s="1709"/>
      <c r="Z199" s="1709"/>
      <c r="AA199" s="1709"/>
      <c r="AB199" s="1709"/>
      <c r="AC199" s="1709"/>
      <c r="AD199" s="1709"/>
      <c r="AE199" s="1709"/>
      <c r="AF199" s="1709"/>
      <c r="AG199" s="1709"/>
    </row>
    <row r="200" spans="17:33" s="1704" customFormat="1">
      <c r="Q200" s="1709"/>
      <c r="R200" s="1709"/>
      <c r="U200" s="1709"/>
      <c r="V200" s="1709"/>
      <c r="W200" s="1709"/>
      <c r="X200" s="1709"/>
      <c r="Y200" s="1709"/>
      <c r="Z200" s="1709"/>
      <c r="AA200" s="1709"/>
      <c r="AB200" s="1709"/>
      <c r="AC200" s="1709"/>
      <c r="AD200" s="1709"/>
      <c r="AE200" s="1709"/>
      <c r="AF200" s="1709"/>
      <c r="AG200" s="1709"/>
    </row>
    <row r="201" spans="17:33" s="1704" customFormat="1">
      <c r="Q201" s="1709"/>
      <c r="R201" s="1709"/>
      <c r="U201" s="1709"/>
      <c r="V201" s="1709"/>
      <c r="W201" s="1709"/>
      <c r="X201" s="1709"/>
      <c r="Y201" s="1709"/>
      <c r="Z201" s="1709"/>
      <c r="AA201" s="1709"/>
      <c r="AB201" s="1709"/>
      <c r="AC201" s="1709"/>
      <c r="AD201" s="1709"/>
      <c r="AE201" s="1709"/>
      <c r="AF201" s="1709"/>
      <c r="AG201" s="1709"/>
    </row>
    <row r="202" spans="17:33" s="1704" customFormat="1">
      <c r="Q202" s="1709"/>
      <c r="R202" s="1709"/>
      <c r="U202" s="1709"/>
      <c r="V202" s="1709"/>
      <c r="W202" s="1709"/>
      <c r="X202" s="1709"/>
      <c r="Y202" s="1709"/>
      <c r="Z202" s="1709"/>
      <c r="AA202" s="1709"/>
      <c r="AB202" s="1709"/>
      <c r="AC202" s="1709"/>
      <c r="AD202" s="1709"/>
      <c r="AE202" s="1709"/>
      <c r="AF202" s="1709"/>
      <c r="AG202" s="1709"/>
    </row>
    <row r="203" spans="17:33" s="1704" customFormat="1">
      <c r="Q203" s="1709"/>
      <c r="R203" s="1709"/>
      <c r="U203" s="1709"/>
      <c r="V203" s="1709"/>
      <c r="W203" s="1709"/>
      <c r="X203" s="1709"/>
      <c r="Y203" s="1709"/>
      <c r="Z203" s="1709"/>
      <c r="AA203" s="1709"/>
      <c r="AB203" s="1709"/>
      <c r="AC203" s="1709"/>
      <c r="AD203" s="1709"/>
      <c r="AE203" s="1709"/>
      <c r="AF203" s="1709"/>
      <c r="AG203" s="1709"/>
    </row>
    <row r="204" spans="17:33" s="1704" customFormat="1">
      <c r="Q204" s="1709"/>
      <c r="R204" s="1709"/>
      <c r="U204" s="1709"/>
      <c r="V204" s="1709"/>
      <c r="W204" s="1709"/>
      <c r="X204" s="1709"/>
      <c r="Y204" s="1709"/>
      <c r="Z204" s="1709"/>
      <c r="AA204" s="1709"/>
      <c r="AB204" s="1709"/>
      <c r="AC204" s="1709"/>
      <c r="AD204" s="1709"/>
      <c r="AE204" s="1709"/>
      <c r="AF204" s="1709"/>
      <c r="AG204" s="1709"/>
    </row>
    <row r="205" spans="17:33" s="1704" customFormat="1">
      <c r="Q205" s="1709"/>
      <c r="R205" s="1709"/>
      <c r="U205" s="1709"/>
      <c r="V205" s="1709"/>
      <c r="W205" s="1709"/>
      <c r="X205" s="1709"/>
      <c r="Y205" s="1709"/>
      <c r="Z205" s="1709"/>
      <c r="AA205" s="1709"/>
      <c r="AB205" s="1709"/>
      <c r="AC205" s="1709"/>
      <c r="AD205" s="1709"/>
      <c r="AE205" s="1709"/>
      <c r="AF205" s="1709"/>
      <c r="AG205" s="1709"/>
    </row>
    <row r="206" spans="17:33" s="1704" customFormat="1">
      <c r="Q206" s="1709"/>
      <c r="R206" s="1709"/>
      <c r="U206" s="1709"/>
      <c r="V206" s="1709"/>
      <c r="W206" s="1709"/>
      <c r="X206" s="1709"/>
      <c r="Y206" s="1709"/>
      <c r="Z206" s="1709"/>
      <c r="AA206" s="1709"/>
      <c r="AB206" s="1709"/>
      <c r="AC206" s="1709"/>
      <c r="AD206" s="1709"/>
      <c r="AE206" s="1709"/>
      <c r="AF206" s="1709"/>
      <c r="AG206" s="1709"/>
    </row>
    <row r="207" spans="17:33" s="1704" customFormat="1">
      <c r="Q207" s="1709"/>
      <c r="R207" s="1709"/>
      <c r="U207" s="1709"/>
      <c r="V207" s="1709"/>
      <c r="W207" s="1709"/>
      <c r="X207" s="1709"/>
      <c r="Y207" s="1709"/>
      <c r="Z207" s="1709"/>
      <c r="AA207" s="1709"/>
      <c r="AB207" s="1709"/>
      <c r="AC207" s="1709"/>
      <c r="AD207" s="1709"/>
      <c r="AE207" s="1709"/>
      <c r="AF207" s="1709"/>
      <c r="AG207" s="1709"/>
    </row>
    <row r="208" spans="17:33" s="1704" customFormat="1">
      <c r="Q208" s="1709"/>
      <c r="R208" s="1709"/>
      <c r="U208" s="1709"/>
      <c r="V208" s="1709"/>
      <c r="W208" s="1709"/>
      <c r="X208" s="1709"/>
      <c r="Y208" s="1709"/>
      <c r="Z208" s="1709"/>
      <c r="AA208" s="1709"/>
      <c r="AB208" s="1709"/>
      <c r="AC208" s="1709"/>
      <c r="AD208" s="1709"/>
      <c r="AE208" s="1709"/>
      <c r="AF208" s="1709"/>
      <c r="AG208" s="1709"/>
    </row>
    <row r="209" spans="17:33" s="1704" customFormat="1">
      <c r="Q209" s="1709"/>
      <c r="R209" s="1709"/>
      <c r="U209" s="1709"/>
      <c r="V209" s="1709"/>
      <c r="W209" s="1709"/>
      <c r="X209" s="1709"/>
      <c r="Y209" s="1709"/>
      <c r="Z209" s="1709"/>
      <c r="AA209" s="1709"/>
      <c r="AB209" s="1709"/>
      <c r="AC209" s="1709"/>
      <c r="AD209" s="1709"/>
      <c r="AE209" s="1709"/>
      <c r="AF209" s="1709"/>
      <c r="AG209" s="1709"/>
    </row>
    <row r="210" spans="17:33" s="1704" customFormat="1">
      <c r="Q210" s="1709"/>
      <c r="R210" s="1709"/>
      <c r="U210" s="1709"/>
      <c r="V210" s="1709"/>
      <c r="W210" s="1709"/>
      <c r="X210" s="1709"/>
      <c r="Y210" s="1709"/>
      <c r="Z210" s="1709"/>
      <c r="AA210" s="1709"/>
      <c r="AB210" s="1709"/>
      <c r="AC210" s="1709"/>
      <c r="AD210" s="1709"/>
      <c r="AE210" s="1709"/>
      <c r="AF210" s="1709"/>
      <c r="AG210" s="1709"/>
    </row>
    <row r="211" spans="17:33" s="1704" customFormat="1">
      <c r="Q211" s="1709"/>
      <c r="R211" s="1709"/>
      <c r="U211" s="1709"/>
      <c r="V211" s="1709"/>
      <c r="W211" s="1709"/>
      <c r="X211" s="1709"/>
      <c r="Y211" s="1709"/>
      <c r="Z211" s="1709"/>
      <c r="AA211" s="1709"/>
      <c r="AB211" s="1709"/>
      <c r="AC211" s="1709"/>
      <c r="AD211" s="1709"/>
      <c r="AE211" s="1709"/>
      <c r="AF211" s="1709"/>
      <c r="AG211" s="1709"/>
    </row>
    <row r="212" spans="17:33" s="1704" customFormat="1">
      <c r="Q212" s="1709"/>
      <c r="R212" s="1709"/>
      <c r="U212" s="1709"/>
      <c r="V212" s="1709"/>
      <c r="W212" s="1709"/>
      <c r="X212" s="1709"/>
      <c r="Y212" s="1709"/>
      <c r="Z212" s="1709"/>
      <c r="AA212" s="1709"/>
      <c r="AB212" s="1709"/>
      <c r="AC212" s="1709"/>
      <c r="AD212" s="1709"/>
      <c r="AE212" s="1709"/>
      <c r="AF212" s="1709"/>
      <c r="AG212" s="1709"/>
    </row>
    <row r="213" spans="17:33" s="1704" customFormat="1">
      <c r="Q213" s="1709"/>
      <c r="R213" s="1709"/>
      <c r="U213" s="1709"/>
      <c r="V213" s="1709"/>
      <c r="W213" s="1709"/>
      <c r="X213" s="1709"/>
      <c r="Y213" s="1709"/>
      <c r="Z213" s="1709"/>
      <c r="AA213" s="1709"/>
      <c r="AB213" s="1709"/>
      <c r="AC213" s="1709"/>
      <c r="AD213" s="1709"/>
      <c r="AE213" s="1709"/>
      <c r="AF213" s="1709"/>
      <c r="AG213" s="1709"/>
    </row>
    <row r="214" spans="17:33" s="1704" customFormat="1">
      <c r="Q214" s="1709"/>
      <c r="R214" s="1709"/>
      <c r="U214" s="1709"/>
      <c r="V214" s="1709"/>
      <c r="W214" s="1709"/>
      <c r="X214" s="1709"/>
      <c r="Y214" s="1709"/>
      <c r="Z214" s="1709"/>
      <c r="AA214" s="1709"/>
      <c r="AB214" s="1709"/>
      <c r="AC214" s="1709"/>
      <c r="AD214" s="1709"/>
      <c r="AE214" s="1709"/>
      <c r="AF214" s="1709"/>
      <c r="AG214" s="1709"/>
    </row>
    <row r="215" spans="17:33" s="1704" customFormat="1">
      <c r="Q215" s="1709"/>
      <c r="R215" s="1709"/>
      <c r="U215" s="1709"/>
      <c r="V215" s="1709"/>
      <c r="W215" s="1709"/>
      <c r="X215" s="1709"/>
      <c r="Y215" s="1709"/>
      <c r="Z215" s="1709"/>
      <c r="AA215" s="1709"/>
      <c r="AB215" s="1709"/>
      <c r="AC215" s="1709"/>
      <c r="AD215" s="1709"/>
      <c r="AE215" s="1709"/>
      <c r="AF215" s="1709"/>
      <c r="AG215" s="1709"/>
    </row>
    <row r="216" spans="17:33" s="1704" customFormat="1">
      <c r="Q216" s="1709"/>
      <c r="R216" s="1709"/>
      <c r="U216" s="1709"/>
      <c r="V216" s="1709"/>
      <c r="W216" s="1709"/>
      <c r="X216" s="1709"/>
      <c r="Y216" s="1709"/>
      <c r="Z216" s="1709"/>
      <c r="AA216" s="1709"/>
      <c r="AB216" s="1709"/>
      <c r="AC216" s="1709"/>
      <c r="AD216" s="1709"/>
      <c r="AE216" s="1709"/>
      <c r="AF216" s="1709"/>
      <c r="AG216" s="1709"/>
    </row>
    <row r="217" spans="17:33" s="1704" customFormat="1">
      <c r="Q217" s="1709"/>
      <c r="R217" s="1709"/>
      <c r="U217" s="1709"/>
      <c r="V217" s="1709"/>
      <c r="W217" s="1709"/>
      <c r="X217" s="1709"/>
      <c r="Y217" s="1709"/>
      <c r="Z217" s="1709"/>
      <c r="AA217" s="1709"/>
      <c r="AB217" s="1709"/>
      <c r="AC217" s="1709"/>
      <c r="AD217" s="1709"/>
      <c r="AE217" s="1709"/>
      <c r="AF217" s="1709"/>
      <c r="AG217" s="1709"/>
    </row>
    <row r="218" spans="17:33" s="1704" customFormat="1">
      <c r="Q218" s="1709"/>
      <c r="R218" s="1709"/>
      <c r="U218" s="1709"/>
      <c r="V218" s="1709"/>
      <c r="W218" s="1709"/>
      <c r="X218" s="1709"/>
      <c r="Y218" s="1709"/>
      <c r="Z218" s="1709"/>
      <c r="AA218" s="1709"/>
      <c r="AB218" s="1709"/>
      <c r="AC218" s="1709"/>
      <c r="AD218" s="1709"/>
      <c r="AE218" s="1709"/>
      <c r="AF218" s="1709"/>
      <c r="AG218" s="1709"/>
    </row>
    <row r="219" spans="17:33" s="1704" customFormat="1">
      <c r="Q219" s="1709"/>
      <c r="R219" s="1709"/>
      <c r="U219" s="1709"/>
      <c r="V219" s="1709"/>
      <c r="W219" s="1709"/>
      <c r="X219" s="1709"/>
      <c r="Y219" s="1709"/>
      <c r="Z219" s="1709"/>
      <c r="AA219" s="1709"/>
      <c r="AB219" s="1709"/>
      <c r="AC219" s="1709"/>
      <c r="AD219" s="1709"/>
      <c r="AE219" s="1709"/>
      <c r="AF219" s="1709"/>
      <c r="AG219" s="1709"/>
    </row>
    <row r="220" spans="17:33" s="1704" customFormat="1">
      <c r="Q220" s="1709"/>
      <c r="R220" s="1709"/>
      <c r="U220" s="1709"/>
      <c r="V220" s="1709"/>
      <c r="W220" s="1709"/>
      <c r="X220" s="1709"/>
      <c r="Y220" s="1709"/>
      <c r="Z220" s="1709"/>
      <c r="AA220" s="1709"/>
      <c r="AB220" s="1709"/>
      <c r="AC220" s="1709"/>
      <c r="AD220" s="1709"/>
      <c r="AE220" s="1709"/>
      <c r="AF220" s="1709"/>
      <c r="AG220" s="1709"/>
    </row>
    <row r="221" spans="17:33" s="1704" customFormat="1">
      <c r="Q221" s="1709"/>
      <c r="R221" s="1709"/>
      <c r="U221" s="1709"/>
      <c r="V221" s="1709"/>
      <c r="W221" s="1709"/>
      <c r="X221" s="1709"/>
      <c r="Y221" s="1709"/>
      <c r="Z221" s="1709"/>
      <c r="AA221" s="1709"/>
      <c r="AB221" s="1709"/>
      <c r="AC221" s="1709"/>
      <c r="AD221" s="1709"/>
      <c r="AE221" s="1709"/>
      <c r="AF221" s="1709"/>
      <c r="AG221" s="1709"/>
    </row>
    <row r="222" spans="17:33" s="1704" customFormat="1">
      <c r="Q222" s="1709"/>
      <c r="R222" s="1709"/>
      <c r="U222" s="1709"/>
      <c r="V222" s="1709"/>
      <c r="W222" s="1709"/>
      <c r="X222" s="1709"/>
      <c r="Y222" s="1709"/>
      <c r="Z222" s="1709"/>
      <c r="AA222" s="1709"/>
      <c r="AB222" s="1709"/>
      <c r="AC222" s="1709"/>
      <c r="AD222" s="1709"/>
      <c r="AE222" s="1709"/>
      <c r="AF222" s="1709"/>
      <c r="AG222" s="1709"/>
    </row>
    <row r="223" spans="17:33" s="1704" customFormat="1">
      <c r="Q223" s="1709"/>
      <c r="R223" s="1709"/>
      <c r="U223" s="1709"/>
      <c r="V223" s="1709"/>
      <c r="W223" s="1709"/>
      <c r="X223" s="1709"/>
      <c r="Y223" s="1709"/>
      <c r="Z223" s="1709"/>
      <c r="AA223" s="1709"/>
      <c r="AB223" s="1709"/>
      <c r="AC223" s="1709"/>
      <c r="AD223" s="1709"/>
      <c r="AE223" s="1709"/>
      <c r="AF223" s="1709"/>
      <c r="AG223" s="1709"/>
    </row>
    <row r="224" spans="17:33" s="1704" customFormat="1">
      <c r="Q224" s="1709"/>
      <c r="R224" s="1709"/>
      <c r="U224" s="1709"/>
      <c r="V224" s="1709"/>
      <c r="W224" s="1709"/>
      <c r="X224" s="1709"/>
      <c r="Y224" s="1709"/>
      <c r="Z224" s="1709"/>
      <c r="AA224" s="1709"/>
      <c r="AB224" s="1709"/>
      <c r="AC224" s="1709"/>
      <c r="AD224" s="1709"/>
      <c r="AE224" s="1709"/>
      <c r="AF224" s="1709"/>
      <c r="AG224" s="1709"/>
    </row>
    <row r="225" spans="17:33" s="1704" customFormat="1">
      <c r="Q225" s="1709"/>
      <c r="R225" s="1709"/>
      <c r="U225" s="1709"/>
      <c r="V225" s="1709"/>
      <c r="W225" s="1709"/>
      <c r="X225" s="1709"/>
      <c r="Y225" s="1709"/>
      <c r="Z225" s="1709"/>
      <c r="AA225" s="1709"/>
      <c r="AB225" s="1709"/>
      <c r="AC225" s="1709"/>
      <c r="AD225" s="1709"/>
      <c r="AE225" s="1709"/>
      <c r="AF225" s="1709"/>
      <c r="AG225" s="1709"/>
    </row>
    <row r="226" spans="17:33" s="1704" customFormat="1">
      <c r="Q226" s="1709"/>
      <c r="R226" s="1709"/>
      <c r="U226" s="1709"/>
      <c r="V226" s="1709"/>
      <c r="W226" s="1709"/>
      <c r="X226" s="1709"/>
      <c r="Y226" s="1709"/>
      <c r="Z226" s="1709"/>
      <c r="AA226" s="1709"/>
      <c r="AB226" s="1709"/>
      <c r="AC226" s="1709"/>
      <c r="AD226" s="1709"/>
      <c r="AE226" s="1709"/>
      <c r="AF226" s="1709"/>
      <c r="AG226" s="1709"/>
    </row>
    <row r="227" spans="17:33" s="1704" customFormat="1">
      <c r="Q227" s="1709"/>
      <c r="R227" s="1709"/>
      <c r="U227" s="1709"/>
      <c r="V227" s="1709"/>
      <c r="W227" s="1709"/>
      <c r="X227" s="1709"/>
      <c r="Y227" s="1709"/>
      <c r="Z227" s="1709"/>
      <c r="AA227" s="1709"/>
      <c r="AB227" s="1709"/>
      <c r="AC227" s="1709"/>
      <c r="AD227" s="1709"/>
      <c r="AE227" s="1709"/>
      <c r="AF227" s="1709"/>
      <c r="AG227" s="1709"/>
    </row>
    <row r="228" spans="17:33" s="1704" customFormat="1">
      <c r="Q228" s="1709"/>
      <c r="R228" s="1709"/>
      <c r="U228" s="1709"/>
      <c r="V228" s="1709"/>
      <c r="W228" s="1709"/>
      <c r="X228" s="1709"/>
      <c r="Y228" s="1709"/>
      <c r="Z228" s="1709"/>
      <c r="AA228" s="1709"/>
      <c r="AB228" s="1709"/>
      <c r="AC228" s="1709"/>
      <c r="AD228" s="1709"/>
      <c r="AE228" s="1709"/>
      <c r="AF228" s="1709"/>
      <c r="AG228" s="1709"/>
    </row>
    <row r="229" spans="17:33" s="1704" customFormat="1">
      <c r="Q229" s="1709"/>
      <c r="R229" s="1709"/>
      <c r="U229" s="1709"/>
      <c r="V229" s="1709"/>
      <c r="W229" s="1709"/>
      <c r="X229" s="1709"/>
      <c r="Y229" s="1709"/>
      <c r="Z229" s="1709"/>
      <c r="AA229" s="1709"/>
      <c r="AB229" s="1709"/>
      <c r="AC229" s="1709"/>
      <c r="AD229" s="1709"/>
      <c r="AE229" s="1709"/>
      <c r="AF229" s="1709"/>
      <c r="AG229" s="1709"/>
    </row>
    <row r="230" spans="17:33" s="1704" customFormat="1">
      <c r="Q230" s="1709"/>
      <c r="R230" s="1709"/>
      <c r="U230" s="1709"/>
      <c r="V230" s="1709"/>
      <c r="W230" s="1709"/>
      <c r="X230" s="1709"/>
      <c r="Y230" s="1709"/>
      <c r="Z230" s="1709"/>
      <c r="AA230" s="1709"/>
      <c r="AB230" s="1709"/>
      <c r="AC230" s="1709"/>
      <c r="AD230" s="1709"/>
      <c r="AE230" s="1709"/>
      <c r="AF230" s="1709"/>
      <c r="AG230" s="1709"/>
    </row>
    <row r="231" spans="17:33" s="1704" customFormat="1">
      <c r="Q231" s="1709"/>
      <c r="R231" s="1709"/>
      <c r="U231" s="1709"/>
      <c r="V231" s="1709"/>
      <c r="W231" s="1709"/>
      <c r="X231" s="1709"/>
      <c r="Y231" s="1709"/>
      <c r="Z231" s="1709"/>
      <c r="AA231" s="1709"/>
      <c r="AB231" s="1709"/>
      <c r="AC231" s="1709"/>
      <c r="AD231" s="1709"/>
      <c r="AE231" s="1709"/>
      <c r="AF231" s="1709"/>
      <c r="AG231" s="1709"/>
    </row>
    <row r="232" spans="17:33" s="1704" customFormat="1">
      <c r="Q232" s="1709"/>
      <c r="R232" s="1709"/>
      <c r="U232" s="1709"/>
      <c r="V232" s="1709"/>
      <c r="W232" s="1709"/>
      <c r="X232" s="1709"/>
      <c r="Y232" s="1709"/>
      <c r="Z232" s="1709"/>
      <c r="AA232" s="1709"/>
      <c r="AB232" s="1709"/>
      <c r="AC232" s="1709"/>
      <c r="AD232" s="1709"/>
      <c r="AE232" s="1709"/>
      <c r="AF232" s="1709"/>
      <c r="AG232" s="1709"/>
    </row>
    <row r="233" spans="17:33" s="1704" customFormat="1">
      <c r="Q233" s="1709"/>
      <c r="R233" s="1709"/>
      <c r="U233" s="1709"/>
      <c r="V233" s="1709"/>
      <c r="W233" s="1709"/>
      <c r="X233" s="1709"/>
      <c r="Y233" s="1709"/>
      <c r="Z233" s="1709"/>
      <c r="AA233" s="1709"/>
      <c r="AB233" s="1709"/>
      <c r="AC233" s="1709"/>
      <c r="AD233" s="1709"/>
      <c r="AE233" s="1709"/>
      <c r="AF233" s="1709"/>
      <c r="AG233" s="1709"/>
    </row>
    <row r="234" spans="17:33" s="1704" customFormat="1">
      <c r="Q234" s="1709"/>
      <c r="R234" s="1709"/>
      <c r="U234" s="1709"/>
      <c r="V234" s="1709"/>
      <c r="W234" s="1709"/>
      <c r="X234" s="1709"/>
      <c r="Y234" s="1709"/>
      <c r="Z234" s="1709"/>
      <c r="AA234" s="1709"/>
      <c r="AB234" s="1709"/>
      <c r="AC234" s="1709"/>
      <c r="AD234" s="1709"/>
      <c r="AE234" s="1709"/>
      <c r="AF234" s="1709"/>
      <c r="AG234" s="1709"/>
    </row>
    <row r="235" spans="17:33" s="1704" customFormat="1">
      <c r="Q235" s="1709"/>
      <c r="R235" s="1709"/>
      <c r="U235" s="1709"/>
      <c r="V235" s="1709"/>
      <c r="W235" s="1709"/>
      <c r="X235" s="1709"/>
      <c r="Y235" s="1709"/>
      <c r="Z235" s="1709"/>
      <c r="AA235" s="1709"/>
      <c r="AB235" s="1709"/>
      <c r="AC235" s="1709"/>
      <c r="AD235" s="1709"/>
      <c r="AE235" s="1709"/>
      <c r="AF235" s="1709"/>
      <c r="AG235" s="1709"/>
    </row>
    <row r="236" spans="17:33" s="1704" customFormat="1">
      <c r="Q236" s="1709"/>
      <c r="R236" s="1709"/>
      <c r="U236" s="1709"/>
      <c r="V236" s="1709"/>
      <c r="W236" s="1709"/>
      <c r="X236" s="1709"/>
      <c r="Y236" s="1709"/>
      <c r="Z236" s="1709"/>
      <c r="AA236" s="1709"/>
      <c r="AB236" s="1709"/>
      <c r="AC236" s="1709"/>
      <c r="AD236" s="1709"/>
      <c r="AE236" s="1709"/>
      <c r="AF236" s="1709"/>
      <c r="AG236" s="1709"/>
    </row>
    <row r="237" spans="17:33" s="1704" customFormat="1">
      <c r="Q237" s="1709"/>
      <c r="R237" s="1709"/>
      <c r="U237" s="1709"/>
      <c r="V237" s="1709"/>
      <c r="W237" s="1709"/>
      <c r="X237" s="1709"/>
      <c r="Y237" s="1709"/>
      <c r="Z237" s="1709"/>
      <c r="AA237" s="1709"/>
      <c r="AB237" s="1709"/>
      <c r="AC237" s="1709"/>
      <c r="AD237" s="1709"/>
      <c r="AE237" s="1709"/>
      <c r="AF237" s="1709"/>
      <c r="AG237" s="1709"/>
    </row>
    <row r="238" spans="17:33" s="1704" customFormat="1">
      <c r="Q238" s="1709"/>
      <c r="R238" s="1709"/>
      <c r="U238" s="1709"/>
      <c r="V238" s="1709"/>
      <c r="W238" s="1709"/>
      <c r="X238" s="1709"/>
      <c r="Y238" s="1709"/>
      <c r="Z238" s="1709"/>
      <c r="AA238" s="1709"/>
      <c r="AB238" s="1709"/>
      <c r="AC238" s="1709"/>
      <c r="AD238" s="1709"/>
      <c r="AE238" s="1709"/>
      <c r="AF238" s="1709"/>
      <c r="AG238" s="1709"/>
    </row>
    <row r="239" spans="17:33" s="1704" customFormat="1">
      <c r="Q239" s="1709"/>
      <c r="R239" s="1709"/>
      <c r="U239" s="1709"/>
      <c r="V239" s="1709"/>
      <c r="W239" s="1709"/>
      <c r="X239" s="1709"/>
      <c r="Y239" s="1709"/>
      <c r="Z239" s="1709"/>
      <c r="AA239" s="1709"/>
      <c r="AB239" s="1709"/>
      <c r="AC239" s="1709"/>
      <c r="AD239" s="1709"/>
      <c r="AE239" s="1709"/>
      <c r="AF239" s="1709"/>
      <c r="AG239" s="1709"/>
    </row>
    <row r="240" spans="17:33" s="1704" customFormat="1">
      <c r="Q240" s="1709"/>
      <c r="R240" s="1709"/>
      <c r="U240" s="1709"/>
      <c r="V240" s="1709"/>
      <c r="W240" s="1709"/>
      <c r="X240" s="1709"/>
      <c r="Y240" s="1709"/>
      <c r="Z240" s="1709"/>
      <c r="AA240" s="1709"/>
      <c r="AB240" s="1709"/>
      <c r="AC240" s="1709"/>
      <c r="AD240" s="1709"/>
      <c r="AE240" s="1709"/>
      <c r="AF240" s="1709"/>
      <c r="AG240" s="1709"/>
    </row>
    <row r="241" spans="17:33" s="1704" customFormat="1">
      <c r="Q241" s="1709"/>
      <c r="R241" s="1709"/>
      <c r="U241" s="1709"/>
      <c r="V241" s="1709"/>
      <c r="W241" s="1709"/>
      <c r="X241" s="1709"/>
      <c r="Y241" s="1709"/>
      <c r="Z241" s="1709"/>
      <c r="AA241" s="1709"/>
      <c r="AB241" s="1709"/>
      <c r="AC241" s="1709"/>
      <c r="AD241" s="1709"/>
      <c r="AE241" s="1709"/>
      <c r="AF241" s="1709"/>
      <c r="AG241" s="1709"/>
    </row>
    <row r="242" spans="17:33" s="1704" customFormat="1">
      <c r="Q242" s="1709"/>
      <c r="R242" s="1709"/>
      <c r="U242" s="1709"/>
      <c r="V242" s="1709"/>
      <c r="W242" s="1709"/>
      <c r="X242" s="1709"/>
      <c r="Y242" s="1709"/>
      <c r="Z242" s="1709"/>
      <c r="AA242" s="1709"/>
      <c r="AB242" s="1709"/>
      <c r="AC242" s="1709"/>
      <c r="AD242" s="1709"/>
      <c r="AE242" s="1709"/>
      <c r="AF242" s="1709"/>
      <c r="AG242" s="1709"/>
    </row>
    <row r="243" spans="17:33" s="1704" customFormat="1">
      <c r="Q243" s="1709"/>
      <c r="R243" s="1709"/>
      <c r="U243" s="1709"/>
      <c r="V243" s="1709"/>
      <c r="W243" s="1709"/>
      <c r="X243" s="1709"/>
      <c r="Y243" s="1709"/>
      <c r="Z243" s="1709"/>
      <c r="AA243" s="1709"/>
      <c r="AB243" s="1709"/>
      <c r="AC243" s="1709"/>
      <c r="AD243" s="1709"/>
      <c r="AE243" s="1709"/>
      <c r="AF243" s="1709"/>
      <c r="AG243" s="1709"/>
    </row>
    <row r="244" spans="17:33" s="1704" customFormat="1">
      <c r="Q244" s="1709"/>
      <c r="R244" s="1709"/>
      <c r="U244" s="1709"/>
      <c r="V244" s="1709"/>
      <c r="W244" s="1709"/>
      <c r="X244" s="1709"/>
      <c r="Y244" s="1709"/>
      <c r="Z244" s="1709"/>
      <c r="AA244" s="1709"/>
      <c r="AB244" s="1709"/>
      <c r="AC244" s="1709"/>
      <c r="AD244" s="1709"/>
      <c r="AE244" s="1709"/>
      <c r="AF244" s="1709"/>
      <c r="AG244" s="1709"/>
    </row>
    <row r="245" spans="17:33" s="1704" customFormat="1">
      <c r="Q245" s="1709"/>
      <c r="R245" s="1709"/>
      <c r="U245" s="1709"/>
      <c r="V245" s="1709"/>
      <c r="W245" s="1709"/>
      <c r="X245" s="1709"/>
      <c r="Y245" s="1709"/>
      <c r="Z245" s="1709"/>
      <c r="AA245" s="1709"/>
      <c r="AB245" s="1709"/>
      <c r="AC245" s="1709"/>
      <c r="AD245" s="1709"/>
      <c r="AE245" s="1709"/>
      <c r="AF245" s="1709"/>
      <c r="AG245" s="1709"/>
    </row>
    <row r="246" spans="17:33" s="1704" customFormat="1">
      <c r="Q246" s="1709"/>
      <c r="R246" s="1709"/>
      <c r="U246" s="1709"/>
      <c r="V246" s="1709"/>
      <c r="W246" s="1709"/>
      <c r="X246" s="1709"/>
      <c r="Y246" s="1709"/>
      <c r="Z246" s="1709"/>
      <c r="AA246" s="1709"/>
      <c r="AB246" s="1709"/>
      <c r="AC246" s="1709"/>
      <c r="AD246" s="1709"/>
      <c r="AE246" s="1709"/>
      <c r="AF246" s="1709"/>
      <c r="AG246" s="1709"/>
    </row>
    <row r="247" spans="17:33" s="1704" customFormat="1">
      <c r="Q247" s="1709"/>
      <c r="R247" s="1709"/>
      <c r="U247" s="1709"/>
      <c r="V247" s="1709"/>
      <c r="W247" s="1709"/>
      <c r="X247" s="1709"/>
      <c r="Y247" s="1709"/>
      <c r="Z247" s="1709"/>
      <c r="AA247" s="1709"/>
      <c r="AB247" s="1709"/>
      <c r="AC247" s="1709"/>
      <c r="AD247" s="1709"/>
      <c r="AE247" s="1709"/>
      <c r="AF247" s="1709"/>
      <c r="AG247" s="1709"/>
    </row>
    <row r="248" spans="17:33" s="1704" customFormat="1">
      <c r="Q248" s="1709"/>
      <c r="R248" s="1709"/>
      <c r="U248" s="1709"/>
      <c r="V248" s="1709"/>
      <c r="W248" s="1709"/>
      <c r="X248" s="1709"/>
      <c r="Y248" s="1709"/>
      <c r="Z248" s="1709"/>
      <c r="AA248" s="1709"/>
      <c r="AB248" s="1709"/>
      <c r="AC248" s="1709"/>
      <c r="AD248" s="1709"/>
      <c r="AE248" s="1709"/>
      <c r="AF248" s="1709"/>
      <c r="AG248" s="1709"/>
    </row>
    <row r="249" spans="17:33" s="1704" customFormat="1">
      <c r="Q249" s="1709"/>
      <c r="R249" s="1709"/>
      <c r="U249" s="1709"/>
      <c r="V249" s="1709"/>
      <c r="W249" s="1709"/>
      <c r="X249" s="1709"/>
      <c r="Y249" s="1709"/>
      <c r="Z249" s="1709"/>
      <c r="AA249" s="1709"/>
      <c r="AB249" s="1709"/>
      <c r="AC249" s="1709"/>
      <c r="AD249" s="1709"/>
      <c r="AE249" s="1709"/>
      <c r="AF249" s="1709"/>
      <c r="AG249" s="1709"/>
    </row>
    <row r="250" spans="17:33" s="1704" customFormat="1">
      <c r="Q250" s="1709"/>
      <c r="R250" s="1709"/>
      <c r="U250" s="1709"/>
      <c r="V250" s="1709"/>
      <c r="W250" s="1709"/>
      <c r="X250" s="1709"/>
      <c r="Y250" s="1709"/>
      <c r="Z250" s="1709"/>
      <c r="AA250" s="1709"/>
      <c r="AB250" s="1709"/>
      <c r="AC250" s="1709"/>
      <c r="AD250" s="1709"/>
      <c r="AE250" s="1709"/>
      <c r="AF250" s="1709"/>
      <c r="AG250" s="1709"/>
    </row>
    <row r="251" spans="17:33" s="1704" customFormat="1">
      <c r="Q251" s="1709"/>
      <c r="R251" s="1709"/>
      <c r="U251" s="1709"/>
      <c r="V251" s="1709"/>
      <c r="W251" s="1709"/>
      <c r="X251" s="1709"/>
      <c r="Y251" s="1709"/>
      <c r="Z251" s="1709"/>
      <c r="AA251" s="1709"/>
      <c r="AB251" s="1709"/>
      <c r="AC251" s="1709"/>
      <c r="AD251" s="1709"/>
      <c r="AE251" s="1709"/>
      <c r="AF251" s="1709"/>
      <c r="AG251" s="1709"/>
    </row>
    <row r="252" spans="17:33" s="1704" customFormat="1">
      <c r="Q252" s="1709"/>
      <c r="R252" s="1709"/>
      <c r="U252" s="1709"/>
      <c r="V252" s="1709"/>
      <c r="W252" s="1709"/>
      <c r="X252" s="1709"/>
      <c r="Y252" s="1709"/>
      <c r="Z252" s="1709"/>
      <c r="AA252" s="1709"/>
      <c r="AB252" s="1709"/>
      <c r="AC252" s="1709"/>
      <c r="AD252" s="1709"/>
      <c r="AE252" s="1709"/>
      <c r="AF252" s="1709"/>
      <c r="AG252" s="1709"/>
    </row>
    <row r="253" spans="17:33" s="1704" customFormat="1">
      <c r="Q253" s="1709"/>
      <c r="R253" s="1709"/>
      <c r="U253" s="1709"/>
      <c r="V253" s="1709"/>
      <c r="W253" s="1709"/>
      <c r="X253" s="1709"/>
      <c r="Y253" s="1709"/>
      <c r="Z253" s="1709"/>
      <c r="AA253" s="1709"/>
      <c r="AB253" s="1709"/>
      <c r="AC253" s="1709"/>
      <c r="AD253" s="1709"/>
      <c r="AE253" s="1709"/>
      <c r="AF253" s="1709"/>
      <c r="AG253" s="1709"/>
    </row>
    <row r="254" spans="17:33" s="1704" customFormat="1">
      <c r="Q254" s="1709"/>
      <c r="R254" s="1709"/>
      <c r="U254" s="1709"/>
      <c r="V254" s="1709"/>
      <c r="W254" s="1709"/>
      <c r="X254" s="1709"/>
      <c r="Y254" s="1709"/>
      <c r="Z254" s="1709"/>
      <c r="AA254" s="1709"/>
      <c r="AB254" s="1709"/>
      <c r="AC254" s="1709"/>
      <c r="AD254" s="1709"/>
      <c r="AE254" s="1709"/>
      <c r="AF254" s="1709"/>
      <c r="AG254" s="1709"/>
    </row>
    <row r="255" spans="17:33" s="1704" customFormat="1">
      <c r="Q255" s="1709"/>
      <c r="R255" s="1709"/>
      <c r="U255" s="1709"/>
      <c r="V255" s="1709"/>
      <c r="W255" s="1709"/>
      <c r="X255" s="1709"/>
      <c r="Y255" s="1709"/>
      <c r="Z255" s="1709"/>
      <c r="AA255" s="1709"/>
      <c r="AB255" s="1709"/>
      <c r="AC255" s="1709"/>
      <c r="AD255" s="1709"/>
      <c r="AE255" s="1709"/>
      <c r="AF255" s="1709"/>
      <c r="AG255" s="1709"/>
    </row>
    <row r="256" spans="17:33" s="1704" customFormat="1">
      <c r="Q256" s="1709"/>
      <c r="R256" s="1709"/>
      <c r="U256" s="1709"/>
      <c r="V256" s="1709"/>
      <c r="W256" s="1709"/>
      <c r="X256" s="1709"/>
      <c r="Y256" s="1709"/>
      <c r="Z256" s="1709"/>
      <c r="AA256" s="1709"/>
      <c r="AB256" s="1709"/>
      <c r="AC256" s="1709"/>
      <c r="AD256" s="1709"/>
      <c r="AE256" s="1709"/>
      <c r="AF256" s="1709"/>
      <c r="AG256" s="1709"/>
    </row>
    <row r="257" spans="17:33" s="1704" customFormat="1">
      <c r="Q257" s="1709"/>
      <c r="R257" s="1709"/>
      <c r="U257" s="1709"/>
      <c r="V257" s="1709"/>
      <c r="W257" s="1709"/>
      <c r="X257" s="1709"/>
      <c r="Y257" s="1709"/>
      <c r="Z257" s="1709"/>
      <c r="AA257" s="1709"/>
      <c r="AB257" s="1709"/>
      <c r="AC257" s="1709"/>
      <c r="AD257" s="1709"/>
      <c r="AE257" s="1709"/>
      <c r="AF257" s="1709"/>
      <c r="AG257" s="1709"/>
    </row>
    <row r="258" spans="17:33" s="1704" customFormat="1">
      <c r="Q258" s="1709"/>
      <c r="R258" s="1709"/>
      <c r="U258" s="1709"/>
      <c r="V258" s="1709"/>
      <c r="W258" s="1709"/>
      <c r="X258" s="1709"/>
      <c r="Y258" s="1709"/>
      <c r="Z258" s="1709"/>
      <c r="AA258" s="1709"/>
      <c r="AB258" s="1709"/>
      <c r="AC258" s="1709"/>
      <c r="AD258" s="1709"/>
      <c r="AE258" s="1709"/>
      <c r="AF258" s="1709"/>
      <c r="AG258" s="1709"/>
    </row>
    <row r="259" spans="17:33" s="1704" customFormat="1">
      <c r="Q259" s="1709"/>
      <c r="R259" s="1709"/>
      <c r="U259" s="1709"/>
      <c r="V259" s="1709"/>
      <c r="W259" s="1709"/>
      <c r="X259" s="1709"/>
      <c r="Y259" s="1709"/>
      <c r="Z259" s="1709"/>
      <c r="AA259" s="1709"/>
      <c r="AB259" s="1709"/>
      <c r="AC259" s="1709"/>
      <c r="AD259" s="1709"/>
      <c r="AE259" s="1709"/>
      <c r="AF259" s="1709"/>
      <c r="AG259" s="1709"/>
    </row>
    <row r="260" spans="17:33" s="1704" customFormat="1">
      <c r="Q260" s="1709"/>
      <c r="R260" s="1709"/>
      <c r="U260" s="1709"/>
      <c r="V260" s="1709"/>
      <c r="W260" s="1709"/>
      <c r="X260" s="1709"/>
      <c r="Y260" s="1709"/>
      <c r="Z260" s="1709"/>
      <c r="AA260" s="1709"/>
      <c r="AB260" s="1709"/>
      <c r="AC260" s="1709"/>
      <c r="AD260" s="1709"/>
      <c r="AE260" s="1709"/>
      <c r="AF260" s="1709"/>
      <c r="AG260" s="1709"/>
    </row>
    <row r="261" spans="17:33" s="1704" customFormat="1">
      <c r="Q261" s="1709"/>
      <c r="R261" s="1709"/>
      <c r="U261" s="1709"/>
      <c r="V261" s="1709"/>
      <c r="W261" s="1709"/>
      <c r="X261" s="1709"/>
      <c r="Y261" s="1709"/>
      <c r="Z261" s="1709"/>
      <c r="AA261" s="1709"/>
      <c r="AB261" s="1709"/>
      <c r="AC261" s="1709"/>
      <c r="AD261" s="1709"/>
      <c r="AE261" s="1709"/>
      <c r="AF261" s="1709"/>
      <c r="AG261" s="1709"/>
    </row>
    <row r="262" spans="17:33" s="1704" customFormat="1">
      <c r="Q262" s="1709"/>
      <c r="R262" s="1709"/>
      <c r="U262" s="1709"/>
      <c r="V262" s="1709"/>
      <c r="W262" s="1709"/>
      <c r="X262" s="1709"/>
      <c r="Y262" s="1709"/>
      <c r="Z262" s="1709"/>
      <c r="AA262" s="1709"/>
      <c r="AB262" s="1709"/>
      <c r="AC262" s="1709"/>
      <c r="AD262" s="1709"/>
      <c r="AE262" s="1709"/>
      <c r="AF262" s="1709"/>
      <c r="AG262" s="1709"/>
    </row>
    <row r="263" spans="17:33" s="1704" customFormat="1">
      <c r="Q263" s="1709"/>
      <c r="R263" s="1709"/>
      <c r="U263" s="1709"/>
      <c r="V263" s="1709"/>
      <c r="W263" s="1709"/>
      <c r="X263" s="1709"/>
      <c r="Y263" s="1709"/>
      <c r="Z263" s="1709"/>
      <c r="AA263" s="1709"/>
      <c r="AB263" s="1709"/>
      <c r="AC263" s="1709"/>
      <c r="AD263" s="1709"/>
      <c r="AE263" s="1709"/>
      <c r="AF263" s="1709"/>
      <c r="AG263" s="1709"/>
    </row>
    <row r="264" spans="17:33" s="1704" customFormat="1">
      <c r="Q264" s="1709"/>
      <c r="R264" s="1709"/>
      <c r="U264" s="1709"/>
      <c r="V264" s="1709"/>
      <c r="W264" s="1709"/>
      <c r="X264" s="1709"/>
      <c r="Y264" s="1709"/>
      <c r="Z264" s="1709"/>
      <c r="AA264" s="1709"/>
      <c r="AB264" s="1709"/>
      <c r="AC264" s="1709"/>
      <c r="AD264" s="1709"/>
      <c r="AE264" s="1709"/>
      <c r="AF264" s="1709"/>
      <c r="AG264" s="1709"/>
    </row>
    <row r="265" spans="17:33" s="1704" customFormat="1">
      <c r="Q265" s="1709"/>
      <c r="R265" s="1709"/>
      <c r="U265" s="1709"/>
      <c r="V265" s="1709"/>
      <c r="W265" s="1709"/>
      <c r="X265" s="1709"/>
      <c r="Y265" s="1709"/>
      <c r="Z265" s="1709"/>
      <c r="AA265" s="1709"/>
      <c r="AB265" s="1709"/>
      <c r="AC265" s="1709"/>
      <c r="AD265" s="1709"/>
      <c r="AE265" s="1709"/>
      <c r="AF265" s="1709"/>
      <c r="AG265" s="1709"/>
    </row>
    <row r="266" spans="17:33" s="1704" customFormat="1">
      <c r="Q266" s="1709"/>
      <c r="R266" s="1709"/>
      <c r="U266" s="1709"/>
      <c r="V266" s="1709"/>
      <c r="W266" s="1709"/>
      <c r="X266" s="1709"/>
      <c r="Y266" s="1709"/>
      <c r="Z266" s="1709"/>
      <c r="AA266" s="1709"/>
      <c r="AB266" s="1709"/>
      <c r="AC266" s="1709"/>
      <c r="AD266" s="1709"/>
      <c r="AE266" s="1709"/>
      <c r="AF266" s="1709"/>
      <c r="AG266" s="1709"/>
    </row>
    <row r="267" spans="17:33" s="1704" customFormat="1">
      <c r="Q267" s="1709"/>
      <c r="R267" s="1709"/>
      <c r="U267" s="1709"/>
      <c r="V267" s="1709"/>
      <c r="W267" s="1709"/>
      <c r="X267" s="1709"/>
      <c r="Y267" s="1709"/>
      <c r="Z267" s="1709"/>
      <c r="AA267" s="1709"/>
      <c r="AB267" s="1709"/>
      <c r="AC267" s="1709"/>
      <c r="AD267" s="1709"/>
      <c r="AE267" s="1709"/>
      <c r="AF267" s="1709"/>
      <c r="AG267" s="1709"/>
    </row>
    <row r="268" spans="17:33" s="1704" customFormat="1">
      <c r="Q268" s="1709"/>
      <c r="R268" s="1709"/>
      <c r="U268" s="1709"/>
      <c r="V268" s="1709"/>
      <c r="W268" s="1709"/>
      <c r="X268" s="1709"/>
      <c r="Y268" s="1709"/>
      <c r="Z268" s="1709"/>
      <c r="AA268" s="1709"/>
      <c r="AB268" s="1709"/>
      <c r="AC268" s="1709"/>
      <c r="AD268" s="1709"/>
      <c r="AE268" s="1709"/>
      <c r="AF268" s="1709"/>
      <c r="AG268" s="1709"/>
    </row>
    <row r="269" spans="17:33" s="1704" customFormat="1">
      <c r="Q269" s="1709"/>
      <c r="R269" s="1709"/>
      <c r="U269" s="1709"/>
      <c r="V269" s="1709"/>
      <c r="W269" s="1709"/>
      <c r="X269" s="1709"/>
      <c r="Y269" s="1709"/>
      <c r="Z269" s="1709"/>
      <c r="AA269" s="1709"/>
      <c r="AB269" s="1709"/>
      <c r="AC269" s="1709"/>
      <c r="AD269" s="1709"/>
      <c r="AE269" s="1709"/>
      <c r="AF269" s="1709"/>
      <c r="AG269" s="1709"/>
    </row>
    <row r="270" spans="17:33" s="1704" customFormat="1">
      <c r="Q270" s="1709"/>
      <c r="R270" s="1709"/>
      <c r="U270" s="1709"/>
      <c r="V270" s="1709"/>
      <c r="W270" s="1709"/>
      <c r="X270" s="1709"/>
      <c r="Y270" s="1709"/>
      <c r="Z270" s="1709"/>
      <c r="AA270" s="1709"/>
      <c r="AB270" s="1709"/>
      <c r="AC270" s="1709"/>
      <c r="AD270" s="1709"/>
      <c r="AE270" s="1709"/>
      <c r="AF270" s="1709"/>
      <c r="AG270" s="1709"/>
    </row>
    <row r="271" spans="17:33" s="1704" customFormat="1">
      <c r="Q271" s="1709"/>
      <c r="R271" s="1709"/>
      <c r="U271" s="1709"/>
      <c r="V271" s="1709"/>
      <c r="W271" s="1709"/>
      <c r="X271" s="1709"/>
      <c r="Y271" s="1709"/>
      <c r="Z271" s="1709"/>
      <c r="AA271" s="1709"/>
      <c r="AB271" s="1709"/>
      <c r="AC271" s="1709"/>
      <c r="AD271" s="1709"/>
      <c r="AE271" s="1709"/>
      <c r="AF271" s="1709"/>
      <c r="AG271" s="1709"/>
    </row>
    <row r="272" spans="17:33" s="1704" customFormat="1">
      <c r="Q272" s="1709"/>
      <c r="R272" s="1709"/>
      <c r="U272" s="1709"/>
      <c r="V272" s="1709"/>
      <c r="W272" s="1709"/>
      <c r="X272" s="1709"/>
      <c r="Y272" s="1709"/>
      <c r="Z272" s="1709"/>
      <c r="AA272" s="1709"/>
      <c r="AB272" s="1709"/>
      <c r="AC272" s="1709"/>
      <c r="AD272" s="1709"/>
      <c r="AE272" s="1709"/>
      <c r="AF272" s="1709"/>
      <c r="AG272" s="1709"/>
    </row>
    <row r="273" spans="17:33" s="1704" customFormat="1">
      <c r="Q273" s="1709"/>
      <c r="R273" s="1709"/>
      <c r="U273" s="1709"/>
      <c r="V273" s="1709"/>
      <c r="W273" s="1709"/>
      <c r="X273" s="1709"/>
      <c r="Y273" s="1709"/>
      <c r="Z273" s="1709"/>
      <c r="AA273" s="1709"/>
      <c r="AB273" s="1709"/>
      <c r="AC273" s="1709"/>
      <c r="AD273" s="1709"/>
      <c r="AE273" s="1709"/>
      <c r="AF273" s="1709"/>
      <c r="AG273" s="1709"/>
    </row>
    <row r="274" spans="17:33" s="1704" customFormat="1">
      <c r="Q274" s="1709"/>
      <c r="R274" s="1709"/>
      <c r="U274" s="1709"/>
      <c r="V274" s="1709"/>
      <c r="W274" s="1709"/>
      <c r="X274" s="1709"/>
      <c r="Y274" s="1709"/>
      <c r="Z274" s="1709"/>
      <c r="AA274" s="1709"/>
      <c r="AB274" s="1709"/>
      <c r="AC274" s="1709"/>
      <c r="AD274" s="1709"/>
      <c r="AE274" s="1709"/>
      <c r="AF274" s="1709"/>
      <c r="AG274" s="1709"/>
    </row>
    <row r="275" spans="17:33" s="1704" customFormat="1">
      <c r="Q275" s="1709"/>
      <c r="R275" s="1709"/>
      <c r="U275" s="1709"/>
      <c r="V275" s="1709"/>
      <c r="W275" s="1709"/>
      <c r="X275" s="1709"/>
      <c r="Y275" s="1709"/>
      <c r="Z275" s="1709"/>
      <c r="AA275" s="1709"/>
      <c r="AB275" s="1709"/>
      <c r="AC275" s="1709"/>
      <c r="AD275" s="1709"/>
      <c r="AE275" s="1709"/>
      <c r="AF275" s="1709"/>
      <c r="AG275" s="1709"/>
    </row>
    <row r="276" spans="17:33" s="1704" customFormat="1">
      <c r="Q276" s="1709"/>
      <c r="R276" s="1709"/>
      <c r="U276" s="1709"/>
      <c r="V276" s="1709"/>
      <c r="W276" s="1709"/>
      <c r="X276" s="1709"/>
      <c r="Y276" s="1709"/>
      <c r="Z276" s="1709"/>
      <c r="AA276" s="1709"/>
      <c r="AB276" s="1709"/>
      <c r="AC276" s="1709"/>
      <c r="AD276" s="1709"/>
      <c r="AE276" s="1709"/>
      <c r="AF276" s="1709"/>
      <c r="AG276" s="1709"/>
    </row>
    <row r="277" spans="17:33" s="1704" customFormat="1">
      <c r="Q277" s="1709"/>
      <c r="R277" s="1709"/>
      <c r="U277" s="1709"/>
      <c r="V277" s="1709"/>
      <c r="W277" s="1709"/>
      <c r="X277" s="1709"/>
      <c r="Y277" s="1709"/>
      <c r="Z277" s="1709"/>
      <c r="AA277" s="1709"/>
      <c r="AB277" s="1709"/>
      <c r="AC277" s="1709"/>
      <c r="AD277" s="1709"/>
      <c r="AE277" s="1709"/>
      <c r="AF277" s="1709"/>
      <c r="AG277" s="1709"/>
    </row>
    <row r="278" spans="17:33" s="1704" customFormat="1">
      <c r="Q278" s="1709"/>
      <c r="R278" s="1709"/>
      <c r="U278" s="1709"/>
      <c r="V278" s="1709"/>
      <c r="W278" s="1709"/>
      <c r="X278" s="1709"/>
      <c r="Y278" s="1709"/>
      <c r="Z278" s="1709"/>
      <c r="AA278" s="1709"/>
      <c r="AB278" s="1709"/>
      <c r="AC278" s="1709"/>
      <c r="AD278" s="1709"/>
      <c r="AE278" s="1709"/>
      <c r="AF278" s="1709"/>
      <c r="AG278" s="1709"/>
    </row>
    <row r="279" spans="17:33" s="1704" customFormat="1">
      <c r="Q279" s="1709"/>
      <c r="R279" s="1709"/>
      <c r="U279" s="1709"/>
      <c r="V279" s="1709"/>
      <c r="W279" s="1709"/>
      <c r="X279" s="1709"/>
      <c r="Y279" s="1709"/>
      <c r="Z279" s="1709"/>
      <c r="AA279" s="1709"/>
      <c r="AB279" s="1709"/>
      <c r="AC279" s="1709"/>
      <c r="AD279" s="1709"/>
      <c r="AE279" s="1709"/>
      <c r="AF279" s="1709"/>
      <c r="AG279" s="1709"/>
    </row>
    <row r="280" spans="17:33" s="1704" customFormat="1">
      <c r="Q280" s="1709"/>
      <c r="R280" s="1709"/>
      <c r="U280" s="1709"/>
      <c r="V280" s="1709"/>
      <c r="W280" s="1709"/>
      <c r="X280" s="1709"/>
      <c r="Y280" s="1709"/>
      <c r="Z280" s="1709"/>
      <c r="AA280" s="1709"/>
      <c r="AB280" s="1709"/>
      <c r="AC280" s="1709"/>
      <c r="AD280" s="1709"/>
      <c r="AE280" s="1709"/>
      <c r="AF280" s="1709"/>
      <c r="AG280" s="1709"/>
    </row>
    <row r="281" spans="17:33" s="1704" customFormat="1">
      <c r="Q281" s="1709"/>
      <c r="R281" s="1709"/>
      <c r="U281" s="1709"/>
      <c r="V281" s="1709"/>
      <c r="W281" s="1709"/>
      <c r="X281" s="1709"/>
      <c r="Y281" s="1709"/>
      <c r="Z281" s="1709"/>
      <c r="AA281" s="1709"/>
      <c r="AB281" s="1709"/>
      <c r="AC281" s="1709"/>
      <c r="AD281" s="1709"/>
      <c r="AE281" s="1709"/>
      <c r="AF281" s="1709"/>
      <c r="AG281" s="1709"/>
    </row>
    <row r="282" spans="17:33" s="1704" customFormat="1">
      <c r="Q282" s="1709"/>
      <c r="R282" s="1709"/>
      <c r="U282" s="1709"/>
      <c r="V282" s="1709"/>
      <c r="W282" s="1709"/>
      <c r="X282" s="1709"/>
      <c r="Y282" s="1709"/>
      <c r="Z282" s="1709"/>
      <c r="AA282" s="1709"/>
      <c r="AB282" s="1709"/>
      <c r="AC282" s="1709"/>
      <c r="AD282" s="1709"/>
      <c r="AE282" s="1709"/>
      <c r="AF282" s="1709"/>
      <c r="AG282" s="1709"/>
    </row>
    <row r="283" spans="17:33" s="1704" customFormat="1">
      <c r="Q283" s="1709"/>
      <c r="R283" s="1709"/>
      <c r="U283" s="1709"/>
      <c r="V283" s="1709"/>
      <c r="W283" s="1709"/>
      <c r="X283" s="1709"/>
      <c r="Y283" s="1709"/>
      <c r="Z283" s="1709"/>
      <c r="AA283" s="1709"/>
      <c r="AB283" s="1709"/>
      <c r="AC283" s="1709"/>
      <c r="AD283" s="1709"/>
      <c r="AE283" s="1709"/>
      <c r="AF283" s="1709"/>
      <c r="AG283" s="1709"/>
    </row>
    <row r="284" spans="17:33" s="1704" customFormat="1">
      <c r="Q284" s="1709"/>
      <c r="R284" s="1709"/>
      <c r="U284" s="1709"/>
      <c r="V284" s="1709"/>
      <c r="W284" s="1709"/>
      <c r="X284" s="1709"/>
      <c r="Y284" s="1709"/>
      <c r="Z284" s="1709"/>
      <c r="AA284" s="1709"/>
      <c r="AB284" s="1709"/>
      <c r="AC284" s="1709"/>
      <c r="AD284" s="1709"/>
      <c r="AE284" s="1709"/>
      <c r="AF284" s="1709"/>
      <c r="AG284" s="1709"/>
    </row>
    <row r="285" spans="17:33" s="1704" customFormat="1">
      <c r="Q285" s="1709"/>
      <c r="R285" s="1709"/>
      <c r="U285" s="1709"/>
      <c r="V285" s="1709"/>
      <c r="W285" s="1709"/>
      <c r="X285" s="1709"/>
      <c r="Y285" s="1709"/>
      <c r="Z285" s="1709"/>
      <c r="AA285" s="1709"/>
      <c r="AB285" s="1709"/>
      <c r="AC285" s="1709"/>
      <c r="AD285" s="1709"/>
      <c r="AE285" s="1709"/>
      <c r="AF285" s="1709"/>
      <c r="AG285" s="1709"/>
    </row>
    <row r="286" spans="17:33" s="1704" customFormat="1">
      <c r="Q286" s="1709"/>
      <c r="R286" s="1709"/>
      <c r="U286" s="1709"/>
      <c r="V286" s="1709"/>
      <c r="W286" s="1709"/>
      <c r="X286" s="1709"/>
      <c r="Y286" s="1709"/>
      <c r="Z286" s="1709"/>
      <c r="AA286" s="1709"/>
      <c r="AB286" s="1709"/>
      <c r="AC286" s="1709"/>
      <c r="AD286" s="1709"/>
      <c r="AE286" s="1709"/>
      <c r="AF286" s="1709"/>
      <c r="AG286" s="1709"/>
    </row>
    <row r="287" spans="17:33" s="1704" customFormat="1">
      <c r="Q287" s="1709"/>
      <c r="R287" s="1709"/>
      <c r="U287" s="1709"/>
      <c r="V287" s="1709"/>
      <c r="W287" s="1709"/>
      <c r="X287" s="1709"/>
      <c r="Y287" s="1709"/>
      <c r="Z287" s="1709"/>
      <c r="AA287" s="1709"/>
      <c r="AB287" s="1709"/>
      <c r="AC287" s="1709"/>
      <c r="AD287" s="1709"/>
      <c r="AE287" s="1709"/>
      <c r="AF287" s="1709"/>
      <c r="AG287" s="1709"/>
    </row>
    <row r="288" spans="17:33" s="1704" customFormat="1">
      <c r="Q288" s="1709"/>
      <c r="R288" s="1709"/>
      <c r="U288" s="1709"/>
      <c r="V288" s="1709"/>
      <c r="W288" s="1709"/>
      <c r="X288" s="1709"/>
      <c r="Y288" s="1709"/>
      <c r="Z288" s="1709"/>
      <c r="AA288" s="1709"/>
      <c r="AB288" s="1709"/>
      <c r="AC288" s="1709"/>
      <c r="AD288" s="1709"/>
      <c r="AE288" s="1709"/>
      <c r="AF288" s="1709"/>
      <c r="AG288" s="1709"/>
    </row>
    <row r="289" spans="17:33" s="1704" customFormat="1">
      <c r="Q289" s="1709"/>
      <c r="R289" s="1709"/>
      <c r="U289" s="1709"/>
      <c r="V289" s="1709"/>
      <c r="W289" s="1709"/>
      <c r="X289" s="1709"/>
      <c r="Y289" s="1709"/>
      <c r="Z289" s="1709"/>
      <c r="AA289" s="1709"/>
      <c r="AB289" s="1709"/>
      <c r="AC289" s="1709"/>
      <c r="AD289" s="1709"/>
      <c r="AE289" s="1709"/>
      <c r="AF289" s="1709"/>
      <c r="AG289" s="1709"/>
    </row>
    <row r="290" spans="17:33" s="1704" customFormat="1">
      <c r="Q290" s="1709"/>
      <c r="R290" s="1709"/>
      <c r="U290" s="1709"/>
      <c r="V290" s="1709"/>
      <c r="W290" s="1709"/>
      <c r="X290" s="1709"/>
      <c r="Y290" s="1709"/>
      <c r="Z290" s="1709"/>
      <c r="AA290" s="1709"/>
      <c r="AB290" s="1709"/>
      <c r="AC290" s="1709"/>
      <c r="AD290" s="1709"/>
      <c r="AE290" s="1709"/>
      <c r="AF290" s="1709"/>
      <c r="AG290" s="1709"/>
    </row>
    <row r="291" spans="17:33" s="1704" customFormat="1">
      <c r="Q291" s="1709"/>
      <c r="R291" s="1709"/>
      <c r="U291" s="1709"/>
      <c r="V291" s="1709"/>
      <c r="W291" s="1709"/>
      <c r="X291" s="1709"/>
      <c r="Y291" s="1709"/>
      <c r="Z291" s="1709"/>
      <c r="AA291" s="1709"/>
      <c r="AB291" s="1709"/>
      <c r="AC291" s="1709"/>
      <c r="AD291" s="1709"/>
      <c r="AE291" s="1709"/>
      <c r="AF291" s="1709"/>
      <c r="AG291" s="1709"/>
    </row>
    <row r="292" spans="17:33" s="1704" customFormat="1">
      <c r="Q292" s="1709"/>
      <c r="R292" s="1709"/>
      <c r="U292" s="1709"/>
      <c r="V292" s="1709"/>
      <c r="W292" s="1709"/>
      <c r="X292" s="1709"/>
      <c r="Y292" s="1709"/>
      <c r="Z292" s="1709"/>
      <c r="AA292" s="1709"/>
      <c r="AB292" s="1709"/>
      <c r="AC292" s="1709"/>
      <c r="AD292" s="1709"/>
      <c r="AE292" s="1709"/>
      <c r="AF292" s="1709"/>
      <c r="AG292" s="1709"/>
    </row>
    <row r="293" spans="17:33" s="1704" customFormat="1">
      <c r="Q293" s="1709"/>
      <c r="R293" s="1709"/>
      <c r="U293" s="1709"/>
      <c r="V293" s="1709"/>
      <c r="W293" s="1709"/>
      <c r="X293" s="1709"/>
      <c r="Y293" s="1709"/>
      <c r="Z293" s="1709"/>
      <c r="AA293" s="1709"/>
      <c r="AB293" s="1709"/>
      <c r="AC293" s="1709"/>
      <c r="AD293" s="1709"/>
      <c r="AE293" s="1709"/>
      <c r="AF293" s="1709"/>
      <c r="AG293" s="1709"/>
    </row>
    <row r="294" spans="17:33" s="1704" customFormat="1">
      <c r="Q294" s="1709"/>
      <c r="R294" s="1709"/>
      <c r="U294" s="1709"/>
      <c r="V294" s="1709"/>
      <c r="W294" s="1709"/>
      <c r="X294" s="1709"/>
      <c r="Y294" s="1709"/>
      <c r="Z294" s="1709"/>
      <c r="AA294" s="1709"/>
      <c r="AB294" s="1709"/>
      <c r="AC294" s="1709"/>
      <c r="AD294" s="1709"/>
      <c r="AE294" s="1709"/>
      <c r="AF294" s="1709"/>
      <c r="AG294" s="1709"/>
    </row>
    <row r="295" spans="17:33" s="1704" customFormat="1">
      <c r="Q295" s="1709"/>
      <c r="R295" s="1709"/>
      <c r="U295" s="1709"/>
      <c r="V295" s="1709"/>
      <c r="W295" s="1709"/>
      <c r="X295" s="1709"/>
      <c r="Y295" s="1709"/>
      <c r="Z295" s="1709"/>
      <c r="AA295" s="1709"/>
      <c r="AB295" s="1709"/>
      <c r="AC295" s="1709"/>
      <c r="AD295" s="1709"/>
      <c r="AE295" s="1709"/>
      <c r="AF295" s="1709"/>
      <c r="AG295" s="1709"/>
    </row>
    <row r="296" spans="17:33" s="1704" customFormat="1">
      <c r="Q296" s="1709"/>
      <c r="R296" s="1709"/>
      <c r="U296" s="1709"/>
      <c r="V296" s="1709"/>
      <c r="W296" s="1709"/>
      <c r="X296" s="1709"/>
      <c r="Y296" s="1709"/>
      <c r="Z296" s="1709"/>
      <c r="AA296" s="1709"/>
      <c r="AB296" s="1709"/>
      <c r="AC296" s="1709"/>
      <c r="AD296" s="1709"/>
      <c r="AE296" s="1709"/>
      <c r="AF296" s="1709"/>
      <c r="AG296" s="1709"/>
    </row>
    <row r="297" spans="17:33" s="1704" customFormat="1">
      <c r="Q297" s="1709"/>
      <c r="R297" s="1709"/>
      <c r="U297" s="1709"/>
      <c r="V297" s="1709"/>
      <c r="W297" s="1709"/>
      <c r="X297" s="1709"/>
      <c r="Y297" s="1709"/>
      <c r="Z297" s="1709"/>
      <c r="AA297" s="1709"/>
      <c r="AB297" s="1709"/>
      <c r="AC297" s="1709"/>
      <c r="AD297" s="1709"/>
      <c r="AE297" s="1709"/>
      <c r="AF297" s="1709"/>
      <c r="AG297" s="1709"/>
    </row>
    <row r="298" spans="17:33" s="1704" customFormat="1">
      <c r="Q298" s="1709"/>
      <c r="R298" s="1709"/>
      <c r="U298" s="1709"/>
      <c r="V298" s="1709"/>
      <c r="W298" s="1709"/>
      <c r="X298" s="1709"/>
      <c r="Y298" s="1709"/>
      <c r="Z298" s="1709"/>
      <c r="AA298" s="1709"/>
      <c r="AB298" s="1709"/>
      <c r="AC298" s="1709"/>
      <c r="AD298" s="1709"/>
      <c r="AE298" s="1709"/>
      <c r="AF298" s="1709"/>
      <c r="AG298" s="1709"/>
    </row>
    <row r="299" spans="17:33" s="1704" customFormat="1">
      <c r="Q299" s="1709"/>
      <c r="R299" s="1709"/>
      <c r="U299" s="1709"/>
      <c r="V299" s="1709"/>
      <c r="W299" s="1709"/>
      <c r="X299" s="1709"/>
      <c r="Y299" s="1709"/>
      <c r="Z299" s="1709"/>
      <c r="AA299" s="1709"/>
      <c r="AB299" s="1709"/>
      <c r="AC299" s="1709"/>
      <c r="AD299" s="1709"/>
      <c r="AE299" s="1709"/>
      <c r="AF299" s="1709"/>
      <c r="AG299" s="1709"/>
    </row>
    <row r="300" spans="17:33" s="1704" customFormat="1">
      <c r="Q300" s="1709"/>
      <c r="R300" s="1709"/>
      <c r="U300" s="1709"/>
      <c r="V300" s="1709"/>
      <c r="W300" s="1709"/>
      <c r="X300" s="1709"/>
      <c r="Y300" s="1709"/>
      <c r="Z300" s="1709"/>
      <c r="AA300" s="1709"/>
      <c r="AB300" s="1709"/>
      <c r="AC300" s="1709"/>
      <c r="AD300" s="1709"/>
      <c r="AE300" s="1709"/>
      <c r="AF300" s="1709"/>
      <c r="AG300" s="1709"/>
    </row>
    <row r="301" spans="17:33" s="1704" customFormat="1">
      <c r="Q301" s="1709"/>
      <c r="R301" s="1709"/>
      <c r="U301" s="1709"/>
      <c r="V301" s="1709"/>
      <c r="W301" s="1709"/>
      <c r="X301" s="1709"/>
      <c r="Y301" s="1709"/>
      <c r="Z301" s="1709"/>
      <c r="AA301" s="1709"/>
      <c r="AB301" s="1709"/>
      <c r="AC301" s="1709"/>
      <c r="AD301" s="1709"/>
      <c r="AE301" s="1709"/>
      <c r="AF301" s="1709"/>
      <c r="AG301" s="1709"/>
    </row>
    <row r="302" spans="17:33" s="1704" customFormat="1">
      <c r="Q302" s="1709"/>
      <c r="R302" s="1709"/>
      <c r="U302" s="1709"/>
      <c r="V302" s="1709"/>
      <c r="W302" s="1709"/>
      <c r="X302" s="1709"/>
      <c r="Y302" s="1709"/>
      <c r="Z302" s="1709"/>
      <c r="AA302" s="1709"/>
      <c r="AB302" s="1709"/>
      <c r="AC302" s="1709"/>
      <c r="AD302" s="1709"/>
      <c r="AE302" s="1709"/>
      <c r="AF302" s="1709"/>
      <c r="AG302" s="1709"/>
    </row>
    <row r="303" spans="17:33" s="1704" customFormat="1">
      <c r="Q303" s="1709"/>
      <c r="R303" s="1709"/>
      <c r="U303" s="1709"/>
      <c r="V303" s="1709"/>
      <c r="W303" s="1709"/>
      <c r="X303" s="1709"/>
      <c r="Y303" s="1709"/>
      <c r="Z303" s="1709"/>
      <c r="AA303" s="1709"/>
      <c r="AB303" s="1709"/>
      <c r="AC303" s="1709"/>
      <c r="AD303" s="1709"/>
      <c r="AE303" s="1709"/>
      <c r="AF303" s="1709"/>
      <c r="AG303" s="1709"/>
    </row>
    <row r="304" spans="17:33" s="1704" customFormat="1">
      <c r="Q304" s="1709"/>
      <c r="R304" s="1709"/>
      <c r="U304" s="1709"/>
      <c r="V304" s="1709"/>
      <c r="W304" s="1709"/>
      <c r="X304" s="1709"/>
      <c r="Y304" s="1709"/>
      <c r="Z304" s="1709"/>
      <c r="AA304" s="1709"/>
      <c r="AB304" s="1709"/>
      <c r="AC304" s="1709"/>
      <c r="AD304" s="1709"/>
      <c r="AE304" s="1709"/>
      <c r="AF304" s="1709"/>
      <c r="AG304" s="1709"/>
    </row>
    <row r="305" spans="17:33" s="1704" customFormat="1">
      <c r="Q305" s="1709"/>
      <c r="R305" s="1709"/>
      <c r="U305" s="1709"/>
      <c r="V305" s="1709"/>
      <c r="W305" s="1709"/>
      <c r="X305" s="1709"/>
      <c r="Y305" s="1709"/>
      <c r="Z305" s="1709"/>
      <c r="AA305" s="1709"/>
      <c r="AB305" s="1709"/>
      <c r="AC305" s="1709"/>
      <c r="AD305" s="1709"/>
      <c r="AE305" s="1709"/>
      <c r="AF305" s="1709"/>
      <c r="AG305" s="1709"/>
    </row>
    <row r="306" spans="17:33" s="1704" customFormat="1">
      <c r="Q306" s="1709"/>
      <c r="R306" s="1709"/>
      <c r="U306" s="1709"/>
      <c r="V306" s="1709"/>
      <c r="W306" s="1709"/>
      <c r="X306" s="1709"/>
      <c r="Y306" s="1709"/>
      <c r="Z306" s="1709"/>
      <c r="AA306" s="1709"/>
      <c r="AB306" s="1709"/>
      <c r="AC306" s="1709"/>
      <c r="AD306" s="1709"/>
      <c r="AE306" s="1709"/>
      <c r="AF306" s="1709"/>
      <c r="AG306" s="1709"/>
    </row>
    <row r="307" spans="17:33" s="1704" customFormat="1">
      <c r="Q307" s="1709"/>
      <c r="R307" s="1709"/>
      <c r="U307" s="1709"/>
      <c r="V307" s="1709"/>
      <c r="W307" s="1709"/>
      <c r="X307" s="1709"/>
      <c r="Y307" s="1709"/>
      <c r="Z307" s="1709"/>
      <c r="AA307" s="1709"/>
      <c r="AB307" s="1709"/>
      <c r="AC307" s="1709"/>
      <c r="AD307" s="1709"/>
      <c r="AE307" s="1709"/>
      <c r="AF307" s="1709"/>
      <c r="AG307" s="1709"/>
    </row>
    <row r="308" spans="17:33" s="1704" customFormat="1">
      <c r="Q308" s="1709"/>
      <c r="R308" s="1709"/>
      <c r="U308" s="1709"/>
      <c r="V308" s="1709"/>
      <c r="W308" s="1709"/>
      <c r="X308" s="1709"/>
      <c r="Y308" s="1709"/>
      <c r="Z308" s="1709"/>
      <c r="AA308" s="1709"/>
      <c r="AB308" s="1709"/>
      <c r="AC308" s="1709"/>
      <c r="AD308" s="1709"/>
      <c r="AE308" s="1709"/>
      <c r="AF308" s="1709"/>
      <c r="AG308" s="1709"/>
    </row>
    <row r="309" spans="17:33" s="1704" customFormat="1">
      <c r="Q309" s="1709"/>
      <c r="R309" s="1709"/>
      <c r="U309" s="1709"/>
      <c r="V309" s="1709"/>
      <c r="W309" s="1709"/>
      <c r="X309" s="1709"/>
      <c r="Y309" s="1709"/>
      <c r="Z309" s="1709"/>
      <c r="AA309" s="1709"/>
      <c r="AB309" s="1709"/>
      <c r="AC309" s="1709"/>
      <c r="AD309" s="1709"/>
      <c r="AE309" s="1709"/>
      <c r="AF309" s="1709"/>
      <c r="AG309" s="1709"/>
    </row>
    <row r="310" spans="17:33" s="1704" customFormat="1">
      <c r="Q310" s="1709"/>
      <c r="R310" s="1709"/>
      <c r="U310" s="1709"/>
      <c r="V310" s="1709"/>
      <c r="W310" s="1709"/>
      <c r="X310" s="1709"/>
      <c r="Y310" s="1709"/>
      <c r="Z310" s="1709"/>
      <c r="AA310" s="1709"/>
      <c r="AB310" s="1709"/>
      <c r="AC310" s="1709"/>
      <c r="AD310" s="1709"/>
      <c r="AE310" s="1709"/>
      <c r="AF310" s="1709"/>
      <c r="AG310" s="1709"/>
    </row>
    <row r="311" spans="17:33" s="1704" customFormat="1">
      <c r="Q311" s="1709"/>
      <c r="R311" s="1709"/>
      <c r="U311" s="1709"/>
      <c r="V311" s="1709"/>
      <c r="W311" s="1709"/>
      <c r="X311" s="1709"/>
      <c r="Y311" s="1709"/>
      <c r="Z311" s="1709"/>
      <c r="AA311" s="1709"/>
      <c r="AB311" s="1709"/>
      <c r="AC311" s="1709"/>
      <c r="AD311" s="1709"/>
      <c r="AE311" s="1709"/>
      <c r="AF311" s="1709"/>
      <c r="AG311" s="1709"/>
    </row>
    <row r="312" spans="17:33" s="1704" customFormat="1">
      <c r="Q312" s="1709"/>
      <c r="R312" s="1709"/>
      <c r="U312" s="1709"/>
      <c r="V312" s="1709"/>
      <c r="W312" s="1709"/>
      <c r="X312" s="1709"/>
      <c r="Y312" s="1709"/>
      <c r="Z312" s="1709"/>
      <c r="AA312" s="1709"/>
      <c r="AB312" s="1709"/>
      <c r="AC312" s="1709"/>
      <c r="AD312" s="1709"/>
      <c r="AE312" s="1709"/>
      <c r="AF312" s="1709"/>
      <c r="AG312" s="1709"/>
    </row>
    <row r="313" spans="17:33" s="1704" customFormat="1">
      <c r="Q313" s="1709"/>
      <c r="R313" s="1709"/>
      <c r="U313" s="1709"/>
      <c r="V313" s="1709"/>
      <c r="W313" s="1709"/>
      <c r="X313" s="1709"/>
      <c r="Y313" s="1709"/>
      <c r="Z313" s="1709"/>
      <c r="AA313" s="1709"/>
      <c r="AB313" s="1709"/>
      <c r="AC313" s="1709"/>
      <c r="AD313" s="1709"/>
      <c r="AE313" s="1709"/>
      <c r="AF313" s="1709"/>
      <c r="AG313" s="1709"/>
    </row>
    <row r="314" spans="17:33" s="1704" customFormat="1">
      <c r="Q314" s="1709"/>
      <c r="R314" s="1709"/>
      <c r="U314" s="1709"/>
      <c r="V314" s="1709"/>
      <c r="W314" s="1709"/>
      <c r="X314" s="1709"/>
      <c r="Y314" s="1709"/>
      <c r="Z314" s="1709"/>
      <c r="AA314" s="1709"/>
      <c r="AB314" s="1709"/>
      <c r="AC314" s="1709"/>
      <c r="AD314" s="1709"/>
      <c r="AE314" s="1709"/>
      <c r="AF314" s="1709"/>
      <c r="AG314" s="1709"/>
    </row>
    <row r="315" spans="17:33" s="1704" customFormat="1">
      <c r="Q315" s="1709"/>
      <c r="R315" s="1709"/>
      <c r="U315" s="1709"/>
      <c r="V315" s="1709"/>
      <c r="W315" s="1709"/>
      <c r="X315" s="1709"/>
      <c r="Y315" s="1709"/>
      <c r="Z315" s="1709"/>
      <c r="AA315" s="1709"/>
      <c r="AB315" s="1709"/>
      <c r="AC315" s="1709"/>
      <c r="AD315" s="1709"/>
      <c r="AE315" s="1709"/>
      <c r="AF315" s="1709"/>
      <c r="AG315" s="1709"/>
    </row>
    <row r="316" spans="17:33" s="1704" customFormat="1">
      <c r="Q316" s="1709"/>
      <c r="R316" s="1709"/>
      <c r="U316" s="1709"/>
      <c r="V316" s="1709"/>
      <c r="W316" s="1709"/>
      <c r="X316" s="1709"/>
      <c r="Y316" s="1709"/>
      <c r="Z316" s="1709"/>
      <c r="AA316" s="1709"/>
      <c r="AB316" s="1709"/>
      <c r="AC316" s="1709"/>
      <c r="AD316" s="1709"/>
      <c r="AE316" s="1709"/>
      <c r="AF316" s="1709"/>
      <c r="AG316" s="1709"/>
    </row>
    <row r="317" spans="17:33" s="1704" customFormat="1">
      <c r="Q317" s="1709"/>
      <c r="R317" s="1709"/>
      <c r="U317" s="1709"/>
      <c r="V317" s="1709"/>
      <c r="W317" s="1709"/>
      <c r="X317" s="1709"/>
      <c r="Y317" s="1709"/>
      <c r="Z317" s="1709"/>
      <c r="AA317" s="1709"/>
      <c r="AB317" s="1709"/>
      <c r="AC317" s="1709"/>
      <c r="AD317" s="1709"/>
      <c r="AE317" s="1709"/>
      <c r="AF317" s="1709"/>
      <c r="AG317" s="1709"/>
    </row>
    <row r="318" spans="17:33" s="1704" customFormat="1">
      <c r="Q318" s="1709"/>
      <c r="R318" s="1709"/>
      <c r="U318" s="1709"/>
      <c r="V318" s="1709"/>
      <c r="W318" s="1709"/>
      <c r="X318" s="1709"/>
      <c r="Y318" s="1709"/>
      <c r="Z318" s="1709"/>
      <c r="AA318" s="1709"/>
      <c r="AB318" s="1709"/>
      <c r="AC318" s="1709"/>
      <c r="AD318" s="1709"/>
      <c r="AE318" s="1709"/>
      <c r="AF318" s="1709"/>
      <c r="AG318" s="1709"/>
    </row>
    <row r="319" spans="17:33" s="1704" customFormat="1">
      <c r="Q319" s="1709"/>
      <c r="R319" s="1709"/>
      <c r="U319" s="1709"/>
      <c r="V319" s="1709"/>
      <c r="W319" s="1709"/>
      <c r="X319" s="1709"/>
      <c r="Y319" s="1709"/>
      <c r="Z319" s="1709"/>
      <c r="AA319" s="1709"/>
      <c r="AB319" s="1709"/>
      <c r="AC319" s="1709"/>
      <c r="AD319" s="1709"/>
      <c r="AE319" s="1709"/>
      <c r="AF319" s="1709"/>
      <c r="AG319" s="1709"/>
    </row>
    <row r="320" spans="17:33" s="1704" customFormat="1">
      <c r="Q320" s="1709"/>
      <c r="R320" s="1709"/>
      <c r="U320" s="1709"/>
      <c r="V320" s="1709"/>
      <c r="W320" s="1709"/>
      <c r="X320" s="1709"/>
      <c r="Y320" s="1709"/>
      <c r="Z320" s="1709"/>
      <c r="AA320" s="1709"/>
      <c r="AB320" s="1709"/>
      <c r="AC320" s="1709"/>
      <c r="AD320" s="1709"/>
      <c r="AE320" s="1709"/>
      <c r="AF320" s="1709"/>
      <c r="AG320" s="1709"/>
    </row>
    <row r="321" spans="17:33" s="1704" customFormat="1">
      <c r="Q321" s="1709"/>
      <c r="R321" s="1709"/>
      <c r="U321" s="1709"/>
      <c r="V321" s="1709"/>
      <c r="W321" s="1709"/>
      <c r="X321" s="1709"/>
      <c r="Y321" s="1709"/>
      <c r="Z321" s="1709"/>
      <c r="AA321" s="1709"/>
      <c r="AB321" s="1709"/>
      <c r="AC321" s="1709"/>
      <c r="AD321" s="1709"/>
      <c r="AE321" s="1709"/>
      <c r="AF321" s="1709"/>
      <c r="AG321" s="1709"/>
    </row>
    <row r="322" spans="17:33" s="1704" customFormat="1">
      <c r="Q322" s="1709"/>
      <c r="R322" s="1709"/>
      <c r="U322" s="1709"/>
      <c r="V322" s="1709"/>
      <c r="W322" s="1709"/>
      <c r="X322" s="1709"/>
      <c r="Y322" s="1709"/>
      <c r="Z322" s="1709"/>
      <c r="AA322" s="1709"/>
      <c r="AB322" s="1709"/>
      <c r="AC322" s="1709"/>
      <c r="AD322" s="1709"/>
      <c r="AE322" s="1709"/>
      <c r="AF322" s="1709"/>
      <c r="AG322" s="1709"/>
    </row>
    <row r="323" spans="17:33" s="1704" customFormat="1">
      <c r="Q323" s="1709"/>
      <c r="R323" s="1709"/>
      <c r="U323" s="1709"/>
      <c r="V323" s="1709"/>
      <c r="W323" s="1709"/>
      <c r="X323" s="1709"/>
      <c r="Y323" s="1709"/>
      <c r="Z323" s="1709"/>
      <c r="AA323" s="1709"/>
      <c r="AB323" s="1709"/>
      <c r="AC323" s="1709"/>
      <c r="AD323" s="1709"/>
      <c r="AE323" s="1709"/>
      <c r="AF323" s="1709"/>
      <c r="AG323" s="1709"/>
    </row>
    <row r="324" spans="17:33" s="1704" customFormat="1">
      <c r="Q324" s="1709"/>
      <c r="R324" s="1709"/>
      <c r="U324" s="1709"/>
      <c r="V324" s="1709"/>
      <c r="W324" s="1709"/>
      <c r="X324" s="1709"/>
      <c r="Y324" s="1709"/>
      <c r="Z324" s="1709"/>
      <c r="AA324" s="1709"/>
      <c r="AB324" s="1709"/>
      <c r="AC324" s="1709"/>
      <c r="AD324" s="1709"/>
      <c r="AE324" s="1709"/>
      <c r="AF324" s="1709"/>
      <c r="AG324" s="1709"/>
    </row>
    <row r="325" spans="17:33" s="1704" customFormat="1">
      <c r="Q325" s="1709"/>
      <c r="R325" s="1709"/>
      <c r="U325" s="1709"/>
      <c r="V325" s="1709"/>
      <c r="W325" s="1709"/>
      <c r="X325" s="1709"/>
      <c r="Y325" s="1709"/>
      <c r="Z325" s="1709"/>
      <c r="AA325" s="1709"/>
      <c r="AB325" s="1709"/>
      <c r="AC325" s="1709"/>
      <c r="AD325" s="1709"/>
      <c r="AE325" s="1709"/>
      <c r="AF325" s="1709"/>
      <c r="AG325" s="1709"/>
    </row>
    <row r="326" spans="17:33" s="1704" customFormat="1">
      <c r="Q326" s="1709"/>
      <c r="R326" s="1709"/>
      <c r="U326" s="1709"/>
      <c r="V326" s="1709"/>
      <c r="W326" s="1709"/>
      <c r="X326" s="1709"/>
      <c r="Y326" s="1709"/>
      <c r="Z326" s="1709"/>
      <c r="AA326" s="1709"/>
      <c r="AB326" s="1709"/>
      <c r="AC326" s="1709"/>
      <c r="AD326" s="1709"/>
      <c r="AE326" s="1709"/>
      <c r="AF326" s="1709"/>
      <c r="AG326" s="1709"/>
    </row>
    <row r="327" spans="17:33" s="1704" customFormat="1">
      <c r="Q327" s="1709"/>
      <c r="R327" s="1709"/>
      <c r="U327" s="1709"/>
      <c r="V327" s="1709"/>
      <c r="W327" s="1709"/>
      <c r="X327" s="1709"/>
      <c r="Y327" s="1709"/>
      <c r="Z327" s="1709"/>
      <c r="AA327" s="1709"/>
      <c r="AB327" s="1709"/>
      <c r="AC327" s="1709"/>
      <c r="AD327" s="1709"/>
      <c r="AE327" s="1709"/>
      <c r="AF327" s="1709"/>
      <c r="AG327" s="1709"/>
    </row>
    <row r="328" spans="17:33" s="1704" customFormat="1">
      <c r="Q328" s="1709"/>
      <c r="R328" s="1709"/>
      <c r="U328" s="1709"/>
      <c r="V328" s="1709"/>
      <c r="W328" s="1709"/>
      <c r="X328" s="1709"/>
      <c r="Y328" s="1709"/>
      <c r="Z328" s="1709"/>
      <c r="AA328" s="1709"/>
      <c r="AB328" s="1709"/>
      <c r="AC328" s="1709"/>
      <c r="AD328" s="1709"/>
      <c r="AE328" s="1709"/>
      <c r="AF328" s="1709"/>
      <c r="AG328" s="1709"/>
    </row>
    <row r="329" spans="17:33" s="1704" customFormat="1">
      <c r="Q329" s="1709"/>
      <c r="R329" s="1709"/>
      <c r="U329" s="1709"/>
      <c r="V329" s="1709"/>
      <c r="W329" s="1709"/>
      <c r="X329" s="1709"/>
      <c r="Y329" s="1709"/>
      <c r="Z329" s="1709"/>
      <c r="AA329" s="1709"/>
      <c r="AB329" s="1709"/>
      <c r="AC329" s="1709"/>
      <c r="AD329" s="1709"/>
      <c r="AE329" s="1709"/>
      <c r="AF329" s="1709"/>
      <c r="AG329" s="1709"/>
    </row>
    <row r="330" spans="17:33" s="1704" customFormat="1">
      <c r="Q330" s="1709"/>
      <c r="R330" s="1709"/>
      <c r="U330" s="1709"/>
      <c r="V330" s="1709"/>
      <c r="W330" s="1709"/>
      <c r="X330" s="1709"/>
      <c r="Y330" s="1709"/>
      <c r="Z330" s="1709"/>
      <c r="AA330" s="1709"/>
      <c r="AB330" s="1709"/>
      <c r="AC330" s="1709"/>
      <c r="AD330" s="1709"/>
      <c r="AE330" s="1709"/>
      <c r="AF330" s="1709"/>
      <c r="AG330" s="1709"/>
    </row>
    <row r="331" spans="17:33" s="1704" customFormat="1">
      <c r="Q331" s="1709"/>
      <c r="R331" s="1709"/>
      <c r="U331" s="1709"/>
      <c r="V331" s="1709"/>
      <c r="W331" s="1709"/>
      <c r="X331" s="1709"/>
      <c r="Y331" s="1709"/>
      <c r="Z331" s="1709"/>
      <c r="AA331" s="1709"/>
      <c r="AB331" s="1709"/>
      <c r="AC331" s="1709"/>
      <c r="AD331" s="1709"/>
      <c r="AE331" s="1709"/>
      <c r="AF331" s="1709"/>
      <c r="AG331" s="1709"/>
    </row>
    <row r="332" spans="17:33" s="1704" customFormat="1">
      <c r="Q332" s="1709"/>
      <c r="R332" s="1709"/>
      <c r="U332" s="1709"/>
      <c r="V332" s="1709"/>
      <c r="W332" s="1709"/>
      <c r="X332" s="1709"/>
      <c r="Y332" s="1709"/>
      <c r="Z332" s="1709"/>
      <c r="AA332" s="1709"/>
      <c r="AB332" s="1709"/>
      <c r="AC332" s="1709"/>
      <c r="AD332" s="1709"/>
      <c r="AE332" s="1709"/>
      <c r="AF332" s="1709"/>
      <c r="AG332" s="1709"/>
    </row>
    <row r="333" spans="17:33" s="1704" customFormat="1">
      <c r="Q333" s="1709"/>
      <c r="R333" s="1709"/>
      <c r="U333" s="1709"/>
      <c r="V333" s="1709"/>
      <c r="W333" s="1709"/>
      <c r="X333" s="1709"/>
      <c r="Y333" s="1709"/>
      <c r="Z333" s="1709"/>
      <c r="AA333" s="1709"/>
      <c r="AB333" s="1709"/>
      <c r="AC333" s="1709"/>
      <c r="AD333" s="1709"/>
      <c r="AE333" s="1709"/>
      <c r="AF333" s="1709"/>
      <c r="AG333" s="1709"/>
    </row>
    <row r="334" spans="17:33" s="1704" customFormat="1">
      <c r="Q334" s="1709"/>
      <c r="R334" s="1709"/>
      <c r="U334" s="1709"/>
      <c r="V334" s="1709"/>
      <c r="W334" s="1709"/>
      <c r="X334" s="1709"/>
      <c r="Y334" s="1709"/>
      <c r="Z334" s="1709"/>
      <c r="AA334" s="1709"/>
      <c r="AB334" s="1709"/>
      <c r="AC334" s="1709"/>
      <c r="AD334" s="1709"/>
      <c r="AE334" s="1709"/>
      <c r="AF334" s="1709"/>
      <c r="AG334" s="1709"/>
    </row>
    <row r="335" spans="17:33" s="1704" customFormat="1">
      <c r="Q335" s="1709"/>
      <c r="R335" s="1709"/>
      <c r="U335" s="1709"/>
      <c r="V335" s="1709"/>
      <c r="W335" s="1709"/>
      <c r="X335" s="1709"/>
      <c r="Y335" s="1709"/>
      <c r="Z335" s="1709"/>
      <c r="AA335" s="1709"/>
      <c r="AB335" s="1709"/>
      <c r="AC335" s="1709"/>
      <c r="AD335" s="1709"/>
      <c r="AE335" s="1709"/>
      <c r="AF335" s="1709"/>
      <c r="AG335" s="1709"/>
    </row>
    <row r="336" spans="17:33" s="1704" customFormat="1">
      <c r="Q336" s="1709"/>
      <c r="R336" s="1709"/>
      <c r="U336" s="1709"/>
      <c r="V336" s="1709"/>
      <c r="W336" s="1709"/>
      <c r="X336" s="1709"/>
      <c r="Y336" s="1709"/>
      <c r="Z336" s="1709"/>
      <c r="AA336" s="1709"/>
      <c r="AB336" s="1709"/>
      <c r="AC336" s="1709"/>
      <c r="AD336" s="1709"/>
      <c r="AE336" s="1709"/>
      <c r="AF336" s="1709"/>
      <c r="AG336" s="1709"/>
    </row>
    <row r="337" spans="17:33" s="1704" customFormat="1">
      <c r="Q337" s="1709"/>
      <c r="R337" s="1709"/>
      <c r="U337" s="1709"/>
      <c r="V337" s="1709"/>
      <c r="W337" s="1709"/>
      <c r="X337" s="1709"/>
      <c r="Y337" s="1709"/>
      <c r="Z337" s="1709"/>
      <c r="AA337" s="1709"/>
      <c r="AB337" s="1709"/>
      <c r="AC337" s="1709"/>
      <c r="AD337" s="1709"/>
      <c r="AE337" s="1709"/>
      <c r="AF337" s="1709"/>
      <c r="AG337" s="1709"/>
    </row>
    <row r="338" spans="17:33" s="1704" customFormat="1">
      <c r="Q338" s="1709"/>
      <c r="R338" s="1709"/>
      <c r="U338" s="1709"/>
      <c r="V338" s="1709"/>
      <c r="W338" s="1709"/>
      <c r="X338" s="1709"/>
      <c r="Y338" s="1709"/>
      <c r="Z338" s="1709"/>
      <c r="AA338" s="1709"/>
      <c r="AB338" s="1709"/>
      <c r="AC338" s="1709"/>
      <c r="AD338" s="1709"/>
      <c r="AE338" s="1709"/>
      <c r="AF338" s="1709"/>
      <c r="AG338" s="1709"/>
    </row>
    <row r="339" spans="17:33" s="1704" customFormat="1">
      <c r="Q339" s="1709"/>
      <c r="R339" s="1709"/>
      <c r="U339" s="1709"/>
      <c r="V339" s="1709"/>
      <c r="W339" s="1709"/>
      <c r="X339" s="1709"/>
      <c r="Y339" s="1709"/>
      <c r="Z339" s="1709"/>
      <c r="AA339" s="1709"/>
      <c r="AB339" s="1709"/>
      <c r="AC339" s="1709"/>
      <c r="AD339" s="1709"/>
      <c r="AE339" s="1709"/>
      <c r="AF339" s="1709"/>
      <c r="AG339" s="1709"/>
    </row>
    <row r="340" spans="17:33" s="1704" customFormat="1">
      <c r="Q340" s="1709"/>
      <c r="R340" s="1709"/>
      <c r="U340" s="1709"/>
      <c r="V340" s="1709"/>
      <c r="W340" s="1709"/>
      <c r="X340" s="1709"/>
      <c r="Y340" s="1709"/>
      <c r="Z340" s="1709"/>
      <c r="AA340" s="1709"/>
      <c r="AB340" s="1709"/>
      <c r="AC340" s="1709"/>
      <c r="AD340" s="1709"/>
      <c r="AE340" s="1709"/>
      <c r="AF340" s="1709"/>
      <c r="AG340" s="1709"/>
    </row>
    <row r="341" spans="17:33" s="1704" customFormat="1">
      <c r="Q341" s="1709"/>
      <c r="R341" s="1709"/>
      <c r="U341" s="1709"/>
      <c r="V341" s="1709"/>
      <c r="W341" s="1709"/>
      <c r="X341" s="1709"/>
      <c r="Y341" s="1709"/>
      <c r="Z341" s="1709"/>
      <c r="AA341" s="1709"/>
      <c r="AB341" s="1709"/>
      <c r="AC341" s="1709"/>
      <c r="AD341" s="1709"/>
      <c r="AE341" s="1709"/>
      <c r="AF341" s="1709"/>
      <c r="AG341" s="1709"/>
    </row>
    <row r="342" spans="17:33" s="1704" customFormat="1">
      <c r="Q342" s="1709"/>
      <c r="R342" s="1709"/>
      <c r="U342" s="1709"/>
      <c r="V342" s="1709"/>
      <c r="W342" s="1709"/>
      <c r="X342" s="1709"/>
      <c r="Y342" s="1709"/>
      <c r="Z342" s="1709"/>
      <c r="AA342" s="1709"/>
      <c r="AB342" s="1709"/>
      <c r="AC342" s="1709"/>
      <c r="AD342" s="1709"/>
      <c r="AE342" s="1709"/>
      <c r="AF342" s="1709"/>
      <c r="AG342" s="1709"/>
    </row>
    <row r="343" spans="17:33" s="1704" customFormat="1">
      <c r="Q343" s="1709"/>
      <c r="R343" s="1709"/>
      <c r="U343" s="1709"/>
      <c r="V343" s="1709"/>
      <c r="W343" s="1709"/>
      <c r="X343" s="1709"/>
      <c r="Y343" s="1709"/>
      <c r="Z343" s="1709"/>
      <c r="AA343" s="1709"/>
      <c r="AB343" s="1709"/>
      <c r="AC343" s="1709"/>
      <c r="AD343" s="1709"/>
      <c r="AE343" s="1709"/>
      <c r="AF343" s="1709"/>
      <c r="AG343" s="1709"/>
    </row>
    <row r="344" spans="17:33" s="1704" customFormat="1">
      <c r="Q344" s="1709"/>
      <c r="R344" s="1709"/>
      <c r="U344" s="1709"/>
      <c r="V344" s="1709"/>
      <c r="W344" s="1709"/>
      <c r="X344" s="1709"/>
      <c r="Y344" s="1709"/>
      <c r="Z344" s="1709"/>
      <c r="AA344" s="1709"/>
      <c r="AB344" s="1709"/>
      <c r="AC344" s="1709"/>
      <c r="AD344" s="1709"/>
      <c r="AE344" s="1709"/>
      <c r="AF344" s="1709"/>
      <c r="AG344" s="1709"/>
    </row>
    <row r="345" spans="17:33" s="1704" customFormat="1">
      <c r="Q345" s="1709"/>
      <c r="R345" s="1709"/>
      <c r="U345" s="1709"/>
      <c r="V345" s="1709"/>
      <c r="W345" s="1709"/>
      <c r="X345" s="1709"/>
      <c r="Y345" s="1709"/>
      <c r="Z345" s="1709"/>
      <c r="AA345" s="1709"/>
      <c r="AB345" s="1709"/>
      <c r="AC345" s="1709"/>
      <c r="AD345" s="1709"/>
      <c r="AE345" s="1709"/>
      <c r="AF345" s="1709"/>
      <c r="AG345" s="1709"/>
    </row>
    <row r="346" spans="17:33" s="1704" customFormat="1">
      <c r="Q346" s="1709"/>
      <c r="R346" s="1709"/>
      <c r="U346" s="1709"/>
      <c r="V346" s="1709"/>
      <c r="W346" s="1709"/>
      <c r="X346" s="1709"/>
      <c r="Y346" s="1709"/>
      <c r="Z346" s="1709"/>
      <c r="AA346" s="1709"/>
      <c r="AB346" s="1709"/>
      <c r="AC346" s="1709"/>
      <c r="AD346" s="1709"/>
      <c r="AE346" s="1709"/>
      <c r="AF346" s="1709"/>
      <c r="AG346" s="1709"/>
    </row>
    <row r="347" spans="17:33" s="1704" customFormat="1">
      <c r="Q347" s="1709"/>
      <c r="R347" s="1709"/>
      <c r="U347" s="1709"/>
      <c r="V347" s="1709"/>
      <c r="W347" s="1709"/>
      <c r="X347" s="1709"/>
      <c r="Y347" s="1709"/>
      <c r="Z347" s="1709"/>
      <c r="AA347" s="1709"/>
      <c r="AB347" s="1709"/>
      <c r="AC347" s="1709"/>
      <c r="AD347" s="1709"/>
      <c r="AE347" s="1709"/>
      <c r="AF347" s="1709"/>
      <c r="AG347" s="1709"/>
    </row>
    <row r="348" spans="17:33" s="1704" customFormat="1">
      <c r="Q348" s="1709"/>
      <c r="R348" s="1709"/>
      <c r="U348" s="1709"/>
      <c r="V348" s="1709"/>
      <c r="W348" s="1709"/>
      <c r="X348" s="1709"/>
      <c r="Y348" s="1709"/>
      <c r="Z348" s="1709"/>
      <c r="AA348" s="1709"/>
      <c r="AB348" s="1709"/>
      <c r="AC348" s="1709"/>
      <c r="AD348" s="1709"/>
      <c r="AE348" s="1709"/>
      <c r="AF348" s="1709"/>
      <c r="AG348" s="1709"/>
    </row>
    <row r="349" spans="17:33" s="1704" customFormat="1">
      <c r="Q349" s="1709"/>
      <c r="R349" s="1709"/>
      <c r="U349" s="1709"/>
      <c r="V349" s="1709"/>
      <c r="W349" s="1709"/>
      <c r="X349" s="1709"/>
      <c r="Y349" s="1709"/>
      <c r="Z349" s="1709"/>
      <c r="AA349" s="1709"/>
      <c r="AB349" s="1709"/>
      <c r="AC349" s="1709"/>
      <c r="AD349" s="1709"/>
      <c r="AE349" s="1709"/>
      <c r="AF349" s="1709"/>
      <c r="AG349" s="1709"/>
    </row>
    <row r="350" spans="17:33" s="1704" customFormat="1">
      <c r="Q350" s="1709"/>
      <c r="R350" s="1709"/>
      <c r="U350" s="1709"/>
      <c r="V350" s="1709"/>
      <c r="W350" s="1709"/>
      <c r="X350" s="1709"/>
      <c r="Y350" s="1709"/>
      <c r="Z350" s="1709"/>
      <c r="AA350" s="1709"/>
      <c r="AB350" s="1709"/>
      <c r="AC350" s="1709"/>
      <c r="AD350" s="1709"/>
      <c r="AE350" s="1709"/>
      <c r="AF350" s="1709"/>
      <c r="AG350" s="1709"/>
    </row>
    <row r="351" spans="17:33" s="1704" customFormat="1">
      <c r="Q351" s="1709"/>
      <c r="R351" s="1709"/>
      <c r="U351" s="1709"/>
      <c r="V351" s="1709"/>
      <c r="W351" s="1709"/>
      <c r="X351" s="1709"/>
      <c r="Y351" s="1709"/>
      <c r="Z351" s="1709"/>
      <c r="AA351" s="1709"/>
      <c r="AB351" s="1709"/>
      <c r="AC351" s="1709"/>
      <c r="AD351" s="1709"/>
      <c r="AE351" s="1709"/>
      <c r="AF351" s="1709"/>
      <c r="AG351" s="1709"/>
    </row>
    <row r="352" spans="17:33" s="1704" customFormat="1">
      <c r="Q352" s="1709"/>
      <c r="R352" s="1709"/>
      <c r="U352" s="1709"/>
      <c r="V352" s="1709"/>
      <c r="W352" s="1709"/>
      <c r="X352" s="1709"/>
      <c r="Y352" s="1709"/>
      <c r="Z352" s="1709"/>
      <c r="AA352" s="1709"/>
      <c r="AB352" s="1709"/>
      <c r="AC352" s="1709"/>
      <c r="AD352" s="1709"/>
      <c r="AE352" s="1709"/>
      <c r="AF352" s="1709"/>
      <c r="AG352" s="1709"/>
    </row>
    <row r="353" spans="17:33" s="1704" customFormat="1">
      <c r="Q353" s="1709"/>
      <c r="R353" s="1709"/>
      <c r="U353" s="1709"/>
      <c r="V353" s="1709"/>
      <c r="W353" s="1709"/>
      <c r="X353" s="1709"/>
      <c r="Y353" s="1709"/>
      <c r="Z353" s="1709"/>
      <c r="AA353" s="1709"/>
      <c r="AB353" s="1709"/>
      <c r="AC353" s="1709"/>
      <c r="AD353" s="1709"/>
      <c r="AE353" s="1709"/>
      <c r="AF353" s="1709"/>
      <c r="AG353" s="1709"/>
    </row>
    <row r="354" spans="17:33" s="1704" customFormat="1">
      <c r="Q354" s="1709"/>
      <c r="R354" s="1709"/>
      <c r="U354" s="1709"/>
      <c r="V354" s="1709"/>
      <c r="W354" s="1709"/>
      <c r="X354" s="1709"/>
      <c r="Y354" s="1709"/>
      <c r="Z354" s="1709"/>
      <c r="AA354" s="1709"/>
      <c r="AB354" s="1709"/>
      <c r="AC354" s="1709"/>
      <c r="AD354" s="1709"/>
      <c r="AE354" s="1709"/>
      <c r="AF354" s="1709"/>
      <c r="AG354" s="1709"/>
    </row>
    <row r="355" spans="17:33" s="1704" customFormat="1">
      <c r="Q355" s="1709"/>
      <c r="R355" s="1709"/>
      <c r="U355" s="1709"/>
      <c r="V355" s="1709"/>
      <c r="W355" s="1709"/>
      <c r="X355" s="1709"/>
      <c r="Y355" s="1709"/>
      <c r="Z355" s="1709"/>
      <c r="AA355" s="1709"/>
      <c r="AB355" s="1709"/>
      <c r="AC355" s="1709"/>
      <c r="AD355" s="1709"/>
      <c r="AE355" s="1709"/>
      <c r="AF355" s="1709"/>
      <c r="AG355" s="1709"/>
    </row>
    <row r="356" spans="17:33" s="1704" customFormat="1">
      <c r="Q356" s="1709"/>
      <c r="R356" s="1709"/>
      <c r="U356" s="1709"/>
      <c r="V356" s="1709"/>
      <c r="W356" s="1709"/>
      <c r="X356" s="1709"/>
      <c r="Y356" s="1709"/>
      <c r="Z356" s="1709"/>
      <c r="AA356" s="1709"/>
      <c r="AB356" s="1709"/>
      <c r="AC356" s="1709"/>
      <c r="AD356" s="1709"/>
      <c r="AE356" s="1709"/>
      <c r="AF356" s="1709"/>
      <c r="AG356" s="1709"/>
    </row>
    <row r="357" spans="17:33" s="1704" customFormat="1">
      <c r="Q357" s="1709"/>
      <c r="R357" s="1709"/>
      <c r="U357" s="1709"/>
      <c r="V357" s="1709"/>
      <c r="W357" s="1709"/>
      <c r="X357" s="1709"/>
      <c r="Y357" s="1709"/>
      <c r="Z357" s="1709"/>
      <c r="AA357" s="1709"/>
      <c r="AB357" s="1709"/>
      <c r="AC357" s="1709"/>
      <c r="AD357" s="1709"/>
      <c r="AE357" s="1709"/>
      <c r="AF357" s="1709"/>
      <c r="AG357" s="1709"/>
    </row>
    <row r="358" spans="17:33" s="1704" customFormat="1">
      <c r="Q358" s="1709"/>
      <c r="R358" s="1709"/>
      <c r="U358" s="1709"/>
      <c r="V358" s="1709"/>
      <c r="W358" s="1709"/>
      <c r="X358" s="1709"/>
      <c r="Y358" s="1709"/>
      <c r="Z358" s="1709"/>
      <c r="AA358" s="1709"/>
      <c r="AB358" s="1709"/>
      <c r="AC358" s="1709"/>
      <c r="AD358" s="1709"/>
      <c r="AE358" s="1709"/>
      <c r="AF358" s="1709"/>
      <c r="AG358" s="1709"/>
    </row>
    <row r="359" spans="17:33" s="1704" customFormat="1">
      <c r="Q359" s="1709"/>
      <c r="R359" s="1709"/>
      <c r="U359" s="1709"/>
      <c r="V359" s="1709"/>
      <c r="W359" s="1709"/>
      <c r="X359" s="1709"/>
      <c r="Y359" s="1709"/>
      <c r="Z359" s="1709"/>
      <c r="AA359" s="1709"/>
      <c r="AB359" s="1709"/>
      <c r="AC359" s="1709"/>
      <c r="AD359" s="1709"/>
      <c r="AE359" s="1709"/>
      <c r="AF359" s="1709"/>
      <c r="AG359" s="1709"/>
    </row>
    <row r="360" spans="17:33" s="1704" customFormat="1">
      <c r="Q360" s="1709"/>
      <c r="R360" s="1709"/>
      <c r="U360" s="1709"/>
      <c r="V360" s="1709"/>
      <c r="W360" s="1709"/>
      <c r="X360" s="1709"/>
      <c r="Y360" s="1709"/>
      <c r="Z360" s="1709"/>
      <c r="AA360" s="1709"/>
      <c r="AB360" s="1709"/>
      <c r="AC360" s="1709"/>
      <c r="AD360" s="1709"/>
      <c r="AE360" s="1709"/>
      <c r="AF360" s="1709"/>
      <c r="AG360" s="1709"/>
    </row>
    <row r="361" spans="17:33" s="1704" customFormat="1">
      <c r="Q361" s="1709"/>
      <c r="R361" s="1709"/>
      <c r="U361" s="1709"/>
      <c r="V361" s="1709"/>
      <c r="W361" s="1709"/>
      <c r="X361" s="1709"/>
      <c r="Y361" s="1709"/>
      <c r="Z361" s="1709"/>
      <c r="AA361" s="1709"/>
      <c r="AB361" s="1709"/>
      <c r="AC361" s="1709"/>
      <c r="AD361" s="1709"/>
      <c r="AE361" s="1709"/>
      <c r="AF361" s="1709"/>
      <c r="AG361" s="1709"/>
    </row>
    <row r="362" spans="17:33" s="1704" customFormat="1">
      <c r="Q362" s="1709"/>
      <c r="R362" s="1709"/>
      <c r="U362" s="1709"/>
      <c r="V362" s="1709"/>
      <c r="W362" s="1709"/>
      <c r="X362" s="1709"/>
      <c r="Y362" s="1709"/>
      <c r="Z362" s="1709"/>
      <c r="AA362" s="1709"/>
      <c r="AB362" s="1709"/>
      <c r="AC362" s="1709"/>
      <c r="AD362" s="1709"/>
      <c r="AE362" s="1709"/>
      <c r="AF362" s="1709"/>
      <c r="AG362" s="1709"/>
    </row>
    <row r="363" spans="17:33" s="1704" customFormat="1">
      <c r="Q363" s="1709"/>
      <c r="R363" s="1709"/>
      <c r="U363" s="1709"/>
      <c r="V363" s="1709"/>
      <c r="W363" s="1709"/>
      <c r="X363" s="1709"/>
      <c r="Y363" s="1709"/>
      <c r="Z363" s="1709"/>
      <c r="AA363" s="1709"/>
      <c r="AB363" s="1709"/>
      <c r="AC363" s="1709"/>
      <c r="AD363" s="1709"/>
      <c r="AE363" s="1709"/>
      <c r="AF363" s="1709"/>
      <c r="AG363" s="1709"/>
    </row>
    <row r="364" spans="17:33" s="1704" customFormat="1">
      <c r="Q364" s="1709"/>
      <c r="R364" s="1709"/>
      <c r="U364" s="1709"/>
      <c r="V364" s="1709"/>
      <c r="W364" s="1709"/>
      <c r="X364" s="1709"/>
      <c r="Y364" s="1709"/>
      <c r="Z364" s="1709"/>
      <c r="AA364" s="1709"/>
      <c r="AB364" s="1709"/>
      <c r="AC364" s="1709"/>
      <c r="AD364" s="1709"/>
      <c r="AE364" s="1709"/>
      <c r="AF364" s="1709"/>
      <c r="AG364" s="1709"/>
    </row>
    <row r="365" spans="17:33" s="1704" customFormat="1">
      <c r="Q365" s="1709"/>
      <c r="R365" s="1709"/>
      <c r="U365" s="1709"/>
      <c r="V365" s="1709"/>
      <c r="W365" s="1709"/>
      <c r="X365" s="1709"/>
      <c r="Y365" s="1709"/>
      <c r="Z365" s="1709"/>
      <c r="AA365" s="1709"/>
      <c r="AB365" s="1709"/>
      <c r="AC365" s="1709"/>
      <c r="AD365" s="1709"/>
      <c r="AE365" s="1709"/>
      <c r="AF365" s="1709"/>
      <c r="AG365" s="1709"/>
    </row>
    <row r="366" spans="17:33" s="1704" customFormat="1">
      <c r="Q366" s="1709"/>
      <c r="R366" s="1709"/>
      <c r="U366" s="1709"/>
      <c r="V366" s="1709"/>
      <c r="W366" s="1709"/>
      <c r="X366" s="1709"/>
      <c r="Y366" s="1709"/>
      <c r="Z366" s="1709"/>
      <c r="AA366" s="1709"/>
      <c r="AB366" s="1709"/>
      <c r="AC366" s="1709"/>
      <c r="AD366" s="1709"/>
      <c r="AE366" s="1709"/>
      <c r="AF366" s="1709"/>
      <c r="AG366" s="1709"/>
    </row>
    <row r="367" spans="17:33" s="1704" customFormat="1">
      <c r="Q367" s="1709"/>
      <c r="R367" s="1709"/>
      <c r="U367" s="1709"/>
      <c r="V367" s="1709"/>
      <c r="W367" s="1709"/>
      <c r="X367" s="1709"/>
      <c r="Y367" s="1709"/>
      <c r="Z367" s="1709"/>
      <c r="AA367" s="1709"/>
      <c r="AB367" s="1709"/>
      <c r="AC367" s="1709"/>
      <c r="AD367" s="1709"/>
      <c r="AE367" s="1709"/>
      <c r="AF367" s="1709"/>
      <c r="AG367" s="1709"/>
    </row>
    <row r="368" spans="17:33" s="1704" customFormat="1">
      <c r="Q368" s="1709"/>
      <c r="R368" s="1709"/>
      <c r="U368" s="1709"/>
      <c r="V368" s="1709"/>
      <c r="W368" s="1709"/>
      <c r="X368" s="1709"/>
      <c r="Y368" s="1709"/>
      <c r="Z368" s="1709"/>
      <c r="AA368" s="1709"/>
      <c r="AB368" s="1709"/>
      <c r="AC368" s="1709"/>
      <c r="AD368" s="1709"/>
      <c r="AE368" s="1709"/>
      <c r="AF368" s="1709"/>
      <c r="AG368" s="1709"/>
    </row>
    <row r="369" spans="17:33" s="1704" customFormat="1">
      <c r="Q369" s="1709"/>
      <c r="R369" s="1709"/>
      <c r="U369" s="1709"/>
      <c r="V369" s="1709"/>
      <c r="W369" s="1709"/>
      <c r="X369" s="1709"/>
      <c r="Y369" s="1709"/>
      <c r="Z369" s="1709"/>
      <c r="AA369" s="1709"/>
      <c r="AB369" s="1709"/>
      <c r="AC369" s="1709"/>
      <c r="AD369" s="1709"/>
      <c r="AE369" s="1709"/>
      <c r="AF369" s="1709"/>
      <c r="AG369" s="1709"/>
    </row>
    <row r="370" spans="17:33" s="1704" customFormat="1">
      <c r="Q370" s="1709"/>
      <c r="R370" s="1709"/>
      <c r="U370" s="1709"/>
      <c r="V370" s="1709"/>
      <c r="W370" s="1709"/>
      <c r="X370" s="1709"/>
      <c r="Y370" s="1709"/>
      <c r="Z370" s="1709"/>
      <c r="AA370" s="1709"/>
      <c r="AB370" s="1709"/>
      <c r="AC370" s="1709"/>
      <c r="AD370" s="1709"/>
      <c r="AE370" s="1709"/>
      <c r="AF370" s="1709"/>
      <c r="AG370" s="1709"/>
    </row>
    <row r="371" spans="17:33" s="1704" customFormat="1">
      <c r="Q371" s="1709"/>
      <c r="R371" s="1709"/>
      <c r="U371" s="1709"/>
      <c r="V371" s="1709"/>
      <c r="W371" s="1709"/>
      <c r="X371" s="1709"/>
      <c r="Y371" s="1709"/>
      <c r="Z371" s="1709"/>
      <c r="AA371" s="1709"/>
      <c r="AB371" s="1709"/>
      <c r="AC371" s="1709"/>
      <c r="AD371" s="1709"/>
      <c r="AE371" s="1709"/>
      <c r="AF371" s="1709"/>
      <c r="AG371" s="1709"/>
    </row>
    <row r="372" spans="17:33" s="1704" customFormat="1">
      <c r="Q372" s="1709"/>
      <c r="R372" s="1709"/>
      <c r="U372" s="1709"/>
      <c r="V372" s="1709"/>
      <c r="W372" s="1709"/>
      <c r="X372" s="1709"/>
      <c r="Y372" s="1709"/>
      <c r="Z372" s="1709"/>
      <c r="AA372" s="1709"/>
      <c r="AB372" s="1709"/>
      <c r="AC372" s="1709"/>
      <c r="AD372" s="1709"/>
      <c r="AE372" s="1709"/>
      <c r="AF372" s="1709"/>
      <c r="AG372" s="1709"/>
    </row>
    <row r="373" spans="17:33" s="1704" customFormat="1">
      <c r="Q373" s="1709"/>
      <c r="R373" s="1709"/>
      <c r="U373" s="1709"/>
      <c r="V373" s="1709"/>
      <c r="W373" s="1709"/>
      <c r="X373" s="1709"/>
      <c r="Y373" s="1709"/>
      <c r="Z373" s="1709"/>
      <c r="AA373" s="1709"/>
      <c r="AB373" s="1709"/>
      <c r="AC373" s="1709"/>
      <c r="AD373" s="1709"/>
      <c r="AE373" s="1709"/>
      <c r="AF373" s="1709"/>
      <c r="AG373" s="1709"/>
    </row>
    <row r="374" spans="17:33" s="1704" customFormat="1">
      <c r="Q374" s="1709"/>
      <c r="R374" s="1709"/>
      <c r="U374" s="1709"/>
      <c r="V374" s="1709"/>
      <c r="W374" s="1709"/>
      <c r="X374" s="1709"/>
      <c r="Y374" s="1709"/>
      <c r="Z374" s="1709"/>
      <c r="AA374" s="1709"/>
      <c r="AB374" s="1709"/>
      <c r="AC374" s="1709"/>
      <c r="AD374" s="1709"/>
      <c r="AE374" s="1709"/>
      <c r="AF374" s="1709"/>
      <c r="AG374" s="1709"/>
    </row>
    <row r="375" spans="17:33" s="1704" customFormat="1">
      <c r="Q375" s="1709"/>
      <c r="R375" s="1709"/>
      <c r="U375" s="1709"/>
      <c r="V375" s="1709"/>
      <c r="W375" s="1709"/>
      <c r="X375" s="1709"/>
      <c r="Y375" s="1709"/>
      <c r="Z375" s="1709"/>
      <c r="AA375" s="1709"/>
      <c r="AB375" s="1709"/>
      <c r="AC375" s="1709"/>
      <c r="AD375" s="1709"/>
      <c r="AE375" s="1709"/>
      <c r="AF375" s="1709"/>
      <c r="AG375" s="1709"/>
    </row>
    <row r="376" spans="17:33" s="1704" customFormat="1">
      <c r="Q376" s="1709"/>
      <c r="R376" s="1709"/>
      <c r="U376" s="1709"/>
      <c r="V376" s="1709"/>
      <c r="W376" s="1709"/>
      <c r="X376" s="1709"/>
      <c r="Y376" s="1709"/>
      <c r="Z376" s="1709"/>
      <c r="AA376" s="1709"/>
      <c r="AB376" s="1709"/>
      <c r="AC376" s="1709"/>
      <c r="AD376" s="1709"/>
      <c r="AE376" s="1709"/>
      <c r="AF376" s="1709"/>
      <c r="AG376" s="1709"/>
    </row>
    <row r="377" spans="17:33" s="1704" customFormat="1">
      <c r="Q377" s="1709"/>
      <c r="R377" s="1709"/>
      <c r="U377" s="1709"/>
      <c r="V377" s="1709"/>
      <c r="W377" s="1709"/>
      <c r="X377" s="1709"/>
      <c r="Y377" s="1709"/>
      <c r="Z377" s="1709"/>
      <c r="AA377" s="1709"/>
      <c r="AB377" s="1709"/>
      <c r="AC377" s="1709"/>
      <c r="AD377" s="1709"/>
      <c r="AE377" s="1709"/>
      <c r="AF377" s="1709"/>
      <c r="AG377" s="1709"/>
    </row>
    <row r="378" spans="17:33" s="1704" customFormat="1">
      <c r="Q378" s="1709"/>
      <c r="R378" s="1709"/>
      <c r="U378" s="1709"/>
      <c r="V378" s="1709"/>
      <c r="W378" s="1709"/>
      <c r="X378" s="1709"/>
      <c r="Y378" s="1709"/>
      <c r="Z378" s="1709"/>
      <c r="AA378" s="1709"/>
      <c r="AB378" s="1709"/>
      <c r="AC378" s="1709"/>
      <c r="AD378" s="1709"/>
      <c r="AE378" s="1709"/>
      <c r="AF378" s="1709"/>
      <c r="AG378" s="1709"/>
    </row>
    <row r="379" spans="17:33" s="1704" customFormat="1">
      <c r="Q379" s="1709"/>
      <c r="R379" s="1709"/>
      <c r="U379" s="1709"/>
      <c r="V379" s="1709"/>
      <c r="W379" s="1709"/>
      <c r="X379" s="1709"/>
      <c r="Y379" s="1709"/>
      <c r="Z379" s="1709"/>
      <c r="AA379" s="1709"/>
      <c r="AB379" s="1709"/>
      <c r="AC379" s="1709"/>
      <c r="AD379" s="1709"/>
      <c r="AE379" s="1709"/>
      <c r="AF379" s="1709"/>
      <c r="AG379" s="1709"/>
    </row>
    <row r="380" spans="17:33" s="1704" customFormat="1">
      <c r="Q380" s="1709"/>
      <c r="R380" s="1709"/>
      <c r="U380" s="1709"/>
      <c r="V380" s="1709"/>
      <c r="W380" s="1709"/>
      <c r="X380" s="1709"/>
      <c r="Y380" s="1709"/>
      <c r="Z380" s="1709"/>
      <c r="AA380" s="1709"/>
      <c r="AB380" s="1709"/>
      <c r="AC380" s="1709"/>
      <c r="AD380" s="1709"/>
      <c r="AE380" s="1709"/>
      <c r="AF380" s="1709"/>
      <c r="AG380" s="1709"/>
    </row>
    <row r="381" spans="17:33" s="1704" customFormat="1">
      <c r="Q381" s="1709"/>
      <c r="R381" s="1709"/>
      <c r="U381" s="1709"/>
      <c r="V381" s="1709"/>
      <c r="W381" s="1709"/>
      <c r="X381" s="1709"/>
      <c r="Y381" s="1709"/>
      <c r="Z381" s="1709"/>
      <c r="AA381" s="1709"/>
      <c r="AB381" s="1709"/>
      <c r="AC381" s="1709"/>
      <c r="AD381" s="1709"/>
      <c r="AE381" s="1709"/>
      <c r="AF381" s="1709"/>
      <c r="AG381" s="1709"/>
    </row>
    <row r="382" spans="17:33" s="1704" customFormat="1">
      <c r="Q382" s="1709"/>
      <c r="R382" s="1709"/>
      <c r="U382" s="1709"/>
      <c r="V382" s="1709"/>
      <c r="W382" s="1709"/>
      <c r="X382" s="1709"/>
      <c r="Y382" s="1709"/>
      <c r="Z382" s="1709"/>
      <c r="AA382" s="1709"/>
      <c r="AB382" s="1709"/>
      <c r="AC382" s="1709"/>
      <c r="AD382" s="1709"/>
      <c r="AE382" s="1709"/>
      <c r="AF382" s="1709"/>
      <c r="AG382" s="1709"/>
    </row>
    <row r="383" spans="17:33" s="1704" customFormat="1">
      <c r="Q383" s="1709"/>
      <c r="R383" s="1709"/>
      <c r="U383" s="1709"/>
      <c r="V383" s="1709"/>
      <c r="W383" s="1709"/>
      <c r="X383" s="1709"/>
      <c r="Y383" s="1709"/>
      <c r="Z383" s="1709"/>
      <c r="AA383" s="1709"/>
      <c r="AB383" s="1709"/>
      <c r="AC383" s="1709"/>
      <c r="AD383" s="1709"/>
      <c r="AE383" s="1709"/>
      <c r="AF383" s="1709"/>
      <c r="AG383" s="1709"/>
    </row>
    <row r="384" spans="17:33" s="1704" customFormat="1">
      <c r="Q384" s="1709"/>
      <c r="R384" s="1709"/>
      <c r="U384" s="1709"/>
      <c r="V384" s="1709"/>
      <c r="W384" s="1709"/>
      <c r="X384" s="1709"/>
      <c r="Y384" s="1709"/>
      <c r="Z384" s="1709"/>
      <c r="AA384" s="1709"/>
      <c r="AB384" s="1709"/>
      <c r="AC384" s="1709"/>
      <c r="AD384" s="1709"/>
      <c r="AE384" s="1709"/>
      <c r="AF384" s="1709"/>
      <c r="AG384" s="1709"/>
    </row>
    <row r="385" spans="17:33" s="1704" customFormat="1">
      <c r="Q385" s="1709"/>
      <c r="R385" s="1709"/>
      <c r="U385" s="1709"/>
      <c r="V385" s="1709"/>
      <c r="W385" s="1709"/>
      <c r="X385" s="1709"/>
      <c r="Y385" s="1709"/>
      <c r="Z385" s="1709"/>
      <c r="AA385" s="1709"/>
      <c r="AB385" s="1709"/>
      <c r="AC385" s="1709"/>
      <c r="AD385" s="1709"/>
      <c r="AE385" s="1709"/>
      <c r="AF385" s="1709"/>
      <c r="AG385" s="1709"/>
    </row>
    <row r="386" spans="17:33" s="1704" customFormat="1">
      <c r="Q386" s="1709"/>
      <c r="R386" s="1709"/>
      <c r="U386" s="1709"/>
      <c r="V386" s="1709"/>
      <c r="W386" s="1709"/>
      <c r="X386" s="1709"/>
      <c r="Y386" s="1709"/>
      <c r="Z386" s="1709"/>
      <c r="AA386" s="1709"/>
      <c r="AB386" s="1709"/>
      <c r="AC386" s="1709"/>
      <c r="AD386" s="1709"/>
      <c r="AE386" s="1709"/>
      <c r="AF386" s="1709"/>
      <c r="AG386" s="1709"/>
    </row>
    <row r="387" spans="17:33" s="1704" customFormat="1">
      <c r="Q387" s="1709"/>
      <c r="R387" s="1709"/>
      <c r="U387" s="1709"/>
      <c r="V387" s="1709"/>
      <c r="W387" s="1709"/>
      <c r="X387" s="1709"/>
      <c r="Y387" s="1709"/>
      <c r="Z387" s="1709"/>
      <c r="AA387" s="1709"/>
      <c r="AB387" s="1709"/>
      <c r="AC387" s="1709"/>
      <c r="AD387" s="1709"/>
      <c r="AE387" s="1709"/>
      <c r="AF387" s="1709"/>
      <c r="AG387" s="1709"/>
    </row>
    <row r="388" spans="17:33" s="1704" customFormat="1">
      <c r="Q388" s="1709"/>
      <c r="R388" s="1709"/>
      <c r="U388" s="1709"/>
      <c r="V388" s="1709"/>
      <c r="W388" s="1709"/>
      <c r="X388" s="1709"/>
      <c r="Y388" s="1709"/>
      <c r="Z388" s="1709"/>
      <c r="AA388" s="1709"/>
      <c r="AB388" s="1709"/>
      <c r="AC388" s="1709"/>
      <c r="AD388" s="1709"/>
      <c r="AE388" s="1709"/>
      <c r="AF388" s="1709"/>
      <c r="AG388" s="1709"/>
    </row>
    <row r="389" spans="17:33" s="1704" customFormat="1">
      <c r="Q389" s="1709"/>
      <c r="R389" s="1709"/>
      <c r="U389" s="1709"/>
      <c r="V389" s="1709"/>
      <c r="W389" s="1709"/>
      <c r="X389" s="1709"/>
      <c r="Y389" s="1709"/>
      <c r="Z389" s="1709"/>
      <c r="AA389" s="1709"/>
      <c r="AB389" s="1709"/>
      <c r="AC389" s="1709"/>
      <c r="AD389" s="1709"/>
      <c r="AE389" s="1709"/>
      <c r="AF389" s="1709"/>
      <c r="AG389" s="1709"/>
    </row>
    <row r="390" spans="17:33" s="1704" customFormat="1">
      <c r="Q390" s="1709"/>
      <c r="R390" s="1709"/>
      <c r="U390" s="1709"/>
      <c r="V390" s="1709"/>
      <c r="W390" s="1709"/>
      <c r="X390" s="1709"/>
      <c r="Y390" s="1709"/>
      <c r="Z390" s="1709"/>
      <c r="AA390" s="1709"/>
      <c r="AB390" s="1709"/>
      <c r="AC390" s="1709"/>
      <c r="AD390" s="1709"/>
      <c r="AE390" s="1709"/>
      <c r="AF390" s="1709"/>
      <c r="AG390" s="1709"/>
    </row>
    <row r="391" spans="17:33" s="1704" customFormat="1">
      <c r="Q391" s="1709"/>
      <c r="R391" s="1709"/>
      <c r="U391" s="1709"/>
      <c r="V391" s="1709"/>
      <c r="W391" s="1709"/>
      <c r="X391" s="1709"/>
      <c r="Y391" s="1709"/>
      <c r="Z391" s="1709"/>
      <c r="AA391" s="1709"/>
      <c r="AB391" s="1709"/>
      <c r="AC391" s="1709"/>
      <c r="AD391" s="1709"/>
      <c r="AE391" s="1709"/>
      <c r="AF391" s="1709"/>
      <c r="AG391" s="1709"/>
    </row>
    <row r="392" spans="17:33" s="1704" customFormat="1">
      <c r="Q392" s="1709"/>
      <c r="R392" s="1709"/>
      <c r="U392" s="1709"/>
      <c r="V392" s="1709"/>
      <c r="W392" s="1709"/>
      <c r="X392" s="1709"/>
      <c r="Y392" s="1709"/>
      <c r="Z392" s="1709"/>
      <c r="AA392" s="1709"/>
      <c r="AB392" s="1709"/>
      <c r="AC392" s="1709"/>
      <c r="AD392" s="1709"/>
      <c r="AE392" s="1709"/>
      <c r="AF392" s="1709"/>
      <c r="AG392" s="1709"/>
    </row>
    <row r="393" spans="17:33" s="1704" customFormat="1">
      <c r="Q393" s="1709"/>
      <c r="R393" s="1709"/>
      <c r="U393" s="1709"/>
      <c r="V393" s="1709"/>
      <c r="W393" s="1709"/>
      <c r="X393" s="1709"/>
      <c r="Y393" s="1709"/>
      <c r="Z393" s="1709"/>
      <c r="AA393" s="1709"/>
      <c r="AB393" s="1709"/>
      <c r="AC393" s="1709"/>
      <c r="AD393" s="1709"/>
      <c r="AE393" s="1709"/>
      <c r="AF393" s="1709"/>
      <c r="AG393" s="1709"/>
    </row>
    <row r="394" spans="17:33" s="1704" customFormat="1">
      <c r="Q394" s="1709"/>
      <c r="R394" s="1709"/>
      <c r="U394" s="1709"/>
      <c r="V394" s="1709"/>
      <c r="W394" s="1709"/>
      <c r="X394" s="1709"/>
      <c r="Y394" s="1709"/>
      <c r="Z394" s="1709"/>
      <c r="AA394" s="1709"/>
      <c r="AB394" s="1709"/>
      <c r="AC394" s="1709"/>
      <c r="AD394" s="1709"/>
      <c r="AE394" s="1709"/>
      <c r="AF394" s="1709"/>
      <c r="AG394" s="1709"/>
    </row>
    <row r="395" spans="17:33" s="1704" customFormat="1">
      <c r="Q395" s="1709"/>
      <c r="R395" s="1709"/>
      <c r="U395" s="1709"/>
      <c r="V395" s="1709"/>
      <c r="W395" s="1709"/>
      <c r="X395" s="1709"/>
      <c r="Y395" s="1709"/>
      <c r="Z395" s="1709"/>
      <c r="AA395" s="1709"/>
      <c r="AB395" s="1709"/>
      <c r="AC395" s="1709"/>
      <c r="AD395" s="1709"/>
      <c r="AE395" s="1709"/>
      <c r="AF395" s="1709"/>
      <c r="AG395" s="1709"/>
    </row>
    <row r="396" spans="17:33" s="1704" customFormat="1">
      <c r="Q396" s="1709"/>
      <c r="R396" s="1709"/>
      <c r="U396" s="1709"/>
      <c r="V396" s="1709"/>
      <c r="W396" s="1709"/>
      <c r="X396" s="1709"/>
      <c r="Y396" s="1709"/>
      <c r="Z396" s="1709"/>
      <c r="AA396" s="1709"/>
      <c r="AB396" s="1709"/>
      <c r="AC396" s="1709"/>
      <c r="AD396" s="1709"/>
      <c r="AE396" s="1709"/>
      <c r="AF396" s="1709"/>
      <c r="AG396" s="1709"/>
    </row>
    <row r="397" spans="17:33" s="1704" customFormat="1">
      <c r="Q397" s="1709"/>
      <c r="R397" s="1709"/>
      <c r="U397" s="1709"/>
      <c r="V397" s="1709"/>
      <c r="W397" s="1709"/>
      <c r="X397" s="1709"/>
      <c r="Y397" s="1709"/>
      <c r="Z397" s="1709"/>
      <c r="AA397" s="1709"/>
      <c r="AB397" s="1709"/>
      <c r="AC397" s="1709"/>
      <c r="AD397" s="1709"/>
      <c r="AE397" s="1709"/>
      <c r="AF397" s="1709"/>
      <c r="AG397" s="1709"/>
    </row>
    <row r="398" spans="17:33" s="1704" customFormat="1">
      <c r="Q398" s="1709"/>
      <c r="R398" s="1709"/>
      <c r="U398" s="1709"/>
      <c r="V398" s="1709"/>
      <c r="W398" s="1709"/>
      <c r="X398" s="1709"/>
      <c r="Y398" s="1709"/>
      <c r="Z398" s="1709"/>
      <c r="AA398" s="1709"/>
      <c r="AB398" s="1709"/>
      <c r="AC398" s="1709"/>
      <c r="AD398" s="1709"/>
      <c r="AE398" s="1709"/>
      <c r="AF398" s="1709"/>
      <c r="AG398" s="1709"/>
    </row>
    <row r="399" spans="17:33" s="1704" customFormat="1">
      <c r="Q399" s="1709"/>
      <c r="R399" s="1709"/>
      <c r="U399" s="1709"/>
      <c r="V399" s="1709"/>
      <c r="W399" s="1709"/>
      <c r="X399" s="1709"/>
      <c r="Y399" s="1709"/>
      <c r="Z399" s="1709"/>
      <c r="AA399" s="1709"/>
      <c r="AB399" s="1709"/>
      <c r="AC399" s="1709"/>
      <c r="AD399" s="1709"/>
      <c r="AE399" s="1709"/>
      <c r="AF399" s="1709"/>
      <c r="AG399" s="1709"/>
    </row>
    <row r="400" spans="17:33" s="1704" customFormat="1">
      <c r="Q400" s="1709"/>
      <c r="R400" s="1709"/>
      <c r="U400" s="1709"/>
      <c r="V400" s="1709"/>
      <c r="W400" s="1709"/>
      <c r="X400" s="1709"/>
      <c r="Y400" s="1709"/>
      <c r="Z400" s="1709"/>
      <c r="AA400" s="1709"/>
      <c r="AB400" s="1709"/>
      <c r="AC400" s="1709"/>
      <c r="AD400" s="1709"/>
      <c r="AE400" s="1709"/>
      <c r="AF400" s="1709"/>
      <c r="AG400" s="1709"/>
    </row>
    <row r="401" spans="2:33" s="1704" customFormat="1">
      <c r="Q401" s="1709"/>
      <c r="R401" s="1709"/>
      <c r="U401" s="1709"/>
      <c r="V401" s="1709"/>
      <c r="W401" s="1709"/>
      <c r="X401" s="1709"/>
      <c r="Y401" s="1709"/>
      <c r="Z401" s="1709"/>
      <c r="AA401" s="1709"/>
      <c r="AB401" s="1709"/>
      <c r="AC401" s="1709"/>
      <c r="AD401" s="1709"/>
      <c r="AE401" s="1709"/>
      <c r="AF401" s="1709"/>
      <c r="AG401" s="1709"/>
    </row>
    <row r="402" spans="2:33" s="1704" customFormat="1">
      <c r="Q402" s="1709"/>
      <c r="R402" s="1709"/>
      <c r="U402" s="1709"/>
      <c r="V402" s="1709"/>
      <c r="W402" s="1709"/>
      <c r="X402" s="1709"/>
      <c r="Y402" s="1709"/>
      <c r="Z402" s="1709"/>
      <c r="AA402" s="1709"/>
      <c r="AB402" s="1709"/>
      <c r="AC402" s="1709"/>
      <c r="AD402" s="1709"/>
      <c r="AE402" s="1709"/>
      <c r="AF402" s="1709"/>
      <c r="AG402" s="1709"/>
    </row>
    <row r="403" spans="2:33" s="1704" customFormat="1">
      <c r="Q403" s="1709"/>
      <c r="R403" s="1709"/>
      <c r="U403" s="1709"/>
      <c r="V403" s="1709"/>
      <c r="W403" s="1709"/>
      <c r="X403" s="1709"/>
      <c r="Y403" s="1709"/>
      <c r="Z403" s="1709"/>
      <c r="AA403" s="1709"/>
      <c r="AB403" s="1709"/>
      <c r="AC403" s="1709"/>
      <c r="AD403" s="1709"/>
      <c r="AE403" s="1709"/>
      <c r="AF403" s="1709"/>
      <c r="AG403" s="1709"/>
    </row>
    <row r="404" spans="2:33" s="1704" customFormat="1">
      <c r="B404" s="232"/>
      <c r="Q404" s="1709"/>
      <c r="R404" s="1709"/>
      <c r="U404" s="1709"/>
      <c r="V404" s="1709"/>
      <c r="W404" s="1709"/>
      <c r="X404" s="1709"/>
      <c r="Y404" s="1709"/>
      <c r="Z404" s="1709"/>
      <c r="AA404" s="1709"/>
      <c r="AB404" s="1709"/>
      <c r="AC404" s="1709"/>
      <c r="AD404" s="1709"/>
      <c r="AE404" s="1709"/>
      <c r="AF404" s="1709"/>
      <c r="AG404" s="1709"/>
    </row>
    <row r="405" spans="2:33" s="1704" customFormat="1">
      <c r="B405" s="232"/>
      <c r="Q405" s="1709"/>
      <c r="R405" s="1709"/>
      <c r="U405" s="1709"/>
      <c r="V405" s="1709"/>
      <c r="W405" s="1709"/>
      <c r="X405" s="1709"/>
      <c r="Y405" s="1709"/>
      <c r="Z405" s="1709"/>
      <c r="AA405" s="1709"/>
      <c r="AB405" s="1709"/>
      <c r="AC405" s="1709"/>
      <c r="AD405" s="1709"/>
      <c r="AE405" s="1709"/>
      <c r="AF405" s="1709"/>
      <c r="AG405" s="1709"/>
    </row>
  </sheetData>
  <sheetProtection algorithmName="SHA-512" hashValue="gHlGdI/VpopFHO18Dm2wZ0UxTDm6qGIGLxq/xO5X1800N+gn/dY6DIE8v4QXmRN3LR5ZRV9dnlImOpa8+p92UA==" saltValue="bdQk/u8+NZtP4XZL1V/Rag==" spinCount="100000" sheet="1" objects="1" scenarios="1" formatCells="0" formatColumns="0" formatRows="0"/>
  <protectedRanges>
    <protectedRange sqref="H123:I123" name="Plage2" securityDescriptor="O:WDG:WDD:(A;;CC;;;WD)"/>
  </protectedRanges>
  <mergeCells count="78">
    <mergeCell ref="K126:N127"/>
    <mergeCell ref="D28:H28"/>
    <mergeCell ref="D29:H29"/>
    <mergeCell ref="D26:H26"/>
    <mergeCell ref="D14:H14"/>
    <mergeCell ref="D15:H15"/>
    <mergeCell ref="D16:H16"/>
    <mergeCell ref="D22:H22"/>
    <mergeCell ref="D23:H23"/>
    <mergeCell ref="N43:P43"/>
    <mergeCell ref="N94:O94"/>
    <mergeCell ref="J43:L43"/>
    <mergeCell ref="J29:L29"/>
    <mergeCell ref="K91:L92"/>
    <mergeCell ref="R43:T43"/>
    <mergeCell ref="J42:T42"/>
    <mergeCell ref="N13:P13"/>
    <mergeCell ref="N14:P14"/>
    <mergeCell ref="N15:P15"/>
    <mergeCell ref="N16:P16"/>
    <mergeCell ref="J22:L22"/>
    <mergeCell ref="N22:P22"/>
    <mergeCell ref="J13:L13"/>
    <mergeCell ref="J14:L14"/>
    <mergeCell ref="J15:L15"/>
    <mergeCell ref="N29:P29"/>
    <mergeCell ref="J30:L30"/>
    <mergeCell ref="N30:P30"/>
    <mergeCell ref="N31:P31"/>
    <mergeCell ref="J31:L31"/>
    <mergeCell ref="AF11:AG11"/>
    <mergeCell ref="AF10:AG10"/>
    <mergeCell ref="AF19:AG19"/>
    <mergeCell ref="AF20:AG20"/>
    <mergeCell ref="B27:C27"/>
    <mergeCell ref="B23:C23"/>
    <mergeCell ref="B24:C24"/>
    <mergeCell ref="B25:C25"/>
    <mergeCell ref="B26:C26"/>
    <mergeCell ref="W12:Y12"/>
    <mergeCell ref="W21:Y21"/>
    <mergeCell ref="D13:H13"/>
    <mergeCell ref="D24:H24"/>
    <mergeCell ref="J27:L27"/>
    <mergeCell ref="D27:H27"/>
    <mergeCell ref="D25:H25"/>
    <mergeCell ref="B28:C28"/>
    <mergeCell ref="AF42:AG42"/>
    <mergeCell ref="AF43:AG43"/>
    <mergeCell ref="J16:L16"/>
    <mergeCell ref="J23:L23"/>
    <mergeCell ref="N23:P23"/>
    <mergeCell ref="J24:L24"/>
    <mergeCell ref="N24:P24"/>
    <mergeCell ref="J25:L25"/>
    <mergeCell ref="N25:P25"/>
    <mergeCell ref="J26:L26"/>
    <mergeCell ref="N26:P26"/>
    <mergeCell ref="N27:P27"/>
    <mergeCell ref="J28:L28"/>
    <mergeCell ref="N28:P28"/>
    <mergeCell ref="B22:C22"/>
    <mergeCell ref="R49:T53"/>
    <mergeCell ref="N49:P53"/>
    <mergeCell ref="E90:G90"/>
    <mergeCell ref="J49:L53"/>
    <mergeCell ref="H123:K123"/>
    <mergeCell ref="K95:L96"/>
    <mergeCell ref="B29:C29"/>
    <mergeCell ref="B30:C30"/>
    <mergeCell ref="B31:C31"/>
    <mergeCell ref="B53:C53"/>
    <mergeCell ref="D30:H30"/>
    <mergeCell ref="D31:H31"/>
    <mergeCell ref="B51:C51"/>
    <mergeCell ref="B52:C52"/>
    <mergeCell ref="E43:E44"/>
    <mergeCell ref="G43:G44"/>
  </mergeCells>
  <conditionalFormatting sqref="D56:I58">
    <cfRule type="expression" dxfId="22" priority="8">
      <formula>Nlang&gt;1</formula>
    </cfRule>
  </conditionalFormatting>
  <conditionalFormatting sqref="AJ13">
    <cfRule type="expression" dxfId="21" priority="7">
      <formula>Nlang&gt;1</formula>
    </cfRule>
  </conditionalFormatting>
  <conditionalFormatting sqref="AJ14:AJ16">
    <cfRule type="expression" dxfId="20" priority="6">
      <formula>Nlang&gt;1</formula>
    </cfRule>
  </conditionalFormatting>
  <conditionalFormatting sqref="AL13:AL16">
    <cfRule type="expression" dxfId="19" priority="5">
      <formula>Nlang&gt;1</formula>
    </cfRule>
  </conditionalFormatting>
  <conditionalFormatting sqref="AN13:AN16">
    <cfRule type="expression" dxfId="18" priority="4">
      <formula>Nlang&gt;1</formula>
    </cfRule>
  </conditionalFormatting>
  <conditionalFormatting sqref="AJ22:AJ31">
    <cfRule type="expression" dxfId="17" priority="3">
      <formula>Nlang&gt;1</formula>
    </cfRule>
  </conditionalFormatting>
  <conditionalFormatting sqref="AL22:AL31">
    <cfRule type="expression" dxfId="16" priority="2">
      <formula>Nlang&gt;1</formula>
    </cfRule>
  </conditionalFormatting>
  <conditionalFormatting sqref="AN22:AN31">
    <cfRule type="expression" dxfId="15" priority="1">
      <formula>Nlang&gt;1</formula>
    </cfRule>
  </conditionalFormatting>
  <dataValidations count="8">
    <dataValidation type="list" allowBlank="1" showInputMessage="1" showErrorMessage="1" sqref="R13:R16 T13:T16 R22:R31 T22:T31">
      <formula1>YES_NO</formula1>
    </dataValidation>
    <dataValidation type="list" allowBlank="1" showInputMessage="1" showErrorMessage="1" sqref="D22:D31 J22:J31 D13:D16 N22:N31 J13:J16 N13:N16">
      <formula1>grassland_type</formula1>
    </dataValidation>
    <dataValidation type="whole" allowBlank="1" showInputMessage="1" showErrorMessage="1" sqref="S13:S16 U13:U16 S22:S31 U22:U31">
      <formula1>1</formula1>
      <formula2>1000</formula2>
    </dataValidation>
    <dataValidation type="list" allowBlank="1" showInputMessage="1" showErrorMessage="1" sqref="B51:B53">
      <formula1>Livestocks</formula1>
    </dataValidation>
    <dataValidation type="decimal" allowBlank="1" showInputMessage="1" showErrorMessage="1" sqref="J45:L48 R45:T48 N45:P48 L130:L138">
      <formula1>0</formula1>
      <formula2>1</formula2>
    </dataValidation>
    <dataValidation type="list" allowBlank="1" showInputMessage="1" showErrorMessage="1" sqref="AC22:AC31 AE22:AE31 F45:F53 H45:H53">
      <formula1>dyn_simple</formula1>
    </dataValidation>
    <dataValidation type="decimal" operator="greaterThanOrEqual" allowBlank="1" showInputMessage="1" showErrorMessage="1" sqref="E130:E138 T123:T124 R130:R138 O96 G92:G96 O92 C124 G130:G138 N130:N138 T130:T138">
      <formula1>0</formula1>
    </dataValidation>
    <dataValidation type="list" allowBlank="1" showInputMessage="1" showErrorMessage="1" sqref="H123">
      <formula1>country_type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2"/>
    <pageSetUpPr fitToPage="1"/>
  </sheetPr>
  <dimension ref="A1:BB72"/>
  <sheetViews>
    <sheetView topLeftCell="A4" zoomScale="60" zoomScaleNormal="60" workbookViewId="0">
      <selection activeCell="M29" sqref="M29"/>
    </sheetView>
  </sheetViews>
  <sheetFormatPr defaultColWidth="11.42578125" defaultRowHeight="12.75"/>
  <cols>
    <col min="1" max="1" width="17.14062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13.85546875" style="233" customWidth="1"/>
    <col min="8" max="8" width="13.28515625" style="233" customWidth="1"/>
    <col min="9" max="9" width="11.5703125" style="234" customWidth="1"/>
    <col min="10" max="10" width="14.42578125" style="234" customWidth="1"/>
    <col min="11" max="11" width="10" style="233" customWidth="1"/>
    <col min="12" max="12" width="12" style="233" customWidth="1"/>
    <col min="13" max="13" width="9.42578125" style="233" customWidth="1"/>
    <col min="14" max="14" width="11" style="233" customWidth="1"/>
    <col min="15" max="15" width="9.42578125" style="234" customWidth="1"/>
    <col min="16" max="16" width="11.85546875" style="233" customWidth="1"/>
    <col min="17" max="17" width="9.42578125" style="234" customWidth="1"/>
    <col min="18" max="18" width="10.5703125" style="234" customWidth="1"/>
    <col min="19" max="19" width="12.5703125" style="234" customWidth="1"/>
    <col min="20" max="20" width="12.5703125" style="233" customWidth="1"/>
    <col min="21" max="21" width="9.28515625" style="233" customWidth="1"/>
    <col min="22" max="22" width="10.42578125" style="234" customWidth="1"/>
    <col min="23" max="24" width="9.28515625" style="234" customWidth="1"/>
    <col min="25" max="25" width="8" style="234" customWidth="1"/>
    <col min="26" max="26" width="13.28515625" style="233" customWidth="1"/>
    <col min="27" max="30" width="9.140625" style="739" customWidth="1"/>
    <col min="31" max="31" width="9.140625" style="1069" customWidth="1"/>
    <col min="32" max="48" width="11.42578125" style="2403"/>
    <col min="49" max="16384" width="11.42578125" style="233"/>
  </cols>
  <sheetData>
    <row r="1" spans="1:48" s="1644" customFormat="1" ht="22.9" customHeight="1">
      <c r="I1" s="1648"/>
      <c r="J1" s="1648"/>
      <c r="O1" s="1648"/>
      <c r="Q1" s="1648"/>
      <c r="R1" s="1648"/>
      <c r="S1" s="1648"/>
      <c r="V1" s="1648"/>
      <c r="W1" s="1648"/>
      <c r="X1" s="1648"/>
      <c r="Y1" s="1648"/>
      <c r="AA1" s="1692"/>
      <c r="AB1" s="1692"/>
      <c r="AC1" s="1692"/>
      <c r="AD1" s="1692"/>
      <c r="AE1" s="1691"/>
      <c r="AF1" s="2401"/>
      <c r="AG1" s="2401"/>
      <c r="AH1" s="2401"/>
      <c r="AI1" s="2401"/>
      <c r="AJ1" s="2401"/>
      <c r="AK1" s="2401"/>
      <c r="AL1" s="2401"/>
      <c r="AM1" s="2401"/>
      <c r="AN1" s="2401"/>
      <c r="AO1" s="2401"/>
      <c r="AP1" s="2401"/>
      <c r="AQ1" s="2401"/>
      <c r="AR1" s="2401"/>
      <c r="AS1" s="2401"/>
      <c r="AT1" s="2401"/>
      <c r="AU1" s="2401"/>
      <c r="AV1" s="2401"/>
    </row>
    <row r="2" spans="1:48" s="1644" customFormat="1" ht="22.9" customHeight="1">
      <c r="I2" s="1648"/>
      <c r="J2" s="1648"/>
      <c r="O2" s="1648"/>
      <c r="Q2" s="1648"/>
      <c r="R2" s="1648"/>
      <c r="S2" s="1648"/>
      <c r="V2" s="1648"/>
      <c r="W2" s="1648"/>
      <c r="X2" s="1648"/>
      <c r="Y2" s="1648"/>
      <c r="AA2" s="1692"/>
      <c r="AB2" s="1692"/>
      <c r="AC2" s="1692"/>
      <c r="AD2" s="1692"/>
      <c r="AE2" s="1691"/>
      <c r="AF2" s="2401"/>
      <c r="AG2" s="2401"/>
      <c r="AH2" s="2401"/>
      <c r="AI2" s="2401"/>
      <c r="AJ2" s="2401"/>
      <c r="AK2" s="2401"/>
      <c r="AL2" s="2401"/>
      <c r="AM2" s="2401"/>
      <c r="AN2" s="2401"/>
      <c r="AO2" s="2401"/>
      <c r="AP2" s="2401"/>
      <c r="AQ2" s="2401"/>
      <c r="AR2" s="2401"/>
      <c r="AS2" s="2401"/>
      <c r="AT2" s="2401"/>
      <c r="AU2" s="2401"/>
      <c r="AV2" s="2401"/>
    </row>
    <row r="3" spans="1:48" s="1644" customFormat="1" ht="22.9" customHeight="1">
      <c r="I3" s="1648"/>
      <c r="J3" s="1648"/>
      <c r="O3" s="1648"/>
      <c r="Q3" s="1648"/>
      <c r="R3" s="1648"/>
      <c r="S3" s="1648"/>
      <c r="V3" s="1648"/>
      <c r="W3" s="1648"/>
      <c r="X3" s="1648"/>
      <c r="Y3" s="1648"/>
      <c r="AA3" s="1692"/>
      <c r="AB3" s="1692"/>
      <c r="AC3" s="1692"/>
      <c r="AD3" s="1692"/>
      <c r="AE3" s="1691"/>
      <c r="AF3" s="2401"/>
      <c r="AG3" s="2401"/>
      <c r="AH3" s="2401"/>
      <c r="AI3" s="2401"/>
      <c r="AJ3" s="2401"/>
      <c r="AK3" s="2401"/>
      <c r="AL3" s="2401"/>
      <c r="AM3" s="2401"/>
      <c r="AN3" s="2401"/>
      <c r="AO3" s="2401"/>
      <c r="AP3" s="2401"/>
      <c r="AQ3" s="2401"/>
      <c r="AR3" s="2401"/>
      <c r="AS3" s="2401"/>
      <c r="AT3" s="2401"/>
      <c r="AU3" s="2401"/>
      <c r="AV3" s="2401"/>
    </row>
    <row r="4" spans="1:48" s="1644" customFormat="1" ht="22.9" customHeight="1">
      <c r="I4" s="1648"/>
      <c r="J4" s="1648"/>
      <c r="O4" s="1648"/>
      <c r="Q4" s="1648"/>
      <c r="R4" s="1648"/>
      <c r="S4" s="1648"/>
      <c r="V4" s="1648"/>
      <c r="W4" s="1648"/>
      <c r="X4" s="1648"/>
      <c r="Y4" s="1648"/>
      <c r="AA4" s="1692"/>
      <c r="AB4" s="1692"/>
      <c r="AC4" s="1692"/>
      <c r="AD4" s="1692"/>
      <c r="AE4" s="1691"/>
      <c r="AF4" s="2401"/>
      <c r="AG4" s="2401"/>
      <c r="AH4" s="2401"/>
      <c r="AI4" s="2401"/>
      <c r="AJ4" s="2401"/>
      <c r="AK4" s="2401"/>
      <c r="AL4" s="2401"/>
      <c r="AM4" s="2401"/>
      <c r="AN4" s="2401"/>
      <c r="AO4" s="2401"/>
      <c r="AP4" s="2401"/>
      <c r="AQ4" s="2401"/>
      <c r="AR4" s="2401"/>
      <c r="AS4" s="2401"/>
      <c r="AT4" s="2401"/>
      <c r="AU4" s="2401"/>
      <c r="AV4" s="2401"/>
    </row>
    <row r="5" spans="1:48" s="1644" customFormat="1" ht="22.9" customHeight="1">
      <c r="A5" s="1645" t="s">
        <v>187</v>
      </c>
      <c r="B5" s="1645"/>
      <c r="F5" s="3817" t="s">
        <v>470</v>
      </c>
      <c r="G5" s="3817"/>
      <c r="I5" s="1648"/>
      <c r="J5" s="1648"/>
      <c r="O5" s="1648"/>
      <c r="Q5" s="1648"/>
      <c r="R5" s="1648"/>
      <c r="S5" s="1648"/>
      <c r="V5" s="1648"/>
      <c r="W5" s="1648"/>
      <c r="X5" s="1648"/>
      <c r="Y5" s="1648"/>
      <c r="AA5" s="1692"/>
      <c r="AB5" s="1692"/>
      <c r="AC5" s="1692"/>
      <c r="AD5" s="1692"/>
      <c r="AE5" s="1691"/>
      <c r="AF5" s="2401"/>
      <c r="AG5" s="2401"/>
      <c r="AH5" s="2401"/>
      <c r="AI5" s="2401"/>
      <c r="AJ5" s="2401"/>
      <c r="AK5" s="2401"/>
      <c r="AL5" s="2401"/>
      <c r="AM5" s="2401"/>
      <c r="AN5" s="2401"/>
      <c r="AO5" s="2401"/>
      <c r="AP5" s="2401"/>
      <c r="AQ5" s="2401"/>
      <c r="AR5" s="2401"/>
      <c r="AS5" s="2401"/>
      <c r="AT5" s="2401"/>
      <c r="AU5" s="2401"/>
      <c r="AV5" s="2401"/>
    </row>
    <row r="6" spans="1:48">
      <c r="A6" s="239"/>
      <c r="B6" s="239"/>
      <c r="F6" s="25"/>
      <c r="AH6" s="2410"/>
      <c r="AI6" s="2410"/>
    </row>
    <row r="7" spans="1:48">
      <c r="A7" s="239"/>
      <c r="B7" s="236" t="s">
        <v>547</v>
      </c>
      <c r="C7" s="270"/>
      <c r="D7" s="270"/>
      <c r="E7" s="270"/>
      <c r="F7" s="270"/>
      <c r="G7" s="237"/>
      <c r="I7" s="3753" t="s">
        <v>186</v>
      </c>
      <c r="J7" s="3766"/>
      <c r="K7" s="3766"/>
      <c r="L7" s="3766"/>
      <c r="M7" s="3766"/>
      <c r="N7" s="3766"/>
      <c r="O7" s="3766"/>
      <c r="P7" s="3766"/>
      <c r="Q7" s="3766"/>
      <c r="R7" s="3766"/>
      <c r="S7" s="3754"/>
      <c r="T7" s="586" t="s">
        <v>535</v>
      </c>
      <c r="V7" s="537" t="s">
        <v>523</v>
      </c>
      <c r="W7" s="538"/>
      <c r="X7" s="539"/>
      <c r="AH7" s="2410"/>
      <c r="AI7" s="2410"/>
    </row>
    <row r="8" spans="1:48">
      <c r="B8" s="540" t="s">
        <v>548</v>
      </c>
      <c r="C8" s="273"/>
      <c r="D8" s="273"/>
      <c r="E8" s="273"/>
      <c r="F8" s="273"/>
      <c r="G8" s="541"/>
      <c r="I8" s="3768" t="s">
        <v>483</v>
      </c>
      <c r="J8" s="3769"/>
      <c r="K8" s="267"/>
      <c r="L8" s="3767" t="s">
        <v>494</v>
      </c>
      <c r="M8" s="3767"/>
      <c r="N8" s="267"/>
      <c r="O8" s="543" t="s">
        <v>495</v>
      </c>
      <c r="P8" s="267"/>
      <c r="Q8" s="543" t="s">
        <v>496</v>
      </c>
      <c r="R8" s="545"/>
      <c r="S8" s="546" t="s">
        <v>497</v>
      </c>
      <c r="T8" s="595" t="s">
        <v>184</v>
      </c>
      <c r="V8" s="547" t="s">
        <v>522</v>
      </c>
      <c r="W8" s="544" t="s">
        <v>332</v>
      </c>
      <c r="X8" s="548" t="s">
        <v>333</v>
      </c>
      <c r="AF8" s="2411"/>
      <c r="AG8" s="2411"/>
      <c r="AH8" s="2411"/>
      <c r="AI8" s="2411"/>
    </row>
    <row r="9" spans="1:48">
      <c r="B9" s="272"/>
      <c r="C9" s="273"/>
      <c r="D9" s="549" t="s">
        <v>480</v>
      </c>
      <c r="E9" s="550"/>
      <c r="F9" s="1285" t="s">
        <v>1048</v>
      </c>
      <c r="G9" s="551"/>
      <c r="I9" s="542" t="s">
        <v>492</v>
      </c>
      <c r="J9" s="543" t="s">
        <v>493</v>
      </c>
      <c r="K9" s="273"/>
      <c r="L9" s="543" t="s">
        <v>492</v>
      </c>
      <c r="M9" s="543" t="s">
        <v>493</v>
      </c>
      <c r="N9" s="273"/>
      <c r="O9" s="543" t="s">
        <v>493</v>
      </c>
      <c r="P9" s="273"/>
      <c r="Q9" s="543" t="s">
        <v>509</v>
      </c>
      <c r="R9" s="543"/>
      <c r="S9" s="546" t="s">
        <v>509</v>
      </c>
      <c r="T9" s="1259" t="s">
        <v>509</v>
      </c>
      <c r="V9" s="547" t="s">
        <v>524</v>
      </c>
      <c r="W9" s="97" t="s">
        <v>40</v>
      </c>
      <c r="X9" s="553"/>
      <c r="Z9" s="232"/>
      <c r="AA9" s="3133"/>
      <c r="AF9" s="2411"/>
      <c r="AG9" s="2411"/>
      <c r="AH9" s="2411"/>
      <c r="AI9" s="2411"/>
    </row>
    <row r="10" spans="1:48" ht="12.75" customHeight="1">
      <c r="A10" s="1729" t="s">
        <v>1281</v>
      </c>
      <c r="B10" s="3747" t="s">
        <v>491</v>
      </c>
      <c r="C10" s="554" t="s">
        <v>1281</v>
      </c>
      <c r="D10" s="555" t="str">
        <f>HLOOKUP(climate,' IPCC'!$B$7:$G$11,2,FALSE)</f>
        <v>Please specify the climate</v>
      </c>
      <c r="E10" s="526"/>
      <c r="F10" s="526"/>
      <c r="G10" s="527"/>
      <c r="I10" s="547">
        <f>VLOOKUP(region,' IPCC'!$A$14:$G$26,1+MATCH(forest1,' IPCC'!$B$14:$G$14,),)</f>
        <v>0</v>
      </c>
      <c r="J10" s="2119">
        <f>IF('5. Management'!H153="",'5. Management'!F153,'5. Management'!H153)</f>
        <v>0</v>
      </c>
      <c r="K10" s="267"/>
      <c r="L10" s="556">
        <f>IF(I10&gt;0,I10*VLOOKUP(forest1,' IPCC'!$A$89:$F$103,IF(I10&lt;20,2,IF(I10&lt;50,3,IF(I10&lt;75,4,IF(I10&lt;125,5,6)))),),)</f>
        <v>0</v>
      </c>
      <c r="M10" s="2120">
        <f>IF('5. Management'!L153="",'5. Management'!J153,'5. Management'!L153)</f>
        <v>0</v>
      </c>
      <c r="N10" s="267"/>
      <c r="O10" s="2119">
        <f>IF('5. Management'!P153="",'5. Management'!N153,'5. Management'!P153)</f>
        <v>0</v>
      </c>
      <c r="P10" s="267"/>
      <c r="Q10" s="2119">
        <f>IF('5. Management'!R153="",'5. Management'!Q153,'5. Management'!R153)</f>
        <v>0</v>
      </c>
      <c r="R10" s="545"/>
      <c r="S10" s="2121">
        <f>IF('5. Management'!U153="",'5. Management'!T153,'5. Management'!U153)</f>
        <v>0</v>
      </c>
      <c r="T10" s="1260">
        <f>J10+M10+O10+Q10</f>
        <v>0</v>
      </c>
      <c r="V10" s="558">
        <f>IF(forest1&lt;&gt;"",VLOOKUP(forest1,' IPCC'!$A$107:$E$122,2,),0)</f>
        <v>0</v>
      </c>
      <c r="W10" s="559">
        <f>IF(forest1&lt;&gt;"",VLOOKUP(forest1,' IPCC'!$A$107:$E$122,4,),0)</f>
        <v>0</v>
      </c>
      <c r="X10" s="560">
        <f>IF(forest1&lt;&gt;"",VLOOKUP(forest1,' IPCC'!$A$107:$E$122,5,),0)</f>
        <v>0</v>
      </c>
      <c r="AF10" s="2411"/>
      <c r="AG10" s="2411"/>
      <c r="AH10" s="2411"/>
      <c r="AI10" s="2411"/>
    </row>
    <row r="11" spans="1:48">
      <c r="A11" s="1729" t="s">
        <v>1282</v>
      </c>
      <c r="B11" s="3748"/>
      <c r="C11" s="554" t="s">
        <v>1282</v>
      </c>
      <c r="D11" s="555" t="str">
        <f>HLOOKUP(climate,' IPCC'!$B$7:$G$11,3,FALSE)</f>
        <v>Please specify the climate</v>
      </c>
      <c r="E11" s="526"/>
      <c r="F11" s="526"/>
      <c r="G11" s="527"/>
      <c r="I11" s="547">
        <f>VLOOKUP(region,' IPCC'!$A$30:$G$41,1+MATCH(forest2,' IPCC'!$B$29:$G$29,),)</f>
        <v>0</v>
      </c>
      <c r="J11" s="2119">
        <f>IF('5. Management'!H154="",'5. Management'!F154,'5. Management'!H154)</f>
        <v>0</v>
      </c>
      <c r="K11" s="267"/>
      <c r="L11" s="556">
        <f>IF(I11&gt;0,I11*VLOOKUP(forest2,' IPCC'!$A$89:$F$103,IF(I11&lt;20,2,IF(I11&lt;50,3,IF(I11&lt;75,4,IF(I11&lt;125,5,6)))),),)</f>
        <v>0</v>
      </c>
      <c r="M11" s="2120">
        <f>IF('5. Management'!L154="",'5. Management'!J154,'5. Management'!L154)</f>
        <v>0</v>
      </c>
      <c r="N11" s="267"/>
      <c r="O11" s="2119">
        <f>IF('5. Management'!P154="",'5. Management'!N154,'5. Management'!P154)</f>
        <v>0</v>
      </c>
      <c r="P11" s="267"/>
      <c r="Q11" s="2119">
        <f>IF('5. Management'!R154="",'5. Management'!Q154,'5. Management'!R154)</f>
        <v>0</v>
      </c>
      <c r="R11" s="545"/>
      <c r="S11" s="2121">
        <f>IF('5. Management'!U154="",'5. Management'!T154,'5. Management'!U154)</f>
        <v>0</v>
      </c>
      <c r="T11" s="1261">
        <f t="shared" ref="T11:T23" si="0">J11+M11+O11+Q11</f>
        <v>0</v>
      </c>
      <c r="V11" s="547">
        <f>IF(forest2&lt;&gt;"",VLOOKUP(forest2,' IPCC'!$A$107:$E$122,2,),0)</f>
        <v>0</v>
      </c>
      <c r="W11" s="545">
        <f>IF(forest2&lt;&gt;"",VLOOKUP(forest2,' IPCC'!$A$107:$E$122,4,),0)</f>
        <v>0</v>
      </c>
      <c r="X11" s="557">
        <f>IF(forest2&lt;&gt;"",VLOOKUP(forest2,' IPCC'!$A$107:$E$122,5,),0)</f>
        <v>0</v>
      </c>
      <c r="AF11" s="2411"/>
      <c r="AG11" s="2411"/>
      <c r="AH11" s="2411"/>
      <c r="AI11" s="2411"/>
    </row>
    <row r="12" spans="1:48">
      <c r="A12" s="1729" t="s">
        <v>1283</v>
      </c>
      <c r="B12" s="3748"/>
      <c r="C12" s="554" t="s">
        <v>1283</v>
      </c>
      <c r="D12" s="555" t="str">
        <f>HLOOKUP(climate,' IPCC'!$B$7:$G$11,4,FALSE)</f>
        <v>Please specify the climate</v>
      </c>
      <c r="E12" s="526"/>
      <c r="F12" s="526"/>
      <c r="G12" s="527"/>
      <c r="I12" s="547">
        <f>VLOOKUP(region,' IPCC'!$A$45:$H$56,1+MATCH(forest3,' IPCC'!$B$44:$H$44,),)</f>
        <v>0</v>
      </c>
      <c r="J12" s="2119">
        <f>IF('5. Management'!H155="",'5. Management'!F155,'5. Management'!H155)</f>
        <v>0</v>
      </c>
      <c r="K12" s="267"/>
      <c r="L12" s="556">
        <f>IF(I12&gt;0,I12*VLOOKUP(forest3,' IPCC'!$A$89:$F$103,IF(I12&lt;20,2,IF(I12&lt;50,3,IF(I12&lt;75,4,IF(I12&lt;125,5,6)))),),)</f>
        <v>0</v>
      </c>
      <c r="M12" s="2120">
        <f>IF('5. Management'!L155="",'5. Management'!J155,'5. Management'!L155)</f>
        <v>0</v>
      </c>
      <c r="N12" s="267"/>
      <c r="O12" s="2119">
        <f>IF('5. Management'!P155="",'5. Management'!N155,'5. Management'!P155)</f>
        <v>0</v>
      </c>
      <c r="P12" s="267"/>
      <c r="Q12" s="2119">
        <f>IF('5. Management'!R155="",'5. Management'!Q155,'5. Management'!R155)</f>
        <v>0</v>
      </c>
      <c r="R12" s="545"/>
      <c r="S12" s="2121">
        <f>IF('5. Management'!U155="",'5. Management'!T155,'5. Management'!U155)</f>
        <v>0</v>
      </c>
      <c r="T12" s="1261">
        <f t="shared" si="0"/>
        <v>0</v>
      </c>
      <c r="V12" s="547">
        <f>IF(forest3&lt;&gt;"",VLOOKUP(forest3,' IPCC'!$A$107:$E$122,2,),0)</f>
        <v>0</v>
      </c>
      <c r="W12" s="545">
        <f>IF(forest3&lt;&gt;"",VLOOKUP(forest3,' IPCC'!$A$107:$E$122,4,),0)</f>
        <v>0</v>
      </c>
      <c r="X12" s="557">
        <f>IF(forest3&lt;&gt;"",VLOOKUP(forest3,' IPCC'!$A$107:$E$122,5,),0)</f>
        <v>0</v>
      </c>
      <c r="AF12" s="2411"/>
      <c r="AG12" s="2411"/>
      <c r="AH12" s="2411"/>
      <c r="AI12" s="2411"/>
    </row>
    <row r="13" spans="1:48">
      <c r="A13" s="1729" t="s">
        <v>1284</v>
      </c>
      <c r="B13" s="3749"/>
      <c r="C13" s="554" t="s">
        <v>1284</v>
      </c>
      <c r="D13" s="555" t="str">
        <f>HLOOKUP(climate,' IPCC'!$B$7:$G$11,5,)</f>
        <v>Please specify the climate</v>
      </c>
      <c r="E13" s="526"/>
      <c r="F13" s="526"/>
      <c r="G13" s="527"/>
      <c r="I13" s="547">
        <f>VLOOKUP(region,' IPCC'!$A$60:$H$71,1+MATCH(forest4,' IPCC'!$B$59:$H$59,),)</f>
        <v>0</v>
      </c>
      <c r="J13" s="2119">
        <f>IF('5. Management'!H156="",'5. Management'!F156,'5. Management'!H156)</f>
        <v>0</v>
      </c>
      <c r="K13" s="267"/>
      <c r="L13" s="556">
        <f>IF(I13&gt;0,I13*VLOOKUP(forest4,' IPCC'!$A$89:$F$103,IF(I13&lt;20,2,IF(I13&lt;50,3,IF(I13&lt;75,4,IF(I13&lt;125,5,6)))),),)</f>
        <v>0</v>
      </c>
      <c r="M13" s="2120">
        <f>IF('5. Management'!L156="",'5. Management'!J156,'5. Management'!L156)</f>
        <v>0</v>
      </c>
      <c r="N13" s="267"/>
      <c r="O13" s="2119">
        <f>IF('5. Management'!P156="",'5. Management'!N156,'5. Management'!P156)</f>
        <v>0</v>
      </c>
      <c r="P13" s="267"/>
      <c r="Q13" s="2119">
        <f>IF('5. Management'!R156="",'5. Management'!Q156,'5. Management'!R156)</f>
        <v>0</v>
      </c>
      <c r="R13" s="545"/>
      <c r="S13" s="2121">
        <f>IF('5. Management'!U156="",'5. Management'!T156,'5. Management'!U156)</f>
        <v>0</v>
      </c>
      <c r="T13" s="1261">
        <f t="shared" si="0"/>
        <v>0</v>
      </c>
      <c r="V13" s="547">
        <f>IF(forest4&lt;&gt;"",VLOOKUP(forest4,' IPCC'!$A$107:$E$122,2,),0)</f>
        <v>0</v>
      </c>
      <c r="W13" s="545">
        <f>IF(forest4&lt;&gt;"",VLOOKUP(forest4,' IPCC'!$A$107:$E$122,4,),0)</f>
        <v>0</v>
      </c>
      <c r="X13" s="557">
        <f>IF(forest4&lt;&gt;"",VLOOKUP(forest4,' IPCC'!$A$107:$E$122,5,),0)</f>
        <v>0</v>
      </c>
      <c r="AF13" s="2411"/>
      <c r="AG13" s="2411"/>
      <c r="AH13" s="2411"/>
      <c r="AI13" s="2411"/>
    </row>
    <row r="14" spans="1:48">
      <c r="A14" s="1729" t="s">
        <v>1285</v>
      </c>
      <c r="B14" s="3750" t="s">
        <v>387</v>
      </c>
      <c r="C14" s="554" t="s">
        <v>1285</v>
      </c>
      <c r="D14" s="561" t="str">
        <f>HLOOKUP(climate,' IPCC'!$B$7:$G$11,2,FALSE)</f>
        <v>Please specify the climate</v>
      </c>
      <c r="E14" s="562"/>
      <c r="F14" s="562"/>
      <c r="G14" s="563"/>
      <c r="I14" s="547">
        <f>VLOOKUP(region,' IPCC'!$H$14:$N$26,1+MATCH(plantation1,' IPCC'!$I$14:$N$14,),)</f>
        <v>0</v>
      </c>
      <c r="J14" s="2119">
        <f>IF('5. Management'!H157="",'5. Management'!F157,'5. Management'!H157)</f>
        <v>0</v>
      </c>
      <c r="K14" s="267"/>
      <c r="L14" s="556">
        <f>IF(I14&gt;0,I14*VLOOKUP(plantation1,' IPCC'!$A$89:$F$103,IF(I14&lt;20,2,IF(I14&lt;50,3,IF(I14&lt;75,4,IF(I14&lt;125,5,6)))),),)</f>
        <v>0</v>
      </c>
      <c r="M14" s="2120">
        <f>IF('5. Management'!L157="",'5. Management'!J157,'5. Management'!L157)</f>
        <v>0</v>
      </c>
      <c r="N14" s="267"/>
      <c r="O14" s="2119">
        <f>IF('5. Management'!P157="",'5. Management'!N157,'5. Management'!P157)</f>
        <v>0</v>
      </c>
      <c r="P14" s="267"/>
      <c r="Q14" s="2119">
        <f>IF('5. Management'!R157="",'5. Management'!Q157,'5. Management'!R157)</f>
        <v>0</v>
      </c>
      <c r="R14" s="545"/>
      <c r="S14" s="2121">
        <f>IF('5. Management'!U157="",'5. Management'!T157,'5. Management'!U157)</f>
        <v>0</v>
      </c>
      <c r="T14" s="1261">
        <f t="shared" si="0"/>
        <v>0</v>
      </c>
      <c r="V14" s="547">
        <f>IF(plantation1&lt;&gt;"",VLOOKUP(plantation1,' IPCC'!$A$107:$E$122,2,),0)</f>
        <v>0</v>
      </c>
      <c r="W14" s="545">
        <f>IF(plantation1&lt;&gt;"",VLOOKUP(plantation1,' IPCC'!$A$107:$E$122,4,),0)</f>
        <v>0</v>
      </c>
      <c r="X14" s="557">
        <f>IF(plantation1&lt;&gt;"",VLOOKUP(plantation1,' IPCC'!$A$107:$E$122,5,),0)</f>
        <v>0</v>
      </c>
      <c r="AF14" s="2411"/>
      <c r="AG14" s="2411"/>
      <c r="AH14" s="2411"/>
      <c r="AI14" s="2411"/>
    </row>
    <row r="15" spans="1:48">
      <c r="A15" s="1729" t="s">
        <v>1286</v>
      </c>
      <c r="B15" s="3751"/>
      <c r="C15" s="554" t="s">
        <v>1286</v>
      </c>
      <c r="D15" s="555" t="str">
        <f>HLOOKUP(climate,' IPCC'!$B$7:$G$11,3,FALSE)</f>
        <v>Please specify the climate</v>
      </c>
      <c r="E15" s="526"/>
      <c r="F15" s="526"/>
      <c r="G15" s="527"/>
      <c r="I15" s="547">
        <f>VLOOKUP(region,' IPCC'!$H$30:$N$41,1+MATCH(plantation2,' IPCC'!$I$29:$N$29,),)</f>
        <v>0</v>
      </c>
      <c r="J15" s="2119">
        <f>IF('5. Management'!H158="",'5. Management'!F158,'5. Management'!H158)</f>
        <v>0</v>
      </c>
      <c r="K15" s="267"/>
      <c r="L15" s="556">
        <f>IF(I15&gt;0,I15*VLOOKUP(plantation2,' IPCC'!$A$89:$F$103,IF(I15&lt;20,2,IF(I15&lt;50,3,IF(I15&lt;75,4,IF(I15&lt;125,5,6)))),),)</f>
        <v>0</v>
      </c>
      <c r="M15" s="2120">
        <f>IF('5. Management'!L158="",'5. Management'!J158,'5. Management'!L158)</f>
        <v>0</v>
      </c>
      <c r="N15" s="267"/>
      <c r="O15" s="2119">
        <f>IF('5. Management'!P158="",'5. Management'!N158,'5. Management'!P158)</f>
        <v>0</v>
      </c>
      <c r="P15" s="267"/>
      <c r="Q15" s="2119">
        <f>IF('5. Management'!R158="",'5. Management'!Q158,'5. Management'!R158)</f>
        <v>0</v>
      </c>
      <c r="R15" s="545"/>
      <c r="S15" s="2121">
        <f>IF('5. Management'!U158="",'5. Management'!T158,'5. Management'!U158)</f>
        <v>0</v>
      </c>
      <c r="T15" s="1261">
        <f t="shared" si="0"/>
        <v>0</v>
      </c>
      <c r="V15" s="547">
        <f>IF(plantation2&lt;&gt;"",VLOOKUP(plantation2,' IPCC'!$A$107:$E$122,2,),0)</f>
        <v>0</v>
      </c>
      <c r="W15" s="545">
        <f>IF(plantation2&lt;&gt;"",VLOOKUP(plantation2,' IPCC'!$A$107:$E$122,4,),0)</f>
        <v>0</v>
      </c>
      <c r="X15" s="557">
        <f>IF(plantation2&lt;&gt;"",VLOOKUP(plantation2,' IPCC'!$A$107:$E$122,5,),0)</f>
        <v>0</v>
      </c>
      <c r="AF15" s="2411"/>
      <c r="AG15" s="2411"/>
      <c r="AH15" s="2411"/>
      <c r="AI15" s="2411"/>
    </row>
    <row r="16" spans="1:48">
      <c r="A16" s="1729" t="s">
        <v>1287</v>
      </c>
      <c r="B16" s="3751"/>
      <c r="C16" s="554" t="s">
        <v>1287</v>
      </c>
      <c r="D16" s="555" t="str">
        <f>HLOOKUP(climate,' IPCC'!$B$7:$G$11,4,FALSE)</f>
        <v>Please specify the climate</v>
      </c>
      <c r="E16" s="526"/>
      <c r="F16" s="526"/>
      <c r="G16" s="527"/>
      <c r="I16" s="547">
        <f>VLOOKUP(region,' IPCC'!$H$44:$N$56,1+MATCH(plantation3,' IPCC'!$I$44:$N$44,),)</f>
        <v>0</v>
      </c>
      <c r="J16" s="2119">
        <f>IF('5. Management'!H159="",'5. Management'!F159,'5. Management'!H159)</f>
        <v>0</v>
      </c>
      <c r="K16" s="267"/>
      <c r="L16" s="556">
        <f>IF(I16&gt;0,I16*VLOOKUP(plantation3,' IPCC'!$A$89:$F$103,IF(I16&lt;20,2,IF(I16&lt;50,3,IF(I16&lt;75,4,IF(I16&lt;125,5,6)))),),)</f>
        <v>0</v>
      </c>
      <c r="M16" s="2120">
        <f>IF('5. Management'!L159="",'5. Management'!J159,'5. Management'!L159)</f>
        <v>0</v>
      </c>
      <c r="N16" s="267"/>
      <c r="O16" s="2119">
        <f>IF('5. Management'!P159="",'5. Management'!N159,'5. Management'!P159)</f>
        <v>0</v>
      </c>
      <c r="P16" s="267"/>
      <c r="Q16" s="2119">
        <f>IF('5. Management'!R159="",'5. Management'!Q159,'5. Management'!R159)</f>
        <v>0</v>
      </c>
      <c r="R16" s="545"/>
      <c r="S16" s="2121">
        <f>IF('5. Management'!U159="",'5. Management'!T159,'5. Management'!U159)</f>
        <v>0</v>
      </c>
      <c r="T16" s="1261">
        <f t="shared" si="0"/>
        <v>0</v>
      </c>
      <c r="V16" s="547">
        <f>IF(plantation3&lt;&gt;"",VLOOKUP(plantation3,' IPCC'!$A$107:$E$122,2,),0)</f>
        <v>0</v>
      </c>
      <c r="W16" s="545">
        <f>IF(plantation3&lt;&gt;"",VLOOKUP(plantation3,' IPCC'!$A$107:$E$122,4,),0)</f>
        <v>0</v>
      </c>
      <c r="X16" s="557">
        <f>IF(plantation3&lt;&gt;"",VLOOKUP(plantation3,' IPCC'!$A$107:$E$122,5,),0)</f>
        <v>0</v>
      </c>
      <c r="AF16" s="2411"/>
      <c r="AG16" s="2411"/>
      <c r="AH16" s="2411"/>
      <c r="AI16" s="2411"/>
    </row>
    <row r="17" spans="1:48">
      <c r="A17" s="1729" t="s">
        <v>1288</v>
      </c>
      <c r="B17" s="3752"/>
      <c r="C17" s="554" t="s">
        <v>1288</v>
      </c>
      <c r="D17" s="564" t="str">
        <f>HLOOKUP(climate,' IPCC'!$B$7:$G$11,5,FALSE)</f>
        <v>Please specify the climate</v>
      </c>
      <c r="E17" s="565"/>
      <c r="F17" s="565"/>
      <c r="G17" s="528"/>
      <c r="I17" s="542">
        <f>VLOOKUP(region,' IPCC'!$H$60:$N$71,1+MATCH(plantation4,' IPCC'!$I$59:$N$59,),)</f>
        <v>0</v>
      </c>
      <c r="J17" s="2119">
        <f>IF('5. Management'!H160="",'5. Management'!F160,'5. Management'!H160)</f>
        <v>0</v>
      </c>
      <c r="K17" s="273"/>
      <c r="L17" s="566">
        <f>IF(I17&gt;0,I17*VLOOKUP(plantation4,' IPCC'!$A$89:$F$103,IF(I17&lt;20,2,IF(I17&lt;50,3,IF(I17&lt;75,4,IF(I17&lt;125,5,6)))),),)</f>
        <v>0</v>
      </c>
      <c r="M17" s="2120">
        <f>IF('5. Management'!L160="",'5. Management'!J160,'5. Management'!L160)</f>
        <v>0</v>
      </c>
      <c r="N17" s="273"/>
      <c r="O17" s="2119">
        <f>IF('5. Management'!P160="",'5. Management'!N160,'5. Management'!P160)</f>
        <v>0</v>
      </c>
      <c r="P17" s="273"/>
      <c r="Q17" s="2119">
        <f>IF('5. Management'!R160="",'5. Management'!Q160,'5. Management'!R160)</f>
        <v>0</v>
      </c>
      <c r="R17" s="543"/>
      <c r="S17" s="2121">
        <f>IF('5. Management'!U160="",'5. Management'!T160,'5. Management'!U160)</f>
        <v>0</v>
      </c>
      <c r="T17" s="1262">
        <f t="shared" si="0"/>
        <v>0</v>
      </c>
      <c r="V17" s="542">
        <f>IF(plantation4&lt;&gt;"",VLOOKUP(plantation4,' IPCC'!$A$107:$E$122,2,),0)</f>
        <v>0</v>
      </c>
      <c r="W17" s="543">
        <f>IF(plantation4&lt;&gt;"",VLOOKUP(plantation4,' IPCC'!$A$107:$E$122,4,),0)</f>
        <v>0</v>
      </c>
      <c r="X17" s="546">
        <f>IF(plantation4&lt;&gt;"",VLOOKUP(plantation4,' IPCC'!$A$107:$E$122,5,),0)</f>
        <v>0</v>
      </c>
      <c r="AF17" s="2411"/>
      <c r="AG17" s="2411"/>
      <c r="AH17" s="2411"/>
      <c r="AI17" s="2411"/>
    </row>
    <row r="18" spans="1:48">
      <c r="A18" s="1729"/>
      <c r="B18" s="3184"/>
      <c r="C18" s="772" t="s">
        <v>5652</v>
      </c>
      <c r="D18" s="555" t="str">
        <f>IF(climate=List!C20,"",climate)</f>
        <v/>
      </c>
      <c r="E18" s="526"/>
      <c r="F18" s="526"/>
      <c r="G18" s="526"/>
      <c r="I18" s="3162">
        <f>J18/0.451</f>
        <v>0</v>
      </c>
      <c r="J18" s="2120">
        <f>IF('5. Management'!H161="",'5. Management'!F161,'5. Management'!H161)</f>
        <v>0</v>
      </c>
      <c r="K18" s="267"/>
      <c r="L18" s="556">
        <f>M18/0.451</f>
        <v>0</v>
      </c>
      <c r="M18" s="2120">
        <f>IF('5. Management'!L161="",'5. Management'!J161,'5. Management'!L161)</f>
        <v>0</v>
      </c>
      <c r="N18" s="267"/>
      <c r="O18" s="2119">
        <f>IF('5. Management'!P161="",'5. Management'!N161,'5. Management'!P161)</f>
        <v>0</v>
      </c>
      <c r="P18" s="267"/>
      <c r="Q18" s="2119">
        <f>IF('5. Management'!R161="",'5. Management'!Q161,'5. Management'!R161)</f>
        <v>0</v>
      </c>
      <c r="R18" s="3162"/>
      <c r="S18" s="2121">
        <f>IF('5. Management'!U161="",'5. Management'!T161,'5. Management'!U161)</f>
        <v>0</v>
      </c>
      <c r="T18" s="1262">
        <f t="shared" si="0"/>
        <v>0</v>
      </c>
      <c r="V18" s="3162">
        <f>V10</f>
        <v>0</v>
      </c>
      <c r="W18" s="3162">
        <f>W10</f>
        <v>0</v>
      </c>
      <c r="X18" s="3162">
        <f>X10</f>
        <v>0</v>
      </c>
      <c r="AF18" s="2411"/>
      <c r="AG18" s="2411"/>
      <c r="AH18" s="2411"/>
      <c r="AI18" s="2411"/>
    </row>
    <row r="19" spans="1:48" ht="13.5" thickBot="1">
      <c r="B19" s="567"/>
      <c r="D19" s="568"/>
      <c r="E19" s="240"/>
      <c r="F19" s="240"/>
      <c r="G19" s="240"/>
      <c r="I19" s="242"/>
      <c r="J19" s="242"/>
      <c r="K19" s="240"/>
      <c r="L19" s="569"/>
      <c r="M19" s="569"/>
      <c r="N19" s="240"/>
      <c r="O19" s="242"/>
      <c r="P19" s="240"/>
      <c r="Q19" s="242"/>
      <c r="R19" s="242"/>
      <c r="S19" s="242"/>
      <c r="T19" s="1255"/>
      <c r="V19" s="242"/>
      <c r="W19" s="242"/>
      <c r="X19" s="242"/>
      <c r="AF19" s="2412"/>
      <c r="AG19" s="2412"/>
      <c r="AH19" s="2413"/>
      <c r="AI19" s="2413"/>
    </row>
    <row r="20" spans="1:48">
      <c r="B20" s="570" t="s">
        <v>1157</v>
      </c>
      <c r="D20" s="568"/>
      <c r="E20" s="240"/>
      <c r="F20" s="1286" t="s">
        <v>1274</v>
      </c>
      <c r="G20" s="1287"/>
      <c r="H20" s="270"/>
      <c r="I20" s="658">
        <v>0</v>
      </c>
      <c r="J20" s="571">
        <f>0.47*I20</f>
        <v>0</v>
      </c>
      <c r="K20" s="572"/>
      <c r="L20" s="915">
        <v>0</v>
      </c>
      <c r="M20" s="1250">
        <f>0.47*L20</f>
        <v>0</v>
      </c>
      <c r="N20" s="572"/>
      <c r="O20" s="658">
        <v>0</v>
      </c>
      <c r="P20" s="572"/>
      <c r="Q20" s="658">
        <v>0</v>
      </c>
      <c r="R20" s="571"/>
      <c r="S20" s="658">
        <v>0</v>
      </c>
      <c r="T20" s="1258">
        <f t="shared" si="0"/>
        <v>0</v>
      </c>
      <c r="V20" s="680">
        <f>V10</f>
        <v>0</v>
      </c>
      <c r="W20" s="663">
        <f>W10</f>
        <v>0</v>
      </c>
      <c r="X20" s="664">
        <f>X10</f>
        <v>0</v>
      </c>
      <c r="Z20" s="3152" t="s">
        <v>5638</v>
      </c>
      <c r="AA20" s="3153"/>
      <c r="AB20" s="3153"/>
      <c r="AF20" s="2412"/>
      <c r="AG20" s="2412"/>
      <c r="AH20" s="2412"/>
      <c r="AI20" s="2412"/>
    </row>
    <row r="21" spans="1:48">
      <c r="D21" s="568"/>
      <c r="E21" s="240"/>
      <c r="F21" s="1288" t="s">
        <v>9</v>
      </c>
      <c r="G21" s="1019"/>
      <c r="H21" s="267"/>
      <c r="I21" s="659">
        <v>0</v>
      </c>
      <c r="J21" s="574">
        <f>0.47*I21</f>
        <v>0</v>
      </c>
      <c r="K21" s="575"/>
      <c r="L21" s="916">
        <v>0</v>
      </c>
      <c r="M21" s="1251">
        <f>0.47*L21</f>
        <v>0</v>
      </c>
      <c r="N21" s="575"/>
      <c r="O21" s="659">
        <v>0</v>
      </c>
      <c r="P21" s="575"/>
      <c r="Q21" s="659">
        <v>0</v>
      </c>
      <c r="R21" s="574"/>
      <c r="S21" s="659">
        <v>0</v>
      </c>
      <c r="T21" s="1258">
        <f t="shared" si="0"/>
        <v>0</v>
      </c>
      <c r="V21" s="681">
        <f>V20</f>
        <v>0</v>
      </c>
      <c r="W21" s="667">
        <f t="shared" ref="W21:X23" si="1">W20</f>
        <v>0</v>
      </c>
      <c r="X21" s="668">
        <f t="shared" si="1"/>
        <v>0</v>
      </c>
      <c r="Z21" s="3154">
        <v>42231</v>
      </c>
      <c r="AA21" s="3153"/>
      <c r="AB21" s="3153"/>
      <c r="AF21" s="2412"/>
      <c r="AG21" s="2412"/>
      <c r="AH21" s="2412"/>
      <c r="AI21" s="2412"/>
    </row>
    <row r="22" spans="1:48">
      <c r="B22" s="567"/>
      <c r="C22" s="241"/>
      <c r="D22" s="568"/>
      <c r="E22" s="240"/>
      <c r="F22" s="1288" t="s">
        <v>10</v>
      </c>
      <c r="G22" s="1019"/>
      <c r="H22" s="267"/>
      <c r="I22" s="659">
        <v>0</v>
      </c>
      <c r="J22" s="574">
        <f>0.47*I22</f>
        <v>0</v>
      </c>
      <c r="K22" s="575"/>
      <c r="L22" s="916">
        <v>0</v>
      </c>
      <c r="M22" s="1251">
        <f>0.47*L22</f>
        <v>0</v>
      </c>
      <c r="N22" s="575"/>
      <c r="O22" s="659">
        <v>0</v>
      </c>
      <c r="P22" s="575"/>
      <c r="Q22" s="659">
        <v>0</v>
      </c>
      <c r="R22" s="574"/>
      <c r="S22" s="659">
        <v>0</v>
      </c>
      <c r="T22" s="1258">
        <f t="shared" si="0"/>
        <v>0</v>
      </c>
      <c r="V22" s="681">
        <f>V21</f>
        <v>0</v>
      </c>
      <c r="W22" s="667">
        <f t="shared" si="1"/>
        <v>0</v>
      </c>
      <c r="X22" s="668">
        <f t="shared" si="1"/>
        <v>0</v>
      </c>
      <c r="AF22" s="2412"/>
      <c r="AG22" s="2412"/>
      <c r="AH22" s="2412"/>
      <c r="AI22" s="2412"/>
    </row>
    <row r="23" spans="1:48" ht="13.5" thickBot="1">
      <c r="B23" s="567"/>
      <c r="C23" s="241"/>
      <c r="D23" s="568"/>
      <c r="E23" s="240"/>
      <c r="F23" s="1289" t="s">
        <v>11</v>
      </c>
      <c r="G23" s="1290"/>
      <c r="H23" s="273"/>
      <c r="I23" s="660">
        <v>0</v>
      </c>
      <c r="J23" s="577">
        <f>0.47*I23</f>
        <v>0</v>
      </c>
      <c r="K23" s="578"/>
      <c r="L23" s="917">
        <v>0</v>
      </c>
      <c r="M23" s="1252">
        <f>0.47*L23</f>
        <v>0</v>
      </c>
      <c r="N23" s="578"/>
      <c r="O23" s="660">
        <v>0</v>
      </c>
      <c r="P23" s="578"/>
      <c r="Q23" s="660">
        <v>0</v>
      </c>
      <c r="R23" s="577"/>
      <c r="S23" s="660">
        <v>0</v>
      </c>
      <c r="T23" s="1258">
        <f t="shared" si="0"/>
        <v>0</v>
      </c>
      <c r="V23" s="682">
        <f>V22</f>
        <v>0</v>
      </c>
      <c r="W23" s="671">
        <f t="shared" si="1"/>
        <v>0</v>
      </c>
      <c r="X23" s="672">
        <f t="shared" si="1"/>
        <v>0</v>
      </c>
      <c r="AF23" s="2412"/>
      <c r="AG23" s="2412" t="s">
        <v>26</v>
      </c>
      <c r="AH23" s="2412"/>
      <c r="AI23" s="2412"/>
    </row>
    <row r="24" spans="1:48">
      <c r="C24" s="241"/>
      <c r="D24" s="568"/>
      <c r="E24" s="240"/>
      <c r="F24" s="240"/>
      <c r="G24" s="240"/>
      <c r="I24" s="242"/>
      <c r="K24" s="240"/>
      <c r="L24" s="240"/>
      <c r="M24" s="240"/>
      <c r="N24" s="240"/>
      <c r="O24" s="242"/>
      <c r="P24" s="240"/>
      <c r="Q24" s="242"/>
      <c r="R24" s="242"/>
      <c r="S24" s="242"/>
      <c r="Z24" s="1613" t="s">
        <v>170</v>
      </c>
      <c r="AA24" s="1614"/>
      <c r="AB24" s="1614"/>
      <c r="AC24" s="1614"/>
      <c r="AD24" s="1614"/>
      <c r="AE24" s="1615"/>
      <c r="AF24" s="2412" t="s">
        <v>23</v>
      </c>
      <c r="AG24" s="2412" t="s">
        <v>516</v>
      </c>
      <c r="AH24" s="2412" t="s">
        <v>35</v>
      </c>
      <c r="AI24" s="2412" t="s">
        <v>36</v>
      </c>
    </row>
    <row r="25" spans="1:48">
      <c r="B25" s="269" t="s">
        <v>190</v>
      </c>
      <c r="C25" s="235" t="s">
        <v>191</v>
      </c>
      <c r="D25" s="553"/>
      <c r="E25" s="3840" t="s">
        <v>183</v>
      </c>
      <c r="F25" s="3841"/>
      <c r="G25" s="1343" t="s">
        <v>192</v>
      </c>
      <c r="H25" s="1607"/>
      <c r="I25" s="1607"/>
      <c r="J25" s="1607"/>
      <c r="K25" s="1344"/>
      <c r="L25" s="1616" t="s">
        <v>193</v>
      </c>
      <c r="M25" s="1345"/>
      <c r="N25" s="1345"/>
      <c r="O25" s="1345"/>
      <c r="P25" s="1612"/>
      <c r="Q25" s="3814" t="s">
        <v>535</v>
      </c>
      <c r="R25" s="3767"/>
      <c r="S25" s="3815"/>
      <c r="T25" s="3814" t="s">
        <v>195</v>
      </c>
      <c r="U25" s="3767"/>
      <c r="V25" s="3815"/>
      <c r="W25" s="3814" t="s">
        <v>194</v>
      </c>
      <c r="X25" s="3815"/>
      <c r="Y25" s="233"/>
      <c r="Z25" s="581" t="s">
        <v>171</v>
      </c>
      <c r="AA25" s="552"/>
      <c r="AB25" s="553"/>
      <c r="AC25" s="552" t="s">
        <v>172</v>
      </c>
      <c r="AD25" s="552"/>
      <c r="AE25" s="553"/>
      <c r="AF25" s="2412" t="s">
        <v>24</v>
      </c>
      <c r="AG25" s="2412">
        <f>SUM(I44:I53)-SUM(H44:H53)</f>
        <v>0</v>
      </c>
      <c r="AH25" s="2412">
        <f>IF(time=0,0,AG25)</f>
        <v>0</v>
      </c>
      <c r="AI25" s="2412">
        <f>AG25-AH25</f>
        <v>0</v>
      </c>
      <c r="AL25" s="2410" t="s">
        <v>175</v>
      </c>
      <c r="AM25" s="2410"/>
      <c r="AN25" s="2410"/>
      <c r="AO25" s="2410"/>
    </row>
    <row r="26" spans="1:48">
      <c r="B26" s="271" t="s">
        <v>652</v>
      </c>
      <c r="C26" s="707"/>
      <c r="D26" s="583"/>
      <c r="E26" s="814" t="s">
        <v>164</v>
      </c>
      <c r="F26" s="816"/>
      <c r="G26" s="1617" t="s">
        <v>164</v>
      </c>
      <c r="H26" s="1618"/>
      <c r="I26" s="590" t="s">
        <v>544</v>
      </c>
      <c r="J26" s="728"/>
      <c r="K26" s="695"/>
      <c r="L26" s="1257" t="s">
        <v>164</v>
      </c>
      <c r="M26" s="816"/>
      <c r="N26" s="722" t="s">
        <v>544</v>
      </c>
      <c r="O26" s="723"/>
      <c r="P26" s="237"/>
      <c r="Q26" s="595" t="s">
        <v>185</v>
      </c>
      <c r="R26" s="595" t="s">
        <v>674</v>
      </c>
      <c r="S26" s="586" t="s">
        <v>675</v>
      </c>
      <c r="T26" s="595" t="s">
        <v>185</v>
      </c>
      <c r="U26" s="595" t="s">
        <v>674</v>
      </c>
      <c r="V26" s="586" t="s">
        <v>675</v>
      </c>
      <c r="W26" s="557" t="s">
        <v>674</v>
      </c>
      <c r="X26" s="557" t="s">
        <v>675</v>
      </c>
      <c r="Y26" s="614"/>
      <c r="Z26" s="590" t="s">
        <v>332</v>
      </c>
      <c r="AA26" s="545" t="s">
        <v>333</v>
      </c>
      <c r="AB26" s="557" t="s">
        <v>516</v>
      </c>
      <c r="AC26" s="590" t="s">
        <v>332</v>
      </c>
      <c r="AD26" s="545" t="s">
        <v>333</v>
      </c>
      <c r="AE26" s="557" t="s">
        <v>516</v>
      </c>
      <c r="AF26" s="2412" t="s">
        <v>25</v>
      </c>
      <c r="AG26" s="2412">
        <f>SUM(M44:M53)-SUM(L44:L53)</f>
        <v>0</v>
      </c>
      <c r="AH26" s="2412">
        <f>SUM(AI43:AI52)-SUM(AH43:AH52)</f>
        <v>0</v>
      </c>
      <c r="AI26" s="2412">
        <f>AG26-AH26</f>
        <v>0</v>
      </c>
      <c r="AL26" s="2410" t="s">
        <v>674</v>
      </c>
      <c r="AM26" s="2410"/>
      <c r="AN26" s="2410" t="s">
        <v>675</v>
      </c>
      <c r="AO26" s="2410"/>
    </row>
    <row r="27" spans="1:48" ht="13.5" thickBot="1">
      <c r="B27" s="272"/>
      <c r="C27" s="540"/>
      <c r="D27" s="1271"/>
      <c r="E27" s="720" t="s">
        <v>165</v>
      </c>
      <c r="F27" s="548" t="s">
        <v>93</v>
      </c>
      <c r="G27" s="719" t="s">
        <v>165</v>
      </c>
      <c r="H27" s="560" t="s">
        <v>93</v>
      </c>
      <c r="I27" s="725"/>
      <c r="J27" s="776" t="s">
        <v>168</v>
      </c>
      <c r="K27" s="541" t="s">
        <v>169</v>
      </c>
      <c r="L27" s="719" t="s">
        <v>165</v>
      </c>
      <c r="M27" s="560" t="s">
        <v>93</v>
      </c>
      <c r="N27" s="725"/>
      <c r="O27" s="776" t="s">
        <v>168</v>
      </c>
      <c r="P27" s="541" t="s">
        <v>169</v>
      </c>
      <c r="Q27" s="595" t="s">
        <v>509</v>
      </c>
      <c r="R27" s="595" t="s">
        <v>509</v>
      </c>
      <c r="S27" s="595" t="s">
        <v>509</v>
      </c>
      <c r="T27" s="595" t="s">
        <v>509</v>
      </c>
      <c r="U27" s="595" t="s">
        <v>509</v>
      </c>
      <c r="V27" s="595" t="s">
        <v>509</v>
      </c>
      <c r="W27" s="557" t="s">
        <v>541</v>
      </c>
      <c r="X27" s="557" t="s">
        <v>541</v>
      </c>
      <c r="Y27" s="233"/>
      <c r="Z27" s="547" t="s">
        <v>537</v>
      </c>
      <c r="AA27" s="728" t="s">
        <v>537</v>
      </c>
      <c r="AB27" s="557" t="s">
        <v>538</v>
      </c>
      <c r="AC27" s="547" t="s">
        <v>537</v>
      </c>
      <c r="AD27" s="728" t="s">
        <v>537</v>
      </c>
      <c r="AE27" s="557" t="s">
        <v>538</v>
      </c>
      <c r="AF27" s="2412" t="s">
        <v>173</v>
      </c>
      <c r="AG27" s="2412">
        <f>AO38-AM38</f>
        <v>0</v>
      </c>
      <c r="AH27" s="2412">
        <f>AG27-AI27</f>
        <v>0</v>
      </c>
      <c r="AI27" s="2412">
        <f>AO53-AL53</f>
        <v>0</v>
      </c>
      <c r="AL27" s="2410" t="s">
        <v>174</v>
      </c>
      <c r="AM27" s="2410" t="s">
        <v>176</v>
      </c>
      <c r="AN27" s="2410" t="s">
        <v>174</v>
      </c>
      <c r="AO27" s="2410" t="s">
        <v>176</v>
      </c>
    </row>
    <row r="28" spans="1:48" s="600" customFormat="1" ht="13.5" thickBot="1">
      <c r="B28" s="596" t="s">
        <v>140</v>
      </c>
      <c r="C28" s="3842" t="str">
        <f>'5. Management'!B13</f>
        <v>Select the vegetation</v>
      </c>
      <c r="D28" s="3843"/>
      <c r="E28" s="1995" t="str">
        <f>'5. Management'!F13</f>
        <v>Select level</v>
      </c>
      <c r="F28" s="3209">
        <f>IF(E28="",0,VLOOKUP(E28,List!$C$51:$D$57,2,))</f>
        <v>0</v>
      </c>
      <c r="G28" s="1995" t="str">
        <f>'5. Management'!H13</f>
        <v>Select level</v>
      </c>
      <c r="H28" s="2121">
        <f>IF(G28="",0,VLOOKUP(G28,List!$C$51:$D$57,2,))</f>
        <v>0</v>
      </c>
      <c r="I28" s="1996" t="str">
        <f>'5. Management'!L13</f>
        <v>NO</v>
      </c>
      <c r="J28" s="1997">
        <f>IF('5. Management'!M13=0,10000,'5. Management'!M13)</f>
        <v>1</v>
      </c>
      <c r="K28" s="1997">
        <f>'5. Management'!N13*100</f>
        <v>100</v>
      </c>
      <c r="L28" s="1995" t="str">
        <f>'5. Management'!J13</f>
        <v>Select level</v>
      </c>
      <c r="M28" s="2119">
        <f>IF(L28="",0,VLOOKUP(L28,List!$C$51:$D$57,2,))</f>
        <v>0</v>
      </c>
      <c r="N28" s="1996" t="str">
        <f>'5. Management'!P13</f>
        <v>NO</v>
      </c>
      <c r="O28" s="1997">
        <f>IF('5. Management'!Q13=0,10000,'5. Management'!Q13)</f>
        <v>1</v>
      </c>
      <c r="P28" s="1997">
        <f>'5. Management'!R13*100</f>
        <v>100</v>
      </c>
      <c r="Q28" s="3143">
        <f>IF(C28=List!$A$50,0,VLOOKUP($C28,$C$10:$X$18,18,)*((100-F28)/100))</f>
        <v>0</v>
      </c>
      <c r="R28" s="3145">
        <f>IF(C28=List!$A$50,0,VLOOKUP($C28,$C$10:$X$18,18,)*((100-H28)/100))</f>
        <v>0</v>
      </c>
      <c r="S28" s="3210">
        <f>IF(C28=List!$A$50,0,VLOOKUP($C28,$C$10:$X$18,18,)*((100-M28)/100))</f>
        <v>0</v>
      </c>
      <c r="T28" s="3143">
        <f>IF(C28=List!$A$50,0,((100-F28/2)/100)*VLOOKUP($C28,$C$10:$X$18,17,))</f>
        <v>0</v>
      </c>
      <c r="U28" s="3145">
        <f>IF(C28=List!$A$50,0,((100-H28/2)/100)*VLOOKUP($C28,$C$10:$X$18,17,))</f>
        <v>0</v>
      </c>
      <c r="V28" s="3210">
        <f>IF(C28=List!$A$50,0,((100-M28/2)/100)*VLOOKUP($C28,$C$10:$X$18,17,))</f>
        <v>0</v>
      </c>
      <c r="W28" s="598">
        <f>-((T28-U28)/20)*44/12</f>
        <v>0</v>
      </c>
      <c r="X28" s="1360">
        <f>-((T28-V28)/20)*44/12</f>
        <v>0</v>
      </c>
      <c r="Y28" s="614"/>
      <c r="Z28" s="3143">
        <f>IF(C28=List!$A$50,0,IF(J28&gt;time_tot,0,1)*2*IF(I28="yes",(MIN(R28,Q28)*time_tot+ABS(R28-Q28)*IF(R28&gt;Q28,time2+time*VLOOKUP(E44,List!$E$35:$F$37,2,),time*(1-VLOOKUP(E44,List!$E$35:$F$37,2,)))),0)*VLOOKUP($C28,$C$10:$X$18,21,)*VLOOKUP($C28,$C$10:$X$18,20,)*(K28/100)*(1/J28))</f>
        <v>0</v>
      </c>
      <c r="AA28" s="3145">
        <f>IF(C28=List!$A$50,0,IF(J28&gt;time_tot,0,1)*2*IF(I28="yes",(MIN(R28,Q28)*time_tot+ABS(R28-Q28)*IF(R28&gt;Q28,time2+time*VLOOKUP(E44,List!$E$35:$F$37,2,),time*(1-VLOOKUP(E44,List!$E$35:$F$37,2,)))),0)*VLOOKUP($C28,$C$10:$X$18,22,)*VLOOKUP($C28,$C$10:$X$18,20,)*(K28/100)*(1/J28))</f>
        <v>0</v>
      </c>
      <c r="AB28" s="3144">
        <f t="shared" ref="AB28:AB35" si="2">(Z28*methane+AA28*Nitrous)/1000</f>
        <v>0</v>
      </c>
      <c r="AC28" s="3143">
        <f>IF(C28=List!$A$50,0,IF(O28&gt;time_tot,0,1)*2*IF(N28="yes",(MIN(S28,Q28)*time_tot+ABS(S28-Q28)*IF(S28&gt;Q28,time2+time*VLOOKUP(G44,List!$E$35:$F$37,2,),time*(1-VLOOKUP(E44,List!$E$35:$F$37,2,)))),0)*VLOOKUP($C28,$C$10:$X$18,21,)*VLOOKUP($C28,$C$10:$X$18,20,)*(P28/100)*(1/O28))</f>
        <v>0</v>
      </c>
      <c r="AD28" s="3148">
        <f>IF(C28=List!$A$50,0,IF(O28&gt;time_tot,0,1)*2*IF(N28="yes",(MIN(S28,Q28)*time_tot+ABS(S28-Q28)*IF(S28&gt;Q28,time2+time*VLOOKUP(G44,List!$E$35:$F$37,2,),time*(1-VLOOKUP(E44,List!$E$35:$F$37,2,)))),0)*VLOOKUP($C28,$C$10:$X$18,22,)*VLOOKUP($C28,$C$10:$X$18,20,)*(P28/100)*(1/O28))</f>
        <v>0</v>
      </c>
      <c r="AE28" s="599">
        <f>(AC28*methane+AD28*Nitrous)/1000</f>
        <v>0</v>
      </c>
      <c r="AF28" s="2412" t="s">
        <v>174</v>
      </c>
      <c r="AG28" s="2412">
        <f>AN38-AL38</f>
        <v>0</v>
      </c>
      <c r="AH28" s="2412">
        <f>AG28-AI28</f>
        <v>0</v>
      </c>
      <c r="AI28" s="2412">
        <f>AN53-AK53</f>
        <v>0</v>
      </c>
      <c r="AJ28" s="2403"/>
      <c r="AK28" s="2403"/>
      <c r="AL28" s="2413">
        <f>C44*Z28*methane/1000</f>
        <v>0</v>
      </c>
      <c r="AM28" s="2413">
        <f t="shared" ref="AM28:AM37" si="3">C44*Nitrous*AA28/1000</f>
        <v>0</v>
      </c>
      <c r="AN28" s="2413">
        <f t="shared" ref="AN28:AN37" si="4">C44*AC28*methane/1000</f>
        <v>0</v>
      </c>
      <c r="AO28" s="2413">
        <f t="shared" ref="AO28:AO37" si="5">C44*Nitrous*AD28/1000</f>
        <v>0</v>
      </c>
      <c r="AP28" s="2403"/>
      <c r="AQ28" s="2403"/>
      <c r="AR28" s="2403"/>
      <c r="AS28" s="2403"/>
      <c r="AT28" s="2403"/>
      <c r="AU28" s="2403"/>
      <c r="AV28" s="2403"/>
    </row>
    <row r="29" spans="1:48" s="600" customFormat="1" ht="13.5" thickBot="1">
      <c r="B29" s="601" t="s">
        <v>141</v>
      </c>
      <c r="C29" s="3842" t="str">
        <f>'5. Management'!B14</f>
        <v>Select the vegetation</v>
      </c>
      <c r="D29" s="3843"/>
      <c r="E29" s="1995" t="str">
        <f>'5. Management'!F14</f>
        <v>Select level</v>
      </c>
      <c r="F29" s="3209">
        <f>IF(E29="",0,VLOOKUP(E29,List!$C$51:$D$57,2,))</f>
        <v>0</v>
      </c>
      <c r="G29" s="1995" t="str">
        <f>'5. Management'!H14</f>
        <v>Select level</v>
      </c>
      <c r="H29" s="2121">
        <f>IF(G29="",0,VLOOKUP(G29,List!$C$51:$D$57,2,))</f>
        <v>0</v>
      </c>
      <c r="I29" s="1996" t="str">
        <f>'5. Management'!L14</f>
        <v>NO</v>
      </c>
      <c r="J29" s="1997">
        <f>IF('5. Management'!M14=0,10000,'5. Management'!M14)</f>
        <v>1</v>
      </c>
      <c r="K29" s="1997">
        <f>'5. Management'!N14*100</f>
        <v>100</v>
      </c>
      <c r="L29" s="1995" t="str">
        <f>'5. Management'!J14</f>
        <v>Select level</v>
      </c>
      <c r="M29" s="2119">
        <f>IF(L29="",0,VLOOKUP(L29,List!$C$51:$D$57,2,))</f>
        <v>0</v>
      </c>
      <c r="N29" s="1996" t="str">
        <f>'5. Management'!P14</f>
        <v>NO</v>
      </c>
      <c r="O29" s="1997">
        <f>IF('5. Management'!Q14=0,10000,'5. Management'!Q14)</f>
        <v>1</v>
      </c>
      <c r="P29" s="1997">
        <f>'5. Management'!R14*100</f>
        <v>100</v>
      </c>
      <c r="Q29" s="3147">
        <f>IF(C29=List!$A$50,0,VLOOKUP($C29,$C$10:$X$18,18,)*((100-F29)/100))</f>
        <v>0</v>
      </c>
      <c r="R29" s="3146">
        <f>IF(C29=List!$A$50,0,VLOOKUP($C29,$C$10:$X$18,18,)*((100-H29)/100))</f>
        <v>0</v>
      </c>
      <c r="S29" s="3211">
        <f>IF(C29=List!$A$50,0,VLOOKUP($C29,$C$10:$X$18,18,)*((100-M29)/100))</f>
        <v>0</v>
      </c>
      <c r="T29" s="3143">
        <f>IF(C29=List!$A$50,0,((100-F29/2)/100)*VLOOKUP($C29,$C$10:$X$18,17,))</f>
        <v>0</v>
      </c>
      <c r="U29" s="3145">
        <f>IF(C29=List!$A$50,0,((100-H29/2)/100)*VLOOKUP($C29,$C$10:$X$18,17,))</f>
        <v>0</v>
      </c>
      <c r="V29" s="3210">
        <f>IF(C29=List!$A$50,0,((100-M29/2)/100)*VLOOKUP($C29,$C$10:$X$18,17,))</f>
        <v>0</v>
      </c>
      <c r="W29" s="597">
        <f t="shared" ref="W29:W37" si="6">-((T29-U29)/20)*44/12</f>
        <v>0</v>
      </c>
      <c r="X29" s="1351">
        <f t="shared" ref="X29:X37" si="7">-((T29-V29)/20)*44/12</f>
        <v>0</v>
      </c>
      <c r="Y29" s="233"/>
      <c r="Z29" s="3143">
        <f>IF(C29=List!$A$50,0,IF(J29&gt;time_tot,0,1)*2*IF(I29="yes",(MIN(R29,Q29)*time_tot+ABS(R29-Q29)*IF(R29&gt;Q29,time2+time*VLOOKUP(E45,List!$E$35:$F$37,2,),time*(1-VLOOKUP(E45,List!$E$35:$F$37,2,)))),0)*VLOOKUP($C29,$C$10:$X$18,21,)*VLOOKUP($C29,$C$10:$X$18,20,)*(K29/100)*(1/J29))</f>
        <v>0</v>
      </c>
      <c r="AA29" s="3145">
        <f>IF(C29=List!$A$50,0,IF(J29&gt;time_tot,0,1)*2*IF(I29="yes",(MIN(R29,Q29)*time_tot+ABS(R29-Q29)*IF(R29&gt;Q29,time2+time*VLOOKUP(E45,List!$E$35:$F$37,2,),time*(1-VLOOKUP(E45,List!$E$35:$F$37,2,)))),0)*VLOOKUP($C29,$C$10:$X$18,22,)*VLOOKUP($C29,$C$10:$X$18,20,)*(K29/100)*(1/J29))</f>
        <v>0</v>
      </c>
      <c r="AB29" s="3144">
        <f t="shared" si="2"/>
        <v>0</v>
      </c>
      <c r="AC29" s="3143">
        <f>IF(C29=List!$A$50,0,IF(O29&gt;time_tot,0,1)*2*IF(N29="yes",(MIN(S29,Q29)*time_tot+ABS(S29-Q29)*IF(S29&gt;Q29,time2+time*VLOOKUP(G45,List!$E$35:$F$37,2,),time*(1-VLOOKUP(E45,List!$E$35:$F$37,2,)))),0)*VLOOKUP($C29,$C$10:$X$18,21,)*VLOOKUP($C29,$C$10:$X$18,20,)*(P29/100)*(1/O29))</f>
        <v>0</v>
      </c>
      <c r="AD29" s="3148">
        <f>IF(C29=List!$A$50,0,IF(O29&gt;time_tot,0,1)*2*IF(N29="yes",(MIN(S29,Q29)*time_tot+ABS(S29-Q29)*IF(S29&gt;Q29,time2+time*VLOOKUP(G45,List!$E$35:$F$37,2,),time*(1-VLOOKUP(E45,List!$E$35:$F$37,2,)))),0)*VLOOKUP($C29,$C$10:$X$18,22,)*VLOOKUP($C29,$C$10:$X$18,20,)*(P29/100)*(1/O29))</f>
        <v>0</v>
      </c>
      <c r="AE29" s="602">
        <f t="shared" ref="AE29:AE37" si="8">(AC29*methane+AD29*Nitrous)/1000</f>
        <v>0</v>
      </c>
      <c r="AF29" s="2412"/>
      <c r="AG29" s="2412">
        <f>SUM(AG25:AG28)</f>
        <v>0</v>
      </c>
      <c r="AH29" s="2412">
        <f>SUM(AH25:AH28)</f>
        <v>0</v>
      </c>
      <c r="AI29" s="2412">
        <f>SUM(AI25:AI28)</f>
        <v>0</v>
      </c>
      <c r="AJ29" s="2403"/>
      <c r="AK29" s="2403"/>
      <c r="AL29" s="2413">
        <f t="shared" ref="AL29:AL37" si="9">C45*Z29*methane/1000</f>
        <v>0</v>
      </c>
      <c r="AM29" s="2413">
        <f t="shared" si="3"/>
        <v>0</v>
      </c>
      <c r="AN29" s="2413">
        <f t="shared" si="4"/>
        <v>0</v>
      </c>
      <c r="AO29" s="2413">
        <f t="shared" si="5"/>
        <v>0</v>
      </c>
      <c r="AP29" s="2403"/>
      <c r="AQ29" s="2403"/>
      <c r="AR29" s="2403"/>
      <c r="AS29" s="2403"/>
      <c r="AT29" s="2403"/>
      <c r="AU29" s="2403"/>
      <c r="AV29" s="2403"/>
    </row>
    <row r="30" spans="1:48" s="600" customFormat="1" ht="13.5" thickBot="1">
      <c r="B30" s="601" t="s">
        <v>142</v>
      </c>
      <c r="C30" s="3842" t="str">
        <f>'5. Management'!B15</f>
        <v>Select the vegetation</v>
      </c>
      <c r="D30" s="3843"/>
      <c r="E30" s="1995" t="str">
        <f>'5. Management'!F15</f>
        <v>Select level</v>
      </c>
      <c r="F30" s="3209">
        <f>IF(E30="",0,VLOOKUP(E30,List!$C$51:$D$57,2,))</f>
        <v>0</v>
      </c>
      <c r="G30" s="1995" t="str">
        <f>'5. Management'!H15</f>
        <v>Select level</v>
      </c>
      <c r="H30" s="2121">
        <f>IF(G30="",0,VLOOKUP(G30,List!$C$51:$D$57,2,))</f>
        <v>0</v>
      </c>
      <c r="I30" s="1996" t="str">
        <f>'5. Management'!L15</f>
        <v>NO</v>
      </c>
      <c r="J30" s="1997">
        <f>IF('5. Management'!M15=0,10000,'5. Management'!M15)</f>
        <v>1</v>
      </c>
      <c r="K30" s="1997">
        <f>'5. Management'!N15*100</f>
        <v>100</v>
      </c>
      <c r="L30" s="1995" t="str">
        <f>'5. Management'!J15</f>
        <v>Select level</v>
      </c>
      <c r="M30" s="2119">
        <f>IF(L30="",0,VLOOKUP(L30,List!$C$51:$D$57,2,))</f>
        <v>0</v>
      </c>
      <c r="N30" s="1996" t="str">
        <f>'5. Management'!P15</f>
        <v>NO</v>
      </c>
      <c r="O30" s="1997">
        <f>IF('5. Management'!Q15=0,10000,'5. Management'!Q15)</f>
        <v>1</v>
      </c>
      <c r="P30" s="1997">
        <f>'5. Management'!R15*100</f>
        <v>100</v>
      </c>
      <c r="Q30" s="3147">
        <f>IF(C30=List!$A$50,0,VLOOKUP($C30,$C$10:$X$18,18,)*((100-F30)/100))</f>
        <v>0</v>
      </c>
      <c r="R30" s="3146">
        <f>IF(C30=List!$A$50,0,VLOOKUP($C30,$C$10:$X$18,18,)*((100-H30)/100))</f>
        <v>0</v>
      </c>
      <c r="S30" s="3211">
        <f>IF(C30=List!$A$50,0,VLOOKUP($C30,$C$10:$X$18,18,)*((100-M30)/100))</f>
        <v>0</v>
      </c>
      <c r="T30" s="3143">
        <f>IF(C30=List!$A$50,0,((100-F30/2)/100)*VLOOKUP($C30,$C$10:$X$18,17,))</f>
        <v>0</v>
      </c>
      <c r="U30" s="3145">
        <f>IF(C30=List!$A$50,0,((100-H30/2)/100)*VLOOKUP($C30,$C$10:$X$18,17,))</f>
        <v>0</v>
      </c>
      <c r="V30" s="3210">
        <f>IF(C30=List!$A$50,0,((100-M30/2)/100)*VLOOKUP($C30,$C$10:$X$18,17,))</f>
        <v>0</v>
      </c>
      <c r="W30" s="597">
        <f t="shared" si="6"/>
        <v>0</v>
      </c>
      <c r="X30" s="1351">
        <f t="shared" si="7"/>
        <v>0</v>
      </c>
      <c r="Y30" s="614"/>
      <c r="Z30" s="3143">
        <f>IF(C30=List!$A$50,0,IF(J30&gt;time_tot,0,1)*2*IF(I30="yes",(MIN(R30,Q30)*time_tot+ABS(R30-Q30)*IF(R30&gt;Q30,time2+time*VLOOKUP(E46,List!$E$35:$F$37,2,),time*(1-VLOOKUP(E46,List!$E$35:$F$37,2,)))),0)*VLOOKUP($C30,$C$10:$X$18,21,)*VLOOKUP($C30,$C$10:$X$18,20,)*(K30/100)*(1/J30))</f>
        <v>0</v>
      </c>
      <c r="AA30" s="3145">
        <f>IF(C30=List!$A$50,0,IF(J30&gt;time_tot,0,1)*2*IF(I30="yes",(MIN(R30,Q30)*time_tot+ABS(R30-Q30)*IF(R30&gt;Q30,time2+time*VLOOKUP(E46,List!$E$35:$F$37,2,),time*(1-VLOOKUP(E46,List!$E$35:$F$37,2,)))),0)*VLOOKUP($C30,$C$10:$X$18,22,)*VLOOKUP($C30,$C$10:$X$18,20,)*(K30/100)*(1/J30))</f>
        <v>0</v>
      </c>
      <c r="AB30" s="3144">
        <f t="shared" si="2"/>
        <v>0</v>
      </c>
      <c r="AC30" s="3143">
        <f>IF(C30=List!$A$50,0,IF(O30&gt;time_tot,0,1)*2*IF(N30="yes",(MIN(S30,Q30)*time_tot+ABS(S30-Q30)*IF(S30&gt;Q30,time2+time*VLOOKUP(G46,List!$E$35:$F$37,2,),time*(1-VLOOKUP(E46,List!$E$35:$F$37,2,)))),0)*VLOOKUP($C30,$C$10:$X$18,21,)*VLOOKUP($C30,$C$10:$X$18,20,)*(P30/100)*(1/O30))</f>
        <v>0</v>
      </c>
      <c r="AD30" s="3148">
        <f>IF(C30=List!$A$50,0,IF(O30&gt;time_tot,0,1)*2*IF(N30="yes",(MIN(S30,Q30)*time_tot+ABS(S30-Q30)*IF(S30&gt;Q30,time2+time*VLOOKUP(G46,List!$E$35:$F$37,2,),time*(1-VLOOKUP(E46,List!$E$35:$F$37,2,)))),0)*VLOOKUP($C30,$C$10:$X$18,22,)*VLOOKUP($C30,$C$10:$X$18,20,)*(P30/100)*(1/O30))</f>
        <v>0</v>
      </c>
      <c r="AE30" s="602">
        <f t="shared" si="8"/>
        <v>0</v>
      </c>
      <c r="AF30" s="2403"/>
      <c r="AG30" s="2403"/>
      <c r="AH30" s="2403"/>
      <c r="AI30" s="2403"/>
      <c r="AJ30" s="2403"/>
      <c r="AK30" s="2403"/>
      <c r="AL30" s="2413">
        <f t="shared" si="9"/>
        <v>0</v>
      </c>
      <c r="AM30" s="2413">
        <f t="shared" si="3"/>
        <v>0</v>
      </c>
      <c r="AN30" s="2413">
        <f t="shared" si="4"/>
        <v>0</v>
      </c>
      <c r="AO30" s="2413">
        <f t="shared" si="5"/>
        <v>0</v>
      </c>
      <c r="AP30" s="2403"/>
      <c r="AQ30" s="2403"/>
      <c r="AR30" s="2403"/>
      <c r="AS30" s="2403"/>
      <c r="AT30" s="2403"/>
      <c r="AU30" s="2403"/>
      <c r="AV30" s="2403"/>
    </row>
    <row r="31" spans="1:48" s="600" customFormat="1" ht="13.5" thickBot="1">
      <c r="B31" s="601" t="s">
        <v>143</v>
      </c>
      <c r="C31" s="3842" t="str">
        <f>'5. Management'!B16</f>
        <v>Select the vegetation</v>
      </c>
      <c r="D31" s="3843"/>
      <c r="E31" s="1995" t="str">
        <f>'5. Management'!F16</f>
        <v>Select level</v>
      </c>
      <c r="F31" s="3209">
        <f>IF(E31="",0,VLOOKUP(E31,List!$C$51:$D$57,2,))</f>
        <v>0</v>
      </c>
      <c r="G31" s="1995" t="str">
        <f>'5. Management'!H16</f>
        <v>Select level</v>
      </c>
      <c r="H31" s="2121">
        <f>IF(G31="",0,VLOOKUP(G31,List!$C$51:$D$57,2,))</f>
        <v>0</v>
      </c>
      <c r="I31" s="1996" t="str">
        <f>'5. Management'!L16</f>
        <v>NO</v>
      </c>
      <c r="J31" s="1997">
        <f>IF('5. Management'!M16=0,10000,'5. Management'!M16)</f>
        <v>1</v>
      </c>
      <c r="K31" s="1997">
        <f>'5. Management'!N16*100</f>
        <v>100</v>
      </c>
      <c r="L31" s="1995" t="str">
        <f>'5. Management'!J16</f>
        <v>Select level</v>
      </c>
      <c r="M31" s="2119">
        <f>IF(L31="",0,VLOOKUP(L31,List!$C$51:$D$57,2,))</f>
        <v>0</v>
      </c>
      <c r="N31" s="1996" t="str">
        <f>'5. Management'!P16</f>
        <v>NO</v>
      </c>
      <c r="O31" s="1997">
        <f>IF('5. Management'!Q16=0,10000,'5. Management'!Q16)</f>
        <v>1</v>
      </c>
      <c r="P31" s="1997">
        <f>'5. Management'!R16*100</f>
        <v>100</v>
      </c>
      <c r="Q31" s="3147">
        <f>IF(C31=List!$A$50,0,VLOOKUP($C31,$C$10:$X$18,18,)*((100-F31)/100))</f>
        <v>0</v>
      </c>
      <c r="R31" s="3146">
        <f>IF(C31=List!$A$50,0,VLOOKUP($C31,$C$10:$X$18,18,)*((100-H31)/100))</f>
        <v>0</v>
      </c>
      <c r="S31" s="3211">
        <f>IF(C31=List!$A$50,0,VLOOKUP($C31,$C$10:$X$18,18,)*((100-M31)/100))</f>
        <v>0</v>
      </c>
      <c r="T31" s="3143">
        <f>IF(C31=List!$A$50,0,((100-F31/2)/100)*VLOOKUP($C31,$C$10:$X$18,17,))</f>
        <v>0</v>
      </c>
      <c r="U31" s="3145">
        <f>IF(C31=List!$A$50,0,((100-H31/2)/100)*VLOOKUP($C31,$C$10:$X$18,17,))</f>
        <v>0</v>
      </c>
      <c r="V31" s="3210">
        <f>IF(C31=List!$A$50,0,((100-M31/2)/100)*VLOOKUP($C31,$C$10:$X$18,17,))</f>
        <v>0</v>
      </c>
      <c r="W31" s="597">
        <f t="shared" si="6"/>
        <v>0</v>
      </c>
      <c r="X31" s="1351">
        <f t="shared" si="7"/>
        <v>0</v>
      </c>
      <c r="Y31" s="233"/>
      <c r="Z31" s="3143">
        <f>IF(C31=List!$A$50,0,IF(J31&gt;time_tot,0,1)*2*IF(I31="yes",(MIN(R31,Q31)*time_tot+ABS(R31-Q31)*IF(R31&gt;Q31,time2+time*VLOOKUP(E47,List!$E$35:$F$37,2,),time*(1-VLOOKUP(E47,List!$E$35:$F$37,2,)))),0)*VLOOKUP($C31,$C$10:$X$18,21,)*VLOOKUP($C31,$C$10:$X$18,20,)*(K31/100)*(1/J31))</f>
        <v>0</v>
      </c>
      <c r="AA31" s="3145">
        <f>IF(C31=List!$A$50,0,IF(J31&gt;time_tot,0,1)*2*IF(I31="yes",(MIN(R31,Q31)*time_tot+ABS(R31-Q31)*IF(R31&gt;Q31,time2+time*VLOOKUP(E47,List!$E$35:$F$37,2,),time*(1-VLOOKUP(E47,List!$E$35:$F$37,2,)))),0)*VLOOKUP($C31,$C$10:$X$18,22,)*VLOOKUP($C31,$C$10:$X$18,20,)*(K31/100)*(1/J31))</f>
        <v>0</v>
      </c>
      <c r="AB31" s="3144">
        <f t="shared" si="2"/>
        <v>0</v>
      </c>
      <c r="AC31" s="3143">
        <f>IF(C31=List!$A$50,0,IF(O31&gt;time_tot,0,1)*2*IF(N31="yes",(MIN(S31,Q31)*time_tot+ABS(S31-Q31)*IF(S31&gt;Q31,time2+time*VLOOKUP(G47,List!$E$35:$F$37,2,),time*(1-VLOOKUP(E47,List!$E$35:$F$37,2,)))),0)*VLOOKUP($C31,$C$10:$X$18,21,)*VLOOKUP($C31,$C$10:$X$18,20,)*(P31/100)*(1/O31))</f>
        <v>0</v>
      </c>
      <c r="AD31" s="3148">
        <f>IF(C31=List!$A$50,0,IF(O31&gt;time_tot,0,1)*2*IF(N31="yes",(MIN(S31,Q31)*time_tot+ABS(S31-Q31)*IF(S31&gt;Q31,time2+time*VLOOKUP(G47,List!$E$35:$F$37,2,),time*(1-VLOOKUP(E47,List!$E$35:$F$37,2,)))),0)*VLOOKUP($C31,$C$10:$X$18,22,)*VLOOKUP($C31,$C$10:$X$18,20,)*(P31/100)*(1/O31))</f>
        <v>0</v>
      </c>
      <c r="AE31" s="602">
        <f t="shared" si="8"/>
        <v>0</v>
      </c>
      <c r="AF31" s="2403"/>
      <c r="AG31" s="2403"/>
      <c r="AH31" s="2403"/>
      <c r="AI31" s="2403"/>
      <c r="AJ31" s="2403"/>
      <c r="AK31" s="2403"/>
      <c r="AL31" s="2413">
        <f t="shared" si="9"/>
        <v>0</v>
      </c>
      <c r="AM31" s="2413">
        <f t="shared" si="3"/>
        <v>0</v>
      </c>
      <c r="AN31" s="2413">
        <f t="shared" si="4"/>
        <v>0</v>
      </c>
      <c r="AO31" s="2413">
        <f t="shared" si="5"/>
        <v>0</v>
      </c>
      <c r="AP31" s="2403"/>
      <c r="AQ31" s="2403"/>
      <c r="AR31" s="2403"/>
      <c r="AS31" s="2403"/>
      <c r="AT31" s="2403"/>
      <c r="AU31" s="2403"/>
      <c r="AV31" s="2403"/>
    </row>
    <row r="32" spans="1:48" s="600" customFormat="1" ht="13.5" thickBot="1">
      <c r="B32" s="601" t="s">
        <v>144</v>
      </c>
      <c r="C32" s="3842" t="str">
        <f>'5. Management'!B17</f>
        <v>Select the vegetation</v>
      </c>
      <c r="D32" s="3843"/>
      <c r="E32" s="1995" t="str">
        <f>'5. Management'!F17</f>
        <v>Select level</v>
      </c>
      <c r="F32" s="3209">
        <f>IF(E32="",0,VLOOKUP(E32,List!$C$51:$D$57,2,))</f>
        <v>0</v>
      </c>
      <c r="G32" s="1995" t="str">
        <f>'5. Management'!H17</f>
        <v>Select level</v>
      </c>
      <c r="H32" s="2121">
        <f>IF(G32="",0,VLOOKUP(G32,List!$C$51:$D$57,2,))</f>
        <v>0</v>
      </c>
      <c r="I32" s="1996" t="str">
        <f>'5. Management'!L17</f>
        <v>NO</v>
      </c>
      <c r="J32" s="1997">
        <f>IF('5. Management'!M17=0,10000,'5. Management'!M17)</f>
        <v>1</v>
      </c>
      <c r="K32" s="1997">
        <f>'5. Management'!N17*100</f>
        <v>100</v>
      </c>
      <c r="L32" s="1995" t="str">
        <f>'5. Management'!J17</f>
        <v>Select level</v>
      </c>
      <c r="M32" s="2119">
        <f>IF(L32="",0,VLOOKUP(L32,List!$C$51:$D$57,2,))</f>
        <v>0</v>
      </c>
      <c r="N32" s="1996" t="str">
        <f>'5. Management'!P17</f>
        <v>NO</v>
      </c>
      <c r="O32" s="1997">
        <f>IF('5. Management'!Q17=0,10000,'5. Management'!Q17)</f>
        <v>1</v>
      </c>
      <c r="P32" s="1997">
        <f>'5. Management'!R17*100</f>
        <v>100</v>
      </c>
      <c r="Q32" s="3147">
        <f>IF(C32=List!$A$50,0,VLOOKUP($C32,$C$10:$X$18,18,)*((100-F32)/100))</f>
        <v>0</v>
      </c>
      <c r="R32" s="3146">
        <f>IF(C32=List!$A$50,0,VLOOKUP($C32,$C$10:$X$18,18,)*((100-H32)/100))</f>
        <v>0</v>
      </c>
      <c r="S32" s="3211">
        <f>IF(C32=List!$A$50,0,VLOOKUP($C32,$C$10:$X$18,18,)*((100-M32)/100))</f>
        <v>0</v>
      </c>
      <c r="T32" s="3143">
        <f>IF(C32=List!$A$50,0,((100-F32/2)/100)*VLOOKUP($C32,$C$10:$X$18,17,))</f>
        <v>0</v>
      </c>
      <c r="U32" s="3145">
        <f>IF(C32=List!$A$50,0,((100-H32/2)/100)*VLOOKUP($C32,$C$10:$X$18,17,))</f>
        <v>0</v>
      </c>
      <c r="V32" s="3210">
        <f>IF(C32=List!$A$50,0,((100-M32/2)/100)*VLOOKUP($C32,$C$10:$X$18,17,))</f>
        <v>0</v>
      </c>
      <c r="W32" s="597">
        <f t="shared" si="6"/>
        <v>0</v>
      </c>
      <c r="X32" s="1351">
        <f t="shared" si="7"/>
        <v>0</v>
      </c>
      <c r="Y32" s="614"/>
      <c r="Z32" s="3143">
        <f>IF(C32=List!$A$50,0,IF(J32&gt;time_tot,0,1)*2*IF(I32="yes",(MIN(R32,Q32)*time_tot+ABS(R32-Q32)*IF(R32&gt;Q32,time2+time*VLOOKUP(E48,List!$E$35:$F$37,2,),time*(1-VLOOKUP(E48,List!$E$35:$F$37,2,)))),0)*VLOOKUP($C32,$C$10:$X$18,21,)*VLOOKUP($C32,$C$10:$X$18,20,)*(K32/100)*(1/J32))</f>
        <v>0</v>
      </c>
      <c r="AA32" s="3145">
        <f>IF(C32=List!$A$50,0,IF(J32&gt;time_tot,0,1)*2*IF(I32="yes",(MIN(R32,Q32)*time_tot+ABS(R32-Q32)*IF(R32&gt;Q32,time2+time*VLOOKUP(E48,List!$E$35:$F$37,2,),time*(1-VLOOKUP(E48,List!$E$35:$F$37,2,)))),0)*VLOOKUP($C32,$C$10:$X$18,22,)*VLOOKUP($C32,$C$10:$X$18,20,)*(K32/100)*(1/J32))</f>
        <v>0</v>
      </c>
      <c r="AB32" s="3144">
        <f t="shared" si="2"/>
        <v>0</v>
      </c>
      <c r="AC32" s="3143">
        <f>IF(C32=List!$A$50,0,IF(O32&gt;time_tot,0,1)*2*IF(N32="yes",(MIN(S32,Q32)*time_tot+ABS(S32-Q32)*IF(S32&gt;Q32,time2+time*VLOOKUP(G48,List!$E$35:$F$37,2,),time*(1-VLOOKUP(E48,List!$E$35:$F$37,2,)))),0)*VLOOKUP($C32,$C$10:$X$18,21,)*VLOOKUP($C32,$C$10:$X$18,20,)*(P32/100)*(1/O32))</f>
        <v>0</v>
      </c>
      <c r="AD32" s="3148">
        <f>IF(C32=List!$A$50,0,IF(O32&gt;time_tot,0,1)*2*IF(N32="yes",(MIN(S32,Q32)*time_tot+ABS(S32-Q32)*IF(S32&gt;Q32,time2+time*VLOOKUP(G48,List!$E$35:$F$37,2,),time*(1-VLOOKUP(E48,List!$E$35:$F$37,2,)))),0)*VLOOKUP($C32,$C$10:$X$18,22,)*VLOOKUP($C32,$C$10:$X$18,20,)*(P32/100)*(1/O32))</f>
        <v>0</v>
      </c>
      <c r="AE32" s="602">
        <f t="shared" si="8"/>
        <v>0</v>
      </c>
      <c r="AF32" s="2410"/>
      <c r="AG32" s="2410"/>
      <c r="AH32" s="2403"/>
      <c r="AI32" s="2403"/>
      <c r="AJ32" s="2403"/>
      <c r="AK32" s="2403"/>
      <c r="AL32" s="2413">
        <f t="shared" si="9"/>
        <v>0</v>
      </c>
      <c r="AM32" s="2413">
        <f t="shared" si="3"/>
        <v>0</v>
      </c>
      <c r="AN32" s="2413">
        <f t="shared" si="4"/>
        <v>0</v>
      </c>
      <c r="AO32" s="2413">
        <f t="shared" si="5"/>
        <v>0</v>
      </c>
      <c r="AP32" s="2403"/>
      <c r="AQ32" s="2403"/>
      <c r="AR32" s="2403"/>
      <c r="AS32" s="2403"/>
      <c r="AT32" s="2403"/>
      <c r="AU32" s="2403"/>
      <c r="AV32" s="2403"/>
    </row>
    <row r="33" spans="2:54" s="600" customFormat="1" ht="13.5" thickBot="1">
      <c r="B33" s="601" t="s">
        <v>145</v>
      </c>
      <c r="C33" s="3842" t="str">
        <f>'5. Management'!B18</f>
        <v>Select the vegetation</v>
      </c>
      <c r="D33" s="3843"/>
      <c r="E33" s="1995" t="str">
        <f>'5. Management'!F18</f>
        <v>Select level</v>
      </c>
      <c r="F33" s="3209">
        <f>IF(E33="",0,VLOOKUP(E33,List!$C$51:$D$57,2,))</f>
        <v>0</v>
      </c>
      <c r="G33" s="1995" t="str">
        <f>'5. Management'!H18</f>
        <v>Select level</v>
      </c>
      <c r="H33" s="2121">
        <f>IF(G33="",0,VLOOKUP(G33,List!$C$51:$D$57,2,))</f>
        <v>0</v>
      </c>
      <c r="I33" s="1996" t="str">
        <f>'5. Management'!L18</f>
        <v>NO</v>
      </c>
      <c r="J33" s="1997">
        <f>IF('5. Management'!M18=0,10000,'5. Management'!M18)</f>
        <v>1</v>
      </c>
      <c r="K33" s="1997">
        <f>'5. Management'!N18*100</f>
        <v>100</v>
      </c>
      <c r="L33" s="1995" t="str">
        <f>'5. Management'!J18</f>
        <v>Select level</v>
      </c>
      <c r="M33" s="2119">
        <f>IF(L33="",0,VLOOKUP(L33,List!$C$51:$D$57,2,))</f>
        <v>0</v>
      </c>
      <c r="N33" s="1996" t="str">
        <f>'5. Management'!P18</f>
        <v>NO</v>
      </c>
      <c r="O33" s="1997">
        <f>IF('5. Management'!Q18=0,10000,'5. Management'!Q18)</f>
        <v>1</v>
      </c>
      <c r="P33" s="1997">
        <f>'5. Management'!R18*100</f>
        <v>100</v>
      </c>
      <c r="Q33" s="3147">
        <f>IF(C33=List!$A$50,0,VLOOKUP($C33,$C$10:$X$18,18,)*((100-F33)/100))</f>
        <v>0</v>
      </c>
      <c r="R33" s="3146">
        <f>IF(C33=List!$A$50,0,VLOOKUP($C33,$C$10:$X$18,18,)*((100-H33)/100))</f>
        <v>0</v>
      </c>
      <c r="S33" s="3211">
        <f>IF(C33=List!$A$50,0,VLOOKUP($C33,$C$10:$X$18,18,)*((100-M33)/100))</f>
        <v>0</v>
      </c>
      <c r="T33" s="3143">
        <f>IF(C33=List!$A$50,0,((100-F33/2)/100)*VLOOKUP($C33,$C$10:$X$18,17,))</f>
        <v>0</v>
      </c>
      <c r="U33" s="3145">
        <f>IF(C33=List!$A$50,0,((100-H33/2)/100)*VLOOKUP($C33,$C$10:$X$18,17,))</f>
        <v>0</v>
      </c>
      <c r="V33" s="3210">
        <f>IF(C33=List!$A$50,0,((100-M33/2)/100)*VLOOKUP($C33,$C$10:$X$18,17,))</f>
        <v>0</v>
      </c>
      <c r="W33" s="597">
        <f t="shared" si="6"/>
        <v>0</v>
      </c>
      <c r="X33" s="1351">
        <f t="shared" si="7"/>
        <v>0</v>
      </c>
      <c r="Y33" s="233"/>
      <c r="Z33" s="3143">
        <f>IF(C33=List!$A$50,0,IF(J33&gt;time_tot,0,1)*2*IF(I33="yes",(MIN(R33,Q33)*time_tot+ABS(R33-Q33)*IF(R33&gt;Q33,time2+time*VLOOKUP(E49,List!$E$35:$F$37,2,),time*(1-VLOOKUP(E49,List!$E$35:$F$37,2,)))),0)*VLOOKUP($C33,$C$10:$X$18,21,)*VLOOKUP($C33,$C$10:$X$18,20,)*(K33/100)*(1/J33))</f>
        <v>0</v>
      </c>
      <c r="AA33" s="3145">
        <f>IF(C33=List!$A$50,0,IF(J33&gt;time_tot,0,1)*2*IF(I33="yes",(MIN(R33,Q33)*time_tot+ABS(R33-Q33)*IF(R33&gt;Q33,time2+time*VLOOKUP(E49,List!$E$35:$F$37,2,),time*(1-VLOOKUP(E49,List!$E$35:$F$37,2,)))),0)*VLOOKUP($C33,$C$10:$X$18,22,)*VLOOKUP($C33,$C$10:$X$18,20,)*(K33/100)*(1/J33))</f>
        <v>0</v>
      </c>
      <c r="AB33" s="3144">
        <f t="shared" si="2"/>
        <v>0</v>
      </c>
      <c r="AC33" s="3143">
        <f>IF(C33=List!$A$50,0,IF(O33&gt;time_tot,0,1)*2*IF(N33="yes",(MIN(S33,Q33)*time_tot+ABS(S33-Q33)*IF(S33&gt;Q33,time2+time*VLOOKUP(G49,List!$E$35:$F$37,2,),time*(1-VLOOKUP(E49,List!$E$35:$F$37,2,)))),0)*VLOOKUP($C33,$C$10:$X$18,21,)*VLOOKUP($C33,$C$10:$X$18,20,)*(P33/100)*(1/O33))</f>
        <v>0</v>
      </c>
      <c r="AD33" s="3148">
        <f>IF(C33=List!$A$50,0,IF(O33&gt;time_tot,0,1)*2*IF(N33="yes",(MIN(S33,Q33)*time_tot+ABS(S33-Q33)*IF(S33&gt;Q33,time2+time*VLOOKUP(G49,List!$E$35:$F$37,2,),time*(1-VLOOKUP(E49,List!$E$35:$F$37,2,)))),0)*VLOOKUP($C33,$C$10:$X$18,22,)*VLOOKUP($C33,$C$10:$X$18,20,)*(P33/100)*(1/O33))</f>
        <v>0</v>
      </c>
      <c r="AE33" s="602">
        <f t="shared" si="8"/>
        <v>0</v>
      </c>
      <c r="AF33" s="2410"/>
      <c r="AG33" s="2410"/>
      <c r="AH33" s="2403" t="s">
        <v>39</v>
      </c>
      <c r="AI33" s="2403">
        <f>time</f>
        <v>0</v>
      </c>
      <c r="AJ33" s="2403"/>
      <c r="AK33" s="2403"/>
      <c r="AL33" s="2413">
        <f t="shared" si="9"/>
        <v>0</v>
      </c>
      <c r="AM33" s="2413">
        <f t="shared" si="3"/>
        <v>0</v>
      </c>
      <c r="AN33" s="2413">
        <f t="shared" si="4"/>
        <v>0</v>
      </c>
      <c r="AO33" s="2413">
        <f t="shared" si="5"/>
        <v>0</v>
      </c>
      <c r="AP33" s="2403"/>
      <c r="AQ33" s="2403"/>
      <c r="AR33" s="2403"/>
      <c r="AS33" s="2403"/>
      <c r="AT33" s="2403"/>
      <c r="AU33" s="2403"/>
      <c r="AV33" s="2403"/>
    </row>
    <row r="34" spans="2:54" s="600" customFormat="1" ht="13.5" thickBot="1">
      <c r="B34" s="601" t="s">
        <v>146</v>
      </c>
      <c r="C34" s="3842" t="str">
        <f>'5. Management'!B19</f>
        <v>Select the vegetation</v>
      </c>
      <c r="D34" s="3843"/>
      <c r="E34" s="1995" t="str">
        <f>'5. Management'!F19</f>
        <v>Select level</v>
      </c>
      <c r="F34" s="3209">
        <f>IF(E34="",0,VLOOKUP(E34,List!$C$51:$D$57,2,))</f>
        <v>0</v>
      </c>
      <c r="G34" s="1995" t="str">
        <f>'5. Management'!H19</f>
        <v>Select level</v>
      </c>
      <c r="H34" s="2121">
        <f>IF(G34="",0,VLOOKUP(G34,List!$C$51:$D$57,2,))</f>
        <v>0</v>
      </c>
      <c r="I34" s="1996" t="str">
        <f>'5. Management'!L19</f>
        <v>NO</v>
      </c>
      <c r="J34" s="1997">
        <f>IF('5. Management'!M19=0,10000,'5. Management'!M19)</f>
        <v>1</v>
      </c>
      <c r="K34" s="1997">
        <f>'5. Management'!N19*100</f>
        <v>100</v>
      </c>
      <c r="L34" s="1995" t="str">
        <f>'5. Management'!J19</f>
        <v>Select level</v>
      </c>
      <c r="M34" s="2119">
        <f>IF(L34="",0,VLOOKUP(L34,List!$C$51:$D$57,2,))</f>
        <v>0</v>
      </c>
      <c r="N34" s="1996" t="str">
        <f>'5. Management'!P19</f>
        <v>NO</v>
      </c>
      <c r="O34" s="1997">
        <f>IF('5. Management'!Q19=0,10000,'5. Management'!Q19)</f>
        <v>1</v>
      </c>
      <c r="P34" s="1997">
        <f>'5. Management'!R19*100</f>
        <v>100</v>
      </c>
      <c r="Q34" s="3147">
        <f>IF(C34=List!$A$50,0,VLOOKUP($C34,$C$10:$X$18,18,)*((100-F34)/100))</f>
        <v>0</v>
      </c>
      <c r="R34" s="3146">
        <f>IF(C34=List!$A$50,0,VLOOKUP($C34,$C$10:$X$18,18,)*((100-H34)/100))</f>
        <v>0</v>
      </c>
      <c r="S34" s="3211">
        <f>IF(C34=List!$A$50,0,VLOOKUP($C34,$C$10:$X$18,18,)*((100-M34)/100))</f>
        <v>0</v>
      </c>
      <c r="T34" s="3143">
        <f>IF(C34=List!$A$50,0,((100-F34/2)/100)*VLOOKUP($C34,$C$10:$X$18,17,))</f>
        <v>0</v>
      </c>
      <c r="U34" s="3145">
        <f>IF(C34=List!$A$50,0,((100-H34/2)/100)*VLOOKUP($C34,$C$10:$X$18,17,))</f>
        <v>0</v>
      </c>
      <c r="V34" s="3210">
        <f>IF(C34=List!$A$50,0,((100-M34/2)/100)*VLOOKUP($C34,$C$10:$X$18,17,))</f>
        <v>0</v>
      </c>
      <c r="W34" s="597">
        <f t="shared" si="6"/>
        <v>0</v>
      </c>
      <c r="X34" s="1351">
        <f t="shared" si="7"/>
        <v>0</v>
      </c>
      <c r="Y34" s="614"/>
      <c r="Z34" s="3143">
        <f>IF(C34=List!$A$50,0,IF(J34&gt;time_tot,0,1)*2*IF(I34="yes",(MIN(R34,Q34)*time_tot+ABS(R34-Q34)*IF(R34&gt;Q34,time2+time*VLOOKUP(E50,List!$E$35:$F$37,2,),time*(1-VLOOKUP(E50,List!$E$35:$F$37,2,)))),0)*VLOOKUP($C34,$C$10:$X$18,21,)*VLOOKUP($C34,$C$10:$X$18,20,)*(K34/100)*(1/J34))</f>
        <v>0</v>
      </c>
      <c r="AA34" s="3145">
        <f>IF(C34=List!$A$50,0,IF(J34&gt;time_tot,0,1)*2*IF(I34="yes",(MIN(R34,Q34)*time_tot+ABS(R34-Q34)*IF(R34&gt;Q34,time2+time*VLOOKUP(E50,List!$E$35:$F$37,2,),time*(1-VLOOKUP(E50,List!$E$35:$F$37,2,)))),0)*VLOOKUP($C34,$C$10:$X$18,22,)*VLOOKUP($C34,$C$10:$X$18,20,)*(K34/100)*(1/J34))</f>
        <v>0</v>
      </c>
      <c r="AB34" s="3144">
        <f t="shared" si="2"/>
        <v>0</v>
      </c>
      <c r="AC34" s="3143">
        <f>IF(C34=List!$A$50,0,IF(O34&gt;time_tot,0,1)*2*IF(N34="yes",(MIN(S34,Q34)*time_tot+ABS(S34-Q34)*IF(S34&gt;Q34,time2+time*VLOOKUP(G50,List!$E$35:$F$37,2,),time*(1-VLOOKUP(E50,List!$E$35:$F$37,2,)))),0)*VLOOKUP($C34,$C$10:$X$18,21,)*VLOOKUP($C34,$C$10:$X$18,20,)*(P34/100)*(1/O34))</f>
        <v>0</v>
      </c>
      <c r="AD34" s="3148">
        <f>IF(C34=List!$A$50,0,IF(O34&gt;time_tot,0,1)*2*IF(N34="yes",(MIN(S34,Q34)*time_tot+ABS(S34-Q34)*IF(S34&gt;Q34,time2+time*VLOOKUP(G50,List!$E$35:$F$37,2,),time*(1-VLOOKUP(E50,List!$E$35:$F$37,2,)))),0)*VLOOKUP($C34,$C$10:$X$18,22,)*VLOOKUP($C34,$C$10:$X$18,20,)*(P34/100)*(1/O34))</f>
        <v>0</v>
      </c>
      <c r="AE34" s="602">
        <f t="shared" si="8"/>
        <v>0</v>
      </c>
      <c r="AF34" s="2413"/>
      <c r="AG34" s="2403"/>
      <c r="AH34" s="2403" t="s">
        <v>38</v>
      </c>
      <c r="AI34" s="2403">
        <f>time2</f>
        <v>0</v>
      </c>
      <c r="AJ34" s="2403"/>
      <c r="AK34" s="2403"/>
      <c r="AL34" s="2413">
        <f t="shared" si="9"/>
        <v>0</v>
      </c>
      <c r="AM34" s="2413">
        <f t="shared" si="3"/>
        <v>0</v>
      </c>
      <c r="AN34" s="2413">
        <f t="shared" si="4"/>
        <v>0</v>
      </c>
      <c r="AO34" s="2413">
        <f t="shared" si="5"/>
        <v>0</v>
      </c>
      <c r="AP34" s="2403"/>
      <c r="AQ34" s="2403"/>
      <c r="AR34" s="2403"/>
      <c r="AS34" s="2403"/>
      <c r="AT34" s="2403"/>
      <c r="AU34" s="2403"/>
      <c r="AV34" s="2403"/>
    </row>
    <row r="35" spans="2:54" s="600" customFormat="1">
      <c r="B35" s="601" t="s">
        <v>147</v>
      </c>
      <c r="C35" s="3842" t="str">
        <f>'5. Management'!B20</f>
        <v>Select the vegetation</v>
      </c>
      <c r="D35" s="3843"/>
      <c r="E35" s="1995" t="str">
        <f>'5. Management'!F20</f>
        <v>Select level</v>
      </c>
      <c r="F35" s="3209">
        <f>IF(E35="",0,VLOOKUP(E35,List!$C$51:$D$57,2,))</f>
        <v>0</v>
      </c>
      <c r="G35" s="1995" t="str">
        <f>'5. Management'!H20</f>
        <v>Select level</v>
      </c>
      <c r="H35" s="2121">
        <f>IF(G35="",0,VLOOKUP(G35,List!$C$51:$D$57,2,))</f>
        <v>0</v>
      </c>
      <c r="I35" s="1996" t="str">
        <f>'5. Management'!L20</f>
        <v>NO</v>
      </c>
      <c r="J35" s="1997">
        <f>IF('5. Management'!M20=0,10000,'5. Management'!M20)</f>
        <v>1</v>
      </c>
      <c r="K35" s="1997">
        <f>'5. Management'!N20*100</f>
        <v>100</v>
      </c>
      <c r="L35" s="1995" t="str">
        <f>'5. Management'!J20</f>
        <v>Select level</v>
      </c>
      <c r="M35" s="2119">
        <f>IF(L35="",0,VLOOKUP(L35,List!$C$51:$D$57,2,))</f>
        <v>0</v>
      </c>
      <c r="N35" s="1996" t="str">
        <f>'5. Management'!P20</f>
        <v>NO</v>
      </c>
      <c r="O35" s="1997">
        <f>IF('5. Management'!Q20=0,10000,'5. Management'!Q20)</f>
        <v>1</v>
      </c>
      <c r="P35" s="1997">
        <f>'5. Management'!R20*100</f>
        <v>100</v>
      </c>
      <c r="Q35" s="3147">
        <f>IF(C35=List!$A$50,0,VLOOKUP($C35,$C$10:$X$18,18,)*((100-F35)/100))</f>
        <v>0</v>
      </c>
      <c r="R35" s="3146">
        <f>IF(C35=List!$A$50,0,VLOOKUP($C35,$C$10:$X$18,18,)*((100-H35)/100))</f>
        <v>0</v>
      </c>
      <c r="S35" s="3211">
        <f>IF(C35=List!$A$50,0,VLOOKUP($C35,$C$10:$X$18,18,)*((100-M35)/100))</f>
        <v>0</v>
      </c>
      <c r="T35" s="3143">
        <f>IF(C35=List!$A$50,0,((100-F35/2)/100)*VLOOKUP($C35,$C$10:$X$18,17,))</f>
        <v>0</v>
      </c>
      <c r="U35" s="3145">
        <f>IF(C35=List!$A$50,0,((100-H35/2)/100)*VLOOKUP($C35,$C$10:$X$18,17,))</f>
        <v>0</v>
      </c>
      <c r="V35" s="3210">
        <f>IF(C35=List!$A$50,0,((100-M35/2)/100)*VLOOKUP($C35,$C$10:$X$18,17,))</f>
        <v>0</v>
      </c>
      <c r="W35" s="597">
        <f t="shared" si="6"/>
        <v>0</v>
      </c>
      <c r="X35" s="1351">
        <f t="shared" si="7"/>
        <v>0</v>
      </c>
      <c r="Y35" s="233"/>
      <c r="Z35" s="3143">
        <f>IF(C35=List!$A$50,0,IF(J35&gt;time_tot,0,1)*2*IF(I35="yes",(MIN(R35,Q35)*time_tot+ABS(R35-Q35)*IF(R35&gt;Q35,time2+time*VLOOKUP(E51,List!$E$35:$F$37,2,),time*(1-VLOOKUP(E51,List!$E$35:$F$37,2,)))),0)*VLOOKUP($C35,$C$10:$X$18,21,)*VLOOKUP($C35,$C$10:$X$18,20,)*(K35/100)*(1/J35))</f>
        <v>0</v>
      </c>
      <c r="AA35" s="3145">
        <f>IF(C35=List!$A$50,0,IF(J35&gt;time_tot,0,1)*2*IF(I35="yes",(MIN(R35,Q35)*time_tot+ABS(R35-Q35)*IF(R35&gt;Q35,time2+time*VLOOKUP(E51,List!$E$35:$F$37,2,),time*(1-VLOOKUP(E51,List!$E$35:$F$37,2,)))),0)*VLOOKUP($C35,$C$10:$X$18,22,)*VLOOKUP($C35,$C$10:$X$18,20,)*(K35/100)*(1/J35))</f>
        <v>0</v>
      </c>
      <c r="AB35" s="3144">
        <f t="shared" si="2"/>
        <v>0</v>
      </c>
      <c r="AC35" s="3143">
        <f>IF(C35=List!$A$50,0,IF(O35&gt;time_tot,0,1)*2*IF(N35="yes",(MIN(S35,Q35)*time_tot+ABS(S35-Q35)*IF(S35&gt;Q35,time2+time*VLOOKUP(G51,List!$E$35:$F$37,2,),time*(1-VLOOKUP(E51,List!$E$35:$F$37,2,)))),0)*VLOOKUP($C35,$C$10:$X$18,21,)*VLOOKUP($C35,$C$10:$X$18,20,)*(P35/100)*(1/O35))</f>
        <v>0</v>
      </c>
      <c r="AD35" s="3148">
        <f>IF(C35=List!$A$50,0,IF(O35&gt;time_tot,0,1)*2*IF(N35="yes",(MIN(S35,Q35)*time_tot+ABS(S35-Q35)*IF(S35&gt;Q35,time2+time*VLOOKUP(G51,List!$E$35:$F$37,2,),time*(1-VLOOKUP(E51,List!$E$35:$F$37,2,)))),0)*VLOOKUP($C35,$C$10:$X$18,22,)*VLOOKUP($C35,$C$10:$X$18,20,)*(P35/100)*(1/O35))</f>
        <v>0</v>
      </c>
      <c r="AE35" s="602">
        <f t="shared" si="8"/>
        <v>0</v>
      </c>
      <c r="AF35" s="2403"/>
      <c r="AG35" s="2410"/>
      <c r="AH35" s="2403" t="s">
        <v>39</v>
      </c>
      <c r="AI35" s="2403">
        <f>time</f>
        <v>0</v>
      </c>
      <c r="AJ35" s="2403"/>
      <c r="AK35" s="2403"/>
      <c r="AL35" s="2413">
        <f t="shared" si="9"/>
        <v>0</v>
      </c>
      <c r="AM35" s="2413">
        <f t="shared" si="3"/>
        <v>0</v>
      </c>
      <c r="AN35" s="2413">
        <f t="shared" si="4"/>
        <v>0</v>
      </c>
      <c r="AO35" s="2413">
        <f t="shared" si="5"/>
        <v>0</v>
      </c>
      <c r="AP35" s="2403"/>
      <c r="AQ35" s="2403"/>
      <c r="AR35" s="2403"/>
      <c r="AS35" s="2403"/>
      <c r="AT35" s="2403"/>
      <c r="AU35" s="2403"/>
      <c r="AV35" s="2403"/>
    </row>
    <row r="36" spans="2:54" s="600" customFormat="1">
      <c r="B36" s="601" t="s">
        <v>148</v>
      </c>
      <c r="C36" s="3212" t="s">
        <v>1490</v>
      </c>
      <c r="D36" s="605"/>
      <c r="E36" s="1253" t="s">
        <v>209</v>
      </c>
      <c r="F36" s="454">
        <f>IF(E36="",0,VLOOKUP(E36,List!$C$51:$D$57,2,))</f>
        <v>0</v>
      </c>
      <c r="G36" s="1253" t="s">
        <v>209</v>
      </c>
      <c r="H36" s="738">
        <f>IF(G36="",0,VLOOKUP(G36,List!$C$51:$D$57,2,))</f>
        <v>0</v>
      </c>
      <c r="I36" s="1608" t="s">
        <v>354</v>
      </c>
      <c r="J36" s="716">
        <v>1</v>
      </c>
      <c r="K36" s="1609">
        <v>25</v>
      </c>
      <c r="L36" s="1253" t="s">
        <v>209</v>
      </c>
      <c r="M36" s="454">
        <f>IF(L36="",0,VLOOKUP(L36,List!$C$51:$D$57,2,))</f>
        <v>0</v>
      </c>
      <c r="N36" s="1608" t="s">
        <v>354</v>
      </c>
      <c r="O36" s="716">
        <v>1</v>
      </c>
      <c r="P36" s="1609">
        <v>25</v>
      </c>
      <c r="Q36" s="603">
        <f>(T22)*((100-F36)/100)</f>
        <v>0</v>
      </c>
      <c r="R36" s="597">
        <f>(T22)*((100-H36)/100)</f>
        <v>0</v>
      </c>
      <c r="S36" s="1351">
        <f>(T22)*((100-M36)/100)</f>
        <v>0</v>
      </c>
      <c r="T36" s="603">
        <f>IF(C36=List!$A$50,0,((100-F36/2)/100)*S22)</f>
        <v>0</v>
      </c>
      <c r="U36" s="597">
        <f>IF(C36=List!$A$50,0,((100-H36/2)/100)*S22)</f>
        <v>0</v>
      </c>
      <c r="V36" s="1351">
        <f>IF(C36=List!$A$50,0,((100-M36/2)/100)*S22)</f>
        <v>0</v>
      </c>
      <c r="W36" s="597">
        <f t="shared" si="6"/>
        <v>0</v>
      </c>
      <c r="X36" s="1351">
        <f t="shared" si="7"/>
        <v>0</v>
      </c>
      <c r="Y36" s="614"/>
      <c r="Z36" s="603">
        <f>IF(time=0,AK51/IF(C52=0,1,C52),IF(C36=List!$A$50,0,IF(I36="NO",0,1)*IF(J36&lt;=time_tot,((R36*(time_tot)/J36)+(IF(J36&lt;=time/2,(time/J36)/2,(time-J36)/time)*ABS(Q36-R36)*VLOOKUP(E52,List!$E$35:$F$37,2,)))+IF(Q36&gt;R36,0,(R36-Q36)*(time_tot-time)/J36),0)*(K36/100)*V22*W22))</f>
        <v>0</v>
      </c>
      <c r="AA36" s="3128">
        <f>IF(time=0,AL51/IF(C52=0,1,C52),IF(C36=List!$A$50,0,IF(I36="NO",0,1)*IF(J36&lt;=time_tot,((R36*(time_tot)/J36)+(IF(J36&lt;=time/2,(time/J36)/2,(time-J36)/time)*ABS(Q36-R36)*VLOOKUP(E52,List!$E$35:$F$37,2,)))+IF(Q36&gt;R36,0,(R36-Q36)*(time_tot-time)/J36),0)*(K36/100)*V22*X22))</f>
        <v>0</v>
      </c>
      <c r="AB36" s="1592">
        <f t="shared" ref="AB36:AB37" si="10">(Z36*methane+AA36*Nitrous)/1000</f>
        <v>0</v>
      </c>
      <c r="AC36" s="603">
        <f>IF(time=0,AN51/IF(C52=0,1,C52),IF(C36=List!$A$50,0,IF(N36="NO",0,1)*IF(O36&lt;=time_tot,((S36*(time_tot)/O36)+(IF(O36&lt;=time/2,(time/O36)/2,(time-O36)/time)*ABS(Q36-S36)*VLOOKUP(G52,List!$E$35:$F$37,2,)))+IF(Q36&gt;S36,0,(S36-Q36)*(time_tot-time)/O36),0)*(P36/100)*V22*W22))</f>
        <v>0</v>
      </c>
      <c r="AD36" s="3128">
        <f>IF(time=0,AO51/IF(C52=0,1,C52),IF(C36=List!$A$50,0,IF(N36="NO",0,1)*IF(O36&lt;=time_tot,((S36*(time_tot)/O36)+(IF(O36&lt;=time/2,(time/O36)/2,(time-O36)/time)*ABS(Q36-S36)*VLOOKUP(G52,List!$E$35:$F$37,2,)))+IF(Q36&gt;S36,0,(S36-Q36)*(time_tot-time)/O36),0)*(P36/100)*V22*X22))</f>
        <v>0</v>
      </c>
      <c r="AE36" s="602">
        <f t="shared" si="8"/>
        <v>0</v>
      </c>
      <c r="AF36" s="2403"/>
      <c r="AG36" s="2403"/>
      <c r="AH36" s="2403"/>
      <c r="AI36" s="2403"/>
      <c r="AJ36" s="2403"/>
      <c r="AK36" s="2403"/>
      <c r="AL36" s="2413">
        <f t="shared" si="9"/>
        <v>0</v>
      </c>
      <c r="AM36" s="2413">
        <f t="shared" si="3"/>
        <v>0</v>
      </c>
      <c r="AN36" s="2413">
        <f t="shared" si="4"/>
        <v>0</v>
      </c>
      <c r="AO36" s="2413">
        <f t="shared" si="5"/>
        <v>0</v>
      </c>
      <c r="AP36" s="2403"/>
      <c r="AQ36" s="2403"/>
      <c r="AR36" s="2403"/>
      <c r="AS36" s="2403"/>
      <c r="AT36" s="2403"/>
      <c r="AU36" s="2403"/>
      <c r="AV36" s="2403"/>
    </row>
    <row r="37" spans="2:54" s="600" customFormat="1">
      <c r="B37" s="1244" t="s">
        <v>149</v>
      </c>
      <c r="C37" s="3213" t="s">
        <v>1490</v>
      </c>
      <c r="D37" s="609"/>
      <c r="E37" s="1254" t="s">
        <v>209</v>
      </c>
      <c r="F37" s="646">
        <f>IF(E37="",0,VLOOKUP(E37,List!$C$51:$D$57,2,))</f>
        <v>0</v>
      </c>
      <c r="G37" s="1254" t="s">
        <v>209</v>
      </c>
      <c r="H37" s="274">
        <f>IF(G37="",0,VLOOKUP(G37,List!$C$51:$D$57,2,))</f>
        <v>0</v>
      </c>
      <c r="I37" s="1610" t="s">
        <v>354</v>
      </c>
      <c r="J37" s="717">
        <v>1</v>
      </c>
      <c r="K37" s="1611">
        <v>25</v>
      </c>
      <c r="L37" s="1254" t="s">
        <v>209</v>
      </c>
      <c r="M37" s="646">
        <f>IF(L37="",0,VLOOKUP(L37,List!$C$51:$D$57,2,))</f>
        <v>0</v>
      </c>
      <c r="N37" s="1610" t="s">
        <v>354</v>
      </c>
      <c r="O37" s="717">
        <v>1</v>
      </c>
      <c r="P37" s="1611">
        <v>25</v>
      </c>
      <c r="Q37" s="1263">
        <f>(T23)*((100-F37)/100)</f>
        <v>0</v>
      </c>
      <c r="R37" s="1352">
        <f>(T23)*((100-H37)/100)</f>
        <v>0</v>
      </c>
      <c r="S37" s="1353">
        <f>(T23)*((100-M37)/100)</f>
        <v>0</v>
      </c>
      <c r="T37" s="1263">
        <f>IF(C37=List!$A$50,0,((100-F37/2)/100)*S23)</f>
        <v>0</v>
      </c>
      <c r="U37" s="1352">
        <f>IF(C37=List!$A$50,0,((100-H37/2)/100)*S23)</f>
        <v>0</v>
      </c>
      <c r="V37" s="1353">
        <f>IF(C37=List!$A$50,0,((100-M37/2)/100)*S23)</f>
        <v>0</v>
      </c>
      <c r="W37" s="1352">
        <f t="shared" si="6"/>
        <v>0</v>
      </c>
      <c r="X37" s="1353">
        <f t="shared" si="7"/>
        <v>0</v>
      </c>
      <c r="Y37" s="233"/>
      <c r="Z37" s="1263">
        <f>IF(time=0,AK52/IF(C53=0,1,C53),IF(C37=List!$A$50,0,IF(I37="NO",0,1)*IF(J37&lt;=time_tot,((R37*(time_tot)/J37)+(IF(J37&lt;=time/2,(time/J37)/2,(time-J37)/time)*ABS(Q37-R37)*VLOOKUP(E53,List!$E$35:$F$37,2,)))+IF(Q37&gt;R37,0,(R37-Q37)*(time_tot-time)/J37),0)*(K37/100)*V23*W23))</f>
        <v>0</v>
      </c>
      <c r="AA37" s="3129">
        <f>IF(time=0,AL52/IF(C53=0,1,C53),IF(C37=List!$A$50,0,IF(I37="NO",0,1)*IF(J37&lt;=time_tot,((R37*(time_tot)/J37)+(IF(J37&lt;=time/2,(time/J37)/2,(time-J37)/time)*ABS(Q37-R37)*VLOOKUP(E53,List!$E$35:$F$37,2,)))+IF(Q37&gt;R37,0,(R37-Q37)*(time_tot-time)/J37),0)*(K37/100)*V23*X23))</f>
        <v>0</v>
      </c>
      <c r="AB37" s="1622">
        <f t="shared" si="10"/>
        <v>0</v>
      </c>
      <c r="AC37" s="1263">
        <f>IF(time=0,AN52/IF(C53=0,1,C53),IF(C37=List!$A$50,0,IF(N37="NO",0,1)*IF(O37&lt;=time_tot,((S37*(time_tot)/O37)+(IF(O37&lt;=time/2,(time/O37)/2,(time-O37)/time)*ABS(Q37-S37)*VLOOKUP(G53,List!$E$35:$F$37,2,)))+IF(Q37&gt;S37,0,(S37-Q37)*(time_tot-time)/O37),0)*(P37/100)*V23*W23))</f>
        <v>0</v>
      </c>
      <c r="AD37" s="3129">
        <f>IF(time=0,AO52/IF(C53=0,1,C53),IF(C37=List!$A$50,0,IF(N37="NO",0,1)*IF(O37&lt;=time_tot,((S37*(time_tot)/O37)+(IF(O37&lt;=time/2,(time/O37)/2,(time-O37)/time)*ABS(Q37-S37)*VLOOKUP(G53,List!$E$35:$F$37,2,)))+IF(Q37&gt;S37,0,(S37-Q37)*(time_tot-time)/O37),0)*(P37/100)*V23*X23))</f>
        <v>0</v>
      </c>
      <c r="AE37" s="1623">
        <f t="shared" si="8"/>
        <v>0</v>
      </c>
      <c r="AF37" s="2403"/>
      <c r="AG37" s="2403"/>
      <c r="AH37" s="2403"/>
      <c r="AI37" s="2403"/>
      <c r="AJ37" s="2403"/>
      <c r="AK37" s="2403"/>
      <c r="AL37" s="2413">
        <f t="shared" si="9"/>
        <v>0</v>
      </c>
      <c r="AM37" s="2413">
        <f t="shared" si="3"/>
        <v>0</v>
      </c>
      <c r="AN37" s="2413">
        <f t="shared" si="4"/>
        <v>0</v>
      </c>
      <c r="AO37" s="2413">
        <f t="shared" si="5"/>
        <v>0</v>
      </c>
      <c r="AP37" s="2403"/>
      <c r="AQ37" s="2403"/>
      <c r="AR37" s="2403"/>
      <c r="AS37" s="2403"/>
      <c r="AT37" s="2403"/>
      <c r="AU37" s="2403"/>
      <c r="AV37" s="2403"/>
    </row>
    <row r="38" spans="2:54" s="600" customFormat="1">
      <c r="B38" s="612"/>
      <c r="C38" s="613"/>
      <c r="D38" s="612"/>
      <c r="E38" s="612"/>
      <c r="F38" s="612"/>
      <c r="H38" s="614"/>
      <c r="I38" s="614"/>
      <c r="T38" s="614"/>
      <c r="U38" s="615"/>
      <c r="V38" s="615"/>
      <c r="W38" s="1265" t="s">
        <v>262</v>
      </c>
      <c r="X38" s="616"/>
      <c r="Y38" s="614"/>
      <c r="Z38" s="615"/>
      <c r="AA38" s="739"/>
      <c r="AB38" s="739"/>
      <c r="AC38" s="739"/>
      <c r="AD38" s="739"/>
      <c r="AE38" s="1069"/>
      <c r="AF38" s="2403"/>
      <c r="AG38" s="2403"/>
      <c r="AH38" s="2403"/>
      <c r="AI38" s="2403"/>
      <c r="AJ38" s="2403"/>
      <c r="AK38" s="2403" t="s">
        <v>177</v>
      </c>
      <c r="AL38" s="2413">
        <f>SUM(AL28:AL37)</f>
        <v>0</v>
      </c>
      <c r="AM38" s="2413">
        <f>SUM(AM28:AM37)</f>
        <v>0</v>
      </c>
      <c r="AN38" s="2413">
        <f>SUM(AN28:AN37)</f>
        <v>0</v>
      </c>
      <c r="AO38" s="2413">
        <f>SUM(AO28:AO37)</f>
        <v>0</v>
      </c>
      <c r="AP38" s="2403"/>
      <c r="AQ38" s="2403"/>
      <c r="AR38" s="2403"/>
      <c r="AS38" s="2403"/>
      <c r="AT38" s="2403"/>
      <c r="AU38" s="2403"/>
      <c r="AV38" s="2403"/>
    </row>
    <row r="39" spans="2:54">
      <c r="Y39" s="233"/>
      <c r="Z39" s="234">
        <f>IF(C30=List!A52,0,1)</f>
        <v>1</v>
      </c>
    </row>
    <row r="40" spans="2:54">
      <c r="B40" s="617" t="s">
        <v>1001</v>
      </c>
      <c r="C40" s="618"/>
      <c r="D40" s="618"/>
      <c r="E40" s="618"/>
      <c r="F40" s="619"/>
      <c r="G40" s="618"/>
      <c r="H40" s="619"/>
      <c r="I40" s="619"/>
      <c r="J40" s="619"/>
      <c r="K40" s="618"/>
      <c r="L40" s="619"/>
      <c r="M40" s="618"/>
      <c r="N40" s="618"/>
      <c r="O40" s="620"/>
      <c r="P40" s="620"/>
      <c r="AH40" s="2410" t="s">
        <v>55</v>
      </c>
      <c r="AK40" s="2403" t="s">
        <v>178</v>
      </c>
      <c r="AW40" s="2403"/>
      <c r="AX40" s="2403"/>
    </row>
    <row r="41" spans="2:54" ht="13.5" thickBot="1">
      <c r="B41" s="269" t="s">
        <v>190</v>
      </c>
      <c r="C41" s="1266" t="s">
        <v>167</v>
      </c>
      <c r="D41" s="1266"/>
      <c r="E41" s="1242"/>
      <c r="F41" s="1242"/>
      <c r="G41" s="1243"/>
      <c r="H41" s="3814" t="s">
        <v>188</v>
      </c>
      <c r="I41" s="3815"/>
      <c r="J41" s="558" t="s">
        <v>544</v>
      </c>
      <c r="K41" s="560"/>
      <c r="L41" s="3814" t="s">
        <v>540</v>
      </c>
      <c r="M41" s="3815"/>
      <c r="N41" s="3753" t="s">
        <v>671</v>
      </c>
      <c r="O41" s="3754"/>
      <c r="P41" s="554" t="s">
        <v>343</v>
      </c>
      <c r="R41" s="244"/>
      <c r="AH41" s="2410" t="s">
        <v>263</v>
      </c>
      <c r="AK41" s="2403" t="s">
        <v>674</v>
      </c>
      <c r="AN41" s="2403" t="s">
        <v>675</v>
      </c>
      <c r="AR41" s="2410"/>
      <c r="AS41" s="2410" t="s">
        <v>1569</v>
      </c>
      <c r="AV41" s="2410"/>
      <c r="AW41" s="2410"/>
      <c r="AX41" s="2410"/>
    </row>
    <row r="42" spans="2:54">
      <c r="B42" s="271" t="s">
        <v>652</v>
      </c>
      <c r="C42" s="1270" t="s">
        <v>340</v>
      </c>
      <c r="D42" s="624" t="s">
        <v>673</v>
      </c>
      <c r="E42" s="625"/>
      <c r="F42" s="626" t="s">
        <v>672</v>
      </c>
      <c r="G42" s="627"/>
      <c r="H42" s="628" t="s">
        <v>674</v>
      </c>
      <c r="I42" s="629" t="s">
        <v>675</v>
      </c>
      <c r="J42" s="628" t="s">
        <v>674</v>
      </c>
      <c r="K42" s="629" t="s">
        <v>675</v>
      </c>
      <c r="L42" s="628" t="s">
        <v>674</v>
      </c>
      <c r="M42" s="629" t="s">
        <v>675</v>
      </c>
      <c r="N42" s="628" t="s">
        <v>674</v>
      </c>
      <c r="O42" s="629" t="s">
        <v>675</v>
      </c>
      <c r="P42" s="582"/>
      <c r="AA42" s="2412"/>
      <c r="AB42" s="2412" t="s">
        <v>2517</v>
      </c>
      <c r="AC42" s="739" t="s">
        <v>2516</v>
      </c>
      <c r="AH42" s="2403" t="s">
        <v>54</v>
      </c>
      <c r="AI42" s="2403" t="s">
        <v>675</v>
      </c>
      <c r="AK42" s="2410" t="s">
        <v>179</v>
      </c>
      <c r="AL42" s="2410" t="s">
        <v>180</v>
      </c>
      <c r="AM42" s="2414" t="s">
        <v>181</v>
      </c>
      <c r="AP42" s="2414" t="s">
        <v>181</v>
      </c>
      <c r="AR42" s="2410"/>
      <c r="AS42" s="2410" t="s">
        <v>347</v>
      </c>
      <c r="AT42" s="2403" t="s">
        <v>54</v>
      </c>
      <c r="AU42" s="2403" t="s">
        <v>274</v>
      </c>
      <c r="AV42" s="2410"/>
      <c r="AW42" s="2410"/>
      <c r="AX42" s="2410"/>
      <c r="BA42" s="2403" t="s">
        <v>1562</v>
      </c>
      <c r="BB42" s="2403"/>
    </row>
    <row r="43" spans="2:54" ht="13.5" thickBot="1">
      <c r="B43" s="271"/>
      <c r="C43" s="1270" t="s">
        <v>347</v>
      </c>
      <c r="D43" s="631" t="s">
        <v>341</v>
      </c>
      <c r="E43" s="632" t="s">
        <v>348</v>
      </c>
      <c r="F43" s="633" t="s">
        <v>341</v>
      </c>
      <c r="G43" s="634" t="s">
        <v>348</v>
      </c>
      <c r="H43" s="637" t="s">
        <v>541</v>
      </c>
      <c r="I43" s="638" t="s">
        <v>541</v>
      </c>
      <c r="J43" s="637" t="s">
        <v>541</v>
      </c>
      <c r="K43" s="638" t="s">
        <v>541</v>
      </c>
      <c r="L43" s="637" t="s">
        <v>541</v>
      </c>
      <c r="M43" s="638" t="s">
        <v>541</v>
      </c>
      <c r="N43" s="637" t="s">
        <v>541</v>
      </c>
      <c r="O43" s="638" t="s">
        <v>541</v>
      </c>
      <c r="P43" s="595" t="s">
        <v>541</v>
      </c>
      <c r="AA43" s="2412" t="s">
        <v>23</v>
      </c>
      <c r="AB43" s="2412" t="s">
        <v>516</v>
      </c>
      <c r="AH43" s="2413">
        <f>-$W28*(IF(E44="immediate",IF(D44&gt;0,D44*MIN(20,time),0),D44*IF(time&gt;time+20,20,IF(time&lt;20,(time*VLOOKUP(E44,List!$E$35:$F$37,2,))+(time-time),((MIN(20,time)*VLOOKUP(E44,List!$E$35:$F$37,2,))+(time-MIN(20,time))-IF(E44="exponential",time-20+0.217*time*(EXP(4.606*(20-time)/time)-1),((time-20)^2)*(0.5/time)))))))</f>
        <v>0</v>
      </c>
      <c r="AI43" s="2413">
        <f>-$X28*(IF(G44="immediate",IF(F44&gt;0,F44*MIN(20,time),0),F44*IF(time&gt;time+20,20,IF(time&lt;20,(time*VLOOKUP(G44,List!$E$35:$F$37,2,))+(time-time),((MIN(20,time)*VLOOKUP(G44,List!$E$35:$F$37,2,))+(time-MIN(20,time))-IF(G44="exponential",time-20+0.217*time*(EXP(4.606*(20-time)/time)-1),((time-20)^2)*(0.5/time)))))))</f>
        <v>0</v>
      </c>
      <c r="AK43" s="3149">
        <f>IF(C28=List!$A$50,0,C44*IF(J28&gt;time_tot,0,1)*2*IF(I28="yes",(MIN(R28,Q28)*time+ABS(R28-Q28)*IF(R28&gt;Q28,0+time*VLOOKUP(E44,List!$E$35:$F$37,2,),time*(1-VLOOKUP(E44,List!$E$35:$F$37,2,)))),0)*VLOOKUP($C28,$C$10:$X$18,21,)*VLOOKUP($C28,$C$10:$X$18,20,)*(K28/100)*(1/J28))</f>
        <v>0</v>
      </c>
      <c r="AL43" s="3149">
        <f>IF(C28=List!$A$50,0,C44*IF(J28&gt;time_tot,0,1)*2*IF(I28="yes",(MIN(R28,Q28)*time+ABS(R28-Q28)*IF(R28&gt;Q28,0+time*VLOOKUP(E44,List!$E$35:$F$37,2,),time*(1-VLOOKUP(E44,List!$E$35:$F$37,2,)))),0)*VLOOKUP($C28,$C$10:$X$18,22,)*VLOOKUP($C28,$C$10:$X$18,20,)*(K28/100)*(1/J28))</f>
        <v>0</v>
      </c>
      <c r="AM43" s="2415">
        <f t="shared" ref="AM43:AM52" si="11">(AK43*methane+AL43*Nitrous)/1000</f>
        <v>0</v>
      </c>
      <c r="AN43" s="3151">
        <f>IF(C28=List!$A$50,0,C44*IF(O28&gt;time_tot,0,1)*2*IF(N28="yes",(MIN(S28,Q28)*time_tot+ABS(S28-Q28)*IF(S28&gt;Q28,time2+time*VLOOKUP(G44,List!$E$35:$F$37,2,),time*(1-VLOOKUP(E44,List!$E$35:$F$37,2,)))),0)*VLOOKUP($C28,$C$10:$X$18,21,)*VLOOKUP($C28,$C$10:$X$18,20,)*(P28/100)*(1/O28))</f>
        <v>0</v>
      </c>
      <c r="AO43" s="3151">
        <f>IF(C28=List!$A$50,0,C44*IF(O28&gt;time_tot,0,1)*2*IF(N28="yes",(MIN(S28,Q28)*time_tot+ABS(S28-Q28)*IF(S28&gt;Q28,time2+time*VLOOKUP(G44,List!$E$35:$F$37,2,),time*(1-VLOOKUP(E44,List!$E$35:$F$37,2,)))),0)*VLOOKUP($C28,$C$10:$X$18,22,)*VLOOKUP($C28,$C$10:$X$18,20,)*(P28/100)*(1/O28))</f>
        <v>0</v>
      </c>
      <c r="AP43" s="2415">
        <f t="shared" ref="AP43:AP52" si="12">(AN43*methane+AO43*Nitrous)/1000</f>
        <v>0</v>
      </c>
      <c r="AR43" s="2410"/>
      <c r="AS43" s="2410">
        <f>C44*IF(F28&gt;0,1,0)</f>
        <v>0</v>
      </c>
      <c r="AT43" s="2410">
        <f>D44*IF(H28&gt;0,1,0)</f>
        <v>0</v>
      </c>
      <c r="AU43" s="2410">
        <f>F44*IF(M28&gt;0,1,0)</f>
        <v>0</v>
      </c>
      <c r="AV43" s="2410"/>
      <c r="AW43" s="2410"/>
      <c r="AX43" s="2410"/>
      <c r="BA43" s="2403" t="s">
        <v>54</v>
      </c>
      <c r="BB43" s="2403" t="s">
        <v>274</v>
      </c>
    </row>
    <row r="44" spans="2:54" ht="13.5" thickBot="1">
      <c r="B44" s="271" t="str">
        <f t="shared" ref="B44:B53" si="13">B28</f>
        <v>Veget.1</v>
      </c>
      <c r="C44" s="1998">
        <f>'5. Management'!T13</f>
        <v>0</v>
      </c>
      <c r="D44" s="1291">
        <f>C44</f>
        <v>0</v>
      </c>
      <c r="E44" s="2253" t="str">
        <f>VLOOKUP('5. Management'!V13,List!$D$35:$E$37,2,)</f>
        <v>Linear</v>
      </c>
      <c r="F44" s="1292">
        <f>C44</f>
        <v>0</v>
      </c>
      <c r="G44" s="2253" t="str">
        <f>VLOOKUP('5. Management'!X13,List!$D$35:$E$37,2,)</f>
        <v>Linear</v>
      </c>
      <c r="H44" s="1361">
        <f t="shared" ref="H44:H53" si="14">D44*($Q28-R28)*44/12</f>
        <v>0</v>
      </c>
      <c r="I44" s="1477">
        <f t="shared" ref="I44:I53" si="15">$F44*($Q28-S28)*44/12</f>
        <v>0</v>
      </c>
      <c r="J44" s="1361">
        <f>$C44*AB28</f>
        <v>0</v>
      </c>
      <c r="K44" s="1362">
        <f t="shared" ref="K44:K53" si="16">$C44*AE28</f>
        <v>0</v>
      </c>
      <c r="L44" s="1446">
        <f>-$W28*(IF(E44="immediate",IF(D44&gt;0,D44*MIN(20,time_tot),0),D44*IF(time_tot&gt;time+20,20,IF(time_tot&lt;20,(time*VLOOKUP(E44,List!$E$35:$F$37,2,))+(time_tot-time),((MIN(20,time)*VLOOKUP(E44,List!$E$35:$F$37,2,))+(time_tot-MIN(20,time))-IF(E44="exponential",time_tot-20+0.217*time*(EXP(4.606*(20-time_tot)/time)-1),((time_tot-20)^2)*(0.5/time)))))))</f>
        <v>0</v>
      </c>
      <c r="M44" s="1468">
        <f>-$X28*(IF(G44="immediate",IF(F44&gt;0,F44*MIN(20,time_tot),0),F44*IF(time_tot&gt;time+20,20,IF(time_tot&lt;20,(time*VLOOKUP(G44,List!$E$35:$F$37,2,))+(time_tot-time),((MIN(20,time)*VLOOKUP(G44,List!$E$35:$F$37,2,))+(time_tot-MIN(20,time))-IF(G44="exponential",time_tot-20+0.217*time*(EXP(4.606*(20-time_tot)/time)-1),((time_tot-20)^2)*(0.5/time)))))))</f>
        <v>0</v>
      </c>
      <c r="N44" s="1446">
        <f>H44+L44+J44</f>
        <v>0</v>
      </c>
      <c r="O44" s="1447">
        <f>I44+M44+K44</f>
        <v>0</v>
      </c>
      <c r="P44" s="1619">
        <f t="shared" ref="P44:P53" si="17">O44-N44</f>
        <v>0</v>
      </c>
      <c r="AA44" s="2412" t="s">
        <v>24</v>
      </c>
      <c r="AB44" s="2412">
        <f>SUM(H44:H53)</f>
        <v>0</v>
      </c>
      <c r="AC44" s="2761">
        <f>SUM(I44:I53)</f>
        <v>0</v>
      </c>
      <c r="AH44" s="2413">
        <f>-$W29*(IF(E45="immediate",IF(D45&gt;0,D45*MIN(20,time),0),D45*IF(time&gt;time+20,20,IF(time&lt;20,(time*VLOOKUP(E45,List!$E$35:$F$37,2,))+(time-time),((MIN(20,time)*VLOOKUP(E45,List!$E$35:$F$37,2,))+(time-MIN(20,time))-IF(E45="exponential",time-20+0.217*time*(EXP(4.606*(20-time)/time)-1),((time-20)^2)*(0.5/time)))))))</f>
        <v>0</v>
      </c>
      <c r="AI44" s="2413">
        <f>-$X29*(IF(G45="immediate",IF(F45&gt;0,F45*MIN(20,time),0),F45*IF(time&gt;time+20,20,IF(time&lt;20,(time*VLOOKUP(G45,List!$E$35:$F$37,2,))+(time-time),((MIN(20,time)*VLOOKUP(G45,List!$E$35:$F$37,2,))+(time-MIN(20,time))-IF(G45="exponential",time-20+0.217*time*(EXP(4.606*(20-time)/time)-1),((time-20)^2)*(0.5/time)))))))</f>
        <v>0</v>
      </c>
      <c r="AK44" s="3149">
        <f>IF(C29=List!$A$50,0,C45*IF(J29&gt;time_tot,0,1)*2*IF(I29="yes",(MIN(R29,Q29)*time+ABS(R29-Q29)*IF(R29&gt;Q29,0+time*VLOOKUP(E45,List!$E$35:$F$37,2,),time*(1-VLOOKUP(E45,List!$E$35:$F$37,2,)))),0)*VLOOKUP($C29,$C$10:$X$18,21,)*VLOOKUP($C29,$C$10:$X$18,20,)*(K29/100)*(1/J29))</f>
        <v>0</v>
      </c>
      <c r="AL44" s="3149">
        <f>IF(C29=List!$A$50,0,C45*IF(J29&gt;time_tot,0,1)*2*IF(I29="yes",(MIN(R29,Q29)*time+ABS(R29-Q29)*IF(R29&gt;Q29,0+time*VLOOKUP(E45,List!$E$35:$F$37,2,),time*(1-VLOOKUP(E45,List!$E$35:$F$37,2,)))),0)*VLOOKUP($C29,$C$10:$X$18,22,)*VLOOKUP($C29,$C$10:$X$18,20,)*(K29/100)*(1/J29))</f>
        <v>0</v>
      </c>
      <c r="AM44" s="2415">
        <f t="shared" si="11"/>
        <v>0</v>
      </c>
      <c r="AN44" s="3151">
        <f>IF(C29=List!$A$50,0,C45*IF(O29&gt;time_tot,0,1)*2*IF(N29="yes",(MIN(S29,Q29)*time_tot+ABS(S29-Q29)*IF(S29&gt;Q29,time2+time*VLOOKUP(G45,List!$E$35:$F$37,2,),time*(1-VLOOKUP(E45,List!$E$35:$F$37,2,)))),0)*VLOOKUP($C29,$C$10:$X$18,21,)*VLOOKUP($C29,$C$10:$X$18,20,)*(P29/100)*(1/O29))</f>
        <v>0</v>
      </c>
      <c r="AO44" s="3151">
        <f>IF(C29=List!$A$50,0,C45*IF(O29&gt;time_tot,0,1)*2*IF(N29="yes",(MIN(S29,Q29)*time_tot+ABS(S29-Q29)*IF(S29&gt;Q29,time2+time*VLOOKUP(G45,List!$E$35:$F$37,2,),time*(1-VLOOKUP(E45,List!$E$35:$F$37,2,)))),0)*VLOOKUP($C29,$C$10:$X$18,22,)*VLOOKUP($C29,$C$10:$X$18,20,)*(P29/100)*(1/O29))</f>
        <v>0</v>
      </c>
      <c r="AP44" s="2415">
        <f t="shared" si="12"/>
        <v>0</v>
      </c>
      <c r="AR44" s="2410"/>
      <c r="AS44" s="2410">
        <f t="shared" ref="AS44:AS52" si="18">C45*IF(F29&gt;0,1,0)</f>
        <v>0</v>
      </c>
      <c r="AT44" s="2410">
        <f t="shared" ref="AT44:AT52" si="19">D45*IF(H29&gt;0,1,0)</f>
        <v>0</v>
      </c>
      <c r="AU44" s="2410">
        <f t="shared" ref="AU44:AU52" si="20">F45*IF(M29&gt;0,1,0)</f>
        <v>0</v>
      </c>
      <c r="AV44" s="2410"/>
      <c r="AW44" s="2410"/>
      <c r="AX44" s="2410"/>
      <c r="BA44" s="2403">
        <f>IF(AB28&gt;0,J44/AB28,0)*time_tot/J28</f>
        <v>0</v>
      </c>
      <c r="BB44" s="2403">
        <f t="shared" ref="BB44:BB53" si="21">IF(AE28&gt;0,K44/AE28,0)*time_tot/O28</f>
        <v>0</v>
      </c>
    </row>
    <row r="45" spans="2:54" ht="13.5" thickBot="1">
      <c r="B45" s="271" t="str">
        <f t="shared" si="13"/>
        <v>Veget.2</v>
      </c>
      <c r="C45" s="1998">
        <f>'5. Management'!T14</f>
        <v>0</v>
      </c>
      <c r="D45" s="1294">
        <f>C45</f>
        <v>0</v>
      </c>
      <c r="E45" s="2253" t="str">
        <f>VLOOKUP('5. Management'!V14,List!$D$35:$E$37,2,)</f>
        <v>Linear</v>
      </c>
      <c r="F45" s="1295">
        <f>C45</f>
        <v>0</v>
      </c>
      <c r="G45" s="2253" t="str">
        <f>VLOOKUP('5. Management'!X14,List!$D$35:$E$37,2,)</f>
        <v>Linear</v>
      </c>
      <c r="H45" s="1439">
        <f t="shared" si="14"/>
        <v>0</v>
      </c>
      <c r="I45" s="1478">
        <f t="shared" si="15"/>
        <v>0</v>
      </c>
      <c r="J45" s="1439">
        <f t="shared" ref="J45:J53" si="22">$C45*AB29</f>
        <v>0</v>
      </c>
      <c r="K45" s="1440">
        <f t="shared" si="16"/>
        <v>0</v>
      </c>
      <c r="L45" s="1448">
        <f>-$W29*(IF(E45="immediate",IF(D45&gt;0,D45*MIN(20,time_tot),0),D45*IF(time_tot&gt;time+20,20,IF(time_tot&lt;20,(time*VLOOKUP(E45,List!$E$35:$F$37,2,))+(time_tot-time),((MIN(20,time)*VLOOKUP(E45,List!$E$35:$F$37,2,))+(time_tot-MIN(20,time))-IF(E45="exponential",time_tot-20+0.217*time*(EXP(4.606*(20-time_tot)/time)-1),((time_tot-20)^2)*(0.5/time)))))))</f>
        <v>0</v>
      </c>
      <c r="M45" s="1453">
        <f>-$X29*(IF(G45="immediate",IF(F45&gt;0,F45*MIN(20,time_tot),0),F45*IF(time_tot&gt;time+20,20,IF(time_tot&lt;20,(time*VLOOKUP(G45,List!$E$35:$F$37,2,))+(time_tot-time),((MIN(20,time)*VLOOKUP(G45,List!$E$35:$F$37,2,))+(time_tot-MIN(20,time))-IF(G45="exponential",time_tot-20+0.217*time*(EXP(4.606*(20-time_tot)/time)-1),((time_tot-20)^2)*(0.5/time)))))))</f>
        <v>0</v>
      </c>
      <c r="N45" s="1448">
        <f t="shared" ref="N45:N53" si="23">H45+L45+J45</f>
        <v>0</v>
      </c>
      <c r="O45" s="1449">
        <f t="shared" ref="O45:O53" si="24">I45+M45+K45</f>
        <v>0</v>
      </c>
      <c r="P45" s="1620">
        <f t="shared" si="17"/>
        <v>0</v>
      </c>
      <c r="AA45" s="2412" t="s">
        <v>25</v>
      </c>
      <c r="AB45" s="2412">
        <f>SUM(L44:L53)</f>
        <v>0</v>
      </c>
      <c r="AC45" s="2761">
        <f>SUM(M44:M53)</f>
        <v>0</v>
      </c>
      <c r="AH45" s="2413">
        <f>-$W30*(IF(E46="immediate",IF(D46&gt;0,D46*MIN(20,time),0),D46*IF(time&gt;time+20,20,IF(time&lt;20,(time*VLOOKUP(E46,List!$E$35:$F$37,2,))+(time-time),((MIN(20,time)*VLOOKUP(E46,List!$E$35:$F$37,2,))+(time-MIN(20,time))-IF(E46="exponential",time-20+0.217*time*(EXP(4.606*(20-time)/time)-1),((time-20)^2)*(0.5/time)))))))</f>
        <v>0</v>
      </c>
      <c r="AI45" s="2413">
        <f>-$X30*(IF(G46="immediate",IF(F46&gt;0,F46*MIN(20,time),0),F46*IF(time&gt;time+20,20,IF(time&lt;20,(time*VLOOKUP(G46,List!$E$35:$F$37,2,))+(time-time),((MIN(20,time)*VLOOKUP(G46,List!$E$35:$F$37,2,))+(time-MIN(20,time))-IF(G46="exponential",time-20+0.217*time*(EXP(4.606*(20-time)/time)-1),((time-20)^2)*(0.5/time)))))))</f>
        <v>0</v>
      </c>
      <c r="AK45" s="3149">
        <f>IF(C30=List!$A$50,0,C46*IF(J30&gt;time_tot,0,1)*2*IF(I30="yes",(MIN(R30,Q30)*time+ABS(R30-Q30)*IF(R30&gt;Q30,0+time*VLOOKUP(E46,List!$E$35:$F$37,2,),time*(1-VLOOKUP(E46,List!$E$35:$F$37,2,)))),0)*VLOOKUP($C30,$C$10:$X$18,21,)*VLOOKUP($C30,$C$10:$X$18,20,)*(K30/100)*(1/J30))</f>
        <v>0</v>
      </c>
      <c r="AL45" s="3149">
        <f>IF(C30=List!$A$50,0,C46*IF(J30&gt;time_tot,0,1)*2*IF(I30="yes",(MIN(R30,Q30)*time+ABS(R30-Q30)*IF(R30&gt;Q30,0+time*VLOOKUP(E46,List!$E$35:$F$37,2,),time*(1-VLOOKUP(E46,List!$E$35:$F$37,2,)))),0)*VLOOKUP($C30,$C$10:$X$18,22,)*VLOOKUP($C30,$C$10:$X$18,20,)*(K30/100)*(1/J30))</f>
        <v>0</v>
      </c>
      <c r="AM45" s="2415">
        <f t="shared" si="11"/>
        <v>0</v>
      </c>
      <c r="AN45" s="3151">
        <f>IF(C30=List!$A$50,0,C46*IF(O30&gt;time_tot,0,1)*2*IF(N30="yes",(MIN(S30,Q30)*time_tot+ABS(S30-Q30)*IF(S30&gt;Q30,time2+time*VLOOKUP(G46,List!$E$35:$F$37,2,),time*(1-VLOOKUP(E46,List!$E$35:$F$37,2,)))),0)*VLOOKUP($C30,$C$10:$X$18,21,)*VLOOKUP($C30,$C$10:$X$18,20,)*(P30/100)*(1/O30))</f>
        <v>0</v>
      </c>
      <c r="AO45" s="3151">
        <f>IF(C30=List!$A$50,0,C46*IF(O30&gt;time_tot,0,1)*2*IF(N30="yes",(MIN(S30,Q30)*time_tot+ABS(S30-Q30)*IF(S30&gt;Q30,time2+time*VLOOKUP(G46,List!$E$35:$F$37,2,),time*(1-VLOOKUP(E46,List!$E$35:$F$37,2,)))),0)*VLOOKUP($C30,$C$10:$X$18,22,)*VLOOKUP($C30,$C$10:$X$18,20,)*(P30/100)*(1/O30))</f>
        <v>0</v>
      </c>
      <c r="AP45" s="2415">
        <f t="shared" si="12"/>
        <v>0</v>
      </c>
      <c r="AR45" s="2410"/>
      <c r="AS45" s="2410">
        <f t="shared" si="18"/>
        <v>0</v>
      </c>
      <c r="AT45" s="2410">
        <f t="shared" si="19"/>
        <v>0</v>
      </c>
      <c r="AU45" s="2410">
        <f t="shared" si="20"/>
        <v>0</v>
      </c>
      <c r="AV45" s="2410"/>
      <c r="AW45" s="2410"/>
      <c r="AX45" s="2410"/>
      <c r="BA45" s="2403">
        <f t="shared" ref="BA45:BA53" si="25">IF(AB29&gt;0,J45/AB29,0)*time_tot/J29</f>
        <v>0</v>
      </c>
      <c r="BB45" s="2403">
        <f t="shared" si="21"/>
        <v>0</v>
      </c>
    </row>
    <row r="46" spans="2:54" ht="13.5" thickBot="1">
      <c r="B46" s="271" t="str">
        <f t="shared" si="13"/>
        <v>Veget.3</v>
      </c>
      <c r="C46" s="1998">
        <f>'5. Management'!T15</f>
        <v>0</v>
      </c>
      <c r="D46" s="1294">
        <f t="shared" ref="D46:D52" si="26">C46</f>
        <v>0</v>
      </c>
      <c r="E46" s="2253" t="str">
        <f>VLOOKUP('5. Management'!V15,List!$D$35:$E$37,2,)</f>
        <v>Linear</v>
      </c>
      <c r="F46" s="1295">
        <f t="shared" ref="F46:F53" si="27">C46</f>
        <v>0</v>
      </c>
      <c r="G46" s="2253" t="str">
        <f>VLOOKUP('5. Management'!X15,List!$D$35:$E$37,2,)</f>
        <v>Linear</v>
      </c>
      <c r="H46" s="1439">
        <f t="shared" si="14"/>
        <v>0</v>
      </c>
      <c r="I46" s="1478">
        <f t="shared" si="15"/>
        <v>0</v>
      </c>
      <c r="J46" s="1439">
        <f t="shared" si="22"/>
        <v>0</v>
      </c>
      <c r="K46" s="1440">
        <f t="shared" si="16"/>
        <v>0</v>
      </c>
      <c r="L46" s="1448">
        <f>-$W30*(IF(E46="immediate",IF(D46&gt;0,D46*MIN(20,time_tot),0),D46*IF(time_tot&gt;time+20,20,IF(time_tot&lt;20,(time*VLOOKUP(E46,List!$E$35:$F$37,2,))+(time_tot-time),((MIN(20,time)*VLOOKUP(E46,List!$E$35:$F$37,2,))+(time_tot-MIN(20,time))-IF(E46="exponential",time_tot-20+0.217*time*(EXP(4.606*(20-time_tot)/time)-1),((time_tot-20)^2)*(0.5/time)))))))</f>
        <v>0</v>
      </c>
      <c r="M46" s="1453">
        <f>-$X30*(IF(G46="immediate",IF(F46&gt;0,F46*MIN(20,time_tot),0),F46*IF(time_tot&gt;time+20,20,IF(time_tot&lt;20,(time*VLOOKUP(G46,List!$E$35:$F$37,2,))+(time_tot-time),((MIN(20,time)*VLOOKUP(G46,List!$E$35:$F$37,2,))+(time_tot-MIN(20,time))-IF(G46="exponential",time_tot-20+0.217*time*(EXP(4.606*(20-time_tot)/time)-1),((time_tot-20)^2)*(0.5/time)))))))</f>
        <v>0</v>
      </c>
      <c r="N46" s="1448">
        <f t="shared" si="23"/>
        <v>0</v>
      </c>
      <c r="O46" s="1449">
        <f t="shared" si="24"/>
        <v>0</v>
      </c>
      <c r="P46" s="1620">
        <f t="shared" si="17"/>
        <v>0</v>
      </c>
      <c r="AA46" s="2412" t="s">
        <v>173</v>
      </c>
      <c r="AB46" s="2412">
        <f>AM38</f>
        <v>0</v>
      </c>
      <c r="AC46" s="2761">
        <f>AO38</f>
        <v>0</v>
      </c>
      <c r="AH46" s="2413">
        <f>-$W31*(IF(E47="immediate",IF(D47&gt;0,D47*MIN(20,time),0),D47*IF(time&gt;time+20,20,IF(time&lt;20,(time*VLOOKUP(E47,List!$E$35:$F$37,2,))+(time-time),((MIN(20,time)*VLOOKUP(E47,List!$E$35:$F$37,2,))+(time-MIN(20,time))-IF(E47="exponential",time-20+0.217*time*(EXP(4.606*(20-time)/time)-1),((time-20)^2)*(0.5/time)))))))</f>
        <v>0</v>
      </c>
      <c r="AI46" s="2413">
        <f>-$X31*(IF(G47="immediate",IF(F47&gt;0,F47*MIN(20,time),0),F47*IF(time&gt;time+20,20,IF(time&lt;20,(time*VLOOKUP(G47,List!$E$35:$F$37,2,))+(time-time),((MIN(20,time)*VLOOKUP(G47,List!$E$35:$F$37,2,))+(time-MIN(20,time))-IF(G47="exponential",time-20+0.217*time*(EXP(4.606*(20-time)/time)-1),((time-20)^2)*(0.5/time)))))))</f>
        <v>0</v>
      </c>
      <c r="AK46" s="3149">
        <f>IF(C31=List!$A$50,0,C47*IF(J31&gt;time_tot,0,1)*2*IF(I31="yes",(MIN(R31,Q31)*time+ABS(R31-Q31)*IF(R31&gt;Q31,0+time*VLOOKUP(E47,List!$E$35:$F$37,2,),time*(1-VLOOKUP(E47,List!$E$35:$F$37,2,)))),0)*VLOOKUP($C31,$C$10:$X$18,21,)*VLOOKUP($C31,$C$10:$X$18,20,)*(K31/100)*(1/J31))</f>
        <v>0</v>
      </c>
      <c r="AL46" s="3149">
        <f>IF(C31=List!$A$50,0,C47*IF(J31&gt;time_tot,0,1)*2*IF(I31="yes",(MIN(R31,Q31)*time+ABS(R31-Q31)*IF(R31&gt;Q31,0+time*VLOOKUP(E47,List!$E$35:$F$37,2,),time*(1-VLOOKUP(E47,List!$E$35:$F$37,2,)))),0)*VLOOKUP($C31,$C$10:$X$18,22,)*VLOOKUP($C31,$C$10:$X$18,20,)*(K31/100)*(1/J31))</f>
        <v>0</v>
      </c>
      <c r="AM46" s="2415">
        <f t="shared" si="11"/>
        <v>0</v>
      </c>
      <c r="AN46" s="3151">
        <f>IF(C31=List!$A$50,0,C47*IF(O31&gt;time_tot,0,1)*2*IF(N31="yes",(MIN(S31,Q31)*time_tot+ABS(S31-Q31)*IF(S31&gt;Q31,time2+time*VLOOKUP(G47,List!$E$35:$F$37,2,),time*(1-VLOOKUP(E47,List!$E$35:$F$37,2,)))),0)*VLOOKUP($C31,$C$10:$X$18,21,)*VLOOKUP($C31,$C$10:$X$18,20,)*(P31/100)*(1/O31))</f>
        <v>0</v>
      </c>
      <c r="AO46" s="3151">
        <f>IF(C31=List!$A$50,0,C47*IF(O31&gt;time_tot,0,1)*2*IF(N31="yes",(MIN(S31,Q31)*time_tot+ABS(S31-Q31)*IF(S31&gt;Q31,time2+time*VLOOKUP(G47,List!$E$35:$F$37,2,),time*(1-VLOOKUP(E47,List!$E$35:$F$37,2,)))),0)*VLOOKUP($C31,$C$10:$X$18,22,)*VLOOKUP($C31,$C$10:$X$18,20,)*(P31/100)*(1/O31))</f>
        <v>0</v>
      </c>
      <c r="AP46" s="2415">
        <f t="shared" si="12"/>
        <v>0</v>
      </c>
      <c r="AR46" s="2410"/>
      <c r="AS46" s="2410">
        <f t="shared" si="18"/>
        <v>0</v>
      </c>
      <c r="AT46" s="2410">
        <f t="shared" si="19"/>
        <v>0</v>
      </c>
      <c r="AU46" s="2410">
        <f t="shared" si="20"/>
        <v>0</v>
      </c>
      <c r="AV46" s="2410"/>
      <c r="AW46" s="2410"/>
      <c r="AX46" s="2410"/>
      <c r="BA46" s="2403">
        <f t="shared" si="25"/>
        <v>0</v>
      </c>
      <c r="BB46" s="2403">
        <f t="shared" si="21"/>
        <v>0</v>
      </c>
    </row>
    <row r="47" spans="2:54" ht="13.5" thickBot="1">
      <c r="B47" s="271" t="str">
        <f t="shared" si="13"/>
        <v>Veget.4</v>
      </c>
      <c r="C47" s="1998">
        <f>'5. Management'!T16</f>
        <v>0</v>
      </c>
      <c r="D47" s="1294">
        <f t="shared" si="26"/>
        <v>0</v>
      </c>
      <c r="E47" s="2253" t="str">
        <f>VLOOKUP('5. Management'!V16,List!$D$35:$E$37,2,)</f>
        <v>Linear</v>
      </c>
      <c r="F47" s="1295">
        <f t="shared" si="27"/>
        <v>0</v>
      </c>
      <c r="G47" s="2253" t="str">
        <f>VLOOKUP('5. Management'!X16,List!$D$35:$E$37,2,)</f>
        <v>Linear</v>
      </c>
      <c r="H47" s="1439">
        <f t="shared" si="14"/>
        <v>0</v>
      </c>
      <c r="I47" s="1478">
        <f t="shared" si="15"/>
        <v>0</v>
      </c>
      <c r="J47" s="1439">
        <f t="shared" si="22"/>
        <v>0</v>
      </c>
      <c r="K47" s="1440">
        <f t="shared" si="16"/>
        <v>0</v>
      </c>
      <c r="L47" s="1448">
        <f>-$W31*(IF(E47="immediate",IF(D47&gt;0,D47*MIN(20,time_tot),0),D47*IF(time_tot&gt;time+20,20,IF(time_tot&lt;20,(time*VLOOKUP(E47,List!$E$35:$F$37,2,))+(time_tot-time),((MIN(20,time)*VLOOKUP(E47,List!$E$35:$F$37,2,))+(time_tot-MIN(20,time))-IF(E47="exponential",time_tot-20+0.217*time*(EXP(4.606*(20-time_tot)/time)-1),((time_tot-20)^2)*(0.5/time)))))))</f>
        <v>0</v>
      </c>
      <c r="M47" s="1453">
        <f>-$X31*(IF(G47="immediate",IF(F47&gt;0,F47*MIN(20,time_tot),0),F47*IF(time_tot&gt;time+20,20,IF(time_tot&lt;20,(time*VLOOKUP(G47,List!$E$35:$F$37,2,))+(time_tot-time),((MIN(20,time)*VLOOKUP(G47,List!$E$35:$F$37,2,))+(time_tot-MIN(20,time))-IF(G47="exponential",time_tot-20+0.217*time*(EXP(4.606*(20-time_tot)/time)-1),((time_tot-20)^2)*(0.5/time)))))))</f>
        <v>0</v>
      </c>
      <c r="N47" s="1448">
        <f t="shared" si="23"/>
        <v>0</v>
      </c>
      <c r="O47" s="1449">
        <f t="shared" si="24"/>
        <v>0</v>
      </c>
      <c r="P47" s="1620">
        <f t="shared" si="17"/>
        <v>0</v>
      </c>
      <c r="AA47" s="2412" t="s">
        <v>174</v>
      </c>
      <c r="AB47" s="2412">
        <f>AL38</f>
        <v>0</v>
      </c>
      <c r="AC47" s="2761">
        <f>AN38</f>
        <v>0</v>
      </c>
      <c r="AF47" s="3150"/>
      <c r="AH47" s="2413">
        <f>-$W32*(IF(E48="immediate",IF(D48&gt;0,D48*MIN(20,time),0),D48*IF(time&gt;time+20,20,IF(time&lt;20,(time*VLOOKUP(E48,List!$E$35:$F$37,2,))+(time-time),((MIN(20,time)*VLOOKUP(E48,List!$E$35:$F$37,2,))+(time-MIN(20,time))-IF(E48="exponential",time-20+0.217*time*(EXP(4.606*(20-time)/time)-1),((time-20)^2)*(0.5/time)))))))</f>
        <v>0</v>
      </c>
      <c r="AI47" s="2413">
        <f>-$X32*(IF(G48="immediate",IF(F48&gt;0,F48*MIN(20,time),0),F48*IF(time&gt;time+20,20,IF(time&lt;20,(time*VLOOKUP(G48,List!$E$35:$F$37,2,))+(time-time),((MIN(20,time)*VLOOKUP(G48,List!$E$35:$F$37,2,))+(time-MIN(20,time))-IF(G48="exponential",time-20+0.217*time*(EXP(4.606*(20-time)/time)-1),((time-20)^2)*(0.5/time)))))))</f>
        <v>0</v>
      </c>
      <c r="AK47" s="3149">
        <f>IF(C32=List!$A$50,0,C48*IF(J32&gt;time_tot,0,1)*2*IF(I32="yes",(MIN(R32,Q32)*time+ABS(R32-Q32)*IF(R32&gt;Q32,0+time*VLOOKUP(E48,List!$E$35:$F$37,2,),time*(1-VLOOKUP(E48,List!$E$35:$F$37,2,)))),0)*VLOOKUP($C32,$C$10:$X$18,21,)*VLOOKUP($C32,$C$10:$X$18,20,)*(K32/100)*(1/J32))</f>
        <v>0</v>
      </c>
      <c r="AL47" s="3149">
        <f>IF(C32=List!$A$50,0,C48*IF(J32&gt;time_tot,0,1)*2*IF(I32="yes",(MIN(R32,Q32)*time+ABS(R32-Q32)*IF(R32&gt;Q32,0+time*VLOOKUP(E48,List!$E$35:$F$37,2,),time*(1-VLOOKUP(E48,List!$E$35:$F$37,2,)))),0)*VLOOKUP($C32,$C$10:$X$18,22,)*VLOOKUP($C32,$C$10:$X$18,20,)*(K32/100)*(1/J32))</f>
        <v>0</v>
      </c>
      <c r="AM47" s="2415">
        <f t="shared" si="11"/>
        <v>0</v>
      </c>
      <c r="AN47" s="3151">
        <f>IF(C32=List!$A$50,0,C48*IF(O32&gt;time_tot,0,1)*2*IF(N32="yes",(MIN(S32,Q32)*time_tot+ABS(S32-Q32)*IF(S32&gt;Q32,time2+time*VLOOKUP(G48,List!$E$35:$F$37,2,),time*(1-VLOOKUP(E48,List!$E$35:$F$37,2,)))),0)*VLOOKUP($C32,$C$10:$X$18,21,)*VLOOKUP($C32,$C$10:$X$18,20,)*(P32/100)*(1/O32))</f>
        <v>0</v>
      </c>
      <c r="AO47" s="3151">
        <f>IF(C32=List!$A$50,0,C48*IF(O32&gt;time_tot,0,1)*2*IF(N32="yes",(MIN(S32,Q32)*time_tot+ABS(S32-Q32)*IF(S32&gt;Q32,time2+time*VLOOKUP(G48,List!$E$35:$F$37,2,),time*(1-VLOOKUP(E48,List!$E$35:$F$37,2,)))),0)*VLOOKUP($C32,$C$10:$X$18,22,)*VLOOKUP($C32,$C$10:$X$18,20,)*(P32/100)*(1/O32))</f>
        <v>0</v>
      </c>
      <c r="AP47" s="2415">
        <f t="shared" si="12"/>
        <v>0</v>
      </c>
      <c r="AR47" s="2410"/>
      <c r="AS47" s="2410">
        <f t="shared" si="18"/>
        <v>0</v>
      </c>
      <c r="AT47" s="2410">
        <f t="shared" si="19"/>
        <v>0</v>
      </c>
      <c r="AU47" s="2410">
        <f t="shared" si="20"/>
        <v>0</v>
      </c>
      <c r="AV47" s="2410"/>
      <c r="AW47" s="2410"/>
      <c r="AX47" s="2410"/>
      <c r="BA47" s="2403">
        <f t="shared" si="25"/>
        <v>0</v>
      </c>
      <c r="BB47" s="2403">
        <f t="shared" si="21"/>
        <v>0</v>
      </c>
    </row>
    <row r="48" spans="2:54" ht="13.5" thickBot="1">
      <c r="B48" s="271" t="str">
        <f t="shared" si="13"/>
        <v>Veget.5</v>
      </c>
      <c r="C48" s="1998">
        <f>'5. Management'!T17</f>
        <v>0</v>
      </c>
      <c r="D48" s="1294">
        <f t="shared" si="26"/>
        <v>0</v>
      </c>
      <c r="E48" s="2253" t="str">
        <f>VLOOKUP('5. Management'!V17,List!$D$35:$E$37,2,)</f>
        <v>Linear</v>
      </c>
      <c r="F48" s="1295">
        <f t="shared" si="27"/>
        <v>0</v>
      </c>
      <c r="G48" s="2253" t="str">
        <f>VLOOKUP('5. Management'!X17,List!$D$35:$E$37,2,)</f>
        <v>Linear</v>
      </c>
      <c r="H48" s="1439">
        <f t="shared" si="14"/>
        <v>0</v>
      </c>
      <c r="I48" s="1478">
        <f t="shared" si="15"/>
        <v>0</v>
      </c>
      <c r="J48" s="1439">
        <f t="shared" si="22"/>
        <v>0</v>
      </c>
      <c r="K48" s="1440">
        <f t="shared" si="16"/>
        <v>0</v>
      </c>
      <c r="L48" s="1448">
        <f>-$W32*(IF(E48="immediate",IF(D48&gt;0,D48*MIN(20,time_tot),0),D48*IF(time_tot&gt;time+20,20,IF(time_tot&lt;20,(time*VLOOKUP(E48,List!$E$35:$F$37,2,))+(time_tot-time),((MIN(20,time)*VLOOKUP(E48,List!$E$35:$F$37,2,))+(time_tot-MIN(20,time))-IF(E48="exponential",time_tot-20+0.217*time*(EXP(4.606*(20-time_tot)/time)-1),((time_tot-20)^2)*(0.5/time)))))))</f>
        <v>0</v>
      </c>
      <c r="M48" s="1453">
        <f>-$X32*(IF(G48="immediate",IF(F48&gt;0,F48*MIN(20,time_tot),0),F48*IF(time_tot&gt;time+20,20,IF(time_tot&lt;20,(time*VLOOKUP(G48,List!$E$35:$F$37,2,))+(time_tot-time),((MIN(20,time)*VLOOKUP(G48,List!$E$35:$F$37,2,))+(time_tot-MIN(20,time))-IF(G48="exponential",time_tot-20+0.217*time*(EXP(4.606*(20-time_tot)/time)-1),((time_tot-20)^2)*(0.5/time)))))))</f>
        <v>0</v>
      </c>
      <c r="N48" s="1448">
        <f t="shared" si="23"/>
        <v>0</v>
      </c>
      <c r="O48" s="1449">
        <f t="shared" si="24"/>
        <v>0</v>
      </c>
      <c r="P48" s="1620">
        <f t="shared" si="17"/>
        <v>0</v>
      </c>
      <c r="AA48" s="2412"/>
      <c r="AB48" s="2412">
        <f>SUM(AB44:AB47)</f>
        <v>0</v>
      </c>
      <c r="AH48" s="2413">
        <f>-$W33*(IF(E49="immediate",IF(D49&gt;0,D49*MIN(20,time),0),D49*IF(time&gt;time+20,20,IF(time&lt;20,(time*VLOOKUP(E49,List!$E$35:$F$37,2,))+(time-time),((MIN(20,time)*VLOOKUP(E49,List!$E$35:$F$37,2,))+(time-MIN(20,time))-IF(E49="exponential",time-20+0.217*time*(EXP(4.606*(20-time)/time)-1),((time-20)^2)*(0.5/time)))))))</f>
        <v>0</v>
      </c>
      <c r="AI48" s="2413">
        <f>-$X33*(IF(G49="immediate",IF(F49&gt;0,F49*MIN(20,time),0),F49*IF(time&gt;time+20,20,IF(time&lt;20,(time*VLOOKUP(G49,List!$E$35:$F$37,2,))+(time-time),((MIN(20,time)*VLOOKUP(G49,List!$E$35:$F$37,2,))+(time-MIN(20,time))-IF(G49="exponential",time-20+0.217*time*(EXP(4.606*(20-time)/time)-1),((time-20)^2)*(0.5/time)))))))</f>
        <v>0</v>
      </c>
      <c r="AK48" s="3149">
        <f>IF(C33=List!$A$50,0,C49*IF(J33&gt;time_tot,0,1)*2*IF(I33="yes",(MIN(R33,Q33)*time+ABS(R33-Q33)*IF(R33&gt;Q33,0+time*VLOOKUP(E49,List!$E$35:$F$37,2,),time*(1-VLOOKUP(E49,List!$E$35:$F$37,2,)))),0)*VLOOKUP($C33,$C$10:$X$18,21,)*VLOOKUP($C33,$C$10:$X$18,20,)*(K33/100)*(1/J33))</f>
        <v>0</v>
      </c>
      <c r="AL48" s="3149">
        <f>IF(C33=List!$A$50,0,C49*IF(J33&gt;time_tot,0,1)*2*IF(I33="yes",(MIN(R33,Q33)*time+ABS(R33-Q33)*IF(R33&gt;Q33,0+time*VLOOKUP(E49,List!$E$35:$F$37,2,),time*(1-VLOOKUP(E49,List!$E$35:$F$37,2,)))),0)*VLOOKUP($C33,$C$10:$X$18,22,)*VLOOKUP($C33,$C$10:$X$18,20,)*(K33/100)*(1/J33))</f>
        <v>0</v>
      </c>
      <c r="AM48" s="2415">
        <f t="shared" si="11"/>
        <v>0</v>
      </c>
      <c r="AN48" s="3151">
        <f>IF(C33=List!$A$50,0,C49*IF(O33&gt;time_tot,0,1)*2*IF(N33="yes",(MIN(S33,Q33)*time_tot+ABS(S33-Q33)*IF(S33&gt;Q33,time2+time*VLOOKUP(G49,List!$E$35:$F$37,2,),time*(1-VLOOKUP(E49,List!$E$35:$F$37,2,)))),0)*VLOOKUP($C33,$C$10:$X$18,21,)*VLOOKUP($C33,$C$10:$X$18,20,)*(P33/100)*(1/O33))</f>
        <v>0</v>
      </c>
      <c r="AO48" s="3151">
        <f>IF(C33=List!$A$50,0,C49*IF(O33&gt;time_tot,0,1)*2*IF(N33="yes",(MIN(S33,Q33)*time_tot+ABS(S33-Q33)*IF(S33&gt;Q33,time2+time*VLOOKUP(G49,List!$E$35:$F$37,2,),time*(1-VLOOKUP(E49,List!$E$35:$F$37,2,)))),0)*VLOOKUP($C33,$C$10:$X$18,22,)*VLOOKUP($C33,$C$10:$X$18,20,)*(P33/100)*(1/O33))</f>
        <v>0</v>
      </c>
      <c r="AP48" s="2415">
        <f t="shared" si="12"/>
        <v>0</v>
      </c>
      <c r="AR48" s="2410"/>
      <c r="AS48" s="2410">
        <f t="shared" si="18"/>
        <v>0</v>
      </c>
      <c r="AT48" s="2410">
        <f t="shared" si="19"/>
        <v>0</v>
      </c>
      <c r="AU48" s="2410">
        <f t="shared" si="20"/>
        <v>0</v>
      </c>
      <c r="AV48" s="2410"/>
      <c r="AW48" s="2410"/>
      <c r="AX48" s="2410"/>
      <c r="BA48" s="2403">
        <f t="shared" si="25"/>
        <v>0</v>
      </c>
      <c r="BB48" s="2403">
        <f t="shared" si="21"/>
        <v>0</v>
      </c>
    </row>
    <row r="49" spans="2:54" ht="13.5" thickBot="1">
      <c r="B49" s="271" t="str">
        <f t="shared" si="13"/>
        <v>Veget.6</v>
      </c>
      <c r="C49" s="1998">
        <f>'5. Management'!T18</f>
        <v>0</v>
      </c>
      <c r="D49" s="1294">
        <f t="shared" si="26"/>
        <v>0</v>
      </c>
      <c r="E49" s="2253" t="str">
        <f>VLOOKUP('5. Management'!V18,List!$D$35:$E$37,2,)</f>
        <v>Linear</v>
      </c>
      <c r="F49" s="1295">
        <f t="shared" si="27"/>
        <v>0</v>
      </c>
      <c r="G49" s="2253" t="str">
        <f>VLOOKUP('5. Management'!X18,List!$D$35:$E$37,2,)</f>
        <v>Linear</v>
      </c>
      <c r="H49" s="1439">
        <f t="shared" si="14"/>
        <v>0</v>
      </c>
      <c r="I49" s="1478">
        <f t="shared" si="15"/>
        <v>0</v>
      </c>
      <c r="J49" s="1439">
        <f t="shared" si="22"/>
        <v>0</v>
      </c>
      <c r="K49" s="1440">
        <f t="shared" si="16"/>
        <v>0</v>
      </c>
      <c r="L49" s="1448">
        <f>-$W33*(IF(E49="immediate",IF(D49&gt;0,D49*MIN(20,time_tot),0),D49*IF(time_tot&gt;time+20,20,IF(time_tot&lt;20,(time*VLOOKUP(E49,List!$E$35:$F$37,2,))+(time_tot-time),((MIN(20,time)*VLOOKUP(E49,List!$E$35:$F$37,2,))+(time_tot-MIN(20,time))-IF(E49="exponential",time_tot-20+0.217*time*(EXP(4.606*(20-time_tot)/time)-1),((time_tot-20)^2)*(0.5/time)))))))</f>
        <v>0</v>
      </c>
      <c r="M49" s="1453">
        <f>-$X33*(IF(G49="immediate",IF(F49&gt;0,F49*MIN(20,time_tot),0),F49*IF(time_tot&gt;time+20,20,IF(time_tot&lt;20,(time*VLOOKUP(G49,List!$E$35:$F$37,2,))+(time_tot-time),((MIN(20,time)*VLOOKUP(G49,List!$E$35:$F$37,2,))+(time_tot-MIN(20,time))-IF(G49="exponential",time_tot-20+0.217*time*(EXP(4.606*(20-time_tot)/time)-1),((time_tot-20)^2)*(0.5/time)))))))</f>
        <v>0</v>
      </c>
      <c r="N49" s="1448">
        <f t="shared" si="23"/>
        <v>0</v>
      </c>
      <c r="O49" s="1449">
        <f t="shared" si="24"/>
        <v>0</v>
      </c>
      <c r="P49" s="1620">
        <f t="shared" si="17"/>
        <v>0</v>
      </c>
      <c r="AH49" s="2413">
        <f>-$W34*(IF(E50="immediate",IF(D50&gt;0,D50*MIN(20,time),0),D50*IF(time&gt;time+20,20,IF(time&lt;20,(time*VLOOKUP(E50,List!$E$35:$F$37,2,))+(time-time),((MIN(20,time)*VLOOKUP(E50,List!$E$35:$F$37,2,))+(time-MIN(20,time))-IF(E50="exponential",time-20+0.217*time*(EXP(4.606*(20-time)/time)-1),((time-20)^2)*(0.5/time)))))))</f>
        <v>0</v>
      </c>
      <c r="AI49" s="2413">
        <f>-$X34*(IF(G50="immediate",IF(F50&gt;0,F50*MIN(20,time),0),F50*IF(time&gt;time+20,20,IF(time&lt;20,(time*VLOOKUP(G50,List!$E$35:$F$37,2,))+(time-time),((MIN(20,time)*VLOOKUP(G50,List!$E$35:$F$37,2,))+(time-MIN(20,time))-IF(G50="exponential",time-20+0.217*time*(EXP(4.606*(20-time)/time)-1),((time-20)^2)*(0.5/time)))))))</f>
        <v>0</v>
      </c>
      <c r="AK49" s="3149">
        <f>IF(C34=List!$A$50,0,C50*IF(J34&gt;time_tot,0,1)*2*IF(I34="yes",(MIN(R34,Q34)*time+ABS(R34-Q34)*IF(R34&gt;Q34,0+time*VLOOKUP(E50,List!$E$35:$F$37,2,),time*(1-VLOOKUP(E50,List!$E$35:$F$37,2,)))),0)*VLOOKUP($C34,$C$10:$X$18,21,)*VLOOKUP($C34,$C$10:$X$18,20,)*(K34/100)*(1/J34))</f>
        <v>0</v>
      </c>
      <c r="AL49" s="3149">
        <f>IF(C34=List!$A$50,0,C50*IF(J34&gt;time_tot,0,1)*2*IF(I34="yes",(MIN(R34,Q34)*time+ABS(R34-Q34)*IF(R34&gt;Q34,0+time*VLOOKUP(E50,List!$E$35:$F$37,2,),time*(1-VLOOKUP(E50,List!$E$35:$F$37,2,)))),0)*VLOOKUP($C34,$C$10:$X$18,22,)*VLOOKUP($C34,$C$10:$X$18,20,)*(K34/100)*(1/J34))</f>
        <v>0</v>
      </c>
      <c r="AM49" s="2415">
        <f t="shared" si="11"/>
        <v>0</v>
      </c>
      <c r="AN49" s="3151">
        <f>IF(C34=List!$A$50,0,C50*IF(O34&gt;time_tot,0,1)*2*IF(N34="yes",(MIN(S34,Q34)*time_tot+ABS(S34-Q34)*IF(S34&gt;Q34,time2+time*VLOOKUP(G50,List!$E$35:$F$37,2,),time*(1-VLOOKUP(E50,List!$E$35:$F$37,2,)))),0)*VLOOKUP($C34,$C$10:$X$18,21,)*VLOOKUP($C34,$C$10:$X$18,20,)*(P34/100)*(1/O34))</f>
        <v>0</v>
      </c>
      <c r="AO49" s="3151">
        <f>IF(C34=List!$A$50,0,C50*IF(O34&gt;time_tot,0,1)*2*IF(N34="yes",(MIN(S34,Q34)*time_tot+ABS(S34-Q34)*IF(S34&gt;Q34,time2+time*VLOOKUP(G50,List!$E$35:$F$37,2,),time*(1-VLOOKUP(E50,List!$E$35:$F$37,2,)))),0)*VLOOKUP($C34,$C$10:$X$18,22,)*VLOOKUP($C34,$C$10:$X$18,20,)*(P34/100)*(1/O34))</f>
        <v>0</v>
      </c>
      <c r="AP49" s="2415">
        <f t="shared" si="12"/>
        <v>0</v>
      </c>
      <c r="AR49" s="2410"/>
      <c r="AS49" s="2410">
        <f t="shared" si="18"/>
        <v>0</v>
      </c>
      <c r="AT49" s="2410">
        <f t="shared" si="19"/>
        <v>0</v>
      </c>
      <c r="AU49" s="2410">
        <f t="shared" si="20"/>
        <v>0</v>
      </c>
      <c r="AV49" s="2410"/>
      <c r="AW49" s="2410"/>
      <c r="AX49" s="2410"/>
      <c r="BA49" s="2403">
        <f t="shared" si="25"/>
        <v>0</v>
      </c>
      <c r="BB49" s="2403">
        <f t="shared" si="21"/>
        <v>0</v>
      </c>
    </row>
    <row r="50" spans="2:54" ht="13.5" thickBot="1">
      <c r="B50" s="271" t="str">
        <f t="shared" si="13"/>
        <v>Veget.7</v>
      </c>
      <c r="C50" s="1998">
        <f>'5. Management'!T19</f>
        <v>0</v>
      </c>
      <c r="D50" s="1294">
        <f t="shared" ref="D50:D51" si="28">C50</f>
        <v>0</v>
      </c>
      <c r="E50" s="2253" t="str">
        <f>VLOOKUP('5. Management'!V19,List!$D$35:$E$37,2,)</f>
        <v>Linear</v>
      </c>
      <c r="F50" s="1295">
        <f t="shared" ref="F50:F51" si="29">C50</f>
        <v>0</v>
      </c>
      <c r="G50" s="2253" t="str">
        <f>VLOOKUP('5. Management'!X19,List!$D$35:$E$37,2,)</f>
        <v>Linear</v>
      </c>
      <c r="H50" s="1439">
        <f t="shared" si="14"/>
        <v>0</v>
      </c>
      <c r="I50" s="1478">
        <f t="shared" si="15"/>
        <v>0</v>
      </c>
      <c r="J50" s="1439">
        <f t="shared" si="22"/>
        <v>0</v>
      </c>
      <c r="K50" s="1440">
        <f t="shared" si="16"/>
        <v>0</v>
      </c>
      <c r="L50" s="1448">
        <f>-$W34*(IF(E50="immediate",IF(D50&gt;0,D50*MIN(20,time_tot),0),D50*IF(time_tot&gt;time+20,20,IF(time_tot&lt;20,(time*VLOOKUP(E50,List!$E$35:$F$37,2,))+(time_tot-time),((MIN(20,time)*VLOOKUP(E50,List!$E$35:$F$37,2,))+(time_tot-MIN(20,time))-IF(E50="exponential",time_tot-20+0.217*time*(EXP(4.606*(20-time_tot)/time)-1),((time_tot-20)^2)*(0.5/time)))))))</f>
        <v>0</v>
      </c>
      <c r="M50" s="1453">
        <f>-$X34*(IF(G50="immediate",IF(F50&gt;0,F50*MIN(20,time_tot),0),F50*IF(time_tot&gt;time+20,20,IF(time_tot&lt;20,(time*VLOOKUP(G50,List!$E$35:$F$37,2,))+(time_tot-time),((MIN(20,time)*VLOOKUP(G50,List!$E$35:$F$37,2,))+(time_tot-MIN(20,time))-IF(G50="exponential",time_tot-20+0.217*time*(EXP(4.606*(20-time_tot)/time)-1),((time_tot-20)^2)*(0.5/time)))))))</f>
        <v>0</v>
      </c>
      <c r="N50" s="1448">
        <f t="shared" si="23"/>
        <v>0</v>
      </c>
      <c r="O50" s="1449">
        <f t="shared" si="24"/>
        <v>0</v>
      </c>
      <c r="P50" s="1620">
        <f t="shared" si="17"/>
        <v>0</v>
      </c>
      <c r="AH50" s="2413">
        <f>-$W35*(IF(E51="immediate",IF(D51&gt;0,D51*MIN(20,time),0),D51*IF(time&gt;time+20,20,IF(time&lt;20,(time*VLOOKUP(E51,List!$E$35:$F$37,2,))+(time-time),((MIN(20,time)*VLOOKUP(E51,List!$E$35:$F$37,2,))+(time-MIN(20,time))-IF(E51="exponential",time-20+0.217*time*(EXP(4.606*(20-time)/time)-1),((time-20)^2)*(0.5/time)))))))</f>
        <v>0</v>
      </c>
      <c r="AI50" s="2413">
        <f>-$X35*(IF(G51="immediate",IF(F51&gt;0,F51*MIN(20,time),0),F51*IF(time&gt;time+20,20,IF(time&lt;20,(time*VLOOKUP(G51,List!$E$35:$F$37,2,))+(time-time),((MIN(20,time)*VLOOKUP(G51,List!$E$35:$F$37,2,))+(time-MIN(20,time))-IF(G51="exponential",time-20+0.217*time*(EXP(4.606*(20-time)/time)-1),((time-20)^2)*(0.5/time)))))))</f>
        <v>0</v>
      </c>
      <c r="AK50" s="3149">
        <f>IF(C35=List!$A$50,0,C51*IF(J35&gt;time_tot,0,1)*2*IF(I35="yes",(MIN(R35,Q35)*time+ABS(R35-Q35)*IF(R35&gt;Q35,0+time*VLOOKUP(E51,List!$E$35:$F$37,2,),time*(1-VLOOKUP(E51,List!$E$35:$F$37,2,)))),0)*VLOOKUP($C35,$C$10:$X$18,21,)*VLOOKUP($C35,$C$10:$X$18,20,)*(K35/100)*(1/J35))</f>
        <v>0</v>
      </c>
      <c r="AL50" s="3149">
        <f>IF(C35=List!$A$50,0,C51*IF(J35&gt;time_tot,0,1)*2*IF(I35="yes",(MIN(R35,Q35)*time+ABS(R35-Q35)*IF(R35&gt;Q35,0+time*VLOOKUP(E51,List!$E$35:$F$37,2,),time*(1-VLOOKUP(E51,List!$E$35:$F$37,2,)))),0)*VLOOKUP($C35,$C$10:$X$18,22,)*VLOOKUP($C35,$C$10:$X$18,20,)*(K35/100)*(1/J35))</f>
        <v>0</v>
      </c>
      <c r="AM50" s="2415">
        <f t="shared" si="11"/>
        <v>0</v>
      </c>
      <c r="AN50" s="3151">
        <f>IF(C35=List!$A$50,0,C51*IF(O35&gt;time_tot,0,1)*2*IF(N35="yes",(MIN(S35,Q35)*time_tot+ABS(S35-Q35)*IF(S35&gt;Q35,time2+time*VLOOKUP(G51,List!$E$35:$F$37,2,),time*(1-VLOOKUP(E51,List!$E$35:$F$37,2,)))),0)*VLOOKUP($C35,$C$10:$X$18,21,)*VLOOKUP($C35,$C$10:$X$18,20,)*(P35/100)*(1/O35))</f>
        <v>0</v>
      </c>
      <c r="AO50" s="3151">
        <f>IF(C35=List!$A$50,0,C51*IF(O35&gt;time_tot,0,1)*2*IF(N35="yes",(MIN(S35,Q35)*time_tot+ABS(S35-Q35)*IF(S35&gt;Q35,time2+time*VLOOKUP(G51,List!$E$35:$F$37,2,),time*(1-VLOOKUP(E51,List!$E$35:$F$37,2,)))),0)*VLOOKUP($C35,$C$10:$X$18,22,)*VLOOKUP($C35,$C$10:$X$18,20,)*(P35/100)*(1/O35))</f>
        <v>0</v>
      </c>
      <c r="AP50" s="2415">
        <f t="shared" si="12"/>
        <v>0</v>
      </c>
      <c r="AR50" s="2410"/>
      <c r="AS50" s="2410">
        <f t="shared" si="18"/>
        <v>0</v>
      </c>
      <c r="AT50" s="2410">
        <f t="shared" si="19"/>
        <v>0</v>
      </c>
      <c r="AU50" s="2410">
        <f t="shared" si="20"/>
        <v>0</v>
      </c>
      <c r="AV50" s="2410"/>
      <c r="AW50" s="2410"/>
      <c r="AX50" s="2410"/>
      <c r="BA50" s="2403">
        <f t="shared" si="25"/>
        <v>0</v>
      </c>
      <c r="BB50" s="2403">
        <f t="shared" si="21"/>
        <v>0</v>
      </c>
    </row>
    <row r="51" spans="2:54">
      <c r="B51" s="271" t="str">
        <f t="shared" si="13"/>
        <v>Veget.8</v>
      </c>
      <c r="C51" s="1998">
        <f>'5. Management'!T20</f>
        <v>0</v>
      </c>
      <c r="D51" s="1294">
        <f t="shared" si="28"/>
        <v>0</v>
      </c>
      <c r="E51" s="2253" t="str">
        <f>VLOOKUP('5. Management'!V20,List!$D$35:$E$37,2,)</f>
        <v>Linear</v>
      </c>
      <c r="F51" s="1295">
        <f t="shared" si="29"/>
        <v>0</v>
      </c>
      <c r="G51" s="2253" t="str">
        <f>VLOOKUP('5. Management'!X20,List!$D$35:$E$37,2,)</f>
        <v>Linear</v>
      </c>
      <c r="H51" s="1439">
        <f t="shared" si="14"/>
        <v>0</v>
      </c>
      <c r="I51" s="1478">
        <f t="shared" si="15"/>
        <v>0</v>
      </c>
      <c r="J51" s="1439">
        <f t="shared" si="22"/>
        <v>0</v>
      </c>
      <c r="K51" s="1440">
        <f t="shared" si="16"/>
        <v>0</v>
      </c>
      <c r="L51" s="1448">
        <f>-$W35*(IF(E51="immediate",IF(D51&gt;0,D51*MIN(20,time_tot),0),D51*IF(time_tot&gt;time+20,20,IF(time_tot&lt;20,(time*VLOOKUP(E51,List!$E$35:$F$37,2,))+(time_tot-time),((MIN(20,time)*VLOOKUP(E51,List!$E$35:$F$37,2,))+(time_tot-MIN(20,time))-IF(E51="exponential",time_tot-20+0.217*time*(EXP(4.606*(20-time_tot)/time)-1),((time_tot-20)^2)*(0.5/time)))))))</f>
        <v>0</v>
      </c>
      <c r="M51" s="1453">
        <f>-$X35*(IF(G51="immediate",IF(F51&gt;0,F51*MIN(20,time_tot),0),F51*IF(time_tot&gt;time+20,20,IF(time_tot&lt;20,(time*VLOOKUP(G51,List!$E$35:$F$37,2,))+(time_tot-time),((MIN(20,time)*VLOOKUP(G51,List!$E$35:$F$37,2,))+(time_tot-MIN(20,time))-IF(G51="exponential",time_tot-20+0.217*time*(EXP(4.606*(20-time_tot)/time)-1),((time_tot-20)^2)*(0.5/time)))))))</f>
        <v>0</v>
      </c>
      <c r="N51" s="1448">
        <f t="shared" si="23"/>
        <v>0</v>
      </c>
      <c r="O51" s="1449">
        <f t="shared" si="24"/>
        <v>0</v>
      </c>
      <c r="P51" s="1620">
        <f t="shared" si="17"/>
        <v>0</v>
      </c>
      <c r="AH51" s="2413">
        <f>-$W36*(IF(E52="immediate",IF(D52&gt;0,D52*MIN(20,time),0),D52*IF(time&gt;time+20,20,IF(time&lt;20,(time*VLOOKUP(E52,List!$E$35:$F$37,2,))+(time-time),((MIN(20,time)*VLOOKUP(E52,List!$E$35:$F$37,2,))+(time-MIN(20,time))-IF(E52="exponential",time-20+0.217*time*(EXP(4.606*(20-time)/time)-1),((time-20)^2)*(0.5/time)))))))</f>
        <v>0</v>
      </c>
      <c r="AI51" s="2413">
        <f>-$X36*(IF(G52="immediate",IF(F52&gt;0,F52*MIN(20,time),0),F52*IF(time&gt;time+20,20,IF(time&lt;20,(time*VLOOKUP(G52,List!$E$35:$F$37,2,))+(time-time),((MIN(20,time)*VLOOKUP(G52,List!$E$35:$F$37,2,))+(time-MIN(20,time))-IF(G52="exponential",time-20+0.217*time*(EXP(4.606*(20-time)/time)-1),((time-20)^2)*(0.5/time)))))))</f>
        <v>0</v>
      </c>
      <c r="AK51" s="3149">
        <f>IF(C36=List!$A$50,0,C52*IF(J36&gt;time_tot,0,1)*2*IF(I36="yes",(MIN(R36,Q36)*time+ABS(R36-Q36)*IF(R36&gt;Q36,0+time*VLOOKUP(E52,List!$E$35:$F$37,2,),time*(1-VLOOKUP(E52,List!$E$35:$F$37,2,)))),0)*VLOOKUP($C36,$C$10:$X$18,21,)*VLOOKUP($C36,$C$10:$X$18,20,)*(K36/100)*(1/J36))</f>
        <v>0</v>
      </c>
      <c r="AL51" s="3149">
        <f>IF(C36=List!$A$50,0,C52*IF(J36&gt;time_tot,0,1)*2*IF(I36="yes",(MIN(R36,Q36)*time+ABS(R36-Q36)*IF(R36&gt;Q36,0+time*VLOOKUP(E52,List!$E$35:$F$37,2,),time*(1-VLOOKUP(E52,List!$E$35:$F$37,2,)))),0)*VLOOKUP($C36,$C$10:$X$18,22,)*VLOOKUP($C36,$C$10:$X$18,20,)*(K36/100)*(1/J36))</f>
        <v>0</v>
      </c>
      <c r="AM51" s="2415">
        <f t="shared" si="11"/>
        <v>0</v>
      </c>
      <c r="AN51" s="3151">
        <f>IF(C36=List!$A$50,0,C52*IF(O36&gt;time_tot,0,1)*2*IF(N36="yes",(MIN(S36,Q36)*time_tot+ABS(S36-Q36)*IF(S36&gt;Q36,time2+time*VLOOKUP(G52,List!$E$35:$F$37,2,),time*(1-VLOOKUP(E52,List!$E$35:$F$37,2,)))),0)*VLOOKUP($C36,$C$10:$X$18,21,)*VLOOKUP($C36,$C$10:$X$18,20,)*(P36/100)*(1/O36))</f>
        <v>0</v>
      </c>
      <c r="AO51" s="3151">
        <f>IF(C36=List!$A$50,0,C52*IF(O36&gt;time_tot,0,1)*2*IF(N36="yes",(MIN(S36,Q36)*time_tot+ABS(S36-Q36)*IF(S36&gt;Q36,time2+time*VLOOKUP(G52,List!$E$35:$F$37,2,),time*(1-VLOOKUP(E52,List!$E$35:$F$37,2,)))),0)*VLOOKUP($C36,$C$10:$X$18,22,)*VLOOKUP($C36,$C$10:$X$18,20,)*(P36/100)*(1/O36))</f>
        <v>0</v>
      </c>
      <c r="AP51" s="2415">
        <f t="shared" si="12"/>
        <v>0</v>
      </c>
      <c r="AR51" s="2410"/>
      <c r="AS51" s="2410">
        <f t="shared" si="18"/>
        <v>0</v>
      </c>
      <c r="AT51" s="2410">
        <f t="shared" si="19"/>
        <v>0</v>
      </c>
      <c r="AU51" s="2410">
        <f t="shared" si="20"/>
        <v>0</v>
      </c>
      <c r="AV51" s="2410"/>
      <c r="AW51" s="2410"/>
      <c r="AX51" s="2410"/>
      <c r="BA51" s="2403">
        <f t="shared" si="25"/>
        <v>0</v>
      </c>
      <c r="BB51" s="2403">
        <f t="shared" si="21"/>
        <v>0</v>
      </c>
    </row>
    <row r="52" spans="2:54">
      <c r="B52" s="271" t="str">
        <f t="shared" si="13"/>
        <v>Veget.9</v>
      </c>
      <c r="C52" s="1268">
        <v>0</v>
      </c>
      <c r="D52" s="1294">
        <f t="shared" si="26"/>
        <v>0</v>
      </c>
      <c r="E52" s="676" t="s">
        <v>351</v>
      </c>
      <c r="F52" s="1295">
        <f t="shared" si="27"/>
        <v>0</v>
      </c>
      <c r="G52" s="686" t="s">
        <v>351</v>
      </c>
      <c r="H52" s="1439">
        <f t="shared" si="14"/>
        <v>0</v>
      </c>
      <c r="I52" s="1478">
        <f t="shared" si="15"/>
        <v>0</v>
      </c>
      <c r="J52" s="1439">
        <f t="shared" si="22"/>
        <v>0</v>
      </c>
      <c r="K52" s="1440">
        <f t="shared" si="16"/>
        <v>0</v>
      </c>
      <c r="L52" s="1448">
        <f>-$W36*(IF(E52="immediate",IF(D52&gt;0,D52*MIN(20,time_tot),0),D52*IF(time_tot&gt;time+20,20,IF(time_tot&lt;20,(time*VLOOKUP(E52,List!$E$35:$F$37,2,))+(time_tot-time),((MIN(20,time)*VLOOKUP(E52,List!$E$35:$F$37,2,))+(time_tot-MIN(20,time))-IF(E52="exponential",time_tot-20+0.217*time*(EXP(4.606*(20-time_tot)/time)-1),((time_tot-20)^2)*(0.5/time)))))))</f>
        <v>0</v>
      </c>
      <c r="M52" s="1453">
        <f>-$X36*(IF(G52="immediate",IF(F52&gt;0,F52*MIN(20,time_tot),0),F52*IF(time_tot&gt;time+20,20,IF(time_tot&lt;20,(time*VLOOKUP(G52,List!$E$35:$F$37,2,))+(time_tot-time),((MIN(20,time)*VLOOKUP(G52,List!$E$35:$F$37,2,))+(time_tot-MIN(20,time))-IF(G52="exponential",time_tot-20+0.217*time*(EXP(4.606*(20-time_tot)/time)-1),((time_tot-20)^2)*(0.5/time)))))))</f>
        <v>0</v>
      </c>
      <c r="N52" s="1448">
        <f t="shared" si="23"/>
        <v>0</v>
      </c>
      <c r="O52" s="1449">
        <f t="shared" si="24"/>
        <v>0</v>
      </c>
      <c r="P52" s="1620">
        <f t="shared" si="17"/>
        <v>0</v>
      </c>
      <c r="AH52" s="2413">
        <f>-$W37*(IF(E53="immediate",IF(D53&gt;0,D53*MIN(20,time),0),D53*IF(time&gt;time+20,20,IF(time&lt;20,(time*VLOOKUP(E53,List!$E$35:$F$37,2,))+(time-time),((MIN(20,time)*VLOOKUP(E53,List!$E$35:$F$37,2,))+(time-MIN(20,time))-IF(E53="exponential",time-20+0.217*time*(EXP(4.606*(20-time)/time)-1),((time-20)^2)*(0.5/time)))))))</f>
        <v>0</v>
      </c>
      <c r="AI52" s="2413">
        <f>-$X37*(IF(G53="immediate",IF(F53&gt;0,F53*MIN(20,time),0),F53*IF(time&gt;time+20,20,IF(time&lt;20,(time*VLOOKUP(G53,List!$E$35:$F$37,2,))+(time-time),((MIN(20,time)*VLOOKUP(G53,List!$E$35:$F$37,2,))+(time-MIN(20,time))-IF(G53="exponential",time-20+0.217*time*(EXP(4.606*(20-time)/time)-1),((time-20)^2)*(0.5/time)))))))</f>
        <v>0</v>
      </c>
      <c r="AK52" s="3149">
        <f>IF(C37=List!$A$50,0,C53*IF(J37&gt;time_tot,0,1)*2*IF(I37="yes",(MIN(R37,Q37)*time+ABS(R37-Q37)*IF(R37&gt;Q37,0+time*VLOOKUP(E53,List!$E$35:$F$37,2,),time*(1-VLOOKUP(E53,List!$E$35:$F$37,2,)))),0)*VLOOKUP($C37,$C$10:$X$18,21,)*VLOOKUP($C37,$C$10:$X$18,20,)*(K37/100)*(1/J37))</f>
        <v>0</v>
      </c>
      <c r="AL52" s="3149">
        <f>IF(C37=List!$A$50,0,C53*IF(J37&gt;time_tot,0,1)*2*IF(I37="yes",(MIN(R37,Q37)*time+ABS(R37-Q37)*IF(R37&gt;Q37,0+time*VLOOKUP(E53,List!$E$35:$F$37,2,),time*(1-VLOOKUP(E53,List!$E$35:$F$37,2,)))),0)*VLOOKUP($C37,$C$10:$X$18,22,)*VLOOKUP($C37,$C$10:$X$18,20,)*(K37/100)*(1/J37))</f>
        <v>0</v>
      </c>
      <c r="AM52" s="2415">
        <f t="shared" si="11"/>
        <v>0</v>
      </c>
      <c r="AN52" s="3151">
        <f>IF(C37=List!$A$50,0,C53*IF(O37&gt;time_tot,0,1)*2*IF(N37="yes",(MIN(S37,Q37)*time_tot+ABS(S37-Q37)*IF(S37&gt;Q37,time2+time*VLOOKUP(G53,List!$E$35:$F$37,2,),time*(1-VLOOKUP(E53,List!$E$35:$F$37,2,)))),0)*VLOOKUP($C37,$C$10:$X$18,21,)*VLOOKUP($C37,$C$10:$X$18,20,)*(P37/100)*(1/O37))</f>
        <v>0</v>
      </c>
      <c r="AO52" s="3151">
        <f>IF(C37=List!$A$50,0,C53*IF(O37&gt;time_tot,0,1)*2*IF(N37="yes",(MIN(S37,Q37)*time_tot+ABS(S37-Q37)*IF(S37&gt;Q37,time2+time*VLOOKUP(G53,List!$E$35:$F$37,2,),time*(1-VLOOKUP(E53,List!$E$35:$F$37,2,)))),0)*VLOOKUP($C37,$C$10:$X$18,22,)*VLOOKUP($C37,$C$10:$X$18,20,)*(P37/100)*(1/O37))</f>
        <v>0</v>
      </c>
      <c r="AP52" s="2415">
        <f t="shared" si="12"/>
        <v>0</v>
      </c>
      <c r="AR52" s="2410"/>
      <c r="AS52" s="2410">
        <f t="shared" si="18"/>
        <v>0</v>
      </c>
      <c r="AT52" s="2410">
        <f t="shared" si="19"/>
        <v>0</v>
      </c>
      <c r="AU52" s="2410">
        <f t="shared" si="20"/>
        <v>0</v>
      </c>
      <c r="AV52" s="2410"/>
      <c r="AW52" s="2410"/>
      <c r="AX52" s="2410"/>
      <c r="BA52" s="2403">
        <f t="shared" si="25"/>
        <v>0</v>
      </c>
      <c r="BB52" s="2403">
        <f t="shared" si="21"/>
        <v>0</v>
      </c>
    </row>
    <row r="53" spans="2:54" ht="13.5" thickBot="1">
      <c r="B53" s="272" t="str">
        <f t="shared" si="13"/>
        <v>Veget.10</v>
      </c>
      <c r="C53" s="1269">
        <v>0</v>
      </c>
      <c r="D53" s="1297">
        <f>C53</f>
        <v>0</v>
      </c>
      <c r="E53" s="678" t="s">
        <v>351</v>
      </c>
      <c r="F53" s="1298">
        <f t="shared" si="27"/>
        <v>0</v>
      </c>
      <c r="G53" s="687" t="s">
        <v>351</v>
      </c>
      <c r="H53" s="1363">
        <f t="shared" si="14"/>
        <v>0</v>
      </c>
      <c r="I53" s="1479">
        <f t="shared" si="15"/>
        <v>0</v>
      </c>
      <c r="J53" s="1363">
        <f t="shared" si="22"/>
        <v>0</v>
      </c>
      <c r="K53" s="1364">
        <f t="shared" si="16"/>
        <v>0</v>
      </c>
      <c r="L53" s="1450">
        <f>-$W37*(IF(E53="immediate",IF(D53&gt;0,D53*MIN(20,time_tot),0),D53*IF(time_tot&gt;time+20,20,IF(time_tot&lt;20,(time*VLOOKUP(E53,List!$E$35:$F$37,2,))+(time_tot-time),((MIN(20,time)*VLOOKUP(E53,List!$E$35:$F$37,2,))+(time_tot-MIN(20,time))-IF(E53="exponential",time_tot-20+0.217*time*(EXP(4.606*(20-time_tot)/time)-1),((time_tot-20)^2)*(0.5/time)))))))</f>
        <v>0</v>
      </c>
      <c r="M53" s="1454">
        <f>-$X37*(IF(G53="immediate",IF(F53&gt;0,F53*MIN(20,time_tot),0),F53*IF(time_tot&gt;time+20,20,IF(time_tot&lt;20,(time*VLOOKUP(G53,List!$E$35:$F$37,2,))+(time_tot-time),((MIN(20,time)*VLOOKUP(G53,List!$E$35:$F$37,2,))+(time_tot-MIN(20,time))-IF(G53="exponential",time_tot-20+0.217*time*(EXP(4.606*(20-time_tot)/time)-1),((time_tot-20)^2)*(0.5/time)))))))</f>
        <v>0</v>
      </c>
      <c r="N53" s="1450">
        <f t="shared" si="23"/>
        <v>0</v>
      </c>
      <c r="O53" s="1451">
        <f t="shared" si="24"/>
        <v>0</v>
      </c>
      <c r="P53" s="1621">
        <f t="shared" si="17"/>
        <v>0</v>
      </c>
      <c r="Z53" s="234"/>
      <c r="AJ53" s="2403" t="s">
        <v>182</v>
      </c>
      <c r="AK53" s="2413">
        <f>methane*SUM(AK43:AK52)/1000</f>
        <v>0</v>
      </c>
      <c r="AL53" s="2413">
        <f>Nitrous*SUM(AL43:AL52)/1000</f>
        <v>0</v>
      </c>
      <c r="AM53" s="2413">
        <f>SUM(AM43:AM52)</f>
        <v>0</v>
      </c>
      <c r="AN53" s="2413">
        <f>methane*SUM(AN43:AN52)/1000</f>
        <v>0</v>
      </c>
      <c r="AO53" s="2413">
        <f>Nitrous*SUM(AO43:AO52)/1000</f>
        <v>0</v>
      </c>
      <c r="AP53" s="2413">
        <f>SUM(AP43:AP52)</f>
        <v>0</v>
      </c>
      <c r="AR53" s="2410" t="s">
        <v>1570</v>
      </c>
      <c r="AS53" s="2410">
        <f>SUM(AS43:AS52)</f>
        <v>0</v>
      </c>
      <c r="AT53" s="2410">
        <f>SUM(AT43:AT52)</f>
        <v>0</v>
      </c>
      <c r="AU53" s="2410">
        <f>SUM(AU43:AU52)</f>
        <v>0</v>
      </c>
      <c r="AV53" s="2410"/>
      <c r="AW53" s="2410"/>
      <c r="AX53" s="2410"/>
      <c r="BA53" s="2403">
        <f t="shared" si="25"/>
        <v>0</v>
      </c>
      <c r="BB53" s="2403">
        <f t="shared" si="21"/>
        <v>0</v>
      </c>
    </row>
    <row r="54" spans="2:54" ht="13.5" thickBot="1">
      <c r="G54" s="234"/>
      <c r="I54" s="233"/>
      <c r="N54" s="234"/>
      <c r="O54" s="233"/>
      <c r="P54" s="234"/>
      <c r="Y54" s="233"/>
      <c r="Z54" s="913"/>
      <c r="AR54" s="2410"/>
      <c r="AS54" s="2410"/>
      <c r="AV54" s="2410"/>
      <c r="AW54" s="2410"/>
      <c r="AX54" s="2410"/>
      <c r="BA54" s="2403"/>
      <c r="BB54" s="2403"/>
    </row>
    <row r="55" spans="2:54" ht="13.5" thickBot="1">
      <c r="G55" s="234"/>
      <c r="K55" s="649" t="s">
        <v>189</v>
      </c>
      <c r="L55" s="650"/>
      <c r="M55" s="651"/>
      <c r="N55" s="652">
        <f>SUM(N44:N53)</f>
        <v>0</v>
      </c>
      <c r="O55" s="653">
        <f>SUM(O44:O53)</f>
        <v>0</v>
      </c>
      <c r="P55" s="1026">
        <f>O55-N55</f>
        <v>0</v>
      </c>
      <c r="Y55" s="233"/>
      <c r="Z55" s="913"/>
      <c r="AV55" s="2410"/>
      <c r="AW55" s="2410"/>
      <c r="AX55" s="2410"/>
      <c r="BA55" s="2403">
        <f>SUM(BA44:BA53)</f>
        <v>0</v>
      </c>
      <c r="BB55" s="2403">
        <f>SUM(BB44:BB53)</f>
        <v>0</v>
      </c>
    </row>
    <row r="56" spans="2:54">
      <c r="H56" s="234"/>
      <c r="J56" s="233"/>
      <c r="O56" s="233"/>
      <c r="P56" s="234"/>
      <c r="T56" s="234"/>
      <c r="U56" s="234"/>
      <c r="X56" s="233"/>
      <c r="Y56" s="233"/>
      <c r="Z56" s="913"/>
    </row>
    <row r="57" spans="2:54">
      <c r="B57" s="248"/>
      <c r="C57" s="654"/>
      <c r="D57" s="654"/>
      <c r="E57" s="654"/>
      <c r="F57" s="654"/>
      <c r="G57" s="654"/>
      <c r="H57" s="654"/>
      <c r="I57" s="655"/>
      <c r="J57" s="1346"/>
      <c r="K57" s="656"/>
      <c r="L57" s="654"/>
      <c r="R57" s="913"/>
      <c r="S57" s="913"/>
      <c r="T57" s="234"/>
      <c r="U57" s="234"/>
      <c r="Y57" s="233"/>
      <c r="Z57" s="913"/>
    </row>
    <row r="58" spans="2:54">
      <c r="B58" s="657"/>
      <c r="C58" s="657"/>
      <c r="D58" s="654"/>
      <c r="E58" s="654"/>
      <c r="F58" s="654"/>
      <c r="G58" s="654"/>
      <c r="H58" s="657"/>
      <c r="I58" s="655"/>
      <c r="J58" s="656"/>
      <c r="K58" s="656"/>
      <c r="L58" s="654"/>
      <c r="Y58" s="233"/>
      <c r="Z58" s="913"/>
    </row>
    <row r="59" spans="2:54">
      <c r="D59" s="233" t="s">
        <v>5578</v>
      </c>
      <c r="E59" s="1334">
        <f>SUM('5. Management'!R142:R147,'5. Management'!H152:H159,'5. Management'!L152:L159,'5. Management'!P152:P159,'5. Management'!R152:R159,'5. Management'!U152:U159)</f>
        <v>0</v>
      </c>
      <c r="J59" s="656"/>
      <c r="K59" s="656"/>
      <c r="Y59" s="233"/>
      <c r="Z59" s="913"/>
    </row>
    <row r="60" spans="2:54">
      <c r="J60" s="656"/>
      <c r="K60" s="656"/>
      <c r="R60" s="913"/>
      <c r="S60" s="913"/>
      <c r="Y60" s="233"/>
      <c r="Z60" s="913"/>
    </row>
    <row r="61" spans="2:54">
      <c r="J61" s="233"/>
      <c r="Y61" s="233"/>
      <c r="Z61" s="913"/>
    </row>
    <row r="62" spans="2:54">
      <c r="J62" s="233"/>
      <c r="Y62" s="233"/>
      <c r="Z62" s="913"/>
    </row>
    <row r="63" spans="2:54">
      <c r="J63" s="233"/>
      <c r="Y63" s="233"/>
      <c r="Z63" s="913"/>
    </row>
    <row r="64" spans="2:54">
      <c r="J64" s="233"/>
      <c r="Y64" s="233"/>
      <c r="Z64" s="913"/>
    </row>
    <row r="65" spans="1:26">
      <c r="J65" s="233"/>
      <c r="Y65" s="233"/>
      <c r="Z65" s="913"/>
    </row>
    <row r="66" spans="1:26">
      <c r="Y66" s="233"/>
      <c r="Z66" s="913"/>
    </row>
    <row r="67" spans="1:26">
      <c r="Y67" s="233"/>
      <c r="Z67" s="913"/>
    </row>
    <row r="68" spans="1:26">
      <c r="Y68" s="233"/>
      <c r="Z68" s="913"/>
    </row>
    <row r="69" spans="1:26">
      <c r="Y69" s="233"/>
      <c r="Z69" s="913"/>
    </row>
    <row r="70" spans="1:26">
      <c r="Y70" s="233"/>
    </row>
    <row r="72" spans="1:26">
      <c r="A72" s="239"/>
    </row>
  </sheetData>
  <sheetProtection formatCells="0" formatColumns="0" formatRows="0"/>
  <mergeCells count="21">
    <mergeCell ref="B10:B13"/>
    <mergeCell ref="B14:B17"/>
    <mergeCell ref="E25:F25"/>
    <mergeCell ref="W25:X25"/>
    <mergeCell ref="N41:O41"/>
    <mergeCell ref="C33:D33"/>
    <mergeCell ref="C32:D32"/>
    <mergeCell ref="C31:D31"/>
    <mergeCell ref="C28:D28"/>
    <mergeCell ref="H41:I41"/>
    <mergeCell ref="L41:M41"/>
    <mergeCell ref="Q25:S25"/>
    <mergeCell ref="C29:D29"/>
    <mergeCell ref="C30:D30"/>
    <mergeCell ref="C34:D34"/>
    <mergeCell ref="C35:D35"/>
    <mergeCell ref="F5:G5"/>
    <mergeCell ref="T25:V25"/>
    <mergeCell ref="I7:S7"/>
    <mergeCell ref="L8:M8"/>
    <mergeCell ref="I8:J8"/>
  </mergeCells>
  <phoneticPr fontId="11" type="noConversion"/>
  <dataValidations count="5">
    <dataValidation type="list" allowBlank="1" showInputMessage="1" showErrorMessage="1" sqref="E28:E37 G28:G37 L28:L37">
      <formula1>deg_list</formula1>
    </dataValidation>
    <dataValidation type="list" allowBlank="1" showInputMessage="1" showErrorMessage="1" sqref="G44:G53 E44:E53">
      <formula1>Rate</formula1>
    </dataValidation>
    <dataValidation type="list" allowBlank="1" showInputMessage="1" showErrorMessage="1" sqref="C28:C35">
      <formula1>veg_type</formula1>
    </dataValidation>
    <dataValidation type="decimal" operator="greaterThanOrEqual" allowBlank="1" showInputMessage="1" showErrorMessage="1" sqref="K28:K35 P28:P35 J28:J37 O28:O37 C44:C53">
      <formula1>0</formula1>
    </dataValidation>
    <dataValidation type="list" allowBlank="1" showInputMessage="1" showErrorMessage="1" sqref="I28:I37 N28:N37">
      <formula1>YES_NO</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28" orientation="landscape" horizontalDpi="1200" verticalDpi="1200" r:id="rId1"/>
  <headerFooter alignWithMargins="0">
    <oddHeader>Page &amp;P&amp;R&amp;A</oddHeader>
    <oddFooter>&amp;F</oddFooter>
  </headerFooter>
  <ignoredErrors>
    <ignoredError sqref="F44 F45:F49 D44:D49 V20:X23 F52:F53 D52:D53" unlockedFormula="1"/>
    <ignoredError sqref="AI3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0"/>
  </sheetPr>
  <dimension ref="A1:AJ188"/>
  <sheetViews>
    <sheetView topLeftCell="H41" zoomScale="180" zoomScaleNormal="180" workbookViewId="0">
      <selection activeCell="L44" sqref="L44"/>
    </sheetView>
  </sheetViews>
  <sheetFormatPr defaultColWidth="11.42578125" defaultRowHeight="12.75"/>
  <cols>
    <col min="1" max="1" width="6.7109375" style="1876" customWidth="1"/>
    <col min="2" max="2" width="21.85546875" style="1876" customWidth="1"/>
    <col min="3" max="10" width="11.42578125" style="1876"/>
    <col min="11" max="11" width="4" style="1876" customWidth="1"/>
    <col min="12" max="14" width="11.42578125" style="1876"/>
    <col min="15" max="15" width="4.140625" style="1876" customWidth="1"/>
    <col min="16" max="16" width="14.28515625" style="1876" customWidth="1"/>
    <col min="17" max="17" width="11.42578125" style="1876"/>
    <col min="18" max="18" width="4" style="1876" customWidth="1"/>
    <col min="19" max="19" width="11.42578125" style="1876"/>
    <col min="20" max="20" width="6.28515625" style="1876" customWidth="1"/>
    <col min="21" max="21" width="15.28515625" style="1876" customWidth="1"/>
    <col min="22" max="22" width="13" style="1876" customWidth="1"/>
    <col min="23" max="28" width="11.42578125" style="1901"/>
    <col min="29" max="29" width="14.7109375" style="1901" bestFit="1" customWidth="1"/>
    <col min="30" max="33" width="11.42578125" style="1901"/>
    <col min="34" max="16384" width="11.42578125" style="1876"/>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17" t="s">
        <v>470</v>
      </c>
      <c r="H5" s="3817"/>
      <c r="W5" s="1874"/>
      <c r="X5" s="1874"/>
      <c r="Y5" s="1874"/>
      <c r="Z5" s="1874"/>
      <c r="AA5" s="1874"/>
      <c r="AB5" s="1874"/>
      <c r="AC5" s="1874"/>
      <c r="AD5" s="1874"/>
      <c r="AE5" s="1874"/>
      <c r="AF5" s="1874"/>
      <c r="AG5" s="1874"/>
    </row>
    <row r="7" spans="1:33">
      <c r="A7" s="3018"/>
      <c r="B7" s="1534" t="s">
        <v>232</v>
      </c>
      <c r="C7" s="1540"/>
      <c r="D7" s="1534"/>
      <c r="E7" s="1534"/>
      <c r="F7" s="1534"/>
      <c r="G7" s="1534"/>
      <c r="H7" s="1534"/>
      <c r="I7" s="1534"/>
      <c r="J7" s="1534"/>
      <c r="K7" s="1534"/>
      <c r="L7" s="1534"/>
      <c r="M7" s="1534"/>
      <c r="N7" s="1534"/>
      <c r="O7" s="1534"/>
      <c r="P7" s="1534"/>
      <c r="Q7" s="1534"/>
      <c r="R7" s="1534"/>
      <c r="S7" s="1534"/>
    </row>
    <row r="8" spans="1:33">
      <c r="A8" s="3018"/>
    </row>
    <row r="9" spans="1:33" ht="13.5" thickBot="1">
      <c r="A9" s="3018"/>
      <c r="B9" s="221"/>
      <c r="C9" s="150" t="s">
        <v>226</v>
      </c>
      <c r="D9" s="135"/>
      <c r="E9" s="28"/>
      <c r="F9" s="1537" t="s">
        <v>277</v>
      </c>
      <c r="G9" s="135"/>
      <c r="H9" s="135"/>
      <c r="I9" s="135"/>
      <c r="J9" s="28"/>
      <c r="L9" s="3855" t="s">
        <v>336</v>
      </c>
      <c r="M9" s="3855"/>
      <c r="N9" s="3855"/>
      <c r="P9" s="1535" t="s">
        <v>2</v>
      </c>
      <c r="Q9" s="1535"/>
      <c r="S9" s="1555"/>
      <c r="V9" s="1177" t="s">
        <v>261</v>
      </c>
    </row>
    <row r="10" spans="1:33">
      <c r="A10" s="3018"/>
      <c r="B10" s="171" t="s">
        <v>233</v>
      </c>
      <c r="C10" s="1539" t="s">
        <v>337</v>
      </c>
      <c r="D10" s="1538" t="s">
        <v>338</v>
      </c>
      <c r="E10" s="846" t="s">
        <v>339</v>
      </c>
      <c r="F10" s="124"/>
      <c r="G10" s="124"/>
      <c r="H10" s="124"/>
      <c r="I10" s="124"/>
      <c r="J10" s="2030"/>
      <c r="L10" s="1399" t="s">
        <v>340</v>
      </c>
      <c r="M10" s="2934" t="s">
        <v>341</v>
      </c>
      <c r="N10" s="2934"/>
      <c r="P10" s="3851" t="s">
        <v>342</v>
      </c>
      <c r="Q10" s="3851"/>
      <c r="S10" s="1556" t="s">
        <v>343</v>
      </c>
      <c r="V10" s="1018" t="s">
        <v>258</v>
      </c>
      <c r="Y10" s="1872" t="s">
        <v>844</v>
      </c>
      <c r="Z10" s="1902"/>
    </row>
    <row r="11" spans="1:33" ht="13.5" thickBot="1">
      <c r="A11" s="3018"/>
      <c r="B11" s="172"/>
      <c r="C11" s="114"/>
      <c r="D11" s="124"/>
      <c r="E11" s="2030"/>
      <c r="F11" s="630" t="s">
        <v>340</v>
      </c>
      <c r="G11" s="3852" t="s">
        <v>673</v>
      </c>
      <c r="H11" s="3852"/>
      <c r="I11" s="3853" t="s">
        <v>672</v>
      </c>
      <c r="J11" s="3854"/>
      <c r="L11" s="1399"/>
      <c r="M11" s="1367" t="s">
        <v>674</v>
      </c>
      <c r="N11" s="1368" t="s">
        <v>675</v>
      </c>
      <c r="P11" s="1367" t="s">
        <v>674</v>
      </c>
      <c r="Q11" s="1368" t="s">
        <v>675</v>
      </c>
      <c r="S11" s="1557"/>
      <c r="V11" s="1018" t="s">
        <v>260</v>
      </c>
      <c r="Y11" s="1913" t="s">
        <v>674</v>
      </c>
      <c r="Z11" s="1913" t="s">
        <v>675</v>
      </c>
    </row>
    <row r="12" spans="1:33" ht="13.5" thickBot="1">
      <c r="A12" s="3018"/>
      <c r="B12" s="3010" t="s">
        <v>5534</v>
      </c>
      <c r="C12" s="3016">
        <f>VLOOKUP(clim_full,' IPCC'!$A$725:$C$736,3,)*S64</f>
        <v>0</v>
      </c>
      <c r="D12" s="2346">
        <f>IF('5. Management'!H224="",'5. Management'!F224,'5. Management'!H224)</f>
        <v>0</v>
      </c>
      <c r="E12" s="857" t="s">
        <v>354</v>
      </c>
      <c r="F12" s="1941">
        <f>'5. Management'!F35</f>
        <v>0</v>
      </c>
      <c r="G12" s="2003">
        <f>'5. Management'!H35</f>
        <v>0</v>
      </c>
      <c r="H12" s="2340" t="str">
        <f>VLOOKUP('5. Management'!I35,List!$D$35:$E$37,2,)</f>
        <v>Linear</v>
      </c>
      <c r="I12" s="1942">
        <f>'5. Management'!J35</f>
        <v>0</v>
      </c>
      <c r="J12" s="2340" t="str">
        <f>VLOOKUP('5. Management'!K35,List!$D$35:$E$37,2,)</f>
        <v>Linear</v>
      </c>
      <c r="L12" s="1893">
        <f>IF($E12="YES",$C12,$D12)*F12*44/12</f>
        <v>0</v>
      </c>
      <c r="M12" s="1893">
        <f t="shared" ref="M12" si="0">IF($E12="YES",$C12,$D12)*G12*44/12</f>
        <v>0</v>
      </c>
      <c r="N12" s="1893">
        <f>IF($E12="YES",$C12,$D12)*I12*44/12</f>
        <v>0</v>
      </c>
      <c r="P12" s="1893">
        <f>MIN(L12,M12)*time_tot+ABS(M12-L12)*IF(M12&gt;L12,time2+time*(VLOOKUP(H12,List!$E$35:$F$37,2,)),time*(1-(VLOOKUP(H12,List!$E$35:$F$37,2,))))</f>
        <v>0</v>
      </c>
      <c r="Q12" s="1893">
        <f>MIN(L12,N12)*time_tot+ABS(N12-L12)*IF(N12&gt;L12,time2+time*(VLOOKUP(J12,List!$E$35:$F$37,2,)),time*(1-(VLOOKUP(J12,List!$E$35:$F$37,2,))))</f>
        <v>0</v>
      </c>
      <c r="S12" s="1375">
        <f>Q12-P12</f>
        <v>0</v>
      </c>
      <c r="U12" s="221" t="str">
        <f>B12</f>
        <v>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A13" s="3018"/>
      <c r="B13" s="3015" t="s">
        <v>387</v>
      </c>
      <c r="C13" s="3016">
        <f>VLOOKUP(clim_full,' IPCC'!A879:C890,3,)</f>
        <v>0</v>
      </c>
      <c r="D13" s="3021">
        <f>IF('5. Management'!H225="",'5. Management'!F225,'5. Management'!H225)</f>
        <v>0</v>
      </c>
      <c r="E13" s="857" t="s">
        <v>354</v>
      </c>
      <c r="F13" s="1941">
        <f>'5. Management'!F36</f>
        <v>0</v>
      </c>
      <c r="G13" s="2003">
        <f>'5. Management'!H36</f>
        <v>0</v>
      </c>
      <c r="H13" s="2340" t="str">
        <f>VLOOKUP('5. Management'!I36,List!$D$35:$E$37,2,)</f>
        <v>Linear</v>
      </c>
      <c r="I13" s="1942">
        <f>'5. Management'!J36</f>
        <v>0</v>
      </c>
      <c r="J13" s="2340" t="str">
        <f>VLOOKUP('5. Management'!K36,List!$D$35:$E$37,2,)</f>
        <v>Linear</v>
      </c>
      <c r="L13" s="1893">
        <f t="shared" ref="L13:L16" si="1">IF($E13="YES",$C13,$D13)*F13*44/12</f>
        <v>0</v>
      </c>
      <c r="M13" s="1893">
        <f t="shared" ref="M13:M16" si="2">IF($E13="YES",$C13,$D13)*G13*44/12</f>
        <v>0</v>
      </c>
      <c r="N13" s="1893">
        <f t="shared" ref="N13:N16" si="3">IF($E13="YES",$C13,$D13)*I13*44/12</f>
        <v>0</v>
      </c>
      <c r="P13" s="1893">
        <f>MIN(L13,M13)*time_tot+ABS(M13-L13)*IF(M13&gt;L13,time2+time*(VLOOKUP(H13,List!$E$35:$F$37,2,)),time*(1-(VLOOKUP(H13,List!$E$35:$F$37,2,))))</f>
        <v>0</v>
      </c>
      <c r="Q13" s="1893">
        <f>MIN(L13,N13)*time_tot+ABS(N13-L13)*IF(N13&gt;L13,time2+time*(VLOOKUP(J13,List!$E$35:$F$37,2,)),time*(1-(VLOOKUP(J13,List!$E$35:$F$37,2,))))</f>
        <v>0</v>
      </c>
      <c r="S13" s="1375">
        <f t="shared" ref="S13:S16" si="4">Q13-P13</f>
        <v>0</v>
      </c>
      <c r="U13" s="171" t="str">
        <f>B13</f>
        <v>Plantation</v>
      </c>
      <c r="V13" s="1597">
        <f t="shared" ref="V13:V16" si="5">MAX(F13:G13,I13)</f>
        <v>0</v>
      </c>
      <c r="Y13" s="1914">
        <f>MIN(L13,M13)*time+ABS(M13-L13)*IF(M13&gt;L13,time*(VLOOKUP(H13,List!$E$35:$F$37,2,)),time*(1-(VLOOKUP(H13,List!$E$35:$F$37,2,))))</f>
        <v>0</v>
      </c>
      <c r="Z13" s="1914">
        <f>MIN(L13,N13)*time+ABS(N13-L13)*IF(N13&gt;L13,time*(VLOOKUP(J13,List!$E$35:$F$37,2,)),time*(1-(VLOOKUP(J13,List!$E$35:$F$37,2,))))</f>
        <v>0</v>
      </c>
    </row>
    <row r="14" spans="1:33" ht="13.5" thickBot="1">
      <c r="A14" s="3018"/>
      <c r="B14" s="171" t="s">
        <v>1091</v>
      </c>
      <c r="C14" s="3016">
        <f>VLOOKUP(clim_full,' IPCC'!$A$739:$C$750,3,)</f>
        <v>0</v>
      </c>
      <c r="D14" s="2346">
        <f>IF('5. Management'!H226="",'5. Management'!F226,'5. Management'!H226)</f>
        <v>0</v>
      </c>
      <c r="E14" s="857" t="s">
        <v>354</v>
      </c>
      <c r="F14" s="1941">
        <f>'5. Management'!F37</f>
        <v>0</v>
      </c>
      <c r="G14" s="2003">
        <f>'5. Management'!H37</f>
        <v>0</v>
      </c>
      <c r="H14" s="2340" t="str">
        <f>VLOOKUP('5. Management'!I37,List!$D$35:$E$37,2,)</f>
        <v>Linear</v>
      </c>
      <c r="I14" s="1942">
        <f>'5. Management'!J37</f>
        <v>0</v>
      </c>
      <c r="J14" s="2340" t="str">
        <f>VLOOKUP('5. Management'!K37,List!$D$35:$E$37,2,)</f>
        <v>Linear</v>
      </c>
      <c r="L14" s="1893">
        <f t="shared" si="1"/>
        <v>0</v>
      </c>
      <c r="M14" s="1893">
        <f t="shared" si="2"/>
        <v>0</v>
      </c>
      <c r="N14" s="1893">
        <f t="shared" si="3"/>
        <v>0</v>
      </c>
      <c r="P14" s="1893">
        <f>MIN(L14,M14)*time_tot+ABS(M14-L14)*IF(M14&gt;L14,time2+time*(VLOOKUP(H14,List!$E$35:$F$37,2,)),time*(1-(VLOOKUP(H14,List!$E$35:$F$37,2,))))</f>
        <v>0</v>
      </c>
      <c r="Q14" s="1893">
        <f>MIN(L14,N14)*time_tot+ABS(N14-L14)*IF(N14&gt;L14,time2+time*(VLOOKUP(J14,List!$E$35:$F$37,2,)),time*(1-(VLOOKUP(J14,List!$E$35:$F$37,2,))))</f>
        <v>0</v>
      </c>
      <c r="S14" s="1375">
        <f t="shared" si="4"/>
        <v>0</v>
      </c>
      <c r="U14" s="171" t="str">
        <f>B14</f>
        <v>Annual</v>
      </c>
      <c r="V14" s="1597">
        <f t="shared" si="5"/>
        <v>0</v>
      </c>
      <c r="Y14" s="1914">
        <f>MIN(L14,M14)*time+ABS(M14-L14)*IF(M14&gt;L14,time*(VLOOKUP(H14,List!$E$35:$F$37,2,)),time*(1-(VLOOKUP(H14,List!$E$35:$F$37,2,))))</f>
        <v>0</v>
      </c>
      <c r="Z14" s="1914">
        <f>MIN(L14,N14)*time+ABS(N14-L14)*IF(N14&gt;L14,time*(VLOOKUP(J14,List!$E$35:$F$37,2,)),time*(1-(VLOOKUP(J14,List!$E$35:$F$37,2,))))</f>
        <v>0</v>
      </c>
    </row>
    <row r="15" spans="1:33" ht="13.5" thickBot="1">
      <c r="A15" s="3018"/>
      <c r="B15" s="171" t="s">
        <v>1092</v>
      </c>
      <c r="C15" s="3016">
        <f>C14</f>
        <v>0</v>
      </c>
      <c r="D15" s="2346">
        <f>IF('5. Management'!H227="",'5. Management'!F227,'5. Management'!H227)</f>
        <v>0</v>
      </c>
      <c r="E15" s="857" t="s">
        <v>354</v>
      </c>
      <c r="F15" s="1941">
        <f>'5. Management'!F38</f>
        <v>0</v>
      </c>
      <c r="G15" s="2003">
        <f>'5. Management'!H38</f>
        <v>0</v>
      </c>
      <c r="H15" s="2340" t="str">
        <f>VLOOKUP('5. Management'!I38,List!$D$35:$E$37,2,)</f>
        <v>Linear</v>
      </c>
      <c r="I15" s="1942">
        <f>'5. Management'!J38</f>
        <v>0</v>
      </c>
      <c r="J15" s="2340" t="str">
        <f>VLOOKUP('5. Management'!K38,List!$D$35:$E$37,2,)</f>
        <v>Linear</v>
      </c>
      <c r="L15" s="1893">
        <f t="shared" si="1"/>
        <v>0</v>
      </c>
      <c r="M15" s="1893">
        <f t="shared" si="2"/>
        <v>0</v>
      </c>
      <c r="N15" s="1893">
        <f t="shared" si="3"/>
        <v>0</v>
      </c>
      <c r="P15" s="1893">
        <f>MIN(L15,M15)*time_tot+ABS(M15-L15)*IF(M15&gt;L15,time2+time*(VLOOKUP(H15,List!$E$35:$F$37,2,)),time*(1-(VLOOKUP(H15,List!$E$35:$F$37,2,))))</f>
        <v>0</v>
      </c>
      <c r="Q15" s="1893">
        <f>MIN(L15,N15)*time_tot+ABS(N15-L15)*IF(N15&gt;L15,time2+time*(VLOOKUP(J15,List!$E$35:$F$37,2,)),time*(1-(VLOOKUP(J15,List!$E$35:$F$37,2,))))</f>
        <v>0</v>
      </c>
      <c r="S15" s="1375">
        <f t="shared" si="4"/>
        <v>0</v>
      </c>
      <c r="U15" s="171" t="str">
        <f>B15</f>
        <v>Perennial</v>
      </c>
      <c r="V15" s="1597">
        <f t="shared" si="5"/>
        <v>0</v>
      </c>
      <c r="Y15" s="1914">
        <f>MIN(L15,M15)*time+ABS(M15-L15)*IF(M15&gt;L15,time*(VLOOKUP(H15,List!$E$35:$F$37,2,)),time*(1-(VLOOKUP(H15,List!$E$35:$F$37,2,))))</f>
        <v>0</v>
      </c>
      <c r="Z15" s="1914">
        <f>MIN(L15,N15)*time+ABS(N15-L15)*IF(N15&gt;L15,time*(VLOOKUP(J15,List!$E$35:$F$37,2,)),time*(1-(VLOOKUP(J15,List!$E$35:$F$37,2,))))</f>
        <v>0</v>
      </c>
    </row>
    <row r="16" spans="1:33">
      <c r="A16" s="3018"/>
      <c r="B16" s="172" t="s">
        <v>329</v>
      </c>
      <c r="C16" s="3016">
        <f>VLOOKUP(clim_full,' IPCC'!$A$753:$C$764,3,)*S68</f>
        <v>0</v>
      </c>
      <c r="D16" s="2346">
        <f>IF('5. Management'!H228="",'5. Management'!F228,'5. Management'!H228)</f>
        <v>0</v>
      </c>
      <c r="E16" s="857" t="s">
        <v>354</v>
      </c>
      <c r="F16" s="1941">
        <f>'5. Management'!F39</f>
        <v>0</v>
      </c>
      <c r="G16" s="2003">
        <f>'5. Management'!H39</f>
        <v>0</v>
      </c>
      <c r="H16" s="2340" t="str">
        <f>VLOOKUP('5. Management'!I39,List!$D$35:$E$37,2,)</f>
        <v>Linear</v>
      </c>
      <c r="I16" s="1942">
        <f>'5. Management'!J39</f>
        <v>0</v>
      </c>
      <c r="J16" s="2340" t="str">
        <f>VLOOKUP('5. Management'!K39,List!$D$35:$E$37,2,)</f>
        <v>Linear</v>
      </c>
      <c r="L16" s="1893">
        <f t="shared" si="1"/>
        <v>0</v>
      </c>
      <c r="M16" s="1893">
        <f t="shared" si="2"/>
        <v>0</v>
      </c>
      <c r="N16" s="1893">
        <f t="shared" si="3"/>
        <v>0</v>
      </c>
      <c r="P16" s="1893">
        <f>MIN(L16,M16)*time_tot+ABS(M16-L16)*IF(M16&gt;L16,time2+time*(VLOOKUP(H16,List!$E$35:$F$37,2,)),time*(1-(VLOOKUP(H16,List!$E$35:$F$37,2,))))</f>
        <v>0</v>
      </c>
      <c r="Q16" s="1893">
        <f>MIN(L16,N16)*time_tot+ABS(N16-L16)*IF(N16&gt;L16,time2+time*(VLOOKUP(J16,List!$E$35:$F$37,2,)),time*(1-(VLOOKUP(J16,List!$E$35:$F$37,2,))))</f>
        <v>0</v>
      </c>
      <c r="S16" s="1375">
        <f t="shared" si="4"/>
        <v>0</v>
      </c>
      <c r="U16" s="172" t="str">
        <f>B16</f>
        <v>Grassland</v>
      </c>
      <c r="V16" s="1597">
        <f t="shared" si="5"/>
        <v>0</v>
      </c>
      <c r="Y16" s="1914">
        <f>MIN(L16,M16)*time+ABS(M16-L16)*IF(M16&gt;L16,time*(VLOOKUP(H16,List!$E$35:$F$37,2,)),time*(1-(VLOOKUP(H16,List!$E$35:$F$37,2,))))</f>
        <v>0</v>
      </c>
      <c r="Z16" s="1914">
        <f>MIN(L16,N16)*time+ABS(N16-L16)*IF(N16&gt;L16,time*(VLOOKUP(J16,List!$E$35:$F$37,2,)),time*(1-(VLOOKUP(J16,List!$E$35:$F$37,2,))))</f>
        <v>0</v>
      </c>
    </row>
    <row r="17" spans="1:36">
      <c r="Y17" s="1902"/>
      <c r="Z17" s="1914"/>
    </row>
    <row r="18" spans="1:36" s="1901" customFormat="1">
      <c r="A18" s="3097"/>
      <c r="B18" s="1534" t="s">
        <v>240</v>
      </c>
      <c r="C18" s="1540"/>
      <c r="D18" s="1534"/>
      <c r="E18" s="1534"/>
      <c r="F18" s="1534"/>
      <c r="G18" s="1534"/>
      <c r="H18" s="1534"/>
      <c r="I18" s="1534"/>
      <c r="J18" s="1534"/>
      <c r="K18" s="1534"/>
      <c r="L18" s="1534"/>
      <c r="M18" s="1534"/>
      <c r="N18" s="1534"/>
      <c r="O18" s="1534"/>
      <c r="P18" s="1534"/>
      <c r="Q18" s="1534"/>
      <c r="R18" s="1534"/>
      <c r="S18" s="1534"/>
      <c r="T18" s="1876"/>
      <c r="U18" s="1876"/>
      <c r="V18" s="1876"/>
      <c r="Y18" s="1902"/>
      <c r="Z18" s="1914"/>
      <c r="AH18" s="1876"/>
      <c r="AI18" s="1876"/>
      <c r="AJ18" s="1876"/>
    </row>
    <row r="19" spans="1:36" s="1901" customFormat="1">
      <c r="A19" s="3097"/>
      <c r="B19" s="1876"/>
      <c r="C19" s="1876"/>
      <c r="D19" s="1876"/>
      <c r="E19" s="1876"/>
      <c r="F19" s="1876"/>
      <c r="G19" s="1876"/>
      <c r="H19" s="1876"/>
      <c r="I19" s="1876"/>
      <c r="J19" s="1876"/>
      <c r="K19" s="1876"/>
      <c r="L19" s="1876"/>
      <c r="M19" s="1876"/>
      <c r="N19" s="1876"/>
      <c r="O19" s="1876"/>
      <c r="P19" s="1876"/>
      <c r="Q19" s="1876"/>
      <c r="R19" s="1876"/>
      <c r="S19" s="1876"/>
      <c r="T19" s="1876"/>
      <c r="U19" s="1876"/>
      <c r="V19" s="1876"/>
      <c r="Y19" s="1902"/>
      <c r="Z19" s="1914"/>
      <c r="AH19" s="1876"/>
      <c r="AI19" s="1876"/>
      <c r="AJ19" s="1876"/>
    </row>
    <row r="20" spans="1:36" s="1901" customFormat="1" ht="13.5" thickBot="1">
      <c r="A20" s="3097"/>
      <c r="B20" s="221"/>
      <c r="C20" s="150" t="s">
        <v>226</v>
      </c>
      <c r="D20" s="135"/>
      <c r="E20" s="28"/>
      <c r="F20" s="1537" t="s">
        <v>277</v>
      </c>
      <c r="G20" s="135"/>
      <c r="H20" s="135"/>
      <c r="I20" s="135"/>
      <c r="J20" s="28"/>
      <c r="K20" s="1876"/>
      <c r="L20" s="3855" t="s">
        <v>336</v>
      </c>
      <c r="M20" s="3855"/>
      <c r="N20" s="3855"/>
      <c r="O20" s="1876"/>
      <c r="P20" s="1535" t="s">
        <v>2</v>
      </c>
      <c r="Q20" s="1535"/>
      <c r="R20" s="1876"/>
      <c r="S20" s="1535"/>
      <c r="T20" s="1876"/>
      <c r="U20" s="1876"/>
      <c r="V20" s="1177" t="s">
        <v>261</v>
      </c>
      <c r="Y20" s="1902"/>
      <c r="Z20" s="1914"/>
      <c r="AH20" s="1876"/>
      <c r="AI20" s="1876"/>
      <c r="AJ20" s="1876"/>
    </row>
    <row r="21" spans="1:36" s="1901" customFormat="1">
      <c r="A21" s="3097"/>
      <c r="B21" s="171" t="s">
        <v>234</v>
      </c>
      <c r="C21" s="1539" t="s">
        <v>337</v>
      </c>
      <c r="D21" s="1538" t="s">
        <v>338</v>
      </c>
      <c r="E21" s="846" t="s">
        <v>339</v>
      </c>
      <c r="F21" s="124"/>
      <c r="G21" s="124"/>
      <c r="H21" s="124"/>
      <c r="I21" s="124"/>
      <c r="J21" s="2030"/>
      <c r="K21" s="1876"/>
      <c r="L21" s="1399" t="s">
        <v>340</v>
      </c>
      <c r="M21" s="2934" t="s">
        <v>341</v>
      </c>
      <c r="N21" s="2934"/>
      <c r="O21" s="1876"/>
      <c r="P21" s="3851" t="s">
        <v>342</v>
      </c>
      <c r="Q21" s="3851"/>
      <c r="R21" s="1876"/>
      <c r="S21" s="2933" t="s">
        <v>343</v>
      </c>
      <c r="T21" s="1876"/>
      <c r="U21" s="1876"/>
      <c r="V21" s="1018" t="s">
        <v>259</v>
      </c>
      <c r="Y21" s="1872" t="s">
        <v>844</v>
      </c>
      <c r="Z21" s="1902"/>
      <c r="AH21" s="1876"/>
      <c r="AI21" s="1876"/>
      <c r="AJ21" s="1876"/>
    </row>
    <row r="22" spans="1:36" s="1901" customFormat="1" ht="13.5" thickBot="1">
      <c r="A22" s="3097"/>
      <c r="B22" s="172"/>
      <c r="C22" s="114"/>
      <c r="D22" s="124"/>
      <c r="E22" s="2030"/>
      <c r="F22" s="630" t="s">
        <v>340</v>
      </c>
      <c r="G22" s="3852" t="s">
        <v>673</v>
      </c>
      <c r="H22" s="3852"/>
      <c r="I22" s="3853" t="s">
        <v>672</v>
      </c>
      <c r="J22" s="3854"/>
      <c r="K22" s="1876"/>
      <c r="L22" s="1399"/>
      <c r="M22" s="1367" t="s">
        <v>674</v>
      </c>
      <c r="N22" s="1368" t="s">
        <v>675</v>
      </c>
      <c r="O22" s="1876"/>
      <c r="P22" s="1367" t="s">
        <v>674</v>
      </c>
      <c r="Q22" s="1368" t="s">
        <v>675</v>
      </c>
      <c r="R22" s="1876"/>
      <c r="S22" s="1370"/>
      <c r="T22" s="1876"/>
      <c r="U22" s="1876"/>
      <c r="V22" s="908" t="s">
        <v>260</v>
      </c>
      <c r="Y22" s="1913" t="s">
        <v>674</v>
      </c>
      <c r="Z22" s="1913" t="s">
        <v>675</v>
      </c>
      <c r="AH22" s="1876"/>
      <c r="AI22" s="1876"/>
      <c r="AJ22" s="1876"/>
    </row>
    <row r="23" spans="1:36" s="1901" customFormat="1" ht="13.5" thickBot="1">
      <c r="A23" s="3097"/>
      <c r="B23" s="221" t="s">
        <v>229</v>
      </c>
      <c r="C23" s="1541">
        <f>VLOOKUP(clim_full,' IPCC'!$A$767:$B$778,2,)</f>
        <v>0</v>
      </c>
      <c r="D23" s="2346">
        <f>IF('5. Management'!H234="",'5. Management'!F234,'5. Management'!H234)</f>
        <v>0</v>
      </c>
      <c r="E23" s="857" t="s">
        <v>354</v>
      </c>
      <c r="F23" s="1941">
        <f>'5. Management'!F49</f>
        <v>0</v>
      </c>
      <c r="G23" s="2003">
        <f>'5. Management'!H49</f>
        <v>0</v>
      </c>
      <c r="H23" s="2340" t="str">
        <f>VLOOKUP('5. Management'!I49,List!$D$35:$E$37,2,)</f>
        <v>Linear</v>
      </c>
      <c r="I23" s="1942">
        <f>'5. Management'!J49</f>
        <v>0</v>
      </c>
      <c r="J23" s="2340" t="str">
        <f>VLOOKUP('5. Management'!K49,List!$D$35:$E$37,2,)</f>
        <v>Linear</v>
      </c>
      <c r="K23" s="1876"/>
      <c r="L23" s="1893">
        <f>IF($E23="YES",$C23,$D23)*F23*44/12</f>
        <v>0</v>
      </c>
      <c r="M23" s="1893">
        <f>IF($E23="YES",$C23,$D23)*G23*44/12</f>
        <v>0</v>
      </c>
      <c r="N23" s="1893">
        <f>IF($E23="YES",$C23,$D23)*I23*44/12</f>
        <v>0</v>
      </c>
      <c r="O23" s="1876"/>
      <c r="P23" s="1893">
        <f>MIN(L23,M23)*time_tot+ABS(M23-L23)*IF(M23&gt;L23,time2+time*(VLOOKUP(H23,List!$E$35:$F$37,2,)),time*(1-(VLOOKUP(H23,List!$E$35:$F$37,2,))))</f>
        <v>0</v>
      </c>
      <c r="Q23" s="1893">
        <f>MIN(L23,N23)*time_tot+ABS(N23-L23)*IF(N23&gt;L23,time2+time*(VLOOKUP(J23,List!$E$35:$F$37,2,)),time*(1-(VLOOKUP(J23,List!$E$35:$F$37,2,))))</f>
        <v>0</v>
      </c>
      <c r="R23" s="1876"/>
      <c r="S23" s="1375">
        <f>Q23-P23</f>
        <v>0</v>
      </c>
      <c r="T23" s="1876"/>
      <c r="U23" s="221" t="str">
        <f>B23</f>
        <v>Nutrient-poot peat</v>
      </c>
      <c r="V23" s="1600">
        <f>MAX(F23:G23,I23)</f>
        <v>0</v>
      </c>
      <c r="Y23" s="1914">
        <f>MIN(L23,M23)*time+ABS(M23-L23)*IF(M23&gt;L23,time*(VLOOKUP(H23,List!$E$35:$F$37,2,)),time*(1-(VLOOKUP(H23,List!$E$35:$F$37,2,))))</f>
        <v>0</v>
      </c>
      <c r="Z23" s="1914">
        <f>MIN(L23,N23)*time+ABS(N23-L23)*IF(N23&gt;L23,time*(VLOOKUP(J23,List!$E$35:$F$37,2,)),time*(1-(VLOOKUP(J23,List!$E$35:$F$37,2,))))</f>
        <v>0</v>
      </c>
      <c r="AH23" s="1876"/>
      <c r="AI23" s="1876"/>
      <c r="AJ23" s="1876"/>
    </row>
    <row r="24" spans="1:36" s="1901" customFormat="1">
      <c r="A24" s="3097"/>
      <c r="B24" s="172" t="s">
        <v>230</v>
      </c>
      <c r="C24" s="1541">
        <f>VLOOKUP(clim_full,' IPCC'!$A$781:$B$792,2,)</f>
        <v>0</v>
      </c>
      <c r="D24" s="2346">
        <f>IF('5. Management'!H235="",'5. Management'!F235,'5. Management'!H235)</f>
        <v>0</v>
      </c>
      <c r="E24" s="857" t="s">
        <v>354</v>
      </c>
      <c r="F24" s="1941">
        <f>'5. Management'!F50</f>
        <v>0</v>
      </c>
      <c r="G24" s="2003">
        <f>'5. Management'!H50</f>
        <v>0</v>
      </c>
      <c r="H24" s="2340" t="str">
        <f>VLOOKUP('5. Management'!I50,List!$D$35:$E$37,2,)</f>
        <v>Linear</v>
      </c>
      <c r="I24" s="1942">
        <f>'5. Management'!J50</f>
        <v>0</v>
      </c>
      <c r="J24" s="2340" t="str">
        <f>VLOOKUP('5. Management'!K50,List!$D$35:$E$37,2,)</f>
        <v>Linear</v>
      </c>
      <c r="K24" s="1876"/>
      <c r="L24" s="1893">
        <f>IF($E24="YES",$C24,$D24)*F24*44/12</f>
        <v>0</v>
      </c>
      <c r="M24" s="1893">
        <f>IF($E24="YES",$C24,$D24)*G24*44/12</f>
        <v>0</v>
      </c>
      <c r="N24" s="1893">
        <f>IF($E24="YES",$C24,$D24)*I24*44/12</f>
        <v>0</v>
      </c>
      <c r="O24" s="1876"/>
      <c r="P24" s="1893">
        <f>MIN(L24,M24)*time_tot+ABS(M24-L24)*IF(M24&gt;L24,time2+time*(VLOOKUP(H24,List!$E$35:$F$37,2,)),time*(1-(VLOOKUP(H24,List!$E$35:$F$37,2,))))</f>
        <v>0</v>
      </c>
      <c r="Q24" s="1893">
        <f>MIN(L24,N24)*time_tot+ABS(N24-L24)*IF(N24&gt;L24,time2+time*(VLOOKUP(J24,List!$E$35:$F$37,2,)),time*(1-(VLOOKUP(J24,List!$E$35:$F$37,2,))))</f>
        <v>0</v>
      </c>
      <c r="R24" s="1876"/>
      <c r="S24" s="1375">
        <f>Q24-P24</f>
        <v>0</v>
      </c>
      <c r="T24" s="1876"/>
      <c r="U24" s="172" t="str">
        <f>B24</f>
        <v>Nutrient Rich</v>
      </c>
      <c r="V24" s="1601">
        <f>MAX(F24:G24,I24)</f>
        <v>0</v>
      </c>
      <c r="Y24" s="1914">
        <f>MIN(L24,M24)*time+ABS(M24-L24)*IF(M24&gt;L24,time*(VLOOKUP(H24,List!$E$35:$F$37,2,)),time*(1-(VLOOKUP(H24,List!$E$35:$F$37,2,))))</f>
        <v>0</v>
      </c>
      <c r="Z24" s="1914">
        <f>MIN(L24,N24)*time+ABS(N24-L24)*IF(N24&gt;L24,time*(VLOOKUP(J24,List!$E$35:$F$37,2,)),time*(1-(VLOOKUP(J24,List!$E$35:$F$37,2,))))</f>
        <v>0</v>
      </c>
      <c r="AH24" s="1876"/>
      <c r="AI24" s="1876"/>
      <c r="AJ24" s="1876"/>
    </row>
    <row r="25" spans="1:36" s="1901" customFormat="1">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c r="Y25" s="1902"/>
      <c r="Z25" s="1914"/>
      <c r="AH25" s="1876"/>
      <c r="AI25" s="1876"/>
      <c r="AJ25" s="1876"/>
    </row>
    <row r="26" spans="1:36" s="1901" customFormat="1">
      <c r="A26" s="2780"/>
      <c r="B26" s="1534" t="s">
        <v>5606</v>
      </c>
      <c r="C26" s="1540"/>
      <c r="D26" s="1534"/>
      <c r="E26" s="1534"/>
      <c r="F26" s="1534"/>
      <c r="G26" s="1534"/>
      <c r="H26" s="1534"/>
      <c r="I26" s="1534"/>
      <c r="J26" s="1534"/>
      <c r="K26" s="1534"/>
      <c r="L26" s="1534"/>
      <c r="M26" s="1534"/>
      <c r="N26" s="1534"/>
      <c r="O26" s="1534"/>
      <c r="P26" s="1534"/>
      <c r="Q26" s="1534"/>
      <c r="R26" s="1534"/>
      <c r="S26" s="1534"/>
      <c r="T26" s="1876"/>
      <c r="U26" s="1876"/>
      <c r="V26" s="1876"/>
      <c r="Y26" s="1902"/>
      <c r="Z26" s="1914"/>
      <c r="AH26" s="1876"/>
      <c r="AI26" s="1876"/>
      <c r="AJ26" s="1876"/>
    </row>
    <row r="27" spans="1:36" s="1901" customFormat="1">
      <c r="A27" s="2780"/>
      <c r="B27" s="1876"/>
      <c r="C27" s="1876"/>
      <c r="D27" s="1876"/>
      <c r="E27" s="1876"/>
      <c r="F27" s="1876"/>
      <c r="G27" s="1876"/>
      <c r="H27" s="1876"/>
      <c r="I27" s="1876"/>
      <c r="J27" s="1876"/>
      <c r="K27" s="1876"/>
      <c r="L27" s="1876"/>
      <c r="M27" s="1876"/>
      <c r="N27" s="1876"/>
      <c r="O27" s="1876"/>
      <c r="P27" s="1876"/>
      <c r="Q27" s="1876"/>
      <c r="R27" s="1876"/>
      <c r="S27" s="1876"/>
      <c r="T27" s="1876"/>
      <c r="U27" s="1876"/>
      <c r="V27" s="1876"/>
      <c r="Y27" s="1902"/>
      <c r="Z27" s="1914"/>
      <c r="AH27" s="1876"/>
      <c r="AI27" s="1876"/>
      <c r="AJ27" s="1876"/>
    </row>
    <row r="28" spans="1:36" s="1901" customFormat="1" ht="12.75" customHeight="1" thickBot="1">
      <c r="A28" s="2780"/>
      <c r="B28" s="221"/>
      <c r="C28" s="3859" t="s">
        <v>242</v>
      </c>
      <c r="D28" s="3860"/>
      <c r="E28" s="3861"/>
      <c r="F28" s="1537" t="s">
        <v>241</v>
      </c>
      <c r="G28" s="135"/>
      <c r="H28" s="135"/>
      <c r="I28" s="135"/>
      <c r="J28" s="28"/>
      <c r="K28" s="1876"/>
      <c r="L28" s="3855" t="s">
        <v>336</v>
      </c>
      <c r="M28" s="3855"/>
      <c r="N28" s="3855"/>
      <c r="O28" s="1876"/>
      <c r="P28" s="1535" t="s">
        <v>2</v>
      </c>
      <c r="Q28" s="1535"/>
      <c r="R28" s="1876"/>
      <c r="S28" s="1535"/>
      <c r="T28" s="1876"/>
      <c r="U28" s="3798" t="s">
        <v>247</v>
      </c>
      <c r="V28" s="3736"/>
      <c r="Y28" s="1902"/>
      <c r="Z28" s="1914"/>
      <c r="AH28" s="1876"/>
      <c r="AI28" s="1876"/>
      <c r="AJ28" s="1876"/>
    </row>
    <row r="29" spans="1:36" s="1901" customFormat="1" ht="12.75" customHeight="1">
      <c r="A29" s="2780"/>
      <c r="B29" s="171" t="s">
        <v>234</v>
      </c>
      <c r="C29" s="1539" t="s">
        <v>337</v>
      </c>
      <c r="D29" s="1538" t="s">
        <v>338</v>
      </c>
      <c r="E29" s="846" t="s">
        <v>339</v>
      </c>
      <c r="F29" s="124" t="s">
        <v>244</v>
      </c>
      <c r="G29" s="124"/>
      <c r="H29" s="124"/>
      <c r="I29" s="124"/>
      <c r="J29" s="2030"/>
      <c r="K29" s="1876"/>
      <c r="L29" s="1399" t="s">
        <v>340</v>
      </c>
      <c r="M29" s="2934" t="s">
        <v>341</v>
      </c>
      <c r="N29" s="2934"/>
      <c r="O29" s="1876"/>
      <c r="P29" s="3851" t="s">
        <v>342</v>
      </c>
      <c r="Q29" s="3851"/>
      <c r="R29" s="1876"/>
      <c r="S29" s="2933" t="s">
        <v>343</v>
      </c>
      <c r="T29" s="1876"/>
      <c r="U29" s="126" t="s">
        <v>245</v>
      </c>
      <c r="V29" s="31" t="s">
        <v>246</v>
      </c>
      <c r="Y29" s="1872" t="s">
        <v>844</v>
      </c>
      <c r="Z29" s="1902"/>
      <c r="AH29" s="1876"/>
      <c r="AI29" s="1876"/>
      <c r="AJ29" s="1876"/>
    </row>
    <row r="30" spans="1:36" s="1901" customFormat="1">
      <c r="A30" s="2780"/>
      <c r="B30" s="172"/>
      <c r="C30" s="114"/>
      <c r="D30" s="3170"/>
      <c r="E30" s="2030"/>
      <c r="F30" s="630" t="s">
        <v>340</v>
      </c>
      <c r="G30" s="3852" t="s">
        <v>673</v>
      </c>
      <c r="H30" s="3852"/>
      <c r="I30" s="3853" t="s">
        <v>672</v>
      </c>
      <c r="J30" s="3854"/>
      <c r="K30" s="1876"/>
      <c r="L30" s="1399"/>
      <c r="M30" s="1367" t="s">
        <v>674</v>
      </c>
      <c r="N30" s="1368" t="s">
        <v>675</v>
      </c>
      <c r="O30" s="1876"/>
      <c r="P30" s="1367" t="s">
        <v>674</v>
      </c>
      <c r="Q30" s="1368" t="s">
        <v>675</v>
      </c>
      <c r="R30" s="1876"/>
      <c r="S30" s="1370"/>
      <c r="T30" s="1876"/>
      <c r="U30" s="126" t="s">
        <v>248</v>
      </c>
      <c r="V30" s="31" t="s">
        <v>249</v>
      </c>
      <c r="W30" s="1871" t="s">
        <v>1269</v>
      </c>
      <c r="Y30" s="1913" t="s">
        <v>674</v>
      </c>
      <c r="Z30" s="1913" t="s">
        <v>675</v>
      </c>
      <c r="AH30" s="1876"/>
      <c r="AI30" s="1876"/>
      <c r="AJ30" s="1876"/>
    </row>
    <row r="31" spans="1:36" s="1901" customFormat="1">
      <c r="A31" s="2780"/>
      <c r="B31" s="219" t="s">
        <v>1610</v>
      </c>
      <c r="C31" s="1541">
        <f>VLOOKUP(clim_full,' IPCC'!$A$795:$B$806,2,)</f>
        <v>0</v>
      </c>
      <c r="D31" s="1876"/>
      <c r="E31" s="857" t="s">
        <v>350</v>
      </c>
      <c r="F31" s="914">
        <f>F23*10000*W31*('5. Management'!M49/100)</f>
        <v>0</v>
      </c>
      <c r="G31" s="914">
        <f>G23*10000*W31*('5. Management'!N49/100)</f>
        <v>0</v>
      </c>
      <c r="H31" s="676" t="s">
        <v>351</v>
      </c>
      <c r="I31" s="914">
        <f>I23*10000*W31*('5. Management'!P49/100)</f>
        <v>0</v>
      </c>
      <c r="J31" s="759" t="s">
        <v>351</v>
      </c>
      <c r="K31" s="1876"/>
      <c r="L31" s="1893">
        <f>IF($E31="YES",$C31,$D31)*F31*44/12</f>
        <v>0</v>
      </c>
      <c r="M31" s="1893">
        <f>IF($E31="YES",$C31,$D31)*G31*44/12</f>
        <v>0</v>
      </c>
      <c r="N31" s="1893">
        <f>IF($E31="YES",$C31,$D31)*I31*44/12</f>
        <v>0</v>
      </c>
      <c r="O31" s="1876"/>
      <c r="P31" s="1893">
        <f>MIN(L31,M31)*time_tot+ABS(M31-L31)*IF(M31&gt;L31,time2+time*(VLOOKUP(H31,List!$E$35:$F$37,2,)),time*(1-(VLOOKUP(H31,List!$E$35:$F$37,2,))))</f>
        <v>0</v>
      </c>
      <c r="Q31" s="1893">
        <f>MIN(L31,N31)*time_tot+ABS(N31-L31)*IF(N31&gt;L31,time2+time*(VLOOKUP(J31,List!$E$35:$F$37,2,)),time*(1-(VLOOKUP(J31,List!$E$35:$F$37,2,))))</f>
        <v>0</v>
      </c>
      <c r="R31" s="1876"/>
      <c r="S31" s="1375">
        <f>Q31-P31</f>
        <v>0</v>
      </c>
      <c r="T31" s="1876"/>
      <c r="U31" s="1544">
        <v>1</v>
      </c>
      <c r="V31" s="3172">
        <f>U31*VLOOKUP(clim_full,' IPCC'!$A$823:$B$834,2,)</f>
        <v>0</v>
      </c>
      <c r="W31" s="3171">
        <f>IF('5. Management'!AE234=0,'5. Management'!AC234,'5. Management'!AE234)</f>
        <v>0</v>
      </c>
      <c r="Y31" s="1914">
        <f>MIN(L31,M31)*time+ABS(M31-L31)*IF(M31&gt;L31,time*(VLOOKUP(H31,List!$E$35:$F$37,2,)),time*(1-(VLOOKUP(H31,List!$E$35:$F$37,2,))))</f>
        <v>0</v>
      </c>
      <c r="Z31" s="1914">
        <f>MIN(L31,N31)*time+ABS(N31-L31)*IF(N31&gt;L31,time*(VLOOKUP(J31,List!$E$35:$F$37,2,)),time*(1-(VLOOKUP(J31,List!$E$35:$F$37,2,))))</f>
        <v>0</v>
      </c>
      <c r="AH31" s="1876"/>
      <c r="AI31" s="1876"/>
      <c r="AJ31" s="1876"/>
    </row>
    <row r="32" spans="1:36" s="1901" customFormat="1">
      <c r="A32" s="2780"/>
      <c r="B32" s="172" t="s">
        <v>230</v>
      </c>
      <c r="C32" s="1541">
        <f>VLOOKUP(clim_full,' IPCC'!$A$809:$B$820,2,)</f>
        <v>0</v>
      </c>
      <c r="D32" s="1876"/>
      <c r="E32" s="857" t="s">
        <v>350</v>
      </c>
      <c r="F32" s="914">
        <f>F24*10000*W32*('5. Management'!M50/100)</f>
        <v>0</v>
      </c>
      <c r="G32" s="914">
        <f>G24*10000*W32*('5. Management'!N50/100)</f>
        <v>0</v>
      </c>
      <c r="H32" s="676" t="s">
        <v>351</v>
      </c>
      <c r="I32" s="914">
        <f>I24*10000*W32*('5. Management'!P50/100)</f>
        <v>0</v>
      </c>
      <c r="J32" s="759" t="s">
        <v>351</v>
      </c>
      <c r="K32" s="1876"/>
      <c r="L32" s="1893">
        <f>IF($E32="YES",$C32,$D32)*F32*44/12</f>
        <v>0</v>
      </c>
      <c r="M32" s="1893">
        <f>IF($E32="YES",$C32,$D32)*G32*44/12</f>
        <v>0</v>
      </c>
      <c r="N32" s="1893">
        <f>IF($E32="YES",$C32,$D32)*I32*44/12</f>
        <v>0</v>
      </c>
      <c r="O32" s="1876"/>
      <c r="P32" s="1893">
        <f>MIN(L32,M32)*time_tot+ABS(M32-L32)*IF(M32&gt;L32,time2+time*(VLOOKUP(H32,List!$E$35:$F$37,2,)),time*(1-(VLOOKUP(H32,List!$E$35:$F$37,2,))))</f>
        <v>0</v>
      </c>
      <c r="Q32" s="1893">
        <f>MIN(L32,N32)*time_tot+ABS(N32-L32)*IF(N32&gt;L32,time2+time*(VLOOKUP(J32,List!$E$35:$F$37,2,)),time*(1-(VLOOKUP(J32,List!$E$35:$F$37,2,))))</f>
        <v>0</v>
      </c>
      <c r="R32" s="1876"/>
      <c r="S32" s="1375">
        <f>Q32-P32</f>
        <v>0</v>
      </c>
      <c r="T32" s="1876"/>
      <c r="U32" s="1545">
        <v>1</v>
      </c>
      <c r="V32" s="3173">
        <f>U32*VLOOKUP(clim_full,' IPCC'!$A$837:$B$848,2,)</f>
        <v>0</v>
      </c>
      <c r="W32" s="3171">
        <f>IF('5. Management'!AE235=0,'5. Management'!AC235,'5. Management'!AE235)</f>
        <v>0</v>
      </c>
      <c r="Y32" s="1914">
        <f>MIN(L32,M32)*time+ABS(M32-L32)*IF(M32&gt;L32,time*(VLOOKUP(H32,List!$E$35:$F$37,2,)),time*(1-(VLOOKUP(H32,List!$E$35:$F$37,2,))))</f>
        <v>0</v>
      </c>
      <c r="Z32" s="1914">
        <f>MIN(L32,N32)*time+ABS(N32-L32)*IF(N32&gt;L32,time*(VLOOKUP(J32,List!$E$35:$F$37,2,)),time*(1-(VLOOKUP(J32,List!$E$35:$F$37,2,))))</f>
        <v>0</v>
      </c>
      <c r="AH32" s="1876"/>
      <c r="AI32" s="1876"/>
      <c r="AJ32" s="1876"/>
    </row>
    <row r="33" spans="1:36" s="1901" customFormat="1">
      <c r="A33" s="1876"/>
      <c r="B33" s="1876" t="s">
        <v>243</v>
      </c>
      <c r="C33" s="1876"/>
      <c r="D33" s="1876"/>
      <c r="E33" s="1876"/>
      <c r="F33" s="1876"/>
      <c r="G33" s="1876"/>
      <c r="H33" s="1876"/>
      <c r="I33" s="1876"/>
      <c r="J33" s="1876"/>
      <c r="K33" s="1876"/>
      <c r="L33" s="1876"/>
      <c r="M33" s="1876"/>
      <c r="N33" s="1876"/>
      <c r="O33" s="1876"/>
      <c r="P33" s="1876"/>
      <c r="Q33" s="1876"/>
      <c r="R33" s="1876"/>
      <c r="S33" s="1876"/>
      <c r="T33" s="1876"/>
      <c r="U33" s="1876"/>
      <c r="V33" s="1876"/>
      <c r="Y33" s="1902"/>
      <c r="Z33" s="1914"/>
      <c r="AH33" s="1876"/>
      <c r="AI33" s="1876"/>
      <c r="AJ33" s="1876"/>
    </row>
    <row r="34" spans="1:36" s="1901" customFormat="1">
      <c r="A34" s="1876"/>
      <c r="B34" s="210" t="s">
        <v>471</v>
      </c>
      <c r="C34" s="1876"/>
      <c r="D34" s="1876"/>
      <c r="E34" s="1876"/>
      <c r="F34" s="1876"/>
      <c r="G34" s="1876"/>
      <c r="H34" s="1876"/>
      <c r="I34" s="1876"/>
      <c r="J34" s="1876"/>
      <c r="K34" s="1876"/>
      <c r="L34" s="1876"/>
      <c r="M34" s="1876"/>
      <c r="N34" s="1876"/>
      <c r="O34" s="1876"/>
      <c r="P34" s="1876"/>
      <c r="Q34" s="1876"/>
      <c r="R34" s="1876"/>
      <c r="S34" s="1876"/>
      <c r="T34" s="1876"/>
      <c r="U34" s="1876"/>
      <c r="V34" s="1876"/>
      <c r="Y34" s="1902"/>
      <c r="Z34" s="1914"/>
      <c r="AH34" s="1876"/>
      <c r="AI34" s="1876"/>
      <c r="AJ34" s="1876"/>
    </row>
    <row r="35" spans="1:36" s="1901" customFormat="1">
      <c r="A35" s="3097"/>
      <c r="B35" s="1534" t="s">
        <v>253</v>
      </c>
      <c r="C35" s="1540"/>
      <c r="D35" s="1534"/>
      <c r="E35" s="1534"/>
      <c r="F35" s="1534"/>
      <c r="G35" s="1534"/>
      <c r="H35" s="1534"/>
      <c r="I35" s="1534"/>
      <c r="J35" s="1534"/>
      <c r="K35" s="1534"/>
      <c r="L35" s="1534"/>
      <c r="M35" s="1534"/>
      <c r="N35" s="1534"/>
      <c r="O35" s="1534"/>
      <c r="P35" s="1534"/>
      <c r="Q35" s="1534"/>
      <c r="R35" s="1534"/>
      <c r="S35" s="1534"/>
      <c r="T35" s="1876"/>
      <c r="U35" s="1876"/>
      <c r="V35" s="1876"/>
      <c r="Y35" s="1902"/>
      <c r="Z35" s="1914"/>
      <c r="AH35" s="1876"/>
      <c r="AI35" s="1876"/>
      <c r="AJ35" s="1876"/>
    </row>
    <row r="36" spans="1:36" s="1901" customFormat="1">
      <c r="A36" s="3097"/>
      <c r="B36" s="1876"/>
      <c r="C36" s="1876"/>
      <c r="D36" s="1876"/>
      <c r="E36" s="1876"/>
      <c r="F36" s="1876"/>
      <c r="G36" s="1876"/>
      <c r="H36" s="1876"/>
      <c r="I36" s="1876"/>
      <c r="J36" s="1876"/>
      <c r="K36" s="1876"/>
      <c r="L36" s="1876"/>
      <c r="M36" s="1876"/>
      <c r="N36" s="1876"/>
      <c r="O36" s="1876"/>
      <c r="P36" s="1876"/>
      <c r="Q36" s="1876"/>
      <c r="R36" s="1876"/>
      <c r="S36" s="1876"/>
      <c r="T36" s="1876"/>
      <c r="U36" s="1876"/>
      <c r="V36" s="1876"/>
      <c r="Y36" s="1902"/>
      <c r="Z36" s="1914"/>
      <c r="AH36" s="1876"/>
      <c r="AI36" s="1876"/>
      <c r="AJ36" s="1876"/>
    </row>
    <row r="37" spans="1:36" s="1901" customFormat="1" ht="13.5" thickBot="1">
      <c r="A37" s="3097"/>
      <c r="B37" s="221"/>
      <c r="C37" s="193" t="s">
        <v>256</v>
      </c>
      <c r="D37" s="135"/>
      <c r="E37" s="28"/>
      <c r="F37" s="1537" t="s">
        <v>277</v>
      </c>
      <c r="G37" s="135"/>
      <c r="H37" s="135"/>
      <c r="I37" s="135"/>
      <c r="J37" s="28"/>
      <c r="K37" s="1876"/>
      <c r="L37" s="3855" t="s">
        <v>336</v>
      </c>
      <c r="M37" s="3855"/>
      <c r="N37" s="3855"/>
      <c r="O37" s="1876"/>
      <c r="P37" s="1535" t="s">
        <v>2</v>
      </c>
      <c r="Q37" s="1535"/>
      <c r="R37" s="1876"/>
      <c r="S37" s="1535"/>
      <c r="T37" s="1876"/>
      <c r="U37" s="1876"/>
      <c r="V37" s="1876"/>
      <c r="Y37" s="1872" t="s">
        <v>844</v>
      </c>
      <c r="Z37" s="1902"/>
      <c r="AH37" s="1876"/>
      <c r="AI37" s="1876"/>
      <c r="AJ37" s="1876"/>
    </row>
    <row r="38" spans="1:36" s="1901" customFormat="1">
      <c r="A38" s="3097"/>
      <c r="B38" s="171" t="s">
        <v>234</v>
      </c>
      <c r="C38" s="1539" t="s">
        <v>337</v>
      </c>
      <c r="D38" s="1538" t="s">
        <v>338</v>
      </c>
      <c r="E38" s="846" t="s">
        <v>339</v>
      </c>
      <c r="F38" s="124"/>
      <c r="G38" s="124"/>
      <c r="H38" s="124"/>
      <c r="I38" s="124"/>
      <c r="J38" s="2030"/>
      <c r="K38" s="1876"/>
      <c r="L38" s="1399" t="s">
        <v>340</v>
      </c>
      <c r="M38" s="2934" t="s">
        <v>341</v>
      </c>
      <c r="N38" s="2934"/>
      <c r="O38" s="1876"/>
      <c r="P38" s="3851" t="s">
        <v>342</v>
      </c>
      <c r="Q38" s="3851"/>
      <c r="R38" s="1876"/>
      <c r="S38" s="2933" t="s">
        <v>343</v>
      </c>
      <c r="T38" s="1876"/>
      <c r="U38" s="1876"/>
      <c r="V38" s="1876"/>
      <c r="Y38" s="1913" t="s">
        <v>674</v>
      </c>
      <c r="Z38" s="1913" t="s">
        <v>675</v>
      </c>
      <c r="AH38" s="1876"/>
      <c r="AI38" s="1876"/>
      <c r="AJ38" s="1876"/>
    </row>
    <row r="39" spans="1:36" s="1901" customFormat="1">
      <c r="A39" s="3097"/>
      <c r="B39" s="172"/>
      <c r="C39" s="113"/>
      <c r="D39" s="2029"/>
      <c r="E39" s="2035"/>
      <c r="F39" s="630" t="s">
        <v>340</v>
      </c>
      <c r="G39" s="3852" t="s">
        <v>673</v>
      </c>
      <c r="H39" s="3852"/>
      <c r="I39" s="3853" t="s">
        <v>672</v>
      </c>
      <c r="J39" s="3854"/>
      <c r="K39" s="1876"/>
      <c r="L39" s="1399"/>
      <c r="M39" s="1367" t="s">
        <v>674</v>
      </c>
      <c r="N39" s="1368" t="s">
        <v>675</v>
      </c>
      <c r="O39" s="1876"/>
      <c r="P39" s="1367" t="s">
        <v>674</v>
      </c>
      <c r="Q39" s="1368" t="s">
        <v>675</v>
      </c>
      <c r="R39" s="1876"/>
      <c r="S39" s="1370"/>
      <c r="T39" s="1876"/>
      <c r="U39" s="1876"/>
      <c r="V39" s="1876"/>
      <c r="Y39" s="1902"/>
      <c r="Z39" s="1914"/>
      <c r="AH39" s="1876"/>
      <c r="AI39" s="1876"/>
      <c r="AJ39" s="1876"/>
    </row>
    <row r="40" spans="1:36" s="1901" customFormat="1" ht="13.5" thickBot="1">
      <c r="A40" s="3097"/>
      <c r="B40" s="221" t="s">
        <v>229</v>
      </c>
      <c r="C40" s="1546">
        <f>C41</f>
        <v>0</v>
      </c>
      <c r="D40" s="2348">
        <f>IF('5. Management'!T234="",'5. Management'!R234,'5. Management'!T234)</f>
        <v>0</v>
      </c>
      <c r="E40" s="1547" t="s">
        <v>354</v>
      </c>
      <c r="F40" s="1550">
        <f t="shared" ref="F40:J41" si="6">F23</f>
        <v>0</v>
      </c>
      <c r="G40" s="1551">
        <f t="shared" si="6"/>
        <v>0</v>
      </c>
      <c r="H40" s="2350" t="str">
        <f t="shared" si="6"/>
        <v>Linear</v>
      </c>
      <c r="I40" s="1551">
        <f t="shared" si="6"/>
        <v>0</v>
      </c>
      <c r="J40" s="2352" t="str">
        <f t="shared" si="6"/>
        <v>Linear</v>
      </c>
      <c r="K40" s="1876"/>
      <c r="L40" s="1893">
        <f>IF($E40="YES",$C40,$D40)*F40*(44/28)*0.001*Nitrous</f>
        <v>0</v>
      </c>
      <c r="M40" s="1893">
        <f>IF($E40="YES",$C40,$D40)*G40*(44/28)*0.001*Nitrous</f>
        <v>0</v>
      </c>
      <c r="N40" s="1893">
        <f>IF($E40="YES",$C40,$D40)*I40*(44/28)*0.001*Nitrous</f>
        <v>0</v>
      </c>
      <c r="O40" s="1876"/>
      <c r="P40" s="1893">
        <f>MIN(L40,M40)*time_tot+ABS(M40-L40)*IF(M40&gt;L40,time2+time*(VLOOKUP(H40,List!$E$35:$F$37,2,)),time*(1-(VLOOKUP(H40,List!$E$35:$F$37,2,))))</f>
        <v>0</v>
      </c>
      <c r="Q40" s="1893">
        <f>MIN(L40,N40)*time_tot+ABS(N40-L40)*IF(N40&gt;L40,time2+time*(VLOOKUP(J40,List!$E$35:$F$37,2,)),time*(1-(VLOOKUP(J40,List!$E$35:$F$37,2,))))</f>
        <v>0</v>
      </c>
      <c r="R40" s="1876"/>
      <c r="S40" s="1375">
        <f>Q40-P40</f>
        <v>0</v>
      </c>
      <c r="T40" s="1876"/>
      <c r="U40" s="1876"/>
      <c r="V40" s="1876"/>
      <c r="Y40" s="1914">
        <f>MIN(L40,M40)*time+ABS(M40-L40)*IF(M40&gt;L40,time*(VLOOKUP(H40,List!$E$35:$F$37,2,)),time*(1-(VLOOKUP(H40,List!$E$35:$F$37,2,))))</f>
        <v>0</v>
      </c>
      <c r="Z40" s="1914">
        <f>MIN(L40,N40)*time+ABS(N40-L40)*IF(N40&gt;L40,time*(VLOOKUP(J40,List!$E$35:$F$37,2,)),time*(1-(VLOOKUP(J40,List!$E$35:$F$37,2,))))</f>
        <v>0</v>
      </c>
      <c r="AH40" s="1876"/>
      <c r="AI40" s="1876"/>
      <c r="AJ40" s="1876"/>
    </row>
    <row r="41" spans="1:36" s="1901" customFormat="1">
      <c r="A41" s="3097"/>
      <c r="B41" s="172" t="s">
        <v>230</v>
      </c>
      <c r="C41" s="1548">
        <f>VLOOKUP(clim_full,' IPCC'!$A$851:$B$862,2,)</f>
        <v>0</v>
      </c>
      <c r="D41" s="2348">
        <f>IF('5. Management'!T235="",'5. Management'!R235,'5. Management'!T235)</f>
        <v>0</v>
      </c>
      <c r="E41" s="1549" t="s">
        <v>354</v>
      </c>
      <c r="F41" s="1552">
        <f t="shared" si="6"/>
        <v>0</v>
      </c>
      <c r="G41" s="1553">
        <f t="shared" si="6"/>
        <v>0</v>
      </c>
      <c r="H41" s="2351" t="str">
        <f t="shared" si="6"/>
        <v>Linear</v>
      </c>
      <c r="I41" s="1553">
        <f t="shared" si="6"/>
        <v>0</v>
      </c>
      <c r="J41" s="2353" t="str">
        <f t="shared" si="6"/>
        <v>Linear</v>
      </c>
      <c r="K41" s="1876"/>
      <c r="L41" s="1893">
        <f>IF($E41="YES",$C41,$D41)*F41*(44/28)*0.001*Nitrous</f>
        <v>0</v>
      </c>
      <c r="M41" s="1893">
        <f>IF($E41="YES",$C41,$D41)*G41*(44/28)*0.001*Nitrous</f>
        <v>0</v>
      </c>
      <c r="N41" s="1893">
        <f>IF($E41="YES",$C41,$D41)*I41*(44/28)*0.001*Nitrous</f>
        <v>0</v>
      </c>
      <c r="O41" s="1876"/>
      <c r="P41" s="1893">
        <f>MIN(L41,M41)*time_tot+ABS(M41-L41)*IF(M41&gt;L41,time2+time*(VLOOKUP(H41,List!$E$35:$F$37,2,)),time*(1-(VLOOKUP(H41,List!$E$35:$F$37,2,))))</f>
        <v>0</v>
      </c>
      <c r="Q41" s="1893">
        <f>MIN(L41,N41)*time_tot+ABS(N41-L41)*IF(N41&gt;L41,time2+time*(VLOOKUP(J41,List!$E$35:$F$37,2,)),time*(1-(VLOOKUP(J41,List!$E$35:$F$37,2,))))</f>
        <v>0</v>
      </c>
      <c r="R41" s="1876"/>
      <c r="S41" s="1375">
        <f>Q41-P41</f>
        <v>0</v>
      </c>
      <c r="T41" s="1876"/>
      <c r="U41" s="3103" t="s">
        <v>5605</v>
      </c>
      <c r="V41" s="3051"/>
      <c r="W41" s="3052"/>
      <c r="Y41" s="1914">
        <f>MIN(L41,M41)*time+ABS(M41-L41)*IF(M41&gt;L41,time*(VLOOKUP(H41,List!$E$35:$F$37,2,)),time*(1-(VLOOKUP(H41,List!$E$35:$F$37,2,))))</f>
        <v>0</v>
      </c>
      <c r="Z41" s="1914">
        <f>MIN(L41,N41)*time+ABS(N41-L41)*IF(N41&gt;L41,time*(VLOOKUP(J41,List!$E$35:$F$37,2,)),time*(1-(VLOOKUP(J41,List!$E$35:$F$37,2,))))</f>
        <v>0</v>
      </c>
      <c r="AH41" s="1876"/>
      <c r="AI41" s="1876"/>
      <c r="AJ41" s="1876"/>
    </row>
    <row r="42" spans="1:36" s="1901" customFormat="1" ht="13.5" thickBot="1">
      <c r="A42" s="1876"/>
      <c r="B42" s="1876"/>
      <c r="C42" s="1876"/>
      <c r="D42" s="1876"/>
      <c r="E42" s="1876"/>
      <c r="F42" s="1876"/>
      <c r="G42" s="1876"/>
      <c r="H42" s="19"/>
      <c r="I42" s="1876"/>
      <c r="J42" s="1876"/>
      <c r="K42" s="1876"/>
      <c r="L42" s="1876"/>
      <c r="M42" s="1876"/>
      <c r="N42" s="1876"/>
      <c r="O42" s="1876"/>
      <c r="P42" s="1876"/>
      <c r="Q42" s="1876"/>
      <c r="R42" s="1876"/>
      <c r="S42" s="1876"/>
      <c r="T42" s="1876"/>
      <c r="U42" s="3856" t="s">
        <v>1294</v>
      </c>
      <c r="V42" s="3857"/>
      <c r="W42" s="3858"/>
      <c r="AH42" s="1876"/>
      <c r="AI42" s="1876"/>
      <c r="AJ42" s="1876"/>
    </row>
    <row r="43" spans="1:36" s="1901" customFormat="1" ht="13.5" thickBot="1">
      <c r="A43" s="1876"/>
      <c r="B43" s="1876"/>
      <c r="C43" s="1876"/>
      <c r="D43" s="1876"/>
      <c r="E43" s="1876"/>
      <c r="F43" s="1876"/>
      <c r="G43" s="1876"/>
      <c r="H43" s="1876"/>
      <c r="I43" s="1876"/>
      <c r="J43" s="1876"/>
      <c r="K43" s="1876"/>
      <c r="L43" s="1876"/>
      <c r="M43" s="1876"/>
      <c r="N43" s="1876"/>
      <c r="O43" s="1876"/>
      <c r="P43" s="1876"/>
      <c r="Q43" s="1876"/>
      <c r="R43" s="1876"/>
      <c r="S43" s="3042" t="s">
        <v>5552</v>
      </c>
      <c r="T43" s="1876"/>
      <c r="U43" s="3046" t="s">
        <v>331</v>
      </c>
      <c r="V43" s="2571" t="s">
        <v>332</v>
      </c>
      <c r="W43" s="3047" t="s">
        <v>333</v>
      </c>
      <c r="AA43" s="3105" t="s">
        <v>273</v>
      </c>
      <c r="AB43" s="3106" t="s">
        <v>274</v>
      </c>
      <c r="AC43" s="3106" t="s">
        <v>275</v>
      </c>
      <c r="AD43" s="3107"/>
      <c r="AH43" s="1876"/>
      <c r="AI43" s="1876"/>
      <c r="AJ43" s="1876"/>
    </row>
    <row r="44" spans="1:36" s="1901" customFormat="1" ht="13.5" thickBot="1">
      <c r="A44" s="1876"/>
      <c r="B44" s="1876"/>
      <c r="C44" s="1876"/>
      <c r="D44" s="1876"/>
      <c r="E44" s="1876"/>
      <c r="F44" s="1876"/>
      <c r="G44" s="1876"/>
      <c r="H44" s="1876"/>
      <c r="I44" s="1876"/>
      <c r="J44" s="1876"/>
      <c r="K44" s="1876"/>
      <c r="L44" s="1876"/>
      <c r="M44" s="262" t="s">
        <v>257</v>
      </c>
      <c r="N44" s="263"/>
      <c r="O44" s="263"/>
      <c r="P44" s="1554">
        <f>SUM(P12:P16)+SUM(P23:P24)+SUM(P31:P32)+SUM(P40:P41)+SUM(P54:P58)+SUM(P78:P79)+SUM(P87:P91)+SUM(P107:P111)+SUM(P118:P119)+SUM(P128:P129)+SUM(P136:P137)+SUM(P144:P145)+SUM(P152:P153)+SUM(P160:P162,P168:P170,P176:P178)</f>
        <v>0</v>
      </c>
      <c r="Q44" s="1554">
        <f>SUM(Q12:Q16)+SUM(Q23:Q24)+SUM(Q31:Q32)+SUM(Q40:Q41)+SUM(Q54:Q58)+SUM(Q78:Q79)+SUM(Q87:Q91)+SUM(Q107:Q111)+SUM(Q118:Q119)+SUM(Q128:Q129)+SUM(Q136:Q137)+SUM(Q144:Q145)+SUM(Q152:Q153)+SUM(Q160:Q162,Q168:Q170,Q176:Q178)</f>
        <v>0</v>
      </c>
      <c r="R44" s="1083"/>
      <c r="S44" s="1232">
        <f>Q44-P44</f>
        <v>0</v>
      </c>
      <c r="T44" s="3045" t="s">
        <v>5553</v>
      </c>
      <c r="U44" s="3048">
        <f>SUM(S12:S16,S23:S24,S31:S32,S107:S111,S118:S119,S128:S129,S136:S137,S160:S162,S168:S170)</f>
        <v>0</v>
      </c>
      <c r="V44" s="3049">
        <f>SUM(S54:S58)+SUM(S78:S79)+SUM(S144:S145)+SUM(S176:S178)</f>
        <v>0</v>
      </c>
      <c r="W44" s="3050">
        <f>SUM(S40:S41)+SUM(S87:S91)+SUM(S152:S153)</f>
        <v>0</v>
      </c>
      <c r="X44" s="3104" t="str">
        <f>IF(SUM(U44:W44)-S44,"OK","NO")</f>
        <v>NO</v>
      </c>
      <c r="AA44" s="3108">
        <f>SUM(Y12:Y16,Y23:Y24,Y31:Y32,Y40:Y41,Y54:Y58,Y78:Y79,Y87:Y91,Y107:Y111,Y118:Y119,Y128:Y129,Y136:Y137,Y144:Y145,Y152:Y153,Y160:Y162,Y168:Y170,Y176:Y178)</f>
        <v>0</v>
      </c>
      <c r="AB44" s="3108">
        <f>SUM(Z12:Z16,Z23:Z24,Z31:Z32,Z40:Z41,Z54:Z58,Z78:Z79,Z87:Z91,Z107:Z111,Z118:Z119,Z128:Z129,Z136:Z137,Z144:Z145,Z152:Z153,Z160:Z162,Z168:Z170,Z176:Z178)</f>
        <v>0</v>
      </c>
      <c r="AC44" s="2267">
        <f>AB44-AA44</f>
        <v>0</v>
      </c>
      <c r="AD44" s="3109"/>
      <c r="AH44" s="1876"/>
      <c r="AI44" s="1876"/>
      <c r="AJ44" s="1876"/>
    </row>
    <row r="45" spans="1:36" s="1901" customFormat="1">
      <c r="A45" s="1876"/>
      <c r="B45" s="1876"/>
      <c r="C45" s="1876"/>
      <c r="D45" s="1876"/>
      <c r="E45" s="1876"/>
      <c r="F45" s="1876"/>
      <c r="G45" s="1876"/>
      <c r="H45" s="1876"/>
      <c r="I45" s="1876"/>
      <c r="J45" s="1876"/>
      <c r="K45" s="1876"/>
      <c r="L45" s="1876"/>
      <c r="M45" s="1876"/>
      <c r="N45" s="1876"/>
      <c r="O45" s="1876"/>
      <c r="P45" s="1876"/>
      <c r="Q45" s="1876"/>
      <c r="R45" s="1876"/>
      <c r="S45" s="1876"/>
      <c r="T45" s="1876"/>
      <c r="U45" s="2935"/>
      <c r="V45" s="10"/>
      <c r="W45" s="3047"/>
      <c r="X45" s="2801"/>
      <c r="AA45" s="3110"/>
      <c r="AB45" s="2807"/>
      <c r="AC45" s="2807" t="s">
        <v>276</v>
      </c>
      <c r="AD45" s="3109"/>
      <c r="AH45" s="1876"/>
      <c r="AI45" s="1876"/>
      <c r="AJ45" s="1876"/>
    </row>
    <row r="46" spans="1:36" s="1901" customFormat="1" ht="13.5" thickBot="1">
      <c r="A46" s="1876"/>
      <c r="B46" s="1903" t="s">
        <v>5568</v>
      </c>
      <c r="C46" s="1876"/>
      <c r="D46" s="1876"/>
      <c r="E46" s="1876"/>
      <c r="F46" s="1876"/>
      <c r="G46" s="1876"/>
      <c r="H46" s="1876"/>
      <c r="I46" s="1876"/>
      <c r="J46" s="1876"/>
      <c r="K46" s="1876"/>
      <c r="L46" s="1876"/>
      <c r="M46" s="292" t="s">
        <v>264</v>
      </c>
      <c r="N46" s="1558"/>
      <c r="O46" s="1558"/>
      <c r="P46" s="1558"/>
      <c r="Q46" s="1558"/>
      <c r="R46" s="1558"/>
      <c r="S46" s="1559">
        <f>SUM('5. Management'!T35:T39,V23:V24,'5. Management'!T60:T61)+V161</f>
        <v>0</v>
      </c>
      <c r="T46" s="1876"/>
      <c r="U46" s="3053"/>
      <c r="V46" s="3054" t="s">
        <v>674</v>
      </c>
      <c r="W46" s="3055"/>
      <c r="AA46" s="3111"/>
      <c r="AB46" s="3112"/>
      <c r="AC46" s="3113">
        <f>S44-AC44</f>
        <v>0</v>
      </c>
      <c r="AD46" s="3114"/>
      <c r="AH46" s="1876"/>
      <c r="AI46" s="1876"/>
      <c r="AJ46" s="1876"/>
    </row>
    <row r="47" spans="1:36">
      <c r="B47" s="3042" t="str">
        <f>List!H44</f>
        <v>Nutrient-rich</v>
      </c>
      <c r="U47" s="2935" t="str">
        <f>U43</f>
        <v>CO2</v>
      </c>
      <c r="V47" s="10" t="str">
        <f t="shared" ref="V47:W47" si="7">V43</f>
        <v>CH4</v>
      </c>
      <c r="W47" s="2936" t="str">
        <f t="shared" si="7"/>
        <v>N2O</v>
      </c>
    </row>
    <row r="48" spans="1:36">
      <c r="U48" s="3048">
        <f>SUM(P12:P16,P23:P24,P31:P32,P107:P111,P118:P119,P128:P129,P136:P137,P160:P162,P168:P170)</f>
        <v>0</v>
      </c>
      <c r="V48" s="3049">
        <f>SUM(P54:P58,P78:P79,P144:P145,P176:P178)</f>
        <v>0</v>
      </c>
      <c r="W48" s="3050">
        <f>SUM(P40:P41,P87:P91,P152:P153)</f>
        <v>0</v>
      </c>
      <c r="X48" s="1901" t="str">
        <f>IF(SUM(U48:W48)-P44,"OK","NO")</f>
        <v>NO</v>
      </c>
    </row>
    <row r="49" spans="1:26">
      <c r="A49" s="3018"/>
      <c r="B49" s="1534" t="s">
        <v>5536</v>
      </c>
      <c r="C49" s="1540"/>
      <c r="D49" s="1534"/>
      <c r="E49" s="1534"/>
      <c r="F49" s="1534"/>
      <c r="G49" s="1534"/>
      <c r="H49" s="1534"/>
      <c r="I49" s="1534"/>
      <c r="J49" s="1534"/>
      <c r="K49" s="1534"/>
      <c r="L49" s="1534"/>
      <c r="M49" s="1534"/>
      <c r="N49" s="1534"/>
      <c r="O49" s="1534"/>
      <c r="P49" s="1534"/>
      <c r="Q49" s="1534"/>
      <c r="R49" s="1534"/>
      <c r="S49" s="1534"/>
      <c r="U49" s="2935"/>
      <c r="V49" s="10"/>
      <c r="W49" s="3047"/>
    </row>
    <row r="50" spans="1:26">
      <c r="A50" s="3018"/>
      <c r="U50" s="2935"/>
      <c r="V50" s="10"/>
      <c r="W50" s="3047"/>
    </row>
    <row r="51" spans="1:26" ht="13.5" thickBot="1">
      <c r="A51" s="3018"/>
      <c r="B51" s="221"/>
      <c r="C51" s="3040" t="s">
        <v>5550</v>
      </c>
      <c r="D51" s="135"/>
      <c r="E51" s="28"/>
      <c r="F51" s="1537" t="s">
        <v>277</v>
      </c>
      <c r="G51" s="135"/>
      <c r="H51" s="135"/>
      <c r="I51" s="135"/>
      <c r="J51" s="28"/>
      <c r="L51" s="3855" t="s">
        <v>336</v>
      </c>
      <c r="M51" s="3855"/>
      <c r="N51" s="3855"/>
      <c r="P51" s="1535" t="s">
        <v>2</v>
      </c>
      <c r="Q51" s="1535"/>
      <c r="S51" s="1555"/>
      <c r="U51" s="3056"/>
      <c r="V51" s="3054" t="s">
        <v>675</v>
      </c>
      <c r="W51" s="3055"/>
    </row>
    <row r="52" spans="1:26">
      <c r="A52" s="3018"/>
      <c r="B52" s="171" t="s">
        <v>233</v>
      </c>
      <c r="C52" s="1539" t="s">
        <v>337</v>
      </c>
      <c r="D52" s="1538" t="s">
        <v>338</v>
      </c>
      <c r="E52" s="846" t="s">
        <v>339</v>
      </c>
      <c r="F52" s="124"/>
      <c r="G52" s="124"/>
      <c r="H52" s="124"/>
      <c r="I52" s="124"/>
      <c r="J52" s="2030"/>
      <c r="L52" s="1399" t="s">
        <v>340</v>
      </c>
      <c r="M52" s="2934" t="s">
        <v>341</v>
      </c>
      <c r="N52" s="2934"/>
      <c r="P52" s="3851" t="s">
        <v>342</v>
      </c>
      <c r="Q52" s="3851"/>
      <c r="S52" s="1556" t="s">
        <v>343</v>
      </c>
      <c r="U52" s="2935" t="str">
        <f>U47</f>
        <v>CO2</v>
      </c>
      <c r="V52" s="10" t="str">
        <f>V47</f>
        <v>CH4</v>
      </c>
      <c r="W52" s="3047" t="str">
        <f>W47</f>
        <v>N2O</v>
      </c>
      <c r="Y52" s="1872" t="s">
        <v>844</v>
      </c>
      <c r="Z52" s="1902"/>
    </row>
    <row r="53" spans="1:26" ht="13.5" thickBot="1">
      <c r="A53" s="3018"/>
      <c r="B53" s="172"/>
      <c r="C53" s="114"/>
      <c r="D53" s="124"/>
      <c r="E53" s="2030"/>
      <c r="F53" s="630" t="s">
        <v>340</v>
      </c>
      <c r="G53" s="3852" t="s">
        <v>673</v>
      </c>
      <c r="H53" s="3852"/>
      <c r="I53" s="3853" t="s">
        <v>672</v>
      </c>
      <c r="J53" s="3854"/>
      <c r="L53" s="1399"/>
      <c r="M53" s="1367" t="s">
        <v>674</v>
      </c>
      <c r="N53" s="1368" t="s">
        <v>675</v>
      </c>
      <c r="P53" s="1367" t="s">
        <v>674</v>
      </c>
      <c r="Q53" s="1368" t="s">
        <v>675</v>
      </c>
      <c r="S53" s="1557"/>
      <c r="U53" s="3048">
        <f>SUM(Q12:Q16,Q23:Q24,Q107:Q111,Q118:Q119,Q128:Q129,Q136:Q137,Q160:Q162,Q168:Q170,Q31:Q32)</f>
        <v>0</v>
      </c>
      <c r="V53" s="3049">
        <f>SUM(Q54:Q58,Q78:Q79,Q144:Q145,Q176:Q178)</f>
        <v>0</v>
      </c>
      <c r="W53" s="3050">
        <f>SUM(Q40:Q41,Q87:Q91,Q152:Q153)</f>
        <v>0</v>
      </c>
      <c r="X53" s="1901" t="str">
        <f>IF(SUM(U53:W53)-Q44,"OK","NO")</f>
        <v>NO</v>
      </c>
      <c r="Y53" s="1913" t="s">
        <v>674</v>
      </c>
      <c r="Z53" s="1913" t="s">
        <v>675</v>
      </c>
    </row>
    <row r="54" spans="1:26" ht="13.5" thickBot="1">
      <c r="A54" s="3018"/>
      <c r="B54" s="3010" t="s">
        <v>5534</v>
      </c>
      <c r="C54" s="3069">
        <f>VLOOKUP(clim_full,' IPCC'!$A$894:$F$905,2,)*N64</f>
        <v>0</v>
      </c>
      <c r="D54" s="2346">
        <f>IF('5. Management'!L224="",'5. Management'!J224,'5. Management'!L224)</f>
        <v>0</v>
      </c>
      <c r="E54" s="857" t="s">
        <v>354</v>
      </c>
      <c r="F54" s="3037">
        <f>F12</f>
        <v>0</v>
      </c>
      <c r="G54" s="3037">
        <f>G12</f>
        <v>0</v>
      </c>
      <c r="H54" s="3038" t="str">
        <f>H12</f>
        <v>Linear</v>
      </c>
      <c r="I54" s="3039">
        <f>I12</f>
        <v>0</v>
      </c>
      <c r="J54" s="3038" t="str">
        <f>J12</f>
        <v>Linear</v>
      </c>
      <c r="L54" s="1893">
        <f>(((1-F64)*IF($E54="YES",$C54,$D54))+(F64*IF($E64="YES",$C64,$D64)))*F54*methane/1000</f>
        <v>0</v>
      </c>
      <c r="M54" s="1893">
        <f t="shared" ref="L54:M58" si="8">(((1-G64)*IF($E54="YES",$C54,$D54))+(G64*IF($E64="YES",$C64,$D64)))*G54*methane/1000</f>
        <v>0</v>
      </c>
      <c r="N54" s="1893">
        <f>(((1-I64)*IF($E54="YES",$C54,$D54))+(I64*IF($E64="YES",$C64,$D64)))*I54*methane/1000</f>
        <v>0</v>
      </c>
      <c r="P54" s="1893">
        <f>MIN(L54,M54)*time_tot+ABS(M54-L54)*IF(M54&gt;L54,time2+time*(VLOOKUP(H54,List!$E$35:$F$37,2,)),time*(1-(VLOOKUP(H54,List!$E$35:$F$37,2,))))</f>
        <v>0</v>
      </c>
      <c r="Q54" s="1893">
        <f>MIN(L54,N54)*time_tot+ABS(N54-L54)*IF(N54&gt;L54,time2+time*(VLOOKUP(J54,List!$E$35:$F$37,2,)),time*(1-(VLOOKUP(J54,List!$E$35:$F$37,2,))))</f>
        <v>0</v>
      </c>
      <c r="S54" s="1375">
        <f>Q54-P54</f>
        <v>0</v>
      </c>
      <c r="U54" s="2935"/>
      <c r="V54" s="10"/>
      <c r="W54" s="3047"/>
      <c r="Y54" s="1914">
        <f>MIN(L54,M54)*time+ABS(M54-L54)*IF(M54&gt;L54,time*(VLOOKUP(H54,List!$E$35:$F$37,2,)),time*(1-(VLOOKUP(H54,List!$E$35:$F$37,2,))))</f>
        <v>0</v>
      </c>
      <c r="Z54" s="1914">
        <f>MIN(L54,N54)*time+ABS(N54-L54)*IF(N54&gt;L54,time*(VLOOKUP(J54,List!$E$35:$F$37,2,)),time*(1-(VLOOKUP(J54,List!$E$35:$F$37,2,))))</f>
        <v>0</v>
      </c>
    </row>
    <row r="55" spans="1:26" ht="13.5" thickBot="1">
      <c r="A55" s="3018"/>
      <c r="B55" s="3015" t="s">
        <v>387</v>
      </c>
      <c r="C55" s="3069">
        <f>VLOOKUP(clim_full,' IPCC'!$A$894:$F$905,3,)*N65</f>
        <v>0</v>
      </c>
      <c r="D55" s="2346">
        <f>IF('5. Management'!L225="",'5. Management'!J225,'5. Management'!L225)</f>
        <v>0</v>
      </c>
      <c r="E55" s="857" t="s">
        <v>354</v>
      </c>
      <c r="F55" s="3037">
        <f t="shared" ref="F55:G58" si="9">F13</f>
        <v>0</v>
      </c>
      <c r="G55" s="3037">
        <f t="shared" si="9"/>
        <v>0</v>
      </c>
      <c r="H55" s="3038" t="str">
        <f t="shared" ref="H55:I58" si="10">H13</f>
        <v>Linear</v>
      </c>
      <c r="I55" s="3039">
        <f t="shared" si="10"/>
        <v>0</v>
      </c>
      <c r="J55" s="3038" t="str">
        <f t="shared" ref="J55:J58" si="11">J13</f>
        <v>Linear</v>
      </c>
      <c r="L55" s="1893">
        <f t="shared" si="8"/>
        <v>0</v>
      </c>
      <c r="M55" s="1893">
        <f t="shared" si="8"/>
        <v>0</v>
      </c>
      <c r="N55" s="1893">
        <f>(((1-I65)*IF($E55="YES",$C55,$D55))+(I65*IF($E65="YES",$C65,$D65)))*I55*methane/1000</f>
        <v>0</v>
      </c>
      <c r="P55" s="1893">
        <f>MIN(L55,M55)*time_tot+ABS(M55-L55)*IF(M55&gt;L55,time2+time*(VLOOKUP(H55,List!$E$35:$F$37,2,)),time*(1-(VLOOKUP(H55,List!$E$35:$F$37,2,))))</f>
        <v>0</v>
      </c>
      <c r="Q55" s="1893">
        <f>MIN(L55,N55)*time_tot+ABS(N55-L55)*IF(N55&gt;L55,time2+time*(VLOOKUP(J55,List!$E$35:$F$37,2,)),time*(1-(VLOOKUP(J55,List!$E$35:$F$37,2,))))</f>
        <v>0</v>
      </c>
      <c r="S55" s="1375">
        <f t="shared" ref="S55:S58" si="12">Q55-P55</f>
        <v>0</v>
      </c>
      <c r="U55" s="2935"/>
      <c r="V55" s="10"/>
      <c r="W55" s="3047"/>
      <c r="Y55" s="1914">
        <f>MIN(L55,M55)*time+ABS(M55-L55)*IF(M55&gt;L55,time*(VLOOKUP(H55,List!$E$35:$F$37,2,)),time*(1-(VLOOKUP(H55,List!$E$35:$F$37,2,))))</f>
        <v>0</v>
      </c>
      <c r="Z55" s="1914">
        <f>MIN(L55,N55)*time+ABS(N55-L55)*IF(N55&gt;L55,time*(VLOOKUP(J55,List!$E$35:$F$37,2,)),time*(1-(VLOOKUP(J55,List!$E$35:$F$37,2,))))</f>
        <v>0</v>
      </c>
    </row>
    <row r="56" spans="1:26" ht="13.5" thickBot="1">
      <c r="A56" s="3018"/>
      <c r="B56" s="171" t="s">
        <v>1091</v>
      </c>
      <c r="C56" s="3069">
        <f>VLOOKUP(clim_full,' IPCC'!$A$894:$F$905,4,)</f>
        <v>0</v>
      </c>
      <c r="D56" s="2346">
        <f>IF('5. Management'!L226="",'5. Management'!J226,'5. Management'!L226)</f>
        <v>0</v>
      </c>
      <c r="E56" s="857" t="s">
        <v>354</v>
      </c>
      <c r="F56" s="3037">
        <f t="shared" si="9"/>
        <v>0</v>
      </c>
      <c r="G56" s="3037">
        <f t="shared" si="9"/>
        <v>0</v>
      </c>
      <c r="H56" s="3038" t="str">
        <f t="shared" si="10"/>
        <v>Linear</v>
      </c>
      <c r="I56" s="3039">
        <f t="shared" si="10"/>
        <v>0</v>
      </c>
      <c r="J56" s="3038" t="str">
        <f t="shared" si="11"/>
        <v>Linear</v>
      </c>
      <c r="L56" s="1893">
        <f t="shared" si="8"/>
        <v>0</v>
      </c>
      <c r="M56" s="1893">
        <f t="shared" si="8"/>
        <v>0</v>
      </c>
      <c r="N56" s="1893">
        <f>(((1-I66)*IF($E56="YES",$C56,$D56))+(I66*IF($E66="YES",$C66,$D66)))*I56*methane/1000</f>
        <v>0</v>
      </c>
      <c r="P56" s="1893">
        <f>MIN(L56,M56)*time_tot+ABS(M56-L56)*IF(M56&gt;L56,time2+time*(VLOOKUP(H56,List!$E$35:$F$37,2,)),time*(1-(VLOOKUP(H56,List!$E$35:$F$37,2,))))</f>
        <v>0</v>
      </c>
      <c r="Q56" s="1893">
        <f>MIN(L56,N56)*time_tot+ABS(N56-L56)*IF(N56&gt;L56,time2+time*(VLOOKUP(J56,List!$E$35:$F$37,2,)),time*(1-(VLOOKUP(J56,List!$E$35:$F$37,2,))))</f>
        <v>0</v>
      </c>
      <c r="S56" s="1375">
        <f t="shared" si="12"/>
        <v>0</v>
      </c>
      <c r="U56" s="3057"/>
      <c r="V56" s="169"/>
      <c r="W56" s="3058"/>
      <c r="Y56" s="1914">
        <f>MIN(L56,M56)*time+ABS(M56-L56)*IF(M56&gt;L56,time*(VLOOKUP(H56,List!$E$35:$F$37,2,)),time*(1-(VLOOKUP(H56,List!$E$35:$F$37,2,))))</f>
        <v>0</v>
      </c>
      <c r="Z56" s="1914">
        <f>MIN(L56,N56)*time+ABS(N56-L56)*IF(N56&gt;L56,time*(VLOOKUP(J56,List!$E$35:$F$37,2,)),time*(1-(VLOOKUP(J56,List!$E$35:$F$37,2,))))</f>
        <v>0</v>
      </c>
    </row>
    <row r="57" spans="1:26" ht="13.5" thickBot="1">
      <c r="A57" s="3018"/>
      <c r="B57" s="171" t="s">
        <v>1092</v>
      </c>
      <c r="C57" s="3069">
        <f>VLOOKUP(clim_full,' IPCC'!$A$894:$F$905,5,)</f>
        <v>0</v>
      </c>
      <c r="D57" s="2346">
        <f>IF('5. Management'!L227="",'5. Management'!J227,'5. Management'!L227)</f>
        <v>0</v>
      </c>
      <c r="E57" s="857" t="s">
        <v>354</v>
      </c>
      <c r="F57" s="3037">
        <f t="shared" si="9"/>
        <v>0</v>
      </c>
      <c r="G57" s="3037">
        <f t="shared" si="9"/>
        <v>0</v>
      </c>
      <c r="H57" s="3038" t="str">
        <f t="shared" si="10"/>
        <v>Linear</v>
      </c>
      <c r="I57" s="3039">
        <f t="shared" si="10"/>
        <v>0</v>
      </c>
      <c r="J57" s="3038" t="str">
        <f t="shared" si="11"/>
        <v>Linear</v>
      </c>
      <c r="L57" s="1893">
        <f t="shared" si="8"/>
        <v>0</v>
      </c>
      <c r="M57" s="1893">
        <f t="shared" si="8"/>
        <v>0</v>
      </c>
      <c r="N57" s="1893">
        <f>(((1-I67)*IF($E57="YES",$C57,$D57))+(I67*IF($E67="YES",$C67,$D67)))*I57*methane/1000</f>
        <v>0</v>
      </c>
      <c r="P57" s="1893">
        <f>MIN(L57,M57)*time_tot+ABS(M57-L57)*IF(M57&gt;L57,time2+time*(VLOOKUP(H57,List!$E$35:$F$37,2,)),time*(1-(VLOOKUP(H57,List!$E$35:$F$37,2,))))</f>
        <v>0</v>
      </c>
      <c r="Q57" s="1893">
        <f>MIN(L57,N57)*time_tot+ABS(N57-L57)*IF(N57&gt;L57,time2+time*(VLOOKUP(J57,List!$E$35:$F$37,2,)),time*(1-(VLOOKUP(J57,List!$E$35:$F$37,2,))))</f>
        <v>0</v>
      </c>
      <c r="S57" s="1375">
        <f t="shared" si="12"/>
        <v>0</v>
      </c>
      <c r="Y57" s="1914">
        <f>MIN(L57,M57)*time+ABS(M57-L57)*IF(M57&gt;L57,time*(VLOOKUP(H57,List!$E$35:$F$37,2,)),time*(1-(VLOOKUP(H57,List!$E$35:$F$37,2,))))</f>
        <v>0</v>
      </c>
      <c r="Z57" s="1914">
        <f>MIN(L57,N57)*time+ABS(N57-L57)*IF(N57&gt;L57,time*(VLOOKUP(J57,List!$E$35:$F$37,2,)),time*(1-(VLOOKUP(J57,List!$E$35:$F$37,2,))))</f>
        <v>0</v>
      </c>
    </row>
    <row r="58" spans="1:26">
      <c r="A58" s="3018"/>
      <c r="B58" s="172" t="s">
        <v>329</v>
      </c>
      <c r="C58" s="3069">
        <f>VLOOKUP(clim_full,' IPCC'!$A$894:$F$905,6,)*N68</f>
        <v>0</v>
      </c>
      <c r="D58" s="2346">
        <f>IF('5. Management'!L228="",'5. Management'!J228,'5. Management'!L228)</f>
        <v>0</v>
      </c>
      <c r="E58" s="857" t="s">
        <v>354</v>
      </c>
      <c r="F58" s="3037">
        <f t="shared" si="9"/>
        <v>0</v>
      </c>
      <c r="G58" s="3037">
        <f t="shared" si="9"/>
        <v>0</v>
      </c>
      <c r="H58" s="3038" t="str">
        <f t="shared" si="10"/>
        <v>Linear</v>
      </c>
      <c r="I58" s="3039">
        <f t="shared" si="10"/>
        <v>0</v>
      </c>
      <c r="J58" s="3038" t="str">
        <f t="shared" si="11"/>
        <v>Linear</v>
      </c>
      <c r="L58" s="1893">
        <f t="shared" si="8"/>
        <v>0</v>
      </c>
      <c r="M58" s="1893">
        <f t="shared" si="8"/>
        <v>0</v>
      </c>
      <c r="N58" s="1893">
        <f>(((1-I68)*IF($E58="YES",$C58,$D58))+(I68*IF($E68="YES",$C68,$D68)))*I58*methane/1000</f>
        <v>0</v>
      </c>
      <c r="P58" s="1893">
        <f>MIN(L58,M58)*time_tot+ABS(M58-L58)*IF(M58&gt;L58,time2+time*(VLOOKUP(H58,List!$E$35:$F$37,2,)),time*(1-(VLOOKUP(H58,List!$E$35:$F$37,2,))))</f>
        <v>0</v>
      </c>
      <c r="Q58" s="1893">
        <f>MIN(L58,N58)*time_tot+ABS(N58-L58)*IF(N58&gt;L58,time2+time*(VLOOKUP(J58,List!$E$35:$F$37,2,)),time*(1-(VLOOKUP(J58,List!$E$35:$F$37,2,))))</f>
        <v>0</v>
      </c>
      <c r="S58" s="1375">
        <f t="shared" si="12"/>
        <v>0</v>
      </c>
      <c r="Y58" s="1914">
        <f>MIN(L58,M58)*time+ABS(M58-L58)*IF(M58&gt;L58,time*(VLOOKUP(H58,List!$E$35:$F$37,2,)),time*(1-(VLOOKUP(H58,List!$E$35:$F$37,2,))))</f>
        <v>0</v>
      </c>
      <c r="Z58" s="1914">
        <f>MIN(L58,N58)*time+ABS(N58-L58)*IF(N58&gt;L58,time*(VLOOKUP(J58,List!$E$35:$F$37,2,)),time*(1-(VLOOKUP(J58,List!$E$35:$F$37,2,))))</f>
        <v>0</v>
      </c>
    </row>
    <row r="59" spans="1:26">
      <c r="U59" s="3044"/>
      <c r="V59" s="3044"/>
      <c r="W59" s="3044"/>
    </row>
    <row r="61" spans="1:26">
      <c r="A61" s="3018"/>
      <c r="B61" s="221"/>
      <c r="C61" s="3040" t="s">
        <v>5550</v>
      </c>
      <c r="D61" s="135"/>
      <c r="E61" s="28"/>
      <c r="F61" s="2697" t="s">
        <v>5551</v>
      </c>
      <c r="G61" s="2044"/>
      <c r="H61" s="2044"/>
      <c r="I61" s="2044"/>
      <c r="J61" s="2044"/>
      <c r="L61" s="3060" t="s">
        <v>5559</v>
      </c>
      <c r="M61" s="3061"/>
      <c r="N61" s="3061"/>
      <c r="O61" s="3061"/>
      <c r="P61" s="3061"/>
      <c r="Q61" s="3061"/>
      <c r="R61" s="3061"/>
      <c r="S61" s="3061"/>
    </row>
    <row r="62" spans="1:26">
      <c r="A62" s="3018"/>
      <c r="B62" s="171" t="s">
        <v>233</v>
      </c>
      <c r="C62" s="1539" t="s">
        <v>337</v>
      </c>
      <c r="D62" s="1538" t="s">
        <v>338</v>
      </c>
      <c r="E62" s="846" t="s">
        <v>339</v>
      </c>
      <c r="F62" s="2044"/>
      <c r="G62" s="2044"/>
      <c r="H62" s="2044"/>
      <c r="I62" s="2044"/>
      <c r="J62" s="2044"/>
      <c r="L62" s="3060" t="s">
        <v>5563</v>
      </c>
      <c r="M62" s="3061"/>
      <c r="N62" s="3061"/>
      <c r="O62" s="3061"/>
      <c r="P62" s="3060" t="s">
        <v>1455</v>
      </c>
      <c r="Q62" s="3061"/>
      <c r="R62" s="3061"/>
      <c r="S62" s="3061"/>
    </row>
    <row r="63" spans="1:26">
      <c r="A63" s="3018"/>
      <c r="B63" s="172"/>
      <c r="C63" s="114"/>
      <c r="D63" s="124"/>
      <c r="E63" s="2030"/>
      <c r="F63" s="2044"/>
      <c r="G63" s="2044"/>
      <c r="H63" s="2044"/>
      <c r="I63" s="2044"/>
      <c r="J63" s="2044"/>
      <c r="L63" s="3060" t="s">
        <v>5560</v>
      </c>
      <c r="M63" s="3060" t="s">
        <v>5561</v>
      </c>
      <c r="N63" s="3061"/>
      <c r="O63" s="3061"/>
      <c r="P63" s="3061" t="str">
        <f>L63</f>
        <v>Land</v>
      </c>
      <c r="Q63" s="3061" t="str">
        <f>M63</f>
        <v>Climat condition</v>
      </c>
      <c r="R63" s="3061"/>
      <c r="S63" s="3061"/>
    </row>
    <row r="64" spans="1:26">
      <c r="A64" s="3018"/>
      <c r="B64" s="3010" t="s">
        <v>5534</v>
      </c>
      <c r="C64" s="3035">
        <f>VLOOKUP(clim_full,' IPCC'!$A$909:$F$920,2,)</f>
        <v>0</v>
      </c>
      <c r="D64" s="2346">
        <f>IF('5. Management'!P224="",'5. Management'!N224,'5. Management'!P224)</f>
        <v>0</v>
      </c>
      <c r="E64" s="857" t="s">
        <v>354</v>
      </c>
      <c r="F64" s="3043">
        <f>'5. Management'!M35</f>
        <v>0.05</v>
      </c>
      <c r="G64" s="3043">
        <f>'5. Management'!N35</f>
        <v>0.05</v>
      </c>
      <c r="H64" s="1631"/>
      <c r="I64" s="3043">
        <f>'5. Management'!P35</f>
        <v>0.05</v>
      </c>
      <c r="J64" s="1631"/>
      <c r="L64" s="3060" t="s">
        <v>5534</v>
      </c>
      <c r="M64" s="3060" t="s">
        <v>391</v>
      </c>
      <c r="N64" s="3068">
        <f>IF(climate="Boreal",IF('5. Management'!Q218='Organic Soils NEW'!B47,' IPCC'!H895,1),1)</f>
        <v>1</v>
      </c>
      <c r="O64" s="3061"/>
      <c r="P64" s="3060" t="s">
        <v>5534</v>
      </c>
      <c r="Q64" s="3060" t="s">
        <v>391</v>
      </c>
      <c r="R64" s="3061"/>
      <c r="S64" s="3068">
        <f>IF(climate="Boreal",IF('5. Management'!$Q$218='Organic Soils NEW'!$B$47,' IPCC'!I726,1),1)</f>
        <v>1</v>
      </c>
    </row>
    <row r="65" spans="1:26">
      <c r="A65" s="3018"/>
      <c r="B65" s="3015" t="s">
        <v>387</v>
      </c>
      <c r="C65" s="3035">
        <f>VLOOKUP(clim_full,' IPCC'!$A$909:$F$920,3,)</f>
        <v>0</v>
      </c>
      <c r="D65" s="2346">
        <f>IF('5. Management'!P225="",'5. Management'!N225,'5. Management'!P225)</f>
        <v>0</v>
      </c>
      <c r="E65" s="857" t="s">
        <v>354</v>
      </c>
      <c r="F65" s="3043">
        <f>'5. Management'!M36</f>
        <v>0.05</v>
      </c>
      <c r="G65" s="3043">
        <f>'5. Management'!N36</f>
        <v>0.05</v>
      </c>
      <c r="H65" s="1631"/>
      <c r="I65" s="3043">
        <f>'5. Management'!P36</f>
        <v>0.05</v>
      </c>
      <c r="J65" s="1631"/>
      <c r="L65" s="3060" t="s">
        <v>387</v>
      </c>
      <c r="M65" s="3060" t="s">
        <v>391</v>
      </c>
      <c r="N65" s="3068">
        <f>IF(climate="Boreal",IF('5. Management'!Q218='Organic Soils NEW'!B47,' IPCC'!H896,1),1)</f>
        <v>1</v>
      </c>
      <c r="O65" s="3061"/>
      <c r="P65" s="3060"/>
      <c r="Q65" s="3060"/>
      <c r="R65" s="3068"/>
      <c r="S65" s="3061"/>
    </row>
    <row r="66" spans="1:26">
      <c r="A66" s="3018"/>
      <c r="B66" s="171" t="s">
        <v>1091</v>
      </c>
      <c r="C66" s="3035">
        <f>VLOOKUP(clim_full,' IPCC'!$A$909:$F$920,4,)</f>
        <v>0</v>
      </c>
      <c r="D66" s="2346">
        <f>IF('5. Management'!P226="",'5. Management'!N226,'5. Management'!P226)</f>
        <v>0</v>
      </c>
      <c r="E66" s="857" t="s">
        <v>354</v>
      </c>
      <c r="F66" s="3043">
        <f>'5. Management'!M37</f>
        <v>0.05</v>
      </c>
      <c r="G66" s="3043">
        <f>'5. Management'!N37</f>
        <v>0.05</v>
      </c>
      <c r="H66" s="1631"/>
      <c r="I66" s="3043">
        <f>'5. Management'!P37</f>
        <v>0.05</v>
      </c>
      <c r="J66" s="1631"/>
      <c r="L66" s="3061"/>
      <c r="M66" s="3061"/>
      <c r="N66" s="3061"/>
      <c r="O66" s="3061"/>
      <c r="P66" s="3061"/>
      <c r="Q66" s="3061"/>
      <c r="R66" s="3061"/>
      <c r="S66" s="3061"/>
    </row>
    <row r="67" spans="1:26">
      <c r="A67" s="3018"/>
      <c r="B67" s="171" t="s">
        <v>1092</v>
      </c>
      <c r="C67" s="3035">
        <f>VLOOKUP(clim_full,' IPCC'!$A$909:$F$920,5,)</f>
        <v>0</v>
      </c>
      <c r="D67" s="2346">
        <f>IF('5. Management'!P227="",'5. Management'!N227,'5. Management'!P227)</f>
        <v>0</v>
      </c>
      <c r="E67" s="857" t="s">
        <v>354</v>
      </c>
      <c r="F67" s="3043">
        <f>'5. Management'!M38</f>
        <v>0.05</v>
      </c>
      <c r="G67" s="3043">
        <f>'5. Management'!N38</f>
        <v>0.05</v>
      </c>
      <c r="H67" s="1631"/>
      <c r="I67" s="3043">
        <f>'5. Management'!P38</f>
        <v>0.05</v>
      </c>
      <c r="J67" s="1631"/>
      <c r="L67" s="3061"/>
      <c r="M67" s="3061"/>
      <c r="N67" s="3061"/>
      <c r="O67" s="3061"/>
      <c r="P67" s="3061"/>
      <c r="Q67" s="3061"/>
      <c r="R67" s="3061"/>
      <c r="S67" s="3061"/>
    </row>
    <row r="68" spans="1:26">
      <c r="A68" s="3018"/>
      <c r="B68" s="172" t="s">
        <v>329</v>
      </c>
      <c r="C68" s="3035">
        <f>VLOOKUP(clim_full,' IPCC'!$A$909:$F$920,6,)</f>
        <v>0</v>
      </c>
      <c r="D68" s="2346">
        <f>IF('5. Management'!P228="",'5. Management'!N228,'5. Management'!P228)</f>
        <v>0</v>
      </c>
      <c r="E68" s="857" t="s">
        <v>354</v>
      </c>
      <c r="F68" s="3043">
        <f>'5. Management'!M39</f>
        <v>0.05</v>
      </c>
      <c r="G68" s="3043">
        <f>'5. Management'!N39</f>
        <v>0.05</v>
      </c>
      <c r="H68" s="1631"/>
      <c r="I68" s="3043">
        <f>'5. Management'!P39</f>
        <v>0.05</v>
      </c>
      <c r="J68" s="1631"/>
      <c r="L68" s="3060" t="s">
        <v>329</v>
      </c>
      <c r="M68" s="3060" t="s">
        <v>5562</v>
      </c>
      <c r="N68" s="3068">
        <f>IF(M71=1,IF('5. Management'!Q218='Organic Soils NEW'!B47,' IPCC'!H898,1),1)</f>
        <v>1</v>
      </c>
      <c r="O68" s="3061"/>
      <c r="P68" s="3060" t="s">
        <v>329</v>
      </c>
      <c r="Q68" s="3060" t="s">
        <v>5562</v>
      </c>
      <c r="R68" s="3061"/>
      <c r="S68" s="3068">
        <f>IF(M71=1,IF('5. Management'!$Q$218='Organic Soils NEW'!$B$47,' IPCC'!I756,1),1)</f>
        <v>1</v>
      </c>
    </row>
    <row r="71" spans="1:26">
      <c r="L71" s="1876" t="s">
        <v>5564</v>
      </c>
      <c r="M71" s="1876">
        <f>IF(climate="Cool Temperate",1,IF(climate="Warm Temperate",1,0))</f>
        <v>0</v>
      </c>
    </row>
    <row r="73" spans="1:26">
      <c r="A73" s="3097"/>
      <c r="B73" s="1534" t="s">
        <v>5569</v>
      </c>
      <c r="C73" s="1540"/>
      <c r="D73" s="1534"/>
      <c r="E73" s="1534"/>
      <c r="F73" s="1534"/>
      <c r="G73" s="1534"/>
      <c r="H73" s="1534"/>
      <c r="I73" s="1534"/>
      <c r="J73" s="1534"/>
      <c r="K73" s="1534"/>
      <c r="L73" s="1534"/>
      <c r="M73" s="1534"/>
      <c r="N73" s="1534"/>
      <c r="O73" s="1534"/>
      <c r="P73" s="1534"/>
      <c r="Q73" s="1534"/>
      <c r="R73" s="1534"/>
      <c r="S73" s="1534"/>
    </row>
    <row r="74" spans="1:26">
      <c r="A74" s="3097"/>
    </row>
    <row r="75" spans="1:26" ht="13.5" thickBot="1">
      <c r="A75" s="3097"/>
      <c r="B75" s="221"/>
      <c r="C75" s="3040" t="s">
        <v>5571</v>
      </c>
      <c r="D75" s="135"/>
      <c r="E75" s="28"/>
      <c r="F75" s="1537" t="s">
        <v>277</v>
      </c>
      <c r="G75" s="135"/>
      <c r="H75" s="135"/>
      <c r="I75" s="135"/>
      <c r="J75" s="28"/>
      <c r="L75" s="3855" t="s">
        <v>336</v>
      </c>
      <c r="M75" s="3855"/>
      <c r="N75" s="3855"/>
      <c r="P75" s="1535" t="s">
        <v>2</v>
      </c>
      <c r="Q75" s="1535"/>
      <c r="S75" s="1535"/>
      <c r="Y75" s="1872" t="s">
        <v>844</v>
      </c>
      <c r="Z75" s="1902"/>
    </row>
    <row r="76" spans="1:26">
      <c r="A76" s="3097"/>
      <c r="B76" s="171" t="s">
        <v>234</v>
      </c>
      <c r="C76" s="1539" t="s">
        <v>337</v>
      </c>
      <c r="D76" s="1538" t="s">
        <v>338</v>
      </c>
      <c r="E76" s="846" t="s">
        <v>339</v>
      </c>
      <c r="F76" s="124"/>
      <c r="G76" s="124"/>
      <c r="H76" s="124"/>
      <c r="I76" s="124"/>
      <c r="J76" s="2030"/>
      <c r="L76" s="1399" t="s">
        <v>340</v>
      </c>
      <c r="M76" s="3067" t="s">
        <v>341</v>
      </c>
      <c r="N76" s="3067"/>
      <c r="P76" s="3851" t="s">
        <v>342</v>
      </c>
      <c r="Q76" s="3851"/>
      <c r="S76" s="3066" t="s">
        <v>343</v>
      </c>
      <c r="Y76" s="1913" t="s">
        <v>674</v>
      </c>
      <c r="Z76" s="1913" t="s">
        <v>675</v>
      </c>
    </row>
    <row r="77" spans="1:26">
      <c r="A77" s="3097"/>
      <c r="B77" s="172"/>
      <c r="C77" s="113"/>
      <c r="D77" s="2029"/>
      <c r="E77" s="2035"/>
      <c r="F77" s="630" t="s">
        <v>340</v>
      </c>
      <c r="G77" s="3852" t="s">
        <v>673</v>
      </c>
      <c r="H77" s="3852"/>
      <c r="I77" s="3853" t="s">
        <v>672</v>
      </c>
      <c r="J77" s="3854"/>
      <c r="L77" s="1399"/>
      <c r="M77" s="1367" t="s">
        <v>674</v>
      </c>
      <c r="N77" s="1368" t="s">
        <v>675</v>
      </c>
      <c r="P77" s="1367" t="s">
        <v>674</v>
      </c>
      <c r="Q77" s="1368" t="s">
        <v>675</v>
      </c>
      <c r="S77" s="1370"/>
      <c r="Y77" s="1902"/>
      <c r="Z77" s="1914"/>
    </row>
    <row r="78" spans="1:26">
      <c r="A78" s="3097"/>
      <c r="B78" s="221" t="s">
        <v>229</v>
      </c>
      <c r="C78" s="1546">
        <f>C79</f>
        <v>0</v>
      </c>
      <c r="D78" s="2348">
        <f>IF('5. Management'!M234="",'5. Management'!L234,'5. Management'!M234)</f>
        <v>0</v>
      </c>
      <c r="E78" s="1547" t="s">
        <v>354</v>
      </c>
      <c r="F78" s="1550">
        <f t="shared" ref="F78:J79" si="13">F40</f>
        <v>0</v>
      </c>
      <c r="G78" s="1550">
        <f t="shared" si="13"/>
        <v>0</v>
      </c>
      <c r="H78" s="1876" t="str">
        <f t="shared" si="13"/>
        <v>Linear</v>
      </c>
      <c r="I78" s="1551">
        <f t="shared" si="13"/>
        <v>0</v>
      </c>
      <c r="J78" s="1876" t="str">
        <f t="shared" si="13"/>
        <v>Linear</v>
      </c>
      <c r="L78" s="1893">
        <f>IF($E78="YES",$C78,$D78)*F78*0.001*methane</f>
        <v>0</v>
      </c>
      <c r="M78" s="1893">
        <f>IF($E78="YES",$C78,$D78)*G78*0.001*methane</f>
        <v>0</v>
      </c>
      <c r="N78" s="1893">
        <f>IF($E78="YES",$C78,$D78)*I78*0.001*methane</f>
        <v>0</v>
      </c>
      <c r="P78" s="1893">
        <f>MIN(L78,M78)*time_tot+ABS(M78-L78)*IF(M78&gt;L78,time2+time*(VLOOKUP(H78,List!$E$35:$F$37,2,)),time*(1-(VLOOKUP(H78,List!$E$35:$F$37,2,))))</f>
        <v>0</v>
      </c>
      <c r="Q78" s="1893">
        <f>MIN(L78,N78)*time_tot+ABS(N78-L78)*IF(N78&gt;L78,time2+time*(VLOOKUP(J78,List!$E$35:$F$37,2,)),time*(1-(VLOOKUP(J78,List!$E$35:$F$37,2,))))</f>
        <v>0</v>
      </c>
      <c r="S78" s="1375">
        <f>Q78-P78</f>
        <v>0</v>
      </c>
      <c r="Y78" s="1914">
        <f>MIN(L78,M78)*time+ABS(M78-L78)*IF(M78&gt;L78,time*(VLOOKUP(H78,List!$E$35:$F$37,2,)),time*(1-(VLOOKUP(H78,List!$E$35:$F$37,2,))))</f>
        <v>0</v>
      </c>
      <c r="Z78" s="1914">
        <f>MIN(L78,N78)*time+ABS(N78-L78)*IF(N78&gt;L78,time*(VLOOKUP(J78,List!$E$35:$F$37,2,)),time*(1-(VLOOKUP(J78,List!$E$35:$F$37,2,))))</f>
        <v>0</v>
      </c>
    </row>
    <row r="79" spans="1:26">
      <c r="A79" s="3097"/>
      <c r="B79" s="172" t="s">
        <v>230</v>
      </c>
      <c r="C79" s="1548">
        <f>VLOOKUP(clim_full,' IPCC'!A924:B935,2,)</f>
        <v>0</v>
      </c>
      <c r="D79" s="2348">
        <f>IF('5. Management'!M235="",'5. Management'!L235,'5. Management'!M235)</f>
        <v>0</v>
      </c>
      <c r="E79" s="1549" t="s">
        <v>354</v>
      </c>
      <c r="F79" s="1550">
        <f t="shared" si="13"/>
        <v>0</v>
      </c>
      <c r="G79" s="1550">
        <f t="shared" si="13"/>
        <v>0</v>
      </c>
      <c r="H79" s="1876" t="str">
        <f t="shared" si="13"/>
        <v>Linear</v>
      </c>
      <c r="I79" s="1551">
        <f t="shared" si="13"/>
        <v>0</v>
      </c>
      <c r="J79" s="1876" t="str">
        <f t="shared" si="13"/>
        <v>Linear</v>
      </c>
      <c r="L79" s="1893">
        <f>IF($E79="YES",$C79,$D79)*F79*0.001*methane</f>
        <v>0</v>
      </c>
      <c r="M79" s="1893">
        <f>IF($E79="YES",$C79,$D79)*G79*0.001*methane</f>
        <v>0</v>
      </c>
      <c r="N79" s="1893">
        <f>IF($E79="YES",$C79,$D79)*I79*0.001*methane</f>
        <v>0</v>
      </c>
      <c r="P79" s="1893">
        <f>MIN(L79,M79)*time_tot+ABS(M79-L79)*IF(M79&gt;L79,time2+time*(VLOOKUP(H79,List!$E$35:$F$37,2,)),time*(1-(VLOOKUP(H79,List!$E$35:$F$37,2,))))</f>
        <v>0</v>
      </c>
      <c r="Q79" s="1893">
        <f>MIN(L79,N79)*time_tot+ABS(N79-L79)*IF(N79&gt;L79,time2+time*(VLOOKUP(J79,List!$E$35:$F$37,2,)),time*(1-(VLOOKUP(J79,List!$E$35:$F$37,2,))))</f>
        <v>0</v>
      </c>
      <c r="S79" s="1375">
        <f>Q79-P79</f>
        <v>0</v>
      </c>
      <c r="Y79" s="1914">
        <f>MIN(L79,M79)*time+ABS(M79-L79)*IF(M79&gt;L79,time*(VLOOKUP(H79,List!$E$35:$F$37,2,)),time*(1-(VLOOKUP(H79,List!$E$35:$F$37,2,))))</f>
        <v>0</v>
      </c>
      <c r="Z79" s="1914">
        <f>MIN(L79,N79)*time+ABS(N79-L79)*IF(N79&gt;L79,time*(VLOOKUP(J79,List!$E$35:$F$37,2,)),time*(1-(VLOOKUP(J79,List!$E$35:$F$37,2,))))</f>
        <v>0</v>
      </c>
    </row>
    <row r="82" spans="1:26">
      <c r="A82" s="3018"/>
      <c r="B82" s="1534" t="s">
        <v>5573</v>
      </c>
      <c r="C82" s="1540"/>
      <c r="D82" s="1534"/>
      <c r="E82" s="1534"/>
      <c r="F82" s="1534"/>
      <c r="G82" s="1534"/>
      <c r="H82" s="1534"/>
      <c r="I82" s="1534"/>
      <c r="J82" s="1534"/>
      <c r="K82" s="1534"/>
      <c r="L82" s="1534"/>
      <c r="M82" s="1534"/>
      <c r="N82" s="1534"/>
      <c r="O82" s="1534"/>
      <c r="P82" s="1534"/>
      <c r="Q82" s="1534"/>
      <c r="R82" s="1534"/>
      <c r="S82" s="1534"/>
    </row>
    <row r="83" spans="1:26">
      <c r="A83" s="3018"/>
    </row>
    <row r="84" spans="1:26" ht="13.5" thickBot="1">
      <c r="A84" s="3018"/>
      <c r="B84" s="221"/>
      <c r="C84" s="3040" t="str">
        <f>C37</f>
        <v>Emission factors ((kg N2O-N ha-1 yr-1)</v>
      </c>
      <c r="D84" s="135"/>
      <c r="E84" s="28"/>
      <c r="F84" s="1537" t="s">
        <v>277</v>
      </c>
      <c r="G84" s="135"/>
      <c r="H84" s="135"/>
      <c r="I84" s="135"/>
      <c r="J84" s="28"/>
      <c r="L84" s="3855" t="s">
        <v>336</v>
      </c>
      <c r="M84" s="3855"/>
      <c r="N84" s="3855"/>
      <c r="P84" s="1535" t="s">
        <v>2</v>
      </c>
      <c r="Q84" s="1535"/>
      <c r="S84" s="1555"/>
      <c r="Y84" s="1872"/>
      <c r="Z84" s="1902"/>
    </row>
    <row r="85" spans="1:26">
      <c r="A85" s="3018"/>
      <c r="B85" s="171" t="s">
        <v>233</v>
      </c>
      <c r="C85" s="1539" t="s">
        <v>337</v>
      </c>
      <c r="D85" s="1538" t="s">
        <v>338</v>
      </c>
      <c r="E85" s="846" t="s">
        <v>339</v>
      </c>
      <c r="F85" s="124"/>
      <c r="G85" s="124"/>
      <c r="H85" s="124"/>
      <c r="I85" s="124"/>
      <c r="J85" s="2030"/>
      <c r="L85" s="1399" t="s">
        <v>340</v>
      </c>
      <c r="M85" s="3067" t="s">
        <v>341</v>
      </c>
      <c r="N85" s="3067"/>
      <c r="P85" s="3851" t="s">
        <v>342</v>
      </c>
      <c r="Q85" s="3851"/>
      <c r="S85" s="1556" t="s">
        <v>343</v>
      </c>
      <c r="Y85" s="1872" t="s">
        <v>844</v>
      </c>
      <c r="Z85" s="1902"/>
    </row>
    <row r="86" spans="1:26" ht="13.5" thickBot="1">
      <c r="A86" s="3018"/>
      <c r="B86" s="172"/>
      <c r="C86" s="114"/>
      <c r="D86" s="124"/>
      <c r="E86" s="2030"/>
      <c r="F86" s="630" t="s">
        <v>340</v>
      </c>
      <c r="G86" s="3852" t="s">
        <v>673</v>
      </c>
      <c r="H86" s="3852"/>
      <c r="I86" s="3853" t="s">
        <v>672</v>
      </c>
      <c r="J86" s="3854"/>
      <c r="L86" s="1399"/>
      <c r="M86" s="1367" t="s">
        <v>674</v>
      </c>
      <c r="N86" s="1368" t="s">
        <v>675</v>
      </c>
      <c r="P86" s="1367" t="s">
        <v>674</v>
      </c>
      <c r="Q86" s="1368" t="s">
        <v>675</v>
      </c>
      <c r="S86" s="1557"/>
      <c r="Y86" s="1913" t="s">
        <v>674</v>
      </c>
      <c r="Z86" s="1913" t="s">
        <v>675</v>
      </c>
    </row>
    <row r="87" spans="1:26" ht="13.5" thickBot="1">
      <c r="A87" s="3018"/>
      <c r="B87" s="3010" t="s">
        <v>5534</v>
      </c>
      <c r="C87" s="3069">
        <f>VLOOKUP(clim_full,' IPCC'!$A$939:$F$950,2,)*N95</f>
        <v>0</v>
      </c>
      <c r="D87" s="3095">
        <f>IF('5. Management'!T224="",'5. Management'!R224,'5. Management'!T224)</f>
        <v>0</v>
      </c>
      <c r="E87" s="857" t="s">
        <v>354</v>
      </c>
      <c r="F87" s="3037">
        <f>F54</f>
        <v>0</v>
      </c>
      <c r="G87" s="3037">
        <f t="shared" ref="G87:J87" si="14">G54</f>
        <v>0</v>
      </c>
      <c r="H87" s="3037" t="str">
        <f t="shared" si="14"/>
        <v>Linear</v>
      </c>
      <c r="I87" s="3037">
        <f t="shared" si="14"/>
        <v>0</v>
      </c>
      <c r="J87" s="3037" t="str">
        <f t="shared" si="14"/>
        <v>Linear</v>
      </c>
      <c r="L87" s="1893">
        <f>IF($E87="YES",$C87,$D87)*F87*(44/28)*Nitrous/1000</f>
        <v>0</v>
      </c>
      <c r="M87" s="1893">
        <f t="shared" ref="L87:M91" si="15">IF($E87="YES",$C87,$D87)*G87*(44/28)*Nitrous/1000</f>
        <v>0</v>
      </c>
      <c r="N87" s="1893">
        <f>IF($E87="YES",$C87,$D87)*I87*(44/28)*Nitrous/1000</f>
        <v>0</v>
      </c>
      <c r="P87" s="1893">
        <f>MIN(L87,M87)*time_tot+ABS(M87-L87)*IF(M87&gt;L87,time2+time*(VLOOKUP(H87,List!$E$35:$F$37,2,)),time*(1-(VLOOKUP(H87,List!$E$35:$F$37,2,))))</f>
        <v>0</v>
      </c>
      <c r="Q87" s="1893">
        <f>MIN(L87,N87)*time_tot+ABS(N87-L87)*IF(N87&gt;L87,time2+time*(VLOOKUP(J87,List!$E$35:$F$37,2,)),time*(1-(VLOOKUP(J87,List!$E$35:$F$37,2,))))</f>
        <v>0</v>
      </c>
      <c r="S87" s="1375">
        <f>Q87-P87</f>
        <v>0</v>
      </c>
      <c r="Y87" s="1914">
        <f>MIN(L87,M87)*time+ABS(M87-L87)*IF(M87&gt;L87,time*(VLOOKUP(H87,List!$E$35:$F$37,2,)),time*(1-(VLOOKUP(H87,List!$E$35:$F$37,2,))))</f>
        <v>0</v>
      </c>
      <c r="Z87" s="1914">
        <f>MIN(L87,N87)*time+ABS(N87-L87)*IF(N87&gt;L87,time*(VLOOKUP(J87,List!$E$35:$F$37,2,)),time*(1-(VLOOKUP(J87,List!$E$35:$F$37,2,))))</f>
        <v>0</v>
      </c>
    </row>
    <row r="88" spans="1:26" ht="13.5" thickBot="1">
      <c r="A88" s="3018"/>
      <c r="B88" s="3015" t="s">
        <v>387</v>
      </c>
      <c r="C88" s="3069">
        <f>VLOOKUP(clim_full,' IPCC'!$A$939:$F$950,3,)*N96</f>
        <v>0</v>
      </c>
      <c r="D88" s="3095">
        <f>IF('5. Management'!T225="",'5. Management'!R225,'5. Management'!T225)</f>
        <v>0</v>
      </c>
      <c r="E88" s="857" t="s">
        <v>354</v>
      </c>
      <c r="F88" s="3037">
        <f t="shared" ref="F88:J91" si="16">F55</f>
        <v>0</v>
      </c>
      <c r="G88" s="3037">
        <f t="shared" si="16"/>
        <v>0</v>
      </c>
      <c r="H88" s="3037" t="str">
        <f t="shared" si="16"/>
        <v>Linear</v>
      </c>
      <c r="I88" s="3037">
        <f t="shared" si="16"/>
        <v>0</v>
      </c>
      <c r="J88" s="3037" t="str">
        <f t="shared" si="16"/>
        <v>Linear</v>
      </c>
      <c r="L88" s="1893">
        <f t="shared" si="15"/>
        <v>0</v>
      </c>
      <c r="M88" s="1893">
        <f t="shared" si="15"/>
        <v>0</v>
      </c>
      <c r="N88" s="1893">
        <f>IF($E88="YES",$C88,$D88)*I88*(44/28)*Nitrous/1000</f>
        <v>0</v>
      </c>
      <c r="P88" s="1893">
        <f>MIN(L88,M88)*time_tot+ABS(M88-L88)*IF(M88&gt;L88,time2+time*(VLOOKUP(H88,List!$E$35:$F$37,2,)),time*(1-(VLOOKUP(H88,List!$E$35:$F$37,2,))))</f>
        <v>0</v>
      </c>
      <c r="Q88" s="1893">
        <f>MIN(L88,N88)*time_tot+ABS(N88-L88)*IF(N88&gt;L88,time2+time*(VLOOKUP(J88,List!$E$35:$F$37,2,)),time*(1-(VLOOKUP(J88,List!$E$35:$F$37,2,))))</f>
        <v>0</v>
      </c>
      <c r="S88" s="1375">
        <f t="shared" ref="S88:S91" si="17">Q88-P88</f>
        <v>0</v>
      </c>
      <c r="Y88" s="1914">
        <f>MIN(L88,M88)*time+ABS(M88-L88)*IF(M88&gt;L88,time*(VLOOKUP(H88,List!$E$35:$F$37,2,)),time*(1-(VLOOKUP(H88,List!$E$35:$F$37,2,))))</f>
        <v>0</v>
      </c>
      <c r="Z88" s="1914">
        <f>MIN(L88,N88)*time+ABS(N88-L88)*IF(N88&gt;L88,time*(VLOOKUP(J88,List!$E$35:$F$37,2,)),time*(1-(VLOOKUP(J88,List!$E$35:$F$37,2,))))</f>
        <v>0</v>
      </c>
    </row>
    <row r="89" spans="1:26" ht="13.5" thickBot="1">
      <c r="A89" s="3018"/>
      <c r="B89" s="171" t="s">
        <v>1091</v>
      </c>
      <c r="C89" s="3069">
        <f>VLOOKUP(clim_full,' IPCC'!$A$939:$F$950,4,)</f>
        <v>0</v>
      </c>
      <c r="D89" s="3095">
        <f>IF('5. Management'!T226="",'5. Management'!R226,'5. Management'!T226)</f>
        <v>0</v>
      </c>
      <c r="E89" s="857" t="s">
        <v>354</v>
      </c>
      <c r="F89" s="3037">
        <f t="shared" si="16"/>
        <v>0</v>
      </c>
      <c r="G89" s="3037">
        <f t="shared" si="16"/>
        <v>0</v>
      </c>
      <c r="H89" s="3037" t="str">
        <f t="shared" si="16"/>
        <v>Linear</v>
      </c>
      <c r="I89" s="3037">
        <f t="shared" si="16"/>
        <v>0</v>
      </c>
      <c r="J89" s="3037" t="str">
        <f t="shared" si="16"/>
        <v>Linear</v>
      </c>
      <c r="L89" s="1893">
        <f t="shared" si="15"/>
        <v>0</v>
      </c>
      <c r="M89" s="1893">
        <f t="shared" si="15"/>
        <v>0</v>
      </c>
      <c r="N89" s="1893">
        <f>IF($E89="YES",$C89,$D89)*I89*(44/28)*Nitrous/1000</f>
        <v>0</v>
      </c>
      <c r="P89" s="1893">
        <f>MIN(L89,M89)*time_tot+ABS(M89-L89)*IF(M89&gt;L89,time2+time*(VLOOKUP(H89,List!$E$35:$F$37,2,)),time*(1-(VLOOKUP(H89,List!$E$35:$F$37,2,))))</f>
        <v>0</v>
      </c>
      <c r="Q89" s="1893">
        <f>MIN(L89,N89)*time_tot+ABS(N89-L89)*IF(N89&gt;L89,time2+time*(VLOOKUP(J89,List!$E$35:$F$37,2,)),time*(1-(VLOOKUP(J89,List!$E$35:$F$37,2,))))</f>
        <v>0</v>
      </c>
      <c r="S89" s="1375">
        <f t="shared" si="17"/>
        <v>0</v>
      </c>
      <c r="Y89" s="1914">
        <f>MIN(L89,M89)*time+ABS(M89-L89)*IF(M89&gt;L89,time*(VLOOKUP(H89,List!$E$35:$F$37,2,)),time*(1-(VLOOKUP(H89,List!$E$35:$F$37,2,))))</f>
        <v>0</v>
      </c>
      <c r="Z89" s="1914">
        <f>MIN(L89,N89)*time+ABS(N89-L89)*IF(N89&gt;L89,time*(VLOOKUP(J89,List!$E$35:$F$37,2,)),time*(1-(VLOOKUP(J89,List!$E$35:$F$37,2,))))</f>
        <v>0</v>
      </c>
    </row>
    <row r="90" spans="1:26" ht="13.5" thickBot="1">
      <c r="A90" s="3018"/>
      <c r="B90" s="171" t="s">
        <v>1092</v>
      </c>
      <c r="C90" s="3069">
        <f>VLOOKUP(clim_full,' IPCC'!$A$939:$F$950,5,)</f>
        <v>0</v>
      </c>
      <c r="D90" s="3095">
        <f>IF('5. Management'!T227="",'5. Management'!R227,'5. Management'!T227)</f>
        <v>0</v>
      </c>
      <c r="E90" s="857" t="s">
        <v>354</v>
      </c>
      <c r="F90" s="3037">
        <f t="shared" si="16"/>
        <v>0</v>
      </c>
      <c r="G90" s="3037">
        <f t="shared" si="16"/>
        <v>0</v>
      </c>
      <c r="H90" s="3037" t="str">
        <f t="shared" si="16"/>
        <v>Linear</v>
      </c>
      <c r="I90" s="3037">
        <f t="shared" si="16"/>
        <v>0</v>
      </c>
      <c r="J90" s="3037" t="str">
        <f t="shared" si="16"/>
        <v>Linear</v>
      </c>
      <c r="L90" s="1893">
        <f t="shared" si="15"/>
        <v>0</v>
      </c>
      <c r="M90" s="1893">
        <f t="shared" si="15"/>
        <v>0</v>
      </c>
      <c r="N90" s="1893">
        <f>IF($E90="YES",$C90,$D90)*I90*(44/28)*Nitrous/1000</f>
        <v>0</v>
      </c>
      <c r="P90" s="1893">
        <f>MIN(L90,M90)*time_tot+ABS(M90-L90)*IF(M90&gt;L90,time2+time*(VLOOKUP(H90,List!$E$35:$F$37,2,)),time*(1-(VLOOKUP(H90,List!$E$35:$F$37,2,))))</f>
        <v>0</v>
      </c>
      <c r="Q90" s="1893">
        <f>MIN(L90,N90)*time_tot+ABS(N90-L90)*IF(N90&gt;L90,time2+time*(VLOOKUP(J90,List!$E$35:$F$37,2,)),time*(1-(VLOOKUP(J90,List!$E$35:$F$37,2,))))</f>
        <v>0</v>
      </c>
      <c r="S90" s="1375">
        <f t="shared" si="17"/>
        <v>0</v>
      </c>
      <c r="Y90" s="1914">
        <f>MIN(L90,M90)*time+ABS(M90-L90)*IF(M90&gt;L90,time*(VLOOKUP(H90,List!$E$35:$F$37,2,)),time*(1-(VLOOKUP(H90,List!$E$35:$F$37,2,))))</f>
        <v>0</v>
      </c>
      <c r="Z90" s="1914">
        <f>MIN(L90,N90)*time+ABS(N90-L90)*IF(N90&gt;L90,time*(VLOOKUP(J90,List!$E$35:$F$37,2,)),time*(1-(VLOOKUP(J90,List!$E$35:$F$37,2,))))</f>
        <v>0</v>
      </c>
    </row>
    <row r="91" spans="1:26">
      <c r="A91" s="3018"/>
      <c r="B91" s="172" t="s">
        <v>329</v>
      </c>
      <c r="C91" s="3069">
        <f>VLOOKUP(clim_full,' IPCC'!$A$939:$F$950,6,)*N99</f>
        <v>0</v>
      </c>
      <c r="D91" s="3095">
        <f>IF('5. Management'!T228="",'5. Management'!R228,'5. Management'!T228)</f>
        <v>0</v>
      </c>
      <c r="E91" s="857" t="s">
        <v>354</v>
      </c>
      <c r="F91" s="3037">
        <f t="shared" si="16"/>
        <v>0</v>
      </c>
      <c r="G91" s="3037">
        <f t="shared" si="16"/>
        <v>0</v>
      </c>
      <c r="H91" s="3037" t="str">
        <f t="shared" si="16"/>
        <v>Linear</v>
      </c>
      <c r="I91" s="3037">
        <f t="shared" si="16"/>
        <v>0</v>
      </c>
      <c r="J91" s="3037" t="str">
        <f t="shared" si="16"/>
        <v>Linear</v>
      </c>
      <c r="L91" s="1893">
        <f t="shared" si="15"/>
        <v>0</v>
      </c>
      <c r="M91" s="1893">
        <f t="shared" si="15"/>
        <v>0</v>
      </c>
      <c r="N91" s="1893">
        <f>IF($E91="YES",$C91,$D91)*I91*(44/28)*Nitrous/1000</f>
        <v>0</v>
      </c>
      <c r="P91" s="1893">
        <f>MIN(L91,M91)*time_tot+ABS(M91-L91)*IF(M91&gt;L91,time2+time*(VLOOKUP(H91,List!$E$35:$F$37,2,)),time*(1-(VLOOKUP(H91,List!$E$35:$F$37,2,))))</f>
        <v>0</v>
      </c>
      <c r="Q91" s="1893">
        <f>MIN(L91,N91)*time_tot+ABS(N91-L91)*IF(N91&gt;L91,time2+time*(VLOOKUP(J91,List!$E$35:$F$37,2,)),time*(1-(VLOOKUP(J91,List!$E$35:$F$37,2,))))</f>
        <v>0</v>
      </c>
      <c r="S91" s="1375">
        <f t="shared" si="17"/>
        <v>0</v>
      </c>
      <c r="Y91" s="1914">
        <f>MIN(L91,M91)*time+ABS(M91-L91)*IF(M91&gt;L91,time*(VLOOKUP(H91,List!$E$35:$F$37,2,)),time*(1-(VLOOKUP(H91,List!$E$35:$F$37,2,))))</f>
        <v>0</v>
      </c>
      <c r="Z91" s="1914">
        <f>MIN(L91,N91)*time+ABS(N91-L91)*IF(N91&gt;L91,time*(VLOOKUP(J91,List!$E$35:$F$37,2,)),time*(1-(VLOOKUP(J91,List!$E$35:$F$37,2,))))</f>
        <v>0</v>
      </c>
    </row>
    <row r="92" spans="1:26">
      <c r="L92" s="3060" t="s">
        <v>5559</v>
      </c>
      <c r="M92" s="3061"/>
      <c r="N92" s="3061"/>
      <c r="Y92" s="1914"/>
      <c r="Z92" s="1914"/>
    </row>
    <row r="93" spans="1:26">
      <c r="L93" s="3060" t="s">
        <v>5563</v>
      </c>
      <c r="M93" s="3061"/>
      <c r="N93" s="3061"/>
      <c r="Y93" s="1914"/>
      <c r="Z93" s="1914"/>
    </row>
    <row r="94" spans="1:26">
      <c r="L94" s="3060" t="s">
        <v>5560</v>
      </c>
      <c r="M94" s="3060" t="s">
        <v>5561</v>
      </c>
      <c r="N94" s="3061"/>
    </row>
    <row r="95" spans="1:26">
      <c r="L95" s="3060" t="s">
        <v>5534</v>
      </c>
      <c r="M95" s="3060" t="s">
        <v>391</v>
      </c>
      <c r="N95" s="3068">
        <f>IF(climate="Boreal",IF('5. Management'!$Q$218='Organic Soils NEW'!$B$47,' IPCC'!H940,1),1)</f>
        <v>1</v>
      </c>
    </row>
    <row r="96" spans="1:26">
      <c r="L96" s="3060" t="s">
        <v>387</v>
      </c>
      <c r="M96" s="3060" t="s">
        <v>391</v>
      </c>
      <c r="N96" s="3068">
        <f>N95</f>
        <v>1</v>
      </c>
    </row>
    <row r="97" spans="1:26" ht="13.9" customHeight="1">
      <c r="L97" s="3061"/>
      <c r="M97" s="3061"/>
      <c r="N97" s="3061"/>
    </row>
    <row r="98" spans="1:26">
      <c r="L98" s="3061"/>
      <c r="M98" s="3061"/>
      <c r="N98" s="3061"/>
    </row>
    <row r="99" spans="1:26">
      <c r="L99" s="3060" t="s">
        <v>329</v>
      </c>
      <c r="M99" s="3060" t="s">
        <v>5562</v>
      </c>
      <c r="N99" s="3068">
        <f>IF(M71=1,IF('5. Management'!$Q$218='Organic Soils NEW'!$B$47,' IPCC'!H942,1),1)</f>
        <v>1</v>
      </c>
    </row>
    <row r="102" spans="1:26">
      <c r="A102" s="3018"/>
      <c r="B102" s="1534" t="s">
        <v>5585</v>
      </c>
      <c r="C102" s="1540"/>
      <c r="D102" s="1534"/>
      <c r="E102" s="1534"/>
      <c r="F102" s="1534"/>
      <c r="G102" s="1534"/>
      <c r="H102" s="1534"/>
      <c r="I102" s="1534"/>
      <c r="J102" s="1534"/>
      <c r="K102" s="1534"/>
      <c r="L102" s="1534"/>
      <c r="M102" s="1534"/>
      <c r="N102" s="1534"/>
      <c r="O102" s="1534"/>
      <c r="P102" s="1534"/>
      <c r="Q102" s="1534"/>
      <c r="R102" s="1534"/>
      <c r="S102" s="1534"/>
    </row>
    <row r="103" spans="1:26">
      <c r="A103" s="3018"/>
    </row>
    <row r="104" spans="1:26" ht="13.5" thickBot="1">
      <c r="A104" s="3018"/>
      <c r="B104" s="221"/>
      <c r="C104" s="150" t="s">
        <v>226</v>
      </c>
      <c r="D104" s="135"/>
      <c r="E104" s="28"/>
      <c r="F104" s="1537" t="s">
        <v>277</v>
      </c>
      <c r="G104" s="135"/>
      <c r="H104" s="135"/>
      <c r="I104" s="135"/>
      <c r="J104" s="28"/>
      <c r="L104" s="3855" t="s">
        <v>336</v>
      </c>
      <c r="M104" s="3855"/>
      <c r="N104" s="3855"/>
      <c r="P104" s="1535" t="s">
        <v>2</v>
      </c>
      <c r="Q104" s="1535"/>
      <c r="S104" s="1555"/>
    </row>
    <row r="105" spans="1:26">
      <c r="A105" s="3018"/>
      <c r="B105" s="171" t="s">
        <v>233</v>
      </c>
      <c r="C105" s="1539" t="s">
        <v>337</v>
      </c>
      <c r="D105" s="1538" t="s">
        <v>338</v>
      </c>
      <c r="E105" s="846" t="s">
        <v>339</v>
      </c>
      <c r="F105" s="124"/>
      <c r="G105" s="124"/>
      <c r="H105" s="124"/>
      <c r="I105" s="124"/>
      <c r="J105" s="2030"/>
      <c r="L105" s="1399" t="s">
        <v>340</v>
      </c>
      <c r="M105" s="3087" t="s">
        <v>341</v>
      </c>
      <c r="N105" s="3087"/>
      <c r="P105" s="3851" t="s">
        <v>342</v>
      </c>
      <c r="Q105" s="3851"/>
      <c r="S105" s="1556" t="s">
        <v>343</v>
      </c>
      <c r="Y105" s="1872" t="s">
        <v>844</v>
      </c>
      <c r="Z105" s="1902"/>
    </row>
    <row r="106" spans="1:26">
      <c r="A106" s="3018"/>
      <c r="B106" s="172"/>
      <c r="C106" s="114"/>
      <c r="D106" s="124"/>
      <c r="E106" s="2030"/>
      <c r="F106" s="630" t="s">
        <v>340</v>
      </c>
      <c r="G106" s="3852" t="s">
        <v>673</v>
      </c>
      <c r="H106" s="3852"/>
      <c r="I106" s="3853" t="s">
        <v>672</v>
      </c>
      <c r="J106" s="3854"/>
      <c r="L106" s="1399"/>
      <c r="M106" s="1367" t="s">
        <v>674</v>
      </c>
      <c r="N106" s="1368" t="s">
        <v>675</v>
      </c>
      <c r="P106" s="1367" t="s">
        <v>674</v>
      </c>
      <c r="Q106" s="1368" t="s">
        <v>675</v>
      </c>
      <c r="S106" s="1557"/>
      <c r="Y106" s="1913" t="s">
        <v>674</v>
      </c>
      <c r="Z106" s="1913" t="s">
        <v>675</v>
      </c>
    </row>
    <row r="107" spans="1:26">
      <c r="A107" s="3018"/>
      <c r="B107" s="3010" t="s">
        <v>5534</v>
      </c>
      <c r="C107" s="3016">
        <f>VLOOKUP(clim_full,' IPCC'!$A$954:$B$965,2,)</f>
        <v>0</v>
      </c>
      <c r="D107" s="3021">
        <f>IF('5. Management'!AA224="",'5. Management'!Y224,'5. Management'!AA224)</f>
        <v>0</v>
      </c>
      <c r="E107" s="857" t="s">
        <v>354</v>
      </c>
      <c r="F107" s="2340">
        <f t="shared" ref="F107:J107" si="18">F12</f>
        <v>0</v>
      </c>
      <c r="G107" s="2340">
        <f t="shared" si="18"/>
        <v>0</v>
      </c>
      <c r="H107" s="2340" t="str">
        <f>H12</f>
        <v>Linear</v>
      </c>
      <c r="I107" s="2340">
        <f t="shared" si="18"/>
        <v>0</v>
      </c>
      <c r="J107" s="2340" t="str">
        <f t="shared" si="18"/>
        <v>Linear</v>
      </c>
      <c r="L107" s="1893">
        <f>IF($E107="YES",$C107,$D107)*F107*44/12</f>
        <v>0</v>
      </c>
      <c r="M107" s="1893">
        <f t="shared" ref="M107:M111" si="19">IF($E107="YES",$C107,$D107)*G107*44/12</f>
        <v>0</v>
      </c>
      <c r="N107" s="1893">
        <f>IF($E107="YES",$C107,$D107)*I107*44/12</f>
        <v>0</v>
      </c>
      <c r="P107" s="1893">
        <f>MIN(L107,M107)*time_tot+ABS(M107-L107)*IF(M107&gt;L107,time2+time*(VLOOKUP(H107,List!$E$35:$F$37,2,)),time*(1-(VLOOKUP(H107,List!$E$35:$F$37,2,))))</f>
        <v>0</v>
      </c>
      <c r="Q107" s="1893">
        <f>MIN(L107,N107)*time_tot+ABS(N107-L107)*IF(N107&gt;L107,time2+time*(VLOOKUP(J107,List!$E$35:$F$37,2,)),time*(1-(VLOOKUP(J107,List!$E$35:$F$37,2,))))</f>
        <v>0</v>
      </c>
      <c r="S107" s="1375">
        <f>Q107-P107</f>
        <v>0</v>
      </c>
      <c r="Y107" s="1914">
        <f>MIN(L107,M107)*time+ABS(M107-L107)*IF(M107&gt;L107,time*(VLOOKUP(H107,List!$E$35:$F$37,2,)),time*(1-(VLOOKUP(H107,List!$E$35:$F$37,2,))))</f>
        <v>0</v>
      </c>
      <c r="Z107" s="1914">
        <f>MIN(L107,N107)*time+ABS(N107-L107)*IF(N107&gt;L107,time*(VLOOKUP(J107,List!$E$35:$F$37,2,)),time*(1-(VLOOKUP(J107,List!$E$35:$F$37,2,))))</f>
        <v>0</v>
      </c>
    </row>
    <row r="108" spans="1:26">
      <c r="A108" s="3018"/>
      <c r="B108" s="3015" t="s">
        <v>387</v>
      </c>
      <c r="C108" s="3016">
        <f>VLOOKUP(clim_full,' IPCC'!$A$954:$B$965,2,)</f>
        <v>0</v>
      </c>
      <c r="D108" s="3021">
        <f>IF('5. Management'!AA225="",'5. Management'!Y225,'5. Management'!AA225)</f>
        <v>0</v>
      </c>
      <c r="E108" s="857" t="s">
        <v>354</v>
      </c>
      <c r="F108" s="2340">
        <f t="shared" ref="F108:J108" si="20">F13</f>
        <v>0</v>
      </c>
      <c r="G108" s="2340">
        <f t="shared" si="20"/>
        <v>0</v>
      </c>
      <c r="H108" s="2340" t="str">
        <f t="shared" si="20"/>
        <v>Linear</v>
      </c>
      <c r="I108" s="2340">
        <f t="shared" si="20"/>
        <v>0</v>
      </c>
      <c r="J108" s="2340" t="str">
        <f t="shared" si="20"/>
        <v>Linear</v>
      </c>
      <c r="L108" s="1893">
        <f t="shared" ref="L108:L111" si="21">IF($E108="YES",$C108,$D108)*F108*44/12</f>
        <v>0</v>
      </c>
      <c r="M108" s="1893">
        <f t="shared" si="19"/>
        <v>0</v>
      </c>
      <c r="N108" s="1893">
        <f t="shared" ref="N108:N111" si="22">IF($E108="YES",$C108,$D108)*I108*44/12</f>
        <v>0</v>
      </c>
      <c r="P108" s="1893">
        <f>MIN(L108,M108)*time_tot+ABS(M108-L108)*IF(M108&gt;L108,time2+time*(VLOOKUP(H108,List!$E$35:$F$37,2,)),time*(1-(VLOOKUP(H108,List!$E$35:$F$37,2,))))</f>
        <v>0</v>
      </c>
      <c r="Q108" s="1893">
        <f>MIN(L108,N108)*time_tot+ABS(N108-L108)*IF(N108&gt;L108,time2+time*(VLOOKUP(J108,List!$E$35:$F$37,2,)),time*(1-(VLOOKUP(J108,List!$E$35:$F$37,2,))))</f>
        <v>0</v>
      </c>
      <c r="S108" s="1375">
        <f t="shared" ref="S108:S111" si="23">Q108-P108</f>
        <v>0</v>
      </c>
      <c r="Y108" s="1914">
        <f>MIN(L108,M108)*time+ABS(M108-L108)*IF(M108&gt;L108,time*(VLOOKUP(H108,List!$E$35:$F$37,2,)),time*(1-(VLOOKUP(H108,List!$E$35:$F$37,2,))))</f>
        <v>0</v>
      </c>
      <c r="Z108" s="1914">
        <f>MIN(L108,N108)*time+ABS(N108-L108)*IF(N108&gt;L108,time*(VLOOKUP(J108,List!$E$35:$F$37,2,)),time*(1-(VLOOKUP(J108,List!$E$35:$F$37,2,))))</f>
        <v>0</v>
      </c>
    </row>
    <row r="109" spans="1:26">
      <c r="A109" s="3018"/>
      <c r="B109" s="171" t="s">
        <v>1091</v>
      </c>
      <c r="C109" s="3016">
        <f>VLOOKUP(clim_full,' IPCC'!$A$954:$B$965,2,)</f>
        <v>0</v>
      </c>
      <c r="D109" s="3021">
        <f>IF('5. Management'!AA226="",'5. Management'!Y226,'5. Management'!AA226)</f>
        <v>0</v>
      </c>
      <c r="E109" s="857" t="s">
        <v>354</v>
      </c>
      <c r="F109" s="2340">
        <f t="shared" ref="F109:J109" si="24">F14</f>
        <v>0</v>
      </c>
      <c r="G109" s="2340">
        <f t="shared" si="24"/>
        <v>0</v>
      </c>
      <c r="H109" s="2340" t="str">
        <f t="shared" si="24"/>
        <v>Linear</v>
      </c>
      <c r="I109" s="2340">
        <f t="shared" si="24"/>
        <v>0</v>
      </c>
      <c r="J109" s="2340" t="str">
        <f t="shared" si="24"/>
        <v>Linear</v>
      </c>
      <c r="L109" s="1893">
        <f t="shared" si="21"/>
        <v>0</v>
      </c>
      <c r="M109" s="1893">
        <f t="shared" si="19"/>
        <v>0</v>
      </c>
      <c r="N109" s="1893">
        <f t="shared" si="22"/>
        <v>0</v>
      </c>
      <c r="P109" s="1893">
        <f>MIN(L109,M109)*time_tot+ABS(M109-L109)*IF(M109&gt;L109,time2+time*(VLOOKUP(H109,List!$E$35:$F$37,2,)),time*(1-(VLOOKUP(H109,List!$E$35:$F$37,2,))))</f>
        <v>0</v>
      </c>
      <c r="Q109" s="1893">
        <f>MIN(L109,N109)*time_tot+ABS(N109-L109)*IF(N109&gt;L109,time2+time*(VLOOKUP(J109,List!$E$35:$F$37,2,)),time*(1-(VLOOKUP(J109,List!$E$35:$F$37,2,))))</f>
        <v>0</v>
      </c>
      <c r="S109" s="1375">
        <f t="shared" si="23"/>
        <v>0</v>
      </c>
      <c r="Y109" s="1914">
        <f>MIN(L109,M109)*time+ABS(M109-L109)*IF(M109&gt;L109,time*(VLOOKUP(H109,List!$E$35:$F$37,2,)),time*(1-(VLOOKUP(H109,List!$E$35:$F$37,2,))))</f>
        <v>0</v>
      </c>
      <c r="Z109" s="1914">
        <f>MIN(L109,N109)*time+ABS(N109-L109)*IF(N109&gt;L109,time*(VLOOKUP(J109,List!$E$35:$F$37,2,)),time*(1-(VLOOKUP(J109,List!$E$35:$F$37,2,))))</f>
        <v>0</v>
      </c>
    </row>
    <row r="110" spans="1:26">
      <c r="A110" s="3018"/>
      <c r="B110" s="171" t="s">
        <v>1092</v>
      </c>
      <c r="C110" s="3016">
        <f>VLOOKUP(clim_full,' IPCC'!$A$954:$B$965,2,)</f>
        <v>0</v>
      </c>
      <c r="D110" s="3021">
        <f>IF('5. Management'!AA227="",'5. Management'!Y227,'5. Management'!AA227)</f>
        <v>0</v>
      </c>
      <c r="E110" s="857" t="s">
        <v>354</v>
      </c>
      <c r="F110" s="2340">
        <f t="shared" ref="F110:J110" si="25">F15</f>
        <v>0</v>
      </c>
      <c r="G110" s="2340">
        <f t="shared" si="25"/>
        <v>0</v>
      </c>
      <c r="H110" s="2340" t="str">
        <f t="shared" si="25"/>
        <v>Linear</v>
      </c>
      <c r="I110" s="2340">
        <f t="shared" si="25"/>
        <v>0</v>
      </c>
      <c r="J110" s="2340" t="str">
        <f t="shared" si="25"/>
        <v>Linear</v>
      </c>
      <c r="L110" s="1893">
        <f t="shared" si="21"/>
        <v>0</v>
      </c>
      <c r="M110" s="1893">
        <f t="shared" si="19"/>
        <v>0</v>
      </c>
      <c r="N110" s="1893">
        <f t="shared" si="22"/>
        <v>0</v>
      </c>
      <c r="P110" s="1893">
        <f>MIN(L110,M110)*time_tot+ABS(M110-L110)*IF(M110&gt;L110,time2+time*(VLOOKUP(H110,List!$E$35:$F$37,2,)),time*(1-(VLOOKUP(H110,List!$E$35:$F$37,2,))))</f>
        <v>0</v>
      </c>
      <c r="Q110" s="1893">
        <f>MIN(L110,N110)*time_tot+ABS(N110-L110)*IF(N110&gt;L110,time2+time*(VLOOKUP(J110,List!$E$35:$F$37,2,)),time*(1-(VLOOKUP(J110,List!$E$35:$F$37,2,))))</f>
        <v>0</v>
      </c>
      <c r="S110" s="1375">
        <f t="shared" si="23"/>
        <v>0</v>
      </c>
      <c r="Y110" s="1914">
        <f>MIN(L110,M110)*time+ABS(M110-L110)*IF(M110&gt;L110,time*(VLOOKUP(H110,List!$E$35:$F$37,2,)),time*(1-(VLOOKUP(H110,List!$E$35:$F$37,2,))))</f>
        <v>0</v>
      </c>
      <c r="Z110" s="1914">
        <f>MIN(L110,N110)*time+ABS(N110-L110)*IF(N110&gt;L110,time*(VLOOKUP(J110,List!$E$35:$F$37,2,)),time*(1-(VLOOKUP(J110,List!$E$35:$F$37,2,))))</f>
        <v>0</v>
      </c>
    </row>
    <row r="111" spans="1:26">
      <c r="A111" s="3018"/>
      <c r="B111" s="172" t="s">
        <v>329</v>
      </c>
      <c r="C111" s="3016">
        <f>VLOOKUP(clim_full,' IPCC'!$A$954:$B$965,2,)</f>
        <v>0</v>
      </c>
      <c r="D111" s="3021">
        <f>IF('5. Management'!AA228="",'5. Management'!Y228,'5. Management'!AA228)</f>
        <v>0</v>
      </c>
      <c r="E111" s="857" t="s">
        <v>354</v>
      </c>
      <c r="F111" s="2340">
        <f t="shared" ref="F111:J111" si="26">F16</f>
        <v>0</v>
      </c>
      <c r="G111" s="2340">
        <f t="shared" si="26"/>
        <v>0</v>
      </c>
      <c r="H111" s="2340" t="str">
        <f t="shared" si="26"/>
        <v>Linear</v>
      </c>
      <c r="I111" s="2340">
        <f t="shared" si="26"/>
        <v>0</v>
      </c>
      <c r="J111" s="2340" t="str">
        <f t="shared" si="26"/>
        <v>Linear</v>
      </c>
      <c r="L111" s="1893">
        <f t="shared" si="21"/>
        <v>0</v>
      </c>
      <c r="M111" s="1893">
        <f t="shared" si="19"/>
        <v>0</v>
      </c>
      <c r="N111" s="1893">
        <f t="shared" si="22"/>
        <v>0</v>
      </c>
      <c r="P111" s="1893">
        <f>MIN(L111,M111)*time_tot+ABS(M111-L111)*IF(M111&gt;L111,time2+time*(VLOOKUP(H111,List!$E$35:$F$37,2,)),time*(1-(VLOOKUP(H111,List!$E$35:$F$37,2,))))</f>
        <v>0</v>
      </c>
      <c r="Q111" s="1893">
        <f>MIN(L111,N111)*time_tot+ABS(N111-L111)*IF(N111&gt;L111,time2+time*(VLOOKUP(J111,List!$E$35:$F$37,2,)),time*(1-(VLOOKUP(J111,List!$E$35:$F$37,2,))))</f>
        <v>0</v>
      </c>
      <c r="S111" s="1375">
        <f t="shared" si="23"/>
        <v>0</v>
      </c>
      <c r="Y111" s="1914">
        <f>MIN(L111,M111)*time+ABS(M111-L111)*IF(M111&gt;L111,time*(VLOOKUP(H111,List!$E$35:$F$37,2,)),time*(1-(VLOOKUP(H111,List!$E$35:$F$37,2,))))</f>
        <v>0</v>
      </c>
      <c r="Z111" s="1914">
        <f>MIN(L111,N111)*time+ABS(N111-L111)*IF(N111&gt;L111,time*(VLOOKUP(J111,List!$E$35:$F$37,2,)),time*(1-(VLOOKUP(J111,List!$E$35:$F$37,2,))))</f>
        <v>0</v>
      </c>
    </row>
    <row r="113" spans="1:26">
      <c r="A113" s="3097"/>
      <c r="B113" s="1534" t="s">
        <v>5589</v>
      </c>
      <c r="C113" s="1540"/>
      <c r="D113" s="1534"/>
      <c r="E113" s="1534"/>
      <c r="F113" s="1534"/>
      <c r="G113" s="1534"/>
      <c r="H113" s="1534"/>
      <c r="I113" s="1534"/>
      <c r="J113" s="1534"/>
      <c r="K113" s="1534"/>
      <c r="L113" s="1534"/>
      <c r="M113" s="1534"/>
      <c r="N113" s="1534"/>
      <c r="O113" s="1534"/>
      <c r="P113" s="1534"/>
      <c r="Q113" s="1534"/>
      <c r="R113" s="1534"/>
      <c r="S113" s="1534"/>
    </row>
    <row r="114" spans="1:26">
      <c r="A114" s="3097"/>
    </row>
    <row r="115" spans="1:26" ht="13.5" thickBot="1">
      <c r="A115" s="3097"/>
      <c r="B115" s="221"/>
      <c r="C115" s="150" t="s">
        <v>226</v>
      </c>
      <c r="D115" s="135"/>
      <c r="E115" s="28"/>
      <c r="F115" s="1537" t="s">
        <v>277</v>
      </c>
      <c r="G115" s="135"/>
      <c r="H115" s="135"/>
      <c r="I115" s="135"/>
      <c r="J115" s="28"/>
      <c r="L115" s="3855" t="s">
        <v>336</v>
      </c>
      <c r="M115" s="3855"/>
      <c r="N115" s="3855"/>
      <c r="P115" s="1535" t="s">
        <v>2</v>
      </c>
      <c r="Q115" s="1535"/>
      <c r="S115" s="1535"/>
    </row>
    <row r="116" spans="1:26">
      <c r="A116" s="3097"/>
      <c r="B116" s="171" t="s">
        <v>234</v>
      </c>
      <c r="C116" s="1539" t="s">
        <v>337</v>
      </c>
      <c r="D116" s="1538" t="s">
        <v>338</v>
      </c>
      <c r="E116" s="846" t="s">
        <v>339</v>
      </c>
      <c r="F116" s="124"/>
      <c r="G116" s="124"/>
      <c r="H116" s="124"/>
      <c r="I116" s="124"/>
      <c r="J116" s="2030"/>
      <c r="L116" s="1399" t="s">
        <v>340</v>
      </c>
      <c r="M116" s="3087" t="s">
        <v>341</v>
      </c>
      <c r="N116" s="3087"/>
      <c r="P116" s="3851" t="s">
        <v>342</v>
      </c>
      <c r="Q116" s="3851"/>
      <c r="S116" s="3086" t="s">
        <v>343</v>
      </c>
      <c r="Y116" s="1872" t="s">
        <v>844</v>
      </c>
      <c r="Z116" s="1902"/>
    </row>
    <row r="117" spans="1:26" ht="13.5" thickBot="1">
      <c r="A117" s="3097"/>
      <c r="B117" s="172"/>
      <c r="C117" s="114"/>
      <c r="D117" s="124"/>
      <c r="E117" s="2030"/>
      <c r="F117" s="630" t="s">
        <v>340</v>
      </c>
      <c r="G117" s="3852" t="s">
        <v>673</v>
      </c>
      <c r="H117" s="3852"/>
      <c r="I117" s="3853" t="s">
        <v>672</v>
      </c>
      <c r="J117" s="3854"/>
      <c r="L117" s="1399"/>
      <c r="M117" s="1367" t="s">
        <v>674</v>
      </c>
      <c r="N117" s="1368" t="s">
        <v>675</v>
      </c>
      <c r="P117" s="1367" t="s">
        <v>674</v>
      </c>
      <c r="Q117" s="1368" t="s">
        <v>675</v>
      </c>
      <c r="S117" s="1370"/>
      <c r="Y117" s="1913" t="s">
        <v>674</v>
      </c>
      <c r="Z117" s="1913" t="s">
        <v>675</v>
      </c>
    </row>
    <row r="118" spans="1:26" ht="13.5" thickBot="1">
      <c r="A118" s="3097"/>
      <c r="B118" s="221" t="s">
        <v>229</v>
      </c>
      <c r="C118" s="3098">
        <f>VLOOKUP(clim_full,' IPCC'!$A$954:$B$965,2,)</f>
        <v>0</v>
      </c>
      <c r="D118" s="3021">
        <f>IF('5. Management'!AA234="",'5. Management'!Y234,'5. Management'!AA234)</f>
        <v>0</v>
      </c>
      <c r="E118" s="857" t="s">
        <v>354</v>
      </c>
      <c r="F118" s="1941">
        <f>F23</f>
        <v>0</v>
      </c>
      <c r="G118" s="1941">
        <f t="shared" ref="G118:J119" si="27">G23</f>
        <v>0</v>
      </c>
      <c r="H118" s="1941" t="str">
        <f t="shared" si="27"/>
        <v>Linear</v>
      </c>
      <c r="I118" s="1941">
        <f t="shared" si="27"/>
        <v>0</v>
      </c>
      <c r="J118" s="1941" t="str">
        <f t="shared" si="27"/>
        <v>Linear</v>
      </c>
      <c r="L118" s="1893">
        <f>IF($E118="YES",$C118,$D118)*F118*44/12</f>
        <v>0</v>
      </c>
      <c r="M118" s="1893">
        <f>IF($E118="YES",$C118,$D118)*G118*44/12</f>
        <v>0</v>
      </c>
      <c r="N118" s="1893">
        <f>IF($E118="YES",$C118,$D118)*I118*44/12</f>
        <v>0</v>
      </c>
      <c r="P118" s="1893">
        <f>MIN(L118,M118)*time_tot+ABS(M118-L118)*IF(M118&gt;L118,time2+time*(VLOOKUP(H118,List!$E$35:$F$37,2,)),time*(1-(VLOOKUP(H118,List!$E$35:$F$37,2,))))</f>
        <v>0</v>
      </c>
      <c r="Q118" s="1893">
        <f>MIN(L118,N118)*time_tot+ABS(N118-L118)*IF(N118&gt;L118,time2+time*(VLOOKUP(J118,List!$E$35:$F$37,2,)),time*(1-(VLOOKUP(J118,List!$E$35:$F$37,2,))))</f>
        <v>0</v>
      </c>
      <c r="S118" s="1375">
        <f>Q118-P118</f>
        <v>0</v>
      </c>
      <c r="Y118" s="1914">
        <f>MIN(L118,M118)*time+ABS(M118-L118)*IF(M118&gt;L118,time*(VLOOKUP(H118,List!$E$35:$F$37,2,)),time*(1-(VLOOKUP(H118,List!$E$35:$F$37,2,))))</f>
        <v>0</v>
      </c>
      <c r="Z118" s="1914">
        <f>MIN(L118,N118)*time+ABS(N118-L118)*IF(N118&gt;L118,time*(VLOOKUP(J118,List!$E$35:$F$37,2,)),time*(1-(VLOOKUP(J118,List!$E$35:$F$37,2,))))</f>
        <v>0</v>
      </c>
    </row>
    <row r="119" spans="1:26">
      <c r="A119" s="3097"/>
      <c r="B119" s="172" t="s">
        <v>230</v>
      </c>
      <c r="C119" s="3098">
        <f>VLOOKUP(clim_full,' IPCC'!$A$954:$B$965,2,)</f>
        <v>0</v>
      </c>
      <c r="D119" s="3021">
        <f>IF('5. Management'!AA235="",'5. Management'!Y235,'5. Management'!AA235)</f>
        <v>0</v>
      </c>
      <c r="E119" s="857" t="s">
        <v>354</v>
      </c>
      <c r="F119" s="1941">
        <f>F24</f>
        <v>0</v>
      </c>
      <c r="G119" s="1941">
        <f t="shared" si="27"/>
        <v>0</v>
      </c>
      <c r="H119" s="1941" t="str">
        <f t="shared" si="27"/>
        <v>Linear</v>
      </c>
      <c r="I119" s="1941">
        <f t="shared" si="27"/>
        <v>0</v>
      </c>
      <c r="J119" s="1941" t="str">
        <f t="shared" si="27"/>
        <v>Linear</v>
      </c>
      <c r="L119" s="1893">
        <f>IF($E119="YES",$C119,$D119)*F119*44/12</f>
        <v>0</v>
      </c>
      <c r="M119" s="1893">
        <f>IF($E119="YES",$C119,$D119)*G119*44/12</f>
        <v>0</v>
      </c>
      <c r="N119" s="1893">
        <f>IF($E119="YES",$C119,$D119)*I119*44/12</f>
        <v>0</v>
      </c>
      <c r="P119" s="1893">
        <f>MIN(L119,M119)*time_tot+ABS(M119-L119)*IF(M119&gt;L119,time2+time*(VLOOKUP(H119,List!$E$35:$F$37,2,)),time*(1-(VLOOKUP(H119,List!$E$35:$F$37,2,))))</f>
        <v>0</v>
      </c>
      <c r="Q119" s="1893">
        <f>MIN(L119,N119)*time_tot+ABS(N119-L119)*IF(N119&gt;L119,time2+time*(VLOOKUP(J119,List!$E$35:$F$37,2,)),time*(1-(VLOOKUP(J119,List!$E$35:$F$37,2,))))</f>
        <v>0</v>
      </c>
      <c r="S119" s="1375">
        <f>Q119-P119</f>
        <v>0</v>
      </c>
      <c r="Y119" s="1914">
        <f>MIN(L119,M119)*time+ABS(M119-L119)*IF(M119&gt;L119,time*(VLOOKUP(H119,List!$E$35:$F$37,2,)),time*(1-(VLOOKUP(H119,List!$E$35:$F$37,2,))))</f>
        <v>0</v>
      </c>
      <c r="Z119" s="1914">
        <f>MIN(L119,N119)*time+ABS(N119-L119)*IF(N119&gt;L119,time*(VLOOKUP(J119,List!$E$35:$F$37,2,)),time*(1-(VLOOKUP(J119,List!$E$35:$F$37,2,))))</f>
        <v>0</v>
      </c>
    </row>
    <row r="123" spans="1:26">
      <c r="A123" s="2427"/>
      <c r="B123" s="1534" t="s">
        <v>5579</v>
      </c>
      <c r="C123" s="1540"/>
      <c r="D123" s="1534"/>
      <c r="E123" s="1534"/>
      <c r="F123" s="1534"/>
      <c r="G123" s="1534"/>
      <c r="H123" s="1534"/>
      <c r="I123" s="1534"/>
      <c r="J123" s="1534"/>
      <c r="K123" s="1534"/>
      <c r="L123" s="1534"/>
      <c r="M123" s="1534"/>
      <c r="N123" s="1534"/>
      <c r="O123" s="1534"/>
      <c r="P123" s="1534"/>
      <c r="Q123" s="1534"/>
      <c r="R123" s="1534"/>
      <c r="S123" s="1534"/>
    </row>
    <row r="124" spans="1:26">
      <c r="A124" s="2427"/>
    </row>
    <row r="125" spans="1:26" ht="13.5" thickBot="1">
      <c r="A125" s="2427"/>
      <c r="B125" s="221"/>
      <c r="C125" s="3859" t="s">
        <v>5582</v>
      </c>
      <c r="D125" s="3860"/>
      <c r="E125" s="3861"/>
      <c r="F125" s="1537" t="s">
        <v>277</v>
      </c>
      <c r="G125" s="135"/>
      <c r="H125" s="135"/>
      <c r="I125" s="135"/>
      <c r="J125" s="28"/>
      <c r="L125" s="3855" t="s">
        <v>336</v>
      </c>
      <c r="M125" s="3855"/>
      <c r="N125" s="3855"/>
      <c r="P125" s="1535" t="s">
        <v>2</v>
      </c>
      <c r="Q125" s="1535"/>
      <c r="S125" s="1535"/>
      <c r="V125" s="1177" t="s">
        <v>261</v>
      </c>
    </row>
    <row r="126" spans="1:26">
      <c r="A126" s="2427"/>
      <c r="B126" s="171" t="s">
        <v>234</v>
      </c>
      <c r="C126" s="1539" t="s">
        <v>337</v>
      </c>
      <c r="D126" s="1538" t="s">
        <v>338</v>
      </c>
      <c r="E126" s="846" t="s">
        <v>339</v>
      </c>
      <c r="F126" s="124"/>
      <c r="G126" s="124"/>
      <c r="H126" s="124"/>
      <c r="I126" s="124"/>
      <c r="J126" s="2030"/>
      <c r="L126" s="1399" t="s">
        <v>340</v>
      </c>
      <c r="M126" s="3087" t="s">
        <v>341</v>
      </c>
      <c r="N126" s="3087"/>
      <c r="P126" s="3851" t="s">
        <v>342</v>
      </c>
      <c r="Q126" s="3851"/>
      <c r="S126" s="3086" t="s">
        <v>343</v>
      </c>
      <c r="V126" s="1018" t="s">
        <v>259</v>
      </c>
      <c r="Y126" s="1872" t="s">
        <v>844</v>
      </c>
      <c r="Z126" s="1902"/>
    </row>
    <row r="127" spans="1:26" ht="13.5" thickBot="1">
      <c r="A127" s="2427"/>
      <c r="B127" s="172"/>
      <c r="C127" s="114"/>
      <c r="D127" s="124"/>
      <c r="E127" s="2030"/>
      <c r="F127" s="630" t="s">
        <v>340</v>
      </c>
      <c r="G127" s="3852" t="s">
        <v>673</v>
      </c>
      <c r="H127" s="3852"/>
      <c r="I127" s="3853" t="s">
        <v>672</v>
      </c>
      <c r="J127" s="3854"/>
      <c r="L127" s="1399"/>
      <c r="M127" s="1367" t="s">
        <v>674</v>
      </c>
      <c r="N127" s="1368" t="s">
        <v>675</v>
      </c>
      <c r="P127" s="1367" t="s">
        <v>674</v>
      </c>
      <c r="Q127" s="1368" t="s">
        <v>675</v>
      </c>
      <c r="S127" s="1370"/>
      <c r="V127" s="908" t="s">
        <v>260</v>
      </c>
      <c r="Y127" s="1913" t="s">
        <v>674</v>
      </c>
      <c r="Z127" s="1913" t="s">
        <v>675</v>
      </c>
    </row>
    <row r="128" spans="1:26" ht="13.5" thickBot="1">
      <c r="A128" s="2427"/>
      <c r="B128" s="219" t="s">
        <v>1610</v>
      </c>
      <c r="C128" s="3098">
        <f>VLOOKUP(clim_full,' IPCC'!$A$969:$C$980,3,)</f>
        <v>0</v>
      </c>
      <c r="D128" s="2298">
        <f>IF('5. Management'!H241="",'5. Management'!F241,'5. Management'!H241)</f>
        <v>0</v>
      </c>
      <c r="E128" s="857" t="s">
        <v>354</v>
      </c>
      <c r="F128" s="1941">
        <f>'5. Management'!F60</f>
        <v>0</v>
      </c>
      <c r="G128" s="2003">
        <f>'5. Management'!H60</f>
        <v>0</v>
      </c>
      <c r="H128" s="2340" t="str">
        <f>VLOOKUP('5. Management'!I60,List!D$35:E$37,2,)</f>
        <v>Linear</v>
      </c>
      <c r="I128" s="1942">
        <f>'5. Management'!J60</f>
        <v>0</v>
      </c>
      <c r="J128" s="2340" t="str">
        <f>VLOOKUP('5. Management'!K60,List!D$35:E$37,2,)</f>
        <v>Linear</v>
      </c>
      <c r="L128" s="1893">
        <f>IF($E128="YES",$C128,$D128)*F128*44/12</f>
        <v>0</v>
      </c>
      <c r="M128" s="1893">
        <f>IF($E128="YES",$C128,$D128)*G128*44/12</f>
        <v>0</v>
      </c>
      <c r="N128" s="1893">
        <f>IF($E128="YES",$C128,$D128)*I128*44/12</f>
        <v>0</v>
      </c>
      <c r="P128" s="1893">
        <f>MIN(L128,M128)*time_tot+ABS(M128-L128)*IF(M128&gt;L128,time2+time*(VLOOKUP(H128,List!$E$35:$F$37,2,)),time*(1-(VLOOKUP(H128,List!$E$35:$F$37,2,))))</f>
        <v>0</v>
      </c>
      <c r="Q128" s="1893">
        <f>MIN(L128,N128)*time_tot+ABS(N128-L128)*IF(N128&gt;L128,time2+time*(VLOOKUP(J128,List!$E$35:$F$37,2,)),time*(1-(VLOOKUP(J128,List!$E$35:$F$37,2,))))</f>
        <v>0</v>
      </c>
      <c r="S128" s="1375">
        <f>Q128-P128</f>
        <v>0</v>
      </c>
      <c r="U128" s="221" t="str">
        <f>B128</f>
        <v>Nutrient-poor peat</v>
      </c>
      <c r="V128" s="1600">
        <f>MAX(F128:G128,I128)</f>
        <v>0</v>
      </c>
      <c r="Y128" s="1914">
        <f>MIN(L128,M128)*time+ABS(M128-L128)*IF(M128&gt;L128,time*(VLOOKUP(H128,List!$E$35:$F$37,2,)),time*(1-(VLOOKUP(H128,List!$E$35:$F$37,2,))))</f>
        <v>0</v>
      </c>
      <c r="Z128" s="1914">
        <f>MIN(L128,N128)*time+ABS(N128-L128)*IF(N128&gt;L128,time*(VLOOKUP(J128,List!$E$35:$F$37,2,)),time*(1-(VLOOKUP(J128,List!$E$35:$F$37,2,))))</f>
        <v>0</v>
      </c>
    </row>
    <row r="129" spans="1:26">
      <c r="A129" s="2427"/>
      <c r="B129" s="172" t="s">
        <v>230</v>
      </c>
      <c r="C129" s="3098">
        <f>VLOOKUP(clim_full,' IPCC'!$A$969:$C$980,2,)</f>
        <v>0</v>
      </c>
      <c r="D129" s="2298">
        <f>IF('5. Management'!H242="",'5. Management'!F242,'5. Management'!H242)</f>
        <v>0</v>
      </c>
      <c r="E129" s="857" t="s">
        <v>354</v>
      </c>
      <c r="F129" s="1941">
        <f>'5. Management'!F61</f>
        <v>0</v>
      </c>
      <c r="G129" s="2003">
        <f>'5. Management'!H61</f>
        <v>0</v>
      </c>
      <c r="H129" s="2340" t="str">
        <f>VLOOKUP('5. Management'!I61,List!D$35:E$37,2,)</f>
        <v>Linear</v>
      </c>
      <c r="I129" s="1942">
        <f>'5. Management'!J61</f>
        <v>0</v>
      </c>
      <c r="J129" s="2340" t="str">
        <f>VLOOKUP('5. Management'!K61,List!D$35:E$37,2,)</f>
        <v>Linear</v>
      </c>
      <c r="L129" s="1893">
        <f>IF($E129="YES",$C129,$D129)*F129*44/12</f>
        <v>0</v>
      </c>
      <c r="M129" s="1893">
        <f>IF($E129="YES",$C129,$D129)*G129*44/12</f>
        <v>0</v>
      </c>
      <c r="N129" s="1893">
        <f>IF($E129="YES",$C129,$D129)*I129*44/12</f>
        <v>0</v>
      </c>
      <c r="P129" s="1893">
        <f>MIN(L129,M129)*time_tot+ABS(M129-L129)*IF(M129&gt;L129,time2+time*(VLOOKUP(H129,List!$E$35:$F$37,2,)),time*(1-(VLOOKUP(H129,List!$E$35:$F$37,2,))))</f>
        <v>0</v>
      </c>
      <c r="Q129" s="1893">
        <f>MIN(L129,N129)*time_tot+ABS(N129-L129)*IF(N129&gt;L129,time2+time*(VLOOKUP(J129,List!$E$35:$F$37,2,)),time*(1-(VLOOKUP(J129,List!$E$35:$F$37,2,))))</f>
        <v>0</v>
      </c>
      <c r="S129" s="1375">
        <f>Q129-P129</f>
        <v>0</v>
      </c>
      <c r="U129" s="172" t="str">
        <f>B129</f>
        <v>Nutrient Rich</v>
      </c>
      <c r="V129" s="1601">
        <f>MAX(F129:G129,I129)</f>
        <v>0</v>
      </c>
      <c r="Y129" s="1914">
        <f>MIN(L129,M129)*time+ABS(M129-L129)*IF(M129&gt;L129,time*(VLOOKUP(H129,List!$E$35:$F$37,2,)),time*(1-(VLOOKUP(H129,List!$E$35:$F$37,2,))))</f>
        <v>0</v>
      </c>
      <c r="Z129" s="1914">
        <f>MIN(L129,N129)*time+ABS(N129-L129)*IF(N129&gt;L129,time*(VLOOKUP(J129,List!$E$35:$F$37,2,)),time*(1-(VLOOKUP(J129,List!$E$35:$F$37,2,))))</f>
        <v>0</v>
      </c>
    </row>
    <row r="131" spans="1:26">
      <c r="A131" s="2427"/>
      <c r="B131" s="1534" t="s">
        <v>5590</v>
      </c>
      <c r="C131" s="1540"/>
      <c r="D131" s="1534"/>
      <c r="E131" s="1534"/>
      <c r="F131" s="1534"/>
      <c r="G131" s="1534"/>
      <c r="H131" s="1534"/>
      <c r="I131" s="1534"/>
      <c r="J131" s="1534"/>
      <c r="K131" s="1534"/>
      <c r="L131" s="1534"/>
      <c r="M131" s="1534"/>
      <c r="N131" s="1534"/>
      <c r="O131" s="1534"/>
      <c r="P131" s="1534"/>
      <c r="Q131" s="1534"/>
      <c r="R131" s="1534"/>
      <c r="S131" s="1534"/>
    </row>
    <row r="132" spans="1:26">
      <c r="A132" s="2427"/>
    </row>
    <row r="133" spans="1:26" ht="13.5" thickBot="1">
      <c r="A133" s="2427"/>
      <c r="B133" s="221"/>
      <c r="C133" s="3859" t="s">
        <v>5582</v>
      </c>
      <c r="D133" s="3860"/>
      <c r="E133" s="3861"/>
      <c r="F133" s="1537" t="s">
        <v>277</v>
      </c>
      <c r="G133" s="135"/>
      <c r="H133" s="135"/>
      <c r="I133" s="135"/>
      <c r="J133" s="28"/>
      <c r="L133" s="3855" t="s">
        <v>336</v>
      </c>
      <c r="M133" s="3855"/>
      <c r="N133" s="3855"/>
      <c r="P133" s="1535" t="s">
        <v>2</v>
      </c>
      <c r="Q133" s="1535"/>
      <c r="S133" s="1535"/>
    </row>
    <row r="134" spans="1:26">
      <c r="A134" s="2427"/>
      <c r="B134" s="171" t="s">
        <v>234</v>
      </c>
      <c r="C134" s="1539" t="s">
        <v>337</v>
      </c>
      <c r="D134" s="1538" t="s">
        <v>338</v>
      </c>
      <c r="E134" s="846" t="s">
        <v>339</v>
      </c>
      <c r="F134" s="124"/>
      <c r="G134" s="124"/>
      <c r="H134" s="124"/>
      <c r="I134" s="124"/>
      <c r="J134" s="2030"/>
      <c r="L134" s="1399" t="s">
        <v>340</v>
      </c>
      <c r="M134" s="3087" t="s">
        <v>341</v>
      </c>
      <c r="N134" s="3087"/>
      <c r="P134" s="3851" t="s">
        <v>342</v>
      </c>
      <c r="Q134" s="3851"/>
      <c r="S134" s="3086" t="s">
        <v>343</v>
      </c>
      <c r="Y134" s="1872" t="s">
        <v>844</v>
      </c>
      <c r="Z134" s="1902"/>
    </row>
    <row r="135" spans="1:26" ht="13.5" thickBot="1">
      <c r="A135" s="2427"/>
      <c r="B135" s="172"/>
      <c r="C135" s="114"/>
      <c r="D135" s="124"/>
      <c r="E135" s="2030"/>
      <c r="F135" s="630" t="s">
        <v>340</v>
      </c>
      <c r="G135" s="3852" t="s">
        <v>673</v>
      </c>
      <c r="H135" s="3852"/>
      <c r="I135" s="3853" t="s">
        <v>672</v>
      </c>
      <c r="J135" s="3854"/>
      <c r="L135" s="1399"/>
      <c r="M135" s="1367" t="s">
        <v>674</v>
      </c>
      <c r="N135" s="1368" t="s">
        <v>675</v>
      </c>
      <c r="P135" s="1367" t="s">
        <v>674</v>
      </c>
      <c r="Q135" s="1368" t="s">
        <v>675</v>
      </c>
      <c r="S135" s="1370"/>
      <c r="Y135" s="1913" t="s">
        <v>674</v>
      </c>
      <c r="Z135" s="1913" t="s">
        <v>675</v>
      </c>
    </row>
    <row r="136" spans="1:26" ht="13.5" thickBot="1">
      <c r="A136" s="2427"/>
      <c r="B136" s="219" t="s">
        <v>1610</v>
      </c>
      <c r="C136" s="3098">
        <f>VLOOKUP(clim_full,' IPCC'!$A$984:$C$995,3,)</f>
        <v>0</v>
      </c>
      <c r="D136" s="3021">
        <f>IF('5. Management'!AA241="",'5. Management'!Y241,'5. Management'!AA241)</f>
        <v>0</v>
      </c>
      <c r="E136" s="857" t="s">
        <v>354</v>
      </c>
      <c r="F136" s="3099">
        <f>F128</f>
        <v>0</v>
      </c>
      <c r="G136" s="3099">
        <f t="shared" ref="G136:J137" si="28">G128</f>
        <v>0</v>
      </c>
      <c r="H136" s="3099" t="str">
        <f t="shared" si="28"/>
        <v>Linear</v>
      </c>
      <c r="I136" s="3099">
        <f t="shared" si="28"/>
        <v>0</v>
      </c>
      <c r="J136" s="3099" t="str">
        <f t="shared" si="28"/>
        <v>Linear</v>
      </c>
      <c r="L136" s="1893">
        <f>IF($E136="YES",$C136,$D136)*F136*44/12</f>
        <v>0</v>
      </c>
      <c r="M136" s="1893">
        <f>IF($E136="YES",$C136,$D136)*G136*44/12</f>
        <v>0</v>
      </c>
      <c r="N136" s="1893">
        <f>IF($E136="YES",$C136,$D136)*I136*44/12</f>
        <v>0</v>
      </c>
      <c r="P136" s="1893">
        <f>MIN(L136,M136)*time_tot+ABS(M136-L136)*IF(M136&gt;L136,time2+time*(VLOOKUP(H136,List!$E$35:$F$37,2,)),time*(1-(VLOOKUP(H136,List!$E$35:$F$37,2,))))</f>
        <v>0</v>
      </c>
      <c r="Q136" s="1893">
        <f>MIN(L136,N136)*time_tot+ABS(N136-L136)*IF(N136&gt;L136,time2+time*(VLOOKUP(J136,List!$E$35:$F$37,2,)),time*(1-(VLOOKUP(J136,List!$E$35:$F$37,2,))))</f>
        <v>0</v>
      </c>
      <c r="S136" s="1375">
        <f>Q136-P136</f>
        <v>0</v>
      </c>
      <c r="Y136" s="1914">
        <f>MIN(L136,M136)*time+ABS(M136-L136)*IF(M136&gt;L136,time*(VLOOKUP(H136,List!$E$35:$F$37,2,)),time*(1-(VLOOKUP(H136,List!$E$35:$F$37,2,))))</f>
        <v>0</v>
      </c>
      <c r="Z136" s="1914">
        <f>MIN(L136,N136)*time+ABS(N136-L136)*IF(N136&gt;L136,time*(VLOOKUP(J136,List!$E$35:$F$37,2,)),time*(1-(VLOOKUP(J136,List!$E$35:$F$37,2,))))</f>
        <v>0</v>
      </c>
    </row>
    <row r="137" spans="1:26">
      <c r="A137" s="2427"/>
      <c r="B137" s="172" t="s">
        <v>230</v>
      </c>
      <c r="C137" s="3098">
        <f>VLOOKUP(clim_full,' IPCC'!$A$984:$C$995,2,)</f>
        <v>0</v>
      </c>
      <c r="D137" s="3021">
        <f>IF('5. Management'!AA242="",'5. Management'!Y242,'5. Management'!AA242)</f>
        <v>0</v>
      </c>
      <c r="E137" s="857" t="s">
        <v>354</v>
      </c>
      <c r="F137" s="3099">
        <f>F129</f>
        <v>0</v>
      </c>
      <c r="G137" s="3099">
        <f t="shared" si="28"/>
        <v>0</v>
      </c>
      <c r="H137" s="3099" t="str">
        <f t="shared" si="28"/>
        <v>Linear</v>
      </c>
      <c r="I137" s="3099">
        <f t="shared" si="28"/>
        <v>0</v>
      </c>
      <c r="J137" s="3099" t="str">
        <f t="shared" si="28"/>
        <v>Linear</v>
      </c>
      <c r="L137" s="1893">
        <f>IF($E137="YES",$C137,$D137)*F137*44/12</f>
        <v>0</v>
      </c>
      <c r="M137" s="1893">
        <f>IF($E137="YES",$C137,$D137)*G137*44/12</f>
        <v>0</v>
      </c>
      <c r="N137" s="1893">
        <f>IF($E137="YES",$C137,$D137)*I137*44/12</f>
        <v>0</v>
      </c>
      <c r="P137" s="1893">
        <f>MIN(L137,M137)*time_tot+ABS(M137-L137)*IF(M137&gt;L137,time2+time*(VLOOKUP(H137,List!$E$35:$F$37,2,)),time*(1-(VLOOKUP(H137,List!$E$35:$F$37,2,))))</f>
        <v>0</v>
      </c>
      <c r="Q137" s="1893">
        <f>MIN(L137,N137)*time_tot+ABS(N137-L137)*IF(N137&gt;L137,time2+time*(VLOOKUP(J137,List!$E$35:$F$37,2,)),time*(1-(VLOOKUP(J137,List!$E$35:$F$37,2,))))</f>
        <v>0</v>
      </c>
      <c r="S137" s="1375">
        <f>Q137-P137</f>
        <v>0</v>
      </c>
      <c r="Y137" s="1914">
        <f>MIN(L137,M137)*time+ABS(M137-L137)*IF(M137&gt;L137,time*(VLOOKUP(H137,List!$E$35:$F$37,2,)),time*(1-(VLOOKUP(H137,List!$E$35:$F$37,2,))))</f>
        <v>0</v>
      </c>
      <c r="Z137" s="1914">
        <f>MIN(L137,N137)*time+ABS(N137-L137)*IF(N137&gt;L137,time*(VLOOKUP(J137,List!$E$35:$F$37,2,)),time*(1-(VLOOKUP(J137,List!$E$35:$F$37,2,))))</f>
        <v>0</v>
      </c>
    </row>
    <row r="139" spans="1:26">
      <c r="A139" s="2427"/>
      <c r="B139" s="1534" t="s">
        <v>5594</v>
      </c>
      <c r="C139" s="1540"/>
      <c r="D139" s="1534"/>
      <c r="E139" s="1534"/>
      <c r="F139" s="1534"/>
      <c r="G139" s="1534"/>
      <c r="H139" s="1534"/>
      <c r="I139" s="1534"/>
      <c r="J139" s="1534"/>
      <c r="K139" s="1534"/>
      <c r="L139" s="1534"/>
      <c r="M139" s="1534"/>
      <c r="N139" s="1534"/>
      <c r="O139" s="1534"/>
      <c r="P139" s="1534"/>
      <c r="Q139" s="1534"/>
      <c r="R139" s="1534"/>
      <c r="S139" s="1534"/>
    </row>
    <row r="140" spans="1:26">
      <c r="A140" s="2427"/>
    </row>
    <row r="141" spans="1:26" ht="13.5" thickBot="1">
      <c r="A141" s="2427"/>
      <c r="B141" s="221"/>
      <c r="C141" s="3845" t="s">
        <v>5599</v>
      </c>
      <c r="D141" s="3860"/>
      <c r="E141" s="3861"/>
      <c r="F141" s="1537" t="s">
        <v>277</v>
      </c>
      <c r="G141" s="135"/>
      <c r="H141" s="135"/>
      <c r="I141" s="135"/>
      <c r="J141" s="28"/>
      <c r="L141" s="3855" t="s">
        <v>336</v>
      </c>
      <c r="M141" s="3855"/>
      <c r="N141" s="3855"/>
      <c r="P141" s="1535" t="s">
        <v>2</v>
      </c>
      <c r="Q141" s="1535"/>
      <c r="S141" s="1535"/>
    </row>
    <row r="142" spans="1:26">
      <c r="A142" s="2427"/>
      <c r="B142" s="171" t="s">
        <v>234</v>
      </c>
      <c r="C142" s="1539" t="s">
        <v>337</v>
      </c>
      <c r="D142" s="1538" t="s">
        <v>338</v>
      </c>
      <c r="E142" s="846" t="s">
        <v>339</v>
      </c>
      <c r="F142" s="124"/>
      <c r="G142" s="124"/>
      <c r="H142" s="124"/>
      <c r="I142" s="124"/>
      <c r="J142" s="2030"/>
      <c r="L142" s="1399" t="s">
        <v>340</v>
      </c>
      <c r="M142" s="3087" t="s">
        <v>341</v>
      </c>
      <c r="N142" s="3087"/>
      <c r="P142" s="3851" t="s">
        <v>342</v>
      </c>
      <c r="Q142" s="3851"/>
      <c r="S142" s="3086" t="s">
        <v>343</v>
      </c>
      <c r="Y142" s="1872" t="s">
        <v>844</v>
      </c>
      <c r="Z142" s="1902"/>
    </row>
    <row r="143" spans="1:26" ht="13.5" thickBot="1">
      <c r="A143" s="2427"/>
      <c r="B143" s="172"/>
      <c r="C143" s="114"/>
      <c r="D143" s="124"/>
      <c r="E143" s="2030"/>
      <c r="F143" s="630" t="s">
        <v>340</v>
      </c>
      <c r="G143" s="3852" t="s">
        <v>673</v>
      </c>
      <c r="H143" s="3852"/>
      <c r="I143" s="3853" t="s">
        <v>672</v>
      </c>
      <c r="J143" s="3854"/>
      <c r="L143" s="1399"/>
      <c r="M143" s="1367" t="s">
        <v>674</v>
      </c>
      <c r="N143" s="1368" t="s">
        <v>675</v>
      </c>
      <c r="P143" s="1367" t="s">
        <v>674</v>
      </c>
      <c r="Q143" s="1368" t="s">
        <v>675</v>
      </c>
      <c r="S143" s="1370"/>
      <c r="Y143" s="1913" t="s">
        <v>674</v>
      </c>
      <c r="Z143" s="1913" t="s">
        <v>675</v>
      </c>
    </row>
    <row r="144" spans="1:26" ht="13.5" thickBot="1">
      <c r="A144" s="2427"/>
      <c r="B144" s="219" t="s">
        <v>1610</v>
      </c>
      <c r="C144" s="3101">
        <f>VLOOKUP(clim_full,' IPCC'!$A$999:$C$1010,3,)</f>
        <v>0</v>
      </c>
      <c r="D144" s="3102">
        <f>IF('5. Management'!M241="",'5. Management'!L241,'5. Management'!M241)</f>
        <v>0</v>
      </c>
      <c r="E144" s="857" t="s">
        <v>354</v>
      </c>
      <c r="F144" s="3099">
        <f>F136</f>
        <v>0</v>
      </c>
      <c r="G144" s="3099">
        <f t="shared" ref="G144:J144" si="29">G136</f>
        <v>0</v>
      </c>
      <c r="H144" s="3099" t="str">
        <f t="shared" si="29"/>
        <v>Linear</v>
      </c>
      <c r="I144" s="3099">
        <f t="shared" si="29"/>
        <v>0</v>
      </c>
      <c r="J144" s="3099" t="str">
        <f t="shared" si="29"/>
        <v>Linear</v>
      </c>
      <c r="L144" s="1893">
        <f>IF($E144="YES",$C144,$D144)*F144*methane*(16/12)/1000</f>
        <v>0</v>
      </c>
      <c r="M144" s="1893">
        <f>IF($E144="YES",$C144,$D144)*G144*methane*(16/12)/1000</f>
        <v>0</v>
      </c>
      <c r="N144" s="1893">
        <f>IF($E144="YES",$C144,$D144)*I144*methane*(16/12)/1000</f>
        <v>0</v>
      </c>
      <c r="P144" s="1893">
        <f>MIN(L144,M144)*time_tot+ABS(M144-L144)*IF(M144&gt;L144,time2+time*(VLOOKUP(H144,List!$E$35:$F$37,2,)),time*(1-(VLOOKUP(H144,List!$E$35:$F$37,2,))))</f>
        <v>0</v>
      </c>
      <c r="Q144" s="1893">
        <f>MIN(L144,N144)*time_tot+ABS(N144-L144)*IF(N144&gt;L144,time2+time*(VLOOKUP(J144,List!$E$35:$F$37,2,)),time*(1-(VLOOKUP(J144,List!$E$35:$F$37,2,))))</f>
        <v>0</v>
      </c>
      <c r="S144" s="1375">
        <f>Q144-P144</f>
        <v>0</v>
      </c>
      <c r="Y144" s="1914">
        <f>MIN(L144,M144)*time+ABS(M144-L144)*IF(M144&gt;L144,time*(VLOOKUP(H144,List!$E$35:$F$37,2,)),time*(1-(VLOOKUP(H144,List!$E$35:$F$37,2,))))</f>
        <v>0</v>
      </c>
      <c r="Z144" s="1914">
        <f>MIN(L144,N144)*time+ABS(N144-L144)*IF(N144&gt;L144,time*(VLOOKUP(J144,List!$E$35:$F$37,2,)),time*(1-(VLOOKUP(J144,List!$E$35:$F$37,2,))))</f>
        <v>0</v>
      </c>
    </row>
    <row r="145" spans="1:26">
      <c r="A145" s="2427"/>
      <c r="B145" s="172" t="s">
        <v>230</v>
      </c>
      <c r="C145" s="3101">
        <f>VLOOKUP(clim_full,' IPCC'!$A$999:$C$1010,2,)</f>
        <v>0</v>
      </c>
      <c r="D145" s="3102">
        <f>IF('5. Management'!M242="",'5. Management'!L242,'5. Management'!M242)</f>
        <v>0</v>
      </c>
      <c r="E145" s="857" t="s">
        <v>354</v>
      </c>
      <c r="F145" s="3099">
        <f>F137</f>
        <v>0</v>
      </c>
      <c r="G145" s="3099">
        <f t="shared" ref="G145:J145" si="30">G137</f>
        <v>0</v>
      </c>
      <c r="H145" s="3099" t="str">
        <f t="shared" si="30"/>
        <v>Linear</v>
      </c>
      <c r="I145" s="3099">
        <f t="shared" si="30"/>
        <v>0</v>
      </c>
      <c r="J145" s="3099" t="str">
        <f t="shared" si="30"/>
        <v>Linear</v>
      </c>
      <c r="L145" s="1893">
        <f>IF($E145="YES",$C145,$D145)*F145*methane*(16/12)/1000</f>
        <v>0</v>
      </c>
      <c r="M145" s="1893">
        <f>IF($E145="YES",$C145,$D145)*G145*methane*(16/12)/1000</f>
        <v>0</v>
      </c>
      <c r="N145" s="1893">
        <f>IF($E145="YES",$C145,$D145)*I145*methane*(16/12)/1000</f>
        <v>0</v>
      </c>
      <c r="P145" s="1893">
        <f>MIN(L145,M145)*time_tot+ABS(M145-L145)*IF(M145&gt;L145,time2+time*(VLOOKUP(H145,List!$E$35:$F$37,2,)),time*(1-(VLOOKUP(H145,List!$E$35:$F$37,2,))))</f>
        <v>0</v>
      </c>
      <c r="Q145" s="1893">
        <f>MIN(L145,N145)*time_tot+ABS(N145-L145)*IF(N145&gt;L145,time2+time*(VLOOKUP(J145,List!$E$35:$F$37,2,)),time*(1-(VLOOKUP(J145,List!$E$35:$F$37,2,))))</f>
        <v>0</v>
      </c>
      <c r="S145" s="1375">
        <f>Q145-P145</f>
        <v>0</v>
      </c>
      <c r="Y145" s="1914">
        <f>MIN(L145,M145)*time+ABS(M145-L145)*IF(M145&gt;L145,time*(VLOOKUP(H145,List!$E$35:$F$37,2,)),time*(1-(VLOOKUP(H145,List!$E$35:$F$37,2,))))</f>
        <v>0</v>
      </c>
      <c r="Z145" s="1914">
        <f>MIN(L145,N145)*time+ABS(N145-L145)*IF(N145&gt;L145,time*(VLOOKUP(J145,List!$E$35:$F$37,2,)),time*(1-(VLOOKUP(J145,List!$E$35:$F$37,2,))))</f>
        <v>0</v>
      </c>
    </row>
    <row r="147" spans="1:26">
      <c r="A147" s="2427"/>
      <c r="B147" s="1534" t="s">
        <v>5600</v>
      </c>
      <c r="C147" s="1540"/>
      <c r="D147" s="1534"/>
      <c r="E147" s="1534"/>
      <c r="F147" s="1534"/>
      <c r="G147" s="1534"/>
      <c r="H147" s="1534"/>
      <c r="I147" s="1534"/>
      <c r="J147" s="1534"/>
      <c r="K147" s="1534"/>
      <c r="L147" s="1534"/>
      <c r="M147" s="1534"/>
      <c r="N147" s="1534"/>
      <c r="O147" s="1534"/>
      <c r="P147" s="1534"/>
      <c r="Q147" s="1534"/>
      <c r="R147" s="1534"/>
      <c r="S147" s="1534"/>
    </row>
    <row r="148" spans="1:26">
      <c r="A148" s="2427"/>
    </row>
    <row r="149" spans="1:26" ht="13.9" customHeight="1" thickBot="1">
      <c r="A149" s="2427"/>
      <c r="B149" s="221"/>
      <c r="C149" s="3845" t="s">
        <v>5601</v>
      </c>
      <c r="D149" s="3846"/>
      <c r="E149" s="3847"/>
      <c r="F149" s="1537" t="s">
        <v>277</v>
      </c>
      <c r="G149" s="135"/>
      <c r="H149" s="135"/>
      <c r="I149" s="135"/>
      <c r="J149" s="28"/>
      <c r="L149" s="3855" t="s">
        <v>336</v>
      </c>
      <c r="M149" s="3855"/>
      <c r="N149" s="3855"/>
      <c r="P149" s="1535" t="s">
        <v>2</v>
      </c>
      <c r="Q149" s="1535"/>
      <c r="S149" s="1535"/>
    </row>
    <row r="150" spans="1:26">
      <c r="A150" s="2427"/>
      <c r="B150" s="171" t="s">
        <v>234</v>
      </c>
      <c r="C150" s="1539" t="s">
        <v>337</v>
      </c>
      <c r="D150" s="1538" t="s">
        <v>338</v>
      </c>
      <c r="E150" s="846" t="s">
        <v>339</v>
      </c>
      <c r="F150" s="124"/>
      <c r="G150" s="124"/>
      <c r="H150" s="124"/>
      <c r="I150" s="124"/>
      <c r="J150" s="2030"/>
      <c r="L150" s="1399" t="s">
        <v>340</v>
      </c>
      <c r="M150" s="3087" t="s">
        <v>341</v>
      </c>
      <c r="N150" s="3087"/>
      <c r="P150" s="3844" t="s">
        <v>342</v>
      </c>
      <c r="Q150" s="3844"/>
      <c r="S150" s="3086" t="s">
        <v>343</v>
      </c>
      <c r="Y150" s="1872" t="s">
        <v>844</v>
      </c>
      <c r="Z150" s="1902"/>
    </row>
    <row r="151" spans="1:26" ht="13.5" thickBot="1">
      <c r="A151" s="2427"/>
      <c r="B151" s="172"/>
      <c r="C151" s="114"/>
      <c r="D151" s="124"/>
      <c r="E151" s="2030"/>
      <c r="F151" s="630" t="s">
        <v>340</v>
      </c>
      <c r="G151" s="3848" t="s">
        <v>673</v>
      </c>
      <c r="H151" s="3848"/>
      <c r="I151" s="3849" t="s">
        <v>672</v>
      </c>
      <c r="J151" s="3850"/>
      <c r="L151" s="1399"/>
      <c r="M151" s="1367" t="s">
        <v>674</v>
      </c>
      <c r="N151" s="1368" t="s">
        <v>675</v>
      </c>
      <c r="P151" s="1367" t="s">
        <v>674</v>
      </c>
      <c r="Q151" s="1368" t="s">
        <v>675</v>
      </c>
      <c r="S151" s="1370"/>
      <c r="Y151" s="1913" t="s">
        <v>674</v>
      </c>
      <c r="Z151" s="1913" t="s">
        <v>675</v>
      </c>
    </row>
    <row r="152" spans="1:26" ht="13.5" thickBot="1">
      <c r="A152" s="2427"/>
      <c r="B152" s="219" t="s">
        <v>1610</v>
      </c>
      <c r="C152" s="3101">
        <f>VLOOKUP(clim_full,' IPCC'!$A$1014:$C$1025,3,)</f>
        <v>0</v>
      </c>
      <c r="D152" s="3102">
        <f>IF('5. Management'!T241="",'5. Management'!R241,'5. Management'!T241)</f>
        <v>0</v>
      </c>
      <c r="E152" s="857" t="s">
        <v>354</v>
      </c>
      <c r="F152" s="3099">
        <f>F144</f>
        <v>0</v>
      </c>
      <c r="G152" s="3099">
        <f t="shared" ref="G152:J152" si="31">G144</f>
        <v>0</v>
      </c>
      <c r="H152" s="3099" t="str">
        <f t="shared" si="31"/>
        <v>Linear</v>
      </c>
      <c r="I152" s="3099">
        <f t="shared" si="31"/>
        <v>0</v>
      </c>
      <c r="J152" s="3099" t="str">
        <f t="shared" si="31"/>
        <v>Linear</v>
      </c>
      <c r="L152" s="1893">
        <f>IF($E152="YES",$C152,$D152)*F152*Nitrous*(44/28)/1000</f>
        <v>0</v>
      </c>
      <c r="M152" s="1893">
        <f>IF($E152="YES",$C152,$D152)*G152*Nitrous*(44/28)/1000</f>
        <v>0</v>
      </c>
      <c r="N152" s="1893">
        <f>IF($E152="YES",$C152,$D152)*I152*Nitrous*(44/28)/1000</f>
        <v>0</v>
      </c>
      <c r="P152" s="1893">
        <f>MIN(L152,M152)*time_tot+ABS(M152-L152)*IF(M152&gt;L152,time2+time*(VLOOKUP(H152,List!$E$35:$F$37,2,)),time*(1-(VLOOKUP(H152,List!$E$35:$F$37,2,))))</f>
        <v>0</v>
      </c>
      <c r="Q152" s="1893">
        <f>MIN(L152,N152)*time_tot+ABS(N152-L152)*IF(N152&gt;L152,time2+time*(VLOOKUP(J152,List!$E$35:$F$37,2,)),time*(1-(VLOOKUP(J152,List!$E$35:$F$37,2,))))</f>
        <v>0</v>
      </c>
      <c r="S152" s="1375">
        <f>Q152-P152</f>
        <v>0</v>
      </c>
      <c r="Y152" s="1914">
        <f>MIN(L152,M152)*time+ABS(M152-L152)*IF(M152&gt;L152,time*(VLOOKUP(H152,List!$E$35:$F$37,2,)),time*(1-(VLOOKUP(H152,List!$E$35:$F$37,2,))))</f>
        <v>0</v>
      </c>
      <c r="Z152" s="1914">
        <f>MIN(L152,N152)*time+ABS(N152-L152)*IF(N152&gt;L152,time*(VLOOKUP(J152,List!$E$35:$F$37,2,)),time*(1-(VLOOKUP(J152,List!$E$35:$F$37,2,))))</f>
        <v>0</v>
      </c>
    </row>
    <row r="153" spans="1:26">
      <c r="A153" s="2427"/>
      <c r="B153" s="172" t="s">
        <v>230</v>
      </c>
      <c r="C153" s="3101">
        <f>VLOOKUP(clim_full,' IPCC'!$A$1014:$C$1025,2,)</f>
        <v>0</v>
      </c>
      <c r="D153" s="3102">
        <f>IF('5. Management'!T242="",'5. Management'!R242,'5. Management'!T242)</f>
        <v>0</v>
      </c>
      <c r="E153" s="857" t="s">
        <v>354</v>
      </c>
      <c r="F153" s="3099">
        <f>F145</f>
        <v>0</v>
      </c>
      <c r="G153" s="3099">
        <f t="shared" ref="G153:J153" si="32">G145</f>
        <v>0</v>
      </c>
      <c r="H153" s="3099" t="str">
        <f t="shared" si="32"/>
        <v>Linear</v>
      </c>
      <c r="I153" s="3099">
        <f t="shared" si="32"/>
        <v>0</v>
      </c>
      <c r="J153" s="3099" t="str">
        <f t="shared" si="32"/>
        <v>Linear</v>
      </c>
      <c r="L153" s="1893">
        <f>IF($E153="YES",$C153,$D153)*F153*Nitrous*(44/28)/1000</f>
        <v>0</v>
      </c>
      <c r="M153" s="1893">
        <f>IF($E153="YES",$C153,$D153)*G153*Nitrous*(44/28)/1000</f>
        <v>0</v>
      </c>
      <c r="N153" s="1893">
        <f>IF($E153="YES",$C153,$D153)*I153*Nitrous*(44/28)/1000</f>
        <v>0</v>
      </c>
      <c r="P153" s="1893">
        <f>MIN(L153,M153)*time_tot+ABS(M153-L153)*IF(M153&gt;L153,time2+time*(VLOOKUP(H153,List!$E$35:$F$37,2,)),time*(1-(VLOOKUP(H153,List!$E$35:$F$37,2,))))</f>
        <v>0</v>
      </c>
      <c r="Q153" s="1893">
        <f>MIN(L153,N153)*time_tot+ABS(N153-L153)*IF(N153&gt;L153,time2+time*(VLOOKUP(J153,List!$E$35:$F$37,2,)),time*(1-(VLOOKUP(J153,List!$E$35:$F$37,2,))))</f>
        <v>0</v>
      </c>
      <c r="S153" s="1375">
        <f>Q153-P153</f>
        <v>0</v>
      </c>
      <c r="Y153" s="1914">
        <f>MIN(L153,M153)*time+ABS(M153-L153)*IF(M153&gt;L153,time*(VLOOKUP(H153,List!$E$35:$F$37,2,)),time*(1-(VLOOKUP(H153,List!$E$35:$F$37,2,))))</f>
        <v>0</v>
      </c>
      <c r="Z153" s="1914">
        <f>MIN(L153,N153)*time+ABS(N153-L153)*IF(N153&gt;L153,time*(VLOOKUP(J153,List!$E$35:$F$37,2,)),time*(1-(VLOOKUP(J153,List!$E$35:$F$37,2,))))</f>
        <v>0</v>
      </c>
    </row>
    <row r="155" spans="1:26">
      <c r="A155" s="2067"/>
      <c r="B155" s="1534" t="s">
        <v>5624</v>
      </c>
      <c r="C155" s="1534"/>
      <c r="D155" s="1534"/>
      <c r="E155" s="1534"/>
      <c r="F155" s="1534"/>
      <c r="G155" s="1534"/>
      <c r="H155" s="1534"/>
      <c r="I155" s="1534"/>
      <c r="J155" s="1534"/>
      <c r="K155" s="1534"/>
      <c r="L155" s="1534"/>
      <c r="M155" s="1534"/>
      <c r="N155" s="1534"/>
      <c r="O155" s="1534"/>
      <c r="P155" s="1534"/>
      <c r="Q155" s="1534"/>
      <c r="R155" s="1534"/>
      <c r="S155" s="1534"/>
    </row>
    <row r="156" spans="1:26">
      <c r="A156" s="2067"/>
      <c r="B156" s="15" t="s">
        <v>331</v>
      </c>
    </row>
    <row r="157" spans="1:26">
      <c r="A157" s="2067"/>
      <c r="B157" s="2138" t="s">
        <v>652</v>
      </c>
      <c r="C157" s="3845" t="s">
        <v>5629</v>
      </c>
      <c r="D157" s="3846"/>
      <c r="E157" s="3847"/>
      <c r="F157" s="3122" t="s">
        <v>5628</v>
      </c>
      <c r="G157" s="135"/>
      <c r="H157" s="135"/>
      <c r="I157" s="135"/>
      <c r="J157" s="28"/>
      <c r="P157" s="1535" t="s">
        <v>2</v>
      </c>
      <c r="Q157" s="1535"/>
      <c r="S157" s="1535"/>
      <c r="V157" s="1177" t="s">
        <v>261</v>
      </c>
    </row>
    <row r="158" spans="1:26">
      <c r="A158" s="2067"/>
      <c r="B158" s="2138"/>
      <c r="C158" s="1539" t="s">
        <v>337</v>
      </c>
      <c r="D158" s="1538" t="s">
        <v>338</v>
      </c>
      <c r="E158" s="846" t="s">
        <v>339</v>
      </c>
      <c r="F158" s="124"/>
      <c r="G158" s="124"/>
      <c r="H158" s="124"/>
      <c r="I158" s="124"/>
      <c r="J158" s="2030"/>
      <c r="M158" s="3042"/>
      <c r="P158" s="3844" t="s">
        <v>342</v>
      </c>
      <c r="Q158" s="3844"/>
      <c r="S158" s="3094" t="s">
        <v>343</v>
      </c>
      <c r="V158" s="1018" t="s">
        <v>258</v>
      </c>
      <c r="Y158" s="1872" t="s">
        <v>844</v>
      </c>
      <c r="Z158" s="1902"/>
    </row>
    <row r="159" spans="1:26" ht="13.5" thickBot="1">
      <c r="A159" s="2067"/>
      <c r="B159" s="2138"/>
      <c r="C159" s="114"/>
      <c r="D159" s="124"/>
      <c r="E159" s="2030"/>
      <c r="F159" s="630" t="s">
        <v>340</v>
      </c>
      <c r="G159" s="3848" t="s">
        <v>673</v>
      </c>
      <c r="H159" s="3848"/>
      <c r="I159" s="3849" t="s">
        <v>672</v>
      </c>
      <c r="J159" s="3850"/>
      <c r="M159" s="3042"/>
      <c r="P159" s="1367" t="s">
        <v>674</v>
      </c>
      <c r="Q159" s="1368" t="s">
        <v>675</v>
      </c>
      <c r="S159" s="1370"/>
      <c r="V159" s="1018" t="s">
        <v>260</v>
      </c>
      <c r="Y159" s="1913" t="s">
        <v>674</v>
      </c>
      <c r="Z159" s="1913" t="s">
        <v>675</v>
      </c>
    </row>
    <row r="160" spans="1:26" ht="13.5" thickBot="1">
      <c r="A160" s="2067"/>
      <c r="B160" s="2138" t="str">
        <f>'5. Management'!C247</f>
        <v>Wildfire (drained peat)</v>
      </c>
      <c r="C160" s="3101">
        <f>VLOOKUP(clim_full,' IPCC'!$A$1029:$D$1040,2,)</f>
        <v>0</v>
      </c>
      <c r="D160" s="3125">
        <f>IF('5. Management'!H247="",'5. Management'!F247,'5. Management'!H247)</f>
        <v>0</v>
      </c>
      <c r="E160" s="857" t="s">
        <v>354</v>
      </c>
      <c r="F160" s="1941">
        <f>'5. Management'!F72*$D184</f>
        <v>0</v>
      </c>
      <c r="G160" s="2003">
        <f>'5. Management'!H72*$D184</f>
        <v>0</v>
      </c>
      <c r="H160" s="2340" t="str">
        <f>VLOOKUP('5. Management'!I72,List!D$35:E$37,2,)</f>
        <v>Linear</v>
      </c>
      <c r="I160" s="1942">
        <f>'5. Management'!J72*$D184</f>
        <v>0</v>
      </c>
      <c r="J160" s="2340" t="str">
        <f>VLOOKUP('5. Management'!K72,List!D$35:E$37,2,)</f>
        <v>Linear</v>
      </c>
      <c r="M160" s="3042"/>
      <c r="P160" s="3123">
        <f>IF(F184&gt;time_tot,0,MIN(F160,G160)*time_tot+ABS(G160-F160)*IF(G160&gt;F160,time2+time*VLOOKUP(H160,List!$E$35:$F$37,2,),time*(1-VLOOKUP(H160,List!$E$35:$F$37,2,))))*(1/F184)*(G184/100)*(D160/1000)</f>
        <v>0</v>
      </c>
      <c r="Q160" s="3123">
        <f>IF(I184&gt;time_tot,0,MIN(F160,I160)*time_tot+ABS(I160-F160)*IF(I160&gt;F160,time2+time*VLOOKUP(J160,List!$E$35:$F$37,2,),time*(1-VLOOKUP(J160,List!$E$35:$F$37,2,))))*(1/I184)*(J184/100)*(D160/1000)</f>
        <v>0</v>
      </c>
      <c r="S160" s="1375">
        <f>Q160-P160</f>
        <v>0</v>
      </c>
      <c r="U160" s="221" t="str">
        <f>B160</f>
        <v>Wildfire (drained peat)</v>
      </c>
      <c r="V160" s="3132" t="s">
        <v>5635</v>
      </c>
      <c r="Y160" s="1914">
        <f>IF(F184&gt;time_tot,0,MIN(F160,G160)*time+ABS(G160-F160)*IF(G160&gt;F160,0+time*VLOOKUP(H160,List!$E$35:$F$37,2,),time*(1-VLOOKUP(H160,List!$E$35:$F$37,2,))))*(1/F184)*(G184/100)*(D160/1000)</f>
        <v>0</v>
      </c>
      <c r="Z160" s="1914">
        <f>IF(I184&gt;time_tot,0,MIN(F160,I160)*time+ABS(I160-F160)*IF(I160&gt;F160,0+time*VLOOKUP(J160,List!$E$35:$F$37,2,),time*(1-VLOOKUP(J160,List!$E$35:$F$37,2,))))*(1/I184)*(J184/100)*(D160/1000)</f>
        <v>0</v>
      </c>
    </row>
    <row r="161" spans="1:26" ht="13.5" thickBot="1">
      <c r="A161" s="2067"/>
      <c r="B161" s="2138" t="str">
        <f>'5. Management'!C248</f>
        <v>Wildfire (undrained peat)</v>
      </c>
      <c r="C161" s="3101">
        <f>VLOOKUP(clim_full,' IPCC'!$A$1029:$D$1040,2,)</f>
        <v>0</v>
      </c>
      <c r="D161" s="3125">
        <f>IF('5. Management'!H248="",'5. Management'!F248,'5. Management'!H248)</f>
        <v>0</v>
      </c>
      <c r="E161" s="857" t="s">
        <v>354</v>
      </c>
      <c r="F161" s="1941">
        <f>'5. Management'!F73*$D185</f>
        <v>0</v>
      </c>
      <c r="G161" s="2003">
        <f>'5. Management'!H73*$D185</f>
        <v>0</v>
      </c>
      <c r="H161" s="2340" t="str">
        <f>VLOOKUP('5. Management'!I73,List!D$35:E$37,2,)</f>
        <v>Linear</v>
      </c>
      <c r="I161" s="1942">
        <f>'5. Management'!J73*$D185</f>
        <v>0</v>
      </c>
      <c r="J161" s="2340" t="str">
        <f>VLOOKUP('5. Management'!K73,List!D$35:E$37,2,)</f>
        <v>Linear</v>
      </c>
      <c r="P161" s="3123">
        <f>IF(F185&gt;time_tot,0,MIN(F161,G161)*time_tot+ABS(G161-F161)*IF(G161&gt;F161,time2+time*VLOOKUP(H161,List!$E$35:$F$37,2,),time*(1-VLOOKUP(H161,List!$E$35:$F$37,2,))))*(1/F185)*(G185/100)*(D161/1000)</f>
        <v>0</v>
      </c>
      <c r="Q161" s="3123">
        <f>IF(I185&gt;time_tot,0,MIN(F161,I161)*time_tot+ABS(I161-F161)*IF(I161&gt;F161,time2+time*VLOOKUP(J161,List!$E$35:$F$37,2,),time*(1-VLOOKUP(J161,List!$E$35:$F$37,2,))))*(1/I185)*(J185/100)*(D161/1000)</f>
        <v>0</v>
      </c>
      <c r="S161" s="1375">
        <f>Q161-P161</f>
        <v>0</v>
      </c>
      <c r="U161" s="171" t="str">
        <f>B161</f>
        <v>Wildfire (undrained peat)</v>
      </c>
      <c r="V161" s="1597">
        <f>MAX('5. Management'!F73,'5. Management'!H73,'5. Management'!J73)</f>
        <v>0</v>
      </c>
      <c r="Y161" s="1914">
        <f>IF(F185&gt;time_tot,0,MIN(F161,G161)*time+ABS(G161-F161)*IF(G161&gt;F161,0+time*VLOOKUP(H161,List!$E$35:$F$37,2,),time*(1-VLOOKUP(H161,List!$E$35:$F$37,2,))))*(1/F185)*(G185/100)*(D161/1000)</f>
        <v>0</v>
      </c>
      <c r="Z161" s="1914">
        <f>IF(I185&gt;time_tot,0,MIN(F161,I161)*time+ABS(I161-F161)*IF(I161&gt;F161,0+time*VLOOKUP(J161,List!$E$35:$F$37,2,),time*(1-VLOOKUP(J161,List!$E$35:$F$37,2,))))*(1/I185)*(J185/100)*(D161/1000)</f>
        <v>0</v>
      </c>
    </row>
    <row r="162" spans="1:26">
      <c r="A162" s="2067"/>
      <c r="B162" s="2138" t="str">
        <f>'5. Management'!C249</f>
        <v>Prescribed fire</v>
      </c>
      <c r="C162" s="3101">
        <f>VLOOKUP(clim_full,' IPCC'!$A$1029:$D$1040,2,)</f>
        <v>0</v>
      </c>
      <c r="D162" s="3125">
        <f>IF('5. Management'!H249="",'5. Management'!F249,'5. Management'!H249)</f>
        <v>0</v>
      </c>
      <c r="E162" s="857" t="s">
        <v>354</v>
      </c>
      <c r="F162" s="1941">
        <f>'5. Management'!F74*$D186</f>
        <v>0</v>
      </c>
      <c r="G162" s="2003">
        <f>'5. Management'!H74*$D186</f>
        <v>0</v>
      </c>
      <c r="H162" s="2340" t="str">
        <f>VLOOKUP('5. Management'!I74,List!D$35:E$37,2,)</f>
        <v>Linear</v>
      </c>
      <c r="I162" s="1942">
        <f>'5. Management'!J74*$D186</f>
        <v>0</v>
      </c>
      <c r="J162" s="2340" t="str">
        <f>VLOOKUP('5. Management'!K74,List!D$35:E$37,2,)</f>
        <v>Linear</v>
      </c>
      <c r="P162" s="3123">
        <f>IF(F186&gt;time_tot,0,MIN(F162,G162)*time_tot+ABS(G162-F162)*IF(G162&gt;F162,time2+time*VLOOKUP(H162,List!$E$35:$F$37,2,),time*(1-VLOOKUP(H162,List!$E$35:$F$37,2,))))*(1/F186)*(G186/100)*(D162/1000)</f>
        <v>0</v>
      </c>
      <c r="Q162" s="3123">
        <f>IF(I186&gt;time_tot,0,MIN(F162,I162)*time_tot+ABS(I162-F162)*IF(I162&gt;F162,time2+time*VLOOKUP(J162,List!$E$35:$F$37,2,),time*(1-VLOOKUP(J162,List!$E$35:$F$37,2,))))*(1/I186)*(J186/100)*(D162/1000)</f>
        <v>0</v>
      </c>
      <c r="S162" s="1375">
        <f>Q162-P162</f>
        <v>0</v>
      </c>
      <c r="U162" s="171" t="str">
        <f>B162</f>
        <v>Prescribed fire</v>
      </c>
      <c r="V162" s="3132" t="s">
        <v>5636</v>
      </c>
      <c r="Y162" s="1914">
        <f>IF(F186&gt;time_tot,0,MIN(F162,G162)*time+ABS(G162-F162)*IF(G162&gt;F162,0+time*VLOOKUP(H162,List!$E$35:$F$37,2,),time*(1-VLOOKUP(H162,List!$E$35:$F$37,2,))))*(1/F186)*(G186/100)*(D162/1000)</f>
        <v>0</v>
      </c>
      <c r="Z162" s="1914">
        <f>IF(I186&gt;time_tot,0,MIN(F162,I162)*time+ABS(I162-F162)*IF(I162&gt;F162,0+time*VLOOKUP(J162,List!$E$35:$F$37,2,),time*(1-VLOOKUP(J162,List!$E$35:$F$37,2,))))*(1/I186)*(J186/100)*(D162/1000)</f>
        <v>0</v>
      </c>
    </row>
    <row r="163" spans="1:26">
      <c r="A163" s="2067"/>
    </row>
    <row r="164" spans="1:26">
      <c r="A164" s="2067"/>
      <c r="B164" s="15" t="s">
        <v>5620</v>
      </c>
    </row>
    <row r="165" spans="1:26">
      <c r="A165" s="2067"/>
      <c r="B165" s="2138" t="s">
        <v>652</v>
      </c>
      <c r="C165" s="3845" t="s">
        <v>5640</v>
      </c>
      <c r="D165" s="3846"/>
      <c r="E165" s="3847"/>
      <c r="F165" s="3122" t="str">
        <f>F157</f>
        <v>BIOMASS BURNT (t DM)</v>
      </c>
      <c r="G165" s="135"/>
      <c r="H165" s="135"/>
      <c r="I165" s="135"/>
      <c r="J165" s="28"/>
      <c r="M165" s="3126" t="s">
        <v>5630</v>
      </c>
      <c r="N165" s="1535"/>
      <c r="P165" s="1535" t="s">
        <v>2</v>
      </c>
      <c r="Q165" s="1535"/>
      <c r="S165" s="1535"/>
    </row>
    <row r="166" spans="1:26">
      <c r="A166" s="2067"/>
      <c r="B166" s="2138"/>
      <c r="C166" s="1539" t="s">
        <v>337</v>
      </c>
      <c r="D166" s="1538" t="s">
        <v>338</v>
      </c>
      <c r="E166" s="846" t="s">
        <v>339</v>
      </c>
      <c r="F166" s="124"/>
      <c r="G166" s="124"/>
      <c r="H166" s="124"/>
      <c r="I166" s="124"/>
      <c r="J166" s="2030"/>
      <c r="M166" s="3844" t="s">
        <v>342</v>
      </c>
      <c r="N166" s="3844"/>
      <c r="P166" s="3844" t="s">
        <v>342</v>
      </c>
      <c r="Q166" s="3844"/>
      <c r="S166" s="3094" t="s">
        <v>343</v>
      </c>
      <c r="Y166" s="1872" t="s">
        <v>844</v>
      </c>
      <c r="Z166" s="1902"/>
    </row>
    <row r="167" spans="1:26" ht="13.5" thickBot="1">
      <c r="A167" s="2067"/>
      <c r="B167" s="2138"/>
      <c r="C167" s="114"/>
      <c r="D167" s="124"/>
      <c r="E167" s="2030"/>
      <c r="F167" s="630" t="s">
        <v>340</v>
      </c>
      <c r="G167" s="3848" t="s">
        <v>673</v>
      </c>
      <c r="H167" s="3848"/>
      <c r="I167" s="3849" t="s">
        <v>672</v>
      </c>
      <c r="J167" s="3850"/>
      <c r="M167" s="1367" t="s">
        <v>674</v>
      </c>
      <c r="N167" s="1368" t="s">
        <v>675</v>
      </c>
      <c r="P167" s="1367" t="s">
        <v>674</v>
      </c>
      <c r="Q167" s="1368" t="s">
        <v>675</v>
      </c>
      <c r="S167" s="1370"/>
      <c r="Y167" s="1913" t="s">
        <v>674</v>
      </c>
      <c r="Z167" s="1913" t="s">
        <v>675</v>
      </c>
    </row>
    <row r="168" spans="1:26" ht="13.5" thickBot="1">
      <c r="A168" s="2067"/>
      <c r="B168" s="2138" t="str">
        <f>B160</f>
        <v>Wildfire (drained peat)</v>
      </c>
      <c r="C168" s="3101">
        <f>VLOOKUP(clim_full,' IPCC'!$A$1029:$D$1040,3,)</f>
        <v>0</v>
      </c>
      <c r="D168" s="3125">
        <f>IF('5. Management'!L247="",'5. Management'!J247,'5. Management'!L247)</f>
        <v>0</v>
      </c>
      <c r="E168" s="857" t="s">
        <v>354</v>
      </c>
      <c r="F168" s="1941">
        <f>F160</f>
        <v>0</v>
      </c>
      <c r="G168" s="1941">
        <f t="shared" ref="G168:J168" si="33">G160</f>
        <v>0</v>
      </c>
      <c r="H168" s="1941" t="str">
        <f t="shared" si="33"/>
        <v>Linear</v>
      </c>
      <c r="I168" s="1941">
        <f t="shared" si="33"/>
        <v>0</v>
      </c>
      <c r="J168" s="1941" t="str">
        <f t="shared" si="33"/>
        <v>Linear</v>
      </c>
      <c r="M168" s="3123">
        <f>IF(F184&gt;time_tot,0,MIN(F168,G168)*time_tot+ABS(G168-F168)*IF(G168&gt;F168,time2+time*VLOOKUP(H168,List!$E$35:$F$37,2,),time*(1-VLOOKUP(H168,List!$E$35:$F$37,2,))))*(1/F184)*(G184/100)*(D168/1000)</f>
        <v>0</v>
      </c>
      <c r="N168" s="3123">
        <f>IF(I184&gt;time_tot,0,MIN(F168,I168)*time_tot+ABS(I168-F168)*IF(I168&gt;F168,time2+time*VLOOKUP(J168,List!$E$35:$F$37,2,),time*(1-VLOOKUP(J168,List!$E$35:$F$37,2,))))*(1/I184)*(J184/100)*(D168/1000)</f>
        <v>0</v>
      </c>
      <c r="P168" s="3123">
        <f>2*M168</f>
        <v>0</v>
      </c>
      <c r="Q168" s="3123">
        <f>2*N168</f>
        <v>0</v>
      </c>
      <c r="S168" s="1375">
        <f>Q168-P168</f>
        <v>0</v>
      </c>
      <c r="Y168" s="1902">
        <f>2*IF(F184&gt;time_tot,0,MIN(F168,G168)*time+ABS(G168-F168)*IF(G168&gt;F168,0+time*VLOOKUP(H168,List!$E$35:$F$37,2,),time*(1-VLOOKUP(H168,List!$E$35:$F$37,2,))))*(1/F184)*(G184/100)*(D168/1000)</f>
        <v>0</v>
      </c>
      <c r="Z168" s="1902">
        <f>2*IF(I184&gt;time_tot,0,MIN(F168,I168)*time+ABS(I168-F168)*IF(I168&gt;F168,0+time*VLOOKUP(J168,List!$E$35:$F$37,2,),time*(1-VLOOKUP(J168,List!$E$35:$F$37,2,))))*(1/I184)*(J184/100)*(D168/1000)</f>
        <v>0</v>
      </c>
    </row>
    <row r="169" spans="1:26" ht="13.5" thickBot="1">
      <c r="A169" s="2067"/>
      <c r="B169" s="2138" t="str">
        <f t="shared" ref="B169:B170" si="34">B161</f>
        <v>Wildfire (undrained peat)</v>
      </c>
      <c r="C169" s="3101">
        <f>VLOOKUP(clim_full,' IPCC'!$A$1029:$D$1040,3,)</f>
        <v>0</v>
      </c>
      <c r="D169" s="3125">
        <f>IF('5. Management'!L248="",'5. Management'!J248,'5. Management'!L248)</f>
        <v>0</v>
      </c>
      <c r="E169" s="857" t="s">
        <v>354</v>
      </c>
      <c r="F169" s="1941">
        <f t="shared" ref="F169:J169" si="35">F161</f>
        <v>0</v>
      </c>
      <c r="G169" s="1941">
        <f t="shared" si="35"/>
        <v>0</v>
      </c>
      <c r="H169" s="1941" t="str">
        <f t="shared" si="35"/>
        <v>Linear</v>
      </c>
      <c r="I169" s="1941">
        <f t="shared" si="35"/>
        <v>0</v>
      </c>
      <c r="J169" s="1941" t="str">
        <f t="shared" si="35"/>
        <v>Linear</v>
      </c>
      <c r="M169" s="3123">
        <f>IF(F185&gt;time_tot,0,MIN(F169,G169)*time_tot+ABS(G169-F169)*IF(G169&gt;F169,time2+time*VLOOKUP(H169,List!$E$35:$F$37,2,),time*(1-VLOOKUP(H169,List!$E$35:$F$37,2,))))*(1/F185)*(G185/100)*(D169/1000)</f>
        <v>0</v>
      </c>
      <c r="N169" s="3123">
        <f>IF(I185&gt;time_tot,0,MIN(F169,I169)*time_tot+ABS(I169-F169)*IF(I169&gt;F169,time2+time*VLOOKUP(J169,List!$E$35:$F$37,2,),time*(1-VLOOKUP(J169,List!$E$35:$F$37,2,))))*(1/I185)*(J185/100)*(D169/1000)</f>
        <v>0</v>
      </c>
      <c r="P169" s="3123">
        <f t="shared" ref="P169:Q170" si="36">2*M169</f>
        <v>0</v>
      </c>
      <c r="Q169" s="3123">
        <f t="shared" si="36"/>
        <v>0</v>
      </c>
      <c r="S169" s="1375">
        <f>Q169-P169</f>
        <v>0</v>
      </c>
      <c r="Y169" s="1902">
        <f>2*IF(F185&gt;time_tot,0,MIN(F169,G169)*time+ABS(G169-F169)*IF(G169&gt;F169,0+time*VLOOKUP(H169,List!$E$35:$F$37,2,),time*(1-VLOOKUP(H169,List!$E$35:$F$37,2,))))*(1/F185)*(G185/100)*(D169/1000)</f>
        <v>0</v>
      </c>
      <c r="Z169" s="1902">
        <f>2*IF(I185&gt;time_tot,0,MIN(F169,I169)*time+ABS(I169-F169)*IF(I169&gt;F169,0+time*VLOOKUP(J169,List!$E$35:$F$37,2,),time*(1-VLOOKUP(J169,List!$E$35:$F$37,2,))))*(1/I185)*(J185/100)*(D169/1000)</f>
        <v>0</v>
      </c>
    </row>
    <row r="170" spans="1:26">
      <c r="A170" s="2067"/>
      <c r="B170" s="2138" t="str">
        <f t="shared" si="34"/>
        <v>Prescribed fire</v>
      </c>
      <c r="C170" s="3101">
        <f>VLOOKUP(clim_full,' IPCC'!$A$1029:$D$1040,3,)</f>
        <v>0</v>
      </c>
      <c r="D170" s="3125">
        <f>IF('5. Management'!L249="",'5. Management'!J249,'5. Management'!L249)</f>
        <v>0</v>
      </c>
      <c r="E170" s="857" t="s">
        <v>354</v>
      </c>
      <c r="F170" s="1941">
        <f t="shared" ref="F170:J170" si="37">F162</f>
        <v>0</v>
      </c>
      <c r="G170" s="1941">
        <f t="shared" si="37"/>
        <v>0</v>
      </c>
      <c r="H170" s="1941" t="str">
        <f t="shared" si="37"/>
        <v>Linear</v>
      </c>
      <c r="I170" s="1941">
        <f t="shared" si="37"/>
        <v>0</v>
      </c>
      <c r="J170" s="1941" t="str">
        <f t="shared" si="37"/>
        <v>Linear</v>
      </c>
      <c r="M170" s="3123">
        <f>IF(F186&gt;time_tot,0,MIN(F170,G170)*time_tot+ABS(G170-F170)*IF(G170&gt;F170,time2+time*VLOOKUP(H170,List!$E$35:$F$37,2,),time*(1-VLOOKUP(H170,List!$E$35:$F$37,2,))))*(1/F186)*(G186/100)*(D170/1000)</f>
        <v>0</v>
      </c>
      <c r="N170" s="3123">
        <f>IF(I186&gt;time_tot,0,MIN(F170,I170)*time_tot+ABS(I170-F170)*IF(I170&gt;F170,time2+time*VLOOKUP(J170,List!$E$35:$F$37,2,),time*(1-VLOOKUP(J170,List!$E$35:$F$37,2,))))*(1/I186)*(J186/100)*(D170/1000)</f>
        <v>0</v>
      </c>
      <c r="P170" s="3123">
        <f t="shared" si="36"/>
        <v>0</v>
      </c>
      <c r="Q170" s="3123">
        <f t="shared" si="36"/>
        <v>0</v>
      </c>
      <c r="S170" s="1375">
        <f>Q170-P170</f>
        <v>0</v>
      </c>
      <c r="Y170" s="1902">
        <f>2*IF(F186&gt;time_tot,0,MIN(F170,G170)*time+ABS(G170-F170)*IF(G170&gt;F170,0+time*VLOOKUP(H170,List!$E$35:$F$37,2,),time*(1-VLOOKUP(H170,List!$E$35:$F$37,2,))))*(1/F186)*(G186/100)*(D170/1000)</f>
        <v>0</v>
      </c>
      <c r="Z170" s="1902">
        <f>2*IF(I186&gt;time_tot,0,MIN(F170,I170)*time+ABS(I170-F170)*IF(I170&gt;F170,0+time*VLOOKUP(J170,List!$E$35:$F$37,2,),time*(1-VLOOKUP(J170,List!$E$35:$F$37,2,))))*(1/I186)*(J186/100)*(D170/1000)</f>
        <v>0</v>
      </c>
    </row>
    <row r="171" spans="1:26">
      <c r="A171" s="2067"/>
      <c r="P171" s="3042" t="s">
        <v>5631</v>
      </c>
      <c r="R171" s="3042" t="s">
        <v>5632</v>
      </c>
    </row>
    <row r="172" spans="1:26">
      <c r="A172" s="2067"/>
      <c r="B172" s="15" t="s">
        <v>332</v>
      </c>
    </row>
    <row r="173" spans="1:26">
      <c r="A173" s="2067"/>
      <c r="B173" s="2138" t="s">
        <v>652</v>
      </c>
      <c r="C173" s="3845" t="s">
        <v>5641</v>
      </c>
      <c r="D173" s="3846"/>
      <c r="E173" s="3847"/>
      <c r="F173" s="3122" t="str">
        <f>F165</f>
        <v>BIOMASS BURNT (t DM)</v>
      </c>
      <c r="G173" s="135"/>
      <c r="H173" s="135"/>
      <c r="I173" s="135"/>
      <c r="J173" s="28"/>
      <c r="M173" s="3126" t="s">
        <v>5633</v>
      </c>
      <c r="N173" s="1535"/>
      <c r="P173" s="1535" t="s">
        <v>2</v>
      </c>
      <c r="Q173" s="1535"/>
      <c r="S173" s="1535"/>
    </row>
    <row r="174" spans="1:26">
      <c r="A174" s="2067"/>
      <c r="B174" s="2138"/>
      <c r="C174" s="1539" t="s">
        <v>337</v>
      </c>
      <c r="D174" s="1538" t="s">
        <v>338</v>
      </c>
      <c r="E174" s="846" t="s">
        <v>339</v>
      </c>
      <c r="F174" s="124"/>
      <c r="G174" s="124"/>
      <c r="H174" s="124"/>
      <c r="I174" s="124"/>
      <c r="J174" s="2030"/>
      <c r="M174" s="3844" t="s">
        <v>342</v>
      </c>
      <c r="N174" s="3844"/>
      <c r="P174" s="3844" t="s">
        <v>342</v>
      </c>
      <c r="Q174" s="3844"/>
      <c r="S174" s="3094" t="s">
        <v>343</v>
      </c>
      <c r="Y174" s="1872" t="s">
        <v>844</v>
      </c>
      <c r="Z174" s="1902"/>
    </row>
    <row r="175" spans="1:26" ht="13.5" thickBot="1">
      <c r="A175" s="2067"/>
      <c r="B175" s="2138"/>
      <c r="C175" s="114"/>
      <c r="D175" s="124"/>
      <c r="E175" s="2030"/>
      <c r="F175" s="630" t="s">
        <v>340</v>
      </c>
      <c r="G175" s="3848" t="s">
        <v>673</v>
      </c>
      <c r="H175" s="3848"/>
      <c r="I175" s="3849" t="s">
        <v>672</v>
      </c>
      <c r="J175" s="3850"/>
      <c r="M175" s="1367" t="s">
        <v>674</v>
      </c>
      <c r="N175" s="1368" t="s">
        <v>675</v>
      </c>
      <c r="P175" s="1367" t="s">
        <v>674</v>
      </c>
      <c r="Q175" s="1368" t="s">
        <v>675</v>
      </c>
      <c r="S175" s="1370"/>
      <c r="Y175" s="1913" t="s">
        <v>674</v>
      </c>
      <c r="Z175" s="1913" t="s">
        <v>675</v>
      </c>
    </row>
    <row r="176" spans="1:26" ht="13.5" thickBot="1">
      <c r="A176" s="2067"/>
      <c r="B176" s="2138" t="str">
        <f>B168</f>
        <v>Wildfire (drained peat)</v>
      </c>
      <c r="C176" s="3101">
        <f>VLOOKUP(clim_full,' IPCC'!$A$1029:$D$1040,4,)</f>
        <v>0</v>
      </c>
      <c r="D176" s="3102">
        <f>IF('5. Management'!P247="",'5. Management'!N247,'5. Management'!P247)</f>
        <v>0</v>
      </c>
      <c r="E176" s="857" t="s">
        <v>354</v>
      </c>
      <c r="F176" s="1941">
        <f>F168</f>
        <v>0</v>
      </c>
      <c r="G176" s="1941">
        <f t="shared" ref="G176:J176" si="38">G168</f>
        <v>0</v>
      </c>
      <c r="H176" s="1941" t="str">
        <f t="shared" si="38"/>
        <v>Linear</v>
      </c>
      <c r="I176" s="1941">
        <f t="shared" si="38"/>
        <v>0</v>
      </c>
      <c r="J176" s="1941" t="str">
        <f t="shared" si="38"/>
        <v>Linear</v>
      </c>
      <c r="M176" s="3123">
        <f>IF(F184&gt;time_tot,0,MIN(F176,G176)*time_tot+ABS(G176-F176)*IF(G176&gt;F176,time2+time*VLOOKUP(H176,List!$E$35:$F$37,2,),time*(1-VLOOKUP(H176,List!$E$35:$F$37,2,))))*(1/F184)*(G184/100)*(D176/1000)</f>
        <v>0</v>
      </c>
      <c r="N176" s="3123">
        <f>IF(I184&gt;time_tot,0,MIN(F176,I176)*time_tot+ABS(I176-F176)*IF(I176&gt;F176,time2+time*VLOOKUP(J176,List!$E$35:$F$37,2,),time*(1-VLOOKUP(J176,List!$E$35:$F$37,2,))))*(1/I184)*(J184/100)*(D176/1000)</f>
        <v>0</v>
      </c>
      <c r="P176" s="3123">
        <f t="shared" ref="P176:Q178" si="39">methane*M176</f>
        <v>0</v>
      </c>
      <c r="Q176" s="3123">
        <f t="shared" si="39"/>
        <v>0</v>
      </c>
      <c r="S176" s="1375">
        <f>Q176-P176</f>
        <v>0</v>
      </c>
      <c r="Y176" s="1902">
        <f>methane*IF(F184&gt;time_tot,0,MIN(F176,G176)*time+ABS(G176-F176)*IF(G176&gt;F176,0+time*VLOOKUP(H176,List!$E$35:$F$37,2,),time*(1-VLOOKUP(H176,List!$E$35:$F$37,2,))))*(1/F184)*(G184/100)*(D176/1000)</f>
        <v>0</v>
      </c>
      <c r="Z176" s="1902">
        <f>methane*IF(I184&gt;time_tot,0,MIN(F176,I176)*time+ABS(I176-F176)*IF(I176&gt;F176,0+time*VLOOKUP(J176,List!$E$35:$F$37,2,),time*(1-VLOOKUP(J176,List!$E$35:$F$37,2,))))*(1/I184)*(J184/100)*(D176/1000)</f>
        <v>0</v>
      </c>
    </row>
    <row r="177" spans="1:26" ht="13.5" thickBot="1">
      <c r="A177" s="2067"/>
      <c r="B177" s="2138" t="str">
        <f t="shared" ref="B177:B178" si="40">B169</f>
        <v>Wildfire (undrained peat)</v>
      </c>
      <c r="C177" s="3101">
        <f>VLOOKUP(clim_full,' IPCC'!$A$1029:$D$1040,4,)</f>
        <v>0</v>
      </c>
      <c r="D177" s="3102">
        <f>IF('5. Management'!P248="",'5. Management'!N248,'5. Management'!P248)</f>
        <v>0</v>
      </c>
      <c r="E177" s="857" t="s">
        <v>354</v>
      </c>
      <c r="F177" s="1941">
        <f t="shared" ref="F177:J177" si="41">F169</f>
        <v>0</v>
      </c>
      <c r="G177" s="1941">
        <f t="shared" si="41"/>
        <v>0</v>
      </c>
      <c r="H177" s="1941" t="str">
        <f t="shared" si="41"/>
        <v>Linear</v>
      </c>
      <c r="I177" s="1941">
        <f t="shared" si="41"/>
        <v>0</v>
      </c>
      <c r="J177" s="1941" t="str">
        <f t="shared" si="41"/>
        <v>Linear</v>
      </c>
      <c r="M177" s="3123">
        <f>IF(F185&gt;time_tot,0,MIN(F177,G177)*time_tot+ABS(G177-F177)*IF(G177&gt;F177,time2+time*VLOOKUP(H177,List!$E$35:$F$37,2,),time*(1-VLOOKUP(H177,List!$E$35:$F$37,2,))))*(1/F185)*(G185/100)*(D177/1000)</f>
        <v>0</v>
      </c>
      <c r="N177" s="3123">
        <f>IF(I185&gt;time_tot,0,MIN(F177,I177)*time_tot+ABS(I177-F177)*IF(I177&gt;F177,time2+time*VLOOKUP(J177,List!$E$35:$F$37,2,),time*(1-VLOOKUP(J177,List!$E$35:$F$37,2,))))*(1/I185)*(J185/100)*(D177/1000)</f>
        <v>0</v>
      </c>
      <c r="P177" s="3123">
        <f t="shared" si="39"/>
        <v>0</v>
      </c>
      <c r="Q177" s="3123">
        <f t="shared" si="39"/>
        <v>0</v>
      </c>
      <c r="S177" s="1375">
        <f>Q177-P177</f>
        <v>0</v>
      </c>
      <c r="Y177" s="1902">
        <f>methane*IF(F185&gt;time_tot,0,MIN(F177,G177)*time+ABS(G177-F177)*IF(G177&gt;F177,0+time*VLOOKUP(H177,List!$E$35:$F$37,2,),time*(1-VLOOKUP(H177,List!$E$35:$F$37,2,))))*(1/F185)*(G185/100)*(D177/1000)</f>
        <v>0</v>
      </c>
      <c r="Z177" s="1902">
        <f>methane*IF(I185&gt;time_tot,0,MIN(F177,I177)*time+ABS(I177-F177)*IF(I177&gt;F177,0+time*VLOOKUP(J177,List!$E$35:$F$37,2,),time*(1-VLOOKUP(J177,List!$E$35:$F$37,2,))))*(1/I185)*(J185/100)*(D177/1000)</f>
        <v>0</v>
      </c>
    </row>
    <row r="178" spans="1:26">
      <c r="A178" s="2067"/>
      <c r="B178" s="2138" t="str">
        <f t="shared" si="40"/>
        <v>Prescribed fire</v>
      </c>
      <c r="C178" s="3101">
        <f>VLOOKUP(clim_full,' IPCC'!$A$1029:$D$1040,4,)</f>
        <v>0</v>
      </c>
      <c r="D178" s="3102">
        <f>IF('5. Management'!P249="",'5. Management'!N249,'5. Management'!P249)</f>
        <v>0</v>
      </c>
      <c r="E178" s="857" t="s">
        <v>354</v>
      </c>
      <c r="F178" s="1941">
        <f t="shared" ref="F178:J178" si="42">F170</f>
        <v>0</v>
      </c>
      <c r="G178" s="1941">
        <f t="shared" si="42"/>
        <v>0</v>
      </c>
      <c r="H178" s="1941" t="str">
        <f t="shared" si="42"/>
        <v>Linear</v>
      </c>
      <c r="I178" s="1941">
        <f t="shared" si="42"/>
        <v>0</v>
      </c>
      <c r="J178" s="1941" t="str">
        <f t="shared" si="42"/>
        <v>Linear</v>
      </c>
      <c r="M178" s="3123">
        <f>IF(F186&gt;time_tot,0,MIN(F178,G178)*time_tot+ABS(G178-F178)*IF(G178&gt;F178,time2+time*VLOOKUP(H178,List!$E$35:$F$37,2,),time*(1-VLOOKUP(H178,List!$E$35:$F$37,2,))))*(1/F186)*(G186/100)*(D178/1000)</f>
        <v>0</v>
      </c>
      <c r="N178" s="3123">
        <f>IF(I186&gt;time_tot,0,MIN(F178,I178)*time_tot+ABS(I178-F178)*IF(I178&gt;F178,time2+time*VLOOKUP(J178,List!$E$35:$F$37,2,),time*(1-VLOOKUP(J178,List!$E$35:$F$37,2,))))*(1/I186)*(J186/100)*(D178/1000)</f>
        <v>0</v>
      </c>
      <c r="P178" s="3123">
        <f t="shared" si="39"/>
        <v>0</v>
      </c>
      <c r="Q178" s="3123">
        <f t="shared" si="39"/>
        <v>0</v>
      </c>
      <c r="S178" s="1375">
        <f>Q178-P178</f>
        <v>0</v>
      </c>
      <c r="Y178" s="1902">
        <f>methane*IF(F186&gt;time_tot,0,MIN(F178,G178)*time+ABS(G178-F178)*IF(G178&gt;F178,0+time*VLOOKUP(H178,List!$E$35:$F$37,2,),time*(1-VLOOKUP(H178,List!$E$35:$F$37,2,))))*(1/F186)*(G186/100)*(D178/1000)</f>
        <v>0</v>
      </c>
      <c r="Z178" s="1902">
        <f>methane*IF(I186&gt;time_tot,0,MIN(F178,I178)*time+ABS(I178-F178)*IF(I178&gt;F178,0+time*VLOOKUP(J178,List!$E$35:$F$37,2,),time*(1-VLOOKUP(J178,List!$E$35:$F$37,2,))))*(1/I186)*(J186/100)*(D178/1000)</f>
        <v>0</v>
      </c>
    </row>
    <row r="179" spans="1:26">
      <c r="A179" s="2067"/>
    </row>
    <row r="180" spans="1:26">
      <c r="A180" s="2067"/>
    </row>
    <row r="181" spans="1:26">
      <c r="A181" s="2067"/>
      <c r="B181" s="2138" t="s">
        <v>652</v>
      </c>
      <c r="C181" s="3845" t="s">
        <v>5627</v>
      </c>
      <c r="D181" s="3846"/>
      <c r="E181" s="3847"/>
      <c r="F181" s="28"/>
      <c r="G181" s="28"/>
      <c r="H181" s="28"/>
      <c r="I181" s="28"/>
      <c r="J181" s="28"/>
      <c r="M181" s="2696" t="s">
        <v>5639</v>
      </c>
      <c r="N181" s="1631"/>
    </row>
    <row r="182" spans="1:26" ht="13.15" customHeight="1">
      <c r="A182" s="2067"/>
      <c r="B182" s="2138"/>
      <c r="C182" s="1539" t="s">
        <v>337</v>
      </c>
      <c r="D182" s="1538" t="s">
        <v>338</v>
      </c>
      <c r="E182" s="846" t="s">
        <v>339</v>
      </c>
      <c r="F182" s="3120" t="s">
        <v>5625</v>
      </c>
      <c r="G182" s="695"/>
      <c r="H182" s="725"/>
      <c r="I182" s="3120" t="s">
        <v>5626</v>
      </c>
      <c r="J182" s="695"/>
      <c r="M182" s="3844" t="s">
        <v>342</v>
      </c>
      <c r="N182" s="3844"/>
    </row>
    <row r="183" spans="1:26">
      <c r="A183" s="2067"/>
      <c r="B183" s="2138"/>
      <c r="C183" s="114"/>
      <c r="D183" s="124"/>
      <c r="E183" s="2030"/>
      <c r="F183" s="776" t="s">
        <v>168</v>
      </c>
      <c r="G183" s="541" t="s">
        <v>169</v>
      </c>
      <c r="H183" s="725"/>
      <c r="I183" s="776" t="s">
        <v>168</v>
      </c>
      <c r="J183" s="541" t="s">
        <v>169</v>
      </c>
      <c r="M183" s="1367" t="s">
        <v>674</v>
      </c>
      <c r="N183" s="1368" t="s">
        <v>675</v>
      </c>
    </row>
    <row r="184" spans="1:26">
      <c r="A184" s="2067"/>
      <c r="B184" s="2138" t="str">
        <f>B176</f>
        <v>Wildfire (drained peat)</v>
      </c>
      <c r="C184" s="3101">
        <f>VLOOKUP(clim_full,' IPCC'!$A$1044:$D$1055,3,)</f>
        <v>0</v>
      </c>
      <c r="D184" s="3102">
        <f>IF('5. Management'!U247="",'5. Management'!T247,'5. Management'!U247)</f>
        <v>0</v>
      </c>
      <c r="E184" s="857" t="s">
        <v>354</v>
      </c>
      <c r="F184" s="3121">
        <f>IF('5. Management'!M72=0,10000,'5. Management'!M72)</f>
        <v>1</v>
      </c>
      <c r="G184" s="3121">
        <f>'5. Management'!N72*100</f>
        <v>100</v>
      </c>
      <c r="H184" s="3018"/>
      <c r="I184" s="3121">
        <f>IF('5. Management'!Q72=0,10000,'5. Management'!Q72)</f>
        <v>1</v>
      </c>
      <c r="J184" s="3121">
        <f>'5. Management'!R72*100</f>
        <v>100</v>
      </c>
      <c r="M184" s="3155">
        <f>IF(M168=0,0,1000*(M168/$D168)*(1/$D184))</f>
        <v>0</v>
      </c>
      <c r="N184" s="3155">
        <f>IF(N168=0,0,1000*(N168/$D168)*(1/$D184))</f>
        <v>0</v>
      </c>
    </row>
    <row r="185" spans="1:26">
      <c r="A185" s="2067"/>
      <c r="B185" s="2138" t="str">
        <f t="shared" ref="B185:B186" si="43">B177</f>
        <v>Wildfire (undrained peat)</v>
      </c>
      <c r="C185" s="3101">
        <f>VLOOKUP(clim_full,' IPCC'!$A$1044:$D$1055,2,)</f>
        <v>0</v>
      </c>
      <c r="D185" s="3102">
        <f>IF('5. Management'!U248="",'5. Management'!T248,'5. Management'!U248)</f>
        <v>0</v>
      </c>
      <c r="E185" s="857" t="s">
        <v>354</v>
      </c>
      <c r="F185" s="3121">
        <f>IF('5. Management'!M73=0,10000,'5. Management'!M73)</f>
        <v>1</v>
      </c>
      <c r="G185" s="3121">
        <f>'5. Management'!N73*100</f>
        <v>100</v>
      </c>
      <c r="H185" s="3018"/>
      <c r="I185" s="3121">
        <f>IF('5. Management'!Q73=0,10000,'5. Management'!Q73)</f>
        <v>1</v>
      </c>
      <c r="J185" s="3121">
        <f>'5. Management'!R73*100</f>
        <v>100</v>
      </c>
      <c r="M185" s="3155">
        <f t="shared" ref="M185:N186" si="44">IF(M169=0,0,1000*(M169/$D169)*(1/$D185))</f>
        <v>0</v>
      </c>
      <c r="N185" s="3155">
        <f t="shared" si="44"/>
        <v>0</v>
      </c>
    </row>
    <row r="186" spans="1:26">
      <c r="A186" s="2067"/>
      <c r="B186" s="2138" t="str">
        <f t="shared" si="43"/>
        <v>Prescribed fire</v>
      </c>
      <c r="C186" s="3101">
        <f>VLOOKUP(clim_full,' IPCC'!$A$1044:$D$1055,4,)</f>
        <v>0</v>
      </c>
      <c r="D186" s="3102">
        <f>IF('5. Management'!U249="",'5. Management'!T249,'5. Management'!U249)</f>
        <v>0</v>
      </c>
      <c r="E186" s="857" t="s">
        <v>354</v>
      </c>
      <c r="F186" s="3121">
        <f>IF('5. Management'!M74=0,10000,'5. Management'!M74)</f>
        <v>1</v>
      </c>
      <c r="G186" s="3121">
        <f>'5. Management'!N74*100</f>
        <v>100</v>
      </c>
      <c r="H186" s="3018"/>
      <c r="I186" s="3121">
        <f>IF('5. Management'!Q74=0,10000,'5. Management'!Q74)</f>
        <v>1</v>
      </c>
      <c r="J186" s="3121">
        <f>'5. Management'!R74*100</f>
        <v>100</v>
      </c>
      <c r="M186" s="3155">
        <f t="shared" si="44"/>
        <v>0</v>
      </c>
      <c r="N186" s="3155">
        <f t="shared" si="44"/>
        <v>0</v>
      </c>
    </row>
    <row r="188" spans="1:26">
      <c r="L188" s="3042" t="s">
        <v>516</v>
      </c>
      <c r="M188" s="9">
        <f>SUM(M184:M186)</f>
        <v>0</v>
      </c>
      <c r="N188" s="9">
        <f>SUM(N184:N186)</f>
        <v>0</v>
      </c>
    </row>
  </sheetData>
  <sheetProtection formatCells="0" formatColumns="0" formatRows="0"/>
  <mergeCells count="76">
    <mergeCell ref="P150:Q150"/>
    <mergeCell ref="G151:H151"/>
    <mergeCell ref="I151:J151"/>
    <mergeCell ref="P142:Q142"/>
    <mergeCell ref="G143:H143"/>
    <mergeCell ref="I143:J143"/>
    <mergeCell ref="C149:E149"/>
    <mergeCell ref="L149:N149"/>
    <mergeCell ref="P134:Q134"/>
    <mergeCell ref="G135:H135"/>
    <mergeCell ref="I135:J135"/>
    <mergeCell ref="C141:E141"/>
    <mergeCell ref="L141:N141"/>
    <mergeCell ref="C133:E133"/>
    <mergeCell ref="L133:N133"/>
    <mergeCell ref="P126:Q126"/>
    <mergeCell ref="G127:H127"/>
    <mergeCell ref="I127:J127"/>
    <mergeCell ref="L104:N104"/>
    <mergeCell ref="P105:Q105"/>
    <mergeCell ref="G106:H106"/>
    <mergeCell ref="I106:J106"/>
    <mergeCell ref="C125:E125"/>
    <mergeCell ref="L125:N125"/>
    <mergeCell ref="L115:N115"/>
    <mergeCell ref="P116:Q116"/>
    <mergeCell ref="G117:H117"/>
    <mergeCell ref="I117:J117"/>
    <mergeCell ref="C28:E28"/>
    <mergeCell ref="L28:N28"/>
    <mergeCell ref="U28:V28"/>
    <mergeCell ref="G5:H5"/>
    <mergeCell ref="L9:N9"/>
    <mergeCell ref="P10:Q10"/>
    <mergeCell ref="G11:H11"/>
    <mergeCell ref="I11:J11"/>
    <mergeCell ref="L20:N20"/>
    <mergeCell ref="G39:H39"/>
    <mergeCell ref="I39:J39"/>
    <mergeCell ref="P21:Q21"/>
    <mergeCell ref="G22:H22"/>
    <mergeCell ref="I22:J22"/>
    <mergeCell ref="P29:Q29"/>
    <mergeCell ref="G30:H30"/>
    <mergeCell ref="I30:J30"/>
    <mergeCell ref="L37:N37"/>
    <mergeCell ref="P38:Q38"/>
    <mergeCell ref="U42:W42"/>
    <mergeCell ref="L51:N51"/>
    <mergeCell ref="P52:Q52"/>
    <mergeCell ref="G53:H53"/>
    <mergeCell ref="I53:J53"/>
    <mergeCell ref="P85:Q85"/>
    <mergeCell ref="G86:H86"/>
    <mergeCell ref="I86:J86"/>
    <mergeCell ref="L75:N75"/>
    <mergeCell ref="P76:Q76"/>
    <mergeCell ref="G77:H77"/>
    <mergeCell ref="I77:J77"/>
    <mergeCell ref="L84:N84"/>
    <mergeCell ref="C173:E173"/>
    <mergeCell ref="G175:H175"/>
    <mergeCell ref="I175:J175"/>
    <mergeCell ref="C181:E181"/>
    <mergeCell ref="C157:E157"/>
    <mergeCell ref="G159:H159"/>
    <mergeCell ref="I159:J159"/>
    <mergeCell ref="C165:E165"/>
    <mergeCell ref="G167:H167"/>
    <mergeCell ref="I167:J167"/>
    <mergeCell ref="M182:N182"/>
    <mergeCell ref="P158:Q158"/>
    <mergeCell ref="M166:N166"/>
    <mergeCell ref="P166:Q166"/>
    <mergeCell ref="M174:N174"/>
    <mergeCell ref="P174:Q174"/>
  </mergeCells>
  <dataValidations count="4">
    <dataValidation type="decimal" operator="greaterThanOrEqual" allowBlank="1" showInputMessage="1" showErrorMessage="1" sqref="U31:U32 D23:D24 D40:D41 D176:D178 D12:D16 D54:D58 D64:D68 D78:D79 D87:D91 D136:D137 D107:D111 D118:D119 D144:D145 D152:D153 D184:D186 D168:D170 I184:J186 D160:D162 F184:G186">
      <formula1>0</formula1>
    </dataValidation>
    <dataValidation type="list" allowBlank="1" showInputMessage="1" showErrorMessage="1" sqref="E23:E24 E31:E32 E40:E41 E12:E16 E54:E58 E64:E68 E78:E79 E87:E91 E128:E129 E107:E111 E118:E119 E136:E137 E144:E145 E152:E153 E160:E162 E168:E170 E184:E186 E176:E178">
      <formula1>YES_NO</formula1>
    </dataValidation>
    <dataValidation type="list" allowBlank="1" showInputMessage="1" showErrorMessage="1" sqref="H23:H24 H31:H32 J31:J32 J12:J16 J23:J24 F107:J111 H54:H58 J54:J58 J128:J129 H128:H129 H12:H16 J160:J162 H160:H162">
      <formula1>Rate</formula1>
    </dataValidation>
    <dataValidation type="whole" operator="greaterThanOrEqual" allowBlank="1" showInputMessage="1" showErrorMessage="1" sqref="F23:G24 F176:J178 F168:J170 F40:J41 F12:G16 I23:I24 I12:I16 F54:G58 I54:I58 F78:G79 I78:I79 F87:J91 F118:J119 F128:G129 I128:I129 F136:J137 F144:J145 F152:J153 I160:I162 F160:G162">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H161:H162 G160:G162"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0"/>
  </sheetPr>
  <dimension ref="A1:AG45"/>
  <sheetViews>
    <sheetView zoomScaleNormal="100" workbookViewId="0">
      <selection activeCell="S43" sqref="S43"/>
    </sheetView>
  </sheetViews>
  <sheetFormatPr defaultColWidth="11.42578125" defaultRowHeight="12.75"/>
  <cols>
    <col min="1" max="1" width="4.42578125" style="1" customWidth="1"/>
    <col min="2" max="2" width="16.140625" style="1" customWidth="1"/>
    <col min="3" max="10" width="11.42578125" style="1"/>
    <col min="11" max="11" width="4" style="1" customWidth="1"/>
    <col min="12" max="14" width="11.42578125" style="1"/>
    <col min="15" max="15" width="4.140625" style="1" customWidth="1"/>
    <col min="16" max="16" width="11.7109375" style="1" bestFit="1" customWidth="1"/>
    <col min="17" max="17" width="11.42578125" style="1"/>
    <col min="18" max="18" width="4" style="1" customWidth="1"/>
    <col min="19" max="19" width="11.42578125" style="1"/>
    <col min="20" max="20" width="6.28515625" style="1" customWidth="1"/>
    <col min="21" max="21" width="15.28515625" style="1" customWidth="1"/>
    <col min="22" max="22" width="13" style="1" customWidth="1"/>
    <col min="23" max="28" width="11.42578125" style="1901"/>
    <col min="29" max="29" width="14.7109375" style="1901" bestFit="1" customWidth="1"/>
    <col min="30" max="33" width="11.42578125" style="1901"/>
    <col min="34" max="16384" width="11.42578125" style="1"/>
  </cols>
  <sheetData>
    <row r="1" spans="1:33" s="1636" customFormat="1" ht="22.9" customHeight="1">
      <c r="W1" s="1874"/>
      <c r="X1" s="1874"/>
      <c r="Y1" s="1874"/>
      <c r="Z1" s="1874"/>
      <c r="AA1" s="1874"/>
      <c r="AB1" s="1874"/>
      <c r="AC1" s="1874"/>
      <c r="AD1" s="1874"/>
      <c r="AE1" s="1874"/>
      <c r="AF1" s="1874"/>
      <c r="AG1" s="1874"/>
    </row>
    <row r="2" spans="1:33" s="1636" customFormat="1" ht="22.9" customHeight="1">
      <c r="W2" s="1874"/>
      <c r="X2" s="1874"/>
      <c r="Y2" s="1874"/>
      <c r="Z2" s="1874"/>
      <c r="AA2" s="1874"/>
      <c r="AB2" s="1874"/>
      <c r="AC2" s="1874"/>
      <c r="AD2" s="1874"/>
      <c r="AE2" s="1874"/>
      <c r="AF2" s="1874"/>
      <c r="AG2" s="1874"/>
    </row>
    <row r="3" spans="1:33" s="1636" customFormat="1" ht="22.9" customHeight="1">
      <c r="W3" s="1874"/>
      <c r="X3" s="1874"/>
      <c r="Y3" s="1874"/>
      <c r="Z3" s="1874"/>
      <c r="AA3" s="1874"/>
      <c r="AB3" s="1874"/>
      <c r="AC3" s="1874"/>
      <c r="AD3" s="1874"/>
      <c r="AE3" s="1874"/>
      <c r="AF3" s="1874"/>
      <c r="AG3" s="1874"/>
    </row>
    <row r="4" spans="1:33" s="1636" customFormat="1" ht="22.9" customHeight="1">
      <c r="W4" s="1874"/>
      <c r="X4" s="1874"/>
      <c r="Y4" s="1874"/>
      <c r="Z4" s="1874"/>
      <c r="AA4" s="1874"/>
      <c r="AB4" s="1874"/>
      <c r="AC4" s="1874"/>
      <c r="AD4" s="1874"/>
      <c r="AE4" s="1874"/>
      <c r="AF4" s="1874"/>
      <c r="AG4" s="1874"/>
    </row>
    <row r="5" spans="1:33" s="1636" customFormat="1" ht="22.9" customHeight="1">
      <c r="A5" s="1675" t="s">
        <v>503</v>
      </c>
      <c r="B5" s="1675"/>
      <c r="G5" s="3817" t="s">
        <v>470</v>
      </c>
      <c r="H5" s="3817"/>
      <c r="W5" s="1874"/>
      <c r="X5" s="1874"/>
      <c r="Y5" s="1874"/>
      <c r="Z5" s="1874"/>
      <c r="AA5" s="1874"/>
      <c r="AB5" s="1874"/>
      <c r="AC5" s="1874"/>
      <c r="AD5" s="1874"/>
      <c r="AE5" s="1874"/>
      <c r="AF5" s="1874"/>
      <c r="AG5" s="1874"/>
    </row>
    <row r="7" spans="1:33">
      <c r="B7" s="1534" t="s">
        <v>232</v>
      </c>
      <c r="C7" s="1540"/>
      <c r="D7" s="1534"/>
      <c r="E7" s="1534"/>
      <c r="F7" s="1534"/>
      <c r="G7" s="1534"/>
      <c r="H7" s="1534"/>
      <c r="I7" s="1534"/>
      <c r="J7" s="1534"/>
      <c r="K7" s="1534"/>
      <c r="L7" s="1534"/>
      <c r="M7" s="1534"/>
      <c r="N7" s="1534"/>
      <c r="O7" s="1534"/>
      <c r="P7" s="1534"/>
      <c r="Q7" s="1534"/>
      <c r="R7" s="1534"/>
      <c r="S7" s="1534"/>
    </row>
    <row r="9" spans="1:33" ht="13.5" thickBot="1">
      <c r="B9" s="221"/>
      <c r="C9" s="150" t="s">
        <v>226</v>
      </c>
      <c r="D9" s="135"/>
      <c r="E9" s="28"/>
      <c r="F9" s="1537" t="s">
        <v>277</v>
      </c>
      <c r="G9" s="135"/>
      <c r="H9" s="135"/>
      <c r="I9" s="135"/>
      <c r="J9" s="28"/>
      <c r="L9" s="3855" t="s">
        <v>336</v>
      </c>
      <c r="M9" s="3855"/>
      <c r="N9" s="3855"/>
      <c r="P9" s="1535" t="s">
        <v>2</v>
      </c>
      <c r="Q9" s="1535"/>
      <c r="S9" s="1555"/>
      <c r="V9" s="1177" t="s">
        <v>261</v>
      </c>
    </row>
    <row r="10" spans="1:33">
      <c r="B10" s="171" t="s">
        <v>233</v>
      </c>
      <c r="C10" s="1539" t="s">
        <v>337</v>
      </c>
      <c r="D10" s="1538" t="s">
        <v>338</v>
      </c>
      <c r="E10" s="846" t="s">
        <v>339</v>
      </c>
      <c r="F10" s="124"/>
      <c r="G10" s="124"/>
      <c r="H10" s="124"/>
      <c r="I10" s="124"/>
      <c r="J10" s="115"/>
      <c r="L10" s="1399" t="s">
        <v>340</v>
      </c>
      <c r="M10" s="1533" t="s">
        <v>341</v>
      </c>
      <c r="N10" s="1533"/>
      <c r="P10" s="3851" t="s">
        <v>342</v>
      </c>
      <c r="Q10" s="3851"/>
      <c r="S10" s="1556" t="s">
        <v>343</v>
      </c>
      <c r="V10" s="1018" t="s">
        <v>258</v>
      </c>
      <c r="Y10" s="1872" t="s">
        <v>844</v>
      </c>
      <c r="Z10" s="1902"/>
    </row>
    <row r="11" spans="1:33" ht="13.5" thickBot="1">
      <c r="B11" s="172"/>
      <c r="C11" s="114"/>
      <c r="D11" s="124"/>
      <c r="E11" s="115"/>
      <c r="F11" s="630" t="s">
        <v>340</v>
      </c>
      <c r="G11" s="3852" t="s">
        <v>673</v>
      </c>
      <c r="H11" s="3852"/>
      <c r="I11" s="3853" t="s">
        <v>672</v>
      </c>
      <c r="J11" s="3854"/>
      <c r="L11" s="1399"/>
      <c r="M11" s="1367" t="s">
        <v>674</v>
      </c>
      <c r="N11" s="1368" t="s">
        <v>675</v>
      </c>
      <c r="P11" s="1367" t="s">
        <v>674</v>
      </c>
      <c r="Q11" s="1368" t="s">
        <v>675</v>
      </c>
      <c r="S11" s="1557"/>
      <c r="V11" s="1018" t="s">
        <v>260</v>
      </c>
      <c r="Y11" s="1913" t="s">
        <v>674</v>
      </c>
      <c r="Z11" s="1913" t="s">
        <v>675</v>
      </c>
    </row>
    <row r="12" spans="1:33" ht="13.5" thickBot="1">
      <c r="B12" s="221" t="s">
        <v>231</v>
      </c>
      <c r="C12" s="1541">
        <f>VLOOKUP(clim_full,' IPCC'!$A$725:$B$736,2,)</f>
        <v>0</v>
      </c>
      <c r="D12" s="2346">
        <f>IF('5. Management'!H225="",'5. Management'!F225,'5. Management'!H225)</f>
        <v>0</v>
      </c>
      <c r="E12" s="857" t="s">
        <v>354</v>
      </c>
      <c r="F12" s="1941">
        <f>'5. Management'!F36</f>
        <v>0</v>
      </c>
      <c r="G12" s="2003">
        <f>'5. Management'!H36</f>
        <v>0</v>
      </c>
      <c r="H12" s="2340" t="str">
        <f>VLOOKUP('5. Management'!I36,List!$D$35:$E$37,2,)</f>
        <v>Linear</v>
      </c>
      <c r="I12" s="1942">
        <f>'5. Management'!J36</f>
        <v>0</v>
      </c>
      <c r="J12" s="2340" t="str">
        <f>VLOOKUP('5. Management'!K36,List!$D$35:$E$37,2,)</f>
        <v>Linear</v>
      </c>
      <c r="L12" s="1371">
        <f t="shared" ref="L12:M15" si="0">IF($E12="YES",$C12,$D12)*F12*44/12</f>
        <v>0</v>
      </c>
      <c r="M12" s="1371">
        <f t="shared" si="0"/>
        <v>0</v>
      </c>
      <c r="N12" s="1371">
        <f>IF($E12="YES",$C12,$D12)*I12*44/12</f>
        <v>0</v>
      </c>
      <c r="P12" s="1371">
        <f>MIN(L12,M12)*time_tot+ABS(M12-L12)*IF(M12&gt;L12,time2+time*(VLOOKUP(H12,List!$E$35:$F$37,2,)),time*(1-(VLOOKUP(H12,List!$E$35:$F$37,2,))))</f>
        <v>0</v>
      </c>
      <c r="Q12" s="1371">
        <f>MIN(L12,N12)*time_tot+ABS(N12-L12)*IF(N12&gt;L12,time2+time*(VLOOKUP(J12,List!$E$35:$F$37,2,)),time*(1-(VLOOKUP(J12,List!$E$35:$F$37,2,))))</f>
        <v>0</v>
      </c>
      <c r="S12" s="1375">
        <f>Q12-P12</f>
        <v>0</v>
      </c>
      <c r="U12" s="221" t="str">
        <f>B12</f>
        <v>Managed Forest</v>
      </c>
      <c r="V12" s="1597">
        <f>MAX(F12:G12,I12)</f>
        <v>0</v>
      </c>
      <c r="Y12" s="1914">
        <f>MIN(L12,M12)*time+ABS(M12-L12)*IF(M12&gt;L12,time*(VLOOKUP(H12,List!$E$35:$F$37,2,)),time*(1-(VLOOKUP(H12,List!$E$35:$F$37,2,))))</f>
        <v>0</v>
      </c>
      <c r="Z12" s="1914">
        <f>MIN(L12,N12)*time+ABS(N12-L12)*IF(N12&gt;L12,time*(VLOOKUP(J12,List!$E$35:$F$37,2,)),time*(1-(VLOOKUP(J12,List!$E$35:$F$37,2,))))</f>
        <v>0</v>
      </c>
    </row>
    <row r="13" spans="1:33" ht="13.5" thickBot="1">
      <c r="B13" s="171" t="s">
        <v>1091</v>
      </c>
      <c r="C13" s="1541">
        <f>VLOOKUP(clim_full,' IPCC'!$A$739:$B$750,2,)</f>
        <v>0</v>
      </c>
      <c r="D13" s="2346">
        <f>IF('5. Management'!H226="",'5. Management'!F226,'5. Management'!H226)</f>
        <v>0</v>
      </c>
      <c r="E13" s="857" t="s">
        <v>354</v>
      </c>
      <c r="F13" s="1941">
        <f>'5. Management'!F37</f>
        <v>0</v>
      </c>
      <c r="G13" s="2003">
        <f>'5. Management'!H37</f>
        <v>0</v>
      </c>
      <c r="H13" s="2340" t="str">
        <f>VLOOKUP('5. Management'!I37,List!$D$35:$E$37,2,)</f>
        <v>Linear</v>
      </c>
      <c r="I13" s="1942">
        <f>'5. Management'!J37</f>
        <v>0</v>
      </c>
      <c r="J13" s="2340" t="str">
        <f>VLOOKUP('5. Management'!K37,List!$D$35:$E$37,2,)</f>
        <v>Linear</v>
      </c>
      <c r="L13" s="1371">
        <f t="shared" si="0"/>
        <v>0</v>
      </c>
      <c r="M13" s="1371">
        <f t="shared" si="0"/>
        <v>0</v>
      </c>
      <c r="N13" s="1371">
        <f>IF($E13="YES",$C13,$D13)*I13*44/12</f>
        <v>0</v>
      </c>
      <c r="P13" s="1371">
        <f>MIN(L13,M13)*time_tot+ABS(M13-L13)*IF(M13&gt;L13,time2+time*(VLOOKUP(H13,List!$E$35:$F$37,2,)),time*(1-(VLOOKUP(H13,List!$E$35:$F$37,2,))))</f>
        <v>0</v>
      </c>
      <c r="Q13" s="1371">
        <f>MIN(L13,N13)*time_tot+ABS(N13-L13)*IF(N13&gt;L13,time2+time*(VLOOKUP(J13,List!$E$35:$F$37,2,)),time*(1-(VLOOKUP(J13,List!$E$35:$F$37,2,))))</f>
        <v>0</v>
      </c>
      <c r="S13" s="1375">
        <f>Q13-P13</f>
        <v>0</v>
      </c>
      <c r="U13" s="171" t="str">
        <f>B13</f>
        <v>Annual</v>
      </c>
      <c r="V13" s="1598">
        <f>MAX(F13:G13,I13)</f>
        <v>0</v>
      </c>
      <c r="Y13" s="1914">
        <f>MIN(L13,M13)*time+ABS(M13-L13)*IF(M13&gt;L13,time*(VLOOKUP(H13,List!$E$35:$F$37,2,)),time*(1-(VLOOKUP(H13,List!$E$35:$F$37,2,))))</f>
        <v>0</v>
      </c>
      <c r="Z13" s="1914">
        <f>MIN(L13,N13)*time+ABS(N13-L13)*IF(N13&gt;L13,time*(VLOOKUP(J13,List!$E$35:$F$37,2,)),time*(1-(VLOOKUP(J13,List!$E$35:$F$37,2,))))</f>
        <v>0</v>
      </c>
    </row>
    <row r="14" spans="1:33" ht="13.5" thickBot="1">
      <c r="B14" s="171" t="s">
        <v>1092</v>
      </c>
      <c r="C14" s="1541">
        <f>VLOOKUP(clim_full,' IPCC'!$A$725:$B$736,2,)</f>
        <v>0</v>
      </c>
      <c r="D14" s="2346">
        <f>IF('5. Management'!H227="",'5. Management'!F227,'5. Management'!H227)</f>
        <v>0</v>
      </c>
      <c r="E14" s="857" t="s">
        <v>354</v>
      </c>
      <c r="F14" s="1941">
        <f>'5. Management'!F38</f>
        <v>0</v>
      </c>
      <c r="G14" s="2003">
        <f>'5. Management'!H38</f>
        <v>0</v>
      </c>
      <c r="H14" s="2340" t="str">
        <f>VLOOKUP('5. Management'!I38,List!$D$35:$E$37,2,)</f>
        <v>Linear</v>
      </c>
      <c r="I14" s="1942">
        <f>'5. Management'!J38</f>
        <v>0</v>
      </c>
      <c r="J14" s="2340" t="str">
        <f>VLOOKUP('5. Management'!K38,List!$D$35:$E$37,2,)</f>
        <v>Linear</v>
      </c>
      <c r="L14" s="1371">
        <f t="shared" si="0"/>
        <v>0</v>
      </c>
      <c r="M14" s="1371">
        <f t="shared" si="0"/>
        <v>0</v>
      </c>
      <c r="N14" s="1371">
        <f>IF($E14="YES",$C14,$D14)*I14*44/12</f>
        <v>0</v>
      </c>
      <c r="P14" s="1371">
        <f>MIN(L14,M14)*time_tot+ABS(M14-L14)*IF(M14&gt;L14,time2+time*(VLOOKUP(H14,List!$E$35:$F$37,2,)),time*(1-(VLOOKUP(H14,List!$E$35:$F$37,2,))))</f>
        <v>0</v>
      </c>
      <c r="Q14" s="1371">
        <f>MIN(L14,N14)*time_tot+ABS(N14-L14)*IF(N14&gt;L14,time2+time*(VLOOKUP(J14,List!$E$35:$F$37,2,)),time*(1-(VLOOKUP(J14,List!$E$35:$F$37,2,))))</f>
        <v>0</v>
      </c>
      <c r="S14" s="1375">
        <f>Q14-P14</f>
        <v>0</v>
      </c>
      <c r="U14" s="171" t="str">
        <f>B14</f>
        <v>Perennial</v>
      </c>
      <c r="V14" s="1598">
        <f>MAX(F14:G14,I14)</f>
        <v>0</v>
      </c>
      <c r="Y14" s="1914">
        <f>MIN(L14,M14)*time+ABS(M14-L14)*IF(M14&gt;L14,time*(VLOOKUP(H14,List!$E$35:$F$37,2,)),time*(1-(VLOOKUP(H14,List!$E$35:$F$37,2,))))</f>
        <v>0</v>
      </c>
      <c r="Z14" s="1914">
        <f>MIN(L14,N14)*time+ABS(N14-L14)*IF(N14&gt;L14,time*(VLOOKUP(J14,List!$E$35:$F$37,2,)),time*(1-(VLOOKUP(J14,List!$E$35:$F$37,2,))))</f>
        <v>0</v>
      </c>
    </row>
    <row r="15" spans="1:33">
      <c r="B15" s="172" t="s">
        <v>329</v>
      </c>
      <c r="C15" s="1541" t="str">
        <f>VLOOKUP(clim_full,' IPCC'!$A$753:$B$764,2,)</f>
        <v>OLD</v>
      </c>
      <c r="D15" s="2346">
        <f>IF('5. Management'!H228="",'5. Management'!F228,'5. Management'!H228)</f>
        <v>0</v>
      </c>
      <c r="E15" s="857" t="s">
        <v>354</v>
      </c>
      <c r="F15" s="1941">
        <f>'5. Management'!F39</f>
        <v>0</v>
      </c>
      <c r="G15" s="2003">
        <f>'5. Management'!H39</f>
        <v>0</v>
      </c>
      <c r="H15" s="2340" t="str">
        <f>VLOOKUP('5. Management'!I39,List!$D$35:$E$37,2,)</f>
        <v>Linear</v>
      </c>
      <c r="I15" s="1942">
        <f>'5. Management'!J39</f>
        <v>0</v>
      </c>
      <c r="J15" s="2340" t="str">
        <f>VLOOKUP('5. Management'!K39,List!$D$35:$E$37,2,)</f>
        <v>Linear</v>
      </c>
      <c r="L15" s="1371">
        <f t="shared" si="0"/>
        <v>0</v>
      </c>
      <c r="M15" s="1371">
        <f t="shared" si="0"/>
        <v>0</v>
      </c>
      <c r="N15" s="1371">
        <f>IF($E15="YES",$C15,$D15)*I15*44/12</f>
        <v>0</v>
      </c>
      <c r="P15" s="1371">
        <f>MIN(L15,M15)*time_tot+ABS(M15-L15)*IF(M15&gt;L15,time2+time*(VLOOKUP(H15,List!$E$35:$F$37,2,)),time*(1-(VLOOKUP(H15,List!$E$35:$F$37,2,))))</f>
        <v>0</v>
      </c>
      <c r="Q15" s="1371">
        <f>MIN(L15,N15)*time_tot+ABS(N15-L15)*IF(N15&gt;L15,time2+time*(VLOOKUP(J15,List!$E$35:$F$37,2,)),time*(1-(VLOOKUP(J15,List!$E$35:$F$37,2,))))</f>
        <v>0</v>
      </c>
      <c r="S15" s="1375">
        <f>Q15-P15</f>
        <v>0</v>
      </c>
      <c r="U15" s="172" t="str">
        <f>B15</f>
        <v>Grassland</v>
      </c>
      <c r="V15" s="1599">
        <f>MAX(F15:G15,I15)</f>
        <v>0</v>
      </c>
      <c r="Y15" s="1914">
        <f>MIN(L15,M15)*time+ABS(M15-L15)*IF(M15&gt;L15,time*(VLOOKUP(H15,List!$E$35:$F$37,2,)),time*(1-(VLOOKUP(H15,List!$E$35:$F$37,2,))))</f>
        <v>0</v>
      </c>
      <c r="Z15" s="1914">
        <f>MIN(L15,N15)*time+ABS(N15-L15)*IF(N15&gt;L15,time*(VLOOKUP(J15,List!$E$35:$F$37,2,)),time*(1-(VLOOKUP(J15,List!$E$35:$F$37,2,))))</f>
        <v>0</v>
      </c>
    </row>
    <row r="16" spans="1:33">
      <c r="Y16" s="1902"/>
      <c r="Z16" s="1914"/>
    </row>
    <row r="17" spans="2:26">
      <c r="B17" s="1534" t="s">
        <v>240</v>
      </c>
      <c r="C17" s="1540"/>
      <c r="D17" s="1534"/>
      <c r="E17" s="1534"/>
      <c r="F17" s="1534"/>
      <c r="G17" s="1534"/>
      <c r="H17" s="1534"/>
      <c r="I17" s="1534"/>
      <c r="J17" s="1534"/>
      <c r="K17" s="1534"/>
      <c r="L17" s="1534"/>
      <c r="M17" s="1534"/>
      <c r="N17" s="1534"/>
      <c r="O17" s="1534"/>
      <c r="P17" s="1534"/>
      <c r="Q17" s="1534"/>
      <c r="R17" s="1534"/>
      <c r="S17" s="1534"/>
      <c r="Y17" s="1902"/>
      <c r="Z17" s="1914"/>
    </row>
    <row r="18" spans="2:26">
      <c r="Y18" s="1902"/>
      <c r="Z18" s="1914"/>
    </row>
    <row r="19" spans="2:26" ht="13.5" thickBot="1">
      <c r="B19" s="221"/>
      <c r="C19" s="150" t="s">
        <v>226</v>
      </c>
      <c r="D19" s="135"/>
      <c r="E19" s="28"/>
      <c r="F19" s="1537" t="s">
        <v>277</v>
      </c>
      <c r="G19" s="135"/>
      <c r="H19" s="135"/>
      <c r="I19" s="135"/>
      <c r="J19" s="28"/>
      <c r="L19" s="3855" t="s">
        <v>336</v>
      </c>
      <c r="M19" s="3855"/>
      <c r="N19" s="3855"/>
      <c r="P19" s="1535" t="s">
        <v>2</v>
      </c>
      <c r="Q19" s="1535"/>
      <c r="S19" s="1535"/>
      <c r="V19" s="1177" t="s">
        <v>261</v>
      </c>
      <c r="Y19" s="1902"/>
      <c r="Z19" s="1914"/>
    </row>
    <row r="20" spans="2:26">
      <c r="B20" s="171" t="s">
        <v>234</v>
      </c>
      <c r="C20" s="1539" t="s">
        <v>337</v>
      </c>
      <c r="D20" s="1538" t="s">
        <v>338</v>
      </c>
      <c r="E20" s="846" t="s">
        <v>339</v>
      </c>
      <c r="F20" s="124"/>
      <c r="G20" s="124"/>
      <c r="H20" s="124"/>
      <c r="I20" s="124"/>
      <c r="J20" s="115"/>
      <c r="L20" s="1399" t="s">
        <v>340</v>
      </c>
      <c r="M20" s="1533" t="s">
        <v>341</v>
      </c>
      <c r="N20" s="1533"/>
      <c r="P20" s="3851" t="s">
        <v>342</v>
      </c>
      <c r="Q20" s="3851"/>
      <c r="S20" s="84" t="s">
        <v>343</v>
      </c>
      <c r="V20" s="1018" t="s">
        <v>259</v>
      </c>
      <c r="Y20" s="1872" t="s">
        <v>844</v>
      </c>
      <c r="Z20" s="1902"/>
    </row>
    <row r="21" spans="2:26" ht="13.5" thickBot="1">
      <c r="B21" s="172"/>
      <c r="C21" s="114"/>
      <c r="D21" s="124"/>
      <c r="E21" s="115"/>
      <c r="F21" s="630" t="s">
        <v>340</v>
      </c>
      <c r="G21" s="3852" t="s">
        <v>673</v>
      </c>
      <c r="H21" s="3852"/>
      <c r="I21" s="3853" t="s">
        <v>672</v>
      </c>
      <c r="J21" s="3854"/>
      <c r="L21" s="1399"/>
      <c r="M21" s="1367" t="s">
        <v>674</v>
      </c>
      <c r="N21" s="1368" t="s">
        <v>675</v>
      </c>
      <c r="P21" s="1367" t="s">
        <v>674</v>
      </c>
      <c r="Q21" s="1368" t="s">
        <v>675</v>
      </c>
      <c r="S21" s="1370"/>
      <c r="V21" s="908" t="s">
        <v>260</v>
      </c>
      <c r="Y21" s="1913" t="s">
        <v>674</v>
      </c>
      <c r="Z21" s="1913" t="s">
        <v>675</v>
      </c>
    </row>
    <row r="22" spans="2:26" ht="13.5" thickBot="1">
      <c r="B22" s="221" t="s">
        <v>229</v>
      </c>
      <c r="C22" s="1541">
        <f>VLOOKUP(clim_full,' IPCC'!$A$767:$B$778,2,)</f>
        <v>0</v>
      </c>
      <c r="D22" s="2346">
        <f>IF('5. Management'!H234="",'5. Management'!F234,'5. Management'!H234)</f>
        <v>0</v>
      </c>
      <c r="E22" s="857" t="s">
        <v>354</v>
      </c>
      <c r="F22" s="1941">
        <f>'5. Management'!F49</f>
        <v>0</v>
      </c>
      <c r="G22" s="2003">
        <f>'5. Management'!H49</f>
        <v>0</v>
      </c>
      <c r="H22" s="2340" t="str">
        <f>VLOOKUP('5. Management'!I49,List!$D$35:$E$37,2,)</f>
        <v>Linear</v>
      </c>
      <c r="I22" s="1942">
        <f>'5. Management'!J49</f>
        <v>0</v>
      </c>
      <c r="J22" s="2340" t="str">
        <f>VLOOKUP('5. Management'!K49,List!$D$35:$E$37,2,)</f>
        <v>Linear</v>
      </c>
      <c r="L22" s="1371">
        <f>IF($E22="YES",$C22,$D22)*F22*44/12</f>
        <v>0</v>
      </c>
      <c r="M22" s="1371">
        <f>IF($E22="YES",$C22,$D22)*G22*44/12</f>
        <v>0</v>
      </c>
      <c r="N22" s="1371">
        <f>IF($E22="YES",$C22,$D22)*I22*44/12</f>
        <v>0</v>
      </c>
      <c r="P22" s="1371">
        <f>MIN(L22,M22)*time_tot+ABS(M22-L22)*IF(M22&gt;L22,time2+time*(VLOOKUP(H22,List!$E$35:$F$37,2,)),time*(1-(VLOOKUP(H22,List!$E$35:$F$37,2,))))</f>
        <v>0</v>
      </c>
      <c r="Q22" s="1371">
        <f>MIN(L22,N22)*time_tot+ABS(N22-L22)*IF(N22&gt;L22,time2+time*(VLOOKUP(J22,List!$E$35:$F$37,2,)),time*(1-(VLOOKUP(J22,List!$E$35:$F$37,2,))))</f>
        <v>0</v>
      </c>
      <c r="S22" s="1375">
        <f>Q22-P22</f>
        <v>0</v>
      </c>
      <c r="U22" s="221" t="str">
        <f>B22</f>
        <v>Nutrient-poot peat</v>
      </c>
      <c r="V22" s="1600">
        <f>MAX(F22:G22,I22)</f>
        <v>0</v>
      </c>
      <c r="Y22" s="1914">
        <f>MIN(L22,M22)*time+ABS(M22-L22)*IF(M22&gt;L22,time*(VLOOKUP(H22,List!$E$35:$F$37,2,)),time*(1-(VLOOKUP(H22,List!$E$35:$F$37,2,))))</f>
        <v>0</v>
      </c>
      <c r="Z22" s="1914">
        <f>MIN(L22,N22)*time+ABS(N22-L22)*IF(N22&gt;L22,time*(VLOOKUP(J22,List!$E$35:$F$37,2,)),time*(1-(VLOOKUP(J22,List!$E$35:$F$37,2,))))</f>
        <v>0</v>
      </c>
    </row>
    <row r="23" spans="2:26">
      <c r="B23" s="172" t="s">
        <v>230</v>
      </c>
      <c r="C23" s="1541">
        <f>VLOOKUP(clim_full,' IPCC'!$A$781:$B$792,2,)</f>
        <v>0</v>
      </c>
      <c r="D23" s="2346">
        <f>IF('5. Management'!H235="",'5. Management'!F235,'5. Management'!H235)</f>
        <v>0</v>
      </c>
      <c r="E23" s="857" t="s">
        <v>354</v>
      </c>
      <c r="F23" s="1941">
        <f>'5. Management'!F50</f>
        <v>0</v>
      </c>
      <c r="G23" s="2003">
        <f>'5. Management'!H50</f>
        <v>0</v>
      </c>
      <c r="H23" s="2340" t="str">
        <f>VLOOKUP('5. Management'!I50,List!$D$35:$E$37,2,)</f>
        <v>Linear</v>
      </c>
      <c r="I23" s="1942">
        <f>'5. Management'!J50</f>
        <v>0</v>
      </c>
      <c r="J23" s="2340" t="str">
        <f>VLOOKUP('5. Management'!K50,List!$D$35:$E$37,2,)</f>
        <v>Linear</v>
      </c>
      <c r="L23" s="1371">
        <f>IF($E23="YES",$C23,$D23)*F23*44/12</f>
        <v>0</v>
      </c>
      <c r="M23" s="1371">
        <f>IF($E23="YES",$C23,$D23)*G23*44/12</f>
        <v>0</v>
      </c>
      <c r="N23" s="1371">
        <f>IF($E23="YES",$C23,$D23)*I23*44/12</f>
        <v>0</v>
      </c>
      <c r="P23" s="1371">
        <f>MIN(L23,M23)*time_tot+ABS(M23-L23)*IF(M23&gt;L23,time2+time*(VLOOKUP(H23,List!$E$35:$F$37,2,)),time*(1-(VLOOKUP(H23,List!$E$35:$F$37,2,))))</f>
        <v>0</v>
      </c>
      <c r="Q23" s="1371">
        <f>MIN(L23,N23)*time_tot+ABS(N23-L23)*IF(N23&gt;L23,time2+time*(VLOOKUP(J23,List!$E$35:$F$37,2,)),time*(1-(VLOOKUP(J23,List!$E$35:$F$37,2,))))</f>
        <v>0</v>
      </c>
      <c r="S23" s="1375">
        <f>Q23-P23</f>
        <v>0</v>
      </c>
      <c r="U23" s="172" t="str">
        <f>B23</f>
        <v>Nutrient Rich</v>
      </c>
      <c r="V23" s="1601">
        <f>MAX(F23:G23,I23)</f>
        <v>0</v>
      </c>
      <c r="Y23" s="1914">
        <f>MIN(L23,M23)*time+ABS(M23-L23)*IF(M23&gt;L23,time*(VLOOKUP(H23,List!$E$35:$F$37,2,)),time*(1-(VLOOKUP(H23,List!$E$35:$F$37,2,))))</f>
        <v>0</v>
      </c>
      <c r="Z23" s="1914">
        <f>MIN(L23,N23)*time+ABS(N23-L23)*IF(N23&gt;L23,time*(VLOOKUP(J23,List!$E$35:$F$37,2,)),time*(1-(VLOOKUP(J23,List!$E$35:$F$37,2,))))</f>
        <v>0</v>
      </c>
    </row>
    <row r="24" spans="2:26">
      <c r="Y24" s="1902"/>
      <c r="Z24" s="1914"/>
    </row>
    <row r="25" spans="2:26">
      <c r="B25" s="1534" t="s">
        <v>472</v>
      </c>
      <c r="C25" s="1540"/>
      <c r="D25" s="1534"/>
      <c r="E25" s="1534"/>
      <c r="F25" s="1534"/>
      <c r="G25" s="1534"/>
      <c r="H25" s="1534"/>
      <c r="I25" s="1534"/>
      <c r="J25" s="1534"/>
      <c r="K25" s="1534"/>
      <c r="L25" s="1534"/>
      <c r="M25" s="1534"/>
      <c r="N25" s="1534"/>
      <c r="O25" s="1534"/>
      <c r="P25" s="1534"/>
      <c r="Q25" s="1534"/>
      <c r="R25" s="1534"/>
      <c r="S25" s="1534"/>
      <c r="Y25" s="1902"/>
      <c r="Z25" s="1914"/>
    </row>
    <row r="26" spans="2:26">
      <c r="Y26" s="1902"/>
      <c r="Z26" s="1914"/>
    </row>
    <row r="27" spans="2:26" ht="12.75" customHeight="1" thickBot="1">
      <c r="B27" s="221"/>
      <c r="C27" s="3859" t="s">
        <v>242</v>
      </c>
      <c r="D27" s="3860"/>
      <c r="E27" s="3861"/>
      <c r="F27" s="1537" t="s">
        <v>241</v>
      </c>
      <c r="G27" s="135"/>
      <c r="H27" s="135"/>
      <c r="I27" s="135"/>
      <c r="J27" s="28"/>
      <c r="L27" s="3855" t="s">
        <v>336</v>
      </c>
      <c r="M27" s="3855"/>
      <c r="N27" s="3855"/>
      <c r="P27" s="1535" t="s">
        <v>2</v>
      </c>
      <c r="Q27" s="1535"/>
      <c r="S27" s="1535"/>
      <c r="U27" s="3798" t="s">
        <v>247</v>
      </c>
      <c r="V27" s="3736"/>
      <c r="Y27" s="1902"/>
      <c r="Z27" s="1914"/>
    </row>
    <row r="28" spans="2:26" ht="12.75" customHeight="1">
      <c r="B28" s="171" t="s">
        <v>234</v>
      </c>
      <c r="C28" s="1539" t="s">
        <v>337</v>
      </c>
      <c r="D28" s="1538" t="s">
        <v>338</v>
      </c>
      <c r="E28" s="846" t="s">
        <v>339</v>
      </c>
      <c r="F28" s="124" t="s">
        <v>244</v>
      </c>
      <c r="G28" s="124"/>
      <c r="H28" s="124"/>
      <c r="I28" s="124"/>
      <c r="J28" s="115"/>
      <c r="L28" s="1399" t="s">
        <v>340</v>
      </c>
      <c r="M28" s="1533" t="s">
        <v>341</v>
      </c>
      <c r="N28" s="1533"/>
      <c r="P28" s="3851" t="s">
        <v>342</v>
      </c>
      <c r="Q28" s="3851"/>
      <c r="S28" s="84" t="s">
        <v>343</v>
      </c>
      <c r="U28" s="126" t="s">
        <v>245</v>
      </c>
      <c r="V28" s="31" t="s">
        <v>246</v>
      </c>
      <c r="Y28" s="1872" t="s">
        <v>844</v>
      </c>
      <c r="Z28" s="1902"/>
    </row>
    <row r="29" spans="2:26" ht="13.5" thickBot="1">
      <c r="B29" s="172"/>
      <c r="C29" s="114"/>
      <c r="D29" s="124"/>
      <c r="E29" s="115"/>
      <c r="F29" s="630" t="s">
        <v>340</v>
      </c>
      <c r="G29" s="3852" t="s">
        <v>673</v>
      </c>
      <c r="H29" s="3852"/>
      <c r="I29" s="3853" t="s">
        <v>672</v>
      </c>
      <c r="J29" s="3854"/>
      <c r="L29" s="1399"/>
      <c r="M29" s="1367" t="s">
        <v>674</v>
      </c>
      <c r="N29" s="1368" t="s">
        <v>675</v>
      </c>
      <c r="P29" s="1367" t="s">
        <v>674</v>
      </c>
      <c r="Q29" s="1368" t="s">
        <v>675</v>
      </c>
      <c r="S29" s="1370"/>
      <c r="U29" s="126" t="s">
        <v>248</v>
      </c>
      <c r="V29" s="31" t="s">
        <v>249</v>
      </c>
      <c r="Y29" s="1913" t="s">
        <v>674</v>
      </c>
      <c r="Z29" s="1913" t="s">
        <v>675</v>
      </c>
    </row>
    <row r="30" spans="2:26">
      <c r="B30" s="219" t="s">
        <v>1610</v>
      </c>
      <c r="C30" s="1541">
        <f>VLOOKUP(clim_full,' IPCC'!$A$795:$B$806,2,)</f>
        <v>0</v>
      </c>
      <c r="D30" s="1536"/>
      <c r="E30" s="857" t="s">
        <v>350</v>
      </c>
      <c r="F30" s="935">
        <v>0</v>
      </c>
      <c r="G30" s="938">
        <v>0</v>
      </c>
      <c r="H30" s="676" t="s">
        <v>351</v>
      </c>
      <c r="I30" s="673">
        <v>0</v>
      </c>
      <c r="J30" s="759" t="s">
        <v>351</v>
      </c>
      <c r="L30" s="1371">
        <f>IF($E30="YES",$C30,$D30)*F30*44/12</f>
        <v>0</v>
      </c>
      <c r="M30" s="1371">
        <f>IF($E30="YES",$C30,$D30)*G30*44/12</f>
        <v>0</v>
      </c>
      <c r="N30" s="1371">
        <f>IF($E30="YES",$C30,$D30)*I30*44/12</f>
        <v>0</v>
      </c>
      <c r="P30" s="1371">
        <f>MIN(L30,M30)*time_tot+ABS(M30-L30)*IF(M30&gt;L30,time2+time*(VLOOKUP(H30,List!$E$35:$F$37,2,)),time*(1-(VLOOKUP(H30,List!$E$35:$F$37,2,))))</f>
        <v>0</v>
      </c>
      <c r="Q30" s="1371">
        <f>MIN(L30,N30)*time_tot+ABS(N30-L30)*IF(N30&gt;L30,time2+time*(VLOOKUP(J30,List!$E$35:$F$37,2,)),time*(1-(VLOOKUP(J30,List!$E$35:$F$37,2,))))</f>
        <v>0</v>
      </c>
      <c r="S30" s="1375">
        <f>Q30-P30</f>
        <v>0</v>
      </c>
      <c r="U30" s="1544">
        <v>1</v>
      </c>
      <c r="V30" s="1595">
        <f>U30*VLOOKUP(clim_full,' IPCC'!$A$823:$B$834,2,)</f>
        <v>0</v>
      </c>
      <c r="Y30" s="1914">
        <f>MIN(L30,M30)*time+ABS(M30-L30)*IF(M30&gt;L30,time*(VLOOKUP(H30,List!$E$35:$F$37,2,)),time*(1-(VLOOKUP(H30,List!$E$35:$F$37,2,))))</f>
        <v>0</v>
      </c>
      <c r="Z30" s="1914">
        <f>MIN(L30,N30)*time+ABS(N30-L30)*IF(N30&gt;L30,time*(VLOOKUP(J30,List!$E$35:$F$37,2,)),time*(1-(VLOOKUP(J30,List!$E$35:$F$37,2,))))</f>
        <v>0</v>
      </c>
    </row>
    <row r="31" spans="2:26" ht="13.5" thickBot="1">
      <c r="B31" s="172" t="s">
        <v>230</v>
      </c>
      <c r="C31" s="1541">
        <f>VLOOKUP(clim_full,' IPCC'!$A$809:$B$820,2,)</f>
        <v>0</v>
      </c>
      <c r="D31" s="1536"/>
      <c r="E31" s="857" t="s">
        <v>350</v>
      </c>
      <c r="F31" s="939">
        <v>0</v>
      </c>
      <c r="G31" s="1532">
        <v>0</v>
      </c>
      <c r="H31" s="676" t="s">
        <v>351</v>
      </c>
      <c r="I31" s="941">
        <v>0</v>
      </c>
      <c r="J31" s="759" t="s">
        <v>351</v>
      </c>
      <c r="L31" s="1371">
        <f>IF($E31="YES",$C31,$D31)*F31*44/12</f>
        <v>0</v>
      </c>
      <c r="M31" s="1371">
        <f>IF($E31="YES",$C31,$D31)*G31*44/12</f>
        <v>0</v>
      </c>
      <c r="N31" s="1371">
        <f>IF($E31="YES",$C31,$D31)*I31*44/12</f>
        <v>0</v>
      </c>
      <c r="P31" s="1371">
        <f>MIN(L31,M31)*time_tot+ABS(M31-L31)*IF(M31&gt;L31,time2+time*(VLOOKUP(H31,List!$E$35:$F$37,2,)),time*(1-(VLOOKUP(H31,List!$E$35:$F$37,2,))))</f>
        <v>0</v>
      </c>
      <c r="Q31" s="1371">
        <f>MIN(L31,N31)*time_tot+ABS(N31-L31)*IF(N31&gt;L31,time2+time*(VLOOKUP(J31,List!$E$35:$F$37,2,)),time*(1-(VLOOKUP(J31,List!$E$35:$F$37,2,))))</f>
        <v>0</v>
      </c>
      <c r="S31" s="1375">
        <f>Q31-P31</f>
        <v>0</v>
      </c>
      <c r="U31" s="1545">
        <v>1</v>
      </c>
      <c r="V31" s="1596">
        <f>U31*VLOOKUP(clim_full,' IPCC'!$A$837:$B$848,2,)</f>
        <v>0</v>
      </c>
      <c r="Y31" s="1914">
        <f>MIN(L31,M31)*time+ABS(M31-L31)*IF(M31&gt;L31,time*(VLOOKUP(H31,List!$E$35:$F$37,2,)),time*(1-(VLOOKUP(H31,List!$E$35:$F$37,2,))))</f>
        <v>0</v>
      </c>
      <c r="Z31" s="1914">
        <f>MIN(L31,N31)*time+ABS(N31-L31)*IF(N31&gt;L31,time*(VLOOKUP(J31,List!$E$35:$F$37,2,)),time*(1-(VLOOKUP(J31,List!$E$35:$F$37,2,))))</f>
        <v>0</v>
      </c>
    </row>
    <row r="32" spans="2:26">
      <c r="B32" s="1" t="s">
        <v>243</v>
      </c>
      <c r="Y32" s="1902"/>
      <c r="Z32" s="1914"/>
    </row>
    <row r="33" spans="2:29">
      <c r="B33" s="210" t="s">
        <v>471</v>
      </c>
      <c r="Y33" s="1902"/>
      <c r="Z33" s="1914"/>
    </row>
    <row r="34" spans="2:29">
      <c r="B34" s="1534" t="s">
        <v>253</v>
      </c>
      <c r="C34" s="1540"/>
      <c r="D34" s="1534"/>
      <c r="E34" s="1534"/>
      <c r="F34" s="1534"/>
      <c r="G34" s="1534"/>
      <c r="H34" s="1534"/>
      <c r="I34" s="1534"/>
      <c r="J34" s="1534"/>
      <c r="K34" s="1534"/>
      <c r="L34" s="1534"/>
      <c r="M34" s="1534"/>
      <c r="N34" s="1534"/>
      <c r="O34" s="1534"/>
      <c r="P34" s="1534"/>
      <c r="Q34" s="1534"/>
      <c r="R34" s="1534"/>
      <c r="S34" s="1534"/>
      <c r="Y34" s="1902"/>
      <c r="Z34" s="1914"/>
    </row>
    <row r="35" spans="2:29">
      <c r="Y35" s="1902"/>
      <c r="Z35" s="1914"/>
    </row>
    <row r="36" spans="2:29" ht="13.5" thickBot="1">
      <c r="B36" s="221"/>
      <c r="C36" s="193" t="s">
        <v>256</v>
      </c>
      <c r="D36" s="135"/>
      <c r="E36" s="28"/>
      <c r="F36" s="1537" t="s">
        <v>277</v>
      </c>
      <c r="G36" s="135"/>
      <c r="H36" s="135"/>
      <c r="I36" s="135"/>
      <c r="J36" s="28"/>
      <c r="L36" s="3855" t="s">
        <v>336</v>
      </c>
      <c r="M36" s="3855"/>
      <c r="N36" s="3855"/>
      <c r="P36" s="1535" t="s">
        <v>2</v>
      </c>
      <c r="Q36" s="1535"/>
      <c r="S36" s="1535"/>
      <c r="Y36" s="1872" t="s">
        <v>844</v>
      </c>
      <c r="Z36" s="1902"/>
    </row>
    <row r="37" spans="2:29">
      <c r="B37" s="171" t="s">
        <v>234</v>
      </c>
      <c r="C37" s="1539" t="s">
        <v>337</v>
      </c>
      <c r="D37" s="1538" t="s">
        <v>338</v>
      </c>
      <c r="E37" s="846" t="s">
        <v>339</v>
      </c>
      <c r="F37" s="124"/>
      <c r="G37" s="124"/>
      <c r="H37" s="124"/>
      <c r="I37" s="124"/>
      <c r="J37" s="115"/>
      <c r="L37" s="1399" t="s">
        <v>340</v>
      </c>
      <c r="M37" s="1533" t="s">
        <v>341</v>
      </c>
      <c r="N37" s="1533"/>
      <c r="P37" s="3851" t="s">
        <v>342</v>
      </c>
      <c r="Q37" s="3851"/>
      <c r="S37" s="84" t="s">
        <v>343</v>
      </c>
      <c r="Y37" s="1913" t="s">
        <v>674</v>
      </c>
      <c r="Z37" s="1913" t="s">
        <v>675</v>
      </c>
    </row>
    <row r="38" spans="2:29">
      <c r="B38" s="172"/>
      <c r="C38" s="113"/>
      <c r="D38" s="13"/>
      <c r="E38" s="1543"/>
      <c r="F38" s="630" t="s">
        <v>340</v>
      </c>
      <c r="G38" s="3852" t="s">
        <v>673</v>
      </c>
      <c r="H38" s="3852"/>
      <c r="I38" s="3853" t="s">
        <v>672</v>
      </c>
      <c r="J38" s="3854"/>
      <c r="L38" s="1399"/>
      <c r="M38" s="1367" t="s">
        <v>674</v>
      </c>
      <c r="N38" s="1368" t="s">
        <v>675</v>
      </c>
      <c r="P38" s="1367" t="s">
        <v>674</v>
      </c>
      <c r="Q38" s="1368" t="s">
        <v>675</v>
      </c>
      <c r="S38" s="1370"/>
      <c r="Y38" s="1902"/>
      <c r="Z38" s="1914"/>
    </row>
    <row r="39" spans="2:29">
      <c r="B39" s="221" t="s">
        <v>229</v>
      </c>
      <c r="C39" s="1546">
        <v>0</v>
      </c>
      <c r="D39" s="2348">
        <f>IF('5. Management'!T234="",'5. Management'!R234,'5. Management'!T234)</f>
        <v>0</v>
      </c>
      <c r="E39" s="1547" t="s">
        <v>354</v>
      </c>
      <c r="F39" s="1550">
        <f t="shared" ref="F39:J40" si="1">F22</f>
        <v>0</v>
      </c>
      <c r="G39" s="1551">
        <f t="shared" si="1"/>
        <v>0</v>
      </c>
      <c r="H39" s="2350" t="str">
        <f t="shared" si="1"/>
        <v>Linear</v>
      </c>
      <c r="I39" s="1551">
        <f t="shared" si="1"/>
        <v>0</v>
      </c>
      <c r="J39" s="2352" t="str">
        <f t="shared" si="1"/>
        <v>Linear</v>
      </c>
      <c r="L39" s="1371">
        <f>IF($E39="YES",$C39,$D39)*F39*(44/28)*0.001*Nitrous</f>
        <v>0</v>
      </c>
      <c r="M39" s="1371">
        <f>IF($E39="YES",$C39,$D39)*G39*(44/28)*0.001*Nitrous</f>
        <v>0</v>
      </c>
      <c r="N39" s="1371">
        <f>IF($E39="YES",$C39,$D39)*I39*(44/28)*0.001*Nitrous</f>
        <v>0</v>
      </c>
      <c r="P39" s="1371">
        <f>MIN(L39,M39)*time_tot+ABS(M39-L39)*IF(M39&gt;L39,time2+time*(VLOOKUP(H39,List!$E$35:$F$37,2,)),time*(1-(VLOOKUP(H39,List!$E$35:$F$37,2,))))</f>
        <v>0</v>
      </c>
      <c r="Q39" s="1371">
        <f>MIN(L39,N39)*time_tot+ABS(N39-L39)*IF(N39&gt;L39,time2+time*(VLOOKUP(J39,List!$E$35:$F$37,2,)),time*(1-(VLOOKUP(J39,List!$E$35:$F$37,2,))))</f>
        <v>0</v>
      </c>
      <c r="S39" s="1375">
        <f>Q39-P39</f>
        <v>0</v>
      </c>
      <c r="Y39" s="1914">
        <f>MIN(L39,M39)*time+ABS(M39-L39)*IF(M39&gt;L39,time*(VLOOKUP(H39,List!$E$35:$F$37,2,)),time*(1-(VLOOKUP(H39,List!$E$35:$F$37,2,))))</f>
        <v>0</v>
      </c>
      <c r="Z39" s="1914">
        <f>MIN(L39,N39)*time+ABS(N39-L39)*IF(N39&gt;L39,time*(VLOOKUP(J39,List!$E$35:$F$37,2,)),time*(1-(VLOOKUP(J39,List!$E$35:$F$37,2,))))</f>
        <v>0</v>
      </c>
    </row>
    <row r="40" spans="2:29">
      <c r="B40" s="172" t="s">
        <v>230</v>
      </c>
      <c r="C40" s="1548">
        <f>VLOOKUP(clim_full,' IPCC'!$A$851:$B$862,2,)</f>
        <v>0</v>
      </c>
      <c r="D40" s="2348">
        <f>IF('5. Management'!T235="",'5. Management'!R235,'5. Management'!T235)</f>
        <v>0</v>
      </c>
      <c r="E40" s="1549" t="s">
        <v>354</v>
      </c>
      <c r="F40" s="1552">
        <f t="shared" si="1"/>
        <v>0</v>
      </c>
      <c r="G40" s="1553">
        <f t="shared" si="1"/>
        <v>0</v>
      </c>
      <c r="H40" s="2351" t="str">
        <f t="shared" si="1"/>
        <v>Linear</v>
      </c>
      <c r="I40" s="1553">
        <f t="shared" si="1"/>
        <v>0</v>
      </c>
      <c r="J40" s="2353" t="str">
        <f t="shared" si="1"/>
        <v>Linear</v>
      </c>
      <c r="L40" s="1371">
        <f>IF($E40="YES",$C40,$D40)*F40*(44/28)*0.001*Nitrous</f>
        <v>0</v>
      </c>
      <c r="M40" s="1371">
        <f>IF($E40="YES",$C40,$D40)*G40*(44/28)*0.001*Nitrous</f>
        <v>0</v>
      </c>
      <c r="N40" s="1371">
        <f>IF($E40="YES",$C40,$D40)*I40*(44/28)*0.001*Nitrous</f>
        <v>0</v>
      </c>
      <c r="P40" s="1371">
        <f>MIN(L40,M40)*time_tot+ABS(M40-L40)*IF(M40&gt;L40,time2+time*(VLOOKUP(H40,List!$E$35:$F$37,2,)),time*(1-(VLOOKUP(H40,List!$E$35:$F$37,2,))))</f>
        <v>0</v>
      </c>
      <c r="Q40" s="1371">
        <f>MIN(L40,N40)*time_tot+ABS(N40-L40)*IF(N40&gt;L40,time2+time*(VLOOKUP(J40,List!$E$35:$F$37,2,)),time*(1-(VLOOKUP(J40,List!$E$35:$F$37,2,))))</f>
        <v>0</v>
      </c>
      <c r="S40" s="1375">
        <f>Q40-P40</f>
        <v>0</v>
      </c>
      <c r="Y40" s="1914">
        <f>MIN(L40,M40)*time+ABS(M40-L40)*IF(M40&gt;L40,time*(VLOOKUP(H40,List!$E$35:$F$37,2,)),time*(1-(VLOOKUP(H40,List!$E$35:$F$37,2,))))</f>
        <v>0</v>
      </c>
      <c r="Z40" s="1914">
        <f>MIN(L40,N40)*time+ABS(N40-L40)*IF(N40&gt;L40,time*(VLOOKUP(J40,List!$E$35:$F$37,2,)),time*(1-(VLOOKUP(J40,List!$E$35:$F$37,2,))))</f>
        <v>0</v>
      </c>
    </row>
    <row r="41" spans="2:29">
      <c r="H41" s="19"/>
    </row>
    <row r="42" spans="2:29" ht="13.5" thickBot="1">
      <c r="AA42" s="1901" t="s">
        <v>273</v>
      </c>
      <c r="AB42" s="1901" t="s">
        <v>274</v>
      </c>
      <c r="AC42" s="1901" t="s">
        <v>275</v>
      </c>
    </row>
    <row r="43" spans="2:29" ht="13.5" thickBot="1">
      <c r="M43" s="262" t="s">
        <v>257</v>
      </c>
      <c r="N43" s="263"/>
      <c r="O43" s="263"/>
      <c r="P43" s="1554">
        <f>SUM(P12:P15)+SUM(P22:P23)+SUM(P30:P31)+SUM(P39:P40)</f>
        <v>0</v>
      </c>
      <c r="Q43" s="1554">
        <f>SUM(Q12:Q15)+SUM(Q22:Q23)+SUM(Q30:Q31)+SUM(Q39:Q40)</f>
        <v>0</v>
      </c>
      <c r="R43" s="1083"/>
      <c r="S43" s="1232">
        <f>Q43-P43</f>
        <v>0</v>
      </c>
      <c r="AA43" s="1914">
        <f>SUM(Y39:Y40,Y30:Y31,Y22:Y23,Y12:Y15)</f>
        <v>0</v>
      </c>
      <c r="AB43" s="1914">
        <f>SUM(Z39:Z40,Z30:Z31,Z22:Z23,Z12:Z15)</f>
        <v>0</v>
      </c>
      <c r="AC43" s="1915">
        <f>AB43-AA43</f>
        <v>0</v>
      </c>
    </row>
    <row r="44" spans="2:29">
      <c r="AC44" s="1901" t="s">
        <v>276</v>
      </c>
    </row>
    <row r="45" spans="2:29">
      <c r="M45" s="292" t="s">
        <v>264</v>
      </c>
      <c r="N45" s="1558"/>
      <c r="O45" s="1558"/>
      <c r="P45" s="1558"/>
      <c r="Q45" s="1558"/>
      <c r="R45" s="1558"/>
      <c r="S45" s="1559">
        <f>SUM(V12:V15,V22:V23)</f>
        <v>0</v>
      </c>
      <c r="AC45" s="2801">
        <f>S43-AC43</f>
        <v>0</v>
      </c>
    </row>
  </sheetData>
  <sheetProtection formatCells="0" formatColumns="0" formatRows="0"/>
  <mergeCells count="19">
    <mergeCell ref="C27:E27"/>
    <mergeCell ref="I21:J21"/>
    <mergeCell ref="L36:N36"/>
    <mergeCell ref="P37:Q37"/>
    <mergeCell ref="L27:N27"/>
    <mergeCell ref="P28:Q28"/>
    <mergeCell ref="U27:V27"/>
    <mergeCell ref="G38:H38"/>
    <mergeCell ref="I38:J38"/>
    <mergeCell ref="G5:H5"/>
    <mergeCell ref="G11:H11"/>
    <mergeCell ref="I11:J11"/>
    <mergeCell ref="G29:H29"/>
    <mergeCell ref="I29:J29"/>
    <mergeCell ref="G21:H21"/>
    <mergeCell ref="L9:N9"/>
    <mergeCell ref="P10:Q10"/>
    <mergeCell ref="L19:N19"/>
    <mergeCell ref="P20:Q20"/>
  </mergeCells>
  <phoneticPr fontId="11" type="noConversion"/>
  <dataValidations count="4">
    <dataValidation type="whole" operator="greaterThanOrEqual" allowBlank="1" showInputMessage="1" showErrorMessage="1" sqref="F22:G23 F30:G31 I30:I31 F39:J40 F12:G15 I12:I15 I22:I23">
      <formula1>0</formula1>
    </dataValidation>
    <dataValidation type="list" allowBlank="1" showInputMessage="1" showErrorMessage="1" sqref="H22:H23 H30:H31 J30:J31 J12:J15 H12:H15 J22:J23">
      <formula1>Rate</formula1>
    </dataValidation>
    <dataValidation type="list" allowBlank="1" showInputMessage="1" showErrorMessage="1" sqref="E22:E23 E30:E31 E39:E40 E12:E15">
      <formula1>YES_NO</formula1>
    </dataValidation>
    <dataValidation type="decimal" operator="greaterThanOrEqual" allowBlank="1" showInputMessage="1" showErrorMessage="1" sqref="U30:U31 D22:D23 D12:D15 D30:D31 D39:D40">
      <formula1>0</formula1>
    </dataValidation>
  </dataValidations>
  <hyperlinks>
    <hyperlink ref="G5" location="Description!A1" display="Back to Description"/>
  </hyperlinks>
  <pageMargins left="0.78740157499999996" right="0.78740157499999996" top="0.984251969" bottom="0.984251969" header="0.4921259845" footer="0.4921259845"/>
  <pageSetup paperSize="9" orientation="portrait" r:id="rId1"/>
  <headerFooter alignWithMargins="0"/>
  <ignoredErrors>
    <ignoredError sqref="C13" formula="1"/>
    <ignoredError sqref="F39:F40 G39:G40 H39:H40 I39:I40 J39:J40"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21"/>
    <pageSetUpPr fitToPage="1"/>
  </sheetPr>
  <dimension ref="A1:HT2200"/>
  <sheetViews>
    <sheetView zoomScale="80" zoomScaleNormal="80" workbookViewId="0">
      <pane ySplit="6" topLeftCell="A79" activePane="bottomLeft" state="frozen"/>
      <selection activeCell="R26" sqref="R26"/>
      <selection pane="bottomLeft" activeCell="F104" sqref="F104"/>
    </sheetView>
  </sheetViews>
  <sheetFormatPr defaultColWidth="11.42578125" defaultRowHeight="12.75"/>
  <cols>
    <col min="1" max="1" width="3.42578125" style="26" customWidth="1"/>
    <col min="2" max="2" width="24.85546875" customWidth="1"/>
    <col min="3" max="3" width="9.5703125" style="58" customWidth="1"/>
    <col min="4" max="4" width="6.7109375" style="58" customWidth="1"/>
    <col min="5" max="5" width="6.42578125" style="58" customWidth="1"/>
    <col min="6" max="6" width="13.28515625" customWidth="1"/>
    <col min="7" max="7" width="12.85546875" customWidth="1"/>
    <col min="8" max="8" width="11.140625" style="59" customWidth="1"/>
    <col min="9" max="9" width="2.42578125" customWidth="1"/>
    <col min="10" max="10" width="12.5703125" customWidth="1"/>
    <col min="11" max="11" width="7.5703125" style="59" customWidth="1"/>
    <col min="12" max="12" width="1.7109375" customWidth="1"/>
    <col min="13" max="13" width="13.140625" style="58" customWidth="1"/>
    <col min="14" max="14" width="14.5703125" customWidth="1"/>
    <col min="15" max="15" width="11.85546875" customWidth="1"/>
    <col min="16" max="16" width="2.42578125" customWidth="1"/>
    <col min="17" max="17" width="13.28515625" customWidth="1"/>
    <col min="18" max="18" width="14.42578125" customWidth="1"/>
    <col min="19" max="19" width="1.85546875" style="1" customWidth="1"/>
    <col min="20" max="20" width="16.140625" style="1" customWidth="1"/>
    <col min="21" max="21" width="3.85546875" style="1" customWidth="1"/>
    <col min="22" max="25" width="3.85546875" style="1876" customWidth="1"/>
    <col min="26" max="28" width="8.5703125" style="1876" customWidth="1"/>
    <col min="29" max="29" width="3.85546875" style="1876" customWidth="1"/>
    <col min="30" max="31" width="11.42578125" style="1901" customWidth="1"/>
    <col min="32" max="32" width="2.85546875" style="1901" customWidth="1"/>
    <col min="33" max="34" width="11.42578125" style="1902" customWidth="1"/>
    <col min="35" max="41" width="11.42578125" style="1901" customWidth="1"/>
    <col min="42" max="228" width="11.42578125" style="1" customWidth="1"/>
  </cols>
  <sheetData>
    <row r="1" spans="1:228" s="1636" customFormat="1" ht="22.9" customHeight="1">
      <c r="A1" s="1667"/>
      <c r="C1" s="1637"/>
      <c r="D1" s="1637"/>
      <c r="E1" s="1637"/>
      <c r="H1" s="1668"/>
      <c r="K1" s="1668"/>
      <c r="M1" s="1637"/>
      <c r="AD1" s="1874"/>
      <c r="AE1" s="1874"/>
      <c r="AF1" s="1874"/>
      <c r="AG1" s="1873"/>
      <c r="AH1" s="1873"/>
      <c r="AI1" s="1874"/>
      <c r="AJ1" s="1874"/>
      <c r="AK1" s="1874"/>
      <c r="AL1" s="1874"/>
      <c r="AM1" s="1874"/>
      <c r="AN1" s="1874"/>
      <c r="AO1" s="1874"/>
    </row>
    <row r="2" spans="1:228" s="1636" customFormat="1" ht="22.9" customHeight="1">
      <c r="A2" s="1667"/>
      <c r="C2" s="1637"/>
      <c r="D2" s="1637"/>
      <c r="E2" s="1637"/>
      <c r="H2" s="1668"/>
      <c r="K2" s="1668"/>
      <c r="M2" s="1637"/>
      <c r="AD2" s="1874"/>
      <c r="AE2" s="1874"/>
      <c r="AF2" s="1874"/>
      <c r="AG2" s="1873"/>
      <c r="AH2" s="1873"/>
      <c r="AI2" s="1874"/>
      <c r="AJ2" s="1874"/>
      <c r="AK2" s="1874"/>
      <c r="AL2" s="1874"/>
      <c r="AM2" s="1874"/>
      <c r="AN2" s="1874"/>
      <c r="AO2" s="1874"/>
    </row>
    <row r="3" spans="1:228" s="1636" customFormat="1" ht="22.9" customHeight="1">
      <c r="A3" s="1667"/>
      <c r="C3" s="1637"/>
      <c r="D3" s="1637"/>
      <c r="E3" s="1637"/>
      <c r="H3" s="1668"/>
      <c r="K3" s="1668"/>
      <c r="M3" s="1637"/>
      <c r="AD3" s="1874"/>
      <c r="AE3" s="1874"/>
      <c r="AF3" s="1874"/>
      <c r="AG3" s="1873"/>
      <c r="AH3" s="1873"/>
      <c r="AI3" s="1874"/>
      <c r="AJ3" s="1874"/>
      <c r="AK3" s="1874"/>
      <c r="AL3" s="1874"/>
      <c r="AM3" s="1874"/>
      <c r="AN3" s="1874"/>
      <c r="AO3" s="1874"/>
    </row>
    <row r="4" spans="1:228" s="1636" customFormat="1" ht="22.9" customHeight="1">
      <c r="A4" s="1667"/>
      <c r="C4" s="1637"/>
      <c r="D4" s="1637"/>
      <c r="E4" s="1637"/>
      <c r="H4" s="1668"/>
      <c r="K4" s="1668"/>
      <c r="M4" s="1637"/>
      <c r="AD4" s="1874"/>
      <c r="AE4" s="1874"/>
      <c r="AF4" s="1874"/>
      <c r="AG4" s="1873"/>
      <c r="AH4" s="1873"/>
      <c r="AI4" s="1874"/>
      <c r="AJ4" s="1874"/>
      <c r="AK4" s="1874"/>
      <c r="AL4" s="1874"/>
      <c r="AM4" s="1874"/>
      <c r="AN4" s="1874"/>
      <c r="AO4" s="1874"/>
    </row>
    <row r="5" spans="1:228" s="1671" customFormat="1" ht="22.9" customHeight="1">
      <c r="A5" s="1670" t="s">
        <v>467</v>
      </c>
      <c r="C5" s="1672"/>
      <c r="D5" s="1672"/>
      <c r="E5" s="1672"/>
      <c r="G5" s="3870" t="s">
        <v>470</v>
      </c>
      <c r="H5" s="3870"/>
      <c r="K5" s="1673"/>
      <c r="M5" s="1672"/>
      <c r="AD5" s="1874"/>
      <c r="AE5" s="1874"/>
      <c r="AF5" s="1874"/>
      <c r="AG5" s="1873"/>
      <c r="AH5" s="1873"/>
      <c r="AI5" s="1874"/>
      <c r="AJ5" s="1874"/>
      <c r="AK5" s="1874"/>
      <c r="AL5" s="1874"/>
      <c r="AM5" s="1874"/>
      <c r="AN5" s="1874"/>
      <c r="AO5" s="1874"/>
    </row>
    <row r="6" spans="1:228" s="211" customFormat="1">
      <c r="A6" s="264"/>
      <c r="C6" s="212"/>
      <c r="D6" s="212"/>
      <c r="E6" s="212"/>
      <c r="G6" s="213"/>
      <c r="K6" s="264"/>
      <c r="M6" s="212"/>
      <c r="AD6" s="1901"/>
      <c r="AE6" s="1901"/>
      <c r="AF6" s="1901"/>
      <c r="AG6" s="1902"/>
      <c r="AH6" s="1902"/>
      <c r="AI6" s="1901"/>
      <c r="AJ6" s="1901"/>
      <c r="AK6" s="1901"/>
      <c r="AL6" s="1901"/>
      <c r="AM6" s="1901"/>
      <c r="AN6" s="1901"/>
      <c r="AO6" s="1901"/>
    </row>
    <row r="7" spans="1:228">
      <c r="A7" s="1394"/>
      <c r="B7" s="49"/>
      <c r="C7" s="46"/>
      <c r="D7" s="46"/>
      <c r="E7" s="46"/>
      <c r="F7" s="49"/>
      <c r="G7" s="49"/>
      <c r="H7" s="47"/>
      <c r="I7" s="49"/>
      <c r="J7" s="49"/>
      <c r="K7" s="47"/>
      <c r="L7" s="49"/>
      <c r="M7" s="46"/>
      <c r="N7" s="49"/>
      <c r="O7" s="49"/>
      <c r="P7" s="49"/>
      <c r="Q7" s="49"/>
      <c r="R7" s="49"/>
      <c r="S7" s="49"/>
      <c r="T7" s="49"/>
    </row>
    <row r="8" spans="1:228" s="1393" customFormat="1">
      <c r="A8" s="26"/>
      <c r="B8" s="29" t="s">
        <v>334</v>
      </c>
      <c r="C8" s="39"/>
      <c r="D8" s="39"/>
      <c r="E8" s="39"/>
      <c r="F8" s="40"/>
      <c r="G8" s="40"/>
      <c r="H8" s="41"/>
      <c r="I8" s="40"/>
      <c r="J8" s="40"/>
      <c r="K8" s="41"/>
      <c r="L8" s="40"/>
      <c r="M8" s="39"/>
      <c r="N8" s="40"/>
      <c r="O8" s="40"/>
      <c r="P8" s="40"/>
      <c r="Q8" s="40"/>
      <c r="R8" s="40"/>
      <c r="S8" s="40"/>
      <c r="T8" s="1392"/>
      <c r="U8" s="15"/>
      <c r="V8" s="15"/>
      <c r="W8" s="15"/>
      <c r="X8" s="15"/>
      <c r="Y8" s="15"/>
      <c r="Z8" s="15"/>
      <c r="AA8" s="15"/>
      <c r="AB8" s="15"/>
      <c r="AC8" s="15"/>
      <c r="AD8" s="1903"/>
      <c r="AE8" s="1903"/>
      <c r="AF8" s="1903"/>
      <c r="AG8" s="1871"/>
      <c r="AH8" s="1871"/>
      <c r="AI8" s="1903"/>
      <c r="AJ8" s="1903"/>
      <c r="AK8" s="1903"/>
      <c r="AL8" s="1903"/>
      <c r="AM8" s="1903"/>
      <c r="AN8" s="1903"/>
      <c r="AO8" s="1903"/>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row>
    <row r="9" spans="1:228" ht="13.5" thickBot="1">
      <c r="A9" s="1394"/>
      <c r="B9" s="111"/>
      <c r="C9" s="1395"/>
      <c r="D9" s="1395"/>
      <c r="E9" s="1395"/>
      <c r="F9" s="3864" t="s">
        <v>335</v>
      </c>
      <c r="G9" s="3864"/>
      <c r="H9" s="3864"/>
      <c r="I9" s="3864"/>
      <c r="J9" s="3864"/>
      <c r="K9" s="3864"/>
      <c r="L9" s="49"/>
      <c r="M9" s="3862" t="s">
        <v>336</v>
      </c>
      <c r="N9" s="3862"/>
      <c r="O9" s="3862"/>
      <c r="P9" s="49"/>
      <c r="Q9" s="1365" t="s">
        <v>2</v>
      </c>
      <c r="R9" s="1365"/>
      <c r="S9" s="1365"/>
      <c r="T9" s="1365"/>
    </row>
    <row r="10" spans="1:228" ht="12.75" customHeight="1">
      <c r="A10" s="1394"/>
      <c r="B10" s="186"/>
      <c r="C10" s="84" t="s">
        <v>337</v>
      </c>
      <c r="D10" s="65" t="s">
        <v>4823</v>
      </c>
      <c r="E10" s="1397" t="s">
        <v>339</v>
      </c>
      <c r="F10" s="1398" t="s">
        <v>340</v>
      </c>
      <c r="G10" s="3867" t="s">
        <v>673</v>
      </c>
      <c r="H10" s="3868"/>
      <c r="I10" s="49"/>
      <c r="J10" s="3865" t="s">
        <v>672</v>
      </c>
      <c r="K10" s="3866"/>
      <c r="L10" s="49"/>
      <c r="M10" s="1399" t="s">
        <v>340</v>
      </c>
      <c r="N10" s="3863" t="s">
        <v>341</v>
      </c>
      <c r="O10" s="3863"/>
      <c r="P10" s="49"/>
      <c r="Q10" s="3851" t="s">
        <v>342</v>
      </c>
      <c r="R10" s="3851"/>
      <c r="S10" s="49"/>
      <c r="T10" s="84" t="s">
        <v>343</v>
      </c>
      <c r="Z10" s="1368" t="s">
        <v>1493</v>
      </c>
      <c r="AD10" s="1901" t="s">
        <v>516</v>
      </c>
      <c r="AG10" s="1872" t="s">
        <v>844</v>
      </c>
    </row>
    <row r="11" spans="1:228" s="32" customFormat="1" ht="12.75" customHeight="1" thickBot="1">
      <c r="A11" s="1400"/>
      <c r="B11" s="1401" t="s">
        <v>344</v>
      </c>
      <c r="C11" s="84" t="s">
        <v>345</v>
      </c>
      <c r="D11" s="65" t="s">
        <v>674</v>
      </c>
      <c r="E11" s="2861" t="s">
        <v>675</v>
      </c>
      <c r="F11" s="1398" t="s">
        <v>347</v>
      </c>
      <c r="G11" s="1402" t="s">
        <v>341</v>
      </c>
      <c r="H11" s="1403" t="s">
        <v>348</v>
      </c>
      <c r="I11" s="1369"/>
      <c r="J11" s="1404" t="s">
        <v>341</v>
      </c>
      <c r="K11" s="1405" t="s">
        <v>348</v>
      </c>
      <c r="L11" s="1369"/>
      <c r="M11" s="1399"/>
      <c r="N11" s="1367" t="s">
        <v>674</v>
      </c>
      <c r="O11" s="1368" t="s">
        <v>675</v>
      </c>
      <c r="P11" s="1369"/>
      <c r="Q11" s="1367" t="s">
        <v>674</v>
      </c>
      <c r="R11" s="1368" t="s">
        <v>675</v>
      </c>
      <c r="S11" s="1369"/>
      <c r="T11" s="1370"/>
      <c r="V11" s="1399" t="s">
        <v>340</v>
      </c>
      <c r="W11" s="1367" t="s">
        <v>674</v>
      </c>
      <c r="X11" s="1368" t="s">
        <v>675</v>
      </c>
      <c r="Y11" s="1368"/>
      <c r="Z11" s="1399" t="s">
        <v>340</v>
      </c>
      <c r="AA11" s="1367" t="s">
        <v>674</v>
      </c>
      <c r="AB11" s="1368" t="s">
        <v>675</v>
      </c>
      <c r="AD11" s="1368" t="s">
        <v>674</v>
      </c>
      <c r="AE11" s="1904" t="s">
        <v>675</v>
      </c>
      <c r="AF11" s="1904"/>
      <c r="AG11" s="1913" t="s">
        <v>674</v>
      </c>
      <c r="AH11" s="1913" t="s">
        <v>675</v>
      </c>
      <c r="AI11" s="1904"/>
      <c r="AJ11" s="1904"/>
      <c r="AK11" s="1904"/>
      <c r="AL11" s="1904"/>
      <c r="AM11" s="1904"/>
      <c r="AN11" s="1904"/>
      <c r="AO11" s="1904"/>
    </row>
    <row r="12" spans="1:228" ht="13.5" thickBot="1">
      <c r="A12" s="1394"/>
      <c r="B12" s="35" t="s">
        <v>349</v>
      </c>
      <c r="C12" s="1406">
        <f>VLOOKUP(region,' IPCC'!$A$360:$C$371,2,FALSE)</f>
        <v>0</v>
      </c>
      <c r="D12" s="2255">
        <f>IF('4.Grassland'!E130="",'4.Grassland'!D130,'4.Grassland'!E130)</f>
        <v>0</v>
      </c>
      <c r="E12" s="2255">
        <f>IF('4.Grassland'!G130="",'4.Grassland'!D130,'4.Grassland'!G130)</f>
        <v>0</v>
      </c>
      <c r="F12" s="1941">
        <f>'4.Grassland'!D45</f>
        <v>0</v>
      </c>
      <c r="G12" s="1941">
        <f>'4.Grassland'!E45</f>
        <v>0</v>
      </c>
      <c r="H12" s="2256" t="str">
        <f>VLOOKUP('4.Grassland'!F45,List!$D$35:$E$37,2,)</f>
        <v>Linear</v>
      </c>
      <c r="I12" s="49"/>
      <c r="J12" s="1942">
        <f>'4.Grassland'!G45</f>
        <v>0</v>
      </c>
      <c r="K12" s="2256" t="str">
        <f>VLOOKUP('4.Grassland'!H45,List!$D$35:$E$37,2,)</f>
        <v>Linear</v>
      </c>
      <c r="L12" s="49"/>
      <c r="M12" s="1371">
        <f>IF($E12="YES",$C12,$D12)*(methane*F12/1000)</f>
        <v>0</v>
      </c>
      <c r="N12" s="2866">
        <f t="shared" ref="N12:N20" si="0">$D12*(methane*G12/1000)</f>
        <v>0</v>
      </c>
      <c r="O12" s="2866">
        <f t="shared" ref="O12:O20" si="1">$E12*(methane*J12/1000)</f>
        <v>0</v>
      </c>
      <c r="P12" s="1374"/>
      <c r="Q12" s="1371">
        <f>MIN(M12,N12)*time_tot+ABS(N12-M12)*IF(N12&gt;M12,time2+time*(VLOOKUP(H12,List!$E$35:$F$37,2,)),time*(1-(VLOOKUP(H12,List!$E$35:$F$37,2,))))</f>
        <v>0</v>
      </c>
      <c r="R12" s="1371">
        <f>MIN(M12,O12)*time_tot+ABS(O12-M12)*IF(O12&gt;M12,time2+time*(VLOOKUP(K12,List!$E$35:$F$37,2,)),time*(1-(VLOOKUP(K12,List!$E$35:$F$37,2,))))</f>
        <v>0</v>
      </c>
      <c r="S12" s="1374"/>
      <c r="T12" s="1375">
        <f t="shared" ref="T12:T22" si="2">R12-Q12</f>
        <v>0</v>
      </c>
      <c r="V12" s="2058">
        <f>'4.Grassland'!W45</f>
        <v>0</v>
      </c>
      <c r="W12" s="2058">
        <f>'4.Grassland'!X45</f>
        <v>0</v>
      </c>
      <c r="X12" s="2059">
        <f>'4.Grassland'!Y45</f>
        <v>0</v>
      </c>
      <c r="Y12" s="2060"/>
      <c r="Z12" s="2060">
        <f>V12*F12</f>
        <v>0</v>
      </c>
      <c r="AA12" s="2060">
        <f>W12*G12</f>
        <v>0</v>
      </c>
      <c r="AB12" s="2061">
        <f>X12*J12</f>
        <v>0</v>
      </c>
      <c r="AD12" s="2060">
        <f>(time*((ABS(AA12-Z12)*(IF(Z12&lt;=AA12,VLOOKUP(H12,List!$E$35:$F$37,2,),1-VLOOKUP(H12,List!$E$35:$F$37,2,))))+MIN(AA12,Z12))+(AA12*time2))</f>
        <v>0</v>
      </c>
      <c r="AE12" s="2060">
        <f>(time*((ABS(AB12-Z12)*(IF(Z12&lt;=AB12,VLOOKUP(K12,List!$E$35:$F$37,2,),1-VLOOKUP(K12,List!$E$35:$F$37,2,))))+MIN(AB12,Z12))+(AB12*time2))</f>
        <v>0</v>
      </c>
      <c r="AG12" s="1902">
        <f>MIN(M12,N12)*time+ABS(N12-M12)*IF(N12&gt;M12,time*(VLOOKUP(H12,List!$E$35:$F$37,2,)),time*(1-(VLOOKUP(H12,List!$E$35:$F$37,2,))))</f>
        <v>0</v>
      </c>
      <c r="AH12" s="1914">
        <f>MIN(M12,O12)*time+ABS(O12-M12)*IF(O12&gt;M12,time*(VLOOKUP(K12,List!$E$35:$F$37,2,)),time*(1-(VLOOKUP(K12,List!$E$35:$F$37,2,))))</f>
        <v>0</v>
      </c>
    </row>
    <row r="13" spans="1:228" ht="13.5" thickBot="1">
      <c r="A13" s="1394"/>
      <c r="B13" s="35" t="s">
        <v>353</v>
      </c>
      <c r="C13" s="1408">
        <f>VLOOKUP(region,' IPCC'!$A$360:$C$371,3,FALSE)</f>
        <v>0</v>
      </c>
      <c r="D13" s="2255">
        <f>IF('4.Grassland'!E131="",'4.Grassland'!D131,'4.Grassland'!E131)</f>
        <v>0</v>
      </c>
      <c r="E13" s="2255">
        <f>IF('4.Grassland'!G131="",'4.Grassland'!D131,'4.Grassland'!G131)</f>
        <v>0</v>
      </c>
      <c r="F13" s="1941">
        <f>'4.Grassland'!D46</f>
        <v>0</v>
      </c>
      <c r="G13" s="1941">
        <f>'4.Grassland'!E46</f>
        <v>0</v>
      </c>
      <c r="H13" s="2256" t="str">
        <f>VLOOKUP('4.Grassland'!F46,List!$D$35:$E$37,2,)</f>
        <v>Linear</v>
      </c>
      <c r="I13" s="49"/>
      <c r="J13" s="1942">
        <f>'4.Grassland'!G46</f>
        <v>0</v>
      </c>
      <c r="K13" s="2256" t="str">
        <f>VLOOKUP('4.Grassland'!H46,List!$D$35:$E$37,2,)</f>
        <v>Linear</v>
      </c>
      <c r="L13" s="49"/>
      <c r="M13" s="1371">
        <f t="shared" ref="M13:M22" si="3">IF($E13="YES",$C13,$D13)*(methane*F13/1000)</f>
        <v>0</v>
      </c>
      <c r="N13" s="2866">
        <f t="shared" si="0"/>
        <v>0</v>
      </c>
      <c r="O13" s="2866">
        <f t="shared" si="1"/>
        <v>0</v>
      </c>
      <c r="P13" s="1374"/>
      <c r="Q13" s="1371">
        <f>MIN(M13,N13)*time_tot+ABS(N13-M13)*IF(N13&gt;M13,time2+time*(VLOOKUP(H13,List!$E$35:$F$37,2,)),time*(1-(VLOOKUP(H13,List!$E$35:$F$37,2,))))</f>
        <v>0</v>
      </c>
      <c r="R13" s="1371">
        <f>MIN(M13,O13)*time_tot+ABS(O13-M13)*IF(O13&gt;M13,time2+time*(VLOOKUP(K13,List!$E$35:$F$37,2,)),time*(1-(VLOOKUP(K13,List!$E$35:$F$37,2,))))</f>
        <v>0</v>
      </c>
      <c r="S13" s="1374"/>
      <c r="T13" s="1375">
        <f t="shared" si="2"/>
        <v>0</v>
      </c>
      <c r="V13" s="2058">
        <f>'4.Grassland'!W46</f>
        <v>0</v>
      </c>
      <c r="W13" s="2058">
        <f>'4.Grassland'!X46</f>
        <v>0</v>
      </c>
      <c r="X13" s="2059">
        <f>'4.Grassland'!Y46</f>
        <v>0</v>
      </c>
      <c r="Y13" s="2060"/>
      <c r="Z13" s="2060">
        <f t="shared" ref="Z13:Z20" si="4">V13*F13</f>
        <v>0</v>
      </c>
      <c r="AA13" s="2060">
        <f t="shared" ref="AA13:AA20" si="5">W13*G13</f>
        <v>0</v>
      </c>
      <c r="AB13" s="2061">
        <f t="shared" ref="AB13:AB20" si="6">X13*J13</f>
        <v>0</v>
      </c>
      <c r="AD13" s="2060">
        <f>(time*((ABS(AA13-Z13)*(IF(Z13&lt;=AA13,VLOOKUP(H13,List!$E$35:$F$37,2,),1-VLOOKUP(H13,List!$E$35:$F$37,2,))))+MIN(AA13,Z13))+(AA13*time2))</f>
        <v>0</v>
      </c>
      <c r="AE13" s="2060">
        <f>(time*((ABS(AB13-Z13)*(IF(Z13&lt;=AB13,VLOOKUP(K13,List!$E$35:$F$37,2,),1-VLOOKUP(K13,List!$E$35:$F$37,2,))))+MIN(AB13,Z13))+(AB13*time2))</f>
        <v>0</v>
      </c>
      <c r="AG13" s="1902">
        <f>MIN(M13,N13)*time+ABS(N13-M13)*IF(N13&gt;M13,time*(VLOOKUP(H13,List!$E$35:$F$37,2,)),time*(1-(VLOOKUP(H13,List!$E$35:$F$37,2,))))</f>
        <v>0</v>
      </c>
      <c r="AH13" s="1914">
        <f>MIN(M13,O13)*time+ABS(O13-M13)*IF(O13&gt;M13,time*(VLOOKUP(K13,List!$E$35:$F$37,2,)),time*(1-(VLOOKUP(K13,List!$E$35:$F$37,2,))))</f>
        <v>0</v>
      </c>
    </row>
    <row r="14" spans="1:228" ht="13.5" thickBot="1">
      <c r="A14" s="1394"/>
      <c r="B14" s="35" t="s">
        <v>355</v>
      </c>
      <c r="C14" s="1406">
        <v>55</v>
      </c>
      <c r="D14" s="2255">
        <f>IF('4.Grassland'!E132="",'4.Grassland'!D132,'4.Grassland'!E132)</f>
        <v>55</v>
      </c>
      <c r="E14" s="2255">
        <f>IF('4.Grassland'!G132="",'4.Grassland'!D132,'4.Grassland'!G132)</f>
        <v>55</v>
      </c>
      <c r="F14" s="1941">
        <f>'4.Grassland'!D47</f>
        <v>0</v>
      </c>
      <c r="G14" s="1941">
        <f>'4.Grassland'!E47</f>
        <v>0</v>
      </c>
      <c r="H14" s="2256" t="str">
        <f>VLOOKUP('4.Grassland'!F47,List!$D$35:$E$37,2,)</f>
        <v>Linear</v>
      </c>
      <c r="I14" s="49"/>
      <c r="J14" s="1942">
        <f>'4.Grassland'!G47</f>
        <v>0</v>
      </c>
      <c r="K14" s="2256" t="str">
        <f>VLOOKUP('4.Grassland'!H47,List!$D$35:$E$37,2,)</f>
        <v>Linear</v>
      </c>
      <c r="L14" s="49"/>
      <c r="M14" s="1371">
        <f t="shared" si="3"/>
        <v>0</v>
      </c>
      <c r="N14" s="2866">
        <f t="shared" si="0"/>
        <v>0</v>
      </c>
      <c r="O14" s="2866">
        <f t="shared" si="1"/>
        <v>0</v>
      </c>
      <c r="P14" s="1374"/>
      <c r="Q14" s="1371">
        <f>MIN(M14,N14)*time_tot+ABS(N14-M14)*IF(N14&gt;M14,time2+time*(VLOOKUP(H14,List!$E$35:$F$37,2,)),time*(1-(VLOOKUP(H14,List!$E$35:$F$37,2,))))</f>
        <v>0</v>
      </c>
      <c r="R14" s="1371">
        <f>MIN(M14,O14)*time_tot+ABS(O14-M14)*IF(O14&gt;M14,time2+time*(VLOOKUP(K14,List!$E$35:$F$37,2,)),time*(1-(VLOOKUP(K14,List!$E$35:$F$37,2,))))</f>
        <v>0</v>
      </c>
      <c r="S14" s="1374"/>
      <c r="T14" s="1375">
        <f t="shared" si="2"/>
        <v>0</v>
      </c>
      <c r="V14" s="2058">
        <f>'4.Grassland'!W47</f>
        <v>0</v>
      </c>
      <c r="W14" s="2058">
        <f>'4.Grassland'!X47</f>
        <v>0</v>
      </c>
      <c r="X14" s="2059">
        <f>'4.Grassland'!Y47</f>
        <v>0</v>
      </c>
      <c r="Y14" s="2060"/>
      <c r="Z14" s="2060">
        <f t="shared" si="4"/>
        <v>0</v>
      </c>
      <c r="AA14" s="2060">
        <f t="shared" si="5"/>
        <v>0</v>
      </c>
      <c r="AB14" s="2061">
        <f t="shared" si="6"/>
        <v>0</v>
      </c>
      <c r="AD14" s="2060">
        <f>(time*((ABS(AA14-Z14)*(IF(Z14&lt;=AA14,VLOOKUP(H14,List!$E$35:$F$37,2,),1-VLOOKUP(H14,List!$E$35:$F$37,2,))))+MIN(AA14,Z14))+(AA14*time2))</f>
        <v>0</v>
      </c>
      <c r="AE14" s="2060">
        <f>(time*((ABS(AB14-Z14)*(IF(Z14&lt;=AB14,VLOOKUP(K14,List!$E$35:$F$37,2,),1-VLOOKUP(K14,List!$E$35:$F$37,2,))))+MIN(AB14,Z14))+(AB14*time2))</f>
        <v>0</v>
      </c>
      <c r="AG14" s="1902">
        <f>MIN(M14,N14)*time+ABS(N14-M14)*IF(N14&gt;M14,time*(VLOOKUP(H14,List!$E$35:$F$37,2,)),time*(1-(VLOOKUP(H14,List!$E$35:$F$37,2,))))</f>
        <v>0</v>
      </c>
      <c r="AH14" s="1914">
        <f>MIN(M14,O14)*time+ABS(O14-M14)*IF(O14&gt;M14,time*(VLOOKUP(K14,List!$E$35:$F$37,2,)),time*(1-(VLOOKUP(K14,List!$E$35:$F$37,2,))))</f>
        <v>0</v>
      </c>
    </row>
    <row r="15" spans="1:228" ht="13.5" thickBot="1">
      <c r="A15" s="1394"/>
      <c r="B15" s="35" t="s">
        <v>359</v>
      </c>
      <c r="C15" s="1406">
        <f>IF(c_type="developed",VLOOKUP(B15,' IPCC'!A335:B343,2,FALSE),VLOOKUP(B15,' IPCC'!A347:B355,2,FALSE))</f>
        <v>5</v>
      </c>
      <c r="D15" s="2255">
        <f>IF('4.Grassland'!E133="",'4.Grassland'!D133,'4.Grassland'!E133)</f>
        <v>5</v>
      </c>
      <c r="E15" s="2255">
        <f>IF('4.Grassland'!G133="",'4.Grassland'!D133,'4.Grassland'!G133)</f>
        <v>5</v>
      </c>
      <c r="F15" s="1941">
        <f>'4.Grassland'!D48</f>
        <v>0</v>
      </c>
      <c r="G15" s="1941">
        <f>'4.Grassland'!E48</f>
        <v>0</v>
      </c>
      <c r="H15" s="2256" t="str">
        <f>VLOOKUP('4.Grassland'!F48,List!$D$35:$E$37,2,)</f>
        <v>Linear</v>
      </c>
      <c r="I15" s="49"/>
      <c r="J15" s="1942">
        <f>'4.Grassland'!G48</f>
        <v>0</v>
      </c>
      <c r="K15" s="2256" t="str">
        <f>VLOOKUP('4.Grassland'!H48,List!$D$35:$E$37,2,)</f>
        <v>Linear</v>
      </c>
      <c r="L15" s="49"/>
      <c r="M15" s="1371">
        <f>IF($E15="YES",$C15,$D15)*(methane*F15/1000)</f>
        <v>0</v>
      </c>
      <c r="N15" s="2866">
        <f t="shared" si="0"/>
        <v>0</v>
      </c>
      <c r="O15" s="2866">
        <f t="shared" si="1"/>
        <v>0</v>
      </c>
      <c r="P15" s="1374"/>
      <c r="Q15" s="1371">
        <f>MIN(M15,N15)*time_tot+ABS(N15-M15)*IF(N15&gt;M15,time2+time*(VLOOKUP(H15,List!$E$35:$F$37,2,)),time*(1-(VLOOKUP(H15,List!$E$35:$F$37,2,))))</f>
        <v>0</v>
      </c>
      <c r="R15" s="1371">
        <f>MIN(M15,O15)*time_tot+ABS(O15-M15)*IF(O15&gt;M15,time2+time*(VLOOKUP(K15,List!$E$35:$F$37,2,)),time*(1-(VLOOKUP(K15,List!$E$35:$F$37,2,))))</f>
        <v>0</v>
      </c>
      <c r="S15" s="1374"/>
      <c r="T15" s="1375">
        <f>R15-Q15</f>
        <v>0</v>
      </c>
      <c r="V15" s="2058">
        <f>'4.Grassland'!W48</f>
        <v>0</v>
      </c>
      <c r="W15" s="2058">
        <f>'4.Grassland'!X48</f>
        <v>0</v>
      </c>
      <c r="X15" s="2059">
        <f>'4.Grassland'!Y48</f>
        <v>0</v>
      </c>
      <c r="Y15" s="2060"/>
      <c r="Z15" s="2060">
        <f t="shared" si="4"/>
        <v>0</v>
      </c>
      <c r="AA15" s="2060">
        <f t="shared" si="5"/>
        <v>0</v>
      </c>
      <c r="AB15" s="2061">
        <f t="shared" si="6"/>
        <v>0</v>
      </c>
      <c r="AD15" s="2060">
        <f>(time*((ABS(AA15-Z15)*(IF(Z15&lt;=AA15,VLOOKUP(H15,List!$E$35:$F$37,2,),1-VLOOKUP(H15,List!$E$35:$F$37,2,))))+MIN(AA15,Z15))+(AA15*time2))</f>
        <v>0</v>
      </c>
      <c r="AE15" s="2060">
        <f>(time*((ABS(AB15-Z15)*(IF(Z15&lt;=AB15,VLOOKUP(K15,List!$E$35:$F$37,2,),1-VLOOKUP(K15,List!$E$35:$F$37,2,))))+MIN(AB15,Z15))+(AB15*time2))</f>
        <v>0</v>
      </c>
      <c r="AG15" s="1902">
        <f>MIN(M15,N15)*time+ABS(N15-M15)*IF(N15&gt;M15,time*(VLOOKUP(H15,List!$E$35:$F$37,2,)),time*(1-(VLOOKUP(H15,List!$E$35:$F$37,2,))))</f>
        <v>0</v>
      </c>
      <c r="AH15" s="1914">
        <f>MIN(M15,O15)*time+ABS(O15-M15)*IF(O15&gt;M15,time*(VLOOKUP(K15,List!$E$35:$F$37,2,)),time*(1-(VLOOKUP(K15,List!$E$35:$F$37,2,))))</f>
        <v>0</v>
      </c>
    </row>
    <row r="16" spans="1:228" ht="13.5" thickBot="1">
      <c r="A16" s="1394"/>
      <c r="B16" s="35" t="s">
        <v>357</v>
      </c>
      <c r="C16" s="1406">
        <f>IF(c_type="Developed",1,1.5)</f>
        <v>1.5</v>
      </c>
      <c r="D16" s="2255">
        <f>IF('4.Grassland'!E134="",'4.Grassland'!D134,'4.Grassland'!E134)</f>
        <v>1.5</v>
      </c>
      <c r="E16" s="2255">
        <f>IF('4.Grassland'!G134="",'4.Grassland'!D134,'4.Grassland'!G134)</f>
        <v>1.5</v>
      </c>
      <c r="F16" s="1941">
        <f>'4.Grassland'!D49</f>
        <v>0</v>
      </c>
      <c r="G16" s="1941">
        <f>'4.Grassland'!E49</f>
        <v>0</v>
      </c>
      <c r="H16" s="2256" t="str">
        <f>VLOOKUP('4.Grassland'!F49,List!$D$35:$E$37,2,)</f>
        <v>Linear</v>
      </c>
      <c r="I16" s="49"/>
      <c r="J16" s="1942">
        <f>'4.Grassland'!G49</f>
        <v>0</v>
      </c>
      <c r="K16" s="2256" t="str">
        <f>VLOOKUP('4.Grassland'!H49,List!$D$35:$E$37,2,)</f>
        <v>Linear</v>
      </c>
      <c r="L16" s="49"/>
      <c r="M16" s="1371">
        <f t="shared" si="3"/>
        <v>0</v>
      </c>
      <c r="N16" s="2866">
        <f t="shared" si="0"/>
        <v>0</v>
      </c>
      <c r="O16" s="2866">
        <f t="shared" si="1"/>
        <v>0</v>
      </c>
      <c r="P16" s="1374"/>
      <c r="Q16" s="1371">
        <f>MIN(M16,N16)*time_tot+ABS(N16-M16)*IF(N16&gt;M16,time2+time*(VLOOKUP(H16,List!$E$35:$F$37,2,)),time*(1-(VLOOKUP(H16,List!$E$35:$F$37,2,))))</f>
        <v>0</v>
      </c>
      <c r="R16" s="1371">
        <f>MIN(M16,O16)*time_tot+ABS(O16-M16)*IF(O16&gt;M16,time2+time*(VLOOKUP(K16,List!$E$35:$F$37,2,)),time*(1-(VLOOKUP(K16,List!$E$35:$F$37,2,))))</f>
        <v>0</v>
      </c>
      <c r="S16" s="1374"/>
      <c r="T16" s="1375">
        <f t="shared" si="2"/>
        <v>0</v>
      </c>
      <c r="V16" s="2058">
        <f>'4.Grassland'!W49</f>
        <v>0</v>
      </c>
      <c r="W16" s="2058">
        <f>'4.Grassland'!X49</f>
        <v>0</v>
      </c>
      <c r="X16" s="2059">
        <f>'4.Grassland'!Y49</f>
        <v>0</v>
      </c>
      <c r="Y16" s="2060"/>
      <c r="Z16" s="2060">
        <f t="shared" si="4"/>
        <v>0</v>
      </c>
      <c r="AA16" s="2060">
        <f t="shared" si="5"/>
        <v>0</v>
      </c>
      <c r="AB16" s="2061">
        <f t="shared" si="6"/>
        <v>0</v>
      </c>
      <c r="AD16" s="2060">
        <f>(time*((ABS(AA16-Z16)*(IF(Z16&lt;=AA16,VLOOKUP(H16,List!$E$35:$F$37,2,),1-VLOOKUP(H16,List!$E$35:$F$37,2,))))+MIN(AA16,Z16))+(AA16*time2))</f>
        <v>0</v>
      </c>
      <c r="AE16" s="2060">
        <f>(time*((ABS(AB16-Z16)*(IF(Z16&lt;=AB16,VLOOKUP(K16,List!$E$35:$F$37,2,),1-VLOOKUP(K16,List!$E$35:$F$37,2,))))+MIN(AB16,Z16))+(AB16*time2))</f>
        <v>0</v>
      </c>
      <c r="AG16" s="1902">
        <f>MIN(M16,N16)*time+ABS(N16-M16)*IF(N16&gt;M16,time*(VLOOKUP(H16,List!$E$35:$F$37,2,)),time*(1-(VLOOKUP(H16,List!$E$35:$F$37,2,))))</f>
        <v>0</v>
      </c>
      <c r="AH16" s="1914">
        <f>MIN(M16,O16)*time+ABS(O16-M16)*IF(O16&gt;M16,time*(VLOOKUP(K16,List!$E$35:$F$37,2,)),time*(1-(VLOOKUP(K16,List!$E$35:$F$37,2,))))</f>
        <v>0</v>
      </c>
    </row>
    <row r="17" spans="1:35" ht="13.5" thickBot="1">
      <c r="A17" s="1394"/>
      <c r="B17" s="35" t="s">
        <v>358</v>
      </c>
      <c r="C17" s="1406">
        <f>IF(c_type="Developed",1,1.5)</f>
        <v>1.5</v>
      </c>
      <c r="D17" s="2255">
        <f>IF('4.Grassland'!E135="",'4.Grassland'!D135,'4.Grassland'!E135)</f>
        <v>1.5</v>
      </c>
      <c r="E17" s="2255">
        <f>IF('4.Grassland'!G135="",'4.Grassland'!D135,'4.Grassland'!G135)</f>
        <v>1.5</v>
      </c>
      <c r="F17" s="1941">
        <f>'4.Grassland'!D50</f>
        <v>0</v>
      </c>
      <c r="G17" s="1941">
        <f>'4.Grassland'!E50</f>
        <v>0</v>
      </c>
      <c r="H17" s="2256" t="str">
        <f>VLOOKUP('4.Grassland'!F50,List!$D$35:$E$37,2,)</f>
        <v>Linear</v>
      </c>
      <c r="I17" s="49"/>
      <c r="J17" s="1942">
        <f>'4.Grassland'!G50</f>
        <v>0</v>
      </c>
      <c r="K17" s="2256" t="str">
        <f>VLOOKUP('4.Grassland'!H50,List!$D$35:$E$37,2,)</f>
        <v>Linear</v>
      </c>
      <c r="L17" s="49"/>
      <c r="M17" s="1371">
        <f t="shared" si="3"/>
        <v>0</v>
      </c>
      <c r="N17" s="2866">
        <f t="shared" si="0"/>
        <v>0</v>
      </c>
      <c r="O17" s="2866">
        <f t="shared" si="1"/>
        <v>0</v>
      </c>
      <c r="P17" s="1374"/>
      <c r="Q17" s="1371">
        <f>MIN(M17,N17)*time_tot+ABS(N17-M17)*IF(N17&gt;M17,time2+time*(VLOOKUP(H17,List!$E$35:$F$37,2,)),time*(1-(VLOOKUP(H17,List!$E$35:$F$37,2,))))</f>
        <v>0</v>
      </c>
      <c r="R17" s="1371">
        <f>MIN(M17,O17)*time_tot+ABS(O17-M17)*IF(O17&gt;M17,time2+time*(VLOOKUP(K17,List!$E$35:$F$37,2,)),time*(1-(VLOOKUP(K17,List!$E$35:$F$37,2,))))</f>
        <v>0</v>
      </c>
      <c r="S17" s="1374"/>
      <c r="T17" s="1375">
        <f t="shared" si="2"/>
        <v>0</v>
      </c>
      <c r="V17" s="2058">
        <f>'4.Grassland'!W50</f>
        <v>0</v>
      </c>
      <c r="W17" s="2058">
        <f>'4.Grassland'!X50</f>
        <v>0</v>
      </c>
      <c r="X17" s="2059">
        <f>'4.Grassland'!Y50</f>
        <v>0</v>
      </c>
      <c r="Y17" s="2060"/>
      <c r="Z17" s="2060">
        <f t="shared" si="4"/>
        <v>0</v>
      </c>
      <c r="AA17" s="2060">
        <f t="shared" si="5"/>
        <v>0</v>
      </c>
      <c r="AB17" s="2061">
        <f t="shared" si="6"/>
        <v>0</v>
      </c>
      <c r="AD17" s="2060">
        <f>(time*((ABS(AA17-Z17)*(IF(Z17&lt;=AA17,VLOOKUP(H17,List!$E$35:$F$37,2,),1-VLOOKUP(H17,List!$E$35:$F$37,2,))))+MIN(AA17,Z17))+(AA17*time2))</f>
        <v>0</v>
      </c>
      <c r="AE17" s="2060">
        <f>(time*((ABS(AB17-Z17)*(IF(Z17&lt;=AB17,VLOOKUP(K17,List!$E$35:$F$37,2,),1-VLOOKUP(K17,List!$E$35:$F$37,2,))))+MIN(AB17,Z17))+(AB17*time2))</f>
        <v>0</v>
      </c>
      <c r="AG17" s="1902">
        <f>MIN(M17,N17)*time+ABS(N17-M17)*IF(N17&gt;M17,time*(VLOOKUP(H17,List!$E$35:$F$37,2,)),time*(1-(VLOOKUP(H17,List!$E$35:$F$37,2,))))</f>
        <v>0</v>
      </c>
      <c r="AH17" s="1914">
        <f>MIN(M17,O17)*time+ABS(O17-M17)*IF(O17&gt;M17,time*(VLOOKUP(K17,List!$E$35:$F$37,2,)),time*(1-(VLOOKUP(K17,List!$E$35:$F$37,2,))))</f>
        <v>0</v>
      </c>
    </row>
    <row r="18" spans="1:35" ht="13.5" thickBot="1">
      <c r="A18" s="1394"/>
      <c r="B18" s="1938" t="str">
        <f>'4.Grassland'!B51</f>
        <v>Please select</v>
      </c>
      <c r="C18" s="1916">
        <f>IF(c_type="developed",VLOOKUP(B18,' IPCC'!$A$335:$B$343,2,FALSE),VLOOKUP(B18,' IPCC'!$A$347:$B$355,2,FALSE))</f>
        <v>0</v>
      </c>
      <c r="D18" s="2255">
        <f>IF('4.Grassland'!E136="",'4.Grassland'!D136,'4.Grassland'!E136)</f>
        <v>0</v>
      </c>
      <c r="E18" s="2255">
        <f>IF('4.Grassland'!G136="",'4.Grassland'!D136,'4.Grassland'!G136)</f>
        <v>0</v>
      </c>
      <c r="F18" s="1941">
        <f>'4.Grassland'!D51</f>
        <v>0</v>
      </c>
      <c r="G18" s="1941">
        <f>'4.Grassland'!E51</f>
        <v>0</v>
      </c>
      <c r="H18" s="2256" t="str">
        <f>VLOOKUP('4.Grassland'!F51,List!$D$35:$E$37,2,)</f>
        <v>Linear</v>
      </c>
      <c r="I18" s="49"/>
      <c r="J18" s="1942">
        <f>'4.Grassland'!G51</f>
        <v>0</v>
      </c>
      <c r="K18" s="2256" t="str">
        <f>VLOOKUP('4.Grassland'!H51,List!$D$35:$E$37,2,)</f>
        <v>Linear</v>
      </c>
      <c r="L18" s="49"/>
      <c r="M18" s="1371">
        <f t="shared" si="3"/>
        <v>0</v>
      </c>
      <c r="N18" s="2866">
        <f t="shared" si="0"/>
        <v>0</v>
      </c>
      <c r="O18" s="2866">
        <f t="shared" si="1"/>
        <v>0</v>
      </c>
      <c r="P18" s="1374"/>
      <c r="Q18" s="1371">
        <f>MIN(M18,N18)*time_tot+ABS(N18-M18)*IF(N18&gt;M18,time2+time*(VLOOKUP(H18,List!$E$35:$F$37,2,)),time*(1-(VLOOKUP(H18,List!$E$35:$F$37,2,))))</f>
        <v>0</v>
      </c>
      <c r="R18" s="1371">
        <f>MIN(M18,O18)*time_tot+ABS(O18-M18)*IF(O18&gt;M18,time2+time*(VLOOKUP(K18,List!$E$35:$F$37,2,)),time*(1-(VLOOKUP(K18,List!$E$35:$F$37,2,))))</f>
        <v>0</v>
      </c>
      <c r="S18" s="1374"/>
      <c r="T18" s="1375">
        <f t="shared" si="2"/>
        <v>0</v>
      </c>
      <c r="V18" s="2058">
        <f>'4.Grassland'!W51</f>
        <v>0</v>
      </c>
      <c r="W18" s="2058">
        <f>'4.Grassland'!X51</f>
        <v>0</v>
      </c>
      <c r="X18" s="2059">
        <f>'4.Grassland'!Y51</f>
        <v>0</v>
      </c>
      <c r="Y18" s="2060"/>
      <c r="Z18" s="2060">
        <f t="shared" si="4"/>
        <v>0</v>
      </c>
      <c r="AA18" s="2060">
        <f t="shared" si="5"/>
        <v>0</v>
      </c>
      <c r="AB18" s="2061">
        <f t="shared" si="6"/>
        <v>0</v>
      </c>
      <c r="AD18" s="2060">
        <f>(time*((ABS(AA18-Z18)*(IF(Z18&lt;=AA18,VLOOKUP(H18,List!$E$35:$F$37,2,),1-VLOOKUP(H18,List!$E$35:$F$37,2,))))+MIN(AA18,Z18))+(AA18*time2))</f>
        <v>0</v>
      </c>
      <c r="AE18" s="2060">
        <f>(time*((ABS(AB18-Z18)*(IF(Z18&lt;=AB18,VLOOKUP(K18,List!$E$35:$F$37,2,),1-VLOOKUP(K18,List!$E$35:$F$37,2,))))+MIN(AB18,Z18))+(AB18*time2))</f>
        <v>0</v>
      </c>
      <c r="AG18" s="1902">
        <f>MIN(M18,N18)*time+ABS(N18-M18)*IF(N18&gt;M18,time*(VLOOKUP(H18,List!$E$35:$F$37,2,)),time*(1-(VLOOKUP(H18,List!$E$35:$F$37,2,))))</f>
        <v>0</v>
      </c>
      <c r="AH18" s="1914">
        <f>MIN(M18,O18)*time+ABS(O18-M18)*IF(O18&gt;M18,time*(VLOOKUP(K18,List!$E$35:$F$37,2,)),time*(1-(VLOOKUP(K18,List!$E$35:$F$37,2,))))</f>
        <v>0</v>
      </c>
    </row>
    <row r="19" spans="1:35" ht="13.5" thickBot="1">
      <c r="A19" s="1394"/>
      <c r="B19" s="1938" t="str">
        <f>'4.Grassland'!B52</f>
        <v>Horses</v>
      </c>
      <c r="C19" s="1406">
        <f>IF(c_type="developed",VLOOKUP(B19,' IPCC'!$A$335:$B$343,2,FALSE),VLOOKUP(B19,' IPCC'!$A$347:$B$355,2,FALSE))</f>
        <v>18</v>
      </c>
      <c r="D19" s="2255">
        <f>IF('4.Grassland'!E137="",'4.Grassland'!D137,'4.Grassland'!E137)</f>
        <v>18</v>
      </c>
      <c r="E19" s="2255">
        <f>IF('4.Grassland'!G137="",'4.Grassland'!D137,'4.Grassland'!G137)</f>
        <v>18</v>
      </c>
      <c r="F19" s="1941">
        <f>'4.Grassland'!D52</f>
        <v>0</v>
      </c>
      <c r="G19" s="1941">
        <f>'4.Grassland'!E52</f>
        <v>0</v>
      </c>
      <c r="H19" s="2256" t="str">
        <f>VLOOKUP('4.Grassland'!F52,List!$D$35:$E$37,2,)</f>
        <v>Linear</v>
      </c>
      <c r="I19" s="49"/>
      <c r="J19" s="1942">
        <f>'4.Grassland'!G52</f>
        <v>0</v>
      </c>
      <c r="K19" s="2256" t="str">
        <f>VLOOKUP('4.Grassland'!H52,List!$D$35:$E$37,2,)</f>
        <v>Linear</v>
      </c>
      <c r="L19" s="49"/>
      <c r="M19" s="1371">
        <f>IF($E19="YES",$C19,$D19)*(methane*F19/1000)</f>
        <v>0</v>
      </c>
      <c r="N19" s="2866">
        <f t="shared" si="0"/>
        <v>0</v>
      </c>
      <c r="O19" s="2866">
        <f t="shared" si="1"/>
        <v>0</v>
      </c>
      <c r="P19" s="1374"/>
      <c r="Q19" s="1371">
        <f>MIN(M19,N19)*time_tot+ABS(N19-M19)*IF(N19&gt;M19,time2+time*(VLOOKUP(H19,List!$E$35:$F$37,2,)),time*(1-(VLOOKUP(H19,List!$E$35:$F$37,2,))))</f>
        <v>0</v>
      </c>
      <c r="R19" s="1371">
        <f>MIN(M19,O19)*time_tot+ABS(O19-M19)*IF(O19&gt;M19,time2+time*(VLOOKUP(K19,List!$E$35:$F$37,2,)),time*(1-(VLOOKUP(K19,List!$E$35:$F$37,2,))))</f>
        <v>0</v>
      </c>
      <c r="S19" s="1374"/>
      <c r="T19" s="1375">
        <f>R19-Q19</f>
        <v>0</v>
      </c>
      <c r="V19" s="2058">
        <f>'4.Grassland'!W52</f>
        <v>0</v>
      </c>
      <c r="W19" s="2058">
        <f>'4.Grassland'!X52</f>
        <v>0</v>
      </c>
      <c r="X19" s="2059">
        <f>'4.Grassland'!Y52</f>
        <v>0</v>
      </c>
      <c r="Y19" s="2060"/>
      <c r="Z19" s="2060">
        <f t="shared" si="4"/>
        <v>0</v>
      </c>
      <c r="AA19" s="2060">
        <f t="shared" si="5"/>
        <v>0</v>
      </c>
      <c r="AB19" s="2061">
        <f t="shared" si="6"/>
        <v>0</v>
      </c>
      <c r="AD19" s="2060">
        <f>(time*((ABS(AA19-Z19)*(IF(Z19&lt;=AA19,VLOOKUP(H19,List!$E$35:$F$37,2,),1-VLOOKUP(H19,List!$E$35:$F$37,2,))))+MIN(AA19,Z19))+(AA19*time2))</f>
        <v>0</v>
      </c>
      <c r="AE19" s="2060">
        <f>(time*((ABS(AB19-Z19)*(IF(Z19&lt;=AB19,VLOOKUP(K19,List!$E$35:$F$37,2,),1-VLOOKUP(K19,List!$E$35:$F$37,2,))))+MIN(AB19,Z19))+(AB19*time2))</f>
        <v>0</v>
      </c>
      <c r="AG19" s="1902">
        <f>MIN(M19,N19)*time+ABS(N19-M19)*IF(N19&gt;M19,time*(VLOOKUP(H19,List!$E$35:$F$37,2,)),time*(1-(VLOOKUP(H19,List!$E$35:$F$37,2,))))</f>
        <v>0</v>
      </c>
      <c r="AH19" s="1914">
        <f>MIN(M19,O19)*time+ABS(O19-M19)*IF(O19&gt;M19,time*(VLOOKUP(K19,List!$E$35:$F$37,2,)),time*(1-(VLOOKUP(K19,List!$E$35:$F$37,2,))))</f>
        <v>0</v>
      </c>
    </row>
    <row r="20" spans="1:35" ht="13.5" thickBot="1">
      <c r="A20" s="1394"/>
      <c r="B20" s="1938" t="str">
        <f>'4.Grassland'!B53</f>
        <v>Goats</v>
      </c>
      <c r="C20" s="1936">
        <f>IF(c_type="developed",VLOOKUP(B20,' IPCC'!$A$335:$B$343,2,FALSE),VLOOKUP(B20,' IPCC'!$A$347:$B$355,2,FALSE))</f>
        <v>5</v>
      </c>
      <c r="D20" s="2255">
        <f>IF('4.Grassland'!E138="",'4.Grassland'!D138,'4.Grassland'!E138)</f>
        <v>5</v>
      </c>
      <c r="E20" s="2255">
        <f>IF('4.Grassland'!G138="",'4.Grassland'!D138,'4.Grassland'!G138)</f>
        <v>5</v>
      </c>
      <c r="F20" s="1941">
        <f>'4.Grassland'!D53</f>
        <v>0</v>
      </c>
      <c r="G20" s="1941">
        <f>'4.Grassland'!E53</f>
        <v>0</v>
      </c>
      <c r="H20" s="2256" t="str">
        <f>VLOOKUP('4.Grassland'!F53,List!$D$35:$E$37,2,)</f>
        <v>Linear</v>
      </c>
      <c r="I20" s="49"/>
      <c r="J20" s="1942">
        <f>'4.Grassland'!G53</f>
        <v>0</v>
      </c>
      <c r="K20" s="2256" t="str">
        <f>VLOOKUP('4.Grassland'!H53,List!$D$35:$E$37,2,)</f>
        <v>Linear</v>
      </c>
      <c r="L20" s="49"/>
      <c r="M20" s="1371">
        <f t="shared" si="3"/>
        <v>0</v>
      </c>
      <c r="N20" s="2866">
        <f t="shared" si="0"/>
        <v>0</v>
      </c>
      <c r="O20" s="2866">
        <f t="shared" si="1"/>
        <v>0</v>
      </c>
      <c r="P20" s="1374"/>
      <c r="Q20" s="1371">
        <f>MIN(M20,N20)*time_tot+ABS(N20-M20)*IF(N20&gt;M20,time2+time*(VLOOKUP(H20,List!$E$35:$F$37,2,)),time*(1-(VLOOKUP(H20,List!$E$35:$F$37,2,))))</f>
        <v>0</v>
      </c>
      <c r="R20" s="1371">
        <f>MIN(M20,O20)*time_tot+ABS(O20-M20)*IF(O20&gt;M20,time2+time*(VLOOKUP(K20,List!$E$35:$F$37,2,)),time*(1-(VLOOKUP(K20,List!$E$35:$F$37,2,))))</f>
        <v>0</v>
      </c>
      <c r="S20" s="1374"/>
      <c r="T20" s="1375">
        <f t="shared" si="2"/>
        <v>0</v>
      </c>
      <c r="V20" s="2058">
        <f>'4.Grassland'!W53</f>
        <v>0</v>
      </c>
      <c r="W20" s="2058">
        <f>'4.Grassland'!X53</f>
        <v>0</v>
      </c>
      <c r="X20" s="2059">
        <f>'4.Grassland'!Y53</f>
        <v>0</v>
      </c>
      <c r="Y20" s="2060"/>
      <c r="Z20" s="2060">
        <f t="shared" si="4"/>
        <v>0</v>
      </c>
      <c r="AA20" s="2060">
        <f t="shared" si="5"/>
        <v>0</v>
      </c>
      <c r="AB20" s="2061">
        <f t="shared" si="6"/>
        <v>0</v>
      </c>
      <c r="AD20" s="2060">
        <f>(time*((ABS(AA20-Z20)*(IF(Z20&lt;=AA20,VLOOKUP(H20,List!$E$35:$F$37,2,),1-VLOOKUP(H20,List!$E$35:$F$37,2,))))+MIN(AA20,Z20))+(AA20*time2))</f>
        <v>0</v>
      </c>
      <c r="AE20" s="2060">
        <f>(time*((ABS(AB20-Z20)*(IF(Z20&lt;=AB20,VLOOKUP(K20,List!$E$35:$F$37,2,),1-VLOOKUP(K20,List!$E$35:$F$37,2,))))+MIN(AB20,Z20))+(AB20*time2))</f>
        <v>0</v>
      </c>
      <c r="AG20" s="1902">
        <f>MIN(M20,N20)*time+ABS(N20-M20)*IF(N20&gt;M20,time*(VLOOKUP(H20,List!$E$35:$F$37,2,)),time*(1-(VLOOKUP(H20,List!$E$35:$F$37,2,))))</f>
        <v>0</v>
      </c>
      <c r="AH20" s="1914">
        <f>MIN(M20,O20)*time+ABS(O20-M20)*IF(O20&gt;M20,time*(VLOOKUP(K20,List!$E$35:$F$37,2,)),time*(1-(VLOOKUP(K20,List!$E$35:$F$37,2,))))</f>
        <v>0</v>
      </c>
    </row>
    <row r="21" spans="1:35" ht="13.5" thickBot="1">
      <c r="A21" s="1394"/>
      <c r="B21" s="38" t="s">
        <v>361</v>
      </c>
      <c r="C21" s="1409"/>
      <c r="D21" s="1407">
        <v>5</v>
      </c>
      <c r="E21" s="2254" t="s">
        <v>354</v>
      </c>
      <c r="F21" s="2655">
        <v>0</v>
      </c>
      <c r="G21" s="2655">
        <v>0</v>
      </c>
      <c r="H21" s="759" t="s">
        <v>351</v>
      </c>
      <c r="I21" s="49"/>
      <c r="J21" s="2656">
        <v>0</v>
      </c>
      <c r="K21" s="759" t="s">
        <v>351</v>
      </c>
      <c r="L21" s="49"/>
      <c r="M21" s="1371">
        <f t="shared" si="3"/>
        <v>0</v>
      </c>
      <c r="N21" s="1371">
        <f>IF($E21="YES",$C21,$D21)*(methane*G21/1000)</f>
        <v>0</v>
      </c>
      <c r="O21" s="1371">
        <f t="shared" ref="O21:O22" si="7">IF($E21="YES",$C21,$D21)*(methane*J21/1000)</f>
        <v>0</v>
      </c>
      <c r="P21" s="1374"/>
      <c r="Q21" s="1371">
        <f>MIN(M21,N21)*time_tot+ABS(N21-M21)*IF(N21&gt;M21,time2+time*(VLOOKUP(H21,List!$E$35:$F$37,2,)),time*(1-(VLOOKUP(H21,List!$E$35:$F$37,2,))))</f>
        <v>0</v>
      </c>
      <c r="R21" s="1371">
        <f>MIN(M21,O21)*time_tot+ABS(O21-M21)*IF(O21&gt;M21,time2+time*(VLOOKUP(K21,List!$E$35:$F$37,2,)),time*(1-(VLOOKUP(K21,List!$E$35:$F$37,2,))))</f>
        <v>0</v>
      </c>
      <c r="S21" s="1374"/>
      <c r="T21" s="1375">
        <f t="shared" si="2"/>
        <v>0</v>
      </c>
      <c r="AD21" s="1876"/>
      <c r="AE21" s="1876"/>
      <c r="AG21" s="1902">
        <f>MIN(M21,N21)*time+ABS(N21-M21)*IF(N21&gt;M21,time*(VLOOKUP(H21,List!$E$35:$F$37,2,)),time*(1-(VLOOKUP(H21,List!$E$35:$F$37,2,))))</f>
        <v>0</v>
      </c>
      <c r="AH21" s="1914">
        <f>MIN(M21,O21)*time+ABS(O21-M21)*IF(O21&gt;M21,time*(VLOOKUP(K21,List!$E$35:$F$37,2,)),time*(1-(VLOOKUP(K21,List!$E$35:$F$37,2,))))</f>
        <v>0</v>
      </c>
    </row>
    <row r="22" spans="1:35">
      <c r="A22" s="1394"/>
      <c r="B22" s="38" t="s">
        <v>361</v>
      </c>
      <c r="C22" s="1409"/>
      <c r="D22" s="1407">
        <v>6</v>
      </c>
      <c r="E22" s="2254" t="s">
        <v>354</v>
      </c>
      <c r="F22" s="2655">
        <v>0</v>
      </c>
      <c r="G22" s="2655">
        <v>0</v>
      </c>
      <c r="H22" s="760" t="s">
        <v>351</v>
      </c>
      <c r="I22" s="49"/>
      <c r="J22" s="2656">
        <v>0</v>
      </c>
      <c r="K22" s="760" t="s">
        <v>351</v>
      </c>
      <c r="L22" s="49"/>
      <c r="M22" s="1371">
        <f t="shared" si="3"/>
        <v>0</v>
      </c>
      <c r="N22" s="1371">
        <f>IF($E22="YES",$C22,$D22)*(methane*G22/1000)</f>
        <v>0</v>
      </c>
      <c r="O22" s="1371">
        <f t="shared" si="7"/>
        <v>0</v>
      </c>
      <c r="P22" s="1374"/>
      <c r="Q22" s="1371">
        <f>MIN(M22,N22)*time_tot+ABS(N22-M22)*IF(N22&gt;M22,time2+time*(VLOOKUP(H22,List!$E$35:$F$37,2,)),time*(1-(VLOOKUP(H22,List!$E$35:$F$37,2,))))</f>
        <v>0</v>
      </c>
      <c r="R22" s="1371">
        <f>MIN(M22,O22)*time_tot+ABS(O22-M22)*IF(O22&gt;M22,time2+time*(VLOOKUP(K22,List!$E$35:$F$37,2,)),time*(1-(VLOOKUP(K22,List!$E$35:$F$37,2,))))</f>
        <v>0</v>
      </c>
      <c r="S22" s="1374"/>
      <c r="T22" s="1375">
        <f t="shared" si="2"/>
        <v>0</v>
      </c>
      <c r="AD22" s="1876"/>
      <c r="AE22" s="1876"/>
      <c r="AG22" s="1902">
        <f>MIN(M22,N22)*time+ABS(N22-M22)*IF(N22&gt;M22,time*(VLOOKUP(H22,List!$E$35:$F$37,2,)),time*(1-(VLOOKUP(H22,List!$E$35:$F$37,2,))))</f>
        <v>0</v>
      </c>
      <c r="AH22" s="1914">
        <f>MIN(M22,O22)*time+ABS(O22-M22)*IF(O22&gt;M22,time*(VLOOKUP(K22,List!$E$35:$F$37,2,)),time*(1-(VLOOKUP(K22,List!$E$35:$F$37,2,))))</f>
        <v>0</v>
      </c>
    </row>
    <row r="23" spans="1:35">
      <c r="A23" s="1394"/>
      <c r="B23" s="49"/>
      <c r="C23" s="46"/>
      <c r="D23" s="46"/>
      <c r="E23" s="46"/>
      <c r="F23" s="49"/>
      <c r="G23" s="49"/>
      <c r="H23" s="47"/>
      <c r="I23" s="49"/>
      <c r="J23" s="49"/>
      <c r="K23" s="1410" t="s">
        <v>685</v>
      </c>
      <c r="L23" s="1411"/>
      <c r="M23" s="1231">
        <f>SUM(M12:M22)</f>
        <v>0</v>
      </c>
      <c r="N23" s="1376">
        <f>SUM(N12:N21)</f>
        <v>0</v>
      </c>
      <c r="O23" s="1376">
        <f>SUM(O12:O21)</f>
        <v>0</v>
      </c>
      <c r="P23" s="1376"/>
      <c r="Q23" s="1231">
        <f>SUM(Q12:Q22)</f>
        <v>0</v>
      </c>
      <c r="R23" s="1231">
        <f>SUM(R12:R22)</f>
        <v>0</v>
      </c>
      <c r="S23" s="1388"/>
      <c r="T23" s="1377">
        <f>SUM(T12:T22)</f>
        <v>0</v>
      </c>
      <c r="AB23" s="1879" t="s">
        <v>516</v>
      </c>
      <c r="AD23" s="2062">
        <f>SUM(AD12:AD20)</f>
        <v>0</v>
      </c>
      <c r="AE23" s="2062">
        <f>SUM(AE12:AE20)</f>
        <v>0</v>
      </c>
      <c r="AI23" s="1915">
        <f>SUM(AH12:AH22)-SUM(AG12:AG22)</f>
        <v>0</v>
      </c>
    </row>
    <row r="24" spans="1:35" ht="13.5" thickBot="1">
      <c r="A24" s="1394"/>
      <c r="B24" s="49" t="s">
        <v>79</v>
      </c>
      <c r="C24" s="46"/>
      <c r="D24" s="46"/>
      <c r="E24" s="46"/>
      <c r="F24" s="49"/>
      <c r="G24" s="49"/>
      <c r="H24" s="47"/>
      <c r="I24" s="49"/>
      <c r="J24" s="1901"/>
      <c r="K24" s="2257"/>
      <c r="L24" s="2264"/>
      <c r="M24" s="2265"/>
      <c r="N24" s="2266"/>
      <c r="O24" s="2267"/>
      <c r="P24" s="2267"/>
      <c r="Q24" s="2265"/>
      <c r="R24" s="2265"/>
      <c r="S24" s="1390"/>
      <c r="T24" s="49"/>
      <c r="AI24" s="1915"/>
    </row>
    <row r="25" spans="1:35" ht="13.5" thickBot="1">
      <c r="A25" s="1394"/>
      <c r="B25" s="743" t="s">
        <v>80</v>
      </c>
      <c r="C25" s="966"/>
      <c r="D25" s="966"/>
      <c r="E25" s="966"/>
      <c r="F25" s="2270" t="str">
        <f>'4.Grassland'!H123</f>
        <v>Not specified</v>
      </c>
      <c r="G25" s="2271"/>
      <c r="H25" s="47"/>
      <c r="I25" s="49"/>
      <c r="J25" s="1901"/>
      <c r="K25" s="2257"/>
      <c r="L25" s="2264"/>
      <c r="M25" s="2265" t="s">
        <v>82</v>
      </c>
      <c r="N25" s="2267">
        <f>MAT</f>
        <v>0</v>
      </c>
      <c r="O25" s="2267"/>
      <c r="P25" s="2267"/>
      <c r="Q25" s="2265"/>
      <c r="R25" s="2265"/>
      <c r="S25" s="1390"/>
      <c r="T25" s="1389"/>
    </row>
    <row r="26" spans="1:35" ht="13.5" thickBot="1">
      <c r="A26" s="1394"/>
      <c r="B26" s="1257" t="s">
        <v>134</v>
      </c>
      <c r="C26" s="1234"/>
      <c r="D26" s="1234"/>
      <c r="E26" s="1234"/>
      <c r="F26" s="3871">
        <f>IF('4.Grassland'!C124="",'4.Grassland'!B124,'4.Grassland'!C124)</f>
        <v>0</v>
      </c>
      <c r="G26" s="3872"/>
      <c r="H26" s="1394" t="str">
        <f>IF(ISNUMBER(F26),(IF(F26&lt;VLOOKUP(climate,Help!$B$49:$G$54,5,),"MAT seems to low according to climate",IF(F26&gt;VLOOKUP(climate,Help!$B$49:$G$54,6,),"MAT seems to high according to climate","Possible"))),"")</f>
        <v>Possible</v>
      </c>
      <c r="I26" s="49"/>
      <c r="J26" s="1901"/>
      <c r="K26" s="1872"/>
      <c r="L26" s="2264"/>
      <c r="M26" s="1902">
        <f>IF(Nlang=1,VLOOKUP(climate,Help!B49:E54,4,),VLOOKUP('1.Description'!I11,Help!B49:E54,4,))</f>
        <v>0</v>
      </c>
      <c r="N26" s="2257">
        <f>IF(F26&lt;&gt;"",F26,VLOOKUP(climate,Help!L96:M101,2,))</f>
        <v>0</v>
      </c>
      <c r="O26" s="2268" t="s">
        <v>135</v>
      </c>
      <c r="P26" s="2265"/>
      <c r="Q26" s="2269"/>
      <c r="R26" s="2265"/>
      <c r="S26" s="1391"/>
      <c r="T26" s="1389"/>
    </row>
    <row r="27" spans="1:35">
      <c r="A27" s="1394"/>
      <c r="B27" s="1394"/>
      <c r="C27" s="1394"/>
      <c r="D27" s="1394"/>
      <c r="E27" s="1394"/>
      <c r="F27" s="1394"/>
      <c r="G27" s="1394"/>
      <c r="H27" s="1394"/>
      <c r="I27" s="1394"/>
      <c r="J27" s="1901"/>
      <c r="K27" s="1872"/>
      <c r="L27" s="2264"/>
      <c r="M27" s="1902"/>
      <c r="N27" s="2257"/>
      <c r="O27" s="2268"/>
      <c r="P27" s="2265"/>
      <c r="Q27" s="2269"/>
      <c r="R27" s="2265"/>
      <c r="S27" s="1391"/>
      <c r="T27" s="1389"/>
    </row>
    <row r="28" spans="1:35">
      <c r="A28" s="1394"/>
      <c r="B28" s="1879" t="s">
        <v>79</v>
      </c>
      <c r="C28" s="1877"/>
      <c r="D28" s="1877"/>
      <c r="E28" s="1877"/>
      <c r="F28" s="1899"/>
      <c r="G28" s="1888"/>
      <c r="H28" s="1895"/>
      <c r="I28" s="1879"/>
      <c r="J28" s="1901"/>
      <c r="K28" s="1872"/>
      <c r="L28" s="2264"/>
      <c r="M28" s="1902"/>
      <c r="N28" s="2493"/>
      <c r="O28" s="2268"/>
      <c r="P28" s="2265"/>
      <c r="Q28" s="2269"/>
      <c r="R28" s="2265"/>
      <c r="S28" s="1391"/>
      <c r="T28" s="1389"/>
    </row>
    <row r="29" spans="1:35">
      <c r="A29" s="1394"/>
      <c r="B29" s="1879" t="s">
        <v>1413</v>
      </c>
      <c r="C29" s="1877"/>
      <c r="D29" s="1877"/>
      <c r="E29" s="1877"/>
      <c r="F29" s="1899"/>
      <c r="G29" s="1888"/>
      <c r="H29" s="1895"/>
      <c r="I29" s="1879"/>
      <c r="J29" s="1879"/>
      <c r="K29" s="1878"/>
      <c r="L29" s="1412"/>
      <c r="M29" s="1104"/>
      <c r="N29" s="1413"/>
      <c r="O29" s="1233"/>
      <c r="P29" s="1389"/>
      <c r="Q29" s="1391"/>
      <c r="R29" s="1389"/>
      <c r="S29" s="1391"/>
      <c r="T29" s="1389"/>
    </row>
    <row r="30" spans="1:35">
      <c r="A30" s="1394"/>
      <c r="B30" s="1905" t="s">
        <v>1414</v>
      </c>
      <c r="C30" s="1906" t="s">
        <v>339</v>
      </c>
      <c r="D30" s="2881" t="s">
        <v>4823</v>
      </c>
      <c r="E30" s="2882"/>
      <c r="F30" s="1899"/>
      <c r="G30" s="1905" t="s">
        <v>1414</v>
      </c>
      <c r="H30" s="1906" t="s">
        <v>339</v>
      </c>
      <c r="I30" s="1885"/>
      <c r="J30" s="2878" t="s">
        <v>4823</v>
      </c>
      <c r="K30" s="2879"/>
      <c r="L30" s="1412"/>
      <c r="M30" s="1905" t="s">
        <v>1414</v>
      </c>
      <c r="N30" s="1906" t="s">
        <v>339</v>
      </c>
      <c r="O30" s="2878" t="s">
        <v>4823</v>
      </c>
      <c r="P30" s="2879"/>
      <c r="Q30" s="1886"/>
      <c r="R30" s="1389"/>
      <c r="S30" s="1391"/>
      <c r="T30" s="1389"/>
    </row>
    <row r="31" spans="1:35">
      <c r="A31" s="1394"/>
      <c r="B31" s="1907"/>
      <c r="C31" s="1884" t="s">
        <v>1415</v>
      </c>
      <c r="D31" s="2883" t="s">
        <v>54</v>
      </c>
      <c r="E31" s="2865" t="s">
        <v>274</v>
      </c>
      <c r="F31" s="1899"/>
      <c r="G31" s="1907"/>
      <c r="H31" s="1884" t="s">
        <v>1415</v>
      </c>
      <c r="I31" s="1887"/>
      <c r="J31" s="2880" t="str">
        <f>D31</f>
        <v>without</v>
      </c>
      <c r="K31" s="2863" t="str">
        <f>E31</f>
        <v>with</v>
      </c>
      <c r="L31" s="1412"/>
      <c r="M31" s="1907"/>
      <c r="N31" s="1884" t="s">
        <v>1415</v>
      </c>
      <c r="O31" s="2880" t="s">
        <v>54</v>
      </c>
      <c r="P31" s="2863"/>
      <c r="Q31" s="2863" t="s">
        <v>675</v>
      </c>
      <c r="R31" s="1389"/>
      <c r="S31" s="1391"/>
      <c r="T31" s="1389"/>
    </row>
    <row r="32" spans="1:35">
      <c r="A32" s="1394"/>
      <c r="B32" s="1907" t="s">
        <v>349</v>
      </c>
      <c r="C32" s="2260">
        <f>VLOOKUP(region,' IPCC'!A864:F876,2,FALSE)/100</f>
        <v>0</v>
      </c>
      <c r="D32" s="2263">
        <f>IF('4.Grassland'!L130="",'4.Grassland'!K130,'4.Grassland'!L130)</f>
        <v>0</v>
      </c>
      <c r="E32" s="2263">
        <f>IF('4.Grassland'!N130="",'4.Grassland'!K130,'4.Grassland'!N130)</f>
        <v>0</v>
      </c>
      <c r="F32" s="1899"/>
      <c r="G32" s="1907" t="s">
        <v>359</v>
      </c>
      <c r="H32" s="1910">
        <v>1</v>
      </c>
      <c r="I32" s="1909"/>
      <c r="J32" s="2263">
        <f>IF('4.Grassland'!L133="",'4.Grassland'!K133,'4.Grassland'!L133)</f>
        <v>1</v>
      </c>
      <c r="K32" s="2263">
        <f>IF('4.Grassland'!N133="",'4.Grassland'!K133,'4.Grassland'!N133)</f>
        <v>1</v>
      </c>
      <c r="L32" s="1412"/>
      <c r="M32" s="1907" t="str">
        <f>B18</f>
        <v>Please select</v>
      </c>
      <c r="N32" s="1910">
        <v>1</v>
      </c>
      <c r="O32" s="2263">
        <f>IF('4.Grassland'!L136="",'4.Grassland'!K136,'4.Grassland'!L136)</f>
        <v>1</v>
      </c>
      <c r="P32" s="2263"/>
      <c r="Q32" s="2263">
        <f>IF('4.Grassland'!N136="",'4.Grassland'!K136,'4.Grassland'!N136)</f>
        <v>1</v>
      </c>
      <c r="R32" s="1389"/>
      <c r="S32" s="1391"/>
      <c r="T32" s="1389"/>
    </row>
    <row r="33" spans="1:228">
      <c r="A33" s="1394"/>
      <c r="B33" s="1907" t="s">
        <v>353</v>
      </c>
      <c r="C33" s="2258">
        <f>VLOOKUP(region,' IPCC'!$A$864:$F$876,3,FALSE)/100</f>
        <v>0</v>
      </c>
      <c r="D33" s="2263">
        <f>IF('4.Grassland'!L131="",'4.Grassland'!K131,'4.Grassland'!L131)</f>
        <v>0</v>
      </c>
      <c r="E33" s="2263">
        <f>IF('4.Grassland'!N131="",'4.Grassland'!K131,'4.Grassland'!N131)</f>
        <v>0</v>
      </c>
      <c r="F33" s="2492"/>
      <c r="G33" s="1907" t="s">
        <v>357</v>
      </c>
      <c r="H33" s="1910">
        <f>VLOOKUP(region,' IPCC'!$A$864:$F$876,5,FALSE)/100</f>
        <v>0</v>
      </c>
      <c r="I33" s="1909"/>
      <c r="J33" s="2263">
        <f>IF('4.Grassland'!L134="",'4.Grassland'!K134,'4.Grassland'!L134)</f>
        <v>0</v>
      </c>
      <c r="K33" s="2263">
        <f>IF('4.Grassland'!N134="",'4.Grassland'!K134,'4.Grassland'!N134)</f>
        <v>0</v>
      </c>
      <c r="L33" s="1412"/>
      <c r="M33" s="1907" t="str">
        <f>B19</f>
        <v>Horses</v>
      </c>
      <c r="N33" s="1910">
        <v>1</v>
      </c>
      <c r="O33" s="2263">
        <f>IF('4.Grassland'!L137="",'4.Grassland'!K137,'4.Grassland'!L137)</f>
        <v>1</v>
      </c>
      <c r="P33" s="2263"/>
      <c r="Q33" s="2263">
        <f>IF('4.Grassland'!N137="",'4.Grassland'!K137,'4.Grassland'!N137)</f>
        <v>1</v>
      </c>
      <c r="R33" s="1389"/>
      <c r="S33" s="1391"/>
      <c r="T33" s="1389"/>
    </row>
    <row r="34" spans="1:228">
      <c r="A34" s="1394"/>
      <c r="B34" s="1908" t="s">
        <v>355</v>
      </c>
      <c r="C34" s="1910">
        <f>VLOOKUP(region,' IPCC'!$A$864:$F$876,4,FALSE)/100</f>
        <v>0</v>
      </c>
      <c r="D34" s="2263">
        <f>IF('4.Grassland'!L132="",'4.Grassland'!K132,'4.Grassland'!L132)</f>
        <v>0</v>
      </c>
      <c r="E34" s="2263">
        <f>IF('4.Grassland'!N132="",'4.Grassland'!K132,'4.Grassland'!N132)</f>
        <v>0</v>
      </c>
      <c r="F34" s="1899"/>
      <c r="G34" s="1908" t="s">
        <v>358</v>
      </c>
      <c r="H34" s="1911">
        <f>VLOOKUP(region,' IPCC'!$A$864:$F$876,6,FALSE)/100</f>
        <v>0</v>
      </c>
      <c r="I34" s="1912"/>
      <c r="J34" s="2263">
        <f>IF('4.Grassland'!L135="",'4.Grassland'!K135,'4.Grassland'!L135)</f>
        <v>0</v>
      </c>
      <c r="K34" s="2263">
        <f>IF('4.Grassland'!N135="",'4.Grassland'!K135,'4.Grassland'!N135)</f>
        <v>0</v>
      </c>
      <c r="L34" s="1412"/>
      <c r="M34" s="1907" t="str">
        <f>B20</f>
        <v>Goats</v>
      </c>
      <c r="N34" s="1910">
        <v>1</v>
      </c>
      <c r="O34" s="2263">
        <f>IF('4.Grassland'!L138="",'4.Grassland'!K138,'4.Grassland'!L138)</f>
        <v>1</v>
      </c>
      <c r="P34" s="2263"/>
      <c r="Q34" s="2263">
        <f>IF('4.Grassland'!N138="",'4.Grassland'!K138,'4.Grassland'!N138)</f>
        <v>1</v>
      </c>
      <c r="R34" s="1389"/>
      <c r="S34" s="1391"/>
      <c r="T34" s="1389"/>
    </row>
    <row r="35" spans="1:228">
      <c r="A35" s="1394"/>
      <c r="B35" s="1394"/>
      <c r="C35" s="46"/>
      <c r="D35" s="46"/>
      <c r="E35" s="46"/>
      <c r="F35" s="2261"/>
      <c r="G35" s="612"/>
      <c r="H35" s="612"/>
      <c r="I35" s="49"/>
      <c r="J35" s="49"/>
      <c r="K35" s="112"/>
      <c r="L35" s="1412"/>
      <c r="M35" s="1391"/>
      <c r="N35" s="1389"/>
      <c r="O35" s="1391"/>
      <c r="P35" s="1389"/>
      <c r="Q35" s="1391"/>
      <c r="R35" s="1389"/>
      <c r="S35" s="1391"/>
      <c r="T35" s="1389"/>
    </row>
    <row r="36" spans="1:228" s="1393" customFormat="1">
      <c r="A36" s="26"/>
      <c r="B36" s="29" t="s">
        <v>362</v>
      </c>
      <c r="C36" s="39"/>
      <c r="D36" s="39"/>
      <c r="E36" s="39"/>
      <c r="F36" s="40"/>
      <c r="G36" s="40"/>
      <c r="H36" s="41"/>
      <c r="I36" s="40"/>
      <c r="J36" s="40"/>
      <c r="K36" s="41"/>
      <c r="L36" s="42"/>
      <c r="M36" s="39"/>
      <c r="N36" s="40"/>
      <c r="O36" s="40"/>
      <c r="P36" s="40"/>
      <c r="Q36" s="43"/>
      <c r="R36" s="43"/>
      <c r="S36" s="40"/>
      <c r="T36" s="44"/>
      <c r="U36" s="15"/>
      <c r="V36" s="15"/>
      <c r="W36" s="15"/>
      <c r="X36" s="15"/>
      <c r="Y36" s="15"/>
      <c r="Z36" s="15"/>
      <c r="AA36" s="15"/>
      <c r="AB36" s="15"/>
      <c r="AC36" s="15"/>
      <c r="AD36" s="1903"/>
      <c r="AE36" s="1903"/>
      <c r="AF36" s="1903"/>
      <c r="AG36" s="1871"/>
      <c r="AH36" s="1871"/>
      <c r="AI36" s="1903"/>
      <c r="AJ36" s="1903"/>
      <c r="AK36" s="1903"/>
      <c r="AL36" s="1903"/>
      <c r="AM36" s="1903"/>
      <c r="AN36" s="1903"/>
      <c r="AO36" s="1903"/>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row>
    <row r="37" spans="1:228" ht="13.5" thickBot="1">
      <c r="A37" s="1394"/>
      <c r="B37" s="111"/>
      <c r="C37" s="1395"/>
      <c r="D37" s="1395"/>
      <c r="E37" s="1395"/>
      <c r="F37" s="3864" t="s">
        <v>335</v>
      </c>
      <c r="G37" s="3864"/>
      <c r="H37" s="3864"/>
      <c r="I37" s="3864"/>
      <c r="J37" s="3864"/>
      <c r="K37" s="3864"/>
      <c r="L37" s="1412"/>
      <c r="M37" s="3862" t="s">
        <v>336</v>
      </c>
      <c r="N37" s="3862"/>
      <c r="O37" s="3862"/>
      <c r="P37" s="49"/>
      <c r="Q37" s="1365" t="s">
        <v>2</v>
      </c>
      <c r="R37" s="1365"/>
      <c r="S37" s="1365"/>
      <c r="T37" s="1365"/>
    </row>
    <row r="38" spans="1:228">
      <c r="A38" s="1394"/>
      <c r="B38" s="186"/>
      <c r="C38" s="84" t="s">
        <v>337</v>
      </c>
      <c r="D38" s="2864" t="s">
        <v>4823</v>
      </c>
      <c r="E38" s="2865"/>
      <c r="F38" s="1399" t="s">
        <v>340</v>
      </c>
      <c r="G38" s="3867" t="s">
        <v>673</v>
      </c>
      <c r="H38" s="3868"/>
      <c r="I38" s="49"/>
      <c r="J38" s="3865" t="s">
        <v>672</v>
      </c>
      <c r="K38" s="3866"/>
      <c r="L38" s="1412"/>
      <c r="M38" s="1399" t="s">
        <v>340</v>
      </c>
      <c r="N38" s="3863" t="s">
        <v>341</v>
      </c>
      <c r="O38" s="3863"/>
      <c r="P38" s="49"/>
      <c r="Q38" s="3851" t="s">
        <v>342</v>
      </c>
      <c r="R38" s="3851"/>
      <c r="S38" s="49"/>
      <c r="T38" s="84" t="s">
        <v>343</v>
      </c>
      <c r="AG38" s="1872" t="s">
        <v>844</v>
      </c>
    </row>
    <row r="39" spans="1:228">
      <c r="A39" s="1394"/>
      <c r="B39" s="1401" t="s">
        <v>1172</v>
      </c>
      <c r="C39" s="84" t="s">
        <v>345</v>
      </c>
      <c r="D39" s="2862" t="s">
        <v>674</v>
      </c>
      <c r="E39" s="2863" t="s">
        <v>675</v>
      </c>
      <c r="F39" s="1399" t="s">
        <v>347</v>
      </c>
      <c r="G39" s="1414" t="s">
        <v>341</v>
      </c>
      <c r="H39" s="1415" t="s">
        <v>348</v>
      </c>
      <c r="I39" s="1369"/>
      <c r="J39" s="1416" t="s">
        <v>341</v>
      </c>
      <c r="K39" s="1417" t="s">
        <v>348</v>
      </c>
      <c r="L39" s="1412"/>
      <c r="M39" s="1399"/>
      <c r="N39" s="1367" t="s">
        <v>674</v>
      </c>
      <c r="O39" s="1368" t="s">
        <v>675</v>
      </c>
      <c r="P39" s="1369"/>
      <c r="Q39" s="1367" t="s">
        <v>674</v>
      </c>
      <c r="R39" s="1368" t="s">
        <v>675</v>
      </c>
      <c r="S39" s="1369"/>
      <c r="T39" s="1370"/>
      <c r="AG39" s="1913" t="s">
        <v>674</v>
      </c>
      <c r="AH39" s="1913" t="s">
        <v>675</v>
      </c>
      <c r="AI39" s="1904"/>
    </row>
    <row r="40" spans="1:228">
      <c r="A40" s="1394"/>
      <c r="B40" s="85" t="s">
        <v>349</v>
      </c>
      <c r="C40" s="1406">
        <f>VLOOKUP(region,' IPCC'!A376:T387,IF(MAT&lt;=10,2,IF(MAT&lt;=28,MAT-8,19)),FALSE)</f>
        <v>0</v>
      </c>
      <c r="D40" s="2255">
        <f>IF('4.Grassland'!R130="",'4.Grassland'!P130,'4.Grassland'!R130)</f>
        <v>0</v>
      </c>
      <c r="E40" s="2255">
        <f>IF('4.Grassland'!T130="",'4.Grassland'!P130,'4.Grassland'!T130)</f>
        <v>0</v>
      </c>
      <c r="F40" s="1221">
        <f t="shared" ref="F40:H50" si="8">F12</f>
        <v>0</v>
      </c>
      <c r="G40" s="1222">
        <f t="shared" si="8"/>
        <v>0</v>
      </c>
      <c r="H40" s="1106" t="str">
        <f t="shared" si="8"/>
        <v>Linear</v>
      </c>
      <c r="I40" s="49"/>
      <c r="J40" s="1221">
        <f t="shared" ref="J40:K50" si="9">J12</f>
        <v>0</v>
      </c>
      <c r="K40" s="1106" t="str">
        <f t="shared" si="9"/>
        <v>Linear</v>
      </c>
      <c r="L40" s="1412"/>
      <c r="M40" s="1371">
        <f>IF($E40="YES",$C40,$D40)*(methane*F40/1000)</f>
        <v>0</v>
      </c>
      <c r="N40" s="2866">
        <f t="shared" ref="N40:N50" si="10">$D40*(methane*G40/1000)</f>
        <v>0</v>
      </c>
      <c r="O40" s="2866">
        <f t="shared" ref="O40:O48" si="11">$E40*(methane*J40/1000)</f>
        <v>0</v>
      </c>
      <c r="P40" s="1374"/>
      <c r="Q40" s="1371">
        <f>MIN(M40,N40)*time_tot+ABS(N40-M40)*IF(N40&gt;M40,time2+time*(VLOOKUP(H40,List!$E$35:$F$37,2,)),time*(1-(VLOOKUP(H40,List!$E$35:$F$37,2,))))</f>
        <v>0</v>
      </c>
      <c r="R40" s="1371">
        <f>MIN(M40,O40)*time_tot+ABS(O40-M40)*IF(O40&gt;M40,time2+time*(VLOOKUP(K40,List!$E$35:$F$37,2,)),time*(1-(VLOOKUP(K40,List!$E$35:$F$37,2,))))</f>
        <v>0</v>
      </c>
      <c r="S40" s="1374"/>
      <c r="T40" s="1375">
        <f t="shared" ref="T40:T50" si="12">R40-Q40</f>
        <v>0</v>
      </c>
      <c r="AG40" s="1902">
        <f>MIN(M40,N40)*time+ABS(N40-M40)*IF(N40&gt;M40,time*(VLOOKUP(H40,List!$E$35:$F$37,2,)),time*(1-(VLOOKUP(H40,List!$E$35:$F$37,2,))))</f>
        <v>0</v>
      </c>
      <c r="AH40" s="1914">
        <f>MIN(M40,O40)*time+ABS(O40-M40)*IF(O40&gt;M40,time*(VLOOKUP(K40,List!$E$35:$F$37,2,)),time*(1-(VLOOKUP(K40,List!$E$35:$F$37,2,))))</f>
        <v>0</v>
      </c>
    </row>
    <row r="41" spans="1:228">
      <c r="A41" s="1394"/>
      <c r="B41" s="85" t="s">
        <v>353</v>
      </c>
      <c r="C41" s="1406">
        <f>VLOOKUP(region,' IPCC'!A392:T403,IF(MAT&lt;=10,2,IF(MAT&lt;=28,MAT-8,19)),FALSE)</f>
        <v>0</v>
      </c>
      <c r="D41" s="2255">
        <f>IF('4.Grassland'!R131="",'4.Grassland'!P131,'4.Grassland'!R131)</f>
        <v>0</v>
      </c>
      <c r="E41" s="2255">
        <f>IF('4.Grassland'!T131="",'4.Grassland'!P131,'4.Grassland'!T131)</f>
        <v>0</v>
      </c>
      <c r="F41" s="1223">
        <f t="shared" si="8"/>
        <v>0</v>
      </c>
      <c r="G41" s="1224">
        <f t="shared" si="8"/>
        <v>0</v>
      </c>
      <c r="H41" s="1107" t="str">
        <f t="shared" si="8"/>
        <v>Linear</v>
      </c>
      <c r="I41" s="49"/>
      <c r="J41" s="1223">
        <f t="shared" si="9"/>
        <v>0</v>
      </c>
      <c r="K41" s="1107" t="str">
        <f t="shared" si="9"/>
        <v>Linear</v>
      </c>
      <c r="L41" s="1412"/>
      <c r="M41" s="1371">
        <f>IF($E41="YES",$C41,$D41)*(methane*F41/1000)</f>
        <v>0</v>
      </c>
      <c r="N41" s="2866">
        <f t="shared" si="10"/>
        <v>0</v>
      </c>
      <c r="O41" s="2866">
        <f t="shared" si="11"/>
        <v>0</v>
      </c>
      <c r="P41" s="1374"/>
      <c r="Q41" s="1371">
        <f>MIN(M41,N41)*time_tot+ABS(N41-M41)*IF(N41&gt;M41,time2+time*(VLOOKUP(H41,List!$E$35:$F$37,2,)),time*(1-(VLOOKUP(H41,List!$E$35:$F$37,2,))))</f>
        <v>0</v>
      </c>
      <c r="R41" s="1371">
        <f>MIN(M41,O41)*time_tot+ABS(O41-M41)*IF(O41&gt;M41,time2+time*(VLOOKUP(K41,List!$E$35:$F$37,2,)),time*(1-(VLOOKUP(K41,List!$E$35:$F$37,2,))))</f>
        <v>0</v>
      </c>
      <c r="S41" s="1374"/>
      <c r="T41" s="1375">
        <f t="shared" si="12"/>
        <v>0</v>
      </c>
      <c r="AG41" s="1902">
        <f>MIN(M41,N41)*time+ABS(N41-M41)*IF(N41&gt;M41,time*(VLOOKUP(H41,List!$E$35:$F$37,2,)),time*(1-(VLOOKUP(H41,List!$E$35:$F$37,2,))))</f>
        <v>0</v>
      </c>
      <c r="AH41" s="1914">
        <f>MIN(M41,O41)*time+ABS(O41-M41)*IF(O41&gt;M41,time*(VLOOKUP(K41,List!$E$35:$F$37,2,)),time*(1-(VLOOKUP(K41,List!$E$35:$F$37,2,))))</f>
        <v>0</v>
      </c>
    </row>
    <row r="42" spans="1:228">
      <c r="A42" s="1394"/>
      <c r="B42" s="85" t="s">
        <v>355</v>
      </c>
      <c r="C42" s="1406">
        <f>VLOOKUP(region,' IPCC'!A408:T419,IF(MAT&lt;=10,2,IF(MAT&lt;=28,MAT-8,19)),FALSE)</f>
        <v>0</v>
      </c>
      <c r="D42" s="2255">
        <f>IF('4.Grassland'!R132="",'4.Grassland'!P132,'4.Grassland'!R132)</f>
        <v>0</v>
      </c>
      <c r="E42" s="2255">
        <f>IF('4.Grassland'!T132="",'4.Grassland'!P132,'4.Grassland'!T132)</f>
        <v>0</v>
      </c>
      <c r="F42" s="1223">
        <f t="shared" si="8"/>
        <v>0</v>
      </c>
      <c r="G42" s="1224">
        <f t="shared" si="8"/>
        <v>0</v>
      </c>
      <c r="H42" s="1107" t="str">
        <f t="shared" si="8"/>
        <v>Linear</v>
      </c>
      <c r="I42" s="49"/>
      <c r="J42" s="1223">
        <f t="shared" si="9"/>
        <v>0</v>
      </c>
      <c r="K42" s="1107" t="str">
        <f t="shared" si="9"/>
        <v>Linear</v>
      </c>
      <c r="L42" s="1412"/>
      <c r="M42" s="1371">
        <f t="shared" ref="M42:M50" si="13">IF($E42="YES",$C42,$D42)*(methane*F42/1000)</f>
        <v>0</v>
      </c>
      <c r="N42" s="2866">
        <f t="shared" si="10"/>
        <v>0</v>
      </c>
      <c r="O42" s="2866">
        <f t="shared" si="11"/>
        <v>0</v>
      </c>
      <c r="P42" s="1374"/>
      <c r="Q42" s="1371">
        <f>MIN(M42,N42)*time_tot+ABS(N42-M42)*IF(N42&gt;M42,time2+time*(VLOOKUP(H42,List!$E$35:$F$37,2,)),time*(1-(VLOOKUP(H42,List!$E$35:$F$37,2,))))</f>
        <v>0</v>
      </c>
      <c r="R42" s="1371">
        <f>MIN(M42,O42)*time_tot+ABS(O42-M42)*IF(O42&gt;M42,time2+time*(VLOOKUP(K42,List!$E$35:$F$37,2,)),time*(1-(VLOOKUP(K42,List!$E$35:$F$37,2,))))</f>
        <v>0</v>
      </c>
      <c r="S42" s="1374"/>
      <c r="T42" s="1375">
        <f t="shared" si="12"/>
        <v>0</v>
      </c>
      <c r="AG42" s="1902">
        <f>MIN(M42,N42)*time+ABS(N42-M42)*IF(N42&gt;M42,time*(VLOOKUP(H42,List!$E$35:$F$37,2,)),time*(1-(VLOOKUP(H42,List!$E$35:$F$37,2,))))</f>
        <v>0</v>
      </c>
      <c r="AH42" s="1914">
        <f>MIN(M42,O42)*time+ABS(O42-M42)*IF(O42&gt;M42,time*(VLOOKUP(K42,List!$E$35:$F$37,2,)),time*(1-(VLOOKUP(K42,List!$E$35:$F$37,2,))))</f>
        <v>0</v>
      </c>
    </row>
    <row r="43" spans="1:228">
      <c r="A43" s="1394"/>
      <c r="B43" s="85" t="s">
        <v>359</v>
      </c>
      <c r="C43" s="1406">
        <f>IF(c_type="developed",VLOOKUP(B43,' IPCC'!A455:D463,IF(MAT&lt;15,2,IF(MAT&gt;25,4,3)),FALSE),VLOOKUP(B43,' IPCC'!A467:D475,IF(MAT&lt;15,2,IF(MAT&gt;25,4,3)),FALSE))</f>
        <v>0.1</v>
      </c>
      <c r="D43" s="2255">
        <f>IF('4.Grassland'!R133="",'4.Grassland'!P133,'4.Grassland'!R133)</f>
        <v>0.1</v>
      </c>
      <c r="E43" s="2255">
        <f>IF('4.Grassland'!T133="",'4.Grassland'!P133,'4.Grassland'!T133)</f>
        <v>0.1</v>
      </c>
      <c r="F43" s="1223">
        <f t="shared" si="8"/>
        <v>0</v>
      </c>
      <c r="G43" s="1224">
        <f t="shared" si="8"/>
        <v>0</v>
      </c>
      <c r="H43" s="1107" t="str">
        <f t="shared" si="8"/>
        <v>Linear</v>
      </c>
      <c r="I43" s="49"/>
      <c r="J43" s="1223">
        <f t="shared" si="9"/>
        <v>0</v>
      </c>
      <c r="K43" s="1107" t="str">
        <f t="shared" si="9"/>
        <v>Linear</v>
      </c>
      <c r="L43" s="1412"/>
      <c r="M43" s="1371">
        <f>IF($E43="YES",$C43,$D43)*(methane*F43/1000)</f>
        <v>0</v>
      </c>
      <c r="N43" s="2866">
        <f t="shared" si="10"/>
        <v>0</v>
      </c>
      <c r="O43" s="2866">
        <f t="shared" si="11"/>
        <v>0</v>
      </c>
      <c r="P43" s="1374"/>
      <c r="Q43" s="1371">
        <f>MIN(M43,N43)*time_tot+ABS(N43-M43)*IF(N43&gt;M43,time2+time*(VLOOKUP(H43,List!$E$35:$F$37,2,)),time*(1-(VLOOKUP(H43,List!$E$35:$F$37,2,))))</f>
        <v>0</v>
      </c>
      <c r="R43" s="1371">
        <f>MIN(M43,O43)*time_tot+ABS(O43-M43)*IF(O43&gt;M43,time2+time*(VLOOKUP(K43,List!$E$35:$F$37,2,)),time*(1-(VLOOKUP(K43,List!$E$35:$F$37,2,))))</f>
        <v>0</v>
      </c>
      <c r="S43" s="1374"/>
      <c r="T43" s="1375">
        <f>R43-Q43</f>
        <v>0</v>
      </c>
      <c r="AG43" s="1902">
        <f>MIN(M43,N43)*time+ABS(N43-M43)*IF(N43&gt;M43,time*(VLOOKUP(H43,List!$E$35:$F$37,2,)),time*(1-(VLOOKUP(H43,List!$E$35:$F$37,2,))))</f>
        <v>0</v>
      </c>
      <c r="AH43" s="1914">
        <f>MIN(M43,O43)*time+ABS(O43-M43)*IF(O43&gt;M43,time*(VLOOKUP(K43,List!$E$35:$F$37,2,)),time*(1-(VLOOKUP(K43,List!$E$35:$F$37,2,))))</f>
        <v>0</v>
      </c>
    </row>
    <row r="44" spans="1:228">
      <c r="A44" s="1394"/>
      <c r="B44" s="35" t="s">
        <v>357</v>
      </c>
      <c r="C44" s="1406">
        <f>VLOOKUP(region,' IPCC'!A424:T435,IF(MAT&lt;=10,2,IF(MAT&lt;=28,MAT-8,19)),FALSE)</f>
        <v>0</v>
      </c>
      <c r="D44" s="2255">
        <f>IF('4.Grassland'!R134="",'4.Grassland'!P134,'4.Grassland'!R134)</f>
        <v>0</v>
      </c>
      <c r="E44" s="2255">
        <f>IF('4.Grassland'!T134="",'4.Grassland'!P134,'4.Grassland'!T134)</f>
        <v>0</v>
      </c>
      <c r="F44" s="1223">
        <f t="shared" si="8"/>
        <v>0</v>
      </c>
      <c r="G44" s="1224">
        <f t="shared" si="8"/>
        <v>0</v>
      </c>
      <c r="H44" s="1107" t="str">
        <f t="shared" si="8"/>
        <v>Linear</v>
      </c>
      <c r="I44" s="49"/>
      <c r="J44" s="1223">
        <f t="shared" si="9"/>
        <v>0</v>
      </c>
      <c r="K44" s="1107" t="str">
        <f t="shared" si="9"/>
        <v>Linear</v>
      </c>
      <c r="L44" s="1412"/>
      <c r="M44" s="1371">
        <f t="shared" si="13"/>
        <v>0</v>
      </c>
      <c r="N44" s="2866">
        <f t="shared" si="10"/>
        <v>0</v>
      </c>
      <c r="O44" s="2866">
        <f t="shared" si="11"/>
        <v>0</v>
      </c>
      <c r="P44" s="1374"/>
      <c r="Q44" s="1371">
        <f>MIN(M44,N44)*time_tot+ABS(N44-M44)*IF(N44&gt;M44,time2+time*(VLOOKUP(H44,List!$E$35:$F$37,2,)),time*(1-(VLOOKUP(H44,List!$E$35:$F$37,2,))))</f>
        <v>0</v>
      </c>
      <c r="R44" s="1371">
        <f>MIN(M44,O44)*time_tot+ABS(O44-M44)*IF(O44&gt;M44,time2+time*(VLOOKUP(K44,List!$E$35:$F$37,2,)),time*(1-(VLOOKUP(K44,List!$E$35:$F$37,2,))))</f>
        <v>0</v>
      </c>
      <c r="S44" s="1374"/>
      <c r="T44" s="1375">
        <f t="shared" si="12"/>
        <v>0</v>
      </c>
      <c r="AG44" s="1902">
        <f>MIN(M44,N44)*time+ABS(N44-M44)*IF(N44&gt;M44,time*(VLOOKUP(H44,List!$E$35:$F$37,2,)),time*(1-(VLOOKUP(H44,List!$E$35:$F$37,2,))))</f>
        <v>0</v>
      </c>
      <c r="AH44" s="1914">
        <f>MIN(M44,O44)*time+ABS(O44-M44)*IF(O44&gt;M44,time*(VLOOKUP(K44,List!$E$35:$F$37,2,)),time*(1-(VLOOKUP(K44,List!$E$35:$F$37,2,))))</f>
        <v>0</v>
      </c>
    </row>
    <row r="45" spans="1:228">
      <c r="A45" s="1394"/>
      <c r="B45" s="35" t="s">
        <v>358</v>
      </c>
      <c r="C45" s="1406">
        <f>VLOOKUP(region,' IPCC'!A440:T451,IF(MAT&lt;=10,2,IF(MAT&lt;=28,MAT-8,19)),FALSE)</f>
        <v>0</v>
      </c>
      <c r="D45" s="2255">
        <f>IF('4.Grassland'!R135="",'4.Grassland'!P135,'4.Grassland'!R135)</f>
        <v>0</v>
      </c>
      <c r="E45" s="2255">
        <f>IF('4.Grassland'!T135="",'4.Grassland'!P135,'4.Grassland'!T135)</f>
        <v>0</v>
      </c>
      <c r="F45" s="1223">
        <f t="shared" si="8"/>
        <v>0</v>
      </c>
      <c r="G45" s="1224">
        <f t="shared" si="8"/>
        <v>0</v>
      </c>
      <c r="H45" s="1107" t="str">
        <f t="shared" si="8"/>
        <v>Linear</v>
      </c>
      <c r="I45" s="49"/>
      <c r="J45" s="1223">
        <f t="shared" si="9"/>
        <v>0</v>
      </c>
      <c r="K45" s="1107" t="str">
        <f t="shared" si="9"/>
        <v>Linear</v>
      </c>
      <c r="L45" s="1412"/>
      <c r="M45" s="1371">
        <f t="shared" si="13"/>
        <v>0</v>
      </c>
      <c r="N45" s="2866">
        <f t="shared" si="10"/>
        <v>0</v>
      </c>
      <c r="O45" s="2866">
        <f t="shared" si="11"/>
        <v>0</v>
      </c>
      <c r="P45" s="1374"/>
      <c r="Q45" s="1371">
        <f>MIN(M45,N45)*time_tot+ABS(N45-M45)*IF(N45&gt;M45,time2+time*(VLOOKUP(H45,List!$E$35:$F$37,2,)),time*(1-(VLOOKUP(H45,List!$E$35:$F$37,2,))))</f>
        <v>0</v>
      </c>
      <c r="R45" s="1371">
        <f>MIN(M45,O45)*time_tot+ABS(O45-M45)*IF(O45&gt;M45,time2+time*(VLOOKUP(K45,List!$E$35:$F$37,2,)),time*(1-(VLOOKUP(K45,List!$E$35:$F$37,2,))))</f>
        <v>0</v>
      </c>
      <c r="S45" s="1374"/>
      <c r="T45" s="1375">
        <f t="shared" si="12"/>
        <v>0</v>
      </c>
      <c r="AG45" s="1902">
        <f>MIN(M45,N45)*time+ABS(N45-M45)*IF(N45&gt;M45,time*(VLOOKUP(H45,List!$E$35:$F$37,2,)),time*(1-(VLOOKUP(H45,List!$E$35:$F$37,2,))))</f>
        <v>0</v>
      </c>
      <c r="AH45" s="1914">
        <f>MIN(M45,O45)*time+ABS(O45-M45)*IF(O45&gt;M45,time*(VLOOKUP(K45,List!$E$35:$F$37,2,)),time*(1-(VLOOKUP(K45,List!$E$35:$F$37,2,))))</f>
        <v>0</v>
      </c>
    </row>
    <row r="46" spans="1:228">
      <c r="A46" s="1394"/>
      <c r="B46" s="303" t="str">
        <f>B18</f>
        <v>Please select</v>
      </c>
      <c r="C46" s="1406">
        <f>IF(c_type="developed",VLOOKUP(B46,' IPCC'!$A$455:$D$463,IF(MAT&lt;15,2,IF(MAT&gt;25,4,3)),FALSE),VLOOKUP(B46,' IPCC'!$A$467:$D$475,IF(MAT&lt;15,2,IF(MAT&gt;25,4,3)),FALSE))</f>
        <v>0</v>
      </c>
      <c r="D46" s="2255">
        <f>IF('4.Grassland'!R136="",'4.Grassland'!P136,'4.Grassland'!R136)</f>
        <v>0</v>
      </c>
      <c r="E46" s="2255">
        <f>IF('4.Grassland'!T136="",'4.Grassland'!P136,'4.Grassland'!T136)</f>
        <v>0</v>
      </c>
      <c r="F46" s="1223">
        <f t="shared" si="8"/>
        <v>0</v>
      </c>
      <c r="G46" s="1224">
        <f t="shared" si="8"/>
        <v>0</v>
      </c>
      <c r="H46" s="1107" t="str">
        <f t="shared" si="8"/>
        <v>Linear</v>
      </c>
      <c r="I46" s="49"/>
      <c r="J46" s="1223">
        <f t="shared" si="9"/>
        <v>0</v>
      </c>
      <c r="K46" s="1107" t="str">
        <f t="shared" si="9"/>
        <v>Linear</v>
      </c>
      <c r="L46" s="1412"/>
      <c r="M46" s="1371">
        <f t="shared" si="13"/>
        <v>0</v>
      </c>
      <c r="N46" s="2866">
        <f t="shared" si="10"/>
        <v>0</v>
      </c>
      <c r="O46" s="2866">
        <f t="shared" si="11"/>
        <v>0</v>
      </c>
      <c r="P46" s="1374"/>
      <c r="Q46" s="1371">
        <f>MIN(M46,N46)*time_tot+ABS(N46-M46)*IF(N46&gt;M46,time2+time*(VLOOKUP(H46,List!$E$35:$F$37,2,)),time*(1-(VLOOKUP(H46,List!$E$35:$F$37,2,))))</f>
        <v>0</v>
      </c>
      <c r="R46" s="1371">
        <f>MIN(M46,O46)*time_tot+ABS(O46-M46)*IF(O46&gt;M46,time2+time*(VLOOKUP(K46,List!$E$35:$F$37,2,)),time*(1-(VLOOKUP(K46,List!$E$35:$F$37,2,))))</f>
        <v>0</v>
      </c>
      <c r="S46" s="1374"/>
      <c r="T46" s="1375">
        <f t="shared" si="12"/>
        <v>0</v>
      </c>
      <c r="AG46" s="1902">
        <f>MIN(M46,N46)*time+ABS(N46-M46)*IF(N46&gt;M46,time*(VLOOKUP(H46,List!$E$35:$F$37,2,)),time*(1-(VLOOKUP(H46,List!$E$35:$F$37,2,))))</f>
        <v>0</v>
      </c>
      <c r="AH46" s="1914">
        <f>MIN(M46,O46)*time+ABS(O46-M46)*IF(O46&gt;M46,time*(VLOOKUP(K46,List!$E$35:$F$37,2,)),time*(1-(VLOOKUP(K46,List!$E$35:$F$37,2,))))</f>
        <v>0</v>
      </c>
    </row>
    <row r="47" spans="1:228">
      <c r="A47" s="1394"/>
      <c r="B47" s="303" t="str">
        <f>B19</f>
        <v>Horses</v>
      </c>
      <c r="C47" s="1406">
        <f>IF(c_type="developed",VLOOKUP(B47,' IPCC'!$A$455:$D$463,IF(MAT&lt;15,2,IF(MAT&gt;25,4,3)),FALSE),VLOOKUP(B47,' IPCC'!$A$467:$D$475,IF(MAT&lt;15,2,IF(MAT&gt;25,4,3)),FALSE))</f>
        <v>1.0900000000000001</v>
      </c>
      <c r="D47" s="2255">
        <f>IF('4.Grassland'!R137="",'4.Grassland'!P137,'4.Grassland'!R137)</f>
        <v>1.0900000000000001</v>
      </c>
      <c r="E47" s="2255">
        <f>IF('4.Grassland'!T137="",'4.Grassland'!P137,'4.Grassland'!T137)</f>
        <v>1.0900000000000001</v>
      </c>
      <c r="F47" s="1223">
        <f t="shared" si="8"/>
        <v>0</v>
      </c>
      <c r="G47" s="1224">
        <f t="shared" si="8"/>
        <v>0</v>
      </c>
      <c r="H47" s="1107" t="str">
        <f t="shared" si="8"/>
        <v>Linear</v>
      </c>
      <c r="I47" s="49"/>
      <c r="J47" s="1223">
        <f t="shared" si="9"/>
        <v>0</v>
      </c>
      <c r="K47" s="1107" t="str">
        <f t="shared" si="9"/>
        <v>Linear</v>
      </c>
      <c r="L47" s="1412"/>
      <c r="M47" s="1371">
        <f>IF($E47="YES",$C47,$D47)*(methane*F47/1000)</f>
        <v>0</v>
      </c>
      <c r="N47" s="2866">
        <f t="shared" si="10"/>
        <v>0</v>
      </c>
      <c r="O47" s="2866">
        <f t="shared" si="11"/>
        <v>0</v>
      </c>
      <c r="P47" s="1374"/>
      <c r="Q47" s="1371">
        <f>MIN(M47,N47)*time_tot+ABS(N47-M47)*IF(N47&gt;M47,time2+time*(VLOOKUP(H47,List!$E$35:$F$37,2,)),time*(1-(VLOOKUP(H47,List!$E$35:$F$37,2,))))</f>
        <v>0</v>
      </c>
      <c r="R47" s="1371">
        <f>MIN(M47,O47)*time_tot+ABS(O47-M47)*IF(O47&gt;M47,time2+time*(VLOOKUP(K47,List!$E$35:$F$37,2,)),time*(1-(VLOOKUP(K47,List!$E$35:$F$37,2,))))</f>
        <v>0</v>
      </c>
      <c r="S47" s="1374"/>
      <c r="T47" s="1375">
        <f>R47-Q47</f>
        <v>0</v>
      </c>
      <c r="AG47" s="1902">
        <f>MIN(M47,N47)*time+ABS(N47-M47)*IF(N47&gt;M47,time*(VLOOKUP(H47,List!$E$35:$F$37,2,)),time*(1-(VLOOKUP(H47,List!$E$35:$F$37,2,))))</f>
        <v>0</v>
      </c>
      <c r="AH47" s="1914">
        <f>MIN(M47,O47)*time+ABS(O47-M47)*IF(O47&gt;M47,time*(VLOOKUP(K47,List!$E$35:$F$37,2,)),time*(1-(VLOOKUP(K47,List!$E$35:$F$37,2,))))</f>
        <v>0</v>
      </c>
    </row>
    <row r="48" spans="1:228">
      <c r="A48" s="1394"/>
      <c r="B48" s="303" t="str">
        <f>B20</f>
        <v>Goats</v>
      </c>
      <c r="C48" s="1406">
        <f>IF(c_type="developed",VLOOKUP(B48,' IPCC'!$A$455:$D$463,IF(MAT&lt;15,2,IF(MAT&gt;25,4,3)),FALSE),VLOOKUP(B48,' IPCC'!$A$467:$D$475,IF(MAT&lt;15,2,IF(MAT&gt;25,4,3)),FALSE))</f>
        <v>0.11</v>
      </c>
      <c r="D48" s="2255">
        <f>IF('4.Grassland'!R138="",'4.Grassland'!P138,'4.Grassland'!R138)</f>
        <v>0.11</v>
      </c>
      <c r="E48" s="2255">
        <f>IF('4.Grassland'!T138="",'4.Grassland'!P138,'4.Grassland'!T138)</f>
        <v>0.11</v>
      </c>
      <c r="F48" s="1223">
        <f t="shared" si="8"/>
        <v>0</v>
      </c>
      <c r="G48" s="1224">
        <f t="shared" si="8"/>
        <v>0</v>
      </c>
      <c r="H48" s="1107" t="str">
        <f t="shared" si="8"/>
        <v>Linear</v>
      </c>
      <c r="I48" s="49"/>
      <c r="J48" s="1223">
        <f t="shared" si="9"/>
        <v>0</v>
      </c>
      <c r="K48" s="1107" t="str">
        <f t="shared" si="9"/>
        <v>Linear</v>
      </c>
      <c r="L48" s="1412"/>
      <c r="M48" s="1371">
        <f t="shared" si="13"/>
        <v>0</v>
      </c>
      <c r="N48" s="2866">
        <f t="shared" si="10"/>
        <v>0</v>
      </c>
      <c r="O48" s="2866">
        <f t="shared" si="11"/>
        <v>0</v>
      </c>
      <c r="P48" s="1374"/>
      <c r="Q48" s="1371">
        <f>MIN(M48,N48)*time_tot+ABS(N48-M48)*IF(N48&gt;M48,time2+time*(VLOOKUP(H48,List!$E$35:$F$37,2,)),time*(1-(VLOOKUP(H48,List!$E$35:$F$37,2,))))</f>
        <v>0</v>
      </c>
      <c r="R48" s="1371">
        <f>MIN(M48,O48)*time_tot+ABS(O48-M48)*IF(O48&gt;M48,time2+time*(VLOOKUP(K48,List!$E$35:$F$37,2,)),time*(1-(VLOOKUP(K48,List!$E$35:$F$37,2,))))</f>
        <v>0</v>
      </c>
      <c r="S48" s="1374"/>
      <c r="T48" s="1375">
        <f t="shared" si="12"/>
        <v>0</v>
      </c>
      <c r="AG48" s="1902">
        <f>MIN(M48,N48)*time+ABS(N48-M48)*IF(N48&gt;M48,time*(VLOOKUP(H48,List!$E$35:$F$37,2,)),time*(1-(VLOOKUP(H48,List!$E$35:$F$37,2,))))</f>
        <v>0</v>
      </c>
      <c r="AH48" s="1914">
        <f>MIN(M48,O48)*time+ABS(O48-M48)*IF(O48&gt;M48,time*(VLOOKUP(K48,List!$E$35:$F$37,2,)),time*(1-(VLOOKUP(K48,List!$E$35:$F$37,2,))))</f>
        <v>0</v>
      </c>
    </row>
    <row r="49" spans="1:228">
      <c r="A49" s="1394"/>
      <c r="B49" s="85" t="str">
        <f>B21</f>
        <v>User Defined- Specified value ---------------&gt;</v>
      </c>
      <c r="C49" s="84"/>
      <c r="D49" s="1407"/>
      <c r="E49" s="84" t="s">
        <v>354</v>
      </c>
      <c r="F49" s="1223">
        <f t="shared" si="8"/>
        <v>0</v>
      </c>
      <c r="G49" s="1224">
        <f t="shared" si="8"/>
        <v>0</v>
      </c>
      <c r="H49" s="1107" t="str">
        <f t="shared" si="8"/>
        <v>Linear</v>
      </c>
      <c r="I49" s="49"/>
      <c r="J49" s="1223">
        <f t="shared" si="9"/>
        <v>0</v>
      </c>
      <c r="K49" s="1107" t="str">
        <f t="shared" si="9"/>
        <v>Linear</v>
      </c>
      <c r="L49" s="1412"/>
      <c r="M49" s="1371">
        <f t="shared" si="13"/>
        <v>0</v>
      </c>
      <c r="N49" s="1893">
        <f t="shared" si="10"/>
        <v>0</v>
      </c>
      <c r="O49" s="1371">
        <f t="shared" ref="O49:O50" si="14">IF($E49="YES",$C49,$D49)*(methane*J49/1000)</f>
        <v>0</v>
      </c>
      <c r="P49" s="1374"/>
      <c r="Q49" s="1371">
        <f>MIN(M49,N49)*time_tot+ABS(N49-M49)*IF(N49&gt;M49,time2+time*(VLOOKUP(H49,List!$E$35:$F$37,2,)),time*(1-(VLOOKUP(H49,List!$E$35:$F$37,2,))))</f>
        <v>0</v>
      </c>
      <c r="R49" s="1371">
        <f>MIN(M49,O49)*time_tot+ABS(O49-M49)*IF(O49&gt;M49,time2+time*(VLOOKUP(K49,List!$E$35:$F$37,2,)),time*(1-(VLOOKUP(K49,List!$E$35:$F$37,2,))))</f>
        <v>0</v>
      </c>
      <c r="S49" s="1374"/>
      <c r="T49" s="1375">
        <f t="shared" si="12"/>
        <v>0</v>
      </c>
      <c r="AG49" s="1902">
        <f>MIN(M49,N49)*time+ABS(N49-M49)*IF(N49&gt;M49,time*(VLOOKUP(H49,List!$E$35:$F$37,2,)),time*(1-(VLOOKUP(H49,List!$E$35:$F$37,2,))))</f>
        <v>0</v>
      </c>
      <c r="AH49" s="1914">
        <f>MIN(M49,O49)*time+ABS(O49-M49)*IF(O49&gt;M49,time*(VLOOKUP(K49,List!$E$35:$F$37,2,)),time*(1-(VLOOKUP(K49,List!$E$35:$F$37,2,))))</f>
        <v>0</v>
      </c>
    </row>
    <row r="50" spans="1:228">
      <c r="A50" s="1394"/>
      <c r="B50" s="85" t="str">
        <f>B22</f>
        <v>User Defined- Specified value ---------------&gt;</v>
      </c>
      <c r="C50" s="84"/>
      <c r="D50" s="1407"/>
      <c r="E50" s="84" t="s">
        <v>354</v>
      </c>
      <c r="F50" s="1225">
        <f t="shared" si="8"/>
        <v>0</v>
      </c>
      <c r="G50" s="1226">
        <f t="shared" si="8"/>
        <v>0</v>
      </c>
      <c r="H50" s="1108" t="str">
        <f t="shared" si="8"/>
        <v>Linear</v>
      </c>
      <c r="I50" s="49"/>
      <c r="J50" s="1225">
        <f t="shared" si="9"/>
        <v>0</v>
      </c>
      <c r="K50" s="1108" t="str">
        <f t="shared" si="9"/>
        <v>Linear</v>
      </c>
      <c r="L50" s="1412"/>
      <c r="M50" s="1371">
        <f t="shared" si="13"/>
        <v>0</v>
      </c>
      <c r="N50" s="1893">
        <f t="shared" si="10"/>
        <v>0</v>
      </c>
      <c r="O50" s="1371">
        <f t="shared" si="14"/>
        <v>0</v>
      </c>
      <c r="P50" s="1374"/>
      <c r="Q50" s="1371">
        <f>MIN(M50,N50)*time_tot+ABS(N50-M50)*IF(N50&gt;M50,time2+time*(VLOOKUP(H50,List!$E$35:$F$37,2,)),time*(1-(VLOOKUP(H50,List!$E$35:$F$37,2,))))</f>
        <v>0</v>
      </c>
      <c r="R50" s="1371">
        <f>MIN(M50,O50)*time_tot+ABS(O50-M50)*IF(O50&gt;M50,time2+time*(VLOOKUP(K50,List!$E$35:$F$37,2,)),time*(1-(VLOOKUP(K50,List!$E$35:$F$37,2,))))</f>
        <v>0</v>
      </c>
      <c r="S50" s="1374"/>
      <c r="T50" s="1375">
        <f t="shared" si="12"/>
        <v>0</v>
      </c>
      <c r="AG50" s="1902">
        <f>MIN(M50,N50)*time+ABS(N50-M50)*IF(N50&gt;M50,time*(VLOOKUP(H50,List!$E$35:$F$37,2,)),time*(1-(VLOOKUP(H50,List!$E$35:$F$37,2,))))</f>
        <v>0</v>
      </c>
      <c r="AH50" s="1914">
        <f>MIN(M50,O50)*time+ABS(O50-M50)*IF(O50&gt;M50,time*(VLOOKUP(K50,List!$E$35:$F$37,2,)),time*(1-(VLOOKUP(K50,List!$E$35:$F$37,2,))))</f>
        <v>0</v>
      </c>
    </row>
    <row r="51" spans="1:228" s="49" customFormat="1">
      <c r="A51" s="47"/>
      <c r="J51" s="46"/>
      <c r="K51" s="1418" t="s">
        <v>686</v>
      </c>
      <c r="L51" s="1411"/>
      <c r="M51" s="1231">
        <f>SUM(M40:M50)</f>
        <v>0</v>
      </c>
      <c r="N51" s="1231">
        <f>SUM(N40:N49)</f>
        <v>0</v>
      </c>
      <c r="O51" s="1231">
        <f>SUM(O40:O49)</f>
        <v>0</v>
      </c>
      <c r="P51" s="1231"/>
      <c r="Q51" s="1231">
        <f>SUM(Q40:Q50)</f>
        <v>0</v>
      </c>
      <c r="R51" s="1231">
        <f>SUM(R40:R50)</f>
        <v>0</v>
      </c>
      <c r="S51" s="1376"/>
      <c r="T51" s="1377">
        <f>SUM(T40:T50)</f>
        <v>0</v>
      </c>
      <c r="V51" s="1879"/>
      <c r="W51" s="1879"/>
      <c r="X51" s="1879"/>
      <c r="Y51" s="1879"/>
      <c r="Z51" s="1879"/>
      <c r="AA51" s="1879"/>
      <c r="AB51" s="1879"/>
      <c r="AC51" s="1879"/>
      <c r="AD51" s="1901"/>
      <c r="AE51" s="1901"/>
      <c r="AF51" s="1901"/>
      <c r="AG51" s="1902"/>
      <c r="AH51" s="1902"/>
      <c r="AI51" s="1915">
        <f>SUM(AH40:AH50)-SUM(AG40:AG50)</f>
        <v>0</v>
      </c>
      <c r="AJ51" s="1901"/>
      <c r="AK51" s="1901"/>
      <c r="AL51" s="1901"/>
      <c r="AM51" s="1901"/>
      <c r="AN51" s="1901"/>
      <c r="AO51" s="1901"/>
    </row>
    <row r="52" spans="1:228">
      <c r="A52" s="1394"/>
      <c r="B52" s="49"/>
      <c r="C52" s="46"/>
      <c r="D52" s="46"/>
      <c r="E52" s="46"/>
      <c r="F52" s="49"/>
      <c r="G52" s="49"/>
      <c r="H52" s="47"/>
      <c r="I52" s="49"/>
      <c r="J52" s="49"/>
      <c r="K52" s="112"/>
      <c r="L52" s="112"/>
      <c r="M52" s="112"/>
      <c r="N52" s="112"/>
      <c r="O52" s="112"/>
      <c r="P52" s="112"/>
      <c r="Q52" s="112"/>
      <c r="R52" s="112"/>
      <c r="S52" s="112"/>
      <c r="T52" s="112"/>
    </row>
    <row r="53" spans="1:228" s="1393" customFormat="1">
      <c r="A53" s="26"/>
      <c r="B53" s="29" t="s">
        <v>363</v>
      </c>
      <c r="C53" s="39"/>
      <c r="D53" s="39"/>
      <c r="E53" s="39"/>
      <c r="F53" s="40"/>
      <c r="G53" s="40"/>
      <c r="H53" s="41"/>
      <c r="I53" s="40"/>
      <c r="J53" s="40"/>
      <c r="K53" s="41"/>
      <c r="L53" s="42"/>
      <c r="M53" s="39"/>
      <c r="N53" s="40"/>
      <c r="O53" s="40"/>
      <c r="P53" s="40"/>
      <c r="Q53" s="43"/>
      <c r="R53" s="43"/>
      <c r="S53" s="40"/>
      <c r="T53" s="44"/>
      <c r="U53" s="15"/>
      <c r="V53" s="15"/>
      <c r="W53" s="15"/>
      <c r="X53" s="15"/>
      <c r="Y53" s="15"/>
      <c r="Z53" s="15"/>
      <c r="AA53" s="15"/>
      <c r="AB53" s="15"/>
      <c r="AC53" s="15"/>
      <c r="AD53" s="1903"/>
      <c r="AE53" s="1903"/>
      <c r="AF53" s="1903"/>
      <c r="AG53" s="1871"/>
      <c r="AH53" s="1871"/>
      <c r="AI53" s="1903"/>
      <c r="AJ53" s="1903"/>
      <c r="AK53" s="1903"/>
      <c r="AL53" s="1903"/>
      <c r="AM53" s="1903"/>
      <c r="AN53" s="1903"/>
      <c r="AO53" s="1903"/>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row>
    <row r="54" spans="1:228" ht="13.5" thickBot="1">
      <c r="A54" s="1394"/>
      <c r="B54" s="111"/>
      <c r="C54" s="1395"/>
      <c r="D54" s="1395"/>
      <c r="E54" s="1395"/>
      <c r="F54" s="3864" t="s">
        <v>364</v>
      </c>
      <c r="G54" s="3864"/>
      <c r="H54" s="3864"/>
      <c r="I54" s="3864"/>
      <c r="J54" s="3864"/>
      <c r="K54" s="3864"/>
      <c r="L54" s="1412"/>
      <c r="M54" s="3862" t="s">
        <v>336</v>
      </c>
      <c r="N54" s="3862"/>
      <c r="O54" s="3862"/>
      <c r="P54" s="49"/>
      <c r="Q54" s="1365" t="s">
        <v>2</v>
      </c>
      <c r="R54" s="1365"/>
      <c r="S54" s="1365"/>
      <c r="T54" s="1365"/>
    </row>
    <row r="55" spans="1:228">
      <c r="A55" s="1394"/>
      <c r="B55" s="186"/>
      <c r="C55" s="84" t="s">
        <v>337</v>
      </c>
      <c r="D55" s="2864" t="s">
        <v>4823</v>
      </c>
      <c r="E55" s="2863"/>
      <c r="F55" s="1399" t="s">
        <v>340</v>
      </c>
      <c r="G55" s="3867" t="s">
        <v>673</v>
      </c>
      <c r="H55" s="3868"/>
      <c r="I55" s="49"/>
      <c r="J55" s="3865" t="s">
        <v>672</v>
      </c>
      <c r="K55" s="3866"/>
      <c r="L55" s="1412"/>
      <c r="M55" s="1399" t="s">
        <v>340</v>
      </c>
      <c r="N55" s="3869" t="s">
        <v>341</v>
      </c>
      <c r="O55" s="3869"/>
      <c r="P55" s="49"/>
      <c r="Q55" s="3851" t="s">
        <v>342</v>
      </c>
      <c r="R55" s="3851"/>
      <c r="S55" s="49"/>
      <c r="T55" s="84" t="s">
        <v>343</v>
      </c>
      <c r="AG55" s="1872" t="s">
        <v>844</v>
      </c>
    </row>
    <row r="56" spans="1:228">
      <c r="A56" s="1394"/>
      <c r="B56" s="1401" t="s">
        <v>1172</v>
      </c>
      <c r="C56" s="84" t="s">
        <v>345</v>
      </c>
      <c r="D56" s="2862"/>
      <c r="E56" s="2863"/>
      <c r="F56" s="1399" t="s">
        <v>347</v>
      </c>
      <c r="G56" s="1414" t="s">
        <v>341</v>
      </c>
      <c r="H56" s="1415" t="s">
        <v>348</v>
      </c>
      <c r="I56" s="1369"/>
      <c r="J56" s="1896" t="s">
        <v>341</v>
      </c>
      <c r="K56" s="1897" t="s">
        <v>348</v>
      </c>
      <c r="L56" s="1412"/>
      <c r="M56" s="1399"/>
      <c r="N56" s="2876" t="s">
        <v>674</v>
      </c>
      <c r="O56" s="2877" t="s">
        <v>675</v>
      </c>
      <c r="P56" s="1369"/>
      <c r="Q56" s="1367" t="s">
        <v>674</v>
      </c>
      <c r="R56" s="1368" t="s">
        <v>675</v>
      </c>
      <c r="S56" s="1369"/>
      <c r="T56" s="1370"/>
      <c r="AG56" s="1913" t="s">
        <v>674</v>
      </c>
      <c r="AH56" s="1913" t="s">
        <v>675</v>
      </c>
      <c r="AI56" s="1904"/>
    </row>
    <row r="57" spans="1:228">
      <c r="A57" s="1394"/>
      <c r="B57" s="1918" t="s">
        <v>1416</v>
      </c>
      <c r="C57" s="1406">
        <v>0.02</v>
      </c>
      <c r="D57" s="2255">
        <f>IF('4.Grassland'!T123="",'4.Grassland'!R123,'4.Grassland'!T123)</f>
        <v>0.02</v>
      </c>
      <c r="E57" s="2863"/>
      <c r="F57" s="1892">
        <f>VLOOKUP(region,' IPCC'!$A$480:$F$491,2,)*VLOOKUP(region,' IPCC'!$A$495:$F$507,2,)*0.365*F12*IF($E$32="YES",$C$32,$D$32)/1000</f>
        <v>0</v>
      </c>
      <c r="G57" s="2884">
        <f>VLOOKUP(region,' IPCC'!$A$480:$F$491,2,)*VLOOKUP(region,' IPCC'!$A$495:$F$507,2,)*0.365*G12*$D$32/1000</f>
        <v>0</v>
      </c>
      <c r="H57" s="1900" t="str">
        <f>H40</f>
        <v>Linear</v>
      </c>
      <c r="I57" s="49"/>
      <c r="J57" s="2884">
        <f>VLOOKUP(region,' IPCC'!$A$480:$F$491,2,)*VLOOKUP(region,' IPCC'!$A$495:$F$507,2,)*0.365*J12*$E$32/1000</f>
        <v>0</v>
      </c>
      <c r="K57" s="1900" t="str">
        <f t="shared" ref="K57" si="15">K40</f>
        <v>Linear</v>
      </c>
      <c r="L57" s="1412"/>
      <c r="M57" s="1371">
        <f>IF($E57="YES",$C57,$D57)*(Nitrous*F57)*44/28</f>
        <v>0</v>
      </c>
      <c r="N57" s="2866">
        <f t="shared" ref="N57:N71" si="16">$D57*(Nitrous*G57)*44/28</f>
        <v>0</v>
      </c>
      <c r="O57" s="2866">
        <f t="shared" ref="O57:O68" si="17">$D57*(Nitrous*J57)*44/28</f>
        <v>0</v>
      </c>
      <c r="P57" s="49"/>
      <c r="Q57" s="1371">
        <f>MIN(M57,N57)*time_tot+ABS(N57-M57)*IF(N57&gt;M57,time2+time*(VLOOKUP(H57,List!$E$35:$F$37,2,)),time*(1-(VLOOKUP(H57,List!$E$35:$F$37,2,))))</f>
        <v>0</v>
      </c>
      <c r="R57" s="1371">
        <f>MIN(M57,O57)*time_tot+ABS(O57-M57)*IF(O57&gt;M57,time2+time*(VLOOKUP(K57,List!$E$35:$F$37,2,)),time*(1-(VLOOKUP(K57,List!$E$35:$F$37,2,))))</f>
        <v>0</v>
      </c>
      <c r="S57" s="1374"/>
      <c r="T57" s="1375">
        <f>R57-Q57</f>
        <v>0</v>
      </c>
      <c r="AG57" s="1914">
        <f>MIN(M57,N57)*time+ABS(N57-M57)*IF(N57&gt;M57,time*(VLOOKUP(H57,List!$E$35:$F$37,2,)),time*(1-(VLOOKUP(H57,List!$E$35:$F$37,2,))))</f>
        <v>0</v>
      </c>
      <c r="AH57" s="1914">
        <f>MIN(M57,O57)*time+ABS(O57-M57)*IF(O57&gt;M57,time*(VLOOKUP(K57,List!$E$35:$F$37,2,)),time*(1-(VLOOKUP(K57,List!$E$35:$F$37,2,))))</f>
        <v>0</v>
      </c>
      <c r="AI57" s="1915"/>
    </row>
    <row r="58" spans="1:228" s="1875" customFormat="1">
      <c r="A58" s="1394"/>
      <c r="B58" s="1918" t="s">
        <v>1417</v>
      </c>
      <c r="C58" s="1406">
        <v>0.01</v>
      </c>
      <c r="D58" s="2255">
        <f>IF('4.Grassland'!T124="",'4.Grassland'!R124,'4.Grassland'!T124)</f>
        <v>0.01</v>
      </c>
      <c r="E58" s="2863"/>
      <c r="F58" s="1892">
        <f>VLOOKUP(region,' IPCC'!$A$480:$F$491,2,)*VLOOKUP(region,' IPCC'!$A$495:$F$507,2,)*0.365*F12*IF($E$32="YES",(1-$C$32),(1-$D$32))/1000</f>
        <v>0</v>
      </c>
      <c r="G58" s="2884">
        <f>VLOOKUP(region,' IPCC'!$A$480:$F$491,2,)*VLOOKUP(region,' IPCC'!$A$495:$F$507,2,)*0.365*G12*(1-$D$32)/1000</f>
        <v>0</v>
      </c>
      <c r="H58" s="1900" t="str">
        <f>H40</f>
        <v>Linear</v>
      </c>
      <c r="I58" s="1879"/>
      <c r="J58" s="2884">
        <f>VLOOKUP(region,' IPCC'!$A$480:$F$491,2,)*VLOOKUP(region,' IPCC'!$A$495:$F$507,2,)*0.365*J12*(1-$E$32)/1000</f>
        <v>0</v>
      </c>
      <c r="K58" s="1900" t="str">
        <f>K40</f>
        <v>Linear</v>
      </c>
      <c r="L58" s="1898"/>
      <c r="M58" s="1893">
        <f t="shared" ref="M58:M68" si="18">IF($E58="YES",$C58,$D58)*(Nitrous*F58)*44/28</f>
        <v>0</v>
      </c>
      <c r="N58" s="2866">
        <f t="shared" si="16"/>
        <v>0</v>
      </c>
      <c r="O58" s="2866">
        <f t="shared" si="17"/>
        <v>0</v>
      </c>
      <c r="P58" s="1879"/>
      <c r="Q58" s="1893">
        <f>MIN(M58,N58)*time_tot+ABS(N58-M58)*IF(N58&gt;M58,time2+time*(VLOOKUP(H58,List!$E$35:$F$37,2,)),time*(1-(VLOOKUP(H58,List!$E$35:$F$37,2,))))</f>
        <v>0</v>
      </c>
      <c r="R58" s="1893">
        <f>MIN(M58,O58)*time_tot+ABS(O58-M58)*IF(O58&gt;M58,time2+time*(VLOOKUP(K58,List!$E$35:$F$37,2,)),time*(1-(VLOOKUP(K58,List!$E$35:$F$37,2,))))</f>
        <v>0</v>
      </c>
      <c r="S58" s="1894"/>
      <c r="T58" s="1375">
        <f t="shared" ref="T58:T70" si="19">R58-Q58</f>
        <v>0</v>
      </c>
      <c r="U58" s="1876"/>
      <c r="V58" s="1876"/>
      <c r="W58" s="1876"/>
      <c r="X58" s="1876"/>
      <c r="Y58" s="1876"/>
      <c r="Z58" s="1876"/>
      <c r="AA58" s="1876"/>
      <c r="AB58" s="1876"/>
      <c r="AC58" s="1876"/>
      <c r="AD58" s="1901"/>
      <c r="AE58" s="1901"/>
      <c r="AF58" s="1901"/>
      <c r="AG58" s="1914">
        <f>MIN(M58,N58)*time+ABS(N58-M58)*IF(N58&gt;M58,time*(VLOOKUP(H58,List!$E$35:$F$37,2,)),time*(1-(VLOOKUP(H58,List!$E$35:$F$37,2,))))</f>
        <v>0</v>
      </c>
      <c r="AH58" s="1914">
        <f>MIN(M58,O58)*time+ABS(O58-M58)*IF(O58&gt;M58,time*(VLOOKUP(K58,List!$E$35:$F$37,2,)),time*(1-(VLOOKUP(K58,List!$E$35:$F$37,2,))))</f>
        <v>0</v>
      </c>
      <c r="AI58" s="1915"/>
      <c r="AJ58" s="1901"/>
      <c r="AK58" s="1901"/>
      <c r="AL58" s="1901"/>
      <c r="AM58" s="1901"/>
      <c r="AN58" s="1901"/>
      <c r="AO58" s="1901"/>
      <c r="AP58" s="1876"/>
      <c r="AQ58" s="1876"/>
      <c r="AR58" s="1876"/>
      <c r="AS58" s="1876"/>
      <c r="AT58" s="1876"/>
      <c r="AU58" s="1876"/>
      <c r="AV58" s="1876"/>
      <c r="AW58" s="1876"/>
      <c r="AX58" s="1876"/>
      <c r="AY58" s="1876"/>
      <c r="AZ58" s="1876"/>
      <c r="BA58" s="1876"/>
      <c r="BB58" s="1876"/>
      <c r="BC58" s="1876"/>
      <c r="BD58" s="1876"/>
      <c r="BE58" s="1876"/>
      <c r="BF58" s="1876"/>
      <c r="BG58" s="1876"/>
      <c r="BH58" s="1876"/>
      <c r="BI58" s="1876"/>
      <c r="BJ58" s="1876"/>
      <c r="BK58" s="1876"/>
      <c r="BL58" s="1876"/>
      <c r="BM58" s="1876"/>
      <c r="BN58" s="1876"/>
      <c r="BO58" s="1876"/>
      <c r="BP58" s="1876"/>
      <c r="BQ58" s="1876"/>
      <c r="BR58" s="1876"/>
      <c r="BS58" s="1876"/>
      <c r="BT58" s="1876"/>
      <c r="BU58" s="1876"/>
      <c r="BV58" s="1876"/>
      <c r="BW58" s="1876"/>
      <c r="BX58" s="1876"/>
      <c r="BY58" s="1876"/>
      <c r="BZ58" s="1876"/>
      <c r="CA58" s="1876"/>
      <c r="CB58" s="1876"/>
      <c r="CC58" s="1876"/>
      <c r="CD58" s="1876"/>
      <c r="CE58" s="1876"/>
      <c r="CF58" s="1876"/>
      <c r="CG58" s="1876"/>
      <c r="CH58" s="1876"/>
      <c r="CI58" s="1876"/>
      <c r="CJ58" s="1876"/>
      <c r="CK58" s="1876"/>
      <c r="CL58" s="1876"/>
      <c r="CM58" s="1876"/>
      <c r="CN58" s="1876"/>
      <c r="CO58" s="1876"/>
      <c r="CP58" s="1876"/>
      <c r="CQ58" s="1876"/>
      <c r="CR58" s="1876"/>
      <c r="CS58" s="1876"/>
      <c r="CT58" s="1876"/>
      <c r="CU58" s="1876"/>
      <c r="CV58" s="1876"/>
      <c r="CW58" s="1876"/>
      <c r="CX58" s="1876"/>
      <c r="CY58" s="1876"/>
      <c r="CZ58" s="1876"/>
      <c r="DA58" s="1876"/>
      <c r="DB58" s="1876"/>
      <c r="DC58" s="1876"/>
      <c r="DD58" s="1876"/>
      <c r="DE58" s="1876"/>
      <c r="DF58" s="1876"/>
      <c r="DG58" s="1876"/>
      <c r="DH58" s="1876"/>
      <c r="DI58" s="1876"/>
      <c r="DJ58" s="1876"/>
      <c r="DK58" s="1876"/>
      <c r="DL58" s="1876"/>
      <c r="DM58" s="1876"/>
      <c r="DN58" s="1876"/>
      <c r="DO58" s="1876"/>
      <c r="DP58" s="1876"/>
      <c r="DQ58" s="1876"/>
      <c r="DR58" s="1876"/>
      <c r="DS58" s="1876"/>
      <c r="DT58" s="1876"/>
      <c r="DU58" s="1876"/>
      <c r="DV58" s="1876"/>
      <c r="DW58" s="1876"/>
      <c r="DX58" s="1876"/>
      <c r="DY58" s="1876"/>
      <c r="DZ58" s="1876"/>
      <c r="EA58" s="1876"/>
      <c r="EB58" s="1876"/>
      <c r="EC58" s="1876"/>
      <c r="ED58" s="1876"/>
      <c r="EE58" s="1876"/>
      <c r="EF58" s="1876"/>
      <c r="EG58" s="1876"/>
      <c r="EH58" s="1876"/>
      <c r="EI58" s="1876"/>
      <c r="EJ58" s="1876"/>
      <c r="EK58" s="1876"/>
      <c r="EL58" s="1876"/>
      <c r="EM58" s="1876"/>
      <c r="EN58" s="1876"/>
      <c r="EO58" s="1876"/>
      <c r="EP58" s="1876"/>
      <c r="EQ58" s="1876"/>
      <c r="ER58" s="1876"/>
      <c r="ES58" s="1876"/>
      <c r="ET58" s="1876"/>
      <c r="EU58" s="1876"/>
      <c r="EV58" s="1876"/>
      <c r="EW58" s="1876"/>
      <c r="EX58" s="1876"/>
      <c r="EY58" s="1876"/>
      <c r="EZ58" s="1876"/>
      <c r="FA58" s="1876"/>
      <c r="FB58" s="1876"/>
      <c r="FC58" s="1876"/>
      <c r="FD58" s="1876"/>
      <c r="FE58" s="1876"/>
      <c r="FF58" s="1876"/>
      <c r="FG58" s="1876"/>
      <c r="FH58" s="1876"/>
      <c r="FI58" s="1876"/>
      <c r="FJ58" s="1876"/>
      <c r="FK58" s="1876"/>
      <c r="FL58" s="1876"/>
      <c r="FM58" s="1876"/>
      <c r="FN58" s="1876"/>
      <c r="FO58" s="1876"/>
      <c r="FP58" s="1876"/>
      <c r="FQ58" s="1876"/>
      <c r="FR58" s="1876"/>
      <c r="FS58" s="1876"/>
      <c r="FT58" s="1876"/>
      <c r="FU58" s="1876"/>
      <c r="FV58" s="1876"/>
      <c r="FW58" s="1876"/>
      <c r="FX58" s="1876"/>
      <c r="FY58" s="1876"/>
      <c r="FZ58" s="1876"/>
      <c r="GA58" s="1876"/>
      <c r="GB58" s="1876"/>
      <c r="GC58" s="1876"/>
      <c r="GD58" s="1876"/>
      <c r="GE58" s="1876"/>
      <c r="GF58" s="1876"/>
      <c r="GG58" s="1876"/>
      <c r="GH58" s="1876"/>
      <c r="GI58" s="1876"/>
      <c r="GJ58" s="1876"/>
      <c r="GK58" s="1876"/>
      <c r="GL58" s="1876"/>
      <c r="GM58" s="1876"/>
      <c r="GN58" s="1876"/>
      <c r="GO58" s="1876"/>
      <c r="GP58" s="1876"/>
      <c r="GQ58" s="1876"/>
      <c r="GR58" s="1876"/>
      <c r="GS58" s="1876"/>
      <c r="GT58" s="1876"/>
      <c r="GU58" s="1876"/>
      <c r="GV58" s="1876"/>
      <c r="GW58" s="1876"/>
      <c r="GX58" s="1876"/>
      <c r="GY58" s="1876"/>
      <c r="GZ58" s="1876"/>
      <c r="HA58" s="1876"/>
      <c r="HB58" s="1876"/>
      <c r="HC58" s="1876"/>
      <c r="HD58" s="1876"/>
      <c r="HE58" s="1876"/>
      <c r="HF58" s="1876"/>
      <c r="HG58" s="1876"/>
      <c r="HH58" s="1876"/>
      <c r="HI58" s="1876"/>
      <c r="HJ58" s="1876"/>
      <c r="HK58" s="1876"/>
      <c r="HL58" s="1876"/>
      <c r="HM58" s="1876"/>
      <c r="HN58" s="1876"/>
      <c r="HO58" s="1876"/>
      <c r="HP58" s="1876"/>
      <c r="HQ58" s="1876"/>
      <c r="HR58" s="1876"/>
      <c r="HS58" s="1876"/>
      <c r="HT58" s="1876"/>
    </row>
    <row r="59" spans="1:228">
      <c r="A59" s="1394"/>
      <c r="B59" s="1918" t="s">
        <v>1418</v>
      </c>
      <c r="C59" s="1406">
        <f>C57</f>
        <v>0.02</v>
      </c>
      <c r="D59" s="2255">
        <f>D57</f>
        <v>0.02</v>
      </c>
      <c r="E59" s="2863"/>
      <c r="F59" s="1892">
        <f>VLOOKUP(region,' IPCC'!$A$480:$F$491,3,)*VLOOKUP(region,' IPCC'!$A$495:$F$507,3,)*0.365*F13*IF($E$33="YES",$C$33,$D$33)/1000</f>
        <v>0</v>
      </c>
      <c r="G59" s="2884">
        <f>VLOOKUP(region,' IPCC'!$A$480:$F$491,3,)*VLOOKUP(region,' IPCC'!$A$495:$F$507,3,)*0.365*G13*$D$33/1000</f>
        <v>0</v>
      </c>
      <c r="H59" s="1900" t="str">
        <f>H41</f>
        <v>Linear</v>
      </c>
      <c r="I59" s="1879"/>
      <c r="J59" s="2884">
        <f>VLOOKUP(region,' IPCC'!$A$480:$F$491,3,)*VLOOKUP(region,' IPCC'!$A$495:$F$507,3,)*0.365*J13*$E$33/1000</f>
        <v>0</v>
      </c>
      <c r="K59" s="1900" t="str">
        <f>K41</f>
        <v>Linear</v>
      </c>
      <c r="L59" s="1898"/>
      <c r="M59" s="1893">
        <f t="shared" si="18"/>
        <v>0</v>
      </c>
      <c r="N59" s="2866">
        <f t="shared" si="16"/>
        <v>0</v>
      </c>
      <c r="O59" s="2866">
        <f t="shared" si="17"/>
        <v>0</v>
      </c>
      <c r="P59" s="1879"/>
      <c r="Q59" s="1893">
        <f>MIN(M59,N59)*time_tot+ABS(N59-M59)*IF(N59&gt;M59,time2+time*(VLOOKUP(H59,List!$E$35:$F$37,2,)),time*(1-(VLOOKUP(H59,List!$E$35:$F$37,2,))))</f>
        <v>0</v>
      </c>
      <c r="R59" s="1893">
        <f>MIN(M59,O59)*time_tot+ABS(O59-M59)*IF(O59&gt;M59,time2+time*(VLOOKUP(K59,List!$E$35:$F$37,2,)),time*(1-(VLOOKUP(K59,List!$E$35:$F$37,2,))))</f>
        <v>0</v>
      </c>
      <c r="S59" s="1894"/>
      <c r="T59" s="1375">
        <f t="shared" si="19"/>
        <v>0</v>
      </c>
      <c r="U59" s="1876"/>
      <c r="AG59" s="1914">
        <f>MIN(M59,N59)*time+ABS(N59-M59)*IF(N59&gt;M59,time*(VLOOKUP(H59,List!$E$35:$F$37,2,)),time*(1-(VLOOKUP(H59,List!$E$35:$F$37,2,))))</f>
        <v>0</v>
      </c>
      <c r="AH59" s="1914">
        <f>MIN(M59,O59)*time+ABS(O59-M59)*IF(O59&gt;M59,time*(VLOOKUP(K59,List!$E$35:$F$37,2,)),time*(1-(VLOOKUP(K59,List!$E$35:$F$37,2,))))</f>
        <v>0</v>
      </c>
      <c r="AI59" s="1915"/>
    </row>
    <row r="60" spans="1:228" s="1875" customFormat="1">
      <c r="A60" s="1394"/>
      <c r="B60" s="1918" t="s">
        <v>1427</v>
      </c>
      <c r="C60" s="1406">
        <f>C58</f>
        <v>0.01</v>
      </c>
      <c r="D60" s="2255">
        <f>D58</f>
        <v>0.01</v>
      </c>
      <c r="E60" s="2863"/>
      <c r="F60" s="1892">
        <f>VLOOKUP(region,' IPCC'!$A$480:$F$491,3,)*VLOOKUP(region,' IPCC'!$A$495:$F$507,3,)*0.365*F13*IF($E$33="YES",(1-$C$33),(1-$D$33))/1000</f>
        <v>0</v>
      </c>
      <c r="G60" s="2884">
        <f>VLOOKUP(region,' IPCC'!$A$480:$F$491,3,)*VLOOKUP(region,' IPCC'!$A$495:$F$507,3,)*0.365*G13*(1-$D$33)/1000</f>
        <v>0</v>
      </c>
      <c r="H60" s="1900" t="str">
        <f>H41</f>
        <v>Linear</v>
      </c>
      <c r="I60" s="1879"/>
      <c r="J60" s="2884">
        <f>VLOOKUP(region,' IPCC'!$A$480:$F$491,3,)*VLOOKUP(region,' IPCC'!$A$495:$F$507,3,)*0.365*J13*(1-$E$33)/1000</f>
        <v>0</v>
      </c>
      <c r="K60" s="1900" t="str">
        <f>K41</f>
        <v>Linear</v>
      </c>
      <c r="L60" s="1898"/>
      <c r="M60" s="1893">
        <f t="shared" si="18"/>
        <v>0</v>
      </c>
      <c r="N60" s="2866">
        <f t="shared" si="16"/>
        <v>0</v>
      </c>
      <c r="O60" s="2866">
        <f t="shared" si="17"/>
        <v>0</v>
      </c>
      <c r="P60" s="1879"/>
      <c r="Q60" s="1893">
        <f>MIN(M60,N60)*time_tot+ABS(N60-M60)*IF(N60&gt;M60,time2+time*(VLOOKUP(H60,List!$E$35:$F$37,2,)),time*(1-(VLOOKUP(H60,List!$E$35:$F$37,2,))))</f>
        <v>0</v>
      </c>
      <c r="R60" s="1893">
        <f>MIN(M60,O60)*time_tot+ABS(O60-M60)*IF(O60&gt;M60,time2+time*(VLOOKUP(K60,List!$E$35:$F$37,2,)),time*(1-(VLOOKUP(K60,List!$E$35:$F$37,2,))))</f>
        <v>0</v>
      </c>
      <c r="S60" s="1894"/>
      <c r="T60" s="1375">
        <f t="shared" si="19"/>
        <v>0</v>
      </c>
      <c r="U60" s="1876"/>
      <c r="V60" s="1876"/>
      <c r="W60" s="1876"/>
      <c r="X60" s="1876"/>
      <c r="Y60" s="1876"/>
      <c r="Z60" s="1876"/>
      <c r="AA60" s="1876"/>
      <c r="AB60" s="1876"/>
      <c r="AC60" s="1876"/>
      <c r="AD60" s="1901"/>
      <c r="AE60" s="1901"/>
      <c r="AF60" s="1901"/>
      <c r="AG60" s="1914">
        <f>MIN(M60,N60)*time+ABS(N60-M60)*IF(N60&gt;M60,time*(VLOOKUP(H60,List!$E$35:$F$37,2,)),time*(1-(VLOOKUP(H60,List!$E$35:$F$37,2,))))</f>
        <v>0</v>
      </c>
      <c r="AH60" s="1914">
        <f>MIN(M60,O60)*time+ABS(O60-M60)*IF(O60&gt;M60,time*(VLOOKUP(K60,List!$E$35:$F$37,2,)),time*(1-(VLOOKUP(K60,List!$E$35:$F$37,2,))))</f>
        <v>0</v>
      </c>
      <c r="AI60" s="1915"/>
      <c r="AJ60" s="1901"/>
      <c r="AK60" s="1901"/>
      <c r="AL60" s="1901"/>
      <c r="AM60" s="1901"/>
      <c r="AN60" s="1901"/>
      <c r="AO60" s="1901"/>
      <c r="AP60" s="1876"/>
      <c r="AQ60" s="1876"/>
      <c r="AR60" s="1876"/>
      <c r="AS60" s="1876"/>
      <c r="AT60" s="1876"/>
      <c r="AU60" s="1876"/>
      <c r="AV60" s="1876"/>
      <c r="AW60" s="1876"/>
      <c r="AX60" s="1876"/>
      <c r="AY60" s="1876"/>
      <c r="AZ60" s="1876"/>
      <c r="BA60" s="1876"/>
      <c r="BB60" s="1876"/>
      <c r="BC60" s="1876"/>
      <c r="BD60" s="1876"/>
      <c r="BE60" s="1876"/>
      <c r="BF60" s="1876"/>
      <c r="BG60" s="1876"/>
      <c r="BH60" s="1876"/>
      <c r="BI60" s="1876"/>
      <c r="BJ60" s="1876"/>
      <c r="BK60" s="1876"/>
      <c r="BL60" s="1876"/>
      <c r="BM60" s="1876"/>
      <c r="BN60" s="1876"/>
      <c r="BO60" s="1876"/>
      <c r="BP60" s="1876"/>
      <c r="BQ60" s="1876"/>
      <c r="BR60" s="1876"/>
      <c r="BS60" s="1876"/>
      <c r="BT60" s="1876"/>
      <c r="BU60" s="1876"/>
      <c r="BV60" s="1876"/>
      <c r="BW60" s="1876"/>
      <c r="BX60" s="1876"/>
      <c r="BY60" s="1876"/>
      <c r="BZ60" s="1876"/>
      <c r="CA60" s="1876"/>
      <c r="CB60" s="1876"/>
      <c r="CC60" s="1876"/>
      <c r="CD60" s="1876"/>
      <c r="CE60" s="1876"/>
      <c r="CF60" s="1876"/>
      <c r="CG60" s="1876"/>
      <c r="CH60" s="1876"/>
      <c r="CI60" s="1876"/>
      <c r="CJ60" s="1876"/>
      <c r="CK60" s="1876"/>
      <c r="CL60" s="1876"/>
      <c r="CM60" s="1876"/>
      <c r="CN60" s="1876"/>
      <c r="CO60" s="1876"/>
      <c r="CP60" s="1876"/>
      <c r="CQ60" s="1876"/>
      <c r="CR60" s="1876"/>
      <c r="CS60" s="1876"/>
      <c r="CT60" s="1876"/>
      <c r="CU60" s="1876"/>
      <c r="CV60" s="1876"/>
      <c r="CW60" s="1876"/>
      <c r="CX60" s="1876"/>
      <c r="CY60" s="1876"/>
      <c r="CZ60" s="1876"/>
      <c r="DA60" s="1876"/>
      <c r="DB60" s="1876"/>
      <c r="DC60" s="1876"/>
      <c r="DD60" s="1876"/>
      <c r="DE60" s="1876"/>
      <c r="DF60" s="1876"/>
      <c r="DG60" s="1876"/>
      <c r="DH60" s="1876"/>
      <c r="DI60" s="1876"/>
      <c r="DJ60" s="1876"/>
      <c r="DK60" s="1876"/>
      <c r="DL60" s="1876"/>
      <c r="DM60" s="1876"/>
      <c r="DN60" s="1876"/>
      <c r="DO60" s="1876"/>
      <c r="DP60" s="1876"/>
      <c r="DQ60" s="1876"/>
      <c r="DR60" s="1876"/>
      <c r="DS60" s="1876"/>
      <c r="DT60" s="1876"/>
      <c r="DU60" s="1876"/>
      <c r="DV60" s="1876"/>
      <c r="DW60" s="1876"/>
      <c r="DX60" s="1876"/>
      <c r="DY60" s="1876"/>
      <c r="DZ60" s="1876"/>
      <c r="EA60" s="1876"/>
      <c r="EB60" s="1876"/>
      <c r="EC60" s="1876"/>
      <c r="ED60" s="1876"/>
      <c r="EE60" s="1876"/>
      <c r="EF60" s="1876"/>
      <c r="EG60" s="1876"/>
      <c r="EH60" s="1876"/>
      <c r="EI60" s="1876"/>
      <c r="EJ60" s="1876"/>
      <c r="EK60" s="1876"/>
      <c r="EL60" s="1876"/>
      <c r="EM60" s="1876"/>
      <c r="EN60" s="1876"/>
      <c r="EO60" s="1876"/>
      <c r="EP60" s="1876"/>
      <c r="EQ60" s="1876"/>
      <c r="ER60" s="1876"/>
      <c r="ES60" s="1876"/>
      <c r="ET60" s="1876"/>
      <c r="EU60" s="1876"/>
      <c r="EV60" s="1876"/>
      <c r="EW60" s="1876"/>
      <c r="EX60" s="1876"/>
      <c r="EY60" s="1876"/>
      <c r="EZ60" s="1876"/>
      <c r="FA60" s="1876"/>
      <c r="FB60" s="1876"/>
      <c r="FC60" s="1876"/>
      <c r="FD60" s="1876"/>
      <c r="FE60" s="1876"/>
      <c r="FF60" s="1876"/>
      <c r="FG60" s="1876"/>
      <c r="FH60" s="1876"/>
      <c r="FI60" s="1876"/>
      <c r="FJ60" s="1876"/>
      <c r="FK60" s="1876"/>
      <c r="FL60" s="1876"/>
      <c r="FM60" s="1876"/>
      <c r="FN60" s="1876"/>
      <c r="FO60" s="1876"/>
      <c r="FP60" s="1876"/>
      <c r="FQ60" s="1876"/>
      <c r="FR60" s="1876"/>
      <c r="FS60" s="1876"/>
      <c r="FT60" s="1876"/>
      <c r="FU60" s="1876"/>
      <c r="FV60" s="1876"/>
      <c r="FW60" s="1876"/>
      <c r="FX60" s="1876"/>
      <c r="FY60" s="1876"/>
      <c r="FZ60" s="1876"/>
      <c r="GA60" s="1876"/>
      <c r="GB60" s="1876"/>
      <c r="GC60" s="1876"/>
      <c r="GD60" s="1876"/>
      <c r="GE60" s="1876"/>
      <c r="GF60" s="1876"/>
      <c r="GG60" s="1876"/>
      <c r="GH60" s="1876"/>
      <c r="GI60" s="1876"/>
      <c r="GJ60" s="1876"/>
      <c r="GK60" s="1876"/>
      <c r="GL60" s="1876"/>
      <c r="GM60" s="1876"/>
      <c r="GN60" s="1876"/>
      <c r="GO60" s="1876"/>
      <c r="GP60" s="1876"/>
      <c r="GQ60" s="1876"/>
      <c r="GR60" s="1876"/>
      <c r="GS60" s="1876"/>
      <c r="GT60" s="1876"/>
      <c r="GU60" s="1876"/>
      <c r="GV60" s="1876"/>
      <c r="GW60" s="1876"/>
      <c r="GX60" s="1876"/>
      <c r="GY60" s="1876"/>
      <c r="GZ60" s="1876"/>
      <c r="HA60" s="1876"/>
      <c r="HB60" s="1876"/>
      <c r="HC60" s="1876"/>
      <c r="HD60" s="1876"/>
      <c r="HE60" s="1876"/>
      <c r="HF60" s="1876"/>
      <c r="HG60" s="1876"/>
      <c r="HH60" s="1876"/>
      <c r="HI60" s="1876"/>
      <c r="HJ60" s="1876"/>
      <c r="HK60" s="1876"/>
      <c r="HL60" s="1876"/>
      <c r="HM60" s="1876"/>
      <c r="HN60" s="1876"/>
      <c r="HO60" s="1876"/>
      <c r="HP60" s="1876"/>
      <c r="HQ60" s="1876"/>
      <c r="HR60" s="1876"/>
      <c r="HS60" s="1876"/>
      <c r="HT60" s="1876"/>
    </row>
    <row r="61" spans="1:228">
      <c r="A61" s="1394"/>
      <c r="B61" s="1918" t="s">
        <v>1419</v>
      </c>
      <c r="C61" s="1406">
        <f t="shared" ref="C61:D68" si="20">C59</f>
        <v>0.02</v>
      </c>
      <c r="D61" s="2255">
        <f t="shared" si="20"/>
        <v>0.02</v>
      </c>
      <c r="E61" s="2863"/>
      <c r="F61" s="1892">
        <f>VLOOKUP(region,' IPCC'!$A$480:$F$491,4,)*VLOOKUP(region,' IPCC'!$A$495:$F$507,4,)*0.365*F14*IF($E$34="YES",$C$34,$D$34)/1000</f>
        <v>0</v>
      </c>
      <c r="G61" s="2884">
        <f>VLOOKUP(region,' IPCC'!$A$480:$F$491,4,)*VLOOKUP(region,' IPCC'!$A$495:$F$507,4,)*0.365*G14*$D$34/1000</f>
        <v>0</v>
      </c>
      <c r="H61" s="1900" t="str">
        <f>H42</f>
        <v>Linear</v>
      </c>
      <c r="I61" s="1879"/>
      <c r="J61" s="2884">
        <f>VLOOKUP(region,' IPCC'!$A$480:$F$491,4,)*VLOOKUP(region,' IPCC'!$A$495:$F$507,4,)*0.365*J14*$E$34/1000</f>
        <v>0</v>
      </c>
      <c r="K61" s="1900" t="str">
        <f>K42</f>
        <v>Linear</v>
      </c>
      <c r="L61" s="1898"/>
      <c r="M61" s="1893">
        <f t="shared" si="18"/>
        <v>0</v>
      </c>
      <c r="N61" s="2866">
        <f t="shared" si="16"/>
        <v>0</v>
      </c>
      <c r="O61" s="2866">
        <f t="shared" si="17"/>
        <v>0</v>
      </c>
      <c r="P61" s="1879"/>
      <c r="Q61" s="1893">
        <f>MIN(M61,N61)*time_tot+ABS(N61-M61)*IF(N61&gt;M61,time2+time*(VLOOKUP(H61,List!$E$35:$F$37,2,)),time*(1-(VLOOKUP(H61,List!$E$35:$F$37,2,))))</f>
        <v>0</v>
      </c>
      <c r="R61" s="1893">
        <f>MIN(M61,O61)*time_tot+ABS(O61-M61)*IF(O61&gt;M61,time2+time*(VLOOKUP(K61,List!$E$35:$F$37,2,)),time*(1-(VLOOKUP(K61,List!$E$35:$F$37,2,))))</f>
        <v>0</v>
      </c>
      <c r="S61" s="1894"/>
      <c r="T61" s="1375">
        <f t="shared" si="19"/>
        <v>0</v>
      </c>
      <c r="U61" s="1876"/>
      <c r="AG61" s="1914">
        <f>MIN(M61,N61)*time+ABS(N61-M61)*IF(N61&gt;M61,time*(VLOOKUP(H61,List!$E$35:$F$37,2,)),time*(1-(VLOOKUP(H61,List!$E$35:$F$37,2,))))</f>
        <v>0</v>
      </c>
      <c r="AH61" s="1914">
        <f>MIN(M61,O61)*time+ABS(O61-M61)*IF(O61&gt;M61,time*(VLOOKUP(K61,List!$E$35:$F$37,2,)),time*(1-(VLOOKUP(K61,List!$E$35:$F$37,2,))))</f>
        <v>0</v>
      </c>
      <c r="AI61" s="1915"/>
    </row>
    <row r="62" spans="1:228" s="1875" customFormat="1">
      <c r="A62" s="1394"/>
      <c r="B62" s="1918" t="s">
        <v>1420</v>
      </c>
      <c r="C62" s="1406">
        <f t="shared" si="20"/>
        <v>0.01</v>
      </c>
      <c r="D62" s="2255">
        <f t="shared" si="20"/>
        <v>0.01</v>
      </c>
      <c r="E62" s="2863"/>
      <c r="F62" s="1892">
        <f>VLOOKUP(region,' IPCC'!$A$480:$F$491,4,)*VLOOKUP(region,' IPCC'!$A$495:$F$507,4,)*0.365*F14*IF($E$34="YES",(1-$C$34),(1-$D$34))/1000</f>
        <v>0</v>
      </c>
      <c r="G62" s="2884">
        <f>VLOOKUP(region,' IPCC'!$A$480:$F$491,4,)*VLOOKUP(region,' IPCC'!$A$495:$F$507,4,)*0.365*G14*(1-$D$34)/1000</f>
        <v>0</v>
      </c>
      <c r="H62" s="1900" t="str">
        <f>H42</f>
        <v>Linear</v>
      </c>
      <c r="I62" s="1879"/>
      <c r="J62" s="2884">
        <f>VLOOKUP(region,' IPCC'!$A$480:$F$491,4,)*VLOOKUP(region,' IPCC'!$A$495:$F$507,4,)*0.365*J14*(1-$E$34)/1000</f>
        <v>0</v>
      </c>
      <c r="K62" s="1900" t="str">
        <f>K42</f>
        <v>Linear</v>
      </c>
      <c r="L62" s="1898"/>
      <c r="M62" s="1893">
        <f t="shared" si="18"/>
        <v>0</v>
      </c>
      <c r="N62" s="2866">
        <f t="shared" si="16"/>
        <v>0</v>
      </c>
      <c r="O62" s="2866">
        <f t="shared" si="17"/>
        <v>0</v>
      </c>
      <c r="P62" s="1879"/>
      <c r="Q62" s="1893">
        <f>MIN(M62,N62)*time_tot+ABS(N62-M62)*IF(N62&gt;M62,time2+time*(VLOOKUP(H62,List!$E$35:$F$37,2,)),time*(1-(VLOOKUP(H62,List!$E$35:$F$37,2,))))</f>
        <v>0</v>
      </c>
      <c r="R62" s="1893">
        <f>MIN(M62,O62)*time_tot+ABS(O62-M62)*IF(O62&gt;M62,time2+time*(VLOOKUP(K62,List!$E$35:$F$37,2,)),time*(1-(VLOOKUP(K62,List!$E$35:$F$37,2,))))</f>
        <v>0</v>
      </c>
      <c r="S62" s="1894"/>
      <c r="T62" s="1375">
        <f t="shared" si="19"/>
        <v>0</v>
      </c>
      <c r="U62" s="1876"/>
      <c r="V62" s="1876"/>
      <c r="W62" s="1876"/>
      <c r="X62" s="1876"/>
      <c r="Y62" s="1876"/>
      <c r="Z62" s="1876"/>
      <c r="AA62" s="1876"/>
      <c r="AB62" s="1876"/>
      <c r="AC62" s="1876"/>
      <c r="AD62" s="1901"/>
      <c r="AE62" s="1901"/>
      <c r="AF62" s="1901"/>
      <c r="AG62" s="1914">
        <f>MIN(M62,N62)*time+ABS(N62-M62)*IF(N62&gt;M62,time*(VLOOKUP(H62,List!$E$35:$F$37,2,)),time*(1-(VLOOKUP(H62,List!$E$35:$F$37,2,))))</f>
        <v>0</v>
      </c>
      <c r="AH62" s="1914">
        <f>MIN(M62,O62)*time+ABS(O62-M62)*IF(O62&gt;M62,time*(VLOOKUP(K62,List!$E$35:$F$37,2,)),time*(1-(VLOOKUP(K62,List!$E$35:$F$37,2,))))</f>
        <v>0</v>
      </c>
      <c r="AI62" s="1915"/>
      <c r="AJ62" s="1901"/>
      <c r="AK62" s="1901"/>
      <c r="AL62" s="1901"/>
      <c r="AM62" s="1901"/>
      <c r="AN62" s="1901"/>
      <c r="AO62" s="1901"/>
      <c r="AP62" s="1876"/>
      <c r="AQ62" s="1876"/>
      <c r="AR62" s="1876"/>
      <c r="AS62" s="1876"/>
      <c r="AT62" s="1876"/>
      <c r="AU62" s="1876"/>
      <c r="AV62" s="1876"/>
      <c r="AW62" s="1876"/>
      <c r="AX62" s="1876"/>
      <c r="AY62" s="1876"/>
      <c r="AZ62" s="1876"/>
      <c r="BA62" s="1876"/>
      <c r="BB62" s="1876"/>
      <c r="BC62" s="1876"/>
      <c r="BD62" s="1876"/>
      <c r="BE62" s="1876"/>
      <c r="BF62" s="1876"/>
      <c r="BG62" s="1876"/>
      <c r="BH62" s="1876"/>
      <c r="BI62" s="1876"/>
      <c r="BJ62" s="1876"/>
      <c r="BK62" s="1876"/>
      <c r="BL62" s="1876"/>
      <c r="BM62" s="1876"/>
      <c r="BN62" s="1876"/>
      <c r="BO62" s="1876"/>
      <c r="BP62" s="1876"/>
      <c r="BQ62" s="1876"/>
      <c r="BR62" s="1876"/>
      <c r="BS62" s="1876"/>
      <c r="BT62" s="1876"/>
      <c r="BU62" s="1876"/>
      <c r="BV62" s="1876"/>
      <c r="BW62" s="1876"/>
      <c r="BX62" s="1876"/>
      <c r="BY62" s="1876"/>
      <c r="BZ62" s="1876"/>
      <c r="CA62" s="1876"/>
      <c r="CB62" s="1876"/>
      <c r="CC62" s="1876"/>
      <c r="CD62" s="1876"/>
      <c r="CE62" s="1876"/>
      <c r="CF62" s="1876"/>
      <c r="CG62" s="1876"/>
      <c r="CH62" s="1876"/>
      <c r="CI62" s="1876"/>
      <c r="CJ62" s="1876"/>
      <c r="CK62" s="1876"/>
      <c r="CL62" s="1876"/>
      <c r="CM62" s="1876"/>
      <c r="CN62" s="1876"/>
      <c r="CO62" s="1876"/>
      <c r="CP62" s="1876"/>
      <c r="CQ62" s="1876"/>
      <c r="CR62" s="1876"/>
      <c r="CS62" s="1876"/>
      <c r="CT62" s="1876"/>
      <c r="CU62" s="1876"/>
      <c r="CV62" s="1876"/>
      <c r="CW62" s="1876"/>
      <c r="CX62" s="1876"/>
      <c r="CY62" s="1876"/>
      <c r="CZ62" s="1876"/>
      <c r="DA62" s="1876"/>
      <c r="DB62" s="1876"/>
      <c r="DC62" s="1876"/>
      <c r="DD62" s="1876"/>
      <c r="DE62" s="1876"/>
      <c r="DF62" s="1876"/>
      <c r="DG62" s="1876"/>
      <c r="DH62" s="1876"/>
      <c r="DI62" s="1876"/>
      <c r="DJ62" s="1876"/>
      <c r="DK62" s="1876"/>
      <c r="DL62" s="1876"/>
      <c r="DM62" s="1876"/>
      <c r="DN62" s="1876"/>
      <c r="DO62" s="1876"/>
      <c r="DP62" s="1876"/>
      <c r="DQ62" s="1876"/>
      <c r="DR62" s="1876"/>
      <c r="DS62" s="1876"/>
      <c r="DT62" s="1876"/>
      <c r="DU62" s="1876"/>
      <c r="DV62" s="1876"/>
      <c r="DW62" s="1876"/>
      <c r="DX62" s="1876"/>
      <c r="DY62" s="1876"/>
      <c r="DZ62" s="1876"/>
      <c r="EA62" s="1876"/>
      <c r="EB62" s="1876"/>
      <c r="EC62" s="1876"/>
      <c r="ED62" s="1876"/>
      <c r="EE62" s="1876"/>
      <c r="EF62" s="1876"/>
      <c r="EG62" s="1876"/>
      <c r="EH62" s="1876"/>
      <c r="EI62" s="1876"/>
      <c r="EJ62" s="1876"/>
      <c r="EK62" s="1876"/>
      <c r="EL62" s="1876"/>
      <c r="EM62" s="1876"/>
      <c r="EN62" s="1876"/>
      <c r="EO62" s="1876"/>
      <c r="EP62" s="1876"/>
      <c r="EQ62" s="1876"/>
      <c r="ER62" s="1876"/>
      <c r="ES62" s="1876"/>
      <c r="ET62" s="1876"/>
      <c r="EU62" s="1876"/>
      <c r="EV62" s="1876"/>
      <c r="EW62" s="1876"/>
      <c r="EX62" s="1876"/>
      <c r="EY62" s="1876"/>
      <c r="EZ62" s="1876"/>
      <c r="FA62" s="1876"/>
      <c r="FB62" s="1876"/>
      <c r="FC62" s="1876"/>
      <c r="FD62" s="1876"/>
      <c r="FE62" s="1876"/>
      <c r="FF62" s="1876"/>
      <c r="FG62" s="1876"/>
      <c r="FH62" s="1876"/>
      <c r="FI62" s="1876"/>
      <c r="FJ62" s="1876"/>
      <c r="FK62" s="1876"/>
      <c r="FL62" s="1876"/>
      <c r="FM62" s="1876"/>
      <c r="FN62" s="1876"/>
      <c r="FO62" s="1876"/>
      <c r="FP62" s="1876"/>
      <c r="FQ62" s="1876"/>
      <c r="FR62" s="1876"/>
      <c r="FS62" s="1876"/>
      <c r="FT62" s="1876"/>
      <c r="FU62" s="1876"/>
      <c r="FV62" s="1876"/>
      <c r="FW62" s="1876"/>
      <c r="FX62" s="1876"/>
      <c r="FY62" s="1876"/>
      <c r="FZ62" s="1876"/>
      <c r="GA62" s="1876"/>
      <c r="GB62" s="1876"/>
      <c r="GC62" s="1876"/>
      <c r="GD62" s="1876"/>
      <c r="GE62" s="1876"/>
      <c r="GF62" s="1876"/>
      <c r="GG62" s="1876"/>
      <c r="GH62" s="1876"/>
      <c r="GI62" s="1876"/>
      <c r="GJ62" s="1876"/>
      <c r="GK62" s="1876"/>
      <c r="GL62" s="1876"/>
      <c r="GM62" s="1876"/>
      <c r="GN62" s="1876"/>
      <c r="GO62" s="1876"/>
      <c r="GP62" s="1876"/>
      <c r="GQ62" s="1876"/>
      <c r="GR62" s="1876"/>
      <c r="GS62" s="1876"/>
      <c r="GT62" s="1876"/>
      <c r="GU62" s="1876"/>
      <c r="GV62" s="1876"/>
      <c r="GW62" s="1876"/>
      <c r="GX62" s="1876"/>
      <c r="GY62" s="1876"/>
      <c r="GZ62" s="1876"/>
      <c r="HA62" s="1876"/>
      <c r="HB62" s="1876"/>
      <c r="HC62" s="1876"/>
      <c r="HD62" s="1876"/>
      <c r="HE62" s="1876"/>
      <c r="HF62" s="1876"/>
      <c r="HG62" s="1876"/>
      <c r="HH62" s="1876"/>
      <c r="HI62" s="1876"/>
      <c r="HJ62" s="1876"/>
      <c r="HK62" s="1876"/>
      <c r="HL62" s="1876"/>
      <c r="HM62" s="1876"/>
      <c r="HN62" s="1876"/>
      <c r="HO62" s="1876"/>
      <c r="HP62" s="1876"/>
      <c r="HQ62" s="1876"/>
      <c r="HR62" s="1876"/>
      <c r="HS62" s="1876"/>
      <c r="HT62" s="1876"/>
    </row>
    <row r="63" spans="1:228">
      <c r="A63" s="1394"/>
      <c r="B63" s="1918" t="s">
        <v>1421</v>
      </c>
      <c r="C63" s="1406">
        <f t="shared" si="20"/>
        <v>0.02</v>
      </c>
      <c r="D63" s="2255">
        <f t="shared" si="20"/>
        <v>0.02</v>
      </c>
      <c r="E63" s="2863"/>
      <c r="F63" s="1223">
        <f>VLOOKUP(region,' IPCC'!$A$512:$J$523,1+MATCH(LEFT($B63,5),' IPCC'!$B$527:$I$527,),)*VLOOKUP(c_type,' IPCC'!$A$528:$J$547,1+MATCH(LEFT($B63,5),' IPCC'!$B$527:$I$527,),)*0.365*F15*IF($K$32="YES",$H$32,$J$32)/1000</f>
        <v>0</v>
      </c>
      <c r="G63" s="2884">
        <f>VLOOKUP(region,' IPCC'!$A$512:$J$523,1+MATCH(LEFT($B63,5),' IPCC'!$B$527:$I$527,),)*VLOOKUP(c_type,' IPCC'!$A$528:$J$547,1+MATCH(LEFT($B63,5),' IPCC'!$B$527:$I$527,),)*0.365*G15*$J$32/1000</f>
        <v>0</v>
      </c>
      <c r="H63" s="1107" t="str">
        <f>H43</f>
        <v>Linear</v>
      </c>
      <c r="I63" s="49"/>
      <c r="J63" s="2885">
        <f>VLOOKUP(region,' IPCC'!$A$512:$J$523,1+MATCH(LEFT($B63,5),' IPCC'!$B$527:$I$527,),)*VLOOKUP(c_type,' IPCC'!$A$528:$J$547,1+MATCH(LEFT($B63,5),' IPCC'!$B$527:$I$527,),)*0.365*J15*$K$32/1000</f>
        <v>0</v>
      </c>
      <c r="K63" s="1107" t="str">
        <f>K43</f>
        <v>Linear</v>
      </c>
      <c r="L63" s="1412"/>
      <c r="M63" s="1893">
        <f t="shared" si="18"/>
        <v>0</v>
      </c>
      <c r="N63" s="2866">
        <f t="shared" si="16"/>
        <v>0</v>
      </c>
      <c r="O63" s="2866">
        <f t="shared" si="17"/>
        <v>0</v>
      </c>
      <c r="P63" s="1879"/>
      <c r="Q63" s="1893">
        <f>MIN(M63,N63)*time_tot+ABS(N63-M63)*IF(N63&gt;M63,time2+time*(VLOOKUP(H63,List!$E$35:$F$37,2,)),time*(1-(VLOOKUP(H63,List!$E$35:$F$37,2,))))</f>
        <v>0</v>
      </c>
      <c r="R63" s="1893">
        <f>MIN(M63,O63)*time_tot+ABS(O63-M63)*IF(O63&gt;M63,time2+time*(VLOOKUP(K63,List!$E$35:$F$37,2,)),time*(1-(VLOOKUP(K63,List!$E$35:$F$37,2,))))</f>
        <v>0</v>
      </c>
      <c r="S63" s="1894"/>
      <c r="T63" s="1375">
        <f t="shared" si="19"/>
        <v>0</v>
      </c>
      <c r="U63" s="1876"/>
      <c r="AG63" s="1914">
        <f>MIN(M63,N63)*time+ABS(N63-M63)*IF(N63&gt;M63,time*(VLOOKUP(H63,List!$E$35:$F$37,2,)),time*(1-(VLOOKUP(H63,List!$E$35:$F$37,2,))))</f>
        <v>0</v>
      </c>
      <c r="AH63" s="1914">
        <f>MIN(M63,O63)*time+ABS(O63-M63)*IF(O63&gt;M63,time*(VLOOKUP(K63,List!$E$35:$F$37,2,)),time*(1-(VLOOKUP(K63,List!$E$35:$F$37,2,))))</f>
        <v>0</v>
      </c>
      <c r="AI63" s="1915"/>
    </row>
    <row r="64" spans="1:228" s="1875" customFormat="1">
      <c r="A64" s="1394"/>
      <c r="B64" s="1918" t="s">
        <v>1422</v>
      </c>
      <c r="C64" s="1406">
        <f t="shared" si="20"/>
        <v>0.01</v>
      </c>
      <c r="D64" s="2255">
        <f t="shared" si="20"/>
        <v>0.01</v>
      </c>
      <c r="E64" s="2863"/>
      <c r="F64" s="1891">
        <f>VLOOKUP(region,' IPCC'!$A$512:$J$523,1+MATCH(LEFT($B64,5),' IPCC'!$B$527:$I$527,),)*VLOOKUP(c_type,' IPCC'!$A$528:$J$547,1+MATCH(LEFT($B64,5),' IPCC'!$B$527:$I$527,),)*0.365*F15*IF($K$32="YES",1-$H$32,1-$J$32)/1000</f>
        <v>0</v>
      </c>
      <c r="G64" s="2884">
        <f>VLOOKUP(region,' IPCC'!$A$512:$J$523,1+MATCH(LEFT($B64,5),' IPCC'!$B$527:$I$527,),)*VLOOKUP(c_type,' IPCC'!$A$528:$J$547,1+MATCH(LEFT($B64,5),' IPCC'!$B$527:$I$527,),)*0.365*G15*(1-$J$32)/1000</f>
        <v>0</v>
      </c>
      <c r="H64" s="1890" t="str">
        <f>H43</f>
        <v>Linear</v>
      </c>
      <c r="I64" s="1879"/>
      <c r="J64" s="2885">
        <f>VLOOKUP(region,' IPCC'!$A$512:$J$523,1+MATCH(LEFT($B64,5),' IPCC'!$B$527:$I$527,),)*VLOOKUP(c_type,' IPCC'!$A$528:$J$547,1+MATCH(LEFT($B64,5),' IPCC'!$B$527:$I$527,),)*0.365*J16*(1-$K$32)/1000</f>
        <v>0</v>
      </c>
      <c r="K64" s="1890" t="str">
        <f>K43</f>
        <v>Linear</v>
      </c>
      <c r="L64" s="1898"/>
      <c r="M64" s="1893">
        <f t="shared" si="18"/>
        <v>0</v>
      </c>
      <c r="N64" s="2866">
        <f t="shared" si="16"/>
        <v>0</v>
      </c>
      <c r="O64" s="2866">
        <f t="shared" si="17"/>
        <v>0</v>
      </c>
      <c r="P64" s="1879"/>
      <c r="Q64" s="1893">
        <f>MIN(M64,N64)*time_tot+ABS(N64-M64)*IF(N64&gt;M64,time2+time*(VLOOKUP(H64,List!$E$35:$F$37,2,)),time*(1-(VLOOKUP(H64,List!$E$35:$F$37,2,))))</f>
        <v>0</v>
      </c>
      <c r="R64" s="1893">
        <f>MIN(M64,O64)*time_tot+ABS(O64-M64)*IF(O64&gt;M64,time2+time*(VLOOKUP(K64,List!$E$35:$F$37,2,)),time*(1-(VLOOKUP(K64,List!$E$35:$F$37,2,))))</f>
        <v>0</v>
      </c>
      <c r="S64" s="1894"/>
      <c r="T64" s="1375">
        <f t="shared" si="19"/>
        <v>0</v>
      </c>
      <c r="U64" s="1876"/>
      <c r="V64" s="1876"/>
      <c r="W64" s="1876"/>
      <c r="X64" s="1876"/>
      <c r="Y64" s="1876"/>
      <c r="Z64" s="1876"/>
      <c r="AA64" s="1876"/>
      <c r="AB64" s="1876"/>
      <c r="AC64" s="1876"/>
      <c r="AD64" s="1901"/>
      <c r="AE64" s="1901"/>
      <c r="AF64" s="1901"/>
      <c r="AG64" s="1914">
        <f>MIN(M64,N64)*time+ABS(N64-M64)*IF(N64&gt;M64,time*(VLOOKUP(H64,List!$E$35:$F$37,2,)),time*(1-(VLOOKUP(H64,List!$E$35:$F$37,2,))))</f>
        <v>0</v>
      </c>
      <c r="AH64" s="1914">
        <f>MIN(M64,O64)*time+ABS(O64-M64)*IF(O64&gt;M64,time*(VLOOKUP(K64,List!$E$35:$F$37,2,)),time*(1-(VLOOKUP(K64,List!$E$35:$F$37,2,))))</f>
        <v>0</v>
      </c>
      <c r="AI64" s="1915"/>
      <c r="AJ64" s="1901"/>
      <c r="AK64" s="1901"/>
      <c r="AL64" s="1901"/>
      <c r="AM64" s="1901"/>
      <c r="AN64" s="1901"/>
      <c r="AO64" s="1901"/>
      <c r="AP64" s="1876"/>
      <c r="AQ64" s="1876"/>
      <c r="AR64" s="1876"/>
      <c r="AS64" s="1876"/>
      <c r="AT64" s="1876"/>
      <c r="AU64" s="1876"/>
      <c r="AV64" s="1876"/>
      <c r="AW64" s="1876"/>
      <c r="AX64" s="1876"/>
      <c r="AY64" s="1876"/>
      <c r="AZ64" s="1876"/>
      <c r="BA64" s="1876"/>
      <c r="BB64" s="1876"/>
      <c r="BC64" s="1876"/>
      <c r="BD64" s="1876"/>
      <c r="BE64" s="1876"/>
      <c r="BF64" s="1876"/>
      <c r="BG64" s="1876"/>
      <c r="BH64" s="1876"/>
      <c r="BI64" s="1876"/>
      <c r="BJ64" s="1876"/>
      <c r="BK64" s="1876"/>
      <c r="BL64" s="1876"/>
      <c r="BM64" s="1876"/>
      <c r="BN64" s="1876"/>
      <c r="BO64" s="1876"/>
      <c r="BP64" s="1876"/>
      <c r="BQ64" s="1876"/>
      <c r="BR64" s="1876"/>
      <c r="BS64" s="1876"/>
      <c r="BT64" s="1876"/>
      <c r="BU64" s="1876"/>
      <c r="BV64" s="1876"/>
      <c r="BW64" s="1876"/>
      <c r="BX64" s="1876"/>
      <c r="BY64" s="1876"/>
      <c r="BZ64" s="1876"/>
      <c r="CA64" s="1876"/>
      <c r="CB64" s="1876"/>
      <c r="CC64" s="1876"/>
      <c r="CD64" s="1876"/>
      <c r="CE64" s="1876"/>
      <c r="CF64" s="1876"/>
      <c r="CG64" s="1876"/>
      <c r="CH64" s="1876"/>
      <c r="CI64" s="1876"/>
      <c r="CJ64" s="1876"/>
      <c r="CK64" s="1876"/>
      <c r="CL64" s="1876"/>
      <c r="CM64" s="1876"/>
      <c r="CN64" s="1876"/>
      <c r="CO64" s="1876"/>
      <c r="CP64" s="1876"/>
      <c r="CQ64" s="1876"/>
      <c r="CR64" s="1876"/>
      <c r="CS64" s="1876"/>
      <c r="CT64" s="1876"/>
      <c r="CU64" s="1876"/>
      <c r="CV64" s="1876"/>
      <c r="CW64" s="1876"/>
      <c r="CX64" s="1876"/>
      <c r="CY64" s="1876"/>
      <c r="CZ64" s="1876"/>
      <c r="DA64" s="1876"/>
      <c r="DB64" s="1876"/>
      <c r="DC64" s="1876"/>
      <c r="DD64" s="1876"/>
      <c r="DE64" s="1876"/>
      <c r="DF64" s="1876"/>
      <c r="DG64" s="1876"/>
      <c r="DH64" s="1876"/>
      <c r="DI64" s="1876"/>
      <c r="DJ64" s="1876"/>
      <c r="DK64" s="1876"/>
      <c r="DL64" s="1876"/>
      <c r="DM64" s="1876"/>
      <c r="DN64" s="1876"/>
      <c r="DO64" s="1876"/>
      <c r="DP64" s="1876"/>
      <c r="DQ64" s="1876"/>
      <c r="DR64" s="1876"/>
      <c r="DS64" s="1876"/>
      <c r="DT64" s="1876"/>
      <c r="DU64" s="1876"/>
      <c r="DV64" s="1876"/>
      <c r="DW64" s="1876"/>
      <c r="DX64" s="1876"/>
      <c r="DY64" s="1876"/>
      <c r="DZ64" s="1876"/>
      <c r="EA64" s="1876"/>
      <c r="EB64" s="1876"/>
      <c r="EC64" s="1876"/>
      <c r="ED64" s="1876"/>
      <c r="EE64" s="1876"/>
      <c r="EF64" s="1876"/>
      <c r="EG64" s="1876"/>
      <c r="EH64" s="1876"/>
      <c r="EI64" s="1876"/>
      <c r="EJ64" s="1876"/>
      <c r="EK64" s="1876"/>
      <c r="EL64" s="1876"/>
      <c r="EM64" s="1876"/>
      <c r="EN64" s="1876"/>
      <c r="EO64" s="1876"/>
      <c r="EP64" s="1876"/>
      <c r="EQ64" s="1876"/>
      <c r="ER64" s="1876"/>
      <c r="ES64" s="1876"/>
      <c r="ET64" s="1876"/>
      <c r="EU64" s="1876"/>
      <c r="EV64" s="1876"/>
      <c r="EW64" s="1876"/>
      <c r="EX64" s="1876"/>
      <c r="EY64" s="1876"/>
      <c r="EZ64" s="1876"/>
      <c r="FA64" s="1876"/>
      <c r="FB64" s="1876"/>
      <c r="FC64" s="1876"/>
      <c r="FD64" s="1876"/>
      <c r="FE64" s="1876"/>
      <c r="FF64" s="1876"/>
      <c r="FG64" s="1876"/>
      <c r="FH64" s="1876"/>
      <c r="FI64" s="1876"/>
      <c r="FJ64" s="1876"/>
      <c r="FK64" s="1876"/>
      <c r="FL64" s="1876"/>
      <c r="FM64" s="1876"/>
      <c r="FN64" s="1876"/>
      <c r="FO64" s="1876"/>
      <c r="FP64" s="1876"/>
      <c r="FQ64" s="1876"/>
      <c r="FR64" s="1876"/>
      <c r="FS64" s="1876"/>
      <c r="FT64" s="1876"/>
      <c r="FU64" s="1876"/>
      <c r="FV64" s="1876"/>
      <c r="FW64" s="1876"/>
      <c r="FX64" s="1876"/>
      <c r="FY64" s="1876"/>
      <c r="FZ64" s="1876"/>
      <c r="GA64" s="1876"/>
      <c r="GB64" s="1876"/>
      <c r="GC64" s="1876"/>
      <c r="GD64" s="1876"/>
      <c r="GE64" s="1876"/>
      <c r="GF64" s="1876"/>
      <c r="GG64" s="1876"/>
      <c r="GH64" s="1876"/>
      <c r="GI64" s="1876"/>
      <c r="GJ64" s="1876"/>
      <c r="GK64" s="1876"/>
      <c r="GL64" s="1876"/>
      <c r="GM64" s="1876"/>
      <c r="GN64" s="1876"/>
      <c r="GO64" s="1876"/>
      <c r="GP64" s="1876"/>
      <c r="GQ64" s="1876"/>
      <c r="GR64" s="1876"/>
      <c r="GS64" s="1876"/>
      <c r="GT64" s="1876"/>
      <c r="GU64" s="1876"/>
      <c r="GV64" s="1876"/>
      <c r="GW64" s="1876"/>
      <c r="GX64" s="1876"/>
      <c r="GY64" s="1876"/>
      <c r="GZ64" s="1876"/>
      <c r="HA64" s="1876"/>
      <c r="HB64" s="1876"/>
      <c r="HC64" s="1876"/>
      <c r="HD64" s="1876"/>
      <c r="HE64" s="1876"/>
      <c r="HF64" s="1876"/>
      <c r="HG64" s="1876"/>
      <c r="HH64" s="1876"/>
      <c r="HI64" s="1876"/>
      <c r="HJ64" s="1876"/>
      <c r="HK64" s="1876"/>
      <c r="HL64" s="1876"/>
      <c r="HM64" s="1876"/>
      <c r="HN64" s="1876"/>
      <c r="HO64" s="1876"/>
      <c r="HP64" s="1876"/>
      <c r="HQ64" s="1876"/>
      <c r="HR64" s="1876"/>
      <c r="HS64" s="1876"/>
      <c r="HT64" s="1876"/>
    </row>
    <row r="65" spans="1:228" s="1875" customFormat="1">
      <c r="A65" s="1394"/>
      <c r="B65" s="1917" t="s">
        <v>1423</v>
      </c>
      <c r="C65" s="1406">
        <f t="shared" si="20"/>
        <v>0.02</v>
      </c>
      <c r="D65" s="2255">
        <f t="shared" si="20"/>
        <v>0.02</v>
      </c>
      <c r="E65" s="2863"/>
      <c r="F65" s="1891">
        <f>VLOOKUP(region,' IPCC'!$A$480:$F$491,5,)*VLOOKUP(region,' IPCC'!$A$495:$F$507,5,)*0.365*F16*IF($K$33="YES",$H$33,$J$33)/1000</f>
        <v>0</v>
      </c>
      <c r="G65" s="2884">
        <f>VLOOKUP(region,' IPCC'!$A$480:$F$491,5,)*VLOOKUP(region,' IPCC'!$A$495:$F$507,5,)*0.365*G16*$J$33/1000</f>
        <v>0</v>
      </c>
      <c r="H65" s="1890" t="str">
        <f>H44</f>
        <v>Linear</v>
      </c>
      <c r="I65" s="1879"/>
      <c r="J65" s="2885">
        <f>VLOOKUP(region,' IPCC'!$A$480:$F$491,5,)*VLOOKUP(region,' IPCC'!$A$495:$F$507,5,)*0.365*J16*$K$33/1000</f>
        <v>0</v>
      </c>
      <c r="K65" s="1890" t="str">
        <f>K44</f>
        <v>Linear</v>
      </c>
      <c r="L65" s="1898"/>
      <c r="M65" s="1893">
        <f t="shared" si="18"/>
        <v>0</v>
      </c>
      <c r="N65" s="2866">
        <f t="shared" si="16"/>
        <v>0</v>
      </c>
      <c r="O65" s="2866">
        <f t="shared" si="17"/>
        <v>0</v>
      </c>
      <c r="P65" s="1879"/>
      <c r="Q65" s="1893">
        <f>MIN(M65,N65)*time_tot+ABS(N65-M65)*IF(N65&gt;M65,time2+time*(VLOOKUP(H65,List!$E$35:$F$37,2,)),time*(1-(VLOOKUP(H65,List!$E$35:$F$37,2,))))</f>
        <v>0</v>
      </c>
      <c r="R65" s="1893">
        <f>MIN(M65,O65)*time_tot+ABS(O65-M65)*IF(O65&gt;M65,time2+time*(VLOOKUP(K65,List!$E$35:$F$37,2,)),time*(1-(VLOOKUP(K65,List!$E$35:$F$37,2,))))</f>
        <v>0</v>
      </c>
      <c r="S65" s="1894"/>
      <c r="T65" s="1375">
        <f t="shared" si="19"/>
        <v>0</v>
      </c>
      <c r="U65" s="1876"/>
      <c r="V65" s="1876"/>
      <c r="W65" s="1876"/>
      <c r="X65" s="1876"/>
      <c r="Y65" s="1876"/>
      <c r="Z65" s="1876"/>
      <c r="AA65" s="1876"/>
      <c r="AB65" s="1876"/>
      <c r="AC65" s="1876"/>
      <c r="AD65" s="1901"/>
      <c r="AE65" s="1901"/>
      <c r="AF65" s="1901"/>
      <c r="AG65" s="1914">
        <f>MIN(M65,N65)*time+ABS(N65-M65)*IF(N65&gt;M65,time*(VLOOKUP(H65,List!$E$35:$F$37,2,)),time*(1-(VLOOKUP(H65,List!$E$35:$F$37,2,))))</f>
        <v>0</v>
      </c>
      <c r="AH65" s="1914">
        <f>MIN(M65,O65)*time+ABS(O65-M65)*IF(O65&gt;M65,time*(VLOOKUP(K65,List!$E$35:$F$37,2,)),time*(1-(VLOOKUP(K65,List!$E$35:$F$37,2,))))</f>
        <v>0</v>
      </c>
      <c r="AI65" s="1915"/>
      <c r="AJ65" s="1901"/>
      <c r="AK65" s="1901"/>
      <c r="AL65" s="1901"/>
      <c r="AM65" s="1901"/>
      <c r="AN65" s="1901"/>
      <c r="AO65" s="1901"/>
      <c r="AP65" s="1876"/>
      <c r="AQ65" s="1876"/>
      <c r="AR65" s="1876"/>
      <c r="AS65" s="1876"/>
      <c r="AT65" s="1876"/>
      <c r="AU65" s="1876"/>
      <c r="AV65" s="1876"/>
      <c r="AW65" s="1876"/>
      <c r="AX65" s="1876"/>
      <c r="AY65" s="1876"/>
      <c r="AZ65" s="1876"/>
      <c r="BA65" s="1876"/>
      <c r="BB65" s="1876"/>
      <c r="BC65" s="1876"/>
      <c r="BD65" s="1876"/>
      <c r="BE65" s="1876"/>
      <c r="BF65" s="1876"/>
      <c r="BG65" s="1876"/>
      <c r="BH65" s="1876"/>
      <c r="BI65" s="1876"/>
      <c r="BJ65" s="1876"/>
      <c r="BK65" s="1876"/>
      <c r="BL65" s="1876"/>
      <c r="BM65" s="1876"/>
      <c r="BN65" s="1876"/>
      <c r="BO65" s="1876"/>
      <c r="BP65" s="1876"/>
      <c r="BQ65" s="1876"/>
      <c r="BR65" s="1876"/>
      <c r="BS65" s="1876"/>
      <c r="BT65" s="1876"/>
      <c r="BU65" s="1876"/>
      <c r="BV65" s="1876"/>
      <c r="BW65" s="1876"/>
      <c r="BX65" s="1876"/>
      <c r="BY65" s="1876"/>
      <c r="BZ65" s="1876"/>
      <c r="CA65" s="1876"/>
      <c r="CB65" s="1876"/>
      <c r="CC65" s="1876"/>
      <c r="CD65" s="1876"/>
      <c r="CE65" s="1876"/>
      <c r="CF65" s="1876"/>
      <c r="CG65" s="1876"/>
      <c r="CH65" s="1876"/>
      <c r="CI65" s="1876"/>
      <c r="CJ65" s="1876"/>
      <c r="CK65" s="1876"/>
      <c r="CL65" s="1876"/>
      <c r="CM65" s="1876"/>
      <c r="CN65" s="1876"/>
      <c r="CO65" s="1876"/>
      <c r="CP65" s="1876"/>
      <c r="CQ65" s="1876"/>
      <c r="CR65" s="1876"/>
      <c r="CS65" s="1876"/>
      <c r="CT65" s="1876"/>
      <c r="CU65" s="1876"/>
      <c r="CV65" s="1876"/>
      <c r="CW65" s="1876"/>
      <c r="CX65" s="1876"/>
      <c r="CY65" s="1876"/>
      <c r="CZ65" s="1876"/>
      <c r="DA65" s="1876"/>
      <c r="DB65" s="1876"/>
      <c r="DC65" s="1876"/>
      <c r="DD65" s="1876"/>
      <c r="DE65" s="1876"/>
      <c r="DF65" s="1876"/>
      <c r="DG65" s="1876"/>
      <c r="DH65" s="1876"/>
      <c r="DI65" s="1876"/>
      <c r="DJ65" s="1876"/>
      <c r="DK65" s="1876"/>
      <c r="DL65" s="1876"/>
      <c r="DM65" s="1876"/>
      <c r="DN65" s="1876"/>
      <c r="DO65" s="1876"/>
      <c r="DP65" s="1876"/>
      <c r="DQ65" s="1876"/>
      <c r="DR65" s="1876"/>
      <c r="DS65" s="1876"/>
      <c r="DT65" s="1876"/>
      <c r="DU65" s="1876"/>
      <c r="DV65" s="1876"/>
      <c r="DW65" s="1876"/>
      <c r="DX65" s="1876"/>
      <c r="DY65" s="1876"/>
      <c r="DZ65" s="1876"/>
      <c r="EA65" s="1876"/>
      <c r="EB65" s="1876"/>
      <c r="EC65" s="1876"/>
      <c r="ED65" s="1876"/>
      <c r="EE65" s="1876"/>
      <c r="EF65" s="1876"/>
      <c r="EG65" s="1876"/>
      <c r="EH65" s="1876"/>
      <c r="EI65" s="1876"/>
      <c r="EJ65" s="1876"/>
      <c r="EK65" s="1876"/>
      <c r="EL65" s="1876"/>
      <c r="EM65" s="1876"/>
      <c r="EN65" s="1876"/>
      <c r="EO65" s="1876"/>
      <c r="EP65" s="1876"/>
      <c r="EQ65" s="1876"/>
      <c r="ER65" s="1876"/>
      <c r="ES65" s="1876"/>
      <c r="ET65" s="1876"/>
      <c r="EU65" s="1876"/>
      <c r="EV65" s="1876"/>
      <c r="EW65" s="1876"/>
      <c r="EX65" s="1876"/>
      <c r="EY65" s="1876"/>
      <c r="EZ65" s="1876"/>
      <c r="FA65" s="1876"/>
      <c r="FB65" s="1876"/>
      <c r="FC65" s="1876"/>
      <c r="FD65" s="1876"/>
      <c r="FE65" s="1876"/>
      <c r="FF65" s="1876"/>
      <c r="FG65" s="1876"/>
      <c r="FH65" s="1876"/>
      <c r="FI65" s="1876"/>
      <c r="FJ65" s="1876"/>
      <c r="FK65" s="1876"/>
      <c r="FL65" s="1876"/>
      <c r="FM65" s="1876"/>
      <c r="FN65" s="1876"/>
      <c r="FO65" s="1876"/>
      <c r="FP65" s="1876"/>
      <c r="FQ65" s="1876"/>
      <c r="FR65" s="1876"/>
      <c r="FS65" s="1876"/>
      <c r="FT65" s="1876"/>
      <c r="FU65" s="1876"/>
      <c r="FV65" s="1876"/>
      <c r="FW65" s="1876"/>
      <c r="FX65" s="1876"/>
      <c r="FY65" s="1876"/>
      <c r="FZ65" s="1876"/>
      <c r="GA65" s="1876"/>
      <c r="GB65" s="1876"/>
      <c r="GC65" s="1876"/>
      <c r="GD65" s="1876"/>
      <c r="GE65" s="1876"/>
      <c r="GF65" s="1876"/>
      <c r="GG65" s="1876"/>
      <c r="GH65" s="1876"/>
      <c r="GI65" s="1876"/>
      <c r="GJ65" s="1876"/>
      <c r="GK65" s="1876"/>
      <c r="GL65" s="1876"/>
      <c r="GM65" s="1876"/>
      <c r="GN65" s="1876"/>
      <c r="GO65" s="1876"/>
      <c r="GP65" s="1876"/>
      <c r="GQ65" s="1876"/>
      <c r="GR65" s="1876"/>
      <c r="GS65" s="1876"/>
      <c r="GT65" s="1876"/>
      <c r="GU65" s="1876"/>
      <c r="GV65" s="1876"/>
      <c r="GW65" s="1876"/>
      <c r="GX65" s="1876"/>
      <c r="GY65" s="1876"/>
      <c r="GZ65" s="1876"/>
      <c r="HA65" s="1876"/>
      <c r="HB65" s="1876"/>
      <c r="HC65" s="1876"/>
      <c r="HD65" s="1876"/>
      <c r="HE65" s="1876"/>
      <c r="HF65" s="1876"/>
      <c r="HG65" s="1876"/>
      <c r="HH65" s="1876"/>
      <c r="HI65" s="1876"/>
      <c r="HJ65" s="1876"/>
      <c r="HK65" s="1876"/>
      <c r="HL65" s="1876"/>
      <c r="HM65" s="1876"/>
      <c r="HN65" s="1876"/>
      <c r="HO65" s="1876"/>
      <c r="HP65" s="1876"/>
      <c r="HQ65" s="1876"/>
      <c r="HR65" s="1876"/>
      <c r="HS65" s="1876"/>
      <c r="HT65" s="1876"/>
    </row>
    <row r="66" spans="1:228">
      <c r="A66" s="1394"/>
      <c r="B66" s="1917" t="s">
        <v>1424</v>
      </c>
      <c r="C66" s="1406">
        <f t="shared" si="20"/>
        <v>0.01</v>
      </c>
      <c r="D66" s="2255">
        <f t="shared" si="20"/>
        <v>0.01</v>
      </c>
      <c r="E66" s="2863"/>
      <c r="F66" s="1891">
        <f>VLOOKUP(region,' IPCC'!$A$480:$F$491,5,)*VLOOKUP(region,' IPCC'!$A$495:$F$507,5,)*0.365*F16*IF($K$33="YES",1-$H$33,1-$J$33)/1000</f>
        <v>0</v>
      </c>
      <c r="G66" s="2884">
        <f>VLOOKUP(region,' IPCC'!$A$480:$F$491,5,)*VLOOKUP(region,' IPCC'!$A$495:$F$507,5,)*0.365*G16*(1-$J$33)/1000</f>
        <v>0</v>
      </c>
      <c r="H66" s="1890" t="str">
        <f>H44</f>
        <v>Linear</v>
      </c>
      <c r="I66" s="1879"/>
      <c r="J66" s="2885">
        <f>VLOOKUP(region,' IPCC'!$A$480:$F$491,5,)*VLOOKUP(region,' IPCC'!$A$495:$F$507,5,)*0.365*J16*(1-$K$33)/1000</f>
        <v>0</v>
      </c>
      <c r="K66" s="1890" t="str">
        <f>K44</f>
        <v>Linear</v>
      </c>
      <c r="L66" s="1412"/>
      <c r="M66" s="1893">
        <f t="shared" si="18"/>
        <v>0</v>
      </c>
      <c r="N66" s="2866">
        <f t="shared" si="16"/>
        <v>0</v>
      </c>
      <c r="O66" s="2866">
        <f t="shared" si="17"/>
        <v>0</v>
      </c>
      <c r="P66" s="1879"/>
      <c r="Q66" s="1893">
        <f>MIN(M66,N66)*time_tot+ABS(N66-M66)*IF(N66&gt;M66,time2+time*(VLOOKUP(H66,List!$E$35:$F$37,2,)),time*(1-(VLOOKUP(H66,List!$E$35:$F$37,2,))))</f>
        <v>0</v>
      </c>
      <c r="R66" s="1893">
        <f>MIN(M66,O66)*time_tot+ABS(O66-M66)*IF(O66&gt;M66,time2+time*(VLOOKUP(K66,List!$E$35:$F$37,2,)),time*(1-(VLOOKUP(K66,List!$E$35:$F$37,2,))))</f>
        <v>0</v>
      </c>
      <c r="S66" s="1894"/>
      <c r="T66" s="1375">
        <f t="shared" si="19"/>
        <v>0</v>
      </c>
      <c r="U66" s="1876"/>
      <c r="AG66" s="1914">
        <f>MIN(M66,N66)*time+ABS(N66-M66)*IF(N66&gt;M66,time*(VLOOKUP(H66,List!$E$35:$F$37,2,)),time*(1-(VLOOKUP(H66,List!$E$35:$F$37,2,))))</f>
        <v>0</v>
      </c>
      <c r="AH66" s="1914">
        <f>MIN(M66,O66)*time+ABS(O66-M66)*IF(O66&gt;M66,time*(VLOOKUP(K66,List!$E$35:$F$37,2,)),time*(1-(VLOOKUP(K66,List!$E$35:$F$37,2,))))</f>
        <v>0</v>
      </c>
      <c r="AI66" s="1915"/>
    </row>
    <row r="67" spans="1:228" s="1875" customFormat="1">
      <c r="A67" s="1394"/>
      <c r="B67" s="1917" t="s">
        <v>1425</v>
      </c>
      <c r="C67" s="1406">
        <f t="shared" si="20"/>
        <v>0.02</v>
      </c>
      <c r="D67" s="2255">
        <f t="shared" si="20"/>
        <v>0.02</v>
      </c>
      <c r="E67" s="2863"/>
      <c r="F67" s="1891">
        <f>VLOOKUP(region,' IPCC'!$A$480:$F$491,6,)*VLOOKUP(region,' IPCC'!$A$495:$F$507,6,)*0.365*F17*IF($K$34="YES",$H$34,$J$34)/1000</f>
        <v>0</v>
      </c>
      <c r="G67" s="2884">
        <f>VLOOKUP(region,' IPCC'!$A$480:$F$491,6,)*VLOOKUP(region,' IPCC'!$A$495:$F$507,6,)*0.365*G17*$J$34/1000</f>
        <v>0</v>
      </c>
      <c r="H67" s="1890" t="str">
        <f>H45</f>
        <v>Linear</v>
      </c>
      <c r="I67" s="1879"/>
      <c r="J67" s="2885">
        <f>VLOOKUP(region,' IPCC'!$A$480:$F$491,6,)*VLOOKUP(region,' IPCC'!$A$495:$F$507,6,)*0.365*J17*$K$34/1000</f>
        <v>0</v>
      </c>
      <c r="K67" s="1890" t="str">
        <f>K45</f>
        <v>Linear</v>
      </c>
      <c r="L67" s="1898"/>
      <c r="M67" s="1893">
        <f t="shared" si="18"/>
        <v>0</v>
      </c>
      <c r="N67" s="2866">
        <f t="shared" si="16"/>
        <v>0</v>
      </c>
      <c r="O67" s="2866">
        <f t="shared" si="17"/>
        <v>0</v>
      </c>
      <c r="P67" s="1879"/>
      <c r="Q67" s="1893">
        <f>MIN(M67,N67)*time_tot+ABS(N67-M67)*IF(N67&gt;M67,time2+time*(VLOOKUP(H67,List!$E$35:$F$37,2,)),time*(1-(VLOOKUP(H67,List!$E$35:$F$37,2,))))</f>
        <v>0</v>
      </c>
      <c r="R67" s="1893">
        <f>MIN(M67,O67)*time_tot+ABS(O67-M67)*IF(O67&gt;M67,time2+time*(VLOOKUP(K67,List!$E$35:$F$37,2,)),time*(1-(VLOOKUP(K67,List!$E$35:$F$37,2,))))</f>
        <v>0</v>
      </c>
      <c r="S67" s="1894"/>
      <c r="T67" s="1375">
        <f t="shared" si="19"/>
        <v>0</v>
      </c>
      <c r="U67" s="1876"/>
      <c r="V67" s="1876"/>
      <c r="W67" s="1876"/>
      <c r="X67" s="1876"/>
      <c r="Y67" s="1876"/>
      <c r="Z67" s="1876"/>
      <c r="AA67" s="1876"/>
      <c r="AB67" s="1876"/>
      <c r="AC67" s="1876"/>
      <c r="AD67" s="1901"/>
      <c r="AE67" s="1901"/>
      <c r="AF67" s="1901"/>
      <c r="AG67" s="1914">
        <f>MIN(M67,N67)*time+ABS(N67-M67)*IF(N67&gt;M67,time*(VLOOKUP(H67,List!$E$35:$F$37,2,)),time*(1-(VLOOKUP(H67,List!$E$35:$F$37,2,))))</f>
        <v>0</v>
      </c>
      <c r="AH67" s="1914">
        <f>MIN(M67,O67)*time+ABS(O67-M67)*IF(O67&gt;M67,time*(VLOOKUP(K67,List!$E$35:$F$37,2,)),time*(1-(VLOOKUP(K67,List!$E$35:$F$37,2,))))</f>
        <v>0</v>
      </c>
      <c r="AI67" s="1915"/>
      <c r="AJ67" s="1901"/>
      <c r="AK67" s="1901"/>
      <c r="AL67" s="1901"/>
      <c r="AM67" s="1901"/>
      <c r="AN67" s="1901"/>
      <c r="AO67" s="1901"/>
      <c r="AP67" s="1876"/>
      <c r="AQ67" s="1876"/>
      <c r="AR67" s="1876"/>
      <c r="AS67" s="1876"/>
      <c r="AT67" s="1876"/>
      <c r="AU67" s="1876"/>
      <c r="AV67" s="1876"/>
      <c r="AW67" s="1876"/>
      <c r="AX67" s="1876"/>
      <c r="AY67" s="1876"/>
      <c r="AZ67" s="1876"/>
      <c r="BA67" s="1876"/>
      <c r="BB67" s="1876"/>
      <c r="BC67" s="1876"/>
      <c r="BD67" s="1876"/>
      <c r="BE67" s="1876"/>
      <c r="BF67" s="1876"/>
      <c r="BG67" s="1876"/>
      <c r="BH67" s="1876"/>
      <c r="BI67" s="1876"/>
      <c r="BJ67" s="1876"/>
      <c r="BK67" s="1876"/>
      <c r="BL67" s="1876"/>
      <c r="BM67" s="1876"/>
      <c r="BN67" s="1876"/>
      <c r="BO67" s="1876"/>
      <c r="BP67" s="1876"/>
      <c r="BQ67" s="1876"/>
      <c r="BR67" s="1876"/>
      <c r="BS67" s="1876"/>
      <c r="BT67" s="1876"/>
      <c r="BU67" s="1876"/>
      <c r="BV67" s="1876"/>
      <c r="BW67" s="1876"/>
      <c r="BX67" s="1876"/>
      <c r="BY67" s="1876"/>
      <c r="BZ67" s="1876"/>
      <c r="CA67" s="1876"/>
      <c r="CB67" s="1876"/>
      <c r="CC67" s="1876"/>
      <c r="CD67" s="1876"/>
      <c r="CE67" s="1876"/>
      <c r="CF67" s="1876"/>
      <c r="CG67" s="1876"/>
      <c r="CH67" s="1876"/>
      <c r="CI67" s="1876"/>
      <c r="CJ67" s="1876"/>
      <c r="CK67" s="1876"/>
      <c r="CL67" s="1876"/>
      <c r="CM67" s="1876"/>
      <c r="CN67" s="1876"/>
      <c r="CO67" s="1876"/>
      <c r="CP67" s="1876"/>
      <c r="CQ67" s="1876"/>
      <c r="CR67" s="1876"/>
      <c r="CS67" s="1876"/>
      <c r="CT67" s="1876"/>
      <c r="CU67" s="1876"/>
      <c r="CV67" s="1876"/>
      <c r="CW67" s="1876"/>
      <c r="CX67" s="1876"/>
      <c r="CY67" s="1876"/>
      <c r="CZ67" s="1876"/>
      <c r="DA67" s="1876"/>
      <c r="DB67" s="1876"/>
      <c r="DC67" s="1876"/>
      <c r="DD67" s="1876"/>
      <c r="DE67" s="1876"/>
      <c r="DF67" s="1876"/>
      <c r="DG67" s="1876"/>
      <c r="DH67" s="1876"/>
      <c r="DI67" s="1876"/>
      <c r="DJ67" s="1876"/>
      <c r="DK67" s="1876"/>
      <c r="DL67" s="1876"/>
      <c r="DM67" s="1876"/>
      <c r="DN67" s="1876"/>
      <c r="DO67" s="1876"/>
      <c r="DP67" s="1876"/>
      <c r="DQ67" s="1876"/>
      <c r="DR67" s="1876"/>
      <c r="DS67" s="1876"/>
      <c r="DT67" s="1876"/>
      <c r="DU67" s="1876"/>
      <c r="DV67" s="1876"/>
      <c r="DW67" s="1876"/>
      <c r="DX67" s="1876"/>
      <c r="DY67" s="1876"/>
      <c r="DZ67" s="1876"/>
      <c r="EA67" s="1876"/>
      <c r="EB67" s="1876"/>
      <c r="EC67" s="1876"/>
      <c r="ED67" s="1876"/>
      <c r="EE67" s="1876"/>
      <c r="EF67" s="1876"/>
      <c r="EG67" s="1876"/>
      <c r="EH67" s="1876"/>
      <c r="EI67" s="1876"/>
      <c r="EJ67" s="1876"/>
      <c r="EK67" s="1876"/>
      <c r="EL67" s="1876"/>
      <c r="EM67" s="1876"/>
      <c r="EN67" s="1876"/>
      <c r="EO67" s="1876"/>
      <c r="EP67" s="1876"/>
      <c r="EQ67" s="1876"/>
      <c r="ER67" s="1876"/>
      <c r="ES67" s="1876"/>
      <c r="ET67" s="1876"/>
      <c r="EU67" s="1876"/>
      <c r="EV67" s="1876"/>
      <c r="EW67" s="1876"/>
      <c r="EX67" s="1876"/>
      <c r="EY67" s="1876"/>
      <c r="EZ67" s="1876"/>
      <c r="FA67" s="1876"/>
      <c r="FB67" s="1876"/>
      <c r="FC67" s="1876"/>
      <c r="FD67" s="1876"/>
      <c r="FE67" s="1876"/>
      <c r="FF67" s="1876"/>
      <c r="FG67" s="1876"/>
      <c r="FH67" s="1876"/>
      <c r="FI67" s="1876"/>
      <c r="FJ67" s="1876"/>
      <c r="FK67" s="1876"/>
      <c r="FL67" s="1876"/>
      <c r="FM67" s="1876"/>
      <c r="FN67" s="1876"/>
      <c r="FO67" s="1876"/>
      <c r="FP67" s="1876"/>
      <c r="FQ67" s="1876"/>
      <c r="FR67" s="1876"/>
      <c r="FS67" s="1876"/>
      <c r="FT67" s="1876"/>
      <c r="FU67" s="1876"/>
      <c r="FV67" s="1876"/>
      <c r="FW67" s="1876"/>
      <c r="FX67" s="1876"/>
      <c r="FY67" s="1876"/>
      <c r="FZ67" s="1876"/>
      <c r="GA67" s="1876"/>
      <c r="GB67" s="1876"/>
      <c r="GC67" s="1876"/>
      <c r="GD67" s="1876"/>
      <c r="GE67" s="1876"/>
      <c r="GF67" s="1876"/>
      <c r="GG67" s="1876"/>
      <c r="GH67" s="1876"/>
      <c r="GI67" s="1876"/>
      <c r="GJ67" s="1876"/>
      <c r="GK67" s="1876"/>
      <c r="GL67" s="1876"/>
      <c r="GM67" s="1876"/>
      <c r="GN67" s="1876"/>
      <c r="GO67" s="1876"/>
      <c r="GP67" s="1876"/>
      <c r="GQ67" s="1876"/>
      <c r="GR67" s="1876"/>
      <c r="GS67" s="1876"/>
      <c r="GT67" s="1876"/>
      <c r="GU67" s="1876"/>
      <c r="GV67" s="1876"/>
      <c r="GW67" s="1876"/>
      <c r="GX67" s="1876"/>
      <c r="GY67" s="1876"/>
      <c r="GZ67" s="1876"/>
      <c r="HA67" s="1876"/>
      <c r="HB67" s="1876"/>
      <c r="HC67" s="1876"/>
      <c r="HD67" s="1876"/>
      <c r="HE67" s="1876"/>
      <c r="HF67" s="1876"/>
      <c r="HG67" s="1876"/>
      <c r="HH67" s="1876"/>
      <c r="HI67" s="1876"/>
      <c r="HJ67" s="1876"/>
      <c r="HK67" s="1876"/>
      <c r="HL67" s="1876"/>
      <c r="HM67" s="1876"/>
      <c r="HN67" s="1876"/>
      <c r="HO67" s="1876"/>
      <c r="HP67" s="1876"/>
      <c r="HQ67" s="1876"/>
      <c r="HR67" s="1876"/>
      <c r="HS67" s="1876"/>
      <c r="HT67" s="1876"/>
    </row>
    <row r="68" spans="1:228">
      <c r="A68" s="1394"/>
      <c r="B68" s="1917" t="s">
        <v>1426</v>
      </c>
      <c r="C68" s="1406">
        <f t="shared" si="20"/>
        <v>0.01</v>
      </c>
      <c r="D68" s="2255">
        <f t="shared" si="20"/>
        <v>0.01</v>
      </c>
      <c r="E68" s="2863"/>
      <c r="F68" s="1891">
        <f>VLOOKUP(region,' IPCC'!$A$480:$F$491,6,)*VLOOKUP(region,' IPCC'!$A$495:$F$507,6,)*0.365*F17*IF($K$34="YES",1-$H$34,1-$J$34)/1000</f>
        <v>0</v>
      </c>
      <c r="G68" s="2884">
        <f>VLOOKUP(region,' IPCC'!$A$480:$F$491,6,)*VLOOKUP(region,' IPCC'!$A$495:$F$507,6,)*0.365*G17*(1-$J$34)/1000</f>
        <v>0</v>
      </c>
      <c r="H68" s="1890" t="str">
        <f>H45</f>
        <v>Linear</v>
      </c>
      <c r="I68" s="1879"/>
      <c r="J68" s="2885">
        <f>VLOOKUP(region,' IPCC'!$A$480:$F$491,6,)*VLOOKUP(region,' IPCC'!$A$495:$F$507,6,)*0.365*J17*(1-$K$34)/1000</f>
        <v>0</v>
      </c>
      <c r="K68" s="1890" t="str">
        <f t="shared" ref="K68:K73" si="21">K45</f>
        <v>Linear</v>
      </c>
      <c r="L68" s="1412"/>
      <c r="M68" s="1893">
        <f t="shared" si="18"/>
        <v>0</v>
      </c>
      <c r="N68" s="2866">
        <f t="shared" si="16"/>
        <v>0</v>
      </c>
      <c r="O68" s="2866">
        <f t="shared" si="17"/>
        <v>0</v>
      </c>
      <c r="P68" s="1879"/>
      <c r="Q68" s="1893">
        <f>MIN(M68,N68)*time_tot+ABS(N68-M68)*IF(N68&gt;M68,time2+time*(VLOOKUP(H68,List!$E$35:$F$37,2,)),time*(1-(VLOOKUP(H68,List!$E$35:$F$37,2,))))</f>
        <v>0</v>
      </c>
      <c r="R68" s="1893">
        <f>MIN(M68,O68)*time_tot+ABS(O68-M68)*IF(O68&gt;M68,time2+time*(VLOOKUP(K68,List!$E$35:$F$37,2,)),time*(1-(VLOOKUP(K68,List!$E$35:$F$37,2,))))</f>
        <v>0</v>
      </c>
      <c r="S68" s="1894"/>
      <c r="T68" s="1375">
        <f t="shared" si="19"/>
        <v>0</v>
      </c>
      <c r="U68" s="1876"/>
      <c r="AG68" s="1914">
        <f>MIN(M68,N68)*time+ABS(N68-M68)*IF(N68&gt;M68,time*(VLOOKUP(H68,List!$E$35:$F$37,2,)),time*(1-(VLOOKUP(H68,List!$E$35:$F$37,2,))))</f>
        <v>0</v>
      </c>
      <c r="AH68" s="1914">
        <f>MIN(M68,O68)*time+ABS(O68-M68)*IF(O68&gt;M68,time*(VLOOKUP(K68,List!$E$35:$F$37,2,)),time*(1-(VLOOKUP(K68,List!$E$35:$F$37,2,))))</f>
        <v>0</v>
      </c>
      <c r="AI68" s="1915"/>
    </row>
    <row r="69" spans="1:228">
      <c r="A69" s="1394"/>
      <c r="B69" s="303" t="str">
        <f>B46</f>
        <v>Please select</v>
      </c>
      <c r="C69" s="58">
        <v>0.02</v>
      </c>
      <c r="D69" s="2298">
        <f>0.02*O32+0.01*(1-O32)</f>
        <v>0.02</v>
      </c>
      <c r="E69" s="2298">
        <f>0.02*Q32+0.01*(1-Q32)</f>
        <v>0.02</v>
      </c>
      <c r="F69" s="1223">
        <f>VLOOKUP(region,' IPCC'!$A$512:$J$523,1+MATCH($B69,' IPCC'!$B$527:$J$527,),)*VLOOKUP(c_type,' IPCC'!$A$528:$J$547,1+MATCH($B69,' IPCC'!$B$527:$J$527,),)*0.365*F18/1000</f>
        <v>0</v>
      </c>
      <c r="G69" s="2884">
        <f>VLOOKUP(region,' IPCC'!$A$512:$J$523,1+MATCH($B69,' IPCC'!$B$527:$J$527,),)*VLOOKUP(c_type,' IPCC'!$A$528:$J$547,1+MATCH($B69,' IPCC'!$B$527:$J$527,),)*0.365*G18/1000</f>
        <v>0</v>
      </c>
      <c r="H69" s="1107" t="str">
        <f>H46</f>
        <v>Linear</v>
      </c>
      <c r="I69" s="49"/>
      <c r="J69" s="2885">
        <f>VLOOKUP(region,' IPCC'!$A$512:$J$523,1+MATCH($B69,' IPCC'!$B$527:$J$527,),)*VLOOKUP(c_type,' IPCC'!$A$528:$J$547,1+MATCH($B69,' IPCC'!$B$527:$J$527,),)*0.365*J18/1000</f>
        <v>0</v>
      </c>
      <c r="K69" s="1107" t="str">
        <f t="shared" si="21"/>
        <v>Linear</v>
      </c>
      <c r="L69" s="1412"/>
      <c r="M69" s="1893">
        <f>C69*(Nitrous*F69)*44/28</f>
        <v>0</v>
      </c>
      <c r="N69" s="2866">
        <f t="shared" si="16"/>
        <v>0</v>
      </c>
      <c r="O69" s="2866">
        <f>E69*(Nitrous*J69)*44/28</f>
        <v>0</v>
      </c>
      <c r="P69" s="1879"/>
      <c r="Q69" s="1893">
        <f>MIN(M69,N69)*time_tot+ABS(N69-M69)*IF(N69&gt;M69,time2+time*(VLOOKUP(H69,List!$E$35:$F$37,2,)),time*(1-(VLOOKUP(H69,List!$E$35:$F$37,2,))))</f>
        <v>0</v>
      </c>
      <c r="R69" s="1893">
        <f>MIN(M69,O69)*time_tot+ABS(O69-M69)*IF(O69&gt;M69,time2+time*(VLOOKUP(K69,List!$E$35:$F$37,2,)),time*(1-(VLOOKUP(K69,List!$E$35:$F$37,2,))))</f>
        <v>0</v>
      </c>
      <c r="S69" s="1894"/>
      <c r="T69" s="1375">
        <f t="shared" si="19"/>
        <v>0</v>
      </c>
      <c r="U69" s="1876"/>
      <c r="AG69" s="1914">
        <f>MIN(M69,N69)*time+ABS(N69-M69)*IF(N69&gt;M69,time*(VLOOKUP(H69,List!$E$35:$F$37,2,)),time*(1-(VLOOKUP(H69,List!$E$35:$F$37,2,))))</f>
        <v>0</v>
      </c>
      <c r="AH69" s="1914">
        <f>MIN(M69,O69)*time+ABS(O69-M69)*IF(O69&gt;M69,time*(VLOOKUP(K69,List!$E$35:$F$37,2,)),time*(1-(VLOOKUP(K69,List!$E$35:$F$37,2,))))</f>
        <v>0</v>
      </c>
      <c r="AI69" s="1915"/>
    </row>
    <row r="70" spans="1:228">
      <c r="A70" s="1394"/>
      <c r="B70" s="303" t="str">
        <f>B47</f>
        <v>Horses</v>
      </c>
      <c r="C70" s="58">
        <v>0.02</v>
      </c>
      <c r="D70" s="2298">
        <f>0.02*O33+0.01*(1-O33)</f>
        <v>0.02</v>
      </c>
      <c r="E70" s="2298">
        <f t="shared" ref="E70:E71" si="22">0.02*Q33+0.01*(1-Q33)</f>
        <v>0.02</v>
      </c>
      <c r="F70" s="1223">
        <f>VLOOKUP(region,' IPCC'!$A$512:$J$523,1+MATCH($B70,' IPCC'!$B$527:$J$527,),)*VLOOKUP(c_type,' IPCC'!$A$528:$J$547,1+MATCH($B70,' IPCC'!$B$527:$J$527,),)*0.365*F19/1000</f>
        <v>0</v>
      </c>
      <c r="G70" s="2884">
        <f>VLOOKUP(region,' IPCC'!$A$512:$J$523,1+MATCH($B70,' IPCC'!$B$527:$J$527,),)*VLOOKUP(c_type,' IPCC'!$A$528:$J$547,1+MATCH($B70,' IPCC'!$B$527:$J$527,),)*0.365*G19/1000</f>
        <v>0</v>
      </c>
      <c r="H70" s="1107" t="str">
        <f>H47</f>
        <v>Linear</v>
      </c>
      <c r="I70" s="49"/>
      <c r="J70" s="2885">
        <f>VLOOKUP(region,' IPCC'!$A$512:$J$523,1+MATCH($B70,' IPCC'!$B$527:$J$527,),)*VLOOKUP(c_type,' IPCC'!$A$528:$J$547,1+MATCH($B70,' IPCC'!$B$527:$J$527,),)*0.365*J19/1000</f>
        <v>0</v>
      </c>
      <c r="K70" s="1107" t="str">
        <f t="shared" si="21"/>
        <v>Linear</v>
      </c>
      <c r="L70" s="1412"/>
      <c r="M70" s="1893">
        <f>C70*(Nitrous*F70)*44/28</f>
        <v>0</v>
      </c>
      <c r="N70" s="2866">
        <f t="shared" si="16"/>
        <v>0</v>
      </c>
      <c r="O70" s="2866">
        <f>E70*(Nitrous*J70)*44/28</f>
        <v>0</v>
      </c>
      <c r="P70" s="1879"/>
      <c r="Q70" s="1893">
        <f>MIN(M70,N70)*time_tot+ABS(N70-M70)*IF(N70&gt;M70,time2+time*(VLOOKUP(H70,List!$E$35:$F$37,2,)),time*(1-(VLOOKUP(H70,List!$E$35:$F$37,2,))))</f>
        <v>0</v>
      </c>
      <c r="R70" s="1893">
        <f>MIN(M70,O70)*time_tot+ABS(O70-M70)*IF(O70&gt;M70,time2+time*(VLOOKUP(K70,List!$E$35:$F$37,2,)),time*(1-(VLOOKUP(K70,List!$E$35:$F$37,2,))))</f>
        <v>0</v>
      </c>
      <c r="S70" s="1894"/>
      <c r="T70" s="1375">
        <f t="shared" si="19"/>
        <v>0</v>
      </c>
      <c r="U70" s="1876"/>
      <c r="AG70" s="1914">
        <f>MIN(M70,N70)*time+ABS(N70-M70)*IF(N70&gt;M70,time*(VLOOKUP(H70,List!$E$35:$F$37,2,)),time*(1-(VLOOKUP(H70,List!$E$35:$F$37,2,))))</f>
        <v>0</v>
      </c>
      <c r="AH70" s="1914">
        <f>MIN(M70,O70)*time+ABS(O70-M70)*IF(O70&gt;M70,time*(VLOOKUP(K70,List!$E$35:$F$37,2,)),time*(1-(VLOOKUP(K70,List!$E$35:$F$37,2,))))</f>
        <v>0</v>
      </c>
      <c r="AI70" s="1915"/>
    </row>
    <row r="71" spans="1:228">
      <c r="A71" s="1394"/>
      <c r="B71" s="303" t="str">
        <f>B48</f>
        <v>Goats</v>
      </c>
      <c r="C71" s="58">
        <v>0.02</v>
      </c>
      <c r="D71" s="2298">
        <f>0.02*O34+0.01*(1-O34)</f>
        <v>0.02</v>
      </c>
      <c r="E71" s="2298">
        <f t="shared" si="22"/>
        <v>0.02</v>
      </c>
      <c r="F71" s="1223">
        <f>VLOOKUP(region,' IPCC'!$A$512:$J$523,1+MATCH($B71,' IPCC'!$B$527:$J$527,),)*VLOOKUP(c_type,' IPCC'!$A$528:$J$547,1+MATCH($B71,' IPCC'!$B$527:$J$527,),)*0.365*F20/1000</f>
        <v>0</v>
      </c>
      <c r="G71" s="2884">
        <f>VLOOKUP(region,' IPCC'!$A$512:$J$523,1+MATCH($B71,' IPCC'!$B$527:$J$527,),)*VLOOKUP(c_type,' IPCC'!$A$528:$J$547,1+MATCH($B71,' IPCC'!$B$527:$J$527,),)*0.365*G20/1000</f>
        <v>0</v>
      </c>
      <c r="H71" s="1107" t="str">
        <f>H48</f>
        <v>Linear</v>
      </c>
      <c r="I71" s="49"/>
      <c r="J71" s="2885">
        <f>VLOOKUP(region,' IPCC'!$A$512:$J$523,1+MATCH($B71,' IPCC'!$B$527:$J$527,),)*VLOOKUP(c_type,' IPCC'!$A$528:$J$547,1+MATCH($B71,' IPCC'!$B$527:$J$527,),)*0.365*J20/1000</f>
        <v>0</v>
      </c>
      <c r="K71" s="1107" t="str">
        <f t="shared" si="21"/>
        <v>Linear</v>
      </c>
      <c r="L71" s="1412"/>
      <c r="M71" s="1893">
        <f>C71*(Nitrous*F71)*44/28</f>
        <v>0</v>
      </c>
      <c r="N71" s="2866">
        <f t="shared" si="16"/>
        <v>0</v>
      </c>
      <c r="O71" s="2866">
        <f>E71*(Nitrous*J71)*44/28</f>
        <v>0</v>
      </c>
      <c r="P71" s="49"/>
      <c r="Q71" s="1371">
        <f>MIN(M71,N71)*time_tot+ABS(N71-M71)*IF(N71&gt;M71,time2+time*(VLOOKUP(H71,List!$E$35:$F$37,2,)),time*(1-(VLOOKUP(H71,List!$E$35:$F$37,2,))))</f>
        <v>0</v>
      </c>
      <c r="R71" s="1371">
        <f>MIN(M71,O71)*time_tot+ABS(O71-M71)*IF(O71&gt;M71,time2+time*(VLOOKUP(K71,List!$E$35:$F$37,2,)),time*(1-(VLOOKUP(K71,List!$E$35:$F$37,2,))))</f>
        <v>0</v>
      </c>
      <c r="S71" s="1374"/>
      <c r="T71" s="1375">
        <f>R71-Q71</f>
        <v>0</v>
      </c>
      <c r="AG71" s="1914">
        <f>MIN(M71,N71)*time+ABS(N71-M71)*IF(N71&gt;M71,time*(VLOOKUP(H71,List!$E$35:$F$37,2,)),time*(1-(VLOOKUP(H71,List!$E$35:$F$37,2,))))</f>
        <v>0</v>
      </c>
      <c r="AH71" s="1914">
        <f>MIN(M71,O71)*time+ABS(O71-M71)*IF(O71&gt;M71,time*(VLOOKUP(K71,List!$E$35:$F$37,2,)),time*(1-(VLOOKUP(K71,List!$E$35:$F$37,2,))))</f>
        <v>0</v>
      </c>
      <c r="AI71" s="1915"/>
    </row>
    <row r="72" spans="1:228">
      <c r="A72" s="1394"/>
      <c r="B72" s="85" t="str">
        <f>B49</f>
        <v>User Defined- Specified value ---------------&gt;</v>
      </c>
      <c r="C72" s="84"/>
      <c r="D72" s="1407"/>
      <c r="E72" s="84" t="s">
        <v>354</v>
      </c>
      <c r="F72" s="1227">
        <v>0</v>
      </c>
      <c r="G72" s="1228">
        <v>0</v>
      </c>
      <c r="H72" s="1107" t="str">
        <f>H49</f>
        <v>Linear</v>
      </c>
      <c r="I72" s="49"/>
      <c r="J72" s="1227">
        <v>0</v>
      </c>
      <c r="K72" s="1107" t="str">
        <f t="shared" si="21"/>
        <v>Linear</v>
      </c>
      <c r="L72" s="1412"/>
      <c r="M72" s="1371">
        <f t="shared" ref="M72:N73" si="23">IF($E72="YES",$C72,$D72)*(Nitrous*F72)*44/28</f>
        <v>0</v>
      </c>
      <c r="N72" s="1371">
        <f t="shared" si="23"/>
        <v>0</v>
      </c>
      <c r="O72" s="1371">
        <f>IF($E72="YES",$C72,$D72)*(Nitrous*J72)*44/28</f>
        <v>0</v>
      </c>
      <c r="P72" s="49"/>
      <c r="Q72" s="1371">
        <f>MIN(M72,N72)*time_tot+ABS(N72-M72)*IF(N72&gt;M72,time2+time*(VLOOKUP(H72,List!$E$35:$F$37,2,)),time*(1-(VLOOKUP(H72,List!$E$35:$F$37,2,))))</f>
        <v>0</v>
      </c>
      <c r="R72" s="1371">
        <f>MIN(M72,O72)*time_tot+ABS(O72-M72)*IF(O72&gt;M72,time2+time*(VLOOKUP(K72,List!$E$35:$F$37,2,)),time*(1-(VLOOKUP(K72,List!$E$35:$F$37,2,))))</f>
        <v>0</v>
      </c>
      <c r="S72" s="1374"/>
      <c r="T72" s="1375">
        <f>R72-Q72</f>
        <v>0</v>
      </c>
      <c r="AG72" s="1914">
        <f>MIN(M72,N72)*time+ABS(N72-M72)*IF(N72&gt;M72,time*(VLOOKUP(H72,List!$E$35:$F$37,2,)),time*(1-(VLOOKUP(H72,List!$E$35:$F$37,2,))))</f>
        <v>0</v>
      </c>
      <c r="AH72" s="1914">
        <f>MIN(M72,O72)*time+ABS(O72-M72)*IF(O72&gt;M72,time*(VLOOKUP(K72,List!$E$35:$F$37,2,)),time*(1-(VLOOKUP(K72,List!$E$35:$F$37,2,))))</f>
        <v>0</v>
      </c>
      <c r="AI72" s="1915"/>
    </row>
    <row r="73" spans="1:228">
      <c r="A73" s="1394"/>
      <c r="B73" s="85" t="str">
        <f>B50</f>
        <v>User Defined- Specified value ---------------&gt;</v>
      </c>
      <c r="C73" s="84"/>
      <c r="D73" s="1407"/>
      <c r="E73" s="84" t="s">
        <v>354</v>
      </c>
      <c r="F73" s="1229">
        <v>0</v>
      </c>
      <c r="G73" s="1230">
        <v>0</v>
      </c>
      <c r="H73" s="1108" t="str">
        <f t="shared" ref="H73" si="24">H50</f>
        <v>Linear</v>
      </c>
      <c r="I73" s="49"/>
      <c r="J73" s="1229">
        <v>0</v>
      </c>
      <c r="K73" s="1108" t="str">
        <f t="shared" si="21"/>
        <v>Linear</v>
      </c>
      <c r="L73" s="1412"/>
      <c r="M73" s="1371">
        <f t="shared" si="23"/>
        <v>0</v>
      </c>
      <c r="N73" s="1371">
        <f t="shared" si="23"/>
        <v>0</v>
      </c>
      <c r="O73" s="1371">
        <f>IF($E73="YES",$C73,$D73)*(Nitrous*J73)*44/28</f>
        <v>0</v>
      </c>
      <c r="P73" s="49"/>
      <c r="Q73" s="1371">
        <f>MIN(M73,N73)*time_tot+ABS(N73-M73)*IF(N73&gt;M73,time2+time*(VLOOKUP(H73,List!$E$35:$F$37,2,)),time*(1-(VLOOKUP(H73,List!$E$35:$F$37,2,))))</f>
        <v>0</v>
      </c>
      <c r="R73" s="1371">
        <f>MIN(M73,O73)*time_tot+ABS(O73-M73)*IF(O73&gt;M73,time2+time*(VLOOKUP(K73,List!$E$35:$F$37,2,)),time*(1-(VLOOKUP(K73,List!$E$35:$F$37,2,))))</f>
        <v>0</v>
      </c>
      <c r="S73" s="1374"/>
      <c r="T73" s="1375">
        <f>R73-Q73</f>
        <v>0</v>
      </c>
      <c r="AG73" s="1914">
        <f>MIN(M73,N73)*time+ABS(N73-M73)*IF(N73&gt;M73,time*(VLOOKUP(H73,List!$E$35:$F$37,2,)),time*(1-(VLOOKUP(H73,List!$E$35:$F$37,2,))))</f>
        <v>0</v>
      </c>
      <c r="AH73" s="1914">
        <f>MIN(M73,O73)*time+ABS(O73-M73)*IF(O73&gt;M73,time*(VLOOKUP(K73,List!$E$35:$F$37,2,)),time*(1-(VLOOKUP(K73,List!$E$35:$F$37,2,))))</f>
        <v>0</v>
      </c>
      <c r="AI73" s="1915"/>
    </row>
    <row r="74" spans="1:228" s="49" customFormat="1">
      <c r="A74" s="47"/>
      <c r="B74" s="49" t="s">
        <v>365</v>
      </c>
      <c r="C74" s="46"/>
      <c r="D74" s="46"/>
      <c r="E74" s="46"/>
      <c r="F74" s="46"/>
      <c r="G74" s="46"/>
      <c r="H74" s="47"/>
      <c r="J74" s="46"/>
      <c r="K74" s="1418" t="s">
        <v>687</v>
      </c>
      <c r="L74" s="1411"/>
      <c r="M74" s="1231">
        <f>SUM(M57:M73)</f>
        <v>0</v>
      </c>
      <c r="N74" s="1231">
        <f>SUM(N57:N72)</f>
        <v>0</v>
      </c>
      <c r="O74" s="1231">
        <f>SUM(O57:O72)</f>
        <v>0</v>
      </c>
      <c r="P74" s="1419"/>
      <c r="Q74" s="1231">
        <f>SUM(Q57:Q73)</f>
        <v>0</v>
      </c>
      <c r="R74" s="1231">
        <f>SUM(R57:R73)</f>
        <v>0</v>
      </c>
      <c r="S74" s="1376"/>
      <c r="T74" s="1377">
        <f>SUM(T57:T73)</f>
        <v>0</v>
      </c>
      <c r="V74" s="1879"/>
      <c r="W74" s="1879"/>
      <c r="X74" s="1879"/>
      <c r="Y74" s="1879"/>
      <c r="Z74" s="1879"/>
      <c r="AA74" s="1879"/>
      <c r="AB74" s="1879"/>
      <c r="AC74" s="1879"/>
      <c r="AD74" s="1901"/>
      <c r="AE74" s="1901"/>
      <c r="AF74" s="1901"/>
      <c r="AG74" s="1914"/>
      <c r="AH74" s="1914"/>
      <c r="AI74" s="1915">
        <f>SUM(AH57:AH73)-SUM(AG57:AG73)</f>
        <v>0</v>
      </c>
      <c r="AJ74" s="1901"/>
      <c r="AK74" s="1901"/>
      <c r="AL74" s="1901"/>
      <c r="AM74" s="1901"/>
      <c r="AN74" s="1901"/>
      <c r="AO74" s="1901"/>
    </row>
    <row r="75" spans="1:228" s="49" customFormat="1">
      <c r="A75" s="47"/>
      <c r="F75" s="1920" t="s">
        <v>1428</v>
      </c>
      <c r="G75" s="1920"/>
      <c r="H75" s="1920"/>
      <c r="I75" s="1920"/>
      <c r="J75" s="1920"/>
      <c r="K75" s="112"/>
      <c r="L75" s="112"/>
      <c r="M75" s="112"/>
      <c r="N75" s="112"/>
      <c r="O75" s="112"/>
      <c r="P75" s="112"/>
      <c r="Q75" s="112"/>
      <c r="R75" s="112"/>
      <c r="S75" s="112"/>
      <c r="T75" s="112"/>
      <c r="V75" s="1879"/>
      <c r="W75" s="1879"/>
      <c r="X75" s="1879"/>
      <c r="Y75" s="1879"/>
      <c r="Z75" s="1879"/>
      <c r="AA75" s="1879"/>
      <c r="AB75" s="1879"/>
      <c r="AC75" s="1879"/>
      <c r="AD75" s="1901"/>
      <c r="AE75" s="1901"/>
      <c r="AF75" s="1901"/>
      <c r="AG75" s="1902"/>
      <c r="AH75" s="1902"/>
      <c r="AI75" s="1901"/>
      <c r="AJ75" s="1901"/>
      <c r="AK75" s="1901"/>
      <c r="AL75" s="1901"/>
      <c r="AM75" s="1901"/>
      <c r="AN75" s="1901"/>
      <c r="AO75" s="1901"/>
    </row>
    <row r="76" spans="1:228" s="1879" customFormat="1">
      <c r="A76" s="1878"/>
      <c r="B76" s="1879">
        <f>VLOOKUP(region,' IPCC'!$A$480:$F$491,2,)*VLOOKUP(region,' IPCC'!$A$495:$F$507,2,)*0.365*F13</f>
        <v>0</v>
      </c>
      <c r="F76" s="1919">
        <f>SUM(F57:F73)-F57-F59-F61-F63-F65-F67</f>
        <v>0</v>
      </c>
      <c r="G76" s="1919">
        <f>SUM(G57:G73)-G57-G59-G61-G63-G65-G67</f>
        <v>0</v>
      </c>
      <c r="H76" s="1919"/>
      <c r="I76" s="1919"/>
      <c r="J76" s="1919">
        <f>SUM(J57:J73)-J57-J59-J61-J63-J65-J67</f>
        <v>0</v>
      </c>
      <c r="K76" s="1883"/>
      <c r="L76" s="1883"/>
      <c r="M76" s="1883"/>
      <c r="N76" s="1883"/>
      <c r="O76" s="1883"/>
      <c r="P76" s="1883"/>
      <c r="Q76" s="1883"/>
      <c r="R76" s="1883"/>
      <c r="S76" s="1883"/>
      <c r="T76" s="1883"/>
      <c r="AD76" s="1901"/>
      <c r="AE76" s="1901"/>
      <c r="AF76" s="1901"/>
      <c r="AG76" s="1902"/>
      <c r="AH76" s="1902"/>
      <c r="AI76" s="1901"/>
      <c r="AJ76" s="1901"/>
      <c r="AK76" s="1901"/>
      <c r="AL76" s="1901"/>
      <c r="AM76" s="1901"/>
      <c r="AN76" s="1901"/>
      <c r="AO76" s="1901"/>
    </row>
    <row r="77" spans="1:228" s="1879" customFormat="1">
      <c r="A77" s="1878"/>
      <c r="J77" s="1877"/>
      <c r="K77" s="1883"/>
      <c r="L77" s="1883"/>
      <c r="M77" s="1883"/>
      <c r="N77" s="1883"/>
      <c r="O77" s="1883"/>
      <c r="P77" s="1883"/>
      <c r="Q77" s="1883"/>
      <c r="R77" s="1883"/>
      <c r="S77" s="1883"/>
      <c r="T77" s="1883"/>
      <c r="AD77" s="1901"/>
      <c r="AE77" s="1901"/>
      <c r="AF77" s="1901"/>
      <c r="AG77" s="1902"/>
      <c r="AH77" s="1902"/>
      <c r="AI77" s="1901"/>
      <c r="AJ77" s="1901"/>
      <c r="AK77" s="1901"/>
      <c r="AL77" s="1901"/>
      <c r="AM77" s="1901"/>
      <c r="AN77" s="1901"/>
      <c r="AO77" s="1901"/>
    </row>
    <row r="78" spans="1:228">
      <c r="A78" s="1394"/>
      <c r="B78" s="49"/>
      <c r="C78" s="46"/>
      <c r="D78" s="46"/>
      <c r="E78" s="46"/>
      <c r="F78" s="49"/>
      <c r="G78" s="49"/>
      <c r="H78" s="47"/>
      <c r="I78" s="49"/>
      <c r="J78" s="49"/>
      <c r="K78" s="47"/>
      <c r="L78" s="49"/>
      <c r="M78" s="46"/>
      <c r="N78" s="49"/>
      <c r="O78" s="49"/>
      <c r="P78" s="49"/>
      <c r="Q78" s="49"/>
      <c r="R78" s="49"/>
      <c r="S78" s="49"/>
      <c r="T78" s="49"/>
    </row>
    <row r="79" spans="1:228" s="1393" customFormat="1">
      <c r="A79" s="26"/>
      <c r="B79" s="160" t="s">
        <v>1251</v>
      </c>
      <c r="C79" s="161"/>
      <c r="D79" s="161"/>
      <c r="E79" s="161"/>
      <c r="F79" s="160"/>
      <c r="G79" s="160"/>
      <c r="H79" s="302"/>
      <c r="I79" s="160"/>
      <c r="J79" s="160"/>
      <c r="K79" s="302"/>
      <c r="L79" s="160"/>
      <c r="M79" s="161"/>
      <c r="N79" s="160"/>
      <c r="O79" s="160"/>
      <c r="P79" s="160"/>
      <c r="Q79" s="160"/>
      <c r="R79" s="160"/>
      <c r="S79" s="160"/>
      <c r="T79" s="160"/>
      <c r="U79" s="15"/>
      <c r="V79" s="15"/>
      <c r="W79" s="15"/>
      <c r="X79" s="15"/>
      <c r="Y79" s="15"/>
      <c r="Z79" s="15"/>
      <c r="AA79" s="15"/>
      <c r="AB79" s="15"/>
      <c r="AC79" s="15"/>
      <c r="AD79" s="1903"/>
      <c r="AE79" s="1903"/>
      <c r="AF79" s="1903"/>
      <c r="AG79" s="1871"/>
      <c r="AH79" s="1871"/>
      <c r="AI79" s="1903"/>
      <c r="AJ79" s="1903"/>
      <c r="AK79" s="1903"/>
      <c r="AL79" s="1903"/>
      <c r="AM79" s="1903"/>
      <c r="AN79" s="1903"/>
      <c r="AO79" s="1903"/>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row>
    <row r="80" spans="1:228">
      <c r="A80" s="1394"/>
      <c r="B80" s="49"/>
      <c r="C80" s="46"/>
      <c r="D80" s="46"/>
      <c r="E80" s="46"/>
      <c r="F80" s="49"/>
      <c r="G80" s="49"/>
      <c r="H80" s="47"/>
      <c r="I80" s="49"/>
      <c r="J80" s="49"/>
      <c r="K80" s="47"/>
      <c r="L80" s="49"/>
      <c r="M80" s="46"/>
      <c r="N80" s="49"/>
      <c r="O80" s="49"/>
      <c r="P80" s="49"/>
      <c r="Q80" s="49"/>
      <c r="R80" s="49"/>
      <c r="S80" s="49"/>
      <c r="T80" s="49"/>
    </row>
    <row r="81" spans="1:40" ht="13.5" thickBot="1">
      <c r="A81" s="1394"/>
      <c r="B81" s="107"/>
      <c r="C81" s="46"/>
      <c r="D81" s="46"/>
      <c r="E81" s="46"/>
      <c r="F81" s="1420" t="s">
        <v>1031</v>
      </c>
      <c r="G81" s="1420"/>
      <c r="H81" s="1420"/>
      <c r="I81" s="1420"/>
      <c r="J81" s="1420"/>
      <c r="K81" s="1420"/>
      <c r="L81" s="49"/>
      <c r="M81" s="1396" t="s">
        <v>336</v>
      </c>
      <c r="N81" s="1421"/>
      <c r="O81" s="1421"/>
      <c r="P81" s="49"/>
      <c r="Q81" s="1365" t="s">
        <v>2</v>
      </c>
      <c r="R81" s="1365"/>
      <c r="S81" s="1365"/>
      <c r="T81" s="1365"/>
    </row>
    <row r="82" spans="1:40">
      <c r="A82" s="1394"/>
      <c r="B82" s="85"/>
      <c r="C82" s="84"/>
      <c r="D82" s="84"/>
      <c r="E82" s="84"/>
      <c r="F82" s="1399" t="s">
        <v>340</v>
      </c>
      <c r="G82" s="1422" t="s">
        <v>673</v>
      </c>
      <c r="H82" s="1423"/>
      <c r="I82" s="49"/>
      <c r="J82" s="1424" t="s">
        <v>672</v>
      </c>
      <c r="K82" s="1425"/>
      <c r="L82" s="49"/>
      <c r="M82" s="1399" t="s">
        <v>340</v>
      </c>
      <c r="N82" s="1426" t="s">
        <v>341</v>
      </c>
      <c r="O82" s="1426"/>
      <c r="P82" s="49"/>
      <c r="Q82" s="1366" t="s">
        <v>342</v>
      </c>
      <c r="R82" s="1366"/>
      <c r="S82" s="49"/>
      <c r="T82" s="84" t="s">
        <v>343</v>
      </c>
      <c r="AG82" s="1872" t="s">
        <v>844</v>
      </c>
    </row>
    <row r="83" spans="1:40" ht="13.5" thickBot="1">
      <c r="A83" s="1394"/>
      <c r="B83" s="85" t="s">
        <v>1017</v>
      </c>
      <c r="C83" s="35" t="s">
        <v>1028</v>
      </c>
      <c r="D83" s="84"/>
      <c r="E83" s="84" t="s">
        <v>346</v>
      </c>
      <c r="F83" s="1399" t="s">
        <v>347</v>
      </c>
      <c r="G83" s="1414" t="s">
        <v>341</v>
      </c>
      <c r="H83" s="1415" t="s">
        <v>348</v>
      </c>
      <c r="I83" s="49"/>
      <c r="J83" s="1368" t="s">
        <v>341</v>
      </c>
      <c r="K83" s="1427" t="s">
        <v>348</v>
      </c>
      <c r="L83" s="49"/>
      <c r="M83" s="1399"/>
      <c r="N83" s="1367" t="s">
        <v>674</v>
      </c>
      <c r="O83" s="1368" t="s">
        <v>675</v>
      </c>
      <c r="P83" s="1369"/>
      <c r="Q83" s="1367" t="s">
        <v>674</v>
      </c>
      <c r="R83" s="1368" t="s">
        <v>675</v>
      </c>
      <c r="S83" s="1369"/>
      <c r="T83" s="1370"/>
      <c r="AG83" s="1913" t="s">
        <v>674</v>
      </c>
      <c r="AH83" s="1913" t="s">
        <v>675</v>
      </c>
    </row>
    <row r="84" spans="1:40">
      <c r="A84" s="1394"/>
      <c r="B84" s="193" t="s">
        <v>349</v>
      </c>
      <c r="C84" s="1428" t="s">
        <v>1085</v>
      </c>
      <c r="D84" s="1429"/>
      <c r="E84" s="1430">
        <f>HLOOKUP(C84,' IPCC'!$B$553:$E$565,1+MATCH(region,' IPCC'!$A$554:$A$565,),)</f>
        <v>0</v>
      </c>
      <c r="F84" s="1944">
        <f>'4.Grassland'!J45</f>
        <v>0</v>
      </c>
      <c r="G84" s="1945">
        <f>'4.Grassland'!K45</f>
        <v>0</v>
      </c>
      <c r="H84" s="37" t="str">
        <f>H12</f>
        <v>Linear</v>
      </c>
      <c r="I84" s="49"/>
      <c r="J84" s="1950">
        <f>'4.Grassland'!L45</f>
        <v>0</v>
      </c>
      <c r="K84" s="37" t="str">
        <f>K12</f>
        <v>Linear</v>
      </c>
      <c r="L84" s="49"/>
      <c r="M84" s="1431">
        <f>-$M$12*$E84*$F84</f>
        <v>0</v>
      </c>
      <c r="N84" s="1431">
        <f>-$N$12*$E84*$G84</f>
        <v>0</v>
      </c>
      <c r="O84" s="1431">
        <f>-$O$12*$E84*$J84</f>
        <v>0</v>
      </c>
      <c r="P84" s="1372"/>
      <c r="Q84" s="1371">
        <f>MIN(M84,N84)*time_tot+ABS(N84-M84)*IF(N84&gt;M84,time2+time*(VLOOKUP(H84,List!$E$35:$F$37,2,)),time*(1-(VLOOKUP(H84,List!$E$35:$F$37,2,))))</f>
        <v>0</v>
      </c>
      <c r="R84" s="1371">
        <f>MIN(M84,O84)*time_tot+ABS(O84-M84)*IF(O84&gt;M84,time2+time*(VLOOKUP(K84,List!$E$35:$F$37,2,)),time*(1-(VLOOKUP(K84,List!$E$35:$F$37,2,))))</f>
        <v>0</v>
      </c>
      <c r="S84" s="1372"/>
      <c r="T84" s="1373">
        <f t="shared" ref="T84:T92" si="25">R84-Q84</f>
        <v>0</v>
      </c>
      <c r="AG84" s="1914">
        <f>MIN(M84,N84)*time+ABS(N84-M84)*IF(N84&gt;M84,time*(VLOOKUP(H84,List!$E$35:$F$37,2,)),time*(1-(VLOOKUP(H84,List!$E$35:$F$37,2,))))</f>
        <v>0</v>
      </c>
      <c r="AH84" s="1914">
        <f>MIN(M84,O84)*time+ABS(O84-M84)*IF(O84&gt;M84,time*(VLOOKUP(K84,List!$E$35:$F$37,2,)),time*(1-(VLOOKUP(K84,List!$E$35:$F$37,2,))))</f>
        <v>0</v>
      </c>
    </row>
    <row r="85" spans="1:40">
      <c r="A85" s="1394"/>
      <c r="B85" s="254"/>
      <c r="C85" s="1432" t="s">
        <v>1026</v>
      </c>
      <c r="D85" s="1433"/>
      <c r="E85" s="1430">
        <f>HLOOKUP(C85,' IPCC'!$B$553:$E$565,1+MATCH(region,' IPCC'!$A$554:$A$565,),)</f>
        <v>0</v>
      </c>
      <c r="F85" s="1946">
        <f>'4.Grassland'!N45</f>
        <v>0</v>
      </c>
      <c r="G85" s="1947">
        <f>'4.Grassland'!O45</f>
        <v>0</v>
      </c>
      <c r="H85" s="37" t="str">
        <f>H84</f>
        <v>Linear</v>
      </c>
      <c r="I85" s="49"/>
      <c r="J85" s="1951">
        <f>'4.Grassland'!P45</f>
        <v>0</v>
      </c>
      <c r="K85" s="37" t="str">
        <f>K84</f>
        <v>Linear</v>
      </c>
      <c r="L85" s="49"/>
      <c r="M85" s="1371">
        <f>-$M$12*$E85*$F85</f>
        <v>0</v>
      </c>
      <c r="N85" s="1371">
        <f>-$N$12*$E85*$G85</f>
        <v>0</v>
      </c>
      <c r="O85" s="1371">
        <f>-$O$12*$E85*$J85</f>
        <v>0</v>
      </c>
      <c r="P85" s="1374"/>
      <c r="Q85" s="1371">
        <f>MIN(M85,N85)*time_tot+ABS(N85-M85)*IF(N85&gt;M85,time2+time*(VLOOKUP(H85,List!$E$35:$F$37,2,)),time*(1-(VLOOKUP(H85,List!$E$35:$F$37,2,))))</f>
        <v>0</v>
      </c>
      <c r="R85" s="1371">
        <f>MIN(M85,O85)*time_tot+ABS(O85-M85)*IF(O85&gt;M85,time2+time*(VLOOKUP(K85,List!$E$35:$F$37,2,)),time*(1-(VLOOKUP(K85,List!$E$35:$F$37,2,))))</f>
        <v>0</v>
      </c>
      <c r="S85" s="1374"/>
      <c r="T85" s="1375">
        <f>R85-Q85</f>
        <v>0</v>
      </c>
      <c r="AG85" s="1914">
        <f>MIN(M85,N85)*time+ABS(N85-M85)*IF(N85&gt;M85,time*(VLOOKUP(H85,List!$E$35:$F$37,2,)),time*(1-(VLOOKUP(H85,List!$E$35:$F$37,2,))))</f>
        <v>0</v>
      </c>
      <c r="AH85" s="1914">
        <f>MIN(M85,O85)*time+ABS(O85-M85)*IF(O85&gt;M85,time*(VLOOKUP(K85,List!$E$35:$F$37,2,)),time*(1-(VLOOKUP(K85,List!$E$35:$F$37,2,))))</f>
        <v>0</v>
      </c>
    </row>
    <row r="86" spans="1:40" ht="13.5" thickBot="1">
      <c r="A86" s="1394"/>
      <c r="B86" s="254"/>
      <c r="C86" s="1434" t="s">
        <v>1027</v>
      </c>
      <c r="D86" s="1433"/>
      <c r="E86" s="1430">
        <f>HLOOKUP(C86,' IPCC'!$B$553:$E$565,1+MATCH(region,' IPCC'!$A$554:$A$565,),)</f>
        <v>0</v>
      </c>
      <c r="F86" s="1948">
        <f>'4.Grassland'!R45</f>
        <v>0</v>
      </c>
      <c r="G86" s="1949">
        <f>'4.Grassland'!S45</f>
        <v>0</v>
      </c>
      <c r="H86" s="37" t="str">
        <f>H84</f>
        <v>Linear</v>
      </c>
      <c r="I86" s="49"/>
      <c r="J86" s="1952">
        <f>'4.Grassland'!T45</f>
        <v>0</v>
      </c>
      <c r="K86" s="37" t="str">
        <f>K84</f>
        <v>Linear</v>
      </c>
      <c r="L86" s="49"/>
      <c r="M86" s="1371">
        <f>-$M$12*$E86*$F86</f>
        <v>0</v>
      </c>
      <c r="N86" s="1371">
        <f>-$N$12*$E86*$G86</f>
        <v>0</v>
      </c>
      <c r="O86" s="1371">
        <f>-$O$12*$E86*$J86</f>
        <v>0</v>
      </c>
      <c r="P86" s="1374"/>
      <c r="Q86" s="1371">
        <f>MIN(M86,N86)*time_tot+ABS(N86-M86)*IF(N86&gt;M86,time2+time*(VLOOKUP(H86,List!$E$35:$F$37,2,)),time*(1-(VLOOKUP(H86,List!$E$35:$F$37,2,))))</f>
        <v>0</v>
      </c>
      <c r="R86" s="1371">
        <f>MIN(M86,O86)*time_tot+ABS(O86-M86)*IF(O86&gt;M86,time2+time*(VLOOKUP(K86,List!$E$35:$F$37,2,)),time*(1-(VLOOKUP(K86,List!$E$35:$F$37,2,))))</f>
        <v>0</v>
      </c>
      <c r="S86" s="1374"/>
      <c r="T86" s="1375">
        <f t="shared" si="25"/>
        <v>0</v>
      </c>
      <c r="AG86" s="1914">
        <f>MIN(M86,N86)*time+ABS(N86-M86)*IF(N86&gt;M86,time*(VLOOKUP(H86,List!$E$35:$F$37,2,)),time*(1-(VLOOKUP(H86,List!$E$35:$F$37,2,))))</f>
        <v>0</v>
      </c>
      <c r="AH86" s="1914">
        <f>MIN(M86,O86)*time+ABS(O86-M86)*IF(O86&gt;M86,time*(VLOOKUP(K86,List!$E$35:$F$37,2,)),time*(1-(VLOOKUP(K86,List!$E$35:$F$37,2,))))</f>
        <v>0</v>
      </c>
    </row>
    <row r="87" spans="1:40" ht="13.5" thickBot="1">
      <c r="A87" s="1394"/>
      <c r="B87" s="116"/>
      <c r="C87" s="1435" t="s">
        <v>1084</v>
      </c>
      <c r="D87" s="1436"/>
      <c r="E87" s="1430">
        <f>HLOOKUP(C87,' IPCC'!$B$553:$E$565,1+MATCH(region,' IPCC'!$A$554:$A$565,),)</f>
        <v>0</v>
      </c>
      <c r="F87" s="398">
        <f>1-SUM(F84:F86)</f>
        <v>1</v>
      </c>
      <c r="G87" s="398">
        <f>1-SUM(G84:G86)</f>
        <v>1</v>
      </c>
      <c r="H87" s="37" t="str">
        <f>H84</f>
        <v>Linear</v>
      </c>
      <c r="I87" s="49"/>
      <c r="J87" s="398">
        <f>1-SUM(J84:J86)</f>
        <v>1</v>
      </c>
      <c r="K87" s="37" t="str">
        <f>K84</f>
        <v>Linear</v>
      </c>
      <c r="L87" s="49"/>
      <c r="M87" s="1371">
        <f>-$M$12*$E87*$F87</f>
        <v>0</v>
      </c>
      <c r="N87" s="1371">
        <f>-$N$12*$E87*$G87</f>
        <v>0</v>
      </c>
      <c r="O87" s="1371">
        <f>-$O$12*$E87*$J87</f>
        <v>0</v>
      </c>
      <c r="P87" s="1374"/>
      <c r="Q87" s="1371">
        <f>MIN(M87,N87)*time_tot+ABS(N87-M87)*IF(N87&gt;M87,time2+time*(VLOOKUP(H87,List!$E$35:$F$37,2,)),time*(1-(VLOOKUP(H87,List!$E$35:$F$37,2,))))</f>
        <v>0</v>
      </c>
      <c r="R87" s="1371">
        <f>MIN(M87,O87)*time_tot+ABS(O87-M87)*IF(O87&gt;M87,time2+time*(VLOOKUP(K87,List!$E$35:$F$37,2,)),time*(1-(VLOOKUP(K87,List!$E$35:$F$37,2,))))</f>
        <v>0</v>
      </c>
      <c r="S87" s="1374"/>
      <c r="T87" s="1375">
        <f t="shared" si="25"/>
        <v>0</v>
      </c>
      <c r="AG87" s="1914">
        <f>MIN(M87,N87)*time+ABS(N87-M87)*IF(N87&gt;M87,time*(VLOOKUP(H87,List!$E$35:$F$37,2,)),time*(1-(VLOOKUP(H87,List!$E$35:$F$37,2,))))</f>
        <v>0</v>
      </c>
      <c r="AH87" s="1914">
        <f>MIN(M87,O87)*time+ABS(O87-M87)*IF(O87&gt;M87,time*(VLOOKUP(K87,List!$E$35:$F$37,2,)),time*(1-(VLOOKUP(K87,List!$E$35:$F$37,2,))))</f>
        <v>0</v>
      </c>
    </row>
    <row r="88" spans="1:40">
      <c r="A88" s="1394"/>
      <c r="B88" s="193" t="s">
        <v>353</v>
      </c>
      <c r="C88" s="1428" t="s">
        <v>1085</v>
      </c>
      <c r="D88" s="1429"/>
      <c r="E88" s="1430">
        <f>HLOOKUP(C88,' IPCC'!$F$553:$I$565,1+MATCH(region,' IPCC'!A$554:A$565,),)</f>
        <v>0</v>
      </c>
      <c r="F88" s="1944">
        <f>'4.Grassland'!J46</f>
        <v>0</v>
      </c>
      <c r="G88" s="1945">
        <f>'4.Grassland'!K46</f>
        <v>0</v>
      </c>
      <c r="H88" s="37" t="str">
        <f>H16</f>
        <v>Linear</v>
      </c>
      <c r="I88" s="49"/>
      <c r="J88" s="1950">
        <f>'4.Grassland'!L46</f>
        <v>0</v>
      </c>
      <c r="K88" s="37" t="str">
        <f>K16</f>
        <v>Linear</v>
      </c>
      <c r="L88" s="49"/>
      <c r="M88" s="1371">
        <f>-$M$13*$E88*$F88</f>
        <v>0</v>
      </c>
      <c r="N88" s="1371">
        <f>-$N$13*$E88*$G88</f>
        <v>0</v>
      </c>
      <c r="O88" s="1371">
        <f>-$O$13*$E88*$J88</f>
        <v>0</v>
      </c>
      <c r="P88" s="1374"/>
      <c r="Q88" s="1371">
        <f>MIN(M88,N88)*time_tot+ABS(N88-M88)*IF(N88&gt;M88,time2+time*(VLOOKUP(H88,List!$E$35:$F$37,2,)),time*(1-(VLOOKUP(H88,List!$E$35:$F$37,2,))))</f>
        <v>0</v>
      </c>
      <c r="R88" s="1371">
        <f>MIN(M88,O88)*time_tot+ABS(O88-M88)*IF(O88&gt;M88,time2+time*(VLOOKUP(K88,List!$E$35:$F$37,2,)),time*(1-(VLOOKUP(K88,List!$E$35:$F$37,2,))))</f>
        <v>0</v>
      </c>
      <c r="S88" s="1374"/>
      <c r="T88" s="1375">
        <f t="shared" si="25"/>
        <v>0</v>
      </c>
      <c r="AG88" s="1914">
        <f>MIN(M88,N88)*time+ABS(N88-M88)*IF(N88&gt;M88,time*(VLOOKUP(H88,List!$E$35:$F$37,2,)),time*(1-(VLOOKUP(H88,List!$E$35:$F$37,2,))))</f>
        <v>0</v>
      </c>
      <c r="AH88" s="1914">
        <f>MIN(M88,O88)*time+ABS(O88-M88)*IF(O88&gt;M88,time*(VLOOKUP(K88,List!$E$35:$F$37,2,)),time*(1-(VLOOKUP(K88,List!$E$35:$F$37,2,))))</f>
        <v>0</v>
      </c>
    </row>
    <row r="89" spans="1:40">
      <c r="A89" s="1394"/>
      <c r="B89" s="254"/>
      <c r="C89" s="1432" t="s">
        <v>1026</v>
      </c>
      <c r="D89" s="1437"/>
      <c r="E89" s="1430">
        <f>HLOOKUP(C89,' IPCC'!$F$553:$I$565,1+MATCH(region,' IPCC'!A$554:A$565,),)</f>
        <v>0</v>
      </c>
      <c r="F89" s="1946">
        <f>'4.Grassland'!N46</f>
        <v>0</v>
      </c>
      <c r="G89" s="1947">
        <f>'4.Grassland'!O46</f>
        <v>0</v>
      </c>
      <c r="H89" s="37" t="str">
        <f>H88</f>
        <v>Linear</v>
      </c>
      <c r="I89" s="49"/>
      <c r="J89" s="1951">
        <f>'4.Grassland'!P46</f>
        <v>0</v>
      </c>
      <c r="K89" s="37" t="str">
        <f>K88</f>
        <v>Linear</v>
      </c>
      <c r="L89" s="49"/>
      <c r="M89" s="1371">
        <f>-$M$13*$E89*$F89</f>
        <v>0</v>
      </c>
      <c r="N89" s="1371">
        <f>-$N$13*$E89*$G89</f>
        <v>0</v>
      </c>
      <c r="O89" s="1371">
        <f>-$O$13*$E89*$J89</f>
        <v>0</v>
      </c>
      <c r="P89" s="1374"/>
      <c r="Q89" s="1371">
        <f>MIN(M89,N89)*time_tot+ABS(N89-M89)*IF(N89&gt;M89,time2+time*(VLOOKUP(H89,List!$E$35:$F$37,2,)),time*(1-(VLOOKUP(H89,List!$E$35:$F$37,2,))))</f>
        <v>0</v>
      </c>
      <c r="R89" s="1371">
        <f>MIN(M89,O89)*time_tot+ABS(O89-M89)*IF(O89&gt;M89,time2+time*(VLOOKUP(K89,List!$E$35:$F$37,2,)),time*(1-(VLOOKUP(K89,List!$E$35:$F$37,2,))))</f>
        <v>0</v>
      </c>
      <c r="S89" s="1374"/>
      <c r="T89" s="1375">
        <f t="shared" si="25"/>
        <v>0</v>
      </c>
      <c r="AG89" s="1914">
        <f>MIN(M89,N89)*time+ABS(N89-M89)*IF(N89&gt;M89,time*(VLOOKUP(H89,List!$E$35:$F$37,2,)),time*(1-(VLOOKUP(H89,List!$E$35:$F$37,2,))))</f>
        <v>0</v>
      </c>
      <c r="AH89" s="1914">
        <f>MIN(M89,O89)*time+ABS(O89-M89)*IF(O89&gt;M89,time*(VLOOKUP(K89,List!$E$35:$F$37,2,)),time*(1-(VLOOKUP(K89,List!$E$35:$F$37,2,))))</f>
        <v>0</v>
      </c>
    </row>
    <row r="90" spans="1:40" ht="13.5" thickBot="1">
      <c r="A90" s="1394"/>
      <c r="B90" s="254"/>
      <c r="C90" s="1434" t="s">
        <v>1027</v>
      </c>
      <c r="D90" s="1107"/>
      <c r="E90" s="1430">
        <f>HLOOKUP(C90,' IPCC'!$F$553:$I$565,1+MATCH(region,' IPCC'!A$554:A$565,),)</f>
        <v>0</v>
      </c>
      <c r="F90" s="1948">
        <f>'4.Grassland'!R46</f>
        <v>0</v>
      </c>
      <c r="G90" s="1949">
        <f>'4.Grassland'!S46</f>
        <v>0</v>
      </c>
      <c r="H90" s="37" t="str">
        <f>H88</f>
        <v>Linear</v>
      </c>
      <c r="I90" s="49"/>
      <c r="J90" s="1952">
        <f>'4.Grassland'!T46</f>
        <v>0</v>
      </c>
      <c r="K90" s="37" t="str">
        <f>K88</f>
        <v>Linear</v>
      </c>
      <c r="L90" s="49"/>
      <c r="M90" s="1371">
        <f>-$M$13*$E90*$F90</f>
        <v>0</v>
      </c>
      <c r="N90" s="1371">
        <f>-$N$13*$E90*$G90</f>
        <v>0</v>
      </c>
      <c r="O90" s="1371">
        <f>-$O$13*$E90*$J90</f>
        <v>0</v>
      </c>
      <c r="P90" s="1374"/>
      <c r="Q90" s="1371">
        <f>MIN(M90,N90)*time_tot+ABS(N90-M90)*IF(N90&gt;M90,time2+time*(VLOOKUP(H90,List!$E$35:$F$37,2,)),time*(1-(VLOOKUP(H90,List!$E$35:$F$37,2,))))</f>
        <v>0</v>
      </c>
      <c r="R90" s="1371">
        <f>MIN(M90,O90)*time_tot+ABS(O90-M90)*IF(O90&gt;M90,time2+time*(VLOOKUP(K90,List!$E$35:$F$37,2,)),time*(1-(VLOOKUP(K90,List!$E$35:$F$37,2,))))</f>
        <v>0</v>
      </c>
      <c r="S90" s="1374"/>
      <c r="T90" s="1375">
        <f t="shared" si="25"/>
        <v>0</v>
      </c>
      <c r="AG90" s="1914">
        <f>MIN(M90,N90)*time+ABS(N90-M90)*IF(N90&gt;M90,time*(VLOOKUP(H90,List!$E$35:$F$37,2,)),time*(1-(VLOOKUP(H90,List!$E$35:$F$37,2,))))</f>
        <v>0</v>
      </c>
      <c r="AH90" s="1914">
        <f>MIN(M90,O90)*time+ABS(O90-M90)*IF(O90&gt;M90,time*(VLOOKUP(K90,List!$E$35:$F$37,2,)),time*(1-(VLOOKUP(K90,List!$E$35:$F$37,2,))))</f>
        <v>0</v>
      </c>
    </row>
    <row r="91" spans="1:40" ht="13.5" thickBot="1">
      <c r="A91" s="1394"/>
      <c r="B91" s="116"/>
      <c r="C91" s="1435" t="s">
        <v>1084</v>
      </c>
      <c r="D91" s="1438"/>
      <c r="E91" s="1430">
        <f>HLOOKUP(C91,' IPCC'!$F$553:$I$565,1+MATCH(region,' IPCC'!A$554:A$565,),)</f>
        <v>0</v>
      </c>
      <c r="F91" s="398">
        <f>1-SUM(F88:F90)</f>
        <v>1</v>
      </c>
      <c r="G91" s="398">
        <f>1-SUM(G88:G90)</f>
        <v>1</v>
      </c>
      <c r="H91" s="37" t="str">
        <f>H88</f>
        <v>Linear</v>
      </c>
      <c r="I91" s="49"/>
      <c r="J91" s="398">
        <f>1-SUM(J88:J90)</f>
        <v>1</v>
      </c>
      <c r="K91" s="37" t="str">
        <f>K88</f>
        <v>Linear</v>
      </c>
      <c r="L91" s="49"/>
      <c r="M91" s="1371">
        <f>-$M$13*$E91*$F91</f>
        <v>0</v>
      </c>
      <c r="N91" s="1371">
        <f>-$N$13*$E91*$G91</f>
        <v>0</v>
      </c>
      <c r="O91" s="1371">
        <f>-$O$13*$E91*$J91</f>
        <v>0</v>
      </c>
      <c r="P91" s="1374"/>
      <c r="Q91" s="1371">
        <f>MIN(M91,N91)*time_tot+ABS(N91-M91)*IF(N91&gt;M91,time2+time*(VLOOKUP(H91,List!$E$35:$F$37,2,)),time*(1-(VLOOKUP(H91,List!$E$35:$F$37,2,))))</f>
        <v>0</v>
      </c>
      <c r="R91" s="1371">
        <f>MIN(M91,O91)*time_tot+ABS(O91-M91)*IF(O91&gt;M91,time2+time*(VLOOKUP(K91,List!$E$35:$F$37,2,)),time*(1-(VLOOKUP(K91,List!$E$35:$F$37,2,))))</f>
        <v>0</v>
      </c>
      <c r="S91" s="1374"/>
      <c r="T91" s="1375">
        <f t="shared" si="25"/>
        <v>0</v>
      </c>
      <c r="AG91" s="1914">
        <f>MIN(M91,N91)*time+ABS(N91-M91)*IF(N91&gt;M91,time*(VLOOKUP(H91,List!$E$35:$F$37,2,)),time*(1-(VLOOKUP(H91,List!$E$35:$F$37,2,))))</f>
        <v>0</v>
      </c>
      <c r="AH91" s="1914">
        <f>MIN(M91,O91)*time+ABS(O91-M91)*IF(O91&gt;M91,time*(VLOOKUP(K91,List!$E$35:$F$37,2,)),time*(1-(VLOOKUP(K91,List!$E$35:$F$37,2,))))</f>
        <v>0</v>
      </c>
    </row>
    <row r="92" spans="1:40">
      <c r="A92" s="1394"/>
      <c r="B92" s="193" t="s">
        <v>355</v>
      </c>
      <c r="C92" s="1428" t="s">
        <v>1085</v>
      </c>
      <c r="D92" s="1429"/>
      <c r="E92" s="1430">
        <f>HLOOKUP(C92,' IPCC'!$J$553:$M$565,1+MATCH(region,' IPCC'!$A$554:$A$565,),)</f>
        <v>0</v>
      </c>
      <c r="F92" s="1944">
        <f>'4.Grassland'!J47</f>
        <v>0</v>
      </c>
      <c r="G92" s="1945">
        <f>'4.Grassland'!K47</f>
        <v>0</v>
      </c>
      <c r="H92" s="37" t="str">
        <f>H21</f>
        <v>Linear</v>
      </c>
      <c r="I92" s="49"/>
      <c r="J92" s="1950">
        <f>'4.Grassland'!L47</f>
        <v>0</v>
      </c>
      <c r="K92" s="37" t="str">
        <f>K21</f>
        <v>Linear</v>
      </c>
      <c r="L92" s="49"/>
      <c r="M92" s="1371">
        <f>-$M$14*$E92*$F92</f>
        <v>0</v>
      </c>
      <c r="N92" s="1371">
        <f>-$N$14*$E92*$G92</f>
        <v>0</v>
      </c>
      <c r="O92" s="1371">
        <f>-$O$14*$E92*$J92</f>
        <v>0</v>
      </c>
      <c r="P92" s="1374"/>
      <c r="Q92" s="1371">
        <f>MIN(M92,N92)*time_tot+ABS(N92-M92)*IF(N92&gt;M92,time2+time*(VLOOKUP(H92,List!$E$35:$F$37,2,)),time*(1-(VLOOKUP(H92,List!$E$35:$F$37,2,))))</f>
        <v>0</v>
      </c>
      <c r="R92" s="1371">
        <f>MIN(M92,O92)*time_tot+ABS(O92-M92)*IF(O92&gt;M92,time2+time*(VLOOKUP(K92,List!$E$35:$F$37,2,)),time*(1-(VLOOKUP(K92,List!$E$35:$F$37,2,))))</f>
        <v>0</v>
      </c>
      <c r="S92" s="1374"/>
      <c r="T92" s="1375">
        <f t="shared" si="25"/>
        <v>0</v>
      </c>
      <c r="AG92" s="1914">
        <f>MIN(M92,N92)*time+ABS(N92-M92)*IF(N92&gt;M92,time*(VLOOKUP(H92,List!$E$35:$F$37,2,)),time*(1-(VLOOKUP(H92,List!$E$35:$F$37,2,))))</f>
        <v>0</v>
      </c>
      <c r="AH92" s="1914">
        <f>MIN(M92,O92)*time+ABS(O92-M92)*IF(O92&gt;M92,time*(VLOOKUP(K92,List!$E$35:$F$37,2,)),time*(1-(VLOOKUP(K92,List!$E$35:$F$37,2,))))</f>
        <v>0</v>
      </c>
    </row>
    <row r="93" spans="1:40">
      <c r="A93" s="1394"/>
      <c r="B93" s="254"/>
      <c r="C93" s="1432" t="s">
        <v>1026</v>
      </c>
      <c r="D93" s="1437"/>
      <c r="E93" s="1430">
        <f>HLOOKUP(C93,' IPCC'!$J$553:$M$565,1+MATCH(region,' IPCC'!$A$554:$A$565,),)</f>
        <v>0</v>
      </c>
      <c r="F93" s="1946">
        <f>'4.Grassland'!N47</f>
        <v>0</v>
      </c>
      <c r="G93" s="1947">
        <f>'4.Grassland'!O47</f>
        <v>0</v>
      </c>
      <c r="H93" s="37" t="str">
        <f>H92</f>
        <v>Linear</v>
      </c>
      <c r="I93" s="49"/>
      <c r="J93" s="1951">
        <f>'4.Grassland'!P47</f>
        <v>0</v>
      </c>
      <c r="K93" s="37" t="str">
        <f>K92</f>
        <v>Linear</v>
      </c>
      <c r="L93" s="49"/>
      <c r="M93" s="1371">
        <f>-$M$14*$E93*$F93</f>
        <v>0</v>
      </c>
      <c r="N93" s="1371">
        <f>-$N$14*$E93*$G93</f>
        <v>0</v>
      </c>
      <c r="O93" s="1371">
        <f>-$O$14*$E93*$J93</f>
        <v>0</v>
      </c>
      <c r="P93" s="1374"/>
      <c r="Q93" s="1371">
        <f>MIN(M93,N93)*time_tot+ABS(N93-M93)*IF(N93&gt;M93,time2+time*(VLOOKUP(H93,List!$E$35:$F$37,2,)),time*(1-(VLOOKUP(H93,List!$E$35:$F$37,2,))))</f>
        <v>0</v>
      </c>
      <c r="R93" s="1371">
        <f>MIN(M93,O93)*time_tot+ABS(O93-M93)*IF(O93&gt;M93,time2+time*(VLOOKUP(K93,List!$E$35:$F$37,2,)),time*(1-(VLOOKUP(K93,List!$E$35:$F$37,2,))))</f>
        <v>0</v>
      </c>
      <c r="S93" s="1374"/>
      <c r="T93" s="1375">
        <f t="shared" ref="T93:T99" si="26">R93-Q93</f>
        <v>0</v>
      </c>
      <c r="AG93" s="1914">
        <f>MIN(M93,N93)*time+ABS(N93-M93)*IF(N93&gt;M93,time*(VLOOKUP(H93,List!$E$35:$F$37,2,)),time*(1-(VLOOKUP(H93,List!$E$35:$F$37,2,))))</f>
        <v>0</v>
      </c>
      <c r="AH93" s="1914">
        <f>MIN(M93,O93)*time+ABS(O93-M93)*IF(O93&gt;M93,time*(VLOOKUP(K93,List!$E$35:$F$37,2,)),time*(1-(VLOOKUP(K93,List!$E$35:$F$37,2,))))</f>
        <v>0</v>
      </c>
    </row>
    <row r="94" spans="1:40" ht="13.5" thickBot="1">
      <c r="A94" s="1394"/>
      <c r="B94" s="254"/>
      <c r="C94" s="1434" t="s">
        <v>1027</v>
      </c>
      <c r="D94" s="1107"/>
      <c r="E94" s="1430">
        <f>HLOOKUP(C94,' IPCC'!$J$553:$M$565,1+MATCH(region,' IPCC'!$A$554:$A$565,),)</f>
        <v>0</v>
      </c>
      <c r="F94" s="1948">
        <f>'4.Grassland'!R47</f>
        <v>0</v>
      </c>
      <c r="G94" s="1949">
        <f>'4.Grassland'!S47</f>
        <v>0</v>
      </c>
      <c r="H94" s="37" t="str">
        <f>H92</f>
        <v>Linear</v>
      </c>
      <c r="I94" s="49"/>
      <c r="J94" s="1952">
        <f>'4.Grassland'!T47</f>
        <v>0</v>
      </c>
      <c r="K94" s="37" t="str">
        <f>K92</f>
        <v>Linear</v>
      </c>
      <c r="L94" s="49"/>
      <c r="M94" s="1371">
        <f>-$M$14*$E94*$F94</f>
        <v>0</v>
      </c>
      <c r="N94" s="1371">
        <f>-$N$14*$E94*$G94</f>
        <v>0</v>
      </c>
      <c r="O94" s="1371">
        <f>-$O$14*$E94*$J94</f>
        <v>0</v>
      </c>
      <c r="P94" s="1374"/>
      <c r="Q94" s="1371">
        <f>MIN(M94,N94)*time_tot+ABS(N94-M94)*IF(N94&gt;M94,time2+time*(VLOOKUP(H94,List!$E$35:$F$37,2,)),time*(1-(VLOOKUP(H94,List!$E$35:$F$37,2,))))</f>
        <v>0</v>
      </c>
      <c r="R94" s="1371">
        <f>MIN(M94,O94)*time_tot+ABS(O94-M94)*IF(O94&gt;M94,time2+time*(VLOOKUP(K94,List!$E$35:$F$37,2,)),time*(1-(VLOOKUP(K94,List!$E$35:$F$37,2,))))</f>
        <v>0</v>
      </c>
      <c r="S94" s="1374"/>
      <c r="T94" s="1375">
        <f t="shared" si="26"/>
        <v>0</v>
      </c>
      <c r="AG94" s="1914">
        <f>MIN(M94,N94)*time+ABS(N94-M94)*IF(N94&gt;M94,time*(VLOOKUP(H94,List!$E$35:$F$37,2,)),time*(1-(VLOOKUP(H94,List!$E$35:$F$37,2,))))</f>
        <v>0</v>
      </c>
      <c r="AH94" s="1914">
        <f>MIN(M94,O94)*time+ABS(O94-M94)*IF(O94&gt;M94,time*(VLOOKUP(K94,List!$E$35:$F$37,2,)),time*(1-(VLOOKUP(K94,List!$E$35:$F$37,2,))))</f>
        <v>0</v>
      </c>
    </row>
    <row r="95" spans="1:40" ht="13.5" thickBot="1">
      <c r="A95" s="1394"/>
      <c r="B95" s="116"/>
      <c r="C95" s="1435" t="s">
        <v>1084</v>
      </c>
      <c r="D95" s="1438"/>
      <c r="E95" s="1430">
        <f>HLOOKUP(C95,' IPCC'!$J$553:$M$565,1+MATCH(region,' IPCC'!$A$554:$A$565,),)</f>
        <v>0</v>
      </c>
      <c r="F95" s="398">
        <f>1-SUM(F92:F94)</f>
        <v>1</v>
      </c>
      <c r="G95" s="398">
        <f>1-SUM(G92:G94)</f>
        <v>1</v>
      </c>
      <c r="H95" s="37" t="str">
        <f>H92</f>
        <v>Linear</v>
      </c>
      <c r="I95" s="49"/>
      <c r="J95" s="398">
        <f>1-SUM(J92:J94)</f>
        <v>1</v>
      </c>
      <c r="K95" s="37" t="str">
        <f>K92</f>
        <v>Linear</v>
      </c>
      <c r="L95" s="49"/>
      <c r="M95" s="1371">
        <f>-$M$14*$E95*$F95</f>
        <v>0</v>
      </c>
      <c r="N95" s="1371">
        <f>-$N$14*$E95*$G95</f>
        <v>0</v>
      </c>
      <c r="O95" s="1371">
        <f>-$O$14*$E95*$J95</f>
        <v>0</v>
      </c>
      <c r="P95" s="1374"/>
      <c r="Q95" s="1371">
        <f>MIN(M95,N95)*time_tot+ABS(N95-M95)*IF(N95&gt;M95,time2+time*(VLOOKUP(H95,List!$E$35:$F$37,2,)),time*(1-(VLOOKUP(H95,List!$E$35:$F$37,2,))))</f>
        <v>0</v>
      </c>
      <c r="R95" s="1371">
        <f>MIN(M95,O95)*time_tot+ABS(O95-M95)*IF(O95&gt;M95,time2+time*(VLOOKUP(K95,List!$E$35:$F$37,2,)),time*(1-(VLOOKUP(K95,List!$E$35:$F$37,2,))))</f>
        <v>0</v>
      </c>
      <c r="S95" s="1374"/>
      <c r="T95" s="1375">
        <f t="shared" si="26"/>
        <v>0</v>
      </c>
      <c r="AG95" s="1914">
        <f>MIN(M95,N95)*time+ABS(N95-M95)*IF(N95&gt;M95,time*(VLOOKUP(H95,List!$E$35:$F$37,2,)),time*(1-(VLOOKUP(H95,List!$E$35:$F$37,2,))))</f>
        <v>0</v>
      </c>
      <c r="AH95" s="1914">
        <f>MIN(M95,O95)*time+ABS(O95-M95)*IF(O95&gt;M95,time*(VLOOKUP(K95,List!$E$35:$F$37,2,)),time*(1-(VLOOKUP(K95,List!$E$35:$F$37,2,))))</f>
        <v>0</v>
      </c>
    </row>
    <row r="96" spans="1:40">
      <c r="A96" s="1394"/>
      <c r="B96" s="193" t="s">
        <v>359</v>
      </c>
      <c r="C96" s="1428" t="s">
        <v>1085</v>
      </c>
      <c r="D96" s="1429"/>
      <c r="E96" s="1430">
        <f>HLOOKUP(C96,' IPCC'!$N$553:$Q$565,1+MATCH(region,' IPCC'!$A$554:$A$565,),)</f>
        <v>0</v>
      </c>
      <c r="F96" s="1944">
        <f>'4.Grassland'!J48</f>
        <v>0</v>
      </c>
      <c r="G96" s="1945">
        <f>'4.Grassland'!K48</f>
        <v>0</v>
      </c>
      <c r="H96" s="37" t="str">
        <f>H15</f>
        <v>Linear</v>
      </c>
      <c r="I96" s="49"/>
      <c r="J96" s="1950">
        <f>'4.Grassland'!L48</f>
        <v>0</v>
      </c>
      <c r="K96" s="37" t="str">
        <f>K15</f>
        <v>Linear</v>
      </c>
      <c r="L96" s="49"/>
      <c r="M96" s="1371">
        <f>-$M$15*$E96*$F96</f>
        <v>0</v>
      </c>
      <c r="N96" s="1371">
        <f>-$N$15*$E96*$G96</f>
        <v>0</v>
      </c>
      <c r="O96" s="1371">
        <f>-$O$15*$E96*$J96</f>
        <v>0</v>
      </c>
      <c r="P96" s="1374"/>
      <c r="Q96" s="1371">
        <f>MIN(M96,N96)*time_tot+ABS(N96-M96)*IF(N96&gt;M96,time2+time*(VLOOKUP(H96,List!$E$35:$F$37,2,)),time*(1-(VLOOKUP(H96,List!$E$35:$F$37,2,))))</f>
        <v>0</v>
      </c>
      <c r="R96" s="1371">
        <f>MIN(M96,O96)*time_tot+ABS(O96-M96)*IF(O96&gt;M96,time2+time*(VLOOKUP(K96,List!$E$35:$F$37,2,)),time*(1-(VLOOKUP(K96,List!$E$35:$F$37,2,))))</f>
        <v>0</v>
      </c>
      <c r="S96" s="1374"/>
      <c r="T96" s="1375">
        <f t="shared" si="26"/>
        <v>0</v>
      </c>
      <c r="AG96" s="1914">
        <f>MIN(M96,N96)*time+ABS(N96-M96)*IF(N96&gt;M96,time*(VLOOKUP(H96,List!$E$35:$F$37,2,)),time*(1-(VLOOKUP(H96,List!$E$35:$F$37,2,))))</f>
        <v>0</v>
      </c>
      <c r="AH96" s="1914">
        <f>MIN(M96,O96)*time+ABS(O96-M96)*IF(O96&gt;M96,time*(VLOOKUP(K96,List!$E$35:$F$37,2,)),time*(1-(VLOOKUP(K96,List!$E$35:$F$37,2,))))</f>
        <v>0</v>
      </c>
      <c r="AM96" s="1901" t="s">
        <v>674</v>
      </c>
      <c r="AN96" s="1901" t="s">
        <v>675</v>
      </c>
    </row>
    <row r="97" spans="1:40">
      <c r="A97" s="1394"/>
      <c r="B97" s="254"/>
      <c r="C97" s="1432" t="s">
        <v>1026</v>
      </c>
      <c r="D97" s="1437"/>
      <c r="E97" s="1430">
        <f>HLOOKUP(C97,' IPCC'!$N$553:$Q$565,1+MATCH(region,' IPCC'!$A$554:$A$565,),)</f>
        <v>0</v>
      </c>
      <c r="F97" s="1946">
        <f>'4.Grassland'!N48</f>
        <v>0</v>
      </c>
      <c r="G97" s="1947">
        <f>'4.Grassland'!O48</f>
        <v>0</v>
      </c>
      <c r="H97" s="37" t="str">
        <f>H96</f>
        <v>Linear</v>
      </c>
      <c r="I97" s="49"/>
      <c r="J97" s="1951">
        <f>'4.Grassland'!P48</f>
        <v>0</v>
      </c>
      <c r="K97" s="37" t="str">
        <f>K96</f>
        <v>Linear</v>
      </c>
      <c r="L97" s="49"/>
      <c r="M97" s="1371">
        <f>-$M$15*$E97*$F97</f>
        <v>0</v>
      </c>
      <c r="N97" s="1371">
        <f>-$N$15*$E97*$G97</f>
        <v>0</v>
      </c>
      <c r="O97" s="1371">
        <f>-$O$15*$E97*$J97</f>
        <v>0</v>
      </c>
      <c r="P97" s="1374"/>
      <c r="Q97" s="1371">
        <f>MIN(M97,N97)*time_tot+ABS(N97-M97)*IF(N97&gt;M97,time2+time*(VLOOKUP(H97,List!$E$35:$F$37,2,)),time*(1-(VLOOKUP(H97,List!$E$35:$F$37,2,))))</f>
        <v>0</v>
      </c>
      <c r="R97" s="1371">
        <f>MIN(M97,O97)*time_tot+ABS(O97-M97)*IF(O97&gt;M97,time2+time*(VLOOKUP(K97,List!$E$35:$F$37,2,)),time*(1-(VLOOKUP(K97,List!$E$35:$F$37,2,))))</f>
        <v>0</v>
      </c>
      <c r="S97" s="1374"/>
      <c r="T97" s="1375">
        <f t="shared" si="26"/>
        <v>0</v>
      </c>
      <c r="AG97" s="1914">
        <f>MIN(M97,N97)*time+ABS(N97-M97)*IF(N97&gt;M97,time*(VLOOKUP(H97,List!$E$35:$F$37,2,)),time*(1-(VLOOKUP(H97,List!$E$35:$F$37,2,))))</f>
        <v>0</v>
      </c>
      <c r="AH97" s="1914">
        <f>MIN(M97,O97)*time+ABS(O97-M97)*IF(O97&gt;M97,time*(VLOOKUP(K97,List!$E$35:$F$37,2,)),time*(1-(VLOOKUP(K97,List!$E$35:$F$37,2,))))</f>
        <v>0</v>
      </c>
      <c r="AL97" s="1901" t="s">
        <v>3964</v>
      </c>
      <c r="AM97" s="2801">
        <f>Q100+Q51+Q23</f>
        <v>0</v>
      </c>
      <c r="AN97" s="2801">
        <f>R100+R51+R23</f>
        <v>0</v>
      </c>
    </row>
    <row r="98" spans="1:40" ht="13.5" thickBot="1">
      <c r="A98" s="1394"/>
      <c r="B98" s="254"/>
      <c r="C98" s="1434" t="s">
        <v>1027</v>
      </c>
      <c r="D98" s="1107"/>
      <c r="E98" s="1430">
        <f>HLOOKUP(C98,' IPCC'!$N$553:$Q$565,1+MATCH(region,' IPCC'!$A$554:$A$565,),)</f>
        <v>0</v>
      </c>
      <c r="F98" s="1948">
        <f>'4.Grassland'!R48</f>
        <v>0</v>
      </c>
      <c r="G98" s="1949">
        <f>'4.Grassland'!S48</f>
        <v>0</v>
      </c>
      <c r="H98" s="37" t="str">
        <f>H96</f>
        <v>Linear</v>
      </c>
      <c r="I98" s="49"/>
      <c r="J98" s="1952">
        <f>'4.Grassland'!T48</f>
        <v>0</v>
      </c>
      <c r="K98" s="37" t="str">
        <f>K96</f>
        <v>Linear</v>
      </c>
      <c r="L98" s="49"/>
      <c r="M98" s="1371">
        <f>-$M$15*$E98*$F98</f>
        <v>0</v>
      </c>
      <c r="N98" s="1371">
        <f>-$N$15*$E98*$G98</f>
        <v>0</v>
      </c>
      <c r="O98" s="1371">
        <f>-$O$15*$E98*$J98</f>
        <v>0</v>
      </c>
      <c r="P98" s="1374"/>
      <c r="Q98" s="1371">
        <f>MIN(M98,N98)*time_tot+ABS(N98-M98)*IF(N98&gt;M98,time2+time*(VLOOKUP(H98,List!$E$35:$F$37,2,)),time*(1-(VLOOKUP(H98,List!$E$35:$F$37,2,))))</f>
        <v>0</v>
      </c>
      <c r="R98" s="1371">
        <f>MIN(M98,O98)*time_tot+ABS(O98-M98)*IF(O98&gt;M98,time2+time*(VLOOKUP(K98,List!$E$35:$F$37,2,)),time*(1-(VLOOKUP(K98,List!$E$35:$F$37,2,))))</f>
        <v>0</v>
      </c>
      <c r="S98" s="1374"/>
      <c r="T98" s="1375">
        <f t="shared" si="26"/>
        <v>0</v>
      </c>
      <c r="AG98" s="1914">
        <f>MIN(M98,N98)*time+ABS(N98-M98)*IF(N98&gt;M98,time*(VLOOKUP(H98,List!$E$35:$F$37,2,)),time*(1-(VLOOKUP(H98,List!$E$35:$F$37,2,))))</f>
        <v>0</v>
      </c>
      <c r="AH98" s="1914">
        <f>MIN(M98,O98)*time+ABS(O98-M98)*IF(O98&gt;M98,time*(VLOOKUP(K98,List!$E$35:$F$37,2,)),time*(1-(VLOOKUP(K98,List!$E$35:$F$37,2,))))</f>
        <v>0</v>
      </c>
      <c r="AL98" s="1901" t="s">
        <v>3965</v>
      </c>
      <c r="AM98" s="2801">
        <f>Q74</f>
        <v>0</v>
      </c>
      <c r="AN98" s="2801">
        <f>R74</f>
        <v>0</v>
      </c>
    </row>
    <row r="99" spans="1:40">
      <c r="A99" s="1394"/>
      <c r="B99" s="116"/>
      <c r="C99" s="1435" t="s">
        <v>1084</v>
      </c>
      <c r="D99" s="1438"/>
      <c r="E99" s="1430">
        <f>HLOOKUP(C99,' IPCC'!$N$553:$Q$565,1+MATCH(region,' IPCC'!$A$554:$A$565,),)</f>
        <v>0</v>
      </c>
      <c r="F99" s="398">
        <f>1-SUM(F96:F98)</f>
        <v>1</v>
      </c>
      <c r="G99" s="398">
        <f>1-SUM(G96:G98)</f>
        <v>1</v>
      </c>
      <c r="H99" s="37" t="str">
        <f>H96</f>
        <v>Linear</v>
      </c>
      <c r="I99" s="49"/>
      <c r="J99" s="398">
        <f>1-SUM(J96:J98)</f>
        <v>1</v>
      </c>
      <c r="K99" s="37" t="str">
        <f>K96</f>
        <v>Linear</v>
      </c>
      <c r="L99" s="49"/>
      <c r="M99" s="1371">
        <f>-$M$15*$E99*$F99</f>
        <v>0</v>
      </c>
      <c r="N99" s="1371">
        <f>-$N$15*$E99*$G99</f>
        <v>0</v>
      </c>
      <c r="O99" s="1371">
        <f>-$O$15*$E99*$J99</f>
        <v>0</v>
      </c>
      <c r="P99" s="1374"/>
      <c r="Q99" s="1371">
        <f>MIN(M99,N99)*time_tot+ABS(N99-M99)*IF(N99&gt;M99,time2+time*(VLOOKUP(H99,List!$E$35:$F$37,2,)),time*(1-(VLOOKUP(H99,List!$E$35:$F$37,2,))))</f>
        <v>0</v>
      </c>
      <c r="R99" s="1371">
        <f>MIN(M99,O99)*time_tot+ABS(O99-M99)*IF(O99&gt;M99,time2+time*(VLOOKUP(K99,List!$E$35:$F$37,2,)),time*(1-(VLOOKUP(K99,List!$E$35:$F$37,2,))))</f>
        <v>0</v>
      </c>
      <c r="S99" s="1374"/>
      <c r="T99" s="1375">
        <f t="shared" si="26"/>
        <v>0</v>
      </c>
      <c r="AG99" s="1914">
        <f>MIN(M99,N99)*time+ABS(N99-M99)*IF(N99&gt;M99,time*(VLOOKUP(H99,List!$E$35:$F$37,2,)),time*(1-(VLOOKUP(H99,List!$E$35:$F$37,2,))))</f>
        <v>0</v>
      </c>
      <c r="AH99" s="1914">
        <f>MIN(M99,O99)*time+ABS(O99-M99)*IF(O99&gt;M99,time*(VLOOKUP(K99,List!$E$35:$F$37,2,)),time*(1-(VLOOKUP(K99,List!$E$35:$F$37,2,))))</f>
        <v>0</v>
      </c>
      <c r="AL99" s="1901" t="s">
        <v>516</v>
      </c>
      <c r="AM99" s="2801">
        <f>SUM(AM97:AM98)</f>
        <v>0</v>
      </c>
      <c r="AN99" s="2801">
        <f>SUM(AN97:AN98)</f>
        <v>0</v>
      </c>
    </row>
    <row r="100" spans="1:40">
      <c r="A100" s="1394"/>
      <c r="B100" s="49"/>
      <c r="C100" s="46"/>
      <c r="D100" s="46"/>
      <c r="E100" s="46"/>
      <c r="F100" s="49"/>
      <c r="G100" s="49"/>
      <c r="H100" s="47"/>
      <c r="I100" s="49"/>
      <c r="J100" s="49"/>
      <c r="K100" s="1410" t="s">
        <v>1029</v>
      </c>
      <c r="L100" s="1411"/>
      <c r="M100" s="1231">
        <f>SUM(M84:M99)</f>
        <v>0</v>
      </c>
      <c r="N100" s="1231">
        <f>SUM(N84:N99)</f>
        <v>0</v>
      </c>
      <c r="O100" s="1231">
        <f>SUM(O84:O99)</f>
        <v>0</v>
      </c>
      <c r="P100" s="1231"/>
      <c r="Q100" s="1231">
        <f>SUM(Q84:Q99)</f>
        <v>0</v>
      </c>
      <c r="R100" s="1231">
        <f>SUM(R84:R99)</f>
        <v>0</v>
      </c>
      <c r="S100" s="1376"/>
      <c r="T100" s="1377">
        <f>SUM(T84:T99)</f>
        <v>0</v>
      </c>
      <c r="AI100" s="1915">
        <f>SUM(AH84:AH99)-SUM(AG84:AG99)</f>
        <v>0</v>
      </c>
    </row>
    <row r="101" spans="1:40" ht="13.5" thickBot="1">
      <c r="B101" s="1879" t="s">
        <v>1032</v>
      </c>
      <c r="C101" s="9"/>
      <c r="D101" s="9"/>
      <c r="E101" s="9"/>
      <c r="F101" s="1"/>
      <c r="G101" s="1"/>
      <c r="H101" s="19"/>
      <c r="I101" s="1"/>
      <c r="J101" s="1"/>
      <c r="K101" s="19"/>
      <c r="L101" s="19"/>
      <c r="M101" s="19"/>
      <c r="N101" s="19"/>
      <c r="O101" s="19"/>
      <c r="P101" s="19"/>
      <c r="Q101" s="48"/>
      <c r="R101" s="48"/>
      <c r="S101" s="48"/>
      <c r="T101" s="48"/>
    </row>
    <row r="102" spans="1:40" ht="13.5" thickBot="1">
      <c r="B102" s="1879" t="s">
        <v>1033</v>
      </c>
      <c r="C102" s="9"/>
      <c r="D102" s="9"/>
      <c r="E102" s="9"/>
      <c r="F102" s="1"/>
      <c r="G102" s="1"/>
      <c r="H102" s="19"/>
      <c r="I102" s="1"/>
      <c r="J102" s="1"/>
      <c r="K102" s="19"/>
      <c r="L102" s="1"/>
      <c r="M102" s="9"/>
      <c r="N102" s="262" t="s">
        <v>688</v>
      </c>
      <c r="O102" s="263"/>
      <c r="P102" s="263"/>
      <c r="Q102" s="1083">
        <f>Q74+Q51+Q23+Q100</f>
        <v>0</v>
      </c>
      <c r="R102" s="1083">
        <f>R74+R51+R23+R100</f>
        <v>0</v>
      </c>
      <c r="S102" s="1083"/>
      <c r="T102" s="1232">
        <f>R102-Q102</f>
        <v>0</v>
      </c>
      <c r="AI102" s="1915">
        <f>AI100+AI74+AI51+AI23</f>
        <v>0</v>
      </c>
      <c r="AJ102" s="1915">
        <f>T102-AI102</f>
        <v>0</v>
      </c>
    </row>
    <row r="103" spans="1:40">
      <c r="B103" s="1943" t="s">
        <v>1034</v>
      </c>
      <c r="C103" s="9"/>
      <c r="D103" s="9"/>
      <c r="E103" s="9"/>
      <c r="F103" s="1"/>
      <c r="G103" s="1"/>
      <c r="H103" s="19"/>
      <c r="I103" s="1"/>
      <c r="J103" s="1"/>
      <c r="K103" s="19"/>
      <c r="L103" s="1"/>
      <c r="M103" s="1"/>
      <c r="N103" s="1"/>
      <c r="O103" s="1"/>
      <c r="P103" s="1"/>
      <c r="Q103" s="1"/>
      <c r="R103" s="1"/>
    </row>
    <row r="104" spans="1:40">
      <c r="B104" s="1879" t="s">
        <v>1035</v>
      </c>
      <c r="C104" s="9"/>
      <c r="D104" s="9"/>
      <c r="E104" s="9"/>
      <c r="F104" s="1"/>
      <c r="G104" s="1"/>
      <c r="H104" s="19"/>
      <c r="I104" s="1"/>
      <c r="J104" s="1"/>
      <c r="K104" s="19"/>
      <c r="L104" s="1"/>
      <c r="M104" s="9"/>
      <c r="N104" s="1"/>
      <c r="O104" s="1"/>
      <c r="P104" s="1"/>
      <c r="Q104" s="1"/>
      <c r="R104" s="1"/>
    </row>
    <row r="105" spans="1:40">
      <c r="B105" s="1"/>
      <c r="C105" s="9"/>
      <c r="D105" s="9"/>
      <c r="E105" s="9"/>
      <c r="F105" s="1"/>
      <c r="G105" s="1"/>
      <c r="H105" s="19"/>
      <c r="I105" s="1"/>
      <c r="J105" s="1"/>
      <c r="K105" s="19"/>
      <c r="L105" s="1"/>
      <c r="M105" s="9"/>
      <c r="N105" s="1"/>
      <c r="O105" s="1"/>
      <c r="P105" s="1"/>
      <c r="Q105" s="1"/>
      <c r="R105" s="1"/>
    </row>
    <row r="106" spans="1:40">
      <c r="B106" s="1"/>
      <c r="C106" s="9"/>
      <c r="D106" s="9"/>
      <c r="E106" s="9"/>
      <c r="F106" s="1"/>
      <c r="G106" s="1"/>
      <c r="H106" s="19"/>
      <c r="I106" s="1"/>
      <c r="J106" s="1"/>
      <c r="K106" s="19"/>
      <c r="L106" s="1"/>
      <c r="M106" s="9"/>
      <c r="N106" s="1"/>
      <c r="O106" s="1"/>
      <c r="P106" s="1"/>
      <c r="Q106" s="1"/>
      <c r="R106" s="1"/>
    </row>
    <row r="107" spans="1:40">
      <c r="B107" s="1"/>
      <c r="C107" s="9"/>
      <c r="D107" s="9"/>
      <c r="E107" s="9"/>
      <c r="F107" s="1"/>
      <c r="G107" s="1"/>
      <c r="H107" s="19"/>
      <c r="I107" s="1"/>
      <c r="J107" s="1"/>
      <c r="K107" s="19"/>
      <c r="L107" s="1"/>
      <c r="M107" s="9"/>
      <c r="N107" s="1"/>
      <c r="O107" s="1"/>
      <c r="P107" s="1"/>
      <c r="Q107" s="1"/>
      <c r="R107" s="1"/>
    </row>
    <row r="108" spans="1:40">
      <c r="B108" s="1"/>
      <c r="C108" s="9"/>
      <c r="D108" s="9"/>
      <c r="E108" s="9"/>
      <c r="F108" s="1"/>
      <c r="G108" s="1"/>
      <c r="H108" s="19"/>
      <c r="I108" s="1"/>
      <c r="J108" s="1"/>
      <c r="K108" s="19"/>
      <c r="L108" s="1"/>
      <c r="M108" s="9"/>
      <c r="N108" s="1"/>
      <c r="O108" s="1"/>
      <c r="P108" s="1"/>
      <c r="Q108" s="1"/>
      <c r="R108" s="1"/>
    </row>
    <row r="109" spans="1:40">
      <c r="B109" s="1"/>
      <c r="C109" s="9"/>
      <c r="D109" s="9"/>
      <c r="E109" s="9"/>
      <c r="F109" s="1"/>
      <c r="G109" s="1"/>
      <c r="H109" s="19"/>
      <c r="I109" s="1"/>
      <c r="J109" s="1"/>
      <c r="K109" s="19"/>
      <c r="L109" s="1"/>
      <c r="M109" s="9"/>
      <c r="N109" s="1"/>
      <c r="O109" s="1"/>
      <c r="P109" s="1"/>
      <c r="Q109" s="1"/>
      <c r="R109" s="1"/>
    </row>
    <row r="110" spans="1:40">
      <c r="B110" s="1"/>
      <c r="C110" s="9"/>
      <c r="D110" s="9"/>
      <c r="E110" s="9"/>
      <c r="F110" s="1"/>
      <c r="G110" s="1"/>
      <c r="H110" s="19"/>
      <c r="I110" s="1"/>
      <c r="J110" s="1"/>
      <c r="K110" s="19"/>
      <c r="L110" s="1"/>
      <c r="M110" s="9"/>
      <c r="N110" s="1"/>
      <c r="O110" s="1"/>
      <c r="P110" s="1"/>
      <c r="Q110" s="1"/>
      <c r="R110" s="1"/>
    </row>
    <row r="111" spans="1:40">
      <c r="B111" s="1"/>
      <c r="C111" s="9"/>
      <c r="D111" s="9"/>
      <c r="E111" s="9"/>
      <c r="F111" s="1"/>
      <c r="G111" s="1"/>
      <c r="H111" s="19"/>
      <c r="I111" s="1"/>
      <c r="J111" s="1"/>
      <c r="K111" s="19"/>
      <c r="L111" s="1"/>
      <c r="M111" s="9"/>
      <c r="N111" s="1"/>
      <c r="O111" s="1"/>
      <c r="P111" s="1"/>
      <c r="Q111" s="1"/>
      <c r="R111" s="1"/>
    </row>
    <row r="112" spans="1:40">
      <c r="B112" s="1"/>
      <c r="C112" s="9"/>
      <c r="D112" s="9"/>
      <c r="E112" s="9"/>
      <c r="F112" s="1"/>
      <c r="G112" s="1"/>
      <c r="H112" s="19"/>
      <c r="I112" s="1"/>
      <c r="J112" s="1"/>
      <c r="K112" s="19"/>
      <c r="L112" s="1"/>
      <c r="M112" s="9"/>
      <c r="N112" s="1"/>
      <c r="O112" s="1"/>
      <c r="P112" s="1"/>
      <c r="Q112" s="1"/>
      <c r="R112" s="1"/>
    </row>
    <row r="113" spans="2:18">
      <c r="B113" s="1"/>
      <c r="C113" s="9"/>
      <c r="D113" s="9"/>
      <c r="E113" s="9"/>
      <c r="F113" s="1"/>
      <c r="G113" s="1"/>
      <c r="H113" s="19"/>
      <c r="I113" s="1"/>
      <c r="J113" s="1"/>
      <c r="K113" s="19"/>
      <c r="L113" s="1"/>
      <c r="M113" s="9"/>
      <c r="N113" s="1"/>
      <c r="O113" s="1"/>
      <c r="P113" s="1"/>
      <c r="Q113" s="1"/>
      <c r="R113" s="1"/>
    </row>
    <row r="114" spans="2:18">
      <c r="B114" s="1"/>
      <c r="C114" s="9"/>
      <c r="D114" s="9"/>
      <c r="E114" s="9"/>
      <c r="F114" s="1"/>
      <c r="G114" s="1"/>
      <c r="H114" s="19"/>
      <c r="I114" s="1"/>
      <c r="J114" s="1"/>
      <c r="K114" s="19"/>
      <c r="L114" s="1"/>
      <c r="M114" s="9"/>
      <c r="N114" s="1"/>
      <c r="O114" s="1"/>
      <c r="P114" s="1"/>
      <c r="Q114" s="1"/>
      <c r="R114" s="1"/>
    </row>
    <row r="115" spans="2:18">
      <c r="B115" s="1"/>
      <c r="C115" s="9"/>
      <c r="D115" s="9"/>
      <c r="E115" s="9"/>
      <c r="F115" s="1"/>
      <c r="G115" s="1"/>
      <c r="H115" s="19"/>
      <c r="I115" s="1"/>
      <c r="J115" s="1"/>
      <c r="K115" s="19"/>
      <c r="L115" s="1"/>
      <c r="M115" s="9"/>
      <c r="N115" s="1"/>
      <c r="O115" s="1"/>
      <c r="P115" s="1"/>
      <c r="Q115" s="1"/>
      <c r="R115" s="1"/>
    </row>
    <row r="116" spans="2:18">
      <c r="B116" s="1"/>
      <c r="C116" s="9"/>
      <c r="D116" s="9"/>
      <c r="E116" s="9"/>
      <c r="F116" s="1"/>
      <c r="G116" s="1"/>
      <c r="H116" s="19"/>
      <c r="I116" s="1"/>
      <c r="J116" s="1"/>
      <c r="K116" s="19"/>
      <c r="L116" s="1"/>
      <c r="M116" s="9"/>
      <c r="N116" s="1"/>
      <c r="O116" s="1"/>
      <c r="P116" s="1"/>
      <c r="Q116" s="1"/>
      <c r="R116" s="1"/>
    </row>
    <row r="117" spans="2:18">
      <c r="B117" s="1"/>
      <c r="C117" s="9"/>
      <c r="D117" s="9"/>
      <c r="E117" s="9"/>
      <c r="F117" s="1"/>
      <c r="G117" s="1"/>
      <c r="H117" s="19"/>
      <c r="I117" s="1"/>
      <c r="J117" s="1"/>
      <c r="K117" s="19"/>
      <c r="L117" s="1"/>
      <c r="M117" s="9"/>
      <c r="N117" s="1"/>
      <c r="O117" s="1"/>
      <c r="P117" s="1"/>
      <c r="Q117" s="1"/>
      <c r="R117" s="1"/>
    </row>
    <row r="118" spans="2:18">
      <c r="B118" s="1"/>
      <c r="C118" s="9"/>
      <c r="D118" s="9"/>
      <c r="E118" s="9"/>
      <c r="F118" s="1"/>
      <c r="G118" s="1"/>
      <c r="H118" s="19"/>
      <c r="I118" s="1"/>
      <c r="J118" s="1"/>
      <c r="K118" s="19"/>
      <c r="L118" s="1"/>
      <c r="M118" s="9"/>
      <c r="N118" s="1"/>
      <c r="O118" s="1"/>
      <c r="P118" s="1"/>
      <c r="Q118" s="1"/>
      <c r="R118" s="1"/>
    </row>
    <row r="119" spans="2:18">
      <c r="B119" s="1"/>
      <c r="C119" s="9"/>
      <c r="D119" s="9"/>
      <c r="E119" s="9"/>
      <c r="F119" s="1"/>
      <c r="G119" s="1"/>
      <c r="H119" s="19"/>
      <c r="I119" s="1"/>
      <c r="J119" s="1"/>
      <c r="K119" s="19"/>
      <c r="L119" s="1"/>
      <c r="M119" s="9"/>
      <c r="N119" s="1"/>
      <c r="O119" s="1"/>
      <c r="P119" s="1"/>
      <c r="Q119" s="1"/>
      <c r="R119" s="1"/>
    </row>
    <row r="120" spans="2:18">
      <c r="B120" s="1"/>
      <c r="C120" s="9"/>
      <c r="D120" s="9"/>
      <c r="E120" s="9"/>
      <c r="F120" s="1"/>
      <c r="G120" s="1"/>
      <c r="H120" s="19"/>
      <c r="I120" s="1"/>
      <c r="J120" s="1"/>
      <c r="K120" s="19"/>
      <c r="L120" s="1"/>
      <c r="M120" s="9"/>
      <c r="N120" s="1"/>
      <c r="O120" s="1"/>
      <c r="P120" s="1"/>
      <c r="Q120" s="1"/>
      <c r="R120" s="1"/>
    </row>
    <row r="121" spans="2:18">
      <c r="B121" s="1"/>
      <c r="C121" s="9"/>
      <c r="D121" s="9"/>
      <c r="E121" s="9"/>
      <c r="F121" s="1"/>
      <c r="G121" s="1"/>
      <c r="H121" s="19"/>
      <c r="I121" s="1"/>
      <c r="J121" s="1"/>
      <c r="K121" s="19"/>
      <c r="L121" s="1"/>
      <c r="M121" s="9"/>
      <c r="N121" s="1"/>
      <c r="O121" s="1"/>
      <c r="P121" s="1"/>
      <c r="Q121" s="1"/>
      <c r="R121" s="1"/>
    </row>
    <row r="122" spans="2:18">
      <c r="B122" s="1"/>
      <c r="C122" s="9"/>
      <c r="D122" s="9"/>
      <c r="E122" s="9"/>
      <c r="F122" s="1"/>
      <c r="G122" s="1"/>
      <c r="H122" s="19"/>
      <c r="I122" s="1"/>
      <c r="J122" s="1"/>
      <c r="K122" s="19"/>
      <c r="L122" s="1"/>
      <c r="M122" s="9"/>
      <c r="N122" s="1"/>
      <c r="O122" s="1"/>
      <c r="P122" s="1"/>
      <c r="Q122" s="1"/>
      <c r="R122" s="1"/>
    </row>
    <row r="123" spans="2:18">
      <c r="B123" s="1"/>
      <c r="C123" s="9"/>
      <c r="D123" s="9"/>
      <c r="E123" s="9"/>
      <c r="F123" s="1"/>
      <c r="G123" s="1"/>
      <c r="H123" s="19"/>
      <c r="I123" s="1"/>
      <c r="J123" s="1"/>
      <c r="K123" s="19"/>
      <c r="L123" s="1"/>
      <c r="M123" s="9"/>
      <c r="N123" s="1"/>
      <c r="O123" s="1"/>
      <c r="P123" s="1"/>
      <c r="Q123" s="1"/>
      <c r="R123" s="1"/>
    </row>
    <row r="124" spans="2:18">
      <c r="B124" s="1"/>
      <c r="C124" s="9"/>
      <c r="D124" s="9"/>
      <c r="E124" s="9"/>
      <c r="F124" s="1"/>
      <c r="G124" s="1"/>
      <c r="H124" s="19"/>
      <c r="I124" s="1"/>
      <c r="J124" s="1"/>
      <c r="K124" s="19"/>
      <c r="L124" s="1"/>
      <c r="M124" s="9"/>
      <c r="N124" s="1"/>
      <c r="O124" s="1"/>
      <c r="P124" s="1"/>
      <c r="Q124" s="1"/>
      <c r="R124" s="1"/>
    </row>
    <row r="125" spans="2:18">
      <c r="B125" s="1"/>
      <c r="C125" s="9"/>
      <c r="D125" s="9"/>
      <c r="E125" s="9"/>
      <c r="F125" s="1"/>
      <c r="G125" s="1"/>
      <c r="H125" s="19"/>
      <c r="I125" s="1"/>
      <c r="J125" s="1"/>
      <c r="K125" s="19"/>
      <c r="L125" s="1"/>
      <c r="M125" s="9"/>
      <c r="N125" s="1"/>
      <c r="O125" s="1"/>
      <c r="P125" s="1"/>
      <c r="Q125" s="1"/>
      <c r="R125" s="1"/>
    </row>
    <row r="126" spans="2:18">
      <c r="B126" s="1"/>
      <c r="C126" s="9"/>
      <c r="D126" s="9"/>
      <c r="E126" s="9"/>
      <c r="F126" s="1"/>
      <c r="G126" s="1"/>
      <c r="H126" s="19"/>
      <c r="I126" s="1"/>
      <c r="J126" s="1"/>
      <c r="K126" s="19"/>
      <c r="L126" s="1"/>
      <c r="M126" s="9"/>
      <c r="N126" s="1"/>
      <c r="O126" s="1"/>
      <c r="P126" s="1"/>
      <c r="Q126" s="1"/>
      <c r="R126" s="1"/>
    </row>
    <row r="127" spans="2:18">
      <c r="B127" s="1"/>
      <c r="C127" s="9"/>
      <c r="D127" s="9"/>
      <c r="E127" s="9"/>
      <c r="F127" s="1"/>
      <c r="G127" s="1"/>
      <c r="H127" s="19"/>
      <c r="I127" s="1"/>
      <c r="J127" s="1"/>
      <c r="K127" s="19"/>
      <c r="L127" s="1"/>
      <c r="M127" s="9"/>
      <c r="N127" s="1"/>
      <c r="O127" s="1"/>
      <c r="P127" s="1"/>
      <c r="Q127" s="1"/>
      <c r="R127" s="1"/>
    </row>
    <row r="128" spans="2:18">
      <c r="B128" s="1"/>
      <c r="C128" s="9"/>
      <c r="D128" s="9"/>
      <c r="E128" s="9"/>
      <c r="F128" s="1"/>
      <c r="G128" s="1"/>
      <c r="H128" s="19"/>
      <c r="I128" s="1"/>
      <c r="J128" s="1"/>
      <c r="K128" s="19"/>
      <c r="L128" s="1"/>
      <c r="M128" s="9"/>
      <c r="N128" s="1"/>
      <c r="O128" s="1"/>
      <c r="P128" s="1"/>
      <c r="Q128" s="1"/>
      <c r="R128" s="1"/>
    </row>
    <row r="129" spans="2:18">
      <c r="B129" s="1"/>
      <c r="C129" s="9"/>
      <c r="D129" s="9"/>
      <c r="E129" s="9"/>
      <c r="F129" s="1"/>
      <c r="G129" s="1"/>
      <c r="H129" s="19"/>
      <c r="I129" s="1"/>
      <c r="J129" s="1"/>
      <c r="K129" s="19"/>
      <c r="L129" s="1"/>
      <c r="M129" s="9"/>
      <c r="N129" s="1"/>
      <c r="O129" s="1"/>
      <c r="P129" s="1"/>
      <c r="Q129" s="1"/>
      <c r="R129" s="1"/>
    </row>
    <row r="130" spans="2:18">
      <c r="B130" s="1"/>
      <c r="C130" s="9"/>
      <c r="D130" s="9"/>
      <c r="E130" s="9"/>
      <c r="F130" s="1"/>
      <c r="G130" s="1"/>
      <c r="H130" s="19"/>
      <c r="I130" s="1"/>
      <c r="J130" s="1"/>
      <c r="K130" s="19"/>
      <c r="L130" s="1"/>
      <c r="M130" s="9"/>
      <c r="N130" s="1"/>
      <c r="O130" s="1"/>
      <c r="P130" s="1"/>
      <c r="Q130" s="1"/>
      <c r="R130" s="1"/>
    </row>
    <row r="131" spans="2:18">
      <c r="B131" s="1"/>
      <c r="C131" s="9"/>
      <c r="D131" s="9"/>
      <c r="E131" s="9"/>
      <c r="F131" s="1"/>
      <c r="G131" s="1"/>
      <c r="H131" s="19"/>
      <c r="I131" s="1"/>
      <c r="J131" s="1"/>
      <c r="K131" s="19"/>
      <c r="L131" s="1"/>
      <c r="M131" s="9"/>
      <c r="N131" s="1"/>
      <c r="O131" s="1"/>
      <c r="P131" s="1"/>
      <c r="Q131" s="1"/>
      <c r="R131" s="1"/>
    </row>
    <row r="132" spans="2:18">
      <c r="B132" s="1"/>
      <c r="C132" s="9"/>
      <c r="D132" s="9"/>
      <c r="E132" s="9"/>
      <c r="F132" s="1"/>
      <c r="G132" s="1"/>
      <c r="H132" s="19"/>
      <c r="I132" s="1"/>
      <c r="J132" s="1"/>
      <c r="K132" s="19"/>
      <c r="L132" s="1"/>
      <c r="M132" s="9"/>
      <c r="N132" s="1"/>
      <c r="O132" s="1"/>
      <c r="P132" s="1"/>
      <c r="Q132" s="1"/>
      <c r="R132" s="1"/>
    </row>
    <row r="133" spans="2:18">
      <c r="B133" s="1"/>
      <c r="C133" s="9"/>
      <c r="D133" s="9"/>
      <c r="E133" s="9"/>
      <c r="F133" s="1"/>
      <c r="G133" s="1"/>
      <c r="H133" s="19"/>
      <c r="I133" s="1"/>
      <c r="J133" s="1"/>
      <c r="K133" s="19"/>
      <c r="L133" s="1"/>
      <c r="M133" s="9"/>
      <c r="N133" s="1"/>
      <c r="O133" s="1"/>
      <c r="P133" s="1"/>
      <c r="Q133" s="1"/>
      <c r="R133" s="1"/>
    </row>
    <row r="134" spans="2:18">
      <c r="B134" s="1"/>
      <c r="C134" s="9"/>
      <c r="D134" s="9"/>
      <c r="E134" s="9"/>
      <c r="F134" s="1"/>
      <c r="G134" s="1"/>
      <c r="H134" s="19"/>
      <c r="I134" s="1"/>
      <c r="J134" s="1"/>
      <c r="K134" s="19"/>
      <c r="L134" s="1"/>
      <c r="M134" s="9"/>
      <c r="N134" s="1"/>
      <c r="O134" s="1"/>
      <c r="P134" s="1"/>
      <c r="Q134" s="1"/>
      <c r="R134" s="1"/>
    </row>
    <row r="135" spans="2:18">
      <c r="B135" s="1"/>
      <c r="C135" s="9"/>
      <c r="D135" s="9"/>
      <c r="E135" s="9"/>
      <c r="F135" s="1"/>
      <c r="G135" s="1"/>
      <c r="H135" s="19"/>
      <c r="I135" s="1"/>
      <c r="J135" s="1"/>
      <c r="K135" s="19"/>
      <c r="L135" s="1"/>
      <c r="M135" s="9"/>
      <c r="N135" s="1"/>
      <c r="O135" s="1"/>
      <c r="P135" s="1"/>
      <c r="Q135" s="1"/>
      <c r="R135" s="1"/>
    </row>
    <row r="136" spans="2:18">
      <c r="B136" s="1"/>
      <c r="C136" s="9"/>
      <c r="D136" s="9"/>
      <c r="E136" s="9"/>
      <c r="F136" s="1"/>
      <c r="G136" s="1"/>
      <c r="H136" s="19"/>
      <c r="I136" s="1"/>
      <c r="J136" s="1"/>
      <c r="K136" s="19"/>
      <c r="L136" s="1"/>
      <c r="M136" s="9"/>
      <c r="N136" s="1"/>
      <c r="O136" s="1"/>
      <c r="P136" s="1"/>
      <c r="Q136" s="1"/>
      <c r="R136" s="1"/>
    </row>
    <row r="137" spans="2:18">
      <c r="B137" s="1"/>
      <c r="C137" s="9"/>
      <c r="D137" s="9"/>
      <c r="E137" s="9"/>
      <c r="F137" s="1"/>
      <c r="G137" s="1"/>
      <c r="H137" s="19"/>
      <c r="I137" s="1"/>
      <c r="J137" s="1"/>
      <c r="K137" s="19"/>
      <c r="L137" s="1"/>
      <c r="M137" s="9"/>
      <c r="N137" s="1"/>
      <c r="O137" s="1"/>
      <c r="P137" s="1"/>
      <c r="Q137" s="1"/>
      <c r="R137" s="1"/>
    </row>
    <row r="138" spans="2:18">
      <c r="B138" s="1"/>
      <c r="C138" s="9"/>
      <c r="D138" s="9"/>
      <c r="E138" s="9"/>
      <c r="F138" s="1"/>
      <c r="G138" s="1"/>
      <c r="H138" s="19"/>
      <c r="I138" s="1"/>
      <c r="J138" s="1"/>
      <c r="K138" s="19"/>
      <c r="L138" s="1"/>
      <c r="M138" s="9"/>
      <c r="N138" s="1"/>
      <c r="O138" s="1"/>
      <c r="P138" s="1"/>
      <c r="Q138" s="1"/>
      <c r="R138" s="1"/>
    </row>
    <row r="139" spans="2:18">
      <c r="B139" s="1"/>
      <c r="C139" s="9"/>
      <c r="D139" s="9"/>
      <c r="E139" s="9"/>
      <c r="F139" s="1"/>
      <c r="G139" s="1"/>
      <c r="H139" s="19"/>
      <c r="I139" s="1"/>
      <c r="J139" s="1"/>
      <c r="K139" s="19"/>
      <c r="L139" s="1"/>
      <c r="M139" s="9"/>
      <c r="N139" s="1"/>
      <c r="O139" s="1"/>
      <c r="P139" s="1"/>
      <c r="Q139" s="1"/>
      <c r="R139" s="1"/>
    </row>
    <row r="140" spans="2:18">
      <c r="B140" s="1"/>
      <c r="C140" s="9"/>
      <c r="D140" s="9"/>
      <c r="E140" s="9"/>
      <c r="F140" s="1"/>
      <c r="G140" s="1"/>
      <c r="H140" s="19"/>
      <c r="I140" s="1"/>
      <c r="J140" s="1"/>
      <c r="K140" s="19"/>
      <c r="L140" s="1"/>
      <c r="M140" s="9"/>
      <c r="N140" s="1"/>
      <c r="O140" s="1"/>
      <c r="P140" s="1"/>
      <c r="Q140" s="1"/>
      <c r="R140" s="1"/>
    </row>
    <row r="141" spans="2:18">
      <c r="B141" s="1"/>
      <c r="C141" s="9"/>
      <c r="D141" s="9"/>
      <c r="E141" s="9"/>
      <c r="F141" s="1"/>
      <c r="G141" s="1"/>
      <c r="H141" s="19"/>
      <c r="I141" s="1"/>
      <c r="J141" s="1"/>
      <c r="K141" s="19"/>
      <c r="L141" s="1"/>
      <c r="M141" s="9"/>
      <c r="N141" s="1"/>
      <c r="O141" s="1"/>
      <c r="P141" s="1"/>
      <c r="Q141" s="1"/>
      <c r="R141" s="1"/>
    </row>
    <row r="142" spans="2:18">
      <c r="B142" s="1"/>
      <c r="C142" s="9"/>
      <c r="D142" s="9"/>
      <c r="E142" s="9"/>
      <c r="F142" s="1"/>
      <c r="G142" s="1"/>
      <c r="H142" s="19"/>
      <c r="I142" s="1"/>
      <c r="J142" s="1"/>
      <c r="K142" s="19"/>
      <c r="L142" s="1"/>
      <c r="M142" s="9"/>
      <c r="N142" s="1"/>
      <c r="O142" s="1"/>
      <c r="P142" s="1"/>
      <c r="Q142" s="1"/>
      <c r="R142" s="1"/>
    </row>
    <row r="143" spans="2:18">
      <c r="B143" s="1"/>
      <c r="C143" s="9"/>
      <c r="D143" s="9"/>
      <c r="E143" s="9"/>
      <c r="F143" s="1"/>
      <c r="G143" s="1"/>
      <c r="H143" s="19"/>
      <c r="I143" s="1"/>
      <c r="J143" s="1"/>
      <c r="K143" s="19"/>
      <c r="L143" s="1"/>
      <c r="M143" s="9"/>
      <c r="N143" s="1"/>
      <c r="O143" s="1"/>
      <c r="P143" s="1"/>
      <c r="Q143" s="1"/>
      <c r="R143" s="1"/>
    </row>
    <row r="144" spans="2:18">
      <c r="B144" s="1"/>
      <c r="C144" s="9"/>
      <c r="D144" s="9"/>
      <c r="E144" s="9"/>
      <c r="F144" s="1"/>
      <c r="G144" s="1"/>
      <c r="H144" s="19"/>
      <c r="I144" s="1"/>
      <c r="J144" s="1"/>
      <c r="K144" s="19"/>
      <c r="L144" s="1"/>
      <c r="M144" s="9"/>
      <c r="N144" s="1"/>
      <c r="O144" s="1"/>
      <c r="P144" s="1"/>
      <c r="Q144" s="1"/>
      <c r="R144" s="1"/>
    </row>
    <row r="145" spans="2:18">
      <c r="B145" s="1"/>
      <c r="C145" s="9"/>
      <c r="D145" s="9"/>
      <c r="E145" s="9"/>
      <c r="F145" s="1"/>
      <c r="G145" s="1"/>
      <c r="H145" s="19"/>
      <c r="I145" s="1"/>
      <c r="J145" s="1"/>
      <c r="K145" s="19"/>
      <c r="L145" s="1"/>
      <c r="M145" s="9"/>
      <c r="N145" s="1"/>
      <c r="O145" s="1"/>
      <c r="P145" s="1"/>
      <c r="Q145" s="1"/>
      <c r="R145" s="1"/>
    </row>
    <row r="146" spans="2:18">
      <c r="B146" s="1"/>
      <c r="C146" s="9"/>
      <c r="D146" s="9"/>
      <c r="E146" s="9"/>
      <c r="F146" s="1"/>
      <c r="G146" s="1"/>
      <c r="H146" s="19"/>
      <c r="I146" s="1"/>
      <c r="J146" s="1"/>
      <c r="K146" s="19"/>
      <c r="L146" s="1"/>
      <c r="M146" s="9"/>
      <c r="N146" s="1"/>
      <c r="O146" s="1"/>
      <c r="P146" s="1"/>
      <c r="Q146" s="1"/>
      <c r="R146" s="1"/>
    </row>
    <row r="147" spans="2:18">
      <c r="B147" s="1"/>
      <c r="C147" s="9"/>
      <c r="D147" s="9"/>
      <c r="E147" s="9"/>
      <c r="F147" s="1"/>
      <c r="G147" s="1"/>
      <c r="H147" s="19"/>
      <c r="I147" s="1"/>
      <c r="J147" s="1"/>
      <c r="K147" s="19"/>
      <c r="L147" s="1"/>
      <c r="M147" s="9"/>
      <c r="N147" s="1"/>
      <c r="O147" s="1"/>
      <c r="P147" s="1"/>
      <c r="Q147" s="1"/>
      <c r="R147" s="1"/>
    </row>
    <row r="148" spans="2:18">
      <c r="B148" s="1"/>
      <c r="C148" s="9"/>
      <c r="D148" s="9"/>
      <c r="E148" s="9"/>
      <c r="F148" s="1"/>
      <c r="G148" s="1"/>
      <c r="H148" s="19"/>
      <c r="I148" s="1"/>
      <c r="J148" s="1"/>
      <c r="K148" s="19"/>
      <c r="L148" s="1"/>
      <c r="M148" s="9"/>
      <c r="N148" s="1"/>
      <c r="O148" s="1"/>
      <c r="P148" s="1"/>
      <c r="Q148" s="1"/>
      <c r="R148" s="1"/>
    </row>
    <row r="149" spans="2:18">
      <c r="B149" s="1"/>
      <c r="C149" s="9"/>
      <c r="D149" s="9"/>
      <c r="E149" s="9"/>
      <c r="F149" s="1"/>
      <c r="G149" s="1"/>
      <c r="H149" s="19"/>
      <c r="I149" s="1"/>
      <c r="J149" s="1"/>
      <c r="K149" s="19"/>
      <c r="L149" s="1"/>
      <c r="M149" s="9"/>
      <c r="N149" s="1"/>
      <c r="O149" s="1"/>
      <c r="P149" s="1"/>
      <c r="Q149" s="1"/>
      <c r="R149" s="1"/>
    </row>
    <row r="150" spans="2:18">
      <c r="B150" s="1"/>
      <c r="C150" s="9"/>
      <c r="D150" s="9"/>
      <c r="E150" s="9"/>
      <c r="F150" s="1"/>
      <c r="G150" s="1"/>
      <c r="H150" s="19"/>
      <c r="I150" s="1"/>
      <c r="J150" s="1"/>
      <c r="K150" s="19"/>
      <c r="L150" s="1"/>
      <c r="M150" s="9"/>
      <c r="N150" s="1"/>
      <c r="O150" s="1"/>
      <c r="P150" s="1"/>
      <c r="Q150" s="1"/>
      <c r="R150" s="1"/>
    </row>
    <row r="151" spans="2:18">
      <c r="B151" s="1"/>
      <c r="C151" s="9"/>
      <c r="D151" s="9"/>
      <c r="E151" s="9"/>
      <c r="F151" s="1"/>
      <c r="G151" s="1"/>
      <c r="H151" s="19"/>
      <c r="I151" s="1"/>
      <c r="J151" s="1"/>
      <c r="K151" s="19"/>
      <c r="L151" s="1"/>
      <c r="M151" s="9"/>
      <c r="N151" s="1"/>
      <c r="O151" s="1"/>
      <c r="P151" s="1"/>
      <c r="Q151" s="1"/>
      <c r="R151" s="1"/>
    </row>
    <row r="152" spans="2:18">
      <c r="B152" s="1"/>
      <c r="C152" s="9"/>
      <c r="D152" s="9"/>
      <c r="E152" s="9"/>
      <c r="F152" s="1"/>
      <c r="G152" s="1"/>
      <c r="H152" s="19"/>
      <c r="I152" s="1"/>
      <c r="J152" s="1"/>
      <c r="K152" s="19"/>
      <c r="L152" s="1"/>
      <c r="M152" s="9"/>
      <c r="N152" s="1"/>
      <c r="O152" s="1"/>
      <c r="P152" s="1"/>
      <c r="Q152" s="1"/>
      <c r="R152" s="1"/>
    </row>
    <row r="153" spans="2:18">
      <c r="B153" s="1"/>
      <c r="C153" s="9"/>
      <c r="D153" s="9"/>
      <c r="E153" s="9"/>
      <c r="F153" s="1"/>
      <c r="G153" s="1"/>
      <c r="H153" s="19"/>
      <c r="I153" s="1"/>
      <c r="J153" s="1"/>
      <c r="K153" s="19"/>
      <c r="L153" s="1"/>
      <c r="M153" s="9"/>
      <c r="N153" s="1"/>
      <c r="O153" s="1"/>
      <c r="P153" s="1"/>
      <c r="Q153" s="1"/>
      <c r="R153" s="1"/>
    </row>
    <row r="154" spans="2:18">
      <c r="B154" s="1"/>
      <c r="C154" s="9"/>
      <c r="D154" s="9"/>
      <c r="E154" s="9"/>
      <c r="F154" s="1"/>
      <c r="G154" s="1"/>
      <c r="H154" s="19"/>
      <c r="I154" s="1"/>
      <c r="J154" s="1"/>
      <c r="K154" s="19"/>
      <c r="L154" s="1"/>
      <c r="M154" s="9"/>
      <c r="N154" s="1"/>
      <c r="O154" s="1"/>
      <c r="P154" s="1"/>
      <c r="Q154" s="1"/>
      <c r="R154" s="1"/>
    </row>
    <row r="155" spans="2:18">
      <c r="B155" s="1"/>
      <c r="C155" s="9"/>
      <c r="D155" s="9"/>
      <c r="E155" s="9"/>
      <c r="F155" s="1"/>
      <c r="G155" s="1"/>
      <c r="H155" s="19"/>
      <c r="I155" s="1"/>
      <c r="J155" s="1"/>
      <c r="K155" s="19"/>
      <c r="L155" s="1"/>
      <c r="M155" s="9"/>
      <c r="N155" s="1"/>
      <c r="O155" s="1"/>
      <c r="P155" s="1"/>
      <c r="Q155" s="1"/>
      <c r="R155" s="1"/>
    </row>
    <row r="156" spans="2:18">
      <c r="B156" s="1"/>
      <c r="C156" s="9"/>
      <c r="D156" s="9"/>
      <c r="E156" s="9"/>
      <c r="F156" s="1"/>
      <c r="G156" s="1"/>
      <c r="H156" s="19"/>
      <c r="I156" s="1"/>
      <c r="J156" s="1"/>
      <c r="K156" s="19"/>
      <c r="L156" s="1"/>
      <c r="M156" s="9"/>
      <c r="N156" s="1"/>
      <c r="O156" s="1"/>
      <c r="P156" s="1"/>
      <c r="Q156" s="1"/>
      <c r="R156" s="1"/>
    </row>
    <row r="157" spans="2:18">
      <c r="B157" s="1"/>
      <c r="C157" s="9"/>
      <c r="D157" s="9"/>
      <c r="E157" s="9"/>
      <c r="F157" s="1"/>
      <c r="G157" s="1"/>
      <c r="H157" s="19"/>
      <c r="I157" s="1"/>
      <c r="J157" s="1"/>
      <c r="K157" s="19"/>
      <c r="L157" s="1"/>
      <c r="M157" s="9"/>
      <c r="N157" s="1"/>
      <c r="O157" s="1"/>
      <c r="P157" s="1"/>
      <c r="Q157" s="1"/>
      <c r="R157" s="1"/>
    </row>
    <row r="158" spans="2:18">
      <c r="B158" s="1"/>
      <c r="C158" s="9"/>
      <c r="D158" s="9"/>
      <c r="E158" s="9"/>
      <c r="F158" s="1"/>
      <c r="G158" s="1"/>
      <c r="H158" s="19"/>
      <c r="I158" s="1"/>
      <c r="J158" s="1"/>
      <c r="K158" s="19"/>
      <c r="L158" s="1"/>
      <c r="M158" s="9"/>
      <c r="N158" s="1"/>
      <c r="O158" s="1"/>
      <c r="P158" s="1"/>
      <c r="Q158" s="1"/>
      <c r="R158" s="1"/>
    </row>
    <row r="159" spans="2:18">
      <c r="B159" s="1"/>
      <c r="C159" s="9"/>
      <c r="D159" s="9"/>
      <c r="E159" s="9"/>
      <c r="F159" s="1"/>
      <c r="G159" s="1"/>
      <c r="H159" s="19"/>
      <c r="I159" s="1"/>
      <c r="J159" s="1"/>
      <c r="K159" s="19"/>
      <c r="L159" s="1"/>
      <c r="M159" s="9"/>
      <c r="N159" s="1"/>
      <c r="O159" s="1"/>
      <c r="P159" s="1"/>
      <c r="Q159" s="1"/>
      <c r="R159" s="1"/>
    </row>
    <row r="160" spans="2:18">
      <c r="B160" s="1"/>
      <c r="C160" s="9"/>
      <c r="D160" s="9"/>
      <c r="E160" s="9"/>
      <c r="F160" s="1"/>
      <c r="G160" s="1"/>
      <c r="H160" s="19"/>
      <c r="I160" s="1"/>
      <c r="J160" s="1"/>
      <c r="K160" s="19"/>
      <c r="L160" s="1"/>
      <c r="M160" s="9"/>
      <c r="N160" s="1"/>
      <c r="O160" s="1"/>
      <c r="P160" s="1"/>
      <c r="Q160" s="1"/>
      <c r="R160" s="1"/>
    </row>
    <row r="161" spans="2:18">
      <c r="B161" s="1"/>
      <c r="C161" s="9"/>
      <c r="D161" s="9"/>
      <c r="E161" s="9"/>
      <c r="F161" s="1"/>
      <c r="G161" s="1"/>
      <c r="H161" s="19"/>
      <c r="I161" s="1"/>
      <c r="J161" s="1"/>
      <c r="K161" s="19"/>
      <c r="L161" s="1"/>
      <c r="M161" s="9"/>
      <c r="N161" s="1"/>
      <c r="O161" s="1"/>
      <c r="P161" s="1"/>
      <c r="Q161" s="1"/>
      <c r="R161" s="1"/>
    </row>
    <row r="162" spans="2:18">
      <c r="B162" s="1"/>
      <c r="C162" s="9"/>
      <c r="D162" s="9"/>
      <c r="E162" s="9"/>
      <c r="F162" s="1"/>
      <c r="G162" s="1"/>
      <c r="H162" s="19"/>
      <c r="I162" s="1"/>
      <c r="J162" s="1"/>
      <c r="K162" s="19"/>
      <c r="L162" s="1"/>
      <c r="M162" s="9"/>
      <c r="N162" s="1"/>
      <c r="O162" s="1"/>
      <c r="P162" s="1"/>
      <c r="Q162" s="1"/>
      <c r="R162" s="1"/>
    </row>
    <row r="163" spans="2:18">
      <c r="B163" s="1"/>
      <c r="C163" s="9"/>
      <c r="D163" s="9"/>
      <c r="E163" s="9"/>
      <c r="F163" s="1"/>
      <c r="G163" s="1"/>
      <c r="H163" s="19"/>
      <c r="I163" s="1"/>
      <c r="J163" s="1"/>
      <c r="K163" s="19"/>
      <c r="L163" s="1"/>
      <c r="M163" s="9"/>
      <c r="N163" s="1"/>
      <c r="O163" s="1"/>
      <c r="P163" s="1"/>
      <c r="Q163" s="1"/>
      <c r="R163" s="1"/>
    </row>
    <row r="164" spans="2:18">
      <c r="B164" s="1"/>
      <c r="C164" s="9"/>
      <c r="D164" s="9"/>
      <c r="E164" s="9"/>
      <c r="F164" s="1"/>
      <c r="G164" s="1"/>
      <c r="H164" s="19"/>
      <c r="I164" s="1"/>
      <c r="J164" s="1"/>
      <c r="K164" s="19"/>
      <c r="L164" s="1"/>
      <c r="M164" s="9"/>
      <c r="N164" s="1"/>
      <c r="O164" s="1"/>
      <c r="P164" s="1"/>
      <c r="Q164" s="1"/>
      <c r="R164" s="1"/>
    </row>
    <row r="165" spans="2:18">
      <c r="B165" s="1"/>
      <c r="C165" s="9"/>
      <c r="D165" s="9"/>
      <c r="E165" s="9"/>
      <c r="F165" s="1"/>
      <c r="G165" s="1"/>
      <c r="H165" s="19"/>
      <c r="I165" s="1"/>
      <c r="J165" s="1"/>
      <c r="K165" s="19"/>
      <c r="L165" s="1"/>
      <c r="M165" s="9"/>
      <c r="N165" s="1"/>
      <c r="O165" s="1"/>
      <c r="P165" s="1"/>
      <c r="Q165" s="1"/>
      <c r="R165" s="1"/>
    </row>
    <row r="166" spans="2:18">
      <c r="B166" s="1"/>
      <c r="C166" s="9"/>
      <c r="D166" s="9"/>
      <c r="E166" s="9"/>
      <c r="F166" s="1"/>
      <c r="G166" s="1"/>
      <c r="H166" s="19"/>
      <c r="I166" s="1"/>
      <c r="J166" s="1"/>
      <c r="K166" s="19"/>
      <c r="L166" s="1"/>
      <c r="M166" s="9"/>
      <c r="N166" s="1"/>
      <c r="O166" s="1"/>
      <c r="P166" s="1"/>
      <c r="Q166" s="1"/>
      <c r="R166" s="1"/>
    </row>
    <row r="167" spans="2:18">
      <c r="B167" s="1"/>
      <c r="C167" s="9"/>
      <c r="D167" s="9"/>
      <c r="E167" s="9"/>
      <c r="F167" s="1"/>
      <c r="G167" s="1"/>
      <c r="H167" s="19"/>
      <c r="I167" s="1"/>
      <c r="J167" s="1"/>
      <c r="K167" s="19"/>
      <c r="L167" s="1"/>
      <c r="M167" s="9"/>
      <c r="N167" s="1"/>
      <c r="O167" s="1"/>
      <c r="P167" s="1"/>
      <c r="Q167" s="1"/>
      <c r="R167" s="1"/>
    </row>
    <row r="168" spans="2:18">
      <c r="B168" s="1"/>
      <c r="C168" s="9"/>
      <c r="D168" s="9"/>
      <c r="E168" s="9"/>
      <c r="F168" s="1"/>
      <c r="G168" s="1"/>
      <c r="H168" s="19"/>
      <c r="I168" s="1"/>
      <c r="J168" s="1"/>
      <c r="K168" s="19"/>
      <c r="L168" s="1"/>
      <c r="M168" s="9"/>
      <c r="N168" s="1"/>
      <c r="O168" s="1"/>
      <c r="P168" s="1"/>
      <c r="Q168" s="1"/>
      <c r="R168" s="1"/>
    </row>
    <row r="169" spans="2:18">
      <c r="B169" s="1"/>
      <c r="C169" s="9"/>
      <c r="D169" s="9"/>
      <c r="E169" s="9"/>
      <c r="F169" s="1"/>
      <c r="G169" s="1"/>
      <c r="H169" s="19"/>
      <c r="I169" s="1"/>
      <c r="J169" s="1"/>
      <c r="K169" s="19"/>
      <c r="L169" s="1"/>
      <c r="M169" s="9"/>
      <c r="N169" s="1"/>
      <c r="O169" s="1"/>
      <c r="P169" s="1"/>
      <c r="Q169" s="1"/>
      <c r="R169" s="1"/>
    </row>
    <row r="170" spans="2:18">
      <c r="B170" s="1"/>
      <c r="C170" s="9"/>
      <c r="D170" s="9"/>
      <c r="E170" s="9"/>
      <c r="F170" s="1"/>
      <c r="G170" s="1"/>
      <c r="H170" s="19"/>
      <c r="I170" s="1"/>
      <c r="J170" s="1"/>
      <c r="K170" s="19"/>
      <c r="L170" s="1"/>
      <c r="M170" s="9"/>
      <c r="N170" s="1"/>
      <c r="O170" s="1"/>
      <c r="P170" s="1"/>
      <c r="Q170" s="1"/>
      <c r="R170" s="1"/>
    </row>
    <row r="171" spans="2:18">
      <c r="B171" s="1"/>
      <c r="C171" s="9"/>
      <c r="D171" s="9"/>
      <c r="E171" s="9"/>
      <c r="F171" s="1"/>
      <c r="G171" s="1"/>
      <c r="H171" s="19"/>
      <c r="I171" s="1"/>
      <c r="J171" s="1"/>
      <c r="K171" s="19"/>
      <c r="L171" s="1"/>
      <c r="M171" s="9"/>
      <c r="N171" s="1"/>
      <c r="O171" s="1"/>
      <c r="P171" s="1"/>
      <c r="Q171" s="1"/>
      <c r="R171" s="1"/>
    </row>
    <row r="172" spans="2:18">
      <c r="B172" s="1"/>
      <c r="C172" s="9"/>
      <c r="D172" s="9"/>
      <c r="E172" s="9"/>
      <c r="F172" s="1"/>
      <c r="G172" s="1"/>
      <c r="H172" s="19"/>
      <c r="I172" s="1"/>
      <c r="J172" s="1"/>
      <c r="K172" s="19"/>
      <c r="L172" s="1"/>
      <c r="M172" s="9"/>
      <c r="N172" s="1"/>
      <c r="O172" s="1"/>
      <c r="P172" s="1"/>
      <c r="Q172" s="1"/>
      <c r="R172" s="1"/>
    </row>
    <row r="173" spans="2:18">
      <c r="B173" s="1"/>
      <c r="C173" s="9"/>
      <c r="D173" s="9"/>
      <c r="E173" s="9"/>
      <c r="F173" s="1"/>
      <c r="G173" s="1"/>
      <c r="H173" s="19"/>
      <c r="I173" s="1"/>
      <c r="J173" s="1"/>
      <c r="K173" s="19"/>
      <c r="L173" s="1"/>
      <c r="M173" s="9"/>
      <c r="N173" s="1"/>
      <c r="O173" s="1"/>
      <c r="P173" s="1"/>
      <c r="Q173" s="1"/>
      <c r="R173" s="1"/>
    </row>
    <row r="174" spans="2:18">
      <c r="B174" s="1"/>
      <c r="C174" s="9"/>
      <c r="D174" s="9"/>
      <c r="E174" s="9"/>
      <c r="F174" s="1"/>
      <c r="G174" s="1"/>
      <c r="H174" s="19"/>
      <c r="I174" s="1"/>
      <c r="J174" s="1"/>
      <c r="K174" s="19"/>
      <c r="L174" s="1"/>
      <c r="M174" s="9"/>
      <c r="N174" s="1"/>
      <c r="O174" s="1"/>
      <c r="P174" s="1"/>
      <c r="Q174" s="1"/>
      <c r="R174" s="1"/>
    </row>
    <row r="175" spans="2:18">
      <c r="B175" s="1"/>
      <c r="C175" s="9"/>
      <c r="D175" s="9"/>
      <c r="E175" s="9"/>
      <c r="F175" s="1"/>
      <c r="G175" s="1"/>
      <c r="H175" s="19"/>
      <c r="I175" s="1"/>
      <c r="J175" s="1"/>
      <c r="K175" s="19"/>
      <c r="L175" s="1"/>
      <c r="M175" s="9"/>
      <c r="N175" s="1"/>
      <c r="O175" s="1"/>
      <c r="P175" s="1"/>
      <c r="Q175" s="1"/>
      <c r="R175" s="1"/>
    </row>
    <row r="176" spans="2:18">
      <c r="B176" s="1"/>
      <c r="C176" s="9"/>
      <c r="D176" s="9"/>
      <c r="E176" s="9"/>
      <c r="F176" s="1"/>
      <c r="G176" s="1"/>
      <c r="H176" s="19"/>
      <c r="I176" s="1"/>
      <c r="J176" s="1"/>
      <c r="K176" s="19"/>
      <c r="L176" s="1"/>
      <c r="M176" s="9"/>
      <c r="N176" s="1"/>
      <c r="O176" s="1"/>
      <c r="P176" s="1"/>
      <c r="Q176" s="1"/>
      <c r="R176" s="1"/>
    </row>
    <row r="177" spans="2:18">
      <c r="B177" s="1"/>
      <c r="C177" s="9"/>
      <c r="D177" s="9"/>
      <c r="E177" s="9"/>
      <c r="F177" s="1"/>
      <c r="G177" s="1"/>
      <c r="H177" s="19"/>
      <c r="I177" s="1"/>
      <c r="J177" s="1"/>
      <c r="K177" s="19"/>
      <c r="L177" s="1"/>
      <c r="M177" s="9"/>
      <c r="N177" s="1"/>
      <c r="O177" s="1"/>
      <c r="P177" s="1"/>
      <c r="Q177" s="1"/>
      <c r="R177" s="1"/>
    </row>
    <row r="178" spans="2:18">
      <c r="B178" s="1"/>
      <c r="C178" s="9"/>
      <c r="D178" s="9"/>
      <c r="E178" s="9"/>
      <c r="F178" s="1"/>
      <c r="G178" s="1"/>
      <c r="H178" s="19"/>
      <c r="I178" s="1"/>
      <c r="J178" s="1"/>
      <c r="K178" s="19"/>
      <c r="L178" s="1"/>
      <c r="M178" s="9"/>
      <c r="N178" s="1"/>
      <c r="O178" s="1"/>
      <c r="P178" s="1"/>
      <c r="Q178" s="1"/>
      <c r="R178" s="1"/>
    </row>
    <row r="179" spans="2:18">
      <c r="B179" s="1"/>
      <c r="C179" s="9"/>
      <c r="D179" s="9"/>
      <c r="E179" s="9"/>
      <c r="F179" s="1"/>
      <c r="G179" s="1"/>
      <c r="H179" s="19"/>
      <c r="I179" s="1"/>
      <c r="J179" s="1"/>
      <c r="K179" s="19"/>
      <c r="L179" s="1"/>
      <c r="M179" s="9"/>
      <c r="N179" s="1"/>
      <c r="O179" s="1"/>
      <c r="P179" s="1"/>
      <c r="Q179" s="1"/>
      <c r="R179" s="1"/>
    </row>
    <row r="180" spans="2:18">
      <c r="B180" s="1"/>
      <c r="C180" s="9"/>
      <c r="D180" s="9"/>
      <c r="E180" s="9"/>
      <c r="F180" s="1"/>
      <c r="G180" s="1"/>
      <c r="H180" s="19"/>
      <c r="I180" s="1"/>
      <c r="J180" s="1"/>
      <c r="K180" s="19"/>
      <c r="L180" s="1"/>
      <c r="M180" s="9"/>
      <c r="N180" s="1"/>
      <c r="O180" s="1"/>
      <c r="P180" s="1"/>
      <c r="Q180" s="1"/>
      <c r="R180" s="1"/>
    </row>
    <row r="181" spans="2:18">
      <c r="B181" s="1"/>
      <c r="C181" s="9"/>
      <c r="D181" s="9"/>
      <c r="E181" s="9"/>
      <c r="F181" s="1"/>
      <c r="G181" s="1"/>
      <c r="H181" s="19"/>
      <c r="I181" s="1"/>
      <c r="J181" s="1"/>
      <c r="K181" s="19"/>
      <c r="L181" s="1"/>
      <c r="M181" s="9"/>
      <c r="N181" s="1"/>
      <c r="O181" s="1"/>
      <c r="P181" s="1"/>
      <c r="Q181" s="1"/>
      <c r="R181" s="1"/>
    </row>
    <row r="182" spans="2:18">
      <c r="B182" s="1"/>
      <c r="C182" s="9"/>
      <c r="D182" s="9"/>
      <c r="E182" s="9"/>
      <c r="F182" s="1"/>
      <c r="G182" s="1"/>
      <c r="H182" s="19"/>
      <c r="I182" s="1"/>
      <c r="J182" s="1"/>
      <c r="K182" s="19"/>
      <c r="L182" s="1"/>
      <c r="M182" s="9"/>
      <c r="N182" s="1"/>
      <c r="O182" s="1"/>
      <c r="P182" s="1"/>
      <c r="Q182" s="1"/>
      <c r="R182" s="1"/>
    </row>
    <row r="183" spans="2:18">
      <c r="B183" s="1"/>
      <c r="C183" s="9"/>
      <c r="D183" s="9"/>
      <c r="E183" s="9"/>
      <c r="F183" s="1"/>
      <c r="G183" s="1"/>
      <c r="H183" s="19"/>
      <c r="I183" s="1"/>
      <c r="J183" s="1"/>
      <c r="K183" s="19"/>
      <c r="L183" s="1"/>
      <c r="M183" s="9"/>
      <c r="N183" s="1"/>
      <c r="O183" s="1"/>
      <c r="P183" s="1"/>
      <c r="Q183" s="1"/>
      <c r="R183" s="1"/>
    </row>
    <row r="184" spans="2:18">
      <c r="B184" s="1"/>
      <c r="C184" s="9"/>
      <c r="D184" s="9"/>
      <c r="E184" s="9"/>
      <c r="F184" s="1"/>
      <c r="G184" s="1"/>
      <c r="H184" s="19"/>
      <c r="I184" s="1"/>
      <c r="J184" s="1"/>
      <c r="K184" s="19"/>
      <c r="L184" s="1"/>
      <c r="M184" s="9"/>
      <c r="N184" s="1"/>
      <c r="O184" s="1"/>
      <c r="P184" s="1"/>
      <c r="Q184" s="1"/>
      <c r="R184" s="1"/>
    </row>
    <row r="185" spans="2:18">
      <c r="B185" s="1"/>
      <c r="C185" s="9"/>
      <c r="D185" s="9"/>
      <c r="E185" s="9"/>
      <c r="F185" s="1"/>
      <c r="G185" s="1"/>
      <c r="H185" s="19"/>
      <c r="I185" s="1"/>
      <c r="J185" s="1"/>
      <c r="K185" s="19"/>
      <c r="L185" s="1"/>
      <c r="M185" s="9"/>
      <c r="N185" s="1"/>
      <c r="O185" s="1"/>
      <c r="P185" s="1"/>
      <c r="Q185" s="1"/>
      <c r="R185" s="1"/>
    </row>
    <row r="186" spans="2:18">
      <c r="B186" s="1"/>
      <c r="C186" s="9"/>
      <c r="D186" s="9"/>
      <c r="E186" s="9"/>
      <c r="F186" s="1"/>
      <c r="G186" s="1"/>
      <c r="H186" s="19"/>
      <c r="I186" s="1"/>
      <c r="J186" s="1"/>
      <c r="K186" s="19"/>
      <c r="L186" s="1"/>
      <c r="M186" s="9"/>
      <c r="N186" s="1"/>
      <c r="O186" s="1"/>
      <c r="P186" s="1"/>
      <c r="Q186" s="1"/>
      <c r="R186" s="1"/>
    </row>
    <row r="187" spans="2:18">
      <c r="B187" s="1"/>
      <c r="C187" s="9"/>
      <c r="D187" s="9"/>
      <c r="E187" s="9"/>
      <c r="F187" s="1"/>
      <c r="G187" s="1"/>
      <c r="H187" s="19"/>
      <c r="I187" s="1"/>
      <c r="J187" s="1"/>
      <c r="K187" s="19"/>
      <c r="L187" s="1"/>
      <c r="M187" s="9"/>
      <c r="N187" s="1"/>
      <c r="O187" s="1"/>
      <c r="P187" s="1"/>
      <c r="Q187" s="1"/>
      <c r="R187" s="1"/>
    </row>
    <row r="188" spans="2:18">
      <c r="B188" s="1"/>
      <c r="C188" s="9"/>
      <c r="D188" s="9"/>
      <c r="E188" s="9"/>
      <c r="F188" s="1"/>
      <c r="G188" s="1"/>
      <c r="H188" s="19"/>
      <c r="I188" s="1"/>
      <c r="J188" s="1"/>
      <c r="K188" s="19"/>
      <c r="L188" s="1"/>
      <c r="M188" s="9"/>
      <c r="N188" s="1"/>
      <c r="O188" s="1"/>
      <c r="P188" s="1"/>
      <c r="Q188" s="1"/>
      <c r="R188" s="1"/>
    </row>
    <row r="189" spans="2:18">
      <c r="B189" s="1"/>
      <c r="C189" s="9"/>
      <c r="D189" s="9"/>
      <c r="E189" s="9"/>
      <c r="F189" s="1"/>
      <c r="G189" s="1"/>
      <c r="H189" s="19"/>
      <c r="I189" s="1"/>
      <c r="J189" s="1"/>
      <c r="K189" s="19"/>
      <c r="L189" s="1"/>
      <c r="M189" s="9"/>
      <c r="N189" s="1"/>
      <c r="O189" s="1"/>
      <c r="P189" s="1"/>
      <c r="Q189" s="1"/>
      <c r="R189" s="1"/>
    </row>
    <row r="190" spans="2:18">
      <c r="B190" s="1"/>
      <c r="C190" s="9"/>
      <c r="D190" s="9"/>
      <c r="E190" s="9"/>
      <c r="F190" s="1"/>
      <c r="G190" s="1"/>
      <c r="H190" s="19"/>
      <c r="I190" s="1"/>
      <c r="J190" s="1"/>
      <c r="K190" s="19"/>
      <c r="L190" s="1"/>
      <c r="M190" s="9"/>
      <c r="N190" s="1"/>
      <c r="O190" s="1"/>
      <c r="P190" s="1"/>
      <c r="Q190" s="1"/>
      <c r="R190" s="1"/>
    </row>
    <row r="191" spans="2:18">
      <c r="B191" s="1"/>
      <c r="C191" s="9"/>
      <c r="D191" s="9"/>
      <c r="E191" s="9"/>
      <c r="F191" s="1"/>
      <c r="G191" s="1"/>
      <c r="H191" s="19"/>
      <c r="I191" s="1"/>
      <c r="J191" s="1"/>
      <c r="K191" s="19"/>
      <c r="L191" s="1"/>
      <c r="M191" s="9"/>
      <c r="N191" s="1"/>
      <c r="O191" s="1"/>
      <c r="P191" s="1"/>
      <c r="Q191" s="1"/>
      <c r="R191" s="1"/>
    </row>
    <row r="192" spans="2:18">
      <c r="B192" s="1"/>
      <c r="C192" s="9"/>
      <c r="D192" s="9"/>
      <c r="E192" s="9"/>
      <c r="F192" s="1"/>
      <c r="G192" s="1"/>
      <c r="H192" s="19"/>
      <c r="I192" s="1"/>
      <c r="J192" s="1"/>
      <c r="K192" s="19"/>
      <c r="L192" s="1"/>
      <c r="M192" s="9"/>
      <c r="N192" s="1"/>
      <c r="O192" s="1"/>
      <c r="P192" s="1"/>
      <c r="Q192" s="1"/>
      <c r="R192" s="1"/>
    </row>
    <row r="193" spans="2:18">
      <c r="B193" s="1"/>
      <c r="C193" s="9"/>
      <c r="D193" s="9"/>
      <c r="E193" s="9"/>
      <c r="F193" s="1"/>
      <c r="G193" s="1"/>
      <c r="H193" s="19"/>
      <c r="I193" s="1"/>
      <c r="J193" s="1"/>
      <c r="K193" s="19"/>
      <c r="L193" s="1"/>
      <c r="M193" s="9"/>
      <c r="N193" s="1"/>
      <c r="O193" s="1"/>
      <c r="P193" s="1"/>
      <c r="Q193" s="1"/>
      <c r="R193" s="1"/>
    </row>
    <row r="194" spans="2:18">
      <c r="B194" s="1"/>
      <c r="C194" s="9"/>
      <c r="D194" s="9"/>
      <c r="E194" s="9"/>
      <c r="F194" s="1"/>
      <c r="G194" s="1"/>
      <c r="H194" s="19"/>
      <c r="I194" s="1"/>
      <c r="J194" s="1"/>
      <c r="K194" s="19"/>
      <c r="L194" s="1"/>
      <c r="M194" s="9"/>
      <c r="N194" s="1"/>
      <c r="O194" s="1"/>
      <c r="P194" s="1"/>
      <c r="Q194" s="1"/>
      <c r="R194" s="1"/>
    </row>
    <row r="195" spans="2:18">
      <c r="B195" s="1"/>
      <c r="C195" s="9"/>
      <c r="D195" s="9"/>
      <c r="E195" s="9"/>
      <c r="F195" s="1"/>
      <c r="G195" s="1"/>
      <c r="H195" s="19"/>
      <c r="I195" s="1"/>
      <c r="J195" s="1"/>
      <c r="K195" s="19"/>
      <c r="L195" s="1"/>
      <c r="M195" s="9"/>
      <c r="N195" s="1"/>
      <c r="O195" s="1"/>
      <c r="P195" s="1"/>
      <c r="Q195" s="1"/>
      <c r="R195" s="1"/>
    </row>
    <row r="196" spans="2:18">
      <c r="B196" s="1"/>
      <c r="C196" s="9"/>
      <c r="D196" s="9"/>
      <c r="E196" s="9"/>
      <c r="F196" s="1"/>
      <c r="G196" s="1"/>
      <c r="H196" s="19"/>
      <c r="I196" s="1"/>
      <c r="J196" s="1"/>
      <c r="K196" s="19"/>
      <c r="L196" s="1"/>
      <c r="M196" s="9"/>
      <c r="N196" s="1"/>
      <c r="O196" s="1"/>
      <c r="P196" s="1"/>
      <c r="Q196" s="1"/>
      <c r="R196" s="1"/>
    </row>
    <row r="197" spans="2:18">
      <c r="B197" s="1"/>
      <c r="C197" s="9"/>
      <c r="D197" s="9"/>
      <c r="E197" s="9"/>
      <c r="F197" s="1"/>
      <c r="G197" s="1"/>
      <c r="H197" s="19"/>
      <c r="I197" s="1"/>
      <c r="J197" s="1"/>
      <c r="K197" s="19"/>
      <c r="L197" s="1"/>
      <c r="M197" s="9"/>
      <c r="N197" s="1"/>
      <c r="O197" s="1"/>
      <c r="P197" s="1"/>
      <c r="Q197" s="1"/>
      <c r="R197" s="1"/>
    </row>
    <row r="198" spans="2:18">
      <c r="B198" s="1"/>
      <c r="C198" s="9"/>
      <c r="D198" s="9"/>
      <c r="E198" s="9"/>
      <c r="F198" s="1"/>
      <c r="G198" s="1"/>
      <c r="H198" s="19"/>
      <c r="I198" s="1"/>
      <c r="J198" s="1"/>
      <c r="K198" s="19"/>
      <c r="L198" s="1"/>
      <c r="M198" s="9"/>
      <c r="N198" s="1"/>
      <c r="O198" s="1"/>
      <c r="P198" s="1"/>
      <c r="Q198" s="1"/>
      <c r="R198" s="1"/>
    </row>
    <row r="199" spans="2:18">
      <c r="B199" s="1"/>
      <c r="C199" s="9"/>
      <c r="D199" s="9"/>
      <c r="E199" s="9"/>
      <c r="F199" s="1"/>
      <c r="G199" s="1"/>
      <c r="H199" s="19"/>
      <c r="I199" s="1"/>
      <c r="J199" s="1"/>
      <c r="K199" s="19"/>
      <c r="L199" s="1"/>
      <c r="M199" s="9"/>
      <c r="N199" s="1"/>
      <c r="O199" s="1"/>
      <c r="P199" s="1"/>
      <c r="Q199" s="1"/>
      <c r="R199" s="1"/>
    </row>
    <row r="200" spans="2:18">
      <c r="B200" s="1"/>
      <c r="C200" s="9"/>
      <c r="D200" s="9"/>
      <c r="E200" s="9"/>
      <c r="F200" s="1"/>
      <c r="G200" s="1"/>
      <c r="H200" s="19"/>
      <c r="I200" s="1"/>
      <c r="J200" s="1"/>
      <c r="K200" s="19"/>
      <c r="L200" s="1"/>
      <c r="M200" s="9"/>
      <c r="N200" s="1"/>
      <c r="O200" s="1"/>
      <c r="P200" s="1"/>
      <c r="Q200" s="1"/>
      <c r="R200" s="1"/>
    </row>
    <row r="201" spans="2:18">
      <c r="B201" s="1"/>
      <c r="C201" s="9"/>
      <c r="D201" s="9"/>
      <c r="E201" s="9"/>
      <c r="F201" s="1"/>
      <c r="G201" s="1"/>
      <c r="H201" s="19"/>
      <c r="I201" s="1"/>
      <c r="J201" s="1"/>
      <c r="K201" s="19"/>
      <c r="L201" s="1"/>
      <c r="M201" s="9"/>
      <c r="N201" s="1"/>
      <c r="O201" s="1"/>
      <c r="P201" s="1"/>
      <c r="Q201" s="1"/>
      <c r="R201" s="1"/>
    </row>
    <row r="202" spans="2:18">
      <c r="B202" s="1"/>
      <c r="C202" s="9"/>
      <c r="D202" s="9"/>
      <c r="E202" s="9"/>
      <c r="F202" s="1"/>
      <c r="G202" s="1"/>
      <c r="H202" s="19"/>
      <c r="I202" s="1"/>
      <c r="J202" s="1"/>
      <c r="K202" s="19"/>
      <c r="L202" s="1"/>
      <c r="M202" s="9"/>
      <c r="N202" s="1"/>
      <c r="O202" s="1"/>
      <c r="P202" s="1"/>
      <c r="Q202" s="1"/>
      <c r="R202" s="1"/>
    </row>
    <row r="203" spans="2:18">
      <c r="B203" s="1"/>
      <c r="C203" s="9"/>
      <c r="D203" s="9"/>
      <c r="E203" s="9"/>
      <c r="F203" s="1"/>
      <c r="G203" s="1"/>
      <c r="H203" s="19"/>
      <c r="I203" s="1"/>
      <c r="J203" s="1"/>
      <c r="K203" s="19"/>
      <c r="L203" s="1"/>
      <c r="M203" s="9"/>
      <c r="N203" s="1"/>
      <c r="O203" s="1"/>
      <c r="P203" s="1"/>
      <c r="Q203" s="1"/>
      <c r="R203" s="1"/>
    </row>
    <row r="204" spans="2:18">
      <c r="B204" s="1"/>
      <c r="C204" s="9"/>
      <c r="D204" s="9"/>
      <c r="E204" s="9"/>
      <c r="F204" s="1"/>
      <c r="G204" s="1"/>
      <c r="H204" s="19"/>
      <c r="I204" s="1"/>
      <c r="J204" s="1"/>
      <c r="K204" s="19"/>
      <c r="L204" s="1"/>
      <c r="M204" s="9"/>
      <c r="N204" s="1"/>
      <c r="O204" s="1"/>
      <c r="P204" s="1"/>
      <c r="Q204" s="1"/>
      <c r="R204" s="1"/>
    </row>
    <row r="205" spans="2:18">
      <c r="B205" s="1"/>
      <c r="C205" s="9"/>
      <c r="D205" s="9"/>
      <c r="E205" s="9"/>
      <c r="F205" s="1"/>
      <c r="G205" s="1"/>
      <c r="H205" s="19"/>
      <c r="I205" s="1"/>
      <c r="J205" s="1"/>
      <c r="K205" s="19"/>
      <c r="L205" s="1"/>
      <c r="M205" s="9"/>
      <c r="N205" s="1"/>
      <c r="O205" s="1"/>
      <c r="P205" s="1"/>
      <c r="Q205" s="1"/>
      <c r="R205" s="1"/>
    </row>
    <row r="206" spans="2:18">
      <c r="B206" s="1"/>
      <c r="C206" s="9"/>
      <c r="D206" s="9"/>
      <c r="E206" s="9"/>
      <c r="F206" s="1"/>
      <c r="G206" s="1"/>
      <c r="H206" s="19"/>
      <c r="I206" s="1"/>
      <c r="J206" s="1"/>
      <c r="K206" s="19"/>
      <c r="L206" s="1"/>
      <c r="M206" s="9"/>
      <c r="N206" s="1"/>
      <c r="O206" s="1"/>
      <c r="P206" s="1"/>
      <c r="Q206" s="1"/>
      <c r="R206" s="1"/>
    </row>
    <row r="207" spans="2:18">
      <c r="B207" s="1"/>
      <c r="C207" s="9"/>
      <c r="D207" s="9"/>
      <c r="E207" s="9"/>
      <c r="F207" s="1"/>
      <c r="G207" s="1"/>
      <c r="H207" s="19"/>
      <c r="I207" s="1"/>
      <c r="J207" s="1"/>
      <c r="K207" s="19"/>
      <c r="L207" s="1"/>
      <c r="M207" s="9"/>
      <c r="N207" s="1"/>
      <c r="O207" s="1"/>
      <c r="P207" s="1"/>
      <c r="Q207" s="1"/>
      <c r="R207" s="1"/>
    </row>
    <row r="208" spans="2:18">
      <c r="B208" s="1"/>
      <c r="C208" s="9"/>
      <c r="D208" s="9"/>
      <c r="E208" s="9"/>
      <c r="F208" s="1"/>
      <c r="G208" s="1"/>
      <c r="H208" s="19"/>
      <c r="I208" s="1"/>
      <c r="J208" s="1"/>
      <c r="K208" s="19"/>
      <c r="L208" s="1"/>
      <c r="M208" s="9"/>
      <c r="N208" s="1"/>
      <c r="O208" s="1"/>
      <c r="P208" s="1"/>
      <c r="Q208" s="1"/>
      <c r="R208" s="1"/>
    </row>
    <row r="209" spans="2:18">
      <c r="B209" s="1"/>
      <c r="C209" s="9"/>
      <c r="D209" s="9"/>
      <c r="E209" s="9"/>
      <c r="F209" s="1"/>
      <c r="G209" s="1"/>
      <c r="H209" s="19"/>
      <c r="I209" s="1"/>
      <c r="J209" s="1"/>
      <c r="K209" s="19"/>
      <c r="L209" s="1"/>
      <c r="M209" s="9"/>
      <c r="N209" s="1"/>
      <c r="O209" s="1"/>
      <c r="P209" s="1"/>
      <c r="Q209" s="1"/>
      <c r="R209" s="1"/>
    </row>
    <row r="210" spans="2:18">
      <c r="B210" s="1"/>
      <c r="C210" s="9"/>
      <c r="D210" s="9"/>
      <c r="E210" s="9"/>
      <c r="F210" s="1"/>
      <c r="G210" s="1"/>
      <c r="H210" s="19"/>
      <c r="I210" s="1"/>
      <c r="J210" s="1"/>
      <c r="K210" s="19"/>
      <c r="L210" s="1"/>
      <c r="M210" s="9"/>
      <c r="N210" s="1"/>
      <c r="O210" s="1"/>
      <c r="P210" s="1"/>
      <c r="Q210" s="1"/>
      <c r="R210" s="1"/>
    </row>
    <row r="211" spans="2:18">
      <c r="B211" s="1"/>
      <c r="C211" s="9"/>
      <c r="D211" s="9"/>
      <c r="E211" s="9"/>
      <c r="F211" s="1"/>
      <c r="G211" s="1"/>
      <c r="H211" s="19"/>
      <c r="I211" s="1"/>
      <c r="J211" s="1"/>
      <c r="K211" s="19"/>
      <c r="L211" s="1"/>
      <c r="M211" s="9"/>
      <c r="N211" s="1"/>
      <c r="O211" s="1"/>
      <c r="P211" s="1"/>
      <c r="Q211" s="1"/>
      <c r="R211" s="1"/>
    </row>
    <row r="212" spans="2:18">
      <c r="B212" s="1"/>
      <c r="C212" s="9"/>
      <c r="D212" s="9"/>
      <c r="E212" s="9"/>
      <c r="F212" s="1"/>
      <c r="G212" s="1"/>
      <c r="H212" s="19"/>
      <c r="I212" s="1"/>
      <c r="J212" s="1"/>
      <c r="K212" s="19"/>
      <c r="L212" s="1"/>
      <c r="M212" s="9"/>
      <c r="N212" s="1"/>
      <c r="O212" s="1"/>
      <c r="P212" s="1"/>
      <c r="Q212" s="1"/>
      <c r="R212" s="1"/>
    </row>
    <row r="213" spans="2:18">
      <c r="B213" s="1"/>
      <c r="C213" s="9"/>
      <c r="D213" s="9"/>
      <c r="E213" s="9"/>
      <c r="F213" s="1"/>
      <c r="G213" s="1"/>
      <c r="H213" s="19"/>
      <c r="I213" s="1"/>
      <c r="J213" s="1"/>
      <c r="K213" s="19"/>
      <c r="L213" s="1"/>
      <c r="M213" s="9"/>
      <c r="N213" s="1"/>
      <c r="O213" s="1"/>
      <c r="P213" s="1"/>
      <c r="Q213" s="1"/>
      <c r="R213" s="1"/>
    </row>
    <row r="214" spans="2:18">
      <c r="B214" s="1"/>
      <c r="C214" s="9"/>
      <c r="D214" s="9"/>
      <c r="E214" s="9"/>
      <c r="F214" s="1"/>
      <c r="G214" s="1"/>
      <c r="H214" s="19"/>
      <c r="I214" s="1"/>
      <c r="J214" s="1"/>
      <c r="K214" s="19"/>
      <c r="L214" s="1"/>
      <c r="M214" s="9"/>
      <c r="N214" s="1"/>
      <c r="O214" s="1"/>
      <c r="P214" s="1"/>
      <c r="Q214" s="1"/>
      <c r="R214" s="1"/>
    </row>
    <row r="215" spans="2:18">
      <c r="B215" s="1"/>
      <c r="C215" s="9"/>
      <c r="D215" s="9"/>
      <c r="E215" s="9"/>
      <c r="F215" s="1"/>
      <c r="G215" s="1"/>
      <c r="H215" s="19"/>
      <c r="I215" s="1"/>
      <c r="J215" s="1"/>
      <c r="K215" s="19"/>
      <c r="L215" s="1"/>
      <c r="M215" s="9"/>
      <c r="N215" s="1"/>
      <c r="O215" s="1"/>
      <c r="P215" s="1"/>
      <c r="Q215" s="1"/>
      <c r="R215" s="1"/>
    </row>
    <row r="216" spans="2:18">
      <c r="B216" s="1"/>
      <c r="C216" s="9"/>
      <c r="D216" s="9"/>
      <c r="E216" s="9"/>
      <c r="F216" s="1"/>
      <c r="G216" s="1"/>
      <c r="H216" s="19"/>
      <c r="I216" s="1"/>
      <c r="J216" s="1"/>
      <c r="K216" s="19"/>
      <c r="L216" s="1"/>
      <c r="M216" s="9"/>
      <c r="N216" s="1"/>
      <c r="O216" s="1"/>
      <c r="P216" s="1"/>
      <c r="Q216" s="1"/>
      <c r="R216" s="1"/>
    </row>
    <row r="217" spans="2:18">
      <c r="B217" s="1"/>
      <c r="C217" s="9"/>
      <c r="D217" s="9"/>
      <c r="E217" s="9"/>
      <c r="F217" s="1"/>
      <c r="G217" s="1"/>
      <c r="H217" s="19"/>
      <c r="I217" s="1"/>
      <c r="J217" s="1"/>
      <c r="K217" s="19"/>
      <c r="L217" s="1"/>
      <c r="M217" s="9"/>
      <c r="N217" s="1"/>
      <c r="O217" s="1"/>
      <c r="P217" s="1"/>
      <c r="Q217" s="1"/>
      <c r="R217" s="1"/>
    </row>
    <row r="218" spans="2:18">
      <c r="B218" s="1"/>
      <c r="C218" s="9"/>
      <c r="D218" s="9"/>
      <c r="E218" s="9"/>
      <c r="F218" s="1"/>
      <c r="G218" s="1"/>
      <c r="H218" s="19"/>
      <c r="I218" s="1"/>
      <c r="J218" s="1"/>
      <c r="K218" s="19"/>
      <c r="L218" s="1"/>
      <c r="M218" s="9"/>
      <c r="N218" s="1"/>
      <c r="O218" s="1"/>
      <c r="P218" s="1"/>
      <c r="Q218" s="1"/>
      <c r="R218" s="1"/>
    </row>
    <row r="219" spans="2:18">
      <c r="B219" s="1"/>
      <c r="C219" s="9"/>
      <c r="D219" s="9"/>
      <c r="E219" s="9"/>
      <c r="F219" s="1"/>
      <c r="G219" s="1"/>
      <c r="H219" s="19"/>
      <c r="I219" s="1"/>
      <c r="J219" s="1"/>
      <c r="K219" s="19"/>
      <c r="L219" s="1"/>
      <c r="M219" s="9"/>
      <c r="N219" s="1"/>
      <c r="O219" s="1"/>
      <c r="P219" s="1"/>
      <c r="Q219" s="1"/>
      <c r="R219" s="1"/>
    </row>
    <row r="220" spans="2:18">
      <c r="B220" s="1"/>
      <c r="C220" s="9"/>
      <c r="D220" s="9"/>
      <c r="E220" s="9"/>
      <c r="F220" s="1"/>
      <c r="G220" s="1"/>
      <c r="H220" s="19"/>
      <c r="I220" s="1"/>
      <c r="J220" s="1"/>
      <c r="K220" s="19"/>
      <c r="L220" s="1"/>
      <c r="M220" s="9"/>
      <c r="N220" s="1"/>
      <c r="O220" s="1"/>
      <c r="P220" s="1"/>
      <c r="Q220" s="1"/>
      <c r="R220" s="1"/>
    </row>
    <row r="221" spans="2:18">
      <c r="B221" s="1"/>
      <c r="C221" s="9"/>
      <c r="D221" s="9"/>
      <c r="E221" s="9"/>
      <c r="F221" s="1"/>
      <c r="G221" s="1"/>
      <c r="H221" s="19"/>
      <c r="I221" s="1"/>
      <c r="J221" s="1"/>
      <c r="K221" s="19"/>
      <c r="L221" s="1"/>
      <c r="M221" s="9"/>
      <c r="N221" s="1"/>
      <c r="O221" s="1"/>
      <c r="P221" s="1"/>
      <c r="Q221" s="1"/>
      <c r="R221" s="1"/>
    </row>
    <row r="222" spans="2:18">
      <c r="B222" s="1"/>
      <c r="C222" s="9"/>
      <c r="D222" s="9"/>
      <c r="E222" s="9"/>
      <c r="F222" s="1"/>
      <c r="G222" s="1"/>
      <c r="H222" s="19"/>
      <c r="I222" s="1"/>
      <c r="J222" s="1"/>
      <c r="K222" s="19"/>
      <c r="L222" s="1"/>
      <c r="M222" s="9"/>
      <c r="N222" s="1"/>
      <c r="O222" s="1"/>
      <c r="P222" s="1"/>
      <c r="Q222" s="1"/>
      <c r="R222" s="1"/>
    </row>
    <row r="223" spans="2:18">
      <c r="B223" s="1"/>
      <c r="C223" s="9"/>
      <c r="D223" s="9"/>
      <c r="E223" s="9"/>
      <c r="F223" s="1"/>
      <c r="G223" s="1"/>
      <c r="H223" s="19"/>
      <c r="I223" s="1"/>
      <c r="J223" s="1"/>
      <c r="K223" s="19"/>
      <c r="L223" s="1"/>
      <c r="M223" s="9"/>
      <c r="N223" s="1"/>
      <c r="O223" s="1"/>
      <c r="P223" s="1"/>
      <c r="Q223" s="1"/>
      <c r="R223" s="1"/>
    </row>
    <row r="224" spans="2:18">
      <c r="B224" s="1"/>
      <c r="C224" s="9"/>
      <c r="D224" s="9"/>
      <c r="E224" s="9"/>
      <c r="F224" s="1"/>
      <c r="G224" s="1"/>
      <c r="H224" s="19"/>
      <c r="I224" s="1"/>
      <c r="J224" s="1"/>
      <c r="K224" s="19"/>
      <c r="L224" s="1"/>
      <c r="M224" s="9"/>
      <c r="N224" s="1"/>
      <c r="O224" s="1"/>
      <c r="P224" s="1"/>
      <c r="Q224" s="1"/>
      <c r="R224" s="1"/>
    </row>
    <row r="225" spans="2:18">
      <c r="B225" s="1"/>
      <c r="C225" s="9"/>
      <c r="D225" s="9"/>
      <c r="E225" s="9"/>
      <c r="F225" s="1"/>
      <c r="G225" s="1"/>
      <c r="H225" s="19"/>
      <c r="I225" s="1"/>
      <c r="J225" s="1"/>
      <c r="K225" s="19"/>
      <c r="L225" s="1"/>
      <c r="M225" s="9"/>
      <c r="N225" s="1"/>
      <c r="O225" s="1"/>
      <c r="P225" s="1"/>
      <c r="Q225" s="1"/>
      <c r="R225" s="1"/>
    </row>
    <row r="226" spans="2:18">
      <c r="B226" s="1"/>
      <c r="C226" s="9"/>
      <c r="D226" s="9"/>
      <c r="E226" s="9"/>
      <c r="F226" s="1"/>
      <c r="G226" s="1"/>
      <c r="H226" s="19"/>
      <c r="I226" s="1"/>
      <c r="J226" s="1"/>
      <c r="K226" s="19"/>
      <c r="L226" s="1"/>
      <c r="M226" s="9"/>
      <c r="N226" s="1"/>
      <c r="O226" s="1"/>
      <c r="P226" s="1"/>
      <c r="Q226" s="1"/>
      <c r="R226" s="1"/>
    </row>
    <row r="227" spans="2:18">
      <c r="B227" s="1"/>
      <c r="C227" s="9"/>
      <c r="D227" s="9"/>
      <c r="E227" s="9"/>
      <c r="F227" s="1"/>
      <c r="G227" s="1"/>
      <c r="H227" s="19"/>
      <c r="I227" s="1"/>
      <c r="J227" s="1"/>
      <c r="K227" s="19"/>
      <c r="L227" s="1"/>
      <c r="M227" s="9"/>
      <c r="N227" s="1"/>
      <c r="O227" s="1"/>
      <c r="P227" s="1"/>
      <c r="Q227" s="1"/>
      <c r="R227" s="1"/>
    </row>
    <row r="228" spans="2:18">
      <c r="B228" s="1"/>
      <c r="C228" s="9"/>
      <c r="D228" s="9"/>
      <c r="E228" s="9"/>
      <c r="F228" s="1"/>
      <c r="G228" s="1"/>
      <c r="H228" s="19"/>
      <c r="I228" s="1"/>
      <c r="J228" s="1"/>
      <c r="K228" s="19"/>
      <c r="L228" s="1"/>
      <c r="M228" s="9"/>
      <c r="N228" s="1"/>
      <c r="O228" s="1"/>
      <c r="P228" s="1"/>
      <c r="Q228" s="1"/>
      <c r="R228" s="1"/>
    </row>
    <row r="229" spans="2:18">
      <c r="B229" s="1"/>
      <c r="C229" s="9"/>
      <c r="D229" s="9"/>
      <c r="E229" s="9"/>
      <c r="F229" s="1"/>
      <c r="G229" s="1"/>
      <c r="H229" s="19"/>
      <c r="I229" s="1"/>
      <c r="J229" s="1"/>
      <c r="K229" s="19"/>
      <c r="L229" s="1"/>
      <c r="M229" s="9"/>
      <c r="N229" s="1"/>
      <c r="O229" s="1"/>
      <c r="P229" s="1"/>
      <c r="Q229" s="1"/>
      <c r="R229" s="1"/>
    </row>
    <row r="230" spans="2:18">
      <c r="B230" s="1"/>
      <c r="C230" s="9"/>
      <c r="D230" s="9"/>
      <c r="E230" s="9"/>
      <c r="F230" s="1"/>
      <c r="G230" s="1"/>
      <c r="H230" s="19"/>
      <c r="I230" s="1"/>
      <c r="J230" s="1"/>
      <c r="K230" s="19"/>
      <c r="L230" s="1"/>
      <c r="M230" s="9"/>
      <c r="N230" s="1"/>
      <c r="O230" s="1"/>
      <c r="P230" s="1"/>
      <c r="Q230" s="1"/>
      <c r="R230" s="1"/>
    </row>
    <row r="231" spans="2:18">
      <c r="B231" s="1"/>
      <c r="C231" s="9"/>
      <c r="D231" s="9"/>
      <c r="E231" s="9"/>
      <c r="F231" s="1"/>
      <c r="G231" s="1"/>
      <c r="H231" s="19"/>
      <c r="I231" s="1"/>
      <c r="J231" s="1"/>
      <c r="K231" s="19"/>
      <c r="L231" s="1"/>
      <c r="M231" s="9"/>
      <c r="N231" s="1"/>
      <c r="O231" s="1"/>
      <c r="P231" s="1"/>
      <c r="Q231" s="1"/>
      <c r="R231" s="1"/>
    </row>
    <row r="232" spans="2:18">
      <c r="B232" s="1"/>
      <c r="C232" s="9"/>
      <c r="D232" s="9"/>
      <c r="E232" s="9"/>
      <c r="F232" s="1"/>
      <c r="G232" s="1"/>
      <c r="H232" s="19"/>
      <c r="I232" s="1"/>
      <c r="J232" s="1"/>
      <c r="K232" s="19"/>
      <c r="L232" s="1"/>
      <c r="M232" s="9"/>
      <c r="N232" s="1"/>
      <c r="O232" s="1"/>
      <c r="P232" s="1"/>
      <c r="Q232" s="1"/>
      <c r="R232" s="1"/>
    </row>
    <row r="233" spans="2:18">
      <c r="B233" s="1"/>
      <c r="C233" s="9"/>
      <c r="D233" s="9"/>
      <c r="E233" s="9"/>
      <c r="F233" s="1"/>
      <c r="G233" s="1"/>
      <c r="H233" s="19"/>
      <c r="I233" s="1"/>
      <c r="J233" s="1"/>
      <c r="K233" s="19"/>
      <c r="L233" s="1"/>
      <c r="M233" s="9"/>
      <c r="N233" s="1"/>
      <c r="O233" s="1"/>
      <c r="P233" s="1"/>
      <c r="Q233" s="1"/>
      <c r="R233" s="1"/>
    </row>
    <row r="234" spans="2:18">
      <c r="B234" s="1"/>
      <c r="C234" s="9"/>
      <c r="D234" s="9"/>
      <c r="E234" s="9"/>
      <c r="F234" s="1"/>
      <c r="G234" s="1"/>
      <c r="H234" s="19"/>
      <c r="I234" s="1"/>
      <c r="J234" s="1"/>
      <c r="K234" s="19"/>
      <c r="L234" s="1"/>
      <c r="M234" s="9"/>
      <c r="N234" s="1"/>
      <c r="O234" s="1"/>
      <c r="P234" s="1"/>
      <c r="Q234" s="1"/>
      <c r="R234" s="1"/>
    </row>
    <row r="235" spans="2:18">
      <c r="B235" s="1"/>
      <c r="C235" s="9"/>
      <c r="D235" s="9"/>
      <c r="E235" s="9"/>
      <c r="F235" s="1"/>
      <c r="G235" s="1"/>
      <c r="H235" s="19"/>
      <c r="I235" s="1"/>
      <c r="J235" s="1"/>
      <c r="K235" s="19"/>
      <c r="L235" s="1"/>
      <c r="M235" s="9"/>
      <c r="N235" s="1"/>
      <c r="O235" s="1"/>
      <c r="P235" s="1"/>
      <c r="Q235" s="1"/>
      <c r="R235" s="1"/>
    </row>
    <row r="236" spans="2:18">
      <c r="B236" s="1"/>
      <c r="C236" s="9"/>
      <c r="D236" s="9"/>
      <c r="E236" s="9"/>
      <c r="F236" s="1"/>
      <c r="G236" s="1"/>
      <c r="H236" s="19"/>
      <c r="I236" s="1"/>
      <c r="J236" s="1"/>
      <c r="K236" s="19"/>
      <c r="L236" s="1"/>
      <c r="M236" s="9"/>
      <c r="N236" s="1"/>
      <c r="O236" s="1"/>
      <c r="P236" s="1"/>
      <c r="Q236" s="1"/>
      <c r="R236" s="1"/>
    </row>
    <row r="237" spans="2:18">
      <c r="B237" s="1"/>
      <c r="C237" s="9"/>
      <c r="D237" s="9"/>
      <c r="E237" s="9"/>
      <c r="F237" s="1"/>
      <c r="G237" s="1"/>
      <c r="H237" s="19"/>
      <c r="I237" s="1"/>
      <c r="J237" s="1"/>
      <c r="K237" s="19"/>
      <c r="L237" s="1"/>
      <c r="M237" s="9"/>
      <c r="N237" s="1"/>
      <c r="O237" s="1"/>
      <c r="P237" s="1"/>
      <c r="Q237" s="1"/>
      <c r="R237" s="1"/>
    </row>
    <row r="238" spans="2:18">
      <c r="B238" s="1"/>
      <c r="C238" s="9"/>
      <c r="D238" s="9"/>
      <c r="E238" s="9"/>
      <c r="F238" s="1"/>
      <c r="G238" s="1"/>
      <c r="H238" s="19"/>
      <c r="I238" s="1"/>
      <c r="J238" s="1"/>
      <c r="K238" s="19"/>
      <c r="L238" s="1"/>
      <c r="M238" s="9"/>
      <c r="N238" s="1"/>
      <c r="O238" s="1"/>
      <c r="P238" s="1"/>
      <c r="Q238" s="1"/>
      <c r="R238" s="1"/>
    </row>
    <row r="239" spans="2:18">
      <c r="B239" s="1"/>
      <c r="C239" s="9"/>
      <c r="D239" s="9"/>
      <c r="E239" s="9"/>
      <c r="F239" s="1"/>
      <c r="G239" s="1"/>
      <c r="H239" s="19"/>
      <c r="I239" s="1"/>
      <c r="J239" s="1"/>
      <c r="K239" s="19"/>
      <c r="L239" s="1"/>
      <c r="M239" s="9"/>
      <c r="N239" s="1"/>
      <c r="O239" s="1"/>
      <c r="P239" s="1"/>
      <c r="Q239" s="1"/>
      <c r="R239" s="1"/>
    </row>
    <row r="240" spans="2:18">
      <c r="B240" s="1"/>
      <c r="C240" s="9"/>
      <c r="D240" s="9"/>
      <c r="E240" s="9"/>
      <c r="F240" s="1"/>
      <c r="G240" s="1"/>
      <c r="H240" s="19"/>
      <c r="I240" s="1"/>
      <c r="J240" s="1"/>
      <c r="K240" s="19"/>
      <c r="L240" s="1"/>
      <c r="M240" s="9"/>
      <c r="N240" s="1"/>
      <c r="O240" s="1"/>
      <c r="P240" s="1"/>
      <c r="Q240" s="1"/>
      <c r="R240" s="1"/>
    </row>
    <row r="241" spans="2:18">
      <c r="B241" s="1"/>
      <c r="C241" s="9"/>
      <c r="D241" s="9"/>
      <c r="E241" s="9"/>
      <c r="F241" s="1"/>
      <c r="G241" s="1"/>
      <c r="H241" s="19"/>
      <c r="I241" s="1"/>
      <c r="J241" s="1"/>
      <c r="K241" s="19"/>
      <c r="L241" s="1"/>
      <c r="M241" s="9"/>
      <c r="N241" s="1"/>
      <c r="O241" s="1"/>
      <c r="P241" s="1"/>
      <c r="Q241" s="1"/>
      <c r="R241" s="1"/>
    </row>
    <row r="242" spans="2:18">
      <c r="B242" s="1"/>
      <c r="C242" s="9"/>
      <c r="D242" s="9"/>
      <c r="E242" s="9"/>
      <c r="F242" s="1"/>
      <c r="G242" s="1"/>
      <c r="H242" s="19"/>
      <c r="I242" s="1"/>
      <c r="J242" s="1"/>
      <c r="K242" s="19"/>
      <c r="L242" s="1"/>
      <c r="M242" s="9"/>
      <c r="N242" s="1"/>
      <c r="O242" s="1"/>
      <c r="P242" s="1"/>
      <c r="Q242" s="1"/>
      <c r="R242" s="1"/>
    </row>
    <row r="243" spans="2:18">
      <c r="B243" s="1"/>
      <c r="C243" s="9"/>
      <c r="D243" s="9"/>
      <c r="E243" s="9"/>
      <c r="F243" s="1"/>
      <c r="G243" s="1"/>
      <c r="H243" s="19"/>
      <c r="I243" s="1"/>
      <c r="J243" s="1"/>
      <c r="K243" s="19"/>
      <c r="L243" s="1"/>
      <c r="M243" s="9"/>
      <c r="N243" s="1"/>
      <c r="O243" s="1"/>
      <c r="P243" s="1"/>
      <c r="Q243" s="1"/>
      <c r="R243" s="1"/>
    </row>
    <row r="244" spans="2:18">
      <c r="B244" s="1"/>
      <c r="C244" s="9"/>
      <c r="D244" s="9"/>
      <c r="E244" s="9"/>
      <c r="F244" s="1"/>
      <c r="G244" s="1"/>
      <c r="H244" s="19"/>
      <c r="I244" s="1"/>
      <c r="J244" s="1"/>
      <c r="K244" s="19"/>
      <c r="L244" s="1"/>
      <c r="M244" s="9"/>
      <c r="N244" s="1"/>
      <c r="O244" s="1"/>
      <c r="P244" s="1"/>
      <c r="Q244" s="1"/>
      <c r="R244" s="1"/>
    </row>
    <row r="245" spans="2:18">
      <c r="B245" s="1"/>
      <c r="C245" s="9"/>
      <c r="D245" s="9"/>
      <c r="E245" s="9"/>
      <c r="F245" s="1"/>
      <c r="G245" s="1"/>
      <c r="H245" s="19"/>
      <c r="I245" s="1"/>
      <c r="J245" s="1"/>
      <c r="K245" s="19"/>
      <c r="L245" s="1"/>
      <c r="M245" s="9"/>
      <c r="N245" s="1"/>
      <c r="O245" s="1"/>
      <c r="P245" s="1"/>
      <c r="Q245" s="1"/>
      <c r="R245" s="1"/>
    </row>
    <row r="246" spans="2:18">
      <c r="B246" s="1"/>
      <c r="C246" s="9"/>
      <c r="D246" s="9"/>
      <c r="E246" s="9"/>
      <c r="F246" s="1"/>
      <c r="G246" s="1"/>
      <c r="H246" s="19"/>
      <c r="I246" s="1"/>
      <c r="J246" s="1"/>
      <c r="K246" s="19"/>
      <c r="L246" s="1"/>
      <c r="M246" s="9"/>
      <c r="N246" s="1"/>
      <c r="O246" s="1"/>
      <c r="P246" s="1"/>
      <c r="Q246" s="1"/>
      <c r="R246" s="1"/>
    </row>
    <row r="247" spans="2:18">
      <c r="B247" s="1"/>
      <c r="C247" s="9"/>
      <c r="D247" s="9"/>
      <c r="E247" s="9"/>
      <c r="F247" s="1"/>
      <c r="G247" s="1"/>
      <c r="H247" s="19"/>
      <c r="I247" s="1"/>
      <c r="J247" s="1"/>
      <c r="K247" s="19"/>
      <c r="L247" s="1"/>
      <c r="M247" s="9"/>
      <c r="N247" s="1"/>
      <c r="O247" s="1"/>
      <c r="P247" s="1"/>
      <c r="Q247" s="1"/>
      <c r="R247" s="1"/>
    </row>
    <row r="248" spans="2:18">
      <c r="B248" s="1"/>
      <c r="C248" s="9"/>
      <c r="D248" s="9"/>
      <c r="E248" s="9"/>
      <c r="F248" s="1"/>
      <c r="G248" s="1"/>
      <c r="H248" s="19"/>
      <c r="I248" s="1"/>
      <c r="J248" s="1"/>
      <c r="K248" s="19"/>
      <c r="L248" s="1"/>
      <c r="M248" s="9"/>
      <c r="N248" s="1"/>
      <c r="O248" s="1"/>
      <c r="P248" s="1"/>
      <c r="Q248" s="1"/>
      <c r="R248" s="1"/>
    </row>
    <row r="249" spans="2:18">
      <c r="B249" s="1"/>
      <c r="C249" s="9"/>
      <c r="D249" s="9"/>
      <c r="E249" s="9"/>
      <c r="F249" s="1"/>
      <c r="G249" s="1"/>
      <c r="H249" s="19"/>
      <c r="I249" s="1"/>
      <c r="J249" s="1"/>
      <c r="K249" s="19"/>
      <c r="L249" s="1"/>
      <c r="M249" s="9"/>
      <c r="N249" s="1"/>
      <c r="O249" s="1"/>
      <c r="P249" s="1"/>
      <c r="Q249" s="1"/>
      <c r="R249" s="1"/>
    </row>
    <row r="250" spans="2:18">
      <c r="B250" s="1"/>
      <c r="C250" s="9"/>
      <c r="D250" s="9"/>
      <c r="E250" s="9"/>
      <c r="F250" s="1"/>
      <c r="G250" s="1"/>
      <c r="H250" s="19"/>
      <c r="I250" s="1"/>
      <c r="J250" s="1"/>
      <c r="K250" s="19"/>
      <c r="L250" s="1"/>
      <c r="M250" s="9"/>
      <c r="N250" s="1"/>
      <c r="O250" s="1"/>
      <c r="P250" s="1"/>
      <c r="Q250" s="1"/>
      <c r="R250" s="1"/>
    </row>
    <row r="251" spans="2:18">
      <c r="B251" s="1"/>
      <c r="C251" s="9"/>
      <c r="D251" s="9"/>
      <c r="E251" s="9"/>
      <c r="F251" s="1"/>
      <c r="G251" s="1"/>
      <c r="H251" s="19"/>
      <c r="I251" s="1"/>
      <c r="J251" s="1"/>
      <c r="K251" s="19"/>
      <c r="L251" s="1"/>
      <c r="M251" s="9"/>
      <c r="N251" s="1"/>
      <c r="O251" s="1"/>
      <c r="P251" s="1"/>
      <c r="Q251" s="1"/>
      <c r="R251" s="1"/>
    </row>
    <row r="252" spans="2:18">
      <c r="B252" s="1"/>
      <c r="C252" s="9"/>
      <c r="D252" s="9"/>
      <c r="E252" s="9"/>
      <c r="F252" s="1"/>
      <c r="G252" s="1"/>
      <c r="H252" s="19"/>
      <c r="I252" s="1"/>
      <c r="J252" s="1"/>
      <c r="K252" s="19"/>
      <c r="L252" s="1"/>
      <c r="M252" s="9"/>
      <c r="N252" s="1"/>
      <c r="O252" s="1"/>
      <c r="P252" s="1"/>
      <c r="Q252" s="1"/>
      <c r="R252" s="1"/>
    </row>
    <row r="253" spans="2:18">
      <c r="B253" s="1"/>
      <c r="C253" s="9"/>
      <c r="D253" s="9"/>
      <c r="E253" s="9"/>
      <c r="F253" s="1"/>
      <c r="G253" s="1"/>
      <c r="H253" s="19"/>
      <c r="I253" s="1"/>
      <c r="J253" s="1"/>
      <c r="K253" s="19"/>
      <c r="L253" s="1"/>
      <c r="M253" s="9"/>
      <c r="N253" s="1"/>
      <c r="O253" s="1"/>
      <c r="P253" s="1"/>
      <c r="Q253" s="1"/>
      <c r="R253" s="1"/>
    </row>
    <row r="254" spans="2:18">
      <c r="B254" s="1"/>
      <c r="C254" s="9"/>
      <c r="D254" s="9"/>
      <c r="E254" s="9"/>
      <c r="F254" s="1"/>
      <c r="G254" s="1"/>
      <c r="H254" s="19"/>
      <c r="I254" s="1"/>
      <c r="J254" s="1"/>
      <c r="K254" s="19"/>
      <c r="L254" s="1"/>
      <c r="M254" s="9"/>
      <c r="N254" s="1"/>
      <c r="O254" s="1"/>
      <c r="P254" s="1"/>
      <c r="Q254" s="1"/>
      <c r="R254" s="1"/>
    </row>
    <row r="255" spans="2:18">
      <c r="B255" s="1"/>
      <c r="C255" s="9"/>
      <c r="D255" s="9"/>
      <c r="E255" s="9"/>
      <c r="F255" s="1"/>
      <c r="G255" s="1"/>
      <c r="H255" s="19"/>
      <c r="I255" s="1"/>
      <c r="J255" s="1"/>
      <c r="K255" s="19"/>
      <c r="L255" s="1"/>
      <c r="M255" s="9"/>
      <c r="N255" s="1"/>
      <c r="O255" s="1"/>
      <c r="P255" s="1"/>
      <c r="Q255" s="1"/>
      <c r="R255" s="1"/>
    </row>
    <row r="256" spans="2:18">
      <c r="B256" s="1"/>
      <c r="C256" s="9"/>
      <c r="D256" s="9"/>
      <c r="E256" s="9"/>
      <c r="F256" s="1"/>
      <c r="G256" s="1"/>
      <c r="H256" s="19"/>
      <c r="I256" s="1"/>
      <c r="J256" s="1"/>
      <c r="K256" s="19"/>
      <c r="L256" s="1"/>
      <c r="M256" s="9"/>
      <c r="N256" s="1"/>
      <c r="O256" s="1"/>
      <c r="P256" s="1"/>
      <c r="Q256" s="1"/>
      <c r="R256" s="1"/>
    </row>
    <row r="257" spans="2:18">
      <c r="B257" s="1"/>
      <c r="C257" s="9"/>
      <c r="D257" s="9"/>
      <c r="E257" s="9"/>
      <c r="F257" s="1"/>
      <c r="G257" s="1"/>
      <c r="H257" s="19"/>
      <c r="I257" s="1"/>
      <c r="J257" s="1"/>
      <c r="K257" s="19"/>
      <c r="L257" s="1"/>
      <c r="M257" s="9"/>
      <c r="N257" s="1"/>
      <c r="O257" s="1"/>
      <c r="P257" s="1"/>
      <c r="Q257" s="1"/>
      <c r="R257" s="1"/>
    </row>
    <row r="258" spans="2:18">
      <c r="B258" s="1"/>
      <c r="C258" s="9"/>
      <c r="D258" s="9"/>
      <c r="E258" s="9"/>
      <c r="F258" s="1"/>
      <c r="G258" s="1"/>
      <c r="H258" s="19"/>
      <c r="I258" s="1"/>
      <c r="J258" s="1"/>
      <c r="K258" s="19"/>
      <c r="L258" s="1"/>
      <c r="M258" s="9"/>
      <c r="N258" s="1"/>
      <c r="O258" s="1"/>
      <c r="P258" s="1"/>
      <c r="Q258" s="1"/>
      <c r="R258" s="1"/>
    </row>
    <row r="259" spans="2:18">
      <c r="B259" s="1"/>
      <c r="C259" s="9"/>
      <c r="D259" s="9"/>
      <c r="E259" s="9"/>
      <c r="F259" s="1"/>
      <c r="G259" s="1"/>
      <c r="H259" s="19"/>
      <c r="I259" s="1"/>
      <c r="J259" s="1"/>
      <c r="K259" s="19"/>
      <c r="L259" s="1"/>
      <c r="M259" s="9"/>
      <c r="N259" s="1"/>
      <c r="O259" s="1"/>
      <c r="P259" s="1"/>
      <c r="Q259" s="1"/>
      <c r="R259" s="1"/>
    </row>
    <row r="260" spans="2:18">
      <c r="B260" s="1"/>
      <c r="C260" s="9"/>
      <c r="D260" s="9"/>
      <c r="E260" s="9"/>
      <c r="F260" s="1"/>
      <c r="G260" s="1"/>
      <c r="H260" s="19"/>
      <c r="I260" s="1"/>
      <c r="J260" s="1"/>
      <c r="K260" s="19"/>
      <c r="L260" s="1"/>
      <c r="M260" s="9"/>
      <c r="N260" s="1"/>
      <c r="O260" s="1"/>
      <c r="P260" s="1"/>
      <c r="Q260" s="1"/>
      <c r="R260" s="1"/>
    </row>
    <row r="261" spans="2:18">
      <c r="B261" s="1"/>
      <c r="C261" s="9"/>
      <c r="D261" s="9"/>
      <c r="E261" s="9"/>
      <c r="F261" s="1"/>
      <c r="G261" s="1"/>
      <c r="H261" s="19"/>
      <c r="I261" s="1"/>
      <c r="J261" s="1"/>
      <c r="K261" s="19"/>
      <c r="L261" s="1"/>
      <c r="M261" s="9"/>
      <c r="N261" s="1"/>
      <c r="O261" s="1"/>
      <c r="P261" s="1"/>
      <c r="Q261" s="1"/>
      <c r="R261" s="1"/>
    </row>
    <row r="262" spans="2:18">
      <c r="B262" s="1"/>
      <c r="C262" s="9"/>
      <c r="D262" s="9"/>
      <c r="E262" s="9"/>
      <c r="F262" s="1"/>
      <c r="G262" s="1"/>
      <c r="H262" s="19"/>
      <c r="I262" s="1"/>
      <c r="J262" s="1"/>
      <c r="K262" s="19"/>
      <c r="L262" s="1"/>
      <c r="M262" s="9"/>
      <c r="N262" s="1"/>
      <c r="O262" s="1"/>
      <c r="P262" s="1"/>
      <c r="Q262" s="1"/>
      <c r="R262" s="1"/>
    </row>
    <row r="263" spans="2:18">
      <c r="B263" s="1"/>
      <c r="C263" s="9"/>
      <c r="D263" s="9"/>
      <c r="E263" s="9"/>
      <c r="F263" s="1"/>
      <c r="G263" s="1"/>
      <c r="H263" s="19"/>
      <c r="I263" s="1"/>
      <c r="J263" s="1"/>
      <c r="K263" s="19"/>
      <c r="L263" s="1"/>
      <c r="M263" s="9"/>
      <c r="N263" s="1"/>
      <c r="O263" s="1"/>
      <c r="P263" s="1"/>
      <c r="Q263" s="1"/>
      <c r="R263" s="1"/>
    </row>
    <row r="264" spans="2:18">
      <c r="B264" s="1"/>
      <c r="C264" s="9"/>
      <c r="D264" s="9"/>
      <c r="E264" s="9"/>
      <c r="F264" s="1"/>
      <c r="G264" s="1"/>
      <c r="H264" s="19"/>
      <c r="I264" s="1"/>
      <c r="J264" s="1"/>
      <c r="K264" s="19"/>
      <c r="L264" s="1"/>
      <c r="M264" s="9"/>
      <c r="N264" s="1"/>
      <c r="O264" s="1"/>
      <c r="P264" s="1"/>
      <c r="Q264" s="1"/>
      <c r="R264" s="1"/>
    </row>
    <row r="265" spans="2:18">
      <c r="B265" s="1"/>
      <c r="C265" s="9"/>
      <c r="D265" s="9"/>
      <c r="E265" s="9"/>
      <c r="F265" s="1"/>
      <c r="G265" s="1"/>
      <c r="H265" s="19"/>
      <c r="I265" s="1"/>
      <c r="J265" s="1"/>
      <c r="K265" s="19"/>
      <c r="L265" s="1"/>
      <c r="M265" s="9"/>
      <c r="N265" s="1"/>
      <c r="O265" s="1"/>
      <c r="P265" s="1"/>
      <c r="Q265" s="1"/>
      <c r="R265" s="1"/>
    </row>
    <row r="266" spans="2:18">
      <c r="B266" s="1"/>
      <c r="C266" s="9"/>
      <c r="D266" s="9"/>
      <c r="E266" s="9"/>
      <c r="F266" s="1"/>
      <c r="G266" s="1"/>
      <c r="H266" s="19"/>
      <c r="I266" s="1"/>
      <c r="J266" s="1"/>
      <c r="K266" s="19"/>
      <c r="L266" s="1"/>
      <c r="M266" s="9"/>
      <c r="N266" s="1"/>
      <c r="O266" s="1"/>
      <c r="P266" s="1"/>
      <c r="Q266" s="1"/>
      <c r="R266" s="1"/>
    </row>
    <row r="267" spans="2:18">
      <c r="B267" s="1"/>
      <c r="C267" s="9"/>
      <c r="D267" s="9"/>
      <c r="E267" s="9"/>
      <c r="F267" s="1"/>
      <c r="G267" s="1"/>
      <c r="H267" s="19"/>
      <c r="I267" s="1"/>
      <c r="J267" s="1"/>
      <c r="K267" s="19"/>
      <c r="L267" s="1"/>
      <c r="M267" s="9"/>
      <c r="N267" s="1"/>
      <c r="O267" s="1"/>
      <c r="P267" s="1"/>
      <c r="Q267" s="1"/>
      <c r="R267" s="1"/>
    </row>
    <row r="268" spans="2:18">
      <c r="B268" s="1"/>
      <c r="C268" s="9"/>
      <c r="D268" s="9"/>
      <c r="E268" s="9"/>
      <c r="F268" s="1"/>
      <c r="G268" s="1"/>
      <c r="H268" s="19"/>
      <c r="I268" s="1"/>
      <c r="J268" s="1"/>
      <c r="K268" s="19"/>
      <c r="L268" s="1"/>
      <c r="M268" s="9"/>
      <c r="N268" s="1"/>
      <c r="O268" s="1"/>
      <c r="P268" s="1"/>
      <c r="Q268" s="1"/>
      <c r="R268" s="1"/>
    </row>
    <row r="269" spans="2:18">
      <c r="B269" s="1"/>
      <c r="C269" s="9"/>
      <c r="D269" s="9"/>
      <c r="E269" s="9"/>
      <c r="F269" s="1"/>
      <c r="G269" s="1"/>
      <c r="H269" s="19"/>
      <c r="I269" s="1"/>
      <c r="J269" s="1"/>
      <c r="K269" s="19"/>
      <c r="L269" s="1"/>
      <c r="M269" s="9"/>
      <c r="N269" s="1"/>
      <c r="O269" s="1"/>
      <c r="P269" s="1"/>
      <c r="Q269" s="1"/>
      <c r="R269" s="1"/>
    </row>
    <row r="270" spans="2:18">
      <c r="B270" s="1"/>
      <c r="C270" s="9"/>
      <c r="D270" s="9"/>
      <c r="E270" s="9"/>
      <c r="F270" s="1"/>
      <c r="G270" s="1"/>
      <c r="H270" s="19"/>
      <c r="I270" s="1"/>
      <c r="J270" s="1"/>
      <c r="K270" s="19"/>
      <c r="L270" s="1"/>
      <c r="M270" s="9"/>
      <c r="N270" s="1"/>
      <c r="O270" s="1"/>
      <c r="P270" s="1"/>
      <c r="Q270" s="1"/>
      <c r="R270" s="1"/>
    </row>
    <row r="271" spans="2:18">
      <c r="B271" s="1"/>
      <c r="C271" s="9"/>
      <c r="D271" s="9"/>
      <c r="E271" s="9"/>
      <c r="F271" s="1"/>
      <c r="G271" s="1"/>
      <c r="H271" s="19"/>
      <c r="I271" s="1"/>
      <c r="J271" s="1"/>
      <c r="K271" s="19"/>
      <c r="L271" s="1"/>
      <c r="M271" s="9"/>
      <c r="N271" s="1"/>
      <c r="O271" s="1"/>
      <c r="P271" s="1"/>
      <c r="Q271" s="1"/>
      <c r="R271" s="1"/>
    </row>
    <row r="272" spans="2:18">
      <c r="B272" s="1"/>
      <c r="C272" s="9"/>
      <c r="D272" s="9"/>
      <c r="E272" s="9"/>
      <c r="F272" s="1"/>
      <c r="G272" s="1"/>
      <c r="H272" s="19"/>
      <c r="I272" s="1"/>
      <c r="J272" s="1"/>
      <c r="K272" s="19"/>
      <c r="L272" s="1"/>
      <c r="M272" s="9"/>
      <c r="N272" s="1"/>
      <c r="O272" s="1"/>
      <c r="P272" s="1"/>
      <c r="Q272" s="1"/>
      <c r="R272" s="1"/>
    </row>
    <row r="273" spans="2:18">
      <c r="B273" s="1"/>
      <c r="C273" s="9"/>
      <c r="D273" s="9"/>
      <c r="E273" s="9"/>
      <c r="F273" s="1"/>
      <c r="G273" s="1"/>
      <c r="H273" s="19"/>
      <c r="I273" s="1"/>
      <c r="J273" s="1"/>
      <c r="K273" s="19"/>
      <c r="L273" s="1"/>
      <c r="M273" s="9"/>
      <c r="N273" s="1"/>
      <c r="O273" s="1"/>
      <c r="P273" s="1"/>
      <c r="Q273" s="1"/>
      <c r="R273" s="1"/>
    </row>
    <row r="274" spans="2:18">
      <c r="B274" s="1"/>
      <c r="C274" s="9"/>
      <c r="D274" s="9"/>
      <c r="E274" s="9"/>
      <c r="F274" s="1"/>
      <c r="G274" s="1"/>
      <c r="H274" s="19"/>
      <c r="I274" s="1"/>
      <c r="J274" s="1"/>
      <c r="K274" s="19"/>
      <c r="L274" s="1"/>
      <c r="M274" s="9"/>
      <c r="N274" s="1"/>
      <c r="O274" s="1"/>
      <c r="P274" s="1"/>
      <c r="Q274" s="1"/>
      <c r="R274" s="1"/>
    </row>
    <row r="275" spans="2:18">
      <c r="B275" s="1"/>
      <c r="C275" s="9"/>
      <c r="D275" s="9"/>
      <c r="E275" s="9"/>
      <c r="F275" s="1"/>
      <c r="G275" s="1"/>
      <c r="H275" s="19"/>
      <c r="I275" s="1"/>
      <c r="J275" s="1"/>
      <c r="K275" s="19"/>
      <c r="L275" s="1"/>
      <c r="M275" s="9"/>
      <c r="N275" s="1"/>
      <c r="O275" s="1"/>
      <c r="P275" s="1"/>
      <c r="Q275" s="1"/>
      <c r="R275" s="1"/>
    </row>
    <row r="276" spans="2:18">
      <c r="B276" s="1"/>
      <c r="C276" s="9"/>
      <c r="D276" s="9"/>
      <c r="E276" s="9"/>
      <c r="F276" s="1"/>
      <c r="G276" s="1"/>
      <c r="H276" s="19"/>
      <c r="I276" s="1"/>
      <c r="J276" s="1"/>
      <c r="K276" s="19"/>
      <c r="L276" s="1"/>
      <c r="M276" s="9"/>
      <c r="N276" s="1"/>
      <c r="O276" s="1"/>
      <c r="P276" s="1"/>
      <c r="Q276" s="1"/>
      <c r="R276" s="1"/>
    </row>
    <row r="277" spans="2:18">
      <c r="B277" s="1"/>
      <c r="C277" s="9"/>
      <c r="D277" s="9"/>
      <c r="E277" s="9"/>
      <c r="F277" s="1"/>
      <c r="G277" s="1"/>
      <c r="H277" s="19"/>
      <c r="I277" s="1"/>
      <c r="J277" s="1"/>
      <c r="K277" s="19"/>
      <c r="L277" s="1"/>
      <c r="M277" s="9"/>
      <c r="N277" s="1"/>
      <c r="O277" s="1"/>
      <c r="P277" s="1"/>
      <c r="Q277" s="1"/>
      <c r="R277" s="1"/>
    </row>
    <row r="278" spans="2:18">
      <c r="B278" s="1"/>
      <c r="C278" s="9"/>
      <c r="D278" s="9"/>
      <c r="E278" s="9"/>
      <c r="F278" s="1"/>
      <c r="G278" s="1"/>
      <c r="H278" s="19"/>
      <c r="I278" s="1"/>
      <c r="J278" s="1"/>
      <c r="K278" s="19"/>
      <c r="L278" s="1"/>
      <c r="M278" s="9"/>
      <c r="N278" s="1"/>
      <c r="O278" s="1"/>
      <c r="P278" s="1"/>
      <c r="Q278" s="1"/>
      <c r="R278" s="1"/>
    </row>
    <row r="279" spans="2:18">
      <c r="B279" s="1"/>
      <c r="C279" s="9"/>
      <c r="D279" s="9"/>
      <c r="E279" s="9"/>
      <c r="F279" s="1"/>
      <c r="G279" s="1"/>
      <c r="H279" s="19"/>
      <c r="I279" s="1"/>
      <c r="J279" s="1"/>
      <c r="K279" s="19"/>
      <c r="L279" s="1"/>
      <c r="M279" s="9"/>
      <c r="N279" s="1"/>
      <c r="O279" s="1"/>
      <c r="P279" s="1"/>
      <c r="Q279" s="1"/>
      <c r="R279" s="1"/>
    </row>
    <row r="280" spans="2:18">
      <c r="B280" s="1"/>
      <c r="C280" s="9"/>
      <c r="D280" s="9"/>
      <c r="E280" s="9"/>
      <c r="F280" s="1"/>
      <c r="G280" s="1"/>
      <c r="H280" s="19"/>
      <c r="I280" s="1"/>
      <c r="J280" s="1"/>
      <c r="K280" s="19"/>
      <c r="L280" s="1"/>
      <c r="M280" s="9"/>
      <c r="N280" s="1"/>
      <c r="O280" s="1"/>
      <c r="P280" s="1"/>
      <c r="Q280" s="1"/>
      <c r="R280" s="1"/>
    </row>
    <row r="281" spans="2:18">
      <c r="B281" s="1"/>
      <c r="C281" s="9"/>
      <c r="D281" s="9"/>
      <c r="E281" s="9"/>
      <c r="F281" s="1"/>
      <c r="G281" s="1"/>
      <c r="H281" s="19"/>
      <c r="I281" s="1"/>
      <c r="J281" s="1"/>
      <c r="K281" s="19"/>
      <c r="L281" s="1"/>
      <c r="M281" s="9"/>
      <c r="N281" s="1"/>
      <c r="O281" s="1"/>
      <c r="P281" s="1"/>
      <c r="Q281" s="1"/>
      <c r="R281" s="1"/>
    </row>
    <row r="282" spans="2:18">
      <c r="B282" s="1"/>
      <c r="C282" s="9"/>
      <c r="D282" s="9"/>
      <c r="E282" s="9"/>
      <c r="F282" s="1"/>
      <c r="G282" s="1"/>
      <c r="H282" s="19"/>
      <c r="I282" s="1"/>
      <c r="J282" s="1"/>
      <c r="K282" s="19"/>
      <c r="L282" s="1"/>
      <c r="M282" s="9"/>
      <c r="N282" s="1"/>
      <c r="O282" s="1"/>
      <c r="P282" s="1"/>
      <c r="Q282" s="1"/>
      <c r="R282" s="1"/>
    </row>
    <row r="283" spans="2:18">
      <c r="B283" s="1"/>
      <c r="C283" s="9"/>
      <c r="D283" s="9"/>
      <c r="E283" s="9"/>
      <c r="F283" s="1"/>
      <c r="G283" s="1"/>
      <c r="H283" s="19"/>
      <c r="I283" s="1"/>
      <c r="J283" s="1"/>
      <c r="K283" s="19"/>
      <c r="L283" s="1"/>
      <c r="M283" s="9"/>
      <c r="N283" s="1"/>
      <c r="O283" s="1"/>
      <c r="P283" s="1"/>
      <c r="Q283" s="1"/>
      <c r="R283" s="1"/>
    </row>
    <row r="284" spans="2:18">
      <c r="B284" s="1"/>
      <c r="C284" s="9"/>
      <c r="D284" s="9"/>
      <c r="E284" s="9"/>
      <c r="F284" s="1"/>
      <c r="G284" s="1"/>
      <c r="H284" s="19"/>
      <c r="I284" s="1"/>
      <c r="J284" s="1"/>
      <c r="K284" s="19"/>
      <c r="L284" s="1"/>
      <c r="M284" s="9"/>
      <c r="N284" s="1"/>
      <c r="O284" s="1"/>
      <c r="P284" s="1"/>
      <c r="Q284" s="1"/>
      <c r="R284" s="1"/>
    </row>
    <row r="285" spans="2:18">
      <c r="B285" s="1"/>
      <c r="C285" s="9"/>
      <c r="D285" s="9"/>
      <c r="E285" s="9"/>
      <c r="F285" s="1"/>
      <c r="G285" s="1"/>
      <c r="H285" s="19"/>
      <c r="I285" s="1"/>
      <c r="J285" s="1"/>
      <c r="K285" s="19"/>
      <c r="L285" s="1"/>
      <c r="M285" s="9"/>
      <c r="N285" s="1"/>
      <c r="O285" s="1"/>
      <c r="P285" s="1"/>
      <c r="Q285" s="1"/>
      <c r="R285" s="1"/>
    </row>
    <row r="286" spans="2:18">
      <c r="B286" s="1"/>
      <c r="C286" s="9"/>
      <c r="D286" s="9"/>
      <c r="E286" s="9"/>
      <c r="F286" s="1"/>
      <c r="G286" s="1"/>
      <c r="H286" s="19"/>
      <c r="I286" s="1"/>
      <c r="J286" s="1"/>
      <c r="K286" s="19"/>
      <c r="L286" s="1"/>
      <c r="M286" s="9"/>
      <c r="N286" s="1"/>
      <c r="O286" s="1"/>
      <c r="P286" s="1"/>
      <c r="Q286" s="1"/>
      <c r="R286" s="1"/>
    </row>
    <row r="287" spans="2:18">
      <c r="B287" s="1"/>
      <c r="C287" s="9"/>
      <c r="D287" s="9"/>
      <c r="E287" s="9"/>
      <c r="F287" s="1"/>
      <c r="G287" s="1"/>
      <c r="H287" s="19"/>
      <c r="I287" s="1"/>
      <c r="J287" s="1"/>
      <c r="K287" s="19"/>
      <c r="L287" s="1"/>
      <c r="M287" s="9"/>
      <c r="N287" s="1"/>
      <c r="O287" s="1"/>
      <c r="P287" s="1"/>
      <c r="Q287" s="1"/>
      <c r="R287" s="1"/>
    </row>
    <row r="288" spans="2:18">
      <c r="B288" s="1"/>
      <c r="C288" s="9"/>
      <c r="D288" s="9"/>
      <c r="E288" s="9"/>
      <c r="F288" s="1"/>
      <c r="G288" s="1"/>
      <c r="H288" s="19"/>
      <c r="I288" s="1"/>
      <c r="J288" s="1"/>
      <c r="K288" s="19"/>
      <c r="L288" s="1"/>
      <c r="M288" s="9"/>
      <c r="N288" s="1"/>
      <c r="O288" s="1"/>
      <c r="P288" s="1"/>
      <c r="Q288" s="1"/>
      <c r="R288" s="1"/>
    </row>
    <row r="289" spans="2:18">
      <c r="B289" s="1"/>
      <c r="C289" s="9"/>
      <c r="D289" s="9"/>
      <c r="E289" s="9"/>
      <c r="F289" s="1"/>
      <c r="G289" s="1"/>
      <c r="H289" s="19"/>
      <c r="I289" s="1"/>
      <c r="J289" s="1"/>
      <c r="K289" s="19"/>
      <c r="L289" s="1"/>
      <c r="M289" s="9"/>
      <c r="N289" s="1"/>
      <c r="O289" s="1"/>
      <c r="P289" s="1"/>
      <c r="Q289" s="1"/>
      <c r="R289" s="1"/>
    </row>
    <row r="290" spans="2:18">
      <c r="B290" s="1"/>
      <c r="C290" s="9"/>
      <c r="D290" s="9"/>
      <c r="E290" s="9"/>
      <c r="F290" s="1"/>
      <c r="G290" s="1"/>
      <c r="H290" s="19"/>
      <c r="I290" s="1"/>
      <c r="J290" s="1"/>
      <c r="K290" s="19"/>
      <c r="L290" s="1"/>
      <c r="M290" s="9"/>
      <c r="N290" s="1"/>
      <c r="O290" s="1"/>
      <c r="P290" s="1"/>
      <c r="Q290" s="1"/>
      <c r="R290" s="1"/>
    </row>
    <row r="291" spans="2:18">
      <c r="B291" s="1"/>
      <c r="C291" s="9"/>
      <c r="D291" s="9"/>
      <c r="E291" s="9"/>
      <c r="F291" s="1"/>
      <c r="G291" s="1"/>
      <c r="H291" s="19"/>
      <c r="I291" s="1"/>
      <c r="J291" s="1"/>
      <c r="K291" s="19"/>
      <c r="L291" s="1"/>
      <c r="M291" s="9"/>
      <c r="N291" s="1"/>
      <c r="O291" s="1"/>
      <c r="P291" s="1"/>
      <c r="Q291" s="1"/>
      <c r="R291" s="1"/>
    </row>
    <row r="292" spans="2:18">
      <c r="B292" s="1"/>
      <c r="C292" s="9"/>
      <c r="D292" s="9"/>
      <c r="E292" s="9"/>
      <c r="F292" s="1"/>
      <c r="G292" s="1"/>
      <c r="H292" s="19"/>
      <c r="I292" s="1"/>
      <c r="J292" s="1"/>
      <c r="K292" s="19"/>
      <c r="L292" s="1"/>
      <c r="M292" s="9"/>
      <c r="N292" s="1"/>
      <c r="O292" s="1"/>
      <c r="P292" s="1"/>
      <c r="Q292" s="1"/>
      <c r="R292" s="1"/>
    </row>
    <row r="293" spans="2:18">
      <c r="B293" s="1"/>
      <c r="C293" s="9"/>
      <c r="D293" s="9"/>
      <c r="E293" s="9"/>
      <c r="F293" s="1"/>
      <c r="G293" s="1"/>
      <c r="H293" s="19"/>
      <c r="I293" s="1"/>
      <c r="J293" s="1"/>
      <c r="K293" s="19"/>
      <c r="L293" s="1"/>
      <c r="M293" s="9"/>
      <c r="N293" s="1"/>
      <c r="O293" s="1"/>
      <c r="P293" s="1"/>
      <c r="Q293" s="1"/>
      <c r="R293" s="1"/>
    </row>
    <row r="294" spans="2:18">
      <c r="B294" s="1"/>
      <c r="C294" s="9"/>
      <c r="D294" s="9"/>
      <c r="E294" s="9"/>
      <c r="F294" s="1"/>
      <c r="G294" s="1"/>
      <c r="H294" s="19"/>
      <c r="I294" s="1"/>
      <c r="J294" s="1"/>
      <c r="K294" s="19"/>
      <c r="L294" s="1"/>
      <c r="M294" s="9"/>
      <c r="N294" s="1"/>
      <c r="O294" s="1"/>
      <c r="P294" s="1"/>
      <c r="Q294" s="1"/>
      <c r="R294" s="1"/>
    </row>
    <row r="295" spans="2:18">
      <c r="B295" s="1"/>
      <c r="C295" s="9"/>
      <c r="D295" s="9"/>
      <c r="E295" s="9"/>
      <c r="F295" s="1"/>
      <c r="G295" s="1"/>
      <c r="H295" s="19"/>
      <c r="I295" s="1"/>
      <c r="J295" s="1"/>
      <c r="K295" s="19"/>
      <c r="L295" s="1"/>
      <c r="M295" s="9"/>
      <c r="N295" s="1"/>
      <c r="O295" s="1"/>
      <c r="P295" s="1"/>
      <c r="Q295" s="1"/>
      <c r="R295" s="1"/>
    </row>
    <row r="296" spans="2:18">
      <c r="B296" s="1"/>
      <c r="C296" s="9"/>
      <c r="D296" s="9"/>
      <c r="E296" s="9"/>
      <c r="F296" s="1"/>
      <c r="G296" s="1"/>
      <c r="H296" s="19"/>
      <c r="I296" s="1"/>
      <c r="J296" s="1"/>
      <c r="K296" s="19"/>
      <c r="L296" s="1"/>
      <c r="M296" s="9"/>
      <c r="N296" s="1"/>
      <c r="O296" s="1"/>
      <c r="P296" s="1"/>
      <c r="Q296" s="1"/>
      <c r="R296" s="1"/>
    </row>
    <row r="297" spans="2:18">
      <c r="B297" s="1"/>
      <c r="C297" s="9"/>
      <c r="D297" s="9"/>
      <c r="E297" s="9"/>
      <c r="F297" s="1"/>
      <c r="G297" s="1"/>
      <c r="H297" s="19"/>
      <c r="I297" s="1"/>
      <c r="J297" s="1"/>
      <c r="K297" s="19"/>
      <c r="L297" s="1"/>
      <c r="M297" s="9"/>
      <c r="N297" s="1"/>
      <c r="O297" s="1"/>
      <c r="P297" s="1"/>
      <c r="Q297" s="1"/>
      <c r="R297" s="1"/>
    </row>
    <row r="298" spans="2:18">
      <c r="B298" s="1"/>
      <c r="C298" s="9"/>
      <c r="D298" s="9"/>
      <c r="E298" s="9"/>
      <c r="F298" s="1"/>
      <c r="G298" s="1"/>
      <c r="H298" s="19"/>
      <c r="I298" s="1"/>
      <c r="J298" s="1"/>
      <c r="K298" s="19"/>
      <c r="L298" s="1"/>
      <c r="M298" s="9"/>
      <c r="N298" s="1"/>
      <c r="O298" s="1"/>
      <c r="P298" s="1"/>
      <c r="Q298" s="1"/>
      <c r="R298" s="1"/>
    </row>
    <row r="299" spans="2:18">
      <c r="B299" s="1"/>
      <c r="C299" s="9"/>
      <c r="D299" s="9"/>
      <c r="E299" s="9"/>
      <c r="F299" s="1"/>
      <c r="G299" s="1"/>
      <c r="H299" s="19"/>
      <c r="I299" s="1"/>
      <c r="J299" s="1"/>
      <c r="K299" s="19"/>
      <c r="L299" s="1"/>
      <c r="M299" s="9"/>
      <c r="N299" s="1"/>
      <c r="O299" s="1"/>
      <c r="P299" s="1"/>
      <c r="Q299" s="1"/>
      <c r="R299" s="1"/>
    </row>
    <row r="300" spans="2:18">
      <c r="B300" s="1"/>
      <c r="C300" s="9"/>
      <c r="D300" s="9"/>
      <c r="E300" s="9"/>
      <c r="F300" s="1"/>
      <c r="G300" s="1"/>
      <c r="H300" s="19"/>
      <c r="I300" s="1"/>
      <c r="J300" s="1"/>
      <c r="K300" s="19"/>
      <c r="L300" s="1"/>
      <c r="M300" s="9"/>
      <c r="N300" s="1"/>
      <c r="O300" s="1"/>
      <c r="P300" s="1"/>
      <c r="Q300" s="1"/>
      <c r="R300" s="1"/>
    </row>
    <row r="301" spans="2:18">
      <c r="B301" s="1"/>
      <c r="C301" s="9"/>
      <c r="D301" s="9"/>
      <c r="E301" s="9"/>
      <c r="F301" s="1"/>
      <c r="G301" s="1"/>
      <c r="H301" s="19"/>
      <c r="I301" s="1"/>
      <c r="J301" s="1"/>
      <c r="K301" s="19"/>
      <c r="L301" s="1"/>
      <c r="M301" s="9"/>
      <c r="N301" s="1"/>
      <c r="O301" s="1"/>
      <c r="P301" s="1"/>
      <c r="Q301" s="1"/>
      <c r="R301" s="1"/>
    </row>
    <row r="302" spans="2:18">
      <c r="B302" s="1"/>
      <c r="C302" s="9"/>
      <c r="D302" s="9"/>
      <c r="E302" s="9"/>
      <c r="F302" s="1"/>
      <c r="G302" s="1"/>
      <c r="H302" s="19"/>
      <c r="I302" s="1"/>
      <c r="J302" s="1"/>
      <c r="K302" s="19"/>
      <c r="L302" s="1"/>
      <c r="M302" s="9"/>
      <c r="N302" s="1"/>
      <c r="O302" s="1"/>
      <c r="P302" s="1"/>
      <c r="Q302" s="1"/>
      <c r="R302" s="1"/>
    </row>
    <row r="303" spans="2:18">
      <c r="B303" s="1"/>
      <c r="C303" s="9"/>
      <c r="D303" s="9"/>
      <c r="E303" s="9"/>
      <c r="F303" s="1"/>
      <c r="G303" s="1"/>
      <c r="H303" s="19"/>
      <c r="I303" s="1"/>
      <c r="J303" s="1"/>
      <c r="K303" s="19"/>
      <c r="L303" s="1"/>
      <c r="M303" s="9"/>
      <c r="N303" s="1"/>
      <c r="O303" s="1"/>
      <c r="P303" s="1"/>
      <c r="Q303" s="1"/>
      <c r="R303" s="1"/>
    </row>
    <row r="304" spans="2:18">
      <c r="B304" s="1"/>
      <c r="C304" s="9"/>
      <c r="D304" s="9"/>
      <c r="E304" s="9"/>
      <c r="F304" s="1"/>
      <c r="G304" s="1"/>
      <c r="H304" s="19"/>
      <c r="I304" s="1"/>
      <c r="J304" s="1"/>
      <c r="K304" s="19"/>
      <c r="L304" s="1"/>
      <c r="M304" s="9"/>
      <c r="N304" s="1"/>
      <c r="O304" s="1"/>
      <c r="P304" s="1"/>
      <c r="Q304" s="1"/>
      <c r="R304" s="1"/>
    </row>
    <row r="305" spans="2:18">
      <c r="B305" s="1"/>
      <c r="C305" s="9"/>
      <c r="D305" s="9"/>
      <c r="E305" s="9"/>
      <c r="F305" s="1"/>
      <c r="G305" s="1"/>
      <c r="H305" s="19"/>
      <c r="I305" s="1"/>
      <c r="J305" s="1"/>
      <c r="K305" s="19"/>
      <c r="L305" s="1"/>
      <c r="M305" s="9"/>
      <c r="N305" s="1"/>
      <c r="O305" s="1"/>
      <c r="P305" s="1"/>
      <c r="Q305" s="1"/>
      <c r="R305" s="1"/>
    </row>
    <row r="306" spans="2:18">
      <c r="B306" s="1"/>
      <c r="C306" s="9"/>
      <c r="D306" s="9"/>
      <c r="E306" s="9"/>
      <c r="F306" s="1"/>
      <c r="G306" s="1"/>
      <c r="H306" s="19"/>
      <c r="I306" s="1"/>
      <c r="J306" s="1"/>
      <c r="K306" s="19"/>
      <c r="L306" s="1"/>
      <c r="M306" s="9"/>
      <c r="N306" s="1"/>
      <c r="O306" s="1"/>
      <c r="P306" s="1"/>
      <c r="Q306" s="1"/>
      <c r="R306" s="1"/>
    </row>
    <row r="307" spans="2:18">
      <c r="B307" s="1"/>
      <c r="C307" s="9"/>
      <c r="D307" s="9"/>
      <c r="E307" s="9"/>
      <c r="F307" s="1"/>
      <c r="G307" s="1"/>
      <c r="H307" s="19"/>
      <c r="I307" s="1"/>
      <c r="J307" s="1"/>
      <c r="K307" s="19"/>
      <c r="L307" s="1"/>
      <c r="M307" s="9"/>
      <c r="N307" s="1"/>
      <c r="O307" s="1"/>
      <c r="P307" s="1"/>
      <c r="Q307" s="1"/>
      <c r="R307" s="1"/>
    </row>
    <row r="308" spans="2:18">
      <c r="B308" s="1"/>
      <c r="C308" s="9"/>
      <c r="D308" s="9"/>
      <c r="E308" s="9"/>
      <c r="F308" s="1"/>
      <c r="G308" s="1"/>
      <c r="H308" s="19"/>
      <c r="I308" s="1"/>
      <c r="J308" s="1"/>
      <c r="K308" s="19"/>
      <c r="L308" s="1"/>
      <c r="M308" s="9"/>
      <c r="N308" s="1"/>
      <c r="O308" s="1"/>
      <c r="P308" s="1"/>
      <c r="Q308" s="1"/>
      <c r="R308" s="1"/>
    </row>
    <row r="309" spans="2:18">
      <c r="B309" s="1"/>
      <c r="C309" s="9"/>
      <c r="D309" s="9"/>
      <c r="E309" s="9"/>
      <c r="F309" s="1"/>
      <c r="G309" s="1"/>
      <c r="H309" s="19"/>
      <c r="I309" s="1"/>
      <c r="J309" s="1"/>
      <c r="K309" s="19"/>
      <c r="L309" s="1"/>
      <c r="M309" s="9"/>
      <c r="N309" s="1"/>
      <c r="O309" s="1"/>
      <c r="P309" s="1"/>
      <c r="Q309" s="1"/>
      <c r="R309" s="1"/>
    </row>
    <row r="310" spans="2:18">
      <c r="B310" s="1"/>
      <c r="C310" s="9"/>
      <c r="D310" s="9"/>
      <c r="E310" s="9"/>
      <c r="F310" s="1"/>
      <c r="G310" s="1"/>
      <c r="H310" s="19"/>
      <c r="I310" s="1"/>
      <c r="J310" s="1"/>
      <c r="K310" s="19"/>
      <c r="L310" s="1"/>
      <c r="M310" s="9"/>
      <c r="N310" s="1"/>
      <c r="O310" s="1"/>
      <c r="P310" s="1"/>
      <c r="Q310" s="1"/>
      <c r="R310" s="1"/>
    </row>
    <row r="311" spans="2:18">
      <c r="B311" s="1"/>
      <c r="C311" s="9"/>
      <c r="D311" s="9"/>
      <c r="E311" s="9"/>
      <c r="F311" s="1"/>
      <c r="G311" s="1"/>
      <c r="H311" s="19"/>
      <c r="I311" s="1"/>
      <c r="J311" s="1"/>
      <c r="K311" s="19"/>
      <c r="L311" s="1"/>
      <c r="M311" s="9"/>
      <c r="N311" s="1"/>
      <c r="O311" s="1"/>
      <c r="P311" s="1"/>
      <c r="Q311" s="1"/>
      <c r="R311" s="1"/>
    </row>
    <row r="312" spans="2:18">
      <c r="B312" s="1"/>
      <c r="C312" s="9"/>
      <c r="D312" s="9"/>
      <c r="E312" s="9"/>
      <c r="F312" s="1"/>
      <c r="G312" s="1"/>
      <c r="H312" s="19"/>
      <c r="I312" s="1"/>
      <c r="J312" s="1"/>
      <c r="K312" s="19"/>
      <c r="L312" s="1"/>
      <c r="M312" s="9"/>
      <c r="N312" s="1"/>
      <c r="O312" s="1"/>
      <c r="P312" s="1"/>
      <c r="Q312" s="1"/>
      <c r="R312" s="1"/>
    </row>
    <row r="313" spans="2:18">
      <c r="B313" s="1"/>
      <c r="C313" s="9"/>
      <c r="D313" s="9"/>
      <c r="E313" s="9"/>
      <c r="F313" s="1"/>
      <c r="G313" s="1"/>
      <c r="H313" s="19"/>
      <c r="I313" s="1"/>
      <c r="J313" s="1"/>
      <c r="K313" s="19"/>
      <c r="L313" s="1"/>
      <c r="M313" s="9"/>
      <c r="N313" s="1"/>
      <c r="O313" s="1"/>
      <c r="P313" s="1"/>
      <c r="Q313" s="1"/>
      <c r="R313" s="1"/>
    </row>
    <row r="314" spans="2:18">
      <c r="B314" s="1"/>
      <c r="C314" s="9"/>
      <c r="D314" s="9"/>
      <c r="E314" s="9"/>
      <c r="F314" s="1"/>
      <c r="G314" s="1"/>
      <c r="H314" s="19"/>
      <c r="I314" s="1"/>
      <c r="J314" s="1"/>
      <c r="K314" s="19"/>
      <c r="L314" s="1"/>
      <c r="M314" s="9"/>
      <c r="N314" s="1"/>
      <c r="O314" s="1"/>
      <c r="P314" s="1"/>
      <c r="Q314" s="1"/>
      <c r="R314" s="1"/>
    </row>
    <row r="315" spans="2:18">
      <c r="B315" s="1"/>
      <c r="C315" s="9"/>
      <c r="D315" s="9"/>
      <c r="E315" s="9"/>
      <c r="F315" s="1"/>
      <c r="G315" s="1"/>
      <c r="H315" s="19"/>
      <c r="I315" s="1"/>
      <c r="J315" s="1"/>
      <c r="K315" s="19"/>
      <c r="L315" s="1"/>
      <c r="M315" s="9"/>
      <c r="N315" s="1"/>
      <c r="O315" s="1"/>
      <c r="P315" s="1"/>
      <c r="Q315" s="1"/>
      <c r="R315" s="1"/>
    </row>
    <row r="316" spans="2:18">
      <c r="B316" s="1"/>
      <c r="C316" s="9"/>
      <c r="D316" s="9"/>
      <c r="E316" s="9"/>
      <c r="F316" s="1"/>
      <c r="G316" s="1"/>
      <c r="H316" s="19"/>
      <c r="I316" s="1"/>
      <c r="J316" s="1"/>
      <c r="K316" s="19"/>
      <c r="L316" s="1"/>
      <c r="M316" s="9"/>
      <c r="N316" s="1"/>
      <c r="O316" s="1"/>
      <c r="P316" s="1"/>
      <c r="Q316" s="1"/>
      <c r="R316" s="1"/>
    </row>
    <row r="317" spans="2:18">
      <c r="B317" s="1"/>
      <c r="C317" s="9"/>
      <c r="D317" s="9"/>
      <c r="E317" s="9"/>
      <c r="F317" s="1"/>
      <c r="G317" s="1"/>
      <c r="H317" s="19"/>
      <c r="I317" s="1"/>
      <c r="J317" s="1"/>
      <c r="K317" s="19"/>
      <c r="L317" s="1"/>
      <c r="M317" s="9"/>
      <c r="N317" s="1"/>
      <c r="O317" s="1"/>
      <c r="P317" s="1"/>
      <c r="Q317" s="1"/>
      <c r="R317" s="1"/>
    </row>
    <row r="318" spans="2:18">
      <c r="B318" s="1"/>
      <c r="C318" s="9"/>
      <c r="D318" s="9"/>
      <c r="E318" s="9"/>
      <c r="F318" s="1"/>
      <c r="G318" s="1"/>
      <c r="H318" s="19"/>
      <c r="I318" s="1"/>
      <c r="J318" s="1"/>
      <c r="K318" s="19"/>
      <c r="L318" s="1"/>
      <c r="M318" s="9"/>
      <c r="N318" s="1"/>
      <c r="O318" s="1"/>
      <c r="P318" s="1"/>
      <c r="Q318" s="1"/>
      <c r="R318" s="1"/>
    </row>
    <row r="319" spans="2:18">
      <c r="B319" s="1"/>
      <c r="C319" s="9"/>
      <c r="D319" s="9"/>
      <c r="E319" s="9"/>
      <c r="F319" s="1"/>
      <c r="G319" s="1"/>
      <c r="H319" s="19"/>
      <c r="I319" s="1"/>
      <c r="J319" s="1"/>
      <c r="K319" s="19"/>
      <c r="L319" s="1"/>
      <c r="M319" s="9"/>
      <c r="N319" s="1"/>
      <c r="O319" s="1"/>
      <c r="P319" s="1"/>
      <c r="Q319" s="1"/>
      <c r="R319" s="1"/>
    </row>
    <row r="320" spans="2:18">
      <c r="B320" s="1"/>
      <c r="C320" s="9"/>
      <c r="D320" s="9"/>
      <c r="E320" s="9"/>
      <c r="F320" s="1"/>
      <c r="G320" s="1"/>
      <c r="H320" s="19"/>
      <c r="I320" s="1"/>
      <c r="J320" s="1"/>
      <c r="K320" s="19"/>
      <c r="L320" s="1"/>
      <c r="M320" s="9"/>
      <c r="N320" s="1"/>
      <c r="O320" s="1"/>
      <c r="P320" s="1"/>
      <c r="Q320" s="1"/>
      <c r="R320" s="1"/>
    </row>
    <row r="321" spans="2:18">
      <c r="B321" s="1"/>
      <c r="C321" s="9"/>
      <c r="D321" s="9"/>
      <c r="E321" s="9"/>
      <c r="F321" s="1"/>
      <c r="G321" s="1"/>
      <c r="H321" s="19"/>
      <c r="I321" s="1"/>
      <c r="J321" s="1"/>
      <c r="K321" s="19"/>
      <c r="L321" s="1"/>
      <c r="M321" s="9"/>
      <c r="N321" s="1"/>
      <c r="O321" s="1"/>
      <c r="P321" s="1"/>
      <c r="Q321" s="1"/>
      <c r="R321" s="1"/>
    </row>
    <row r="322" spans="2:18">
      <c r="B322" s="1"/>
      <c r="C322" s="9"/>
      <c r="D322" s="9"/>
      <c r="E322" s="9"/>
      <c r="F322" s="1"/>
      <c r="G322" s="1"/>
      <c r="H322" s="19"/>
      <c r="I322" s="1"/>
      <c r="J322" s="1"/>
      <c r="K322" s="19"/>
      <c r="L322" s="1"/>
      <c r="M322" s="9"/>
      <c r="N322" s="1"/>
      <c r="O322" s="1"/>
      <c r="P322" s="1"/>
      <c r="Q322" s="1"/>
      <c r="R322" s="1"/>
    </row>
    <row r="323" spans="2:18">
      <c r="B323" s="1"/>
      <c r="C323" s="9"/>
      <c r="D323" s="9"/>
      <c r="E323" s="9"/>
      <c r="F323" s="1"/>
      <c r="G323" s="1"/>
      <c r="H323" s="19"/>
      <c r="I323" s="1"/>
      <c r="J323" s="1"/>
      <c r="K323" s="19"/>
      <c r="L323" s="1"/>
      <c r="M323" s="9"/>
      <c r="N323" s="1"/>
      <c r="O323" s="1"/>
      <c r="P323" s="1"/>
      <c r="Q323" s="1"/>
      <c r="R323" s="1"/>
    </row>
    <row r="324" spans="2:18">
      <c r="B324" s="1"/>
      <c r="C324" s="9"/>
      <c r="D324" s="9"/>
      <c r="E324" s="9"/>
      <c r="F324" s="1"/>
      <c r="G324" s="1"/>
      <c r="H324" s="19"/>
      <c r="I324" s="1"/>
      <c r="J324" s="1"/>
      <c r="K324" s="19"/>
      <c r="L324" s="1"/>
      <c r="M324" s="9"/>
      <c r="N324" s="1"/>
      <c r="O324" s="1"/>
      <c r="P324" s="1"/>
      <c r="Q324" s="1"/>
      <c r="R324" s="1"/>
    </row>
    <row r="325" spans="2:18">
      <c r="B325" s="1"/>
      <c r="C325" s="9"/>
      <c r="D325" s="9"/>
      <c r="E325" s="9"/>
      <c r="F325" s="1"/>
      <c r="G325" s="1"/>
      <c r="H325" s="19"/>
      <c r="I325" s="1"/>
      <c r="J325" s="1"/>
      <c r="K325" s="19"/>
      <c r="L325" s="1"/>
      <c r="M325" s="9"/>
      <c r="N325" s="1"/>
      <c r="O325" s="1"/>
      <c r="P325" s="1"/>
      <c r="Q325" s="1"/>
      <c r="R325" s="1"/>
    </row>
    <row r="326" spans="2:18">
      <c r="B326" s="1"/>
      <c r="C326" s="9"/>
      <c r="D326" s="9"/>
      <c r="E326" s="9"/>
      <c r="F326" s="1"/>
      <c r="G326" s="1"/>
      <c r="H326" s="19"/>
      <c r="I326" s="1"/>
      <c r="J326" s="1"/>
      <c r="K326" s="19"/>
      <c r="L326" s="1"/>
      <c r="M326" s="9"/>
      <c r="N326" s="1"/>
      <c r="O326" s="1"/>
      <c r="P326" s="1"/>
      <c r="Q326" s="1"/>
      <c r="R326" s="1"/>
    </row>
    <row r="327" spans="2:18">
      <c r="B327" s="1"/>
      <c r="C327" s="9"/>
      <c r="D327" s="9"/>
      <c r="E327" s="9"/>
      <c r="F327" s="1"/>
      <c r="G327" s="1"/>
      <c r="H327" s="19"/>
      <c r="I327" s="1"/>
      <c r="J327" s="1"/>
      <c r="K327" s="19"/>
      <c r="L327" s="1"/>
      <c r="M327" s="9"/>
      <c r="N327" s="1"/>
      <c r="O327" s="1"/>
      <c r="P327" s="1"/>
      <c r="Q327" s="1"/>
      <c r="R327" s="1"/>
    </row>
    <row r="328" spans="2:18">
      <c r="B328" s="1"/>
      <c r="C328" s="9"/>
      <c r="D328" s="9"/>
      <c r="E328" s="9"/>
      <c r="F328" s="1"/>
      <c r="G328" s="1"/>
      <c r="H328" s="19"/>
      <c r="I328" s="1"/>
      <c r="J328" s="1"/>
      <c r="K328" s="19"/>
      <c r="L328" s="1"/>
      <c r="M328" s="9"/>
      <c r="N328" s="1"/>
      <c r="O328" s="1"/>
      <c r="P328" s="1"/>
      <c r="Q328" s="1"/>
      <c r="R328" s="1"/>
    </row>
    <row r="329" spans="2:18">
      <c r="B329" s="1"/>
      <c r="C329" s="9"/>
      <c r="D329" s="9"/>
      <c r="E329" s="9"/>
      <c r="F329" s="1"/>
      <c r="G329" s="1"/>
      <c r="H329" s="19"/>
      <c r="I329" s="1"/>
      <c r="J329" s="1"/>
      <c r="K329" s="19"/>
      <c r="L329" s="1"/>
      <c r="M329" s="9"/>
      <c r="N329" s="1"/>
      <c r="O329" s="1"/>
      <c r="P329" s="1"/>
      <c r="Q329" s="1"/>
      <c r="R329" s="1"/>
    </row>
    <row r="330" spans="2:18">
      <c r="B330" s="1"/>
      <c r="C330" s="9"/>
      <c r="D330" s="9"/>
      <c r="E330" s="9"/>
      <c r="F330" s="1"/>
      <c r="G330" s="1"/>
      <c r="H330" s="19"/>
      <c r="I330" s="1"/>
      <c r="J330" s="1"/>
      <c r="K330" s="19"/>
      <c r="L330" s="1"/>
      <c r="M330" s="9"/>
      <c r="N330" s="1"/>
      <c r="O330" s="1"/>
      <c r="P330" s="1"/>
      <c r="Q330" s="1"/>
      <c r="R330" s="1"/>
    </row>
    <row r="331" spans="2:18">
      <c r="B331" s="1"/>
      <c r="C331" s="9"/>
      <c r="D331" s="9"/>
      <c r="E331" s="9"/>
      <c r="F331" s="1"/>
      <c r="G331" s="1"/>
      <c r="H331" s="19"/>
      <c r="I331" s="1"/>
      <c r="J331" s="1"/>
      <c r="K331" s="19"/>
      <c r="L331" s="1"/>
      <c r="M331" s="9"/>
      <c r="N331" s="1"/>
      <c r="O331" s="1"/>
      <c r="P331" s="1"/>
      <c r="Q331" s="1"/>
      <c r="R331" s="1"/>
    </row>
    <row r="332" spans="2:18">
      <c r="B332" s="1"/>
      <c r="C332" s="9"/>
      <c r="D332" s="9"/>
      <c r="E332" s="9"/>
      <c r="F332" s="1"/>
      <c r="G332" s="1"/>
      <c r="H332" s="19"/>
      <c r="I332" s="1"/>
      <c r="J332" s="1"/>
      <c r="K332" s="19"/>
      <c r="L332" s="1"/>
      <c r="M332" s="9"/>
      <c r="N332" s="1"/>
      <c r="O332" s="1"/>
      <c r="P332" s="1"/>
      <c r="Q332" s="1"/>
      <c r="R332" s="1"/>
    </row>
    <row r="333" spans="2:18">
      <c r="B333" s="1"/>
      <c r="C333" s="9"/>
      <c r="D333" s="9"/>
      <c r="E333" s="9"/>
      <c r="F333" s="1"/>
      <c r="G333" s="1"/>
      <c r="H333" s="19"/>
      <c r="I333" s="1"/>
      <c r="J333" s="1"/>
      <c r="K333" s="19"/>
      <c r="L333" s="1"/>
      <c r="M333" s="9"/>
      <c r="N333" s="1"/>
      <c r="O333" s="1"/>
      <c r="P333" s="1"/>
      <c r="Q333" s="1"/>
      <c r="R333" s="1"/>
    </row>
    <row r="334" spans="2:18">
      <c r="B334" s="1"/>
      <c r="C334" s="9"/>
      <c r="D334" s="9"/>
      <c r="E334" s="9"/>
      <c r="F334" s="1"/>
      <c r="G334" s="1"/>
      <c r="H334" s="19"/>
      <c r="I334" s="1"/>
      <c r="J334" s="1"/>
      <c r="K334" s="19"/>
      <c r="L334" s="1"/>
      <c r="M334" s="9"/>
      <c r="N334" s="1"/>
      <c r="O334" s="1"/>
      <c r="P334" s="1"/>
      <c r="Q334" s="1"/>
      <c r="R334" s="1"/>
    </row>
    <row r="335" spans="2:18">
      <c r="B335" s="1"/>
      <c r="C335" s="9"/>
      <c r="D335" s="9"/>
      <c r="E335" s="9"/>
      <c r="F335" s="1"/>
      <c r="G335" s="1"/>
      <c r="H335" s="19"/>
      <c r="I335" s="1"/>
      <c r="J335" s="1"/>
      <c r="K335" s="19"/>
      <c r="L335" s="1"/>
      <c r="M335" s="9"/>
      <c r="N335" s="1"/>
      <c r="O335" s="1"/>
      <c r="P335" s="1"/>
      <c r="Q335" s="1"/>
      <c r="R335" s="1"/>
    </row>
    <row r="336" spans="2:18">
      <c r="B336" s="1"/>
      <c r="C336" s="9"/>
      <c r="D336" s="9"/>
      <c r="E336" s="9"/>
      <c r="F336" s="1"/>
      <c r="G336" s="1"/>
      <c r="H336" s="19"/>
      <c r="I336" s="1"/>
      <c r="J336" s="1"/>
      <c r="K336" s="19"/>
      <c r="L336" s="1"/>
      <c r="M336" s="9"/>
      <c r="N336" s="1"/>
      <c r="O336" s="1"/>
      <c r="P336" s="1"/>
      <c r="Q336" s="1"/>
      <c r="R336" s="1"/>
    </row>
    <row r="337" spans="2:18">
      <c r="B337" s="1"/>
      <c r="C337" s="9"/>
      <c r="D337" s="9"/>
      <c r="E337" s="9"/>
      <c r="F337" s="1"/>
      <c r="G337" s="1"/>
      <c r="H337" s="19"/>
      <c r="I337" s="1"/>
      <c r="J337" s="1"/>
      <c r="K337" s="19"/>
      <c r="L337" s="1"/>
      <c r="M337" s="9"/>
      <c r="N337" s="1"/>
      <c r="O337" s="1"/>
      <c r="P337" s="1"/>
      <c r="Q337" s="1"/>
      <c r="R337" s="1"/>
    </row>
    <row r="338" spans="2:18">
      <c r="B338" s="1"/>
      <c r="C338" s="9"/>
      <c r="D338" s="9"/>
      <c r="E338" s="9"/>
      <c r="F338" s="1"/>
      <c r="G338" s="1"/>
      <c r="H338" s="19"/>
      <c r="I338" s="1"/>
      <c r="J338" s="1"/>
      <c r="K338" s="19"/>
      <c r="L338" s="1"/>
      <c r="M338" s="9"/>
      <c r="N338" s="1"/>
      <c r="O338" s="1"/>
      <c r="P338" s="1"/>
      <c r="Q338" s="1"/>
      <c r="R338" s="1"/>
    </row>
    <row r="339" spans="2:18">
      <c r="B339" s="1"/>
      <c r="C339" s="9"/>
      <c r="D339" s="9"/>
      <c r="E339" s="9"/>
      <c r="F339" s="1"/>
      <c r="G339" s="1"/>
      <c r="H339" s="19"/>
      <c r="I339" s="1"/>
      <c r="J339" s="1"/>
      <c r="K339" s="19"/>
      <c r="L339" s="1"/>
      <c r="M339" s="9"/>
      <c r="N339" s="1"/>
      <c r="O339" s="1"/>
      <c r="P339" s="1"/>
      <c r="Q339" s="1"/>
      <c r="R339" s="1"/>
    </row>
    <row r="340" spans="2:18">
      <c r="B340" s="1"/>
      <c r="C340" s="9"/>
      <c r="D340" s="9"/>
      <c r="E340" s="9"/>
      <c r="F340" s="1"/>
      <c r="G340" s="1"/>
      <c r="H340" s="19"/>
      <c r="I340" s="1"/>
      <c r="J340" s="1"/>
      <c r="K340" s="19"/>
      <c r="L340" s="1"/>
      <c r="M340" s="9"/>
      <c r="N340" s="1"/>
      <c r="O340" s="1"/>
      <c r="P340" s="1"/>
      <c r="Q340" s="1"/>
      <c r="R340" s="1"/>
    </row>
    <row r="341" spans="2:18">
      <c r="B341" s="1"/>
      <c r="C341" s="9"/>
      <c r="D341" s="9"/>
      <c r="E341" s="9"/>
      <c r="F341" s="1"/>
      <c r="G341" s="1"/>
      <c r="H341" s="19"/>
      <c r="I341" s="1"/>
      <c r="J341" s="1"/>
      <c r="K341" s="19"/>
      <c r="L341" s="1"/>
      <c r="M341" s="9"/>
      <c r="N341" s="1"/>
      <c r="O341" s="1"/>
      <c r="P341" s="1"/>
      <c r="Q341" s="1"/>
      <c r="R341" s="1"/>
    </row>
    <row r="342" spans="2:18">
      <c r="B342" s="1"/>
      <c r="C342" s="9"/>
      <c r="D342" s="9"/>
      <c r="E342" s="9"/>
      <c r="F342" s="1"/>
      <c r="G342" s="1"/>
      <c r="H342" s="19"/>
      <c r="I342" s="1"/>
      <c r="J342" s="1"/>
      <c r="K342" s="19"/>
      <c r="L342" s="1"/>
      <c r="M342" s="9"/>
      <c r="N342" s="1"/>
      <c r="O342" s="1"/>
      <c r="P342" s="1"/>
      <c r="Q342" s="1"/>
      <c r="R342" s="1"/>
    </row>
    <row r="343" spans="2:18">
      <c r="B343" s="1"/>
      <c r="C343" s="9"/>
      <c r="D343" s="9"/>
      <c r="E343" s="9"/>
      <c r="F343" s="1"/>
      <c r="G343" s="1"/>
      <c r="H343" s="19"/>
      <c r="I343" s="1"/>
      <c r="J343" s="1"/>
      <c r="K343" s="19"/>
      <c r="L343" s="1"/>
      <c r="M343" s="9"/>
      <c r="N343" s="1"/>
      <c r="O343" s="1"/>
      <c r="P343" s="1"/>
      <c r="Q343" s="1"/>
      <c r="R343" s="1"/>
    </row>
    <row r="344" spans="2:18">
      <c r="B344" s="1"/>
      <c r="C344" s="9"/>
      <c r="D344" s="9"/>
      <c r="E344" s="9"/>
      <c r="F344" s="1"/>
      <c r="G344" s="1"/>
      <c r="H344" s="19"/>
      <c r="I344" s="1"/>
      <c r="J344" s="1"/>
      <c r="K344" s="19"/>
      <c r="L344" s="1"/>
      <c r="M344" s="9"/>
      <c r="N344" s="1"/>
      <c r="O344" s="1"/>
      <c r="P344" s="1"/>
      <c r="Q344" s="1"/>
      <c r="R344" s="1"/>
    </row>
    <row r="345" spans="2:18">
      <c r="B345" s="1"/>
      <c r="C345" s="9"/>
      <c r="D345" s="9"/>
      <c r="E345" s="9"/>
      <c r="F345" s="1"/>
      <c r="G345" s="1"/>
      <c r="H345" s="19"/>
      <c r="I345" s="1"/>
      <c r="J345" s="1"/>
      <c r="K345" s="19"/>
      <c r="L345" s="1"/>
      <c r="M345" s="9"/>
      <c r="N345" s="1"/>
      <c r="O345" s="1"/>
      <c r="P345" s="1"/>
      <c r="Q345" s="1"/>
      <c r="R345" s="1"/>
    </row>
    <row r="346" spans="2:18">
      <c r="B346" s="1"/>
      <c r="C346" s="9"/>
      <c r="D346" s="9"/>
      <c r="E346" s="9"/>
      <c r="F346" s="1"/>
      <c r="G346" s="1"/>
      <c r="H346" s="19"/>
      <c r="I346" s="1"/>
      <c r="J346" s="1"/>
      <c r="K346" s="19"/>
      <c r="L346" s="1"/>
      <c r="M346" s="9"/>
      <c r="N346" s="1"/>
      <c r="O346" s="1"/>
      <c r="P346" s="1"/>
      <c r="Q346" s="1"/>
      <c r="R346" s="1"/>
    </row>
    <row r="347" spans="2:18">
      <c r="B347" s="1"/>
      <c r="C347" s="9"/>
      <c r="D347" s="9"/>
      <c r="E347" s="9"/>
      <c r="F347" s="1"/>
      <c r="G347" s="1"/>
      <c r="H347" s="19"/>
      <c r="I347" s="1"/>
      <c r="J347" s="1"/>
      <c r="K347" s="19"/>
      <c r="L347" s="1"/>
      <c r="M347" s="9"/>
      <c r="N347" s="1"/>
      <c r="O347" s="1"/>
      <c r="P347" s="1"/>
      <c r="Q347" s="1"/>
      <c r="R347" s="1"/>
    </row>
    <row r="348" spans="2:18">
      <c r="B348" s="1"/>
      <c r="C348" s="9"/>
      <c r="D348" s="9"/>
      <c r="E348" s="9"/>
      <c r="F348" s="1"/>
      <c r="G348" s="1"/>
      <c r="H348" s="19"/>
      <c r="I348" s="1"/>
      <c r="J348" s="1"/>
      <c r="K348" s="19"/>
      <c r="L348" s="1"/>
      <c r="M348" s="9"/>
      <c r="N348" s="1"/>
      <c r="O348" s="1"/>
      <c r="P348" s="1"/>
      <c r="Q348" s="1"/>
      <c r="R348" s="1"/>
    </row>
    <row r="349" spans="2:18">
      <c r="B349" s="1"/>
      <c r="C349" s="9"/>
      <c r="D349" s="9"/>
      <c r="E349" s="9"/>
      <c r="F349" s="1"/>
      <c r="G349" s="1"/>
      <c r="H349" s="19"/>
      <c r="I349" s="1"/>
      <c r="J349" s="1"/>
      <c r="K349" s="19"/>
      <c r="L349" s="1"/>
      <c r="M349" s="9"/>
      <c r="N349" s="1"/>
      <c r="O349" s="1"/>
      <c r="P349" s="1"/>
      <c r="Q349" s="1"/>
      <c r="R349" s="1"/>
    </row>
    <row r="350" spans="2:18">
      <c r="B350" s="1"/>
      <c r="C350" s="9"/>
      <c r="D350" s="9"/>
      <c r="E350" s="9"/>
      <c r="F350" s="1"/>
      <c r="G350" s="1"/>
      <c r="H350" s="19"/>
      <c r="I350" s="1"/>
      <c r="J350" s="1"/>
      <c r="K350" s="19"/>
      <c r="L350" s="1"/>
      <c r="M350" s="9"/>
      <c r="N350" s="1"/>
      <c r="O350" s="1"/>
      <c r="P350" s="1"/>
      <c r="Q350" s="1"/>
      <c r="R350" s="1"/>
    </row>
    <row r="351" spans="2:18">
      <c r="B351" s="1"/>
      <c r="C351" s="9"/>
      <c r="D351" s="9"/>
      <c r="E351" s="9"/>
      <c r="F351" s="1"/>
      <c r="G351" s="1"/>
      <c r="H351" s="19"/>
      <c r="I351" s="1"/>
      <c r="J351" s="1"/>
      <c r="K351" s="19"/>
      <c r="L351" s="1"/>
      <c r="M351" s="9"/>
      <c r="N351" s="1"/>
      <c r="O351" s="1"/>
      <c r="P351" s="1"/>
      <c r="Q351" s="1"/>
      <c r="R351" s="1"/>
    </row>
    <row r="352" spans="2:18">
      <c r="B352" s="1"/>
      <c r="C352" s="9"/>
      <c r="D352" s="9"/>
      <c r="E352" s="9"/>
      <c r="F352" s="1"/>
      <c r="G352" s="1"/>
      <c r="H352" s="19"/>
      <c r="I352" s="1"/>
      <c r="J352" s="1"/>
      <c r="K352" s="19"/>
      <c r="L352" s="1"/>
      <c r="M352" s="9"/>
      <c r="N352" s="1"/>
      <c r="O352" s="1"/>
      <c r="P352" s="1"/>
      <c r="Q352" s="1"/>
      <c r="R352" s="1"/>
    </row>
    <row r="353" spans="2:18">
      <c r="B353" s="1"/>
      <c r="C353" s="9"/>
      <c r="D353" s="9"/>
      <c r="E353" s="9"/>
      <c r="F353" s="1"/>
      <c r="G353" s="1"/>
      <c r="H353" s="19"/>
      <c r="I353" s="1"/>
      <c r="J353" s="1"/>
      <c r="K353" s="19"/>
      <c r="L353" s="1"/>
      <c r="M353" s="9"/>
      <c r="N353" s="1"/>
      <c r="O353" s="1"/>
      <c r="P353" s="1"/>
      <c r="Q353" s="1"/>
      <c r="R353" s="1"/>
    </row>
    <row r="354" spans="2:18">
      <c r="B354" s="1"/>
      <c r="C354" s="9"/>
      <c r="D354" s="9"/>
      <c r="E354" s="9"/>
      <c r="F354" s="1"/>
      <c r="G354" s="1"/>
      <c r="H354" s="19"/>
      <c r="I354" s="1"/>
      <c r="J354" s="1"/>
      <c r="K354" s="19"/>
      <c r="L354" s="1"/>
      <c r="M354" s="9"/>
      <c r="N354" s="1"/>
      <c r="O354" s="1"/>
      <c r="P354" s="1"/>
      <c r="Q354" s="1"/>
      <c r="R354" s="1"/>
    </row>
    <row r="355" spans="2:18">
      <c r="B355" s="1"/>
      <c r="C355" s="9"/>
      <c r="D355" s="9"/>
      <c r="E355" s="9"/>
      <c r="F355" s="1"/>
      <c r="G355" s="1"/>
      <c r="H355" s="19"/>
      <c r="I355" s="1"/>
      <c r="J355" s="1"/>
      <c r="K355" s="19"/>
      <c r="L355" s="1"/>
      <c r="M355" s="9"/>
      <c r="N355" s="1"/>
      <c r="O355" s="1"/>
      <c r="P355" s="1"/>
      <c r="Q355" s="1"/>
      <c r="R355" s="1"/>
    </row>
    <row r="356" spans="2:18">
      <c r="B356" s="1"/>
      <c r="C356" s="9"/>
      <c r="D356" s="9"/>
      <c r="E356" s="9"/>
      <c r="F356" s="1"/>
      <c r="G356" s="1"/>
      <c r="H356" s="19"/>
      <c r="I356" s="1"/>
      <c r="J356" s="1"/>
      <c r="K356" s="19"/>
      <c r="L356" s="1"/>
      <c r="M356" s="9"/>
      <c r="N356" s="1"/>
      <c r="O356" s="1"/>
      <c r="P356" s="1"/>
      <c r="Q356" s="1"/>
      <c r="R356" s="1"/>
    </row>
    <row r="357" spans="2:18">
      <c r="B357" s="1"/>
      <c r="C357" s="9"/>
      <c r="D357" s="9"/>
      <c r="E357" s="9"/>
      <c r="F357" s="1"/>
      <c r="G357" s="1"/>
      <c r="H357" s="19"/>
      <c r="I357" s="1"/>
      <c r="J357" s="1"/>
      <c r="K357" s="19"/>
      <c r="L357" s="1"/>
      <c r="M357" s="9"/>
      <c r="N357" s="1"/>
      <c r="O357" s="1"/>
      <c r="P357" s="1"/>
      <c r="Q357" s="1"/>
      <c r="R357" s="1"/>
    </row>
    <row r="358" spans="2:18">
      <c r="B358" s="1"/>
      <c r="C358" s="9"/>
      <c r="D358" s="9"/>
      <c r="E358" s="9"/>
      <c r="F358" s="1"/>
      <c r="G358" s="1"/>
      <c r="H358" s="19"/>
      <c r="I358" s="1"/>
      <c r="J358" s="1"/>
      <c r="K358" s="19"/>
      <c r="L358" s="1"/>
      <c r="M358" s="9"/>
      <c r="N358" s="1"/>
      <c r="O358" s="1"/>
      <c r="P358" s="1"/>
      <c r="Q358" s="1"/>
      <c r="R358" s="1"/>
    </row>
    <row r="359" spans="2:18">
      <c r="B359" s="1"/>
      <c r="C359" s="9"/>
      <c r="D359" s="9"/>
      <c r="E359" s="9"/>
      <c r="F359" s="1"/>
      <c r="G359" s="1"/>
      <c r="H359" s="19"/>
      <c r="I359" s="1"/>
      <c r="J359" s="1"/>
      <c r="K359" s="19"/>
      <c r="L359" s="1"/>
      <c r="M359" s="9"/>
      <c r="N359" s="1"/>
      <c r="O359" s="1"/>
      <c r="P359" s="1"/>
      <c r="Q359" s="1"/>
      <c r="R359" s="1"/>
    </row>
    <row r="360" spans="2:18">
      <c r="B360" s="1"/>
      <c r="C360" s="9"/>
      <c r="D360" s="9"/>
      <c r="E360" s="9"/>
      <c r="F360" s="1"/>
      <c r="G360" s="1"/>
      <c r="H360" s="19"/>
      <c r="I360" s="1"/>
      <c r="J360" s="1"/>
      <c r="K360" s="19"/>
      <c r="L360" s="1"/>
      <c r="M360" s="9"/>
      <c r="N360" s="1"/>
      <c r="O360" s="1"/>
      <c r="P360" s="1"/>
      <c r="Q360" s="1"/>
      <c r="R360" s="1"/>
    </row>
    <row r="361" spans="2:18">
      <c r="B361" s="1"/>
      <c r="C361" s="9"/>
      <c r="D361" s="9"/>
      <c r="E361" s="9"/>
      <c r="F361" s="1"/>
      <c r="G361" s="1"/>
      <c r="H361" s="19"/>
      <c r="I361" s="1"/>
      <c r="J361" s="1"/>
      <c r="K361" s="19"/>
      <c r="L361" s="1"/>
      <c r="M361" s="9"/>
      <c r="N361" s="1"/>
      <c r="O361" s="1"/>
      <c r="P361" s="1"/>
      <c r="Q361" s="1"/>
      <c r="R361" s="1"/>
    </row>
    <row r="362" spans="2:18">
      <c r="B362" s="1"/>
      <c r="C362" s="9"/>
      <c r="D362" s="9"/>
      <c r="E362" s="9"/>
      <c r="F362" s="1"/>
      <c r="G362" s="1"/>
      <c r="H362" s="19"/>
      <c r="I362" s="1"/>
      <c r="J362" s="1"/>
      <c r="K362" s="19"/>
      <c r="L362" s="1"/>
      <c r="M362" s="9"/>
      <c r="N362" s="1"/>
      <c r="O362" s="1"/>
      <c r="P362" s="1"/>
      <c r="Q362" s="1"/>
      <c r="R362" s="1"/>
    </row>
    <row r="363" spans="2:18">
      <c r="B363" s="1"/>
      <c r="C363" s="9"/>
      <c r="D363" s="9"/>
      <c r="E363" s="9"/>
      <c r="F363" s="1"/>
      <c r="G363" s="1"/>
      <c r="H363" s="19"/>
      <c r="I363" s="1"/>
      <c r="J363" s="1"/>
      <c r="K363" s="19"/>
      <c r="L363" s="1"/>
      <c r="M363" s="9"/>
      <c r="N363" s="1"/>
      <c r="O363" s="1"/>
      <c r="P363" s="1"/>
      <c r="Q363" s="1"/>
      <c r="R363" s="1"/>
    </row>
    <row r="364" spans="2:18">
      <c r="B364" s="1"/>
      <c r="C364" s="9"/>
      <c r="D364" s="9"/>
      <c r="E364" s="9"/>
      <c r="F364" s="1"/>
      <c r="G364" s="1"/>
      <c r="H364" s="19"/>
      <c r="I364" s="1"/>
      <c r="J364" s="1"/>
      <c r="K364" s="19"/>
      <c r="L364" s="1"/>
      <c r="M364" s="9"/>
      <c r="N364" s="1"/>
      <c r="O364" s="1"/>
      <c r="P364" s="1"/>
      <c r="Q364" s="1"/>
      <c r="R364" s="1"/>
    </row>
    <row r="365" spans="2:18">
      <c r="B365" s="1"/>
      <c r="C365" s="9"/>
      <c r="D365" s="9"/>
      <c r="E365" s="9"/>
      <c r="F365" s="1"/>
      <c r="G365" s="1"/>
      <c r="H365" s="19"/>
      <c r="I365" s="1"/>
      <c r="J365" s="1"/>
      <c r="K365" s="19"/>
      <c r="L365" s="1"/>
      <c r="M365" s="9"/>
      <c r="N365" s="1"/>
      <c r="O365" s="1"/>
      <c r="P365" s="1"/>
      <c r="Q365" s="1"/>
      <c r="R365" s="1"/>
    </row>
    <row r="366" spans="2:18">
      <c r="B366" s="1"/>
      <c r="C366" s="9"/>
      <c r="D366" s="9"/>
      <c r="E366" s="9"/>
      <c r="F366" s="1"/>
      <c r="G366" s="1"/>
      <c r="H366" s="19"/>
      <c r="I366" s="1"/>
      <c r="J366" s="1"/>
      <c r="K366" s="19"/>
      <c r="L366" s="1"/>
      <c r="M366" s="9"/>
      <c r="N366" s="1"/>
      <c r="O366" s="1"/>
      <c r="P366" s="1"/>
      <c r="Q366" s="1"/>
      <c r="R366" s="1"/>
    </row>
    <row r="367" spans="2:18">
      <c r="B367" s="1"/>
      <c r="C367" s="9"/>
      <c r="D367" s="9"/>
      <c r="E367" s="9"/>
      <c r="F367" s="1"/>
      <c r="G367" s="1"/>
      <c r="H367" s="19"/>
      <c r="I367" s="1"/>
      <c r="J367" s="1"/>
      <c r="K367" s="19"/>
      <c r="L367" s="1"/>
      <c r="M367" s="9"/>
      <c r="N367" s="1"/>
      <c r="O367" s="1"/>
      <c r="P367" s="1"/>
      <c r="Q367" s="1"/>
      <c r="R367" s="1"/>
    </row>
    <row r="368" spans="2:18">
      <c r="B368" s="1"/>
      <c r="C368" s="9"/>
      <c r="D368" s="9"/>
      <c r="E368" s="9"/>
      <c r="F368" s="1"/>
      <c r="G368" s="1"/>
      <c r="H368" s="19"/>
      <c r="I368" s="1"/>
      <c r="J368" s="1"/>
      <c r="K368" s="19"/>
      <c r="L368" s="1"/>
      <c r="M368" s="9"/>
      <c r="N368" s="1"/>
      <c r="O368" s="1"/>
      <c r="P368" s="1"/>
      <c r="Q368" s="1"/>
      <c r="R368" s="1"/>
    </row>
    <row r="369" spans="2:18">
      <c r="B369" s="1"/>
      <c r="C369" s="9"/>
      <c r="D369" s="9"/>
      <c r="E369" s="9"/>
      <c r="F369" s="1"/>
      <c r="G369" s="1"/>
      <c r="H369" s="19"/>
      <c r="I369" s="1"/>
      <c r="J369" s="1"/>
      <c r="K369" s="19"/>
      <c r="L369" s="1"/>
      <c r="M369" s="9"/>
      <c r="N369" s="1"/>
      <c r="O369" s="1"/>
      <c r="P369" s="1"/>
      <c r="Q369" s="1"/>
      <c r="R369" s="1"/>
    </row>
    <row r="370" spans="2:18">
      <c r="B370" s="1"/>
      <c r="C370" s="9"/>
      <c r="D370" s="9"/>
      <c r="E370" s="9"/>
      <c r="F370" s="1"/>
      <c r="G370" s="1"/>
      <c r="H370" s="19"/>
      <c r="I370" s="1"/>
      <c r="J370" s="1"/>
      <c r="K370" s="19"/>
      <c r="L370" s="1"/>
      <c r="M370" s="9"/>
      <c r="N370" s="1"/>
      <c r="O370" s="1"/>
      <c r="P370" s="1"/>
      <c r="Q370" s="1"/>
      <c r="R370" s="1"/>
    </row>
    <row r="371" spans="2:18">
      <c r="B371" s="1"/>
      <c r="C371" s="9"/>
      <c r="D371" s="9"/>
      <c r="E371" s="9"/>
      <c r="F371" s="1"/>
      <c r="G371" s="1"/>
      <c r="H371" s="19"/>
      <c r="I371" s="1"/>
      <c r="J371" s="1"/>
      <c r="K371" s="19"/>
      <c r="L371" s="1"/>
      <c r="M371" s="9"/>
      <c r="N371" s="1"/>
      <c r="O371" s="1"/>
      <c r="P371" s="1"/>
      <c r="Q371" s="1"/>
      <c r="R371" s="1"/>
    </row>
    <row r="372" spans="2:18">
      <c r="B372" s="1"/>
      <c r="C372" s="9"/>
      <c r="D372" s="9"/>
      <c r="E372" s="9"/>
      <c r="F372" s="1"/>
      <c r="G372" s="1"/>
      <c r="H372" s="19"/>
      <c r="I372" s="1"/>
      <c r="J372" s="1"/>
      <c r="K372" s="19"/>
      <c r="L372" s="1"/>
      <c r="M372" s="9"/>
      <c r="N372" s="1"/>
      <c r="O372" s="1"/>
      <c r="P372" s="1"/>
      <c r="Q372" s="1"/>
      <c r="R372" s="1"/>
    </row>
    <row r="373" spans="2:18">
      <c r="B373" s="1"/>
      <c r="C373" s="9"/>
      <c r="D373" s="9"/>
      <c r="E373" s="9"/>
      <c r="F373" s="1"/>
      <c r="G373" s="1"/>
      <c r="H373" s="19"/>
      <c r="I373" s="1"/>
      <c r="J373" s="1"/>
      <c r="K373" s="19"/>
      <c r="L373" s="1"/>
      <c r="M373" s="9"/>
      <c r="N373" s="1"/>
      <c r="O373" s="1"/>
      <c r="P373" s="1"/>
      <c r="Q373" s="1"/>
      <c r="R373" s="1"/>
    </row>
    <row r="374" spans="2:18">
      <c r="B374" s="1"/>
      <c r="C374" s="9"/>
      <c r="D374" s="9"/>
      <c r="E374" s="9"/>
      <c r="F374" s="1"/>
      <c r="G374" s="1"/>
      <c r="H374" s="19"/>
      <c r="I374" s="1"/>
      <c r="J374" s="1"/>
      <c r="K374" s="19"/>
      <c r="L374" s="1"/>
      <c r="M374" s="9"/>
      <c r="N374" s="1"/>
      <c r="O374" s="1"/>
      <c r="P374" s="1"/>
      <c r="Q374" s="1"/>
      <c r="R374" s="1"/>
    </row>
    <row r="375" spans="2:18">
      <c r="B375" s="1"/>
      <c r="C375" s="9"/>
      <c r="D375" s="9"/>
      <c r="E375" s="9"/>
      <c r="F375" s="1"/>
      <c r="G375" s="1"/>
      <c r="H375" s="19"/>
      <c r="I375" s="1"/>
      <c r="J375" s="1"/>
      <c r="K375" s="19"/>
      <c r="L375" s="1"/>
      <c r="M375" s="9"/>
      <c r="N375" s="1"/>
      <c r="O375" s="1"/>
      <c r="P375" s="1"/>
      <c r="Q375" s="1"/>
      <c r="R375" s="1"/>
    </row>
    <row r="376" spans="2:18">
      <c r="B376" s="1"/>
      <c r="C376" s="9"/>
      <c r="D376" s="9"/>
      <c r="E376" s="9"/>
      <c r="F376" s="1"/>
      <c r="G376" s="1"/>
      <c r="H376" s="19"/>
      <c r="I376" s="1"/>
      <c r="J376" s="1"/>
      <c r="K376" s="19"/>
      <c r="L376" s="1"/>
      <c r="M376" s="9"/>
      <c r="N376" s="1"/>
      <c r="O376" s="1"/>
      <c r="P376" s="1"/>
      <c r="Q376" s="1"/>
      <c r="R376" s="1"/>
    </row>
    <row r="377" spans="2:18">
      <c r="B377" s="1"/>
      <c r="C377" s="9"/>
      <c r="D377" s="9"/>
      <c r="E377" s="9"/>
      <c r="F377" s="1"/>
      <c r="G377" s="1"/>
      <c r="H377" s="19"/>
      <c r="I377" s="1"/>
      <c r="J377" s="1"/>
      <c r="K377" s="19"/>
      <c r="L377" s="1"/>
      <c r="M377" s="9"/>
      <c r="N377" s="1"/>
      <c r="O377" s="1"/>
      <c r="P377" s="1"/>
      <c r="Q377" s="1"/>
      <c r="R377" s="1"/>
    </row>
    <row r="378" spans="2:18">
      <c r="B378" s="1"/>
      <c r="C378" s="9"/>
      <c r="D378" s="9"/>
      <c r="E378" s="9"/>
      <c r="F378" s="1"/>
      <c r="G378" s="1"/>
      <c r="H378" s="19"/>
      <c r="I378" s="1"/>
      <c r="J378" s="1"/>
      <c r="K378" s="19"/>
      <c r="L378" s="1"/>
      <c r="M378" s="9"/>
      <c r="N378" s="1"/>
      <c r="O378" s="1"/>
      <c r="P378" s="1"/>
      <c r="Q378" s="1"/>
      <c r="R378" s="1"/>
    </row>
    <row r="379" spans="2:18">
      <c r="B379" s="1"/>
      <c r="C379" s="9"/>
      <c r="D379" s="9"/>
      <c r="E379" s="9"/>
      <c r="F379" s="1"/>
      <c r="G379" s="1"/>
      <c r="H379" s="19"/>
      <c r="I379" s="1"/>
      <c r="J379" s="1"/>
      <c r="K379" s="19"/>
      <c r="L379" s="1"/>
      <c r="M379" s="9"/>
      <c r="N379" s="1"/>
      <c r="O379" s="1"/>
      <c r="P379" s="1"/>
      <c r="Q379" s="1"/>
      <c r="R379" s="1"/>
    </row>
    <row r="380" spans="2:18">
      <c r="B380" s="1"/>
      <c r="C380" s="9"/>
      <c r="D380" s="9"/>
      <c r="E380" s="9"/>
      <c r="F380" s="1"/>
      <c r="G380" s="1"/>
      <c r="H380" s="19"/>
      <c r="I380" s="1"/>
      <c r="J380" s="1"/>
      <c r="K380" s="19"/>
      <c r="L380" s="1"/>
      <c r="M380" s="9"/>
      <c r="N380" s="1"/>
      <c r="O380" s="1"/>
      <c r="P380" s="1"/>
      <c r="Q380" s="1"/>
      <c r="R380" s="1"/>
    </row>
    <row r="381" spans="2:18">
      <c r="B381" s="1"/>
      <c r="C381" s="9"/>
      <c r="D381" s="9"/>
      <c r="E381" s="9"/>
      <c r="F381" s="1"/>
      <c r="G381" s="1"/>
      <c r="H381" s="19"/>
      <c r="I381" s="1"/>
      <c r="J381" s="1"/>
      <c r="K381" s="19"/>
      <c r="L381" s="1"/>
      <c r="M381" s="9"/>
      <c r="N381" s="1"/>
      <c r="O381" s="1"/>
      <c r="P381" s="1"/>
      <c r="Q381" s="1"/>
      <c r="R381" s="1"/>
    </row>
    <row r="382" spans="2:18">
      <c r="B382" s="1"/>
      <c r="C382" s="9"/>
      <c r="D382" s="9"/>
      <c r="E382" s="9"/>
      <c r="F382" s="1"/>
      <c r="G382" s="1"/>
      <c r="H382" s="19"/>
      <c r="I382" s="1"/>
      <c r="J382" s="1"/>
      <c r="K382" s="19"/>
      <c r="L382" s="1"/>
      <c r="M382" s="9"/>
      <c r="N382" s="1"/>
      <c r="O382" s="1"/>
      <c r="P382" s="1"/>
      <c r="Q382" s="1"/>
      <c r="R382" s="1"/>
    </row>
    <row r="383" spans="2:18">
      <c r="B383" s="1"/>
      <c r="C383" s="9"/>
      <c r="D383" s="9"/>
      <c r="E383" s="9"/>
      <c r="F383" s="1"/>
      <c r="G383" s="1"/>
      <c r="H383" s="19"/>
      <c r="I383" s="1"/>
      <c r="J383" s="1"/>
      <c r="K383" s="19"/>
      <c r="L383" s="1"/>
      <c r="M383" s="9"/>
      <c r="N383" s="1"/>
      <c r="O383" s="1"/>
      <c r="P383" s="1"/>
      <c r="Q383" s="1"/>
      <c r="R383" s="1"/>
    </row>
    <row r="384" spans="2:18">
      <c r="B384" s="1"/>
      <c r="C384" s="9"/>
      <c r="D384" s="9"/>
      <c r="E384" s="9"/>
      <c r="F384" s="1"/>
      <c r="G384" s="1"/>
      <c r="H384" s="19"/>
      <c r="I384" s="1"/>
      <c r="J384" s="1"/>
      <c r="K384" s="19"/>
      <c r="L384" s="1"/>
      <c r="M384" s="9"/>
      <c r="N384" s="1"/>
      <c r="O384" s="1"/>
      <c r="P384" s="1"/>
      <c r="Q384" s="1"/>
      <c r="R384" s="1"/>
    </row>
    <row r="385" spans="2:18">
      <c r="B385" s="1"/>
      <c r="C385" s="9"/>
      <c r="D385" s="9"/>
      <c r="E385" s="9"/>
      <c r="F385" s="1"/>
      <c r="G385" s="1"/>
      <c r="H385" s="19"/>
      <c r="I385" s="1"/>
      <c r="J385" s="1"/>
      <c r="K385" s="19"/>
      <c r="L385" s="1"/>
      <c r="M385" s="9"/>
      <c r="N385" s="1"/>
      <c r="O385" s="1"/>
      <c r="P385" s="1"/>
      <c r="Q385" s="1"/>
      <c r="R385" s="1"/>
    </row>
    <row r="386" spans="2:18">
      <c r="B386" s="1"/>
      <c r="C386" s="9"/>
      <c r="D386" s="9"/>
      <c r="E386" s="9"/>
      <c r="F386" s="1"/>
      <c r="G386" s="1"/>
      <c r="H386" s="19"/>
      <c r="I386" s="1"/>
      <c r="J386" s="1"/>
      <c r="K386" s="19"/>
      <c r="L386" s="1"/>
      <c r="M386" s="9"/>
      <c r="N386" s="1"/>
      <c r="O386" s="1"/>
      <c r="P386" s="1"/>
      <c r="Q386" s="1"/>
      <c r="R386" s="1"/>
    </row>
    <row r="387" spans="2:18">
      <c r="B387" s="1"/>
      <c r="C387" s="9"/>
      <c r="D387" s="9"/>
      <c r="E387" s="9"/>
      <c r="F387" s="1"/>
      <c r="G387" s="1"/>
      <c r="H387" s="19"/>
      <c r="I387" s="1"/>
      <c r="J387" s="1"/>
      <c r="K387" s="19"/>
      <c r="L387" s="1"/>
      <c r="M387" s="9"/>
      <c r="N387" s="1"/>
      <c r="O387" s="1"/>
      <c r="P387" s="1"/>
      <c r="Q387" s="1"/>
      <c r="R387" s="1"/>
    </row>
    <row r="388" spans="2:18">
      <c r="B388" s="1"/>
      <c r="C388" s="9"/>
      <c r="D388" s="9"/>
      <c r="E388" s="9"/>
      <c r="F388" s="1"/>
      <c r="G388" s="1"/>
      <c r="H388" s="19"/>
      <c r="I388" s="1"/>
      <c r="J388" s="1"/>
      <c r="K388" s="19"/>
      <c r="L388" s="1"/>
      <c r="M388" s="9"/>
      <c r="N388" s="1"/>
      <c r="O388" s="1"/>
      <c r="P388" s="1"/>
      <c r="Q388" s="1"/>
      <c r="R388" s="1"/>
    </row>
    <row r="389" spans="2:18">
      <c r="B389" s="1"/>
      <c r="C389" s="9"/>
      <c r="D389" s="9"/>
      <c r="E389" s="9"/>
      <c r="F389" s="1"/>
      <c r="G389" s="1"/>
      <c r="H389" s="19"/>
      <c r="I389" s="1"/>
      <c r="J389" s="1"/>
      <c r="K389" s="19"/>
      <c r="L389" s="1"/>
      <c r="M389" s="9"/>
      <c r="N389" s="1"/>
      <c r="O389" s="1"/>
      <c r="P389" s="1"/>
      <c r="Q389" s="1"/>
      <c r="R389" s="1"/>
    </row>
    <row r="390" spans="2:18">
      <c r="B390" s="1"/>
      <c r="C390" s="9"/>
      <c r="D390" s="9"/>
      <c r="E390" s="9"/>
      <c r="F390" s="1"/>
      <c r="G390" s="1"/>
      <c r="H390" s="19"/>
      <c r="I390" s="1"/>
      <c r="J390" s="1"/>
      <c r="K390" s="19"/>
      <c r="L390" s="1"/>
      <c r="M390" s="9"/>
      <c r="N390" s="1"/>
      <c r="O390" s="1"/>
      <c r="P390" s="1"/>
      <c r="Q390" s="1"/>
      <c r="R390" s="1"/>
    </row>
    <row r="391" spans="2:18">
      <c r="B391" s="1"/>
      <c r="C391" s="9"/>
      <c r="D391" s="9"/>
      <c r="E391" s="9"/>
      <c r="F391" s="1"/>
      <c r="G391" s="1"/>
      <c r="H391" s="19"/>
      <c r="I391" s="1"/>
      <c r="J391" s="1"/>
      <c r="K391" s="19"/>
      <c r="L391" s="1"/>
      <c r="M391" s="9"/>
      <c r="N391" s="1"/>
      <c r="O391" s="1"/>
      <c r="P391" s="1"/>
      <c r="Q391" s="1"/>
      <c r="R391" s="1"/>
    </row>
    <row r="392" spans="2:18">
      <c r="B392" s="1"/>
      <c r="C392" s="9"/>
      <c r="D392" s="9"/>
      <c r="E392" s="9"/>
      <c r="F392" s="1"/>
      <c r="G392" s="1"/>
      <c r="H392" s="19"/>
      <c r="I392" s="1"/>
      <c r="J392" s="1"/>
      <c r="K392" s="19"/>
      <c r="L392" s="1"/>
      <c r="M392" s="9"/>
      <c r="N392" s="1"/>
      <c r="O392" s="1"/>
      <c r="P392" s="1"/>
      <c r="Q392" s="1"/>
      <c r="R392" s="1"/>
    </row>
    <row r="393" spans="2:18">
      <c r="B393" s="1"/>
      <c r="C393" s="9"/>
      <c r="D393" s="9"/>
      <c r="E393" s="9"/>
      <c r="F393" s="1"/>
      <c r="G393" s="1"/>
      <c r="H393" s="19"/>
      <c r="I393" s="1"/>
      <c r="J393" s="1"/>
      <c r="K393" s="19"/>
      <c r="L393" s="1"/>
      <c r="M393" s="9"/>
      <c r="N393" s="1"/>
      <c r="O393" s="1"/>
      <c r="P393" s="1"/>
      <c r="Q393" s="1"/>
      <c r="R393" s="1"/>
    </row>
    <row r="394" spans="2:18">
      <c r="B394" s="1"/>
      <c r="C394" s="9"/>
      <c r="D394" s="9"/>
      <c r="E394" s="9"/>
      <c r="F394" s="1"/>
      <c r="G394" s="1"/>
      <c r="H394" s="19"/>
      <c r="I394" s="1"/>
      <c r="J394" s="1"/>
      <c r="K394" s="19"/>
      <c r="L394" s="1"/>
      <c r="M394" s="9"/>
      <c r="N394" s="1"/>
      <c r="O394" s="1"/>
      <c r="P394" s="1"/>
      <c r="Q394" s="1"/>
      <c r="R394" s="1"/>
    </row>
    <row r="395" spans="2:18">
      <c r="B395" s="1"/>
      <c r="C395" s="9"/>
      <c r="D395" s="9"/>
      <c r="E395" s="9"/>
      <c r="F395" s="1"/>
      <c r="G395" s="1"/>
      <c r="H395" s="19"/>
      <c r="I395" s="1"/>
      <c r="J395" s="1"/>
      <c r="K395" s="19"/>
      <c r="L395" s="1"/>
      <c r="M395" s="9"/>
      <c r="N395" s="1"/>
      <c r="O395" s="1"/>
      <c r="P395" s="1"/>
      <c r="Q395" s="1"/>
      <c r="R395" s="1"/>
    </row>
    <row r="396" spans="2:18">
      <c r="B396" s="1"/>
      <c r="C396" s="9"/>
      <c r="D396" s="9"/>
      <c r="E396" s="9"/>
      <c r="F396" s="1"/>
      <c r="G396" s="1"/>
      <c r="H396" s="19"/>
      <c r="I396" s="1"/>
      <c r="J396" s="1"/>
      <c r="K396" s="19"/>
      <c r="L396" s="1"/>
      <c r="M396" s="9"/>
      <c r="N396" s="1"/>
      <c r="O396" s="1"/>
      <c r="P396" s="1"/>
      <c r="Q396" s="1"/>
      <c r="R396" s="1"/>
    </row>
    <row r="397" spans="2:18">
      <c r="B397" s="1"/>
      <c r="C397" s="9"/>
      <c r="D397" s="9"/>
      <c r="E397" s="9"/>
      <c r="F397" s="1"/>
      <c r="G397" s="1"/>
      <c r="H397" s="19"/>
      <c r="I397" s="1"/>
      <c r="J397" s="1"/>
      <c r="K397" s="19"/>
      <c r="L397" s="1"/>
      <c r="M397" s="9"/>
      <c r="N397" s="1"/>
      <c r="O397" s="1"/>
      <c r="P397" s="1"/>
      <c r="Q397" s="1"/>
      <c r="R397" s="1"/>
    </row>
    <row r="398" spans="2:18">
      <c r="B398" s="1"/>
      <c r="C398" s="9"/>
      <c r="D398" s="9"/>
      <c r="E398" s="9"/>
      <c r="F398" s="1"/>
      <c r="G398" s="1"/>
      <c r="H398" s="19"/>
      <c r="I398" s="1"/>
      <c r="J398" s="1"/>
      <c r="K398" s="19"/>
      <c r="L398" s="1"/>
      <c r="M398" s="9"/>
      <c r="N398" s="1"/>
      <c r="O398" s="1"/>
      <c r="P398" s="1"/>
      <c r="Q398" s="1"/>
      <c r="R398" s="1"/>
    </row>
    <row r="399" spans="2:18">
      <c r="B399" s="1"/>
      <c r="C399" s="9"/>
      <c r="D399" s="9"/>
      <c r="E399" s="9"/>
      <c r="F399" s="1"/>
      <c r="G399" s="1"/>
      <c r="H399" s="19"/>
      <c r="I399" s="1"/>
      <c r="J399" s="1"/>
      <c r="K399" s="19"/>
      <c r="L399" s="1"/>
      <c r="M399" s="9"/>
      <c r="N399" s="1"/>
      <c r="O399" s="1"/>
      <c r="P399" s="1"/>
      <c r="Q399" s="1"/>
      <c r="R399" s="1"/>
    </row>
    <row r="400" spans="2:18">
      <c r="B400" s="1"/>
      <c r="C400" s="9"/>
      <c r="D400" s="9"/>
      <c r="E400" s="9"/>
      <c r="F400" s="1"/>
      <c r="G400" s="1"/>
      <c r="H400" s="19"/>
      <c r="I400" s="1"/>
      <c r="J400" s="1"/>
      <c r="K400" s="19"/>
      <c r="L400" s="1"/>
      <c r="M400" s="9"/>
      <c r="N400" s="1"/>
      <c r="O400" s="1"/>
      <c r="P400" s="1"/>
      <c r="Q400" s="1"/>
      <c r="R400" s="1"/>
    </row>
    <row r="401" spans="2:18">
      <c r="B401" s="1"/>
      <c r="C401" s="9"/>
      <c r="D401" s="9"/>
      <c r="E401" s="9"/>
      <c r="F401" s="1"/>
      <c r="G401" s="1"/>
      <c r="H401" s="19"/>
      <c r="I401" s="1"/>
      <c r="J401" s="1"/>
      <c r="K401" s="19"/>
      <c r="L401" s="1"/>
      <c r="M401" s="9"/>
      <c r="N401" s="1"/>
      <c r="O401" s="1"/>
      <c r="P401" s="1"/>
      <c r="Q401" s="1"/>
      <c r="R401" s="1"/>
    </row>
    <row r="402" spans="2:18">
      <c r="B402" s="1"/>
      <c r="C402" s="9"/>
      <c r="D402" s="9"/>
      <c r="E402" s="9"/>
      <c r="F402" s="1"/>
      <c r="G402" s="1"/>
      <c r="H402" s="19"/>
      <c r="I402" s="1"/>
      <c r="J402" s="1"/>
      <c r="K402" s="19"/>
      <c r="L402" s="1"/>
      <c r="M402" s="9"/>
      <c r="N402" s="1"/>
      <c r="O402" s="1"/>
      <c r="P402" s="1"/>
      <c r="Q402" s="1"/>
      <c r="R402" s="1"/>
    </row>
    <row r="403" spans="2:18">
      <c r="B403" s="1"/>
      <c r="C403" s="9"/>
      <c r="D403" s="9"/>
      <c r="E403" s="9"/>
      <c r="F403" s="1"/>
      <c r="G403" s="1"/>
      <c r="H403" s="19"/>
      <c r="I403" s="1"/>
      <c r="J403" s="1"/>
      <c r="K403" s="19"/>
      <c r="L403" s="1"/>
      <c r="M403" s="9"/>
      <c r="N403" s="1"/>
      <c r="O403" s="1"/>
      <c r="P403" s="1"/>
      <c r="Q403" s="1"/>
      <c r="R403" s="1"/>
    </row>
    <row r="404" spans="2:18">
      <c r="B404" s="1"/>
      <c r="C404" s="9"/>
      <c r="D404" s="9"/>
      <c r="E404" s="9"/>
      <c r="F404" s="1"/>
      <c r="G404" s="1"/>
      <c r="H404" s="19"/>
      <c r="I404" s="1"/>
      <c r="J404" s="1"/>
      <c r="K404" s="19"/>
      <c r="L404" s="1"/>
      <c r="M404" s="9"/>
      <c r="N404" s="1"/>
      <c r="O404" s="1"/>
      <c r="P404" s="1"/>
      <c r="Q404" s="1"/>
      <c r="R404" s="1"/>
    </row>
    <row r="405" spans="2:18">
      <c r="B405" s="1"/>
      <c r="C405" s="9"/>
      <c r="D405" s="9"/>
      <c r="E405" s="9"/>
      <c r="F405" s="1"/>
      <c r="G405" s="1"/>
      <c r="H405" s="19"/>
      <c r="I405" s="1"/>
      <c r="J405" s="1"/>
      <c r="K405" s="19"/>
      <c r="L405" s="1"/>
      <c r="M405" s="9"/>
      <c r="N405" s="1"/>
      <c r="O405" s="1"/>
      <c r="P405" s="1"/>
      <c r="Q405" s="1"/>
      <c r="R405" s="1"/>
    </row>
    <row r="406" spans="2:18">
      <c r="B406" s="1"/>
      <c r="C406" s="9"/>
      <c r="D406" s="9"/>
      <c r="E406" s="9"/>
      <c r="F406" s="1"/>
      <c r="G406" s="1"/>
      <c r="H406" s="19"/>
      <c r="I406" s="1"/>
      <c r="J406" s="1"/>
      <c r="K406" s="19"/>
      <c r="L406" s="1"/>
      <c r="M406" s="9"/>
      <c r="N406" s="1"/>
      <c r="O406" s="1"/>
      <c r="P406" s="1"/>
      <c r="Q406" s="1"/>
      <c r="R406" s="1"/>
    </row>
    <row r="407" spans="2:18">
      <c r="B407" s="1"/>
      <c r="C407" s="9"/>
      <c r="D407" s="9"/>
      <c r="E407" s="9"/>
      <c r="F407" s="1"/>
      <c r="G407" s="1"/>
      <c r="H407" s="19"/>
      <c r="I407" s="1"/>
      <c r="J407" s="1"/>
      <c r="K407" s="19"/>
      <c r="L407" s="1"/>
      <c r="M407" s="9"/>
      <c r="N407" s="1"/>
      <c r="O407" s="1"/>
      <c r="P407" s="1"/>
      <c r="Q407" s="1"/>
      <c r="R407" s="1"/>
    </row>
    <row r="408" spans="2:18">
      <c r="B408" s="1"/>
      <c r="C408" s="9"/>
      <c r="D408" s="9"/>
      <c r="E408" s="9"/>
      <c r="F408" s="1"/>
      <c r="G408" s="1"/>
      <c r="H408" s="19"/>
      <c r="I408" s="1"/>
      <c r="J408" s="1"/>
      <c r="K408" s="19"/>
      <c r="L408" s="1"/>
      <c r="M408" s="9"/>
      <c r="N408" s="1"/>
      <c r="O408" s="1"/>
      <c r="P408" s="1"/>
      <c r="Q408" s="1"/>
      <c r="R408" s="1"/>
    </row>
    <row r="409" spans="2:18">
      <c r="B409" s="1"/>
      <c r="C409" s="9"/>
      <c r="D409" s="9"/>
      <c r="E409" s="9"/>
      <c r="F409" s="1"/>
      <c r="G409" s="1"/>
      <c r="H409" s="19"/>
      <c r="I409" s="1"/>
      <c r="J409" s="1"/>
      <c r="K409" s="19"/>
      <c r="L409" s="1"/>
      <c r="M409" s="9"/>
      <c r="N409" s="1"/>
      <c r="O409" s="1"/>
      <c r="P409" s="1"/>
      <c r="Q409" s="1"/>
      <c r="R409" s="1"/>
    </row>
    <row r="410" spans="2:18">
      <c r="B410" s="1"/>
      <c r="C410" s="9"/>
      <c r="D410" s="9"/>
      <c r="E410" s="9"/>
      <c r="F410" s="1"/>
      <c r="G410" s="1"/>
      <c r="H410" s="19"/>
      <c r="I410" s="1"/>
      <c r="J410" s="1"/>
      <c r="K410" s="19"/>
      <c r="L410" s="1"/>
      <c r="M410" s="9"/>
      <c r="N410" s="1"/>
      <c r="O410" s="1"/>
      <c r="P410" s="1"/>
      <c r="Q410" s="1"/>
      <c r="R410" s="1"/>
    </row>
    <row r="411" spans="2:18">
      <c r="B411" s="1"/>
      <c r="C411" s="9"/>
      <c r="D411" s="9"/>
      <c r="E411" s="9"/>
      <c r="F411" s="1"/>
      <c r="G411" s="1"/>
      <c r="H411" s="19"/>
      <c r="I411" s="1"/>
      <c r="J411" s="1"/>
      <c r="K411" s="19"/>
      <c r="L411" s="1"/>
      <c r="M411" s="9"/>
      <c r="N411" s="1"/>
      <c r="O411" s="1"/>
      <c r="P411" s="1"/>
      <c r="Q411" s="1"/>
      <c r="R411" s="1"/>
    </row>
    <row r="412" spans="2:18">
      <c r="B412" s="1"/>
      <c r="C412" s="9"/>
      <c r="D412" s="9"/>
      <c r="E412" s="9"/>
      <c r="F412" s="1"/>
      <c r="G412" s="1"/>
      <c r="H412" s="19"/>
      <c r="I412" s="1"/>
      <c r="J412" s="1"/>
      <c r="K412" s="19"/>
      <c r="L412" s="1"/>
      <c r="M412" s="9"/>
      <c r="N412" s="1"/>
      <c r="O412" s="1"/>
      <c r="P412" s="1"/>
      <c r="Q412" s="1"/>
      <c r="R412" s="1"/>
    </row>
    <row r="413" spans="2:18">
      <c r="B413" s="1"/>
      <c r="C413" s="9"/>
      <c r="D413" s="9"/>
      <c r="E413" s="9"/>
      <c r="F413" s="1"/>
      <c r="G413" s="1"/>
      <c r="H413" s="19"/>
      <c r="I413" s="1"/>
      <c r="J413" s="1"/>
      <c r="K413" s="19"/>
      <c r="L413" s="1"/>
      <c r="M413" s="9"/>
      <c r="N413" s="1"/>
      <c r="O413" s="1"/>
      <c r="P413" s="1"/>
      <c r="Q413" s="1"/>
      <c r="R413" s="1"/>
    </row>
    <row r="414" spans="2:18">
      <c r="B414" s="1"/>
      <c r="C414" s="9"/>
      <c r="D414" s="9"/>
      <c r="E414" s="9"/>
      <c r="F414" s="1"/>
      <c r="G414" s="1"/>
      <c r="H414" s="19"/>
      <c r="I414" s="1"/>
      <c r="J414" s="1"/>
      <c r="K414" s="19"/>
      <c r="L414" s="1"/>
      <c r="M414" s="9"/>
      <c r="N414" s="1"/>
      <c r="O414" s="1"/>
      <c r="P414" s="1"/>
      <c r="Q414" s="1"/>
      <c r="R414" s="1"/>
    </row>
    <row r="415" spans="2:18">
      <c r="B415" s="1"/>
      <c r="C415" s="9"/>
      <c r="D415" s="9"/>
      <c r="E415" s="9"/>
      <c r="F415" s="1"/>
      <c r="G415" s="1"/>
      <c r="H415" s="19"/>
      <c r="I415" s="1"/>
      <c r="J415" s="1"/>
      <c r="K415" s="19"/>
      <c r="L415" s="1"/>
      <c r="M415" s="9"/>
      <c r="N415" s="1"/>
      <c r="O415" s="1"/>
      <c r="P415" s="1"/>
      <c r="Q415" s="1"/>
      <c r="R415" s="1"/>
    </row>
    <row r="416" spans="2:18">
      <c r="B416" s="1"/>
      <c r="C416" s="9"/>
      <c r="D416" s="9"/>
      <c r="E416" s="9"/>
      <c r="F416" s="1"/>
      <c r="G416" s="1"/>
      <c r="H416" s="19"/>
      <c r="I416" s="1"/>
      <c r="J416" s="1"/>
      <c r="K416" s="19"/>
      <c r="L416" s="1"/>
      <c r="M416" s="9"/>
      <c r="N416" s="1"/>
      <c r="O416" s="1"/>
      <c r="P416" s="1"/>
      <c r="Q416" s="1"/>
      <c r="R416" s="1"/>
    </row>
    <row r="417" spans="2:18">
      <c r="B417" s="1"/>
      <c r="C417" s="9"/>
      <c r="D417" s="9"/>
      <c r="E417" s="9"/>
      <c r="F417" s="1"/>
      <c r="G417" s="1"/>
      <c r="H417" s="19"/>
      <c r="I417" s="1"/>
      <c r="J417" s="1"/>
      <c r="K417" s="19"/>
      <c r="L417" s="1"/>
      <c r="M417" s="9"/>
      <c r="N417" s="1"/>
      <c r="O417" s="1"/>
      <c r="P417" s="1"/>
      <c r="Q417" s="1"/>
      <c r="R417" s="1"/>
    </row>
    <row r="418" spans="2:18">
      <c r="B418" s="1"/>
      <c r="C418" s="9"/>
      <c r="D418" s="9"/>
      <c r="E418" s="9"/>
      <c r="F418" s="1"/>
      <c r="G418" s="1"/>
      <c r="H418" s="19"/>
      <c r="I418" s="1"/>
      <c r="J418" s="1"/>
      <c r="K418" s="19"/>
      <c r="L418" s="1"/>
      <c r="M418" s="9"/>
      <c r="N418" s="1"/>
      <c r="O418" s="1"/>
      <c r="P418" s="1"/>
      <c r="Q418" s="1"/>
      <c r="R418" s="1"/>
    </row>
    <row r="419" spans="2:18">
      <c r="B419" s="1"/>
      <c r="C419" s="9"/>
      <c r="D419" s="9"/>
      <c r="E419" s="9"/>
      <c r="F419" s="1"/>
      <c r="G419" s="1"/>
      <c r="H419" s="19"/>
      <c r="I419" s="1"/>
      <c r="J419" s="1"/>
      <c r="K419" s="19"/>
      <c r="L419" s="1"/>
      <c r="M419" s="9"/>
      <c r="N419" s="1"/>
      <c r="O419" s="1"/>
      <c r="P419" s="1"/>
      <c r="Q419" s="1"/>
      <c r="R419" s="1"/>
    </row>
    <row r="420" spans="2:18">
      <c r="B420" s="1"/>
      <c r="C420" s="9"/>
      <c r="D420" s="9"/>
      <c r="E420" s="9"/>
      <c r="F420" s="1"/>
      <c r="G420" s="1"/>
      <c r="H420" s="19"/>
      <c r="I420" s="1"/>
      <c r="J420" s="1"/>
      <c r="K420" s="19"/>
      <c r="L420" s="1"/>
      <c r="M420" s="9"/>
      <c r="N420" s="1"/>
      <c r="O420" s="1"/>
      <c r="P420" s="1"/>
      <c r="Q420" s="1"/>
      <c r="R420" s="1"/>
    </row>
    <row r="421" spans="2:18">
      <c r="B421" s="1"/>
      <c r="C421" s="9"/>
      <c r="D421" s="9"/>
      <c r="E421" s="9"/>
      <c r="F421" s="1"/>
      <c r="G421" s="1"/>
      <c r="H421" s="19"/>
      <c r="I421" s="1"/>
      <c r="J421" s="1"/>
      <c r="K421" s="19"/>
      <c r="L421" s="1"/>
      <c r="M421" s="9"/>
      <c r="N421" s="1"/>
      <c r="O421" s="1"/>
      <c r="P421" s="1"/>
      <c r="Q421" s="1"/>
      <c r="R421" s="1"/>
    </row>
    <row r="422" spans="2:18">
      <c r="B422" s="1"/>
      <c r="C422" s="9"/>
      <c r="D422" s="9"/>
      <c r="E422" s="9"/>
      <c r="F422" s="1"/>
      <c r="G422" s="1"/>
      <c r="H422" s="19"/>
      <c r="I422" s="1"/>
      <c r="J422" s="1"/>
      <c r="K422" s="19"/>
      <c r="L422" s="1"/>
      <c r="M422" s="9"/>
      <c r="N422" s="1"/>
      <c r="O422" s="1"/>
      <c r="P422" s="1"/>
      <c r="Q422" s="1"/>
      <c r="R422" s="1"/>
    </row>
    <row r="423" spans="2:18">
      <c r="B423" s="1"/>
      <c r="C423" s="9"/>
      <c r="D423" s="9"/>
      <c r="E423" s="9"/>
      <c r="F423" s="1"/>
      <c r="G423" s="1"/>
      <c r="H423" s="19"/>
      <c r="I423" s="1"/>
      <c r="J423" s="1"/>
      <c r="K423" s="19"/>
      <c r="L423" s="1"/>
      <c r="M423" s="9"/>
      <c r="N423" s="1"/>
      <c r="O423" s="1"/>
      <c r="P423" s="1"/>
      <c r="Q423" s="1"/>
      <c r="R423" s="1"/>
    </row>
    <row r="424" spans="2:18">
      <c r="B424" s="1"/>
      <c r="C424" s="9"/>
      <c r="D424" s="9"/>
      <c r="E424" s="9"/>
      <c r="F424" s="1"/>
      <c r="G424" s="1"/>
      <c r="H424" s="19"/>
      <c r="I424" s="1"/>
      <c r="J424" s="1"/>
      <c r="K424" s="19"/>
      <c r="L424" s="1"/>
      <c r="M424" s="9"/>
      <c r="N424" s="1"/>
      <c r="O424" s="1"/>
      <c r="P424" s="1"/>
      <c r="Q424" s="1"/>
      <c r="R424" s="1"/>
    </row>
    <row r="425" spans="2:18">
      <c r="B425" s="1"/>
      <c r="C425" s="9"/>
      <c r="D425" s="9"/>
      <c r="E425" s="9"/>
      <c r="F425" s="1"/>
      <c r="G425" s="1"/>
      <c r="H425" s="19"/>
      <c r="I425" s="1"/>
      <c r="J425" s="1"/>
      <c r="K425" s="19"/>
      <c r="L425" s="1"/>
      <c r="M425" s="9"/>
      <c r="N425" s="1"/>
      <c r="O425" s="1"/>
      <c r="P425" s="1"/>
      <c r="Q425" s="1"/>
      <c r="R425" s="1"/>
    </row>
    <row r="426" spans="2:18">
      <c r="B426" s="1"/>
      <c r="C426" s="9"/>
      <c r="D426" s="9"/>
      <c r="E426" s="9"/>
      <c r="F426" s="1"/>
      <c r="G426" s="1"/>
      <c r="H426" s="19"/>
      <c r="I426" s="1"/>
      <c r="J426" s="1"/>
      <c r="K426" s="19"/>
      <c r="L426" s="1"/>
      <c r="M426" s="9"/>
      <c r="N426" s="1"/>
      <c r="O426" s="1"/>
      <c r="P426" s="1"/>
      <c r="Q426" s="1"/>
      <c r="R426" s="1"/>
    </row>
    <row r="427" spans="2:18">
      <c r="B427" s="1"/>
      <c r="C427" s="9"/>
      <c r="D427" s="9"/>
      <c r="E427" s="9"/>
      <c r="F427" s="1"/>
      <c r="G427" s="1"/>
      <c r="H427" s="19"/>
      <c r="I427" s="1"/>
      <c r="J427" s="1"/>
      <c r="K427" s="19"/>
      <c r="L427" s="1"/>
      <c r="M427" s="9"/>
      <c r="N427" s="1"/>
      <c r="O427" s="1"/>
      <c r="P427" s="1"/>
      <c r="Q427" s="1"/>
      <c r="R427" s="1"/>
    </row>
    <row r="428" spans="2:18">
      <c r="B428" s="1"/>
      <c r="C428" s="9"/>
      <c r="D428" s="9"/>
      <c r="E428" s="9"/>
      <c r="F428" s="1"/>
      <c r="G428" s="1"/>
      <c r="H428" s="19"/>
      <c r="I428" s="1"/>
      <c r="J428" s="1"/>
      <c r="K428" s="19"/>
      <c r="L428" s="1"/>
      <c r="M428" s="9"/>
      <c r="N428" s="1"/>
      <c r="O428" s="1"/>
      <c r="P428" s="1"/>
      <c r="Q428" s="1"/>
      <c r="R428" s="1"/>
    </row>
    <row r="429" spans="2:18">
      <c r="B429" s="1"/>
      <c r="C429" s="9"/>
      <c r="D429" s="9"/>
      <c r="E429" s="9"/>
      <c r="F429" s="1"/>
      <c r="G429" s="1"/>
      <c r="H429" s="19"/>
      <c r="I429" s="1"/>
      <c r="J429" s="1"/>
      <c r="K429" s="19"/>
      <c r="L429" s="1"/>
      <c r="M429" s="9"/>
      <c r="N429" s="1"/>
      <c r="O429" s="1"/>
      <c r="P429" s="1"/>
      <c r="Q429" s="1"/>
      <c r="R429" s="1"/>
    </row>
    <row r="430" spans="2:18">
      <c r="B430" s="1"/>
      <c r="C430" s="9"/>
      <c r="D430" s="9"/>
      <c r="E430" s="9"/>
      <c r="F430" s="1"/>
      <c r="G430" s="1"/>
      <c r="H430" s="19"/>
      <c r="I430" s="1"/>
      <c r="J430" s="1"/>
      <c r="K430" s="19"/>
      <c r="L430" s="1"/>
      <c r="M430" s="9"/>
      <c r="N430" s="1"/>
      <c r="O430" s="1"/>
      <c r="P430" s="1"/>
      <c r="Q430" s="1"/>
      <c r="R430" s="1"/>
    </row>
    <row r="431" spans="2:18">
      <c r="B431" s="1"/>
      <c r="C431" s="9"/>
      <c r="D431" s="9"/>
      <c r="E431" s="9"/>
      <c r="F431" s="1"/>
      <c r="G431" s="1"/>
      <c r="H431" s="19"/>
      <c r="I431" s="1"/>
      <c r="J431" s="1"/>
      <c r="K431" s="19"/>
      <c r="L431" s="1"/>
      <c r="M431" s="9"/>
      <c r="N431" s="1"/>
      <c r="O431" s="1"/>
      <c r="P431" s="1"/>
      <c r="Q431" s="1"/>
      <c r="R431" s="1"/>
    </row>
    <row r="432" spans="2:18">
      <c r="B432" s="1"/>
      <c r="C432" s="9"/>
      <c r="D432" s="9"/>
      <c r="E432" s="9"/>
      <c r="F432" s="1"/>
      <c r="G432" s="1"/>
      <c r="H432" s="19"/>
      <c r="I432" s="1"/>
      <c r="J432" s="1"/>
      <c r="K432" s="19"/>
      <c r="L432" s="1"/>
      <c r="M432" s="9"/>
      <c r="N432" s="1"/>
      <c r="O432" s="1"/>
      <c r="P432" s="1"/>
      <c r="Q432" s="1"/>
      <c r="R432" s="1"/>
    </row>
    <row r="433" spans="2:18">
      <c r="B433" s="1"/>
      <c r="C433" s="9"/>
      <c r="D433" s="9"/>
      <c r="E433" s="9"/>
      <c r="F433" s="1"/>
      <c r="G433" s="1"/>
      <c r="H433" s="19"/>
      <c r="I433" s="1"/>
      <c r="J433" s="1"/>
      <c r="K433" s="19"/>
      <c r="L433" s="1"/>
      <c r="M433" s="9"/>
      <c r="N433" s="1"/>
      <c r="O433" s="1"/>
      <c r="P433" s="1"/>
      <c r="Q433" s="1"/>
      <c r="R433" s="1"/>
    </row>
    <row r="434" spans="2:18">
      <c r="B434" s="1"/>
      <c r="C434" s="9"/>
      <c r="D434" s="9"/>
      <c r="E434" s="9"/>
      <c r="F434" s="1"/>
      <c r="G434" s="1"/>
      <c r="H434" s="19"/>
      <c r="I434" s="1"/>
      <c r="J434" s="1"/>
      <c r="K434" s="19"/>
      <c r="L434" s="1"/>
      <c r="M434" s="9"/>
      <c r="N434" s="1"/>
      <c r="O434" s="1"/>
      <c r="P434" s="1"/>
      <c r="Q434" s="1"/>
      <c r="R434" s="1"/>
    </row>
    <row r="435" spans="2:18">
      <c r="B435" s="1"/>
      <c r="C435" s="9"/>
      <c r="D435" s="9"/>
      <c r="E435" s="9"/>
      <c r="F435" s="1"/>
      <c r="G435" s="1"/>
      <c r="H435" s="19"/>
      <c r="I435" s="1"/>
      <c r="J435" s="1"/>
      <c r="K435" s="19"/>
      <c r="L435" s="1"/>
      <c r="M435" s="9"/>
      <c r="N435" s="1"/>
      <c r="O435" s="1"/>
      <c r="P435" s="1"/>
      <c r="Q435" s="1"/>
      <c r="R435" s="1"/>
    </row>
    <row r="436" spans="2:18">
      <c r="B436" s="1"/>
      <c r="C436" s="9"/>
      <c r="D436" s="9"/>
      <c r="E436" s="9"/>
      <c r="F436" s="1"/>
      <c r="G436" s="1"/>
      <c r="H436" s="19"/>
      <c r="I436" s="1"/>
      <c r="J436" s="1"/>
      <c r="K436" s="19"/>
      <c r="L436" s="1"/>
      <c r="M436" s="9"/>
      <c r="N436" s="1"/>
      <c r="O436" s="1"/>
      <c r="P436" s="1"/>
      <c r="Q436" s="1"/>
      <c r="R436" s="1"/>
    </row>
    <row r="437" spans="2:18">
      <c r="B437" s="1"/>
      <c r="C437" s="9"/>
      <c r="D437" s="9"/>
      <c r="E437" s="9"/>
      <c r="F437" s="1"/>
      <c r="G437" s="1"/>
      <c r="H437" s="19"/>
      <c r="I437" s="1"/>
      <c r="J437" s="1"/>
      <c r="K437" s="19"/>
      <c r="L437" s="1"/>
      <c r="M437" s="9"/>
      <c r="N437" s="1"/>
      <c r="O437" s="1"/>
      <c r="P437" s="1"/>
      <c r="Q437" s="1"/>
      <c r="R437" s="1"/>
    </row>
    <row r="438" spans="2:18">
      <c r="B438" s="1"/>
      <c r="C438" s="9"/>
      <c r="D438" s="9"/>
      <c r="E438" s="9"/>
      <c r="F438" s="1"/>
      <c r="G438" s="1"/>
      <c r="H438" s="19"/>
      <c r="I438" s="1"/>
      <c r="J438" s="1"/>
      <c r="K438" s="19"/>
      <c r="L438" s="1"/>
      <c r="M438" s="9"/>
      <c r="N438" s="1"/>
      <c r="O438" s="1"/>
      <c r="P438" s="1"/>
      <c r="Q438" s="1"/>
      <c r="R438" s="1"/>
    </row>
    <row r="439" spans="2:18">
      <c r="B439" s="1"/>
      <c r="C439" s="9"/>
      <c r="D439" s="9"/>
      <c r="E439" s="9"/>
      <c r="F439" s="1"/>
      <c r="G439" s="1"/>
      <c r="H439" s="19"/>
      <c r="I439" s="1"/>
      <c r="J439" s="1"/>
      <c r="K439" s="19"/>
      <c r="L439" s="1"/>
      <c r="M439" s="9"/>
      <c r="N439" s="1"/>
      <c r="O439" s="1"/>
      <c r="P439" s="1"/>
      <c r="Q439" s="1"/>
      <c r="R439" s="1"/>
    </row>
    <row r="440" spans="2:18">
      <c r="B440" s="1"/>
      <c r="C440" s="9"/>
      <c r="D440" s="9"/>
      <c r="E440" s="9"/>
      <c r="F440" s="1"/>
      <c r="G440" s="1"/>
      <c r="H440" s="19"/>
      <c r="I440" s="1"/>
      <c r="J440" s="1"/>
      <c r="K440" s="19"/>
      <c r="L440" s="1"/>
      <c r="M440" s="9"/>
      <c r="N440" s="1"/>
      <c r="O440" s="1"/>
      <c r="P440" s="1"/>
      <c r="Q440" s="1"/>
      <c r="R440" s="1"/>
    </row>
    <row r="441" spans="2:18">
      <c r="B441" s="1"/>
      <c r="C441" s="9"/>
      <c r="D441" s="9"/>
      <c r="E441" s="9"/>
      <c r="F441" s="1"/>
      <c r="G441" s="1"/>
      <c r="H441" s="19"/>
      <c r="I441" s="1"/>
      <c r="J441" s="1"/>
      <c r="K441" s="19"/>
      <c r="L441" s="1"/>
      <c r="M441" s="9"/>
      <c r="N441" s="1"/>
      <c r="O441" s="1"/>
      <c r="P441" s="1"/>
      <c r="Q441" s="1"/>
      <c r="R441" s="1"/>
    </row>
    <row r="442" spans="2:18">
      <c r="B442" s="1"/>
      <c r="C442" s="9"/>
      <c r="D442" s="9"/>
      <c r="E442" s="9"/>
      <c r="F442" s="1"/>
      <c r="G442" s="1"/>
      <c r="H442" s="19"/>
      <c r="I442" s="1"/>
      <c r="J442" s="1"/>
      <c r="K442" s="19"/>
      <c r="L442" s="1"/>
      <c r="M442" s="9"/>
      <c r="N442" s="1"/>
      <c r="O442" s="1"/>
      <c r="P442" s="1"/>
      <c r="Q442" s="1"/>
      <c r="R442" s="1"/>
    </row>
    <row r="443" spans="2:18">
      <c r="B443" s="1"/>
      <c r="C443" s="9"/>
      <c r="D443" s="9"/>
      <c r="E443" s="9"/>
      <c r="F443" s="1"/>
      <c r="G443" s="1"/>
      <c r="H443" s="19"/>
      <c r="I443" s="1"/>
      <c r="J443" s="1"/>
      <c r="K443" s="19"/>
      <c r="L443" s="1"/>
      <c r="M443" s="9"/>
      <c r="N443" s="1"/>
      <c r="O443" s="1"/>
      <c r="P443" s="1"/>
      <c r="Q443" s="1"/>
      <c r="R443" s="1"/>
    </row>
    <row r="444" spans="2:18">
      <c r="B444" s="1"/>
      <c r="C444" s="9"/>
      <c r="D444" s="9"/>
      <c r="E444" s="9"/>
      <c r="F444" s="1"/>
      <c r="G444" s="1"/>
      <c r="H444" s="19"/>
      <c r="I444" s="1"/>
      <c r="J444" s="1"/>
      <c r="K444" s="19"/>
      <c r="L444" s="1"/>
      <c r="M444" s="9"/>
      <c r="N444" s="1"/>
      <c r="O444" s="1"/>
      <c r="P444" s="1"/>
      <c r="Q444" s="1"/>
      <c r="R444" s="1"/>
    </row>
    <row r="445" spans="2:18">
      <c r="B445" s="1"/>
      <c r="C445" s="9"/>
      <c r="D445" s="9"/>
      <c r="E445" s="9"/>
      <c r="F445" s="1"/>
      <c r="G445" s="1"/>
      <c r="H445" s="19"/>
      <c r="I445" s="1"/>
      <c r="J445" s="1"/>
      <c r="K445" s="19"/>
      <c r="L445" s="1"/>
      <c r="M445" s="9"/>
      <c r="N445" s="1"/>
      <c r="O445" s="1"/>
      <c r="P445" s="1"/>
      <c r="Q445" s="1"/>
      <c r="R445" s="1"/>
    </row>
    <row r="446" spans="2:18">
      <c r="B446" s="1"/>
      <c r="C446" s="9"/>
      <c r="D446" s="9"/>
      <c r="E446" s="9"/>
      <c r="F446" s="1"/>
      <c r="G446" s="1"/>
      <c r="H446" s="19"/>
      <c r="I446" s="1"/>
      <c r="J446" s="1"/>
      <c r="K446" s="19"/>
      <c r="L446" s="1"/>
      <c r="M446" s="9"/>
      <c r="N446" s="1"/>
      <c r="O446" s="1"/>
      <c r="P446" s="1"/>
      <c r="Q446" s="1"/>
      <c r="R446" s="1"/>
    </row>
    <row r="447" spans="2:18">
      <c r="B447" s="1"/>
      <c r="C447" s="9"/>
      <c r="D447" s="9"/>
      <c r="E447" s="9"/>
      <c r="F447" s="1"/>
      <c r="G447" s="1"/>
      <c r="H447" s="19"/>
      <c r="I447" s="1"/>
      <c r="J447" s="1"/>
      <c r="K447" s="19"/>
      <c r="L447" s="1"/>
      <c r="M447" s="9"/>
      <c r="N447" s="1"/>
      <c r="O447" s="1"/>
      <c r="P447" s="1"/>
      <c r="Q447" s="1"/>
      <c r="R447" s="1"/>
    </row>
    <row r="448" spans="2:18">
      <c r="B448" s="1"/>
      <c r="C448" s="9"/>
      <c r="D448" s="9"/>
      <c r="E448" s="9"/>
      <c r="F448" s="1"/>
      <c r="G448" s="1"/>
      <c r="H448" s="19"/>
      <c r="I448" s="1"/>
      <c r="J448" s="1"/>
      <c r="K448" s="19"/>
      <c r="L448" s="1"/>
      <c r="M448" s="9"/>
      <c r="N448" s="1"/>
      <c r="O448" s="1"/>
      <c r="P448" s="1"/>
      <c r="Q448" s="1"/>
      <c r="R448" s="1"/>
    </row>
    <row r="449" spans="2:18">
      <c r="B449" s="1"/>
      <c r="C449" s="9"/>
      <c r="D449" s="9"/>
      <c r="E449" s="9"/>
      <c r="F449" s="1"/>
      <c r="G449" s="1"/>
      <c r="H449" s="19"/>
      <c r="I449" s="1"/>
      <c r="J449" s="1"/>
      <c r="K449" s="19"/>
      <c r="L449" s="1"/>
      <c r="M449" s="9"/>
      <c r="N449" s="1"/>
      <c r="O449" s="1"/>
      <c r="P449" s="1"/>
      <c r="Q449" s="1"/>
      <c r="R449" s="1"/>
    </row>
    <row r="450" spans="2:18">
      <c r="B450" s="1"/>
      <c r="C450" s="9"/>
      <c r="D450" s="9"/>
      <c r="E450" s="9"/>
      <c r="F450" s="1"/>
      <c r="G450" s="1"/>
      <c r="H450" s="19"/>
      <c r="I450" s="1"/>
      <c r="J450" s="1"/>
      <c r="K450" s="19"/>
      <c r="L450" s="1"/>
      <c r="M450" s="9"/>
      <c r="N450" s="1"/>
      <c r="O450" s="1"/>
      <c r="P450" s="1"/>
      <c r="Q450" s="1"/>
      <c r="R450" s="1"/>
    </row>
    <row r="451" spans="2:18">
      <c r="B451" s="1"/>
      <c r="C451" s="9"/>
      <c r="D451" s="9"/>
      <c r="E451" s="9"/>
      <c r="F451" s="1"/>
      <c r="G451" s="1"/>
      <c r="H451" s="19"/>
      <c r="I451" s="1"/>
      <c r="J451" s="1"/>
      <c r="K451" s="19"/>
      <c r="L451" s="1"/>
      <c r="M451" s="9"/>
      <c r="N451" s="1"/>
      <c r="O451" s="1"/>
      <c r="P451" s="1"/>
      <c r="Q451" s="1"/>
      <c r="R451" s="1"/>
    </row>
    <row r="452" spans="2:18">
      <c r="B452" s="1"/>
      <c r="C452" s="9"/>
      <c r="D452" s="9"/>
      <c r="E452" s="9"/>
      <c r="F452" s="1"/>
      <c r="G452" s="1"/>
      <c r="H452" s="19"/>
      <c r="I452" s="1"/>
      <c r="J452" s="1"/>
      <c r="K452" s="19"/>
      <c r="L452" s="1"/>
      <c r="M452" s="9"/>
      <c r="N452" s="1"/>
      <c r="O452" s="1"/>
      <c r="P452" s="1"/>
      <c r="Q452" s="1"/>
      <c r="R452" s="1"/>
    </row>
    <row r="453" spans="2:18">
      <c r="B453" s="1"/>
      <c r="C453" s="9"/>
      <c r="D453" s="9"/>
      <c r="E453" s="9"/>
      <c r="F453" s="1"/>
      <c r="G453" s="1"/>
      <c r="H453" s="19"/>
      <c r="I453" s="1"/>
      <c r="J453" s="1"/>
      <c r="K453" s="19"/>
      <c r="L453" s="1"/>
      <c r="M453" s="9"/>
      <c r="N453" s="1"/>
      <c r="O453" s="1"/>
      <c r="P453" s="1"/>
      <c r="Q453" s="1"/>
      <c r="R453" s="1"/>
    </row>
    <row r="454" spans="2:18">
      <c r="B454" s="1"/>
      <c r="C454" s="9"/>
      <c r="D454" s="9"/>
      <c r="E454" s="9"/>
      <c r="F454" s="1"/>
      <c r="G454" s="1"/>
      <c r="H454" s="19"/>
      <c r="I454" s="1"/>
      <c r="J454" s="1"/>
      <c r="K454" s="19"/>
      <c r="L454" s="1"/>
      <c r="M454" s="9"/>
      <c r="N454" s="1"/>
      <c r="O454" s="1"/>
      <c r="P454" s="1"/>
      <c r="Q454" s="1"/>
      <c r="R454" s="1"/>
    </row>
    <row r="455" spans="2:18">
      <c r="B455" s="1"/>
      <c r="C455" s="9"/>
      <c r="D455" s="9"/>
      <c r="E455" s="9"/>
      <c r="F455" s="1"/>
      <c r="G455" s="1"/>
      <c r="H455" s="19"/>
      <c r="I455" s="1"/>
      <c r="J455" s="1"/>
      <c r="K455" s="19"/>
      <c r="L455" s="1"/>
      <c r="M455" s="9"/>
      <c r="N455" s="1"/>
      <c r="O455" s="1"/>
      <c r="P455" s="1"/>
      <c r="Q455" s="1"/>
      <c r="R455" s="1"/>
    </row>
    <row r="456" spans="2:18">
      <c r="B456" s="1"/>
      <c r="C456" s="9"/>
      <c r="D456" s="9"/>
      <c r="E456" s="9"/>
      <c r="F456" s="1"/>
      <c r="G456" s="1"/>
      <c r="H456" s="19"/>
      <c r="I456" s="1"/>
      <c r="J456" s="1"/>
      <c r="K456" s="19"/>
      <c r="L456" s="1"/>
      <c r="M456" s="9"/>
      <c r="N456" s="1"/>
      <c r="O456" s="1"/>
      <c r="P456" s="1"/>
      <c r="Q456" s="1"/>
      <c r="R456" s="1"/>
    </row>
    <row r="457" spans="2:18">
      <c r="B457" s="1"/>
      <c r="C457" s="9"/>
      <c r="D457" s="9"/>
      <c r="E457" s="9"/>
      <c r="F457" s="1"/>
      <c r="G457" s="1"/>
      <c r="H457" s="19"/>
      <c r="I457" s="1"/>
      <c r="J457" s="1"/>
      <c r="K457" s="19"/>
      <c r="L457" s="1"/>
      <c r="M457" s="9"/>
      <c r="N457" s="1"/>
      <c r="O457" s="1"/>
      <c r="P457" s="1"/>
      <c r="Q457" s="1"/>
      <c r="R457" s="1"/>
    </row>
    <row r="458" spans="2:18">
      <c r="B458" s="1"/>
      <c r="C458" s="9"/>
      <c r="D458" s="9"/>
      <c r="E458" s="9"/>
      <c r="F458" s="1"/>
      <c r="G458" s="1"/>
      <c r="H458" s="19"/>
      <c r="I458" s="1"/>
      <c r="J458" s="1"/>
      <c r="K458" s="19"/>
      <c r="L458" s="1"/>
      <c r="M458" s="9"/>
      <c r="N458" s="1"/>
      <c r="O458" s="1"/>
      <c r="P458" s="1"/>
      <c r="Q458" s="1"/>
      <c r="R458" s="1"/>
    </row>
    <row r="459" spans="2:18">
      <c r="B459" s="1"/>
      <c r="C459" s="9"/>
      <c r="D459" s="9"/>
      <c r="E459" s="9"/>
      <c r="F459" s="1"/>
      <c r="G459" s="1"/>
      <c r="H459" s="19"/>
      <c r="I459" s="1"/>
      <c r="J459" s="1"/>
      <c r="K459" s="19"/>
      <c r="L459" s="1"/>
      <c r="M459" s="9"/>
      <c r="N459" s="1"/>
      <c r="O459" s="1"/>
      <c r="P459" s="1"/>
      <c r="Q459" s="1"/>
      <c r="R459" s="1"/>
    </row>
    <row r="460" spans="2:18">
      <c r="B460" s="1"/>
      <c r="C460" s="9"/>
      <c r="D460" s="9"/>
      <c r="E460" s="9"/>
      <c r="F460" s="1"/>
      <c r="G460" s="1"/>
      <c r="H460" s="19"/>
      <c r="I460" s="1"/>
      <c r="J460" s="1"/>
      <c r="K460" s="19"/>
      <c r="L460" s="1"/>
      <c r="M460" s="9"/>
      <c r="N460" s="1"/>
      <c r="O460" s="1"/>
      <c r="P460" s="1"/>
      <c r="Q460" s="1"/>
      <c r="R460" s="1"/>
    </row>
    <row r="461" spans="2:18">
      <c r="B461" s="1"/>
      <c r="C461" s="9"/>
      <c r="D461" s="9"/>
      <c r="E461" s="9"/>
      <c r="F461" s="1"/>
      <c r="G461" s="1"/>
      <c r="H461" s="19"/>
      <c r="I461" s="1"/>
      <c r="J461" s="1"/>
      <c r="K461" s="19"/>
      <c r="L461" s="1"/>
      <c r="M461" s="9"/>
      <c r="N461" s="1"/>
      <c r="O461" s="1"/>
      <c r="P461" s="1"/>
      <c r="Q461" s="1"/>
      <c r="R461" s="1"/>
    </row>
    <row r="462" spans="2:18">
      <c r="B462" s="1"/>
      <c r="C462" s="9"/>
      <c r="D462" s="9"/>
      <c r="E462" s="9"/>
      <c r="F462" s="1"/>
      <c r="G462" s="1"/>
      <c r="H462" s="19"/>
      <c r="I462" s="1"/>
      <c r="J462" s="1"/>
      <c r="K462" s="19"/>
      <c r="L462" s="1"/>
      <c r="M462" s="9"/>
      <c r="N462" s="1"/>
      <c r="O462" s="1"/>
      <c r="P462" s="1"/>
      <c r="Q462" s="1"/>
      <c r="R462" s="1"/>
    </row>
    <row r="463" spans="2:18">
      <c r="B463" s="1"/>
      <c r="C463" s="9"/>
      <c r="D463" s="9"/>
      <c r="E463" s="9"/>
      <c r="F463" s="1"/>
      <c r="G463" s="1"/>
      <c r="H463" s="19"/>
      <c r="I463" s="1"/>
      <c r="J463" s="1"/>
      <c r="K463" s="19"/>
      <c r="L463" s="1"/>
      <c r="M463" s="9"/>
      <c r="N463" s="1"/>
      <c r="O463" s="1"/>
      <c r="P463" s="1"/>
      <c r="Q463" s="1"/>
      <c r="R463" s="1"/>
    </row>
    <row r="464" spans="2:18">
      <c r="B464" s="1"/>
      <c r="C464" s="9"/>
      <c r="D464" s="9"/>
      <c r="E464" s="9"/>
      <c r="F464" s="1"/>
      <c r="G464" s="1"/>
      <c r="H464" s="19"/>
      <c r="I464" s="1"/>
      <c r="J464" s="1"/>
      <c r="K464" s="19"/>
      <c r="L464" s="1"/>
      <c r="M464" s="9"/>
      <c r="N464" s="1"/>
      <c r="O464" s="1"/>
      <c r="P464" s="1"/>
      <c r="Q464" s="1"/>
      <c r="R464" s="1"/>
    </row>
    <row r="465" spans="2:18">
      <c r="B465" s="1"/>
      <c r="C465" s="9"/>
      <c r="D465" s="9"/>
      <c r="E465" s="9"/>
      <c r="F465" s="1"/>
      <c r="G465" s="1"/>
      <c r="H465" s="19"/>
      <c r="I465" s="1"/>
      <c r="J465" s="1"/>
      <c r="K465" s="19"/>
      <c r="L465" s="1"/>
      <c r="M465" s="9"/>
      <c r="N465" s="1"/>
      <c r="O465" s="1"/>
      <c r="P465" s="1"/>
      <c r="Q465" s="1"/>
      <c r="R465" s="1"/>
    </row>
    <row r="466" spans="2:18">
      <c r="B466" s="1"/>
      <c r="C466" s="9"/>
      <c r="D466" s="9"/>
      <c r="E466" s="9"/>
      <c r="F466" s="1"/>
      <c r="G466" s="1"/>
      <c r="H466" s="19"/>
      <c r="I466" s="1"/>
      <c r="J466" s="1"/>
      <c r="K466" s="19"/>
      <c r="L466" s="1"/>
      <c r="M466" s="9"/>
      <c r="N466" s="1"/>
      <c r="O466" s="1"/>
      <c r="P466" s="1"/>
      <c r="Q466" s="1"/>
      <c r="R466" s="1"/>
    </row>
    <row r="467" spans="2:18">
      <c r="B467" s="1"/>
      <c r="C467" s="9"/>
      <c r="D467" s="9"/>
      <c r="E467" s="9"/>
      <c r="F467" s="1"/>
      <c r="G467" s="1"/>
      <c r="H467" s="19"/>
      <c r="I467" s="1"/>
      <c r="J467" s="1"/>
      <c r="K467" s="19"/>
      <c r="L467" s="1"/>
      <c r="M467" s="9"/>
      <c r="N467" s="1"/>
      <c r="O467" s="1"/>
      <c r="P467" s="1"/>
      <c r="Q467" s="1"/>
      <c r="R467" s="1"/>
    </row>
    <row r="468" spans="2:18">
      <c r="B468" s="1"/>
      <c r="C468" s="9"/>
      <c r="D468" s="9"/>
      <c r="E468" s="9"/>
      <c r="F468" s="1"/>
      <c r="G468" s="1"/>
      <c r="H468" s="19"/>
      <c r="I468" s="1"/>
      <c r="J468" s="1"/>
      <c r="K468" s="19"/>
      <c r="L468" s="1"/>
      <c r="M468" s="9"/>
      <c r="N468" s="1"/>
      <c r="O468" s="1"/>
      <c r="P468" s="1"/>
      <c r="Q468" s="1"/>
      <c r="R468" s="1"/>
    </row>
    <row r="469" spans="2:18">
      <c r="B469" s="1"/>
      <c r="C469" s="9"/>
      <c r="D469" s="9"/>
      <c r="E469" s="9"/>
      <c r="F469" s="1"/>
      <c r="G469" s="1"/>
      <c r="H469" s="19"/>
      <c r="I469" s="1"/>
      <c r="J469" s="1"/>
      <c r="K469" s="19"/>
      <c r="L469" s="1"/>
      <c r="M469" s="9"/>
      <c r="N469" s="1"/>
      <c r="O469" s="1"/>
      <c r="P469" s="1"/>
      <c r="Q469" s="1"/>
      <c r="R469" s="1"/>
    </row>
    <row r="470" spans="2:18">
      <c r="B470" s="1"/>
      <c r="C470" s="9"/>
      <c r="D470" s="9"/>
      <c r="E470" s="9"/>
      <c r="F470" s="1"/>
      <c r="G470" s="1"/>
      <c r="H470" s="19"/>
      <c r="I470" s="1"/>
      <c r="J470" s="1"/>
      <c r="K470" s="19"/>
      <c r="L470" s="1"/>
      <c r="M470" s="9"/>
      <c r="N470" s="1"/>
      <c r="O470" s="1"/>
      <c r="P470" s="1"/>
      <c r="Q470" s="1"/>
      <c r="R470" s="1"/>
    </row>
    <row r="471" spans="2:18">
      <c r="B471" s="1"/>
      <c r="C471" s="9"/>
      <c r="D471" s="9"/>
      <c r="E471" s="9"/>
      <c r="F471" s="1"/>
      <c r="G471" s="1"/>
      <c r="H471" s="19"/>
      <c r="I471" s="1"/>
      <c r="J471" s="1"/>
      <c r="K471" s="19"/>
      <c r="L471" s="1"/>
      <c r="M471" s="9"/>
      <c r="N471" s="1"/>
      <c r="O471" s="1"/>
      <c r="P471" s="1"/>
      <c r="Q471" s="1"/>
      <c r="R471" s="1"/>
    </row>
    <row r="472" spans="2:18">
      <c r="B472" s="1"/>
      <c r="C472" s="9"/>
      <c r="D472" s="9"/>
      <c r="E472" s="9"/>
      <c r="F472" s="1"/>
      <c r="G472" s="1"/>
      <c r="H472" s="19"/>
      <c r="I472" s="1"/>
      <c r="J472" s="1"/>
      <c r="K472" s="19"/>
      <c r="L472" s="1"/>
      <c r="M472" s="9"/>
      <c r="N472" s="1"/>
      <c r="O472" s="1"/>
      <c r="P472" s="1"/>
      <c r="Q472" s="1"/>
      <c r="R472" s="1"/>
    </row>
    <row r="473" spans="2:18">
      <c r="B473" s="1"/>
      <c r="C473" s="9"/>
      <c r="D473" s="9"/>
      <c r="E473" s="9"/>
      <c r="F473" s="1"/>
      <c r="G473" s="1"/>
      <c r="H473" s="19"/>
      <c r="I473" s="1"/>
      <c r="J473" s="1"/>
      <c r="K473" s="19"/>
      <c r="L473" s="1"/>
      <c r="M473" s="9"/>
      <c r="N473" s="1"/>
      <c r="O473" s="1"/>
      <c r="P473" s="1"/>
      <c r="Q473" s="1"/>
      <c r="R473" s="1"/>
    </row>
    <row r="474" spans="2:18">
      <c r="B474" s="1"/>
      <c r="C474" s="9"/>
      <c r="D474" s="9"/>
      <c r="E474" s="9"/>
      <c r="F474" s="1"/>
      <c r="G474" s="1"/>
      <c r="H474" s="19"/>
      <c r="I474" s="1"/>
      <c r="J474" s="1"/>
      <c r="K474" s="19"/>
      <c r="L474" s="1"/>
      <c r="M474" s="9"/>
      <c r="N474" s="1"/>
      <c r="O474" s="1"/>
      <c r="P474" s="1"/>
      <c r="Q474" s="1"/>
      <c r="R474" s="1"/>
    </row>
    <row r="475" spans="2:18">
      <c r="B475" s="1"/>
      <c r="C475" s="9"/>
      <c r="D475" s="9"/>
      <c r="E475" s="9"/>
      <c r="F475" s="1"/>
      <c r="G475" s="1"/>
      <c r="H475" s="19"/>
      <c r="I475" s="1"/>
      <c r="J475" s="1"/>
      <c r="K475" s="19"/>
      <c r="L475" s="1"/>
      <c r="M475" s="9"/>
      <c r="N475" s="1"/>
      <c r="O475" s="1"/>
      <c r="P475" s="1"/>
      <c r="Q475" s="1"/>
      <c r="R475" s="1"/>
    </row>
    <row r="476" spans="2:18">
      <c r="B476" s="1"/>
      <c r="C476" s="9"/>
      <c r="D476" s="9"/>
      <c r="E476" s="9"/>
      <c r="F476" s="1"/>
      <c r="G476" s="1"/>
      <c r="H476" s="19"/>
      <c r="I476" s="1"/>
      <c r="J476" s="1"/>
      <c r="K476" s="19"/>
      <c r="L476" s="1"/>
      <c r="M476" s="9"/>
      <c r="N476" s="1"/>
      <c r="O476" s="1"/>
      <c r="P476" s="1"/>
      <c r="Q476" s="1"/>
      <c r="R476" s="1"/>
    </row>
    <row r="477" spans="2:18">
      <c r="B477" s="1"/>
      <c r="C477" s="9"/>
      <c r="D477" s="9"/>
      <c r="E477" s="9"/>
      <c r="F477" s="1"/>
      <c r="G477" s="1"/>
      <c r="H477" s="19"/>
      <c r="I477" s="1"/>
      <c r="J477" s="1"/>
      <c r="K477" s="19"/>
      <c r="L477" s="1"/>
      <c r="M477" s="9"/>
      <c r="N477" s="1"/>
      <c r="O477" s="1"/>
      <c r="P477" s="1"/>
      <c r="Q477" s="1"/>
      <c r="R477" s="1"/>
    </row>
    <row r="478" spans="2:18">
      <c r="B478" s="1"/>
      <c r="C478" s="9"/>
      <c r="D478" s="9"/>
      <c r="E478" s="9"/>
      <c r="F478" s="1"/>
      <c r="G478" s="1"/>
      <c r="H478" s="19"/>
      <c r="I478" s="1"/>
      <c r="J478" s="1"/>
      <c r="K478" s="19"/>
      <c r="L478" s="1"/>
      <c r="M478" s="9"/>
      <c r="N478" s="1"/>
      <c r="O478" s="1"/>
      <c r="P478" s="1"/>
      <c r="Q478" s="1"/>
      <c r="R478" s="1"/>
    </row>
    <row r="479" spans="2:18">
      <c r="B479" s="1"/>
      <c r="C479" s="9"/>
      <c r="D479" s="9"/>
      <c r="E479" s="9"/>
      <c r="F479" s="1"/>
      <c r="G479" s="1"/>
      <c r="H479" s="19"/>
      <c r="I479" s="1"/>
      <c r="J479" s="1"/>
      <c r="K479" s="19"/>
      <c r="L479" s="1"/>
      <c r="M479" s="9"/>
      <c r="N479" s="1"/>
      <c r="O479" s="1"/>
      <c r="P479" s="1"/>
      <c r="Q479" s="1"/>
      <c r="R479" s="1"/>
    </row>
    <row r="480" spans="2:18">
      <c r="B480" s="1"/>
      <c r="C480" s="9"/>
      <c r="D480" s="9"/>
      <c r="E480" s="9"/>
      <c r="F480" s="1"/>
      <c r="G480" s="1"/>
      <c r="H480" s="19"/>
      <c r="I480" s="1"/>
      <c r="J480" s="1"/>
      <c r="K480" s="19"/>
      <c r="L480" s="1"/>
      <c r="M480" s="9"/>
      <c r="N480" s="1"/>
      <c r="O480" s="1"/>
      <c r="P480" s="1"/>
      <c r="Q480" s="1"/>
      <c r="R480" s="1"/>
    </row>
    <row r="481" spans="2:18">
      <c r="B481" s="1"/>
      <c r="C481" s="9"/>
      <c r="D481" s="9"/>
      <c r="E481" s="9"/>
      <c r="F481" s="1"/>
      <c r="G481" s="1"/>
      <c r="H481" s="19"/>
      <c r="I481" s="1"/>
      <c r="J481" s="1"/>
      <c r="K481" s="19"/>
      <c r="L481" s="1"/>
      <c r="M481" s="9"/>
      <c r="N481" s="1"/>
      <c r="O481" s="1"/>
      <c r="P481" s="1"/>
      <c r="Q481" s="1"/>
      <c r="R481" s="1"/>
    </row>
    <row r="482" spans="2:18">
      <c r="B482" s="1"/>
      <c r="C482" s="9"/>
      <c r="D482" s="9"/>
      <c r="E482" s="9"/>
      <c r="F482" s="1"/>
      <c r="G482" s="1"/>
      <c r="H482" s="19"/>
      <c r="I482" s="1"/>
      <c r="J482" s="1"/>
      <c r="K482" s="19"/>
      <c r="L482" s="1"/>
      <c r="M482" s="9"/>
      <c r="N482" s="1"/>
      <c r="O482" s="1"/>
      <c r="P482" s="1"/>
      <c r="Q482" s="1"/>
      <c r="R482" s="1"/>
    </row>
    <row r="483" spans="2:18">
      <c r="B483" s="1"/>
      <c r="C483" s="9"/>
      <c r="D483" s="9"/>
      <c r="E483" s="9"/>
      <c r="F483" s="1"/>
      <c r="G483" s="1"/>
      <c r="H483" s="19"/>
      <c r="I483" s="1"/>
      <c r="J483" s="1"/>
      <c r="K483" s="19"/>
      <c r="L483" s="1"/>
      <c r="M483" s="9"/>
      <c r="N483" s="1"/>
      <c r="O483" s="1"/>
      <c r="P483" s="1"/>
      <c r="Q483" s="1"/>
      <c r="R483" s="1"/>
    </row>
    <row r="484" spans="2:18">
      <c r="B484" s="1"/>
      <c r="C484" s="9"/>
      <c r="D484" s="9"/>
      <c r="E484" s="9"/>
      <c r="F484" s="1"/>
      <c r="G484" s="1"/>
      <c r="H484" s="19"/>
      <c r="I484" s="1"/>
      <c r="J484" s="1"/>
      <c r="K484" s="19"/>
      <c r="L484" s="1"/>
      <c r="M484" s="9"/>
      <c r="N484" s="1"/>
      <c r="O484" s="1"/>
      <c r="P484" s="1"/>
      <c r="Q484" s="1"/>
      <c r="R484" s="1"/>
    </row>
    <row r="485" spans="2:18">
      <c r="B485" s="1"/>
      <c r="C485" s="9"/>
      <c r="D485" s="9"/>
      <c r="E485" s="9"/>
      <c r="F485" s="1"/>
      <c r="G485" s="1"/>
      <c r="H485" s="19"/>
      <c r="I485" s="1"/>
      <c r="J485" s="1"/>
      <c r="K485" s="19"/>
      <c r="L485" s="1"/>
      <c r="M485" s="9"/>
      <c r="N485" s="1"/>
      <c r="O485" s="1"/>
      <c r="P485" s="1"/>
      <c r="Q485" s="1"/>
      <c r="R485" s="1"/>
    </row>
    <row r="486" spans="2:18">
      <c r="B486" s="1"/>
      <c r="C486" s="9"/>
      <c r="D486" s="9"/>
      <c r="E486" s="9"/>
      <c r="F486" s="1"/>
      <c r="G486" s="1"/>
      <c r="H486" s="19"/>
      <c r="I486" s="1"/>
      <c r="J486" s="1"/>
      <c r="K486" s="19"/>
      <c r="L486" s="1"/>
      <c r="M486" s="9"/>
      <c r="N486" s="1"/>
      <c r="O486" s="1"/>
      <c r="P486" s="1"/>
      <c r="Q486" s="1"/>
      <c r="R486" s="1"/>
    </row>
    <row r="487" spans="2:18">
      <c r="B487" s="1"/>
      <c r="C487" s="9"/>
      <c r="D487" s="9"/>
      <c r="E487" s="9"/>
      <c r="F487" s="1"/>
      <c r="G487" s="1"/>
      <c r="H487" s="19"/>
      <c r="I487" s="1"/>
      <c r="J487" s="1"/>
      <c r="K487" s="19"/>
      <c r="L487" s="1"/>
      <c r="M487" s="9"/>
      <c r="N487" s="1"/>
      <c r="O487" s="1"/>
      <c r="P487" s="1"/>
      <c r="Q487" s="1"/>
      <c r="R487" s="1"/>
    </row>
    <row r="488" spans="2:18">
      <c r="B488" s="1"/>
      <c r="C488" s="9"/>
      <c r="D488" s="9"/>
      <c r="E488" s="9"/>
      <c r="F488" s="1"/>
      <c r="G488" s="1"/>
      <c r="H488" s="19"/>
      <c r="I488" s="1"/>
      <c r="J488" s="1"/>
      <c r="K488" s="19"/>
      <c r="L488" s="1"/>
      <c r="M488" s="9"/>
      <c r="N488" s="1"/>
      <c r="O488" s="1"/>
      <c r="P488" s="1"/>
      <c r="Q488" s="1"/>
      <c r="R488" s="1"/>
    </row>
    <row r="489" spans="2:18">
      <c r="B489" s="1"/>
      <c r="C489" s="9"/>
      <c r="D489" s="9"/>
      <c r="E489" s="9"/>
      <c r="F489" s="1"/>
      <c r="G489" s="1"/>
      <c r="H489" s="19"/>
      <c r="I489" s="1"/>
      <c r="J489" s="1"/>
      <c r="K489" s="19"/>
      <c r="L489" s="1"/>
      <c r="M489" s="9"/>
      <c r="N489" s="1"/>
      <c r="O489" s="1"/>
      <c r="P489" s="1"/>
      <c r="Q489" s="1"/>
      <c r="R489" s="1"/>
    </row>
    <row r="490" spans="2:18">
      <c r="B490" s="1"/>
      <c r="C490" s="9"/>
      <c r="D490" s="9"/>
      <c r="E490" s="9"/>
      <c r="F490" s="1"/>
      <c r="G490" s="1"/>
      <c r="H490" s="19"/>
      <c r="I490" s="1"/>
      <c r="J490" s="1"/>
      <c r="K490" s="19"/>
      <c r="L490" s="1"/>
      <c r="M490" s="9"/>
      <c r="N490" s="1"/>
      <c r="O490" s="1"/>
      <c r="P490" s="1"/>
      <c r="Q490" s="1"/>
      <c r="R490" s="1"/>
    </row>
    <row r="491" spans="2:18">
      <c r="B491" s="1"/>
      <c r="C491" s="9"/>
      <c r="D491" s="9"/>
      <c r="E491" s="9"/>
      <c r="F491" s="1"/>
      <c r="G491" s="1"/>
      <c r="H491" s="19"/>
      <c r="I491" s="1"/>
      <c r="J491" s="1"/>
      <c r="K491" s="19"/>
      <c r="L491" s="1"/>
      <c r="M491" s="9"/>
      <c r="N491" s="1"/>
      <c r="O491" s="1"/>
      <c r="P491" s="1"/>
      <c r="Q491" s="1"/>
      <c r="R491" s="1"/>
    </row>
    <row r="492" spans="2:18">
      <c r="B492" s="1"/>
      <c r="C492" s="9"/>
      <c r="D492" s="9"/>
      <c r="E492" s="9"/>
      <c r="F492" s="1"/>
      <c r="G492" s="1"/>
      <c r="H492" s="19"/>
      <c r="I492" s="1"/>
      <c r="J492" s="1"/>
      <c r="K492" s="19"/>
      <c r="L492" s="1"/>
      <c r="M492" s="9"/>
      <c r="N492" s="1"/>
      <c r="O492" s="1"/>
      <c r="P492" s="1"/>
      <c r="Q492" s="1"/>
      <c r="R492" s="1"/>
    </row>
    <row r="493" spans="2:18">
      <c r="B493" s="1"/>
      <c r="C493" s="9"/>
      <c r="D493" s="9"/>
      <c r="E493" s="9"/>
      <c r="F493" s="1"/>
      <c r="G493" s="1"/>
      <c r="H493" s="19"/>
      <c r="I493" s="1"/>
      <c r="J493" s="1"/>
      <c r="K493" s="19"/>
      <c r="L493" s="1"/>
      <c r="M493" s="9"/>
      <c r="N493" s="1"/>
      <c r="O493" s="1"/>
      <c r="P493" s="1"/>
      <c r="Q493" s="1"/>
      <c r="R493" s="1"/>
    </row>
    <row r="494" spans="2:18">
      <c r="B494" s="1"/>
      <c r="C494" s="9"/>
      <c r="D494" s="9"/>
      <c r="E494" s="9"/>
      <c r="F494" s="1"/>
      <c r="G494" s="1"/>
      <c r="H494" s="19"/>
      <c r="I494" s="1"/>
      <c r="J494" s="1"/>
      <c r="K494" s="19"/>
      <c r="L494" s="1"/>
      <c r="M494" s="9"/>
      <c r="N494" s="1"/>
      <c r="O494" s="1"/>
      <c r="P494" s="1"/>
      <c r="Q494" s="1"/>
      <c r="R494" s="1"/>
    </row>
    <row r="495" spans="2:18">
      <c r="B495" s="1"/>
      <c r="C495" s="9"/>
      <c r="D495" s="9"/>
      <c r="E495" s="9"/>
      <c r="F495" s="1"/>
      <c r="G495" s="1"/>
      <c r="H495" s="19"/>
      <c r="I495" s="1"/>
      <c r="J495" s="1"/>
      <c r="K495" s="19"/>
      <c r="L495" s="1"/>
      <c r="M495" s="9"/>
      <c r="N495" s="1"/>
      <c r="O495" s="1"/>
      <c r="P495" s="1"/>
      <c r="Q495" s="1"/>
      <c r="R495" s="1"/>
    </row>
    <row r="496" spans="2:18">
      <c r="B496" s="1"/>
      <c r="C496" s="9"/>
      <c r="D496" s="9"/>
      <c r="E496" s="9"/>
      <c r="F496" s="1"/>
      <c r="G496" s="1"/>
      <c r="H496" s="19"/>
      <c r="I496" s="1"/>
      <c r="J496" s="1"/>
      <c r="K496" s="19"/>
      <c r="L496" s="1"/>
      <c r="M496" s="9"/>
      <c r="N496" s="1"/>
      <c r="O496" s="1"/>
      <c r="P496" s="1"/>
      <c r="Q496" s="1"/>
      <c r="R496" s="1"/>
    </row>
    <row r="497" spans="2:18">
      <c r="B497" s="1"/>
      <c r="C497" s="9"/>
      <c r="D497" s="9"/>
      <c r="E497" s="9"/>
      <c r="F497" s="1"/>
      <c r="G497" s="1"/>
      <c r="H497" s="19"/>
      <c r="I497" s="1"/>
      <c r="J497" s="1"/>
      <c r="K497" s="19"/>
      <c r="L497" s="1"/>
      <c r="M497" s="9"/>
      <c r="N497" s="1"/>
      <c r="O497" s="1"/>
      <c r="P497" s="1"/>
      <c r="Q497" s="1"/>
      <c r="R497" s="1"/>
    </row>
    <row r="498" spans="2:18">
      <c r="B498" s="1"/>
      <c r="C498" s="9"/>
      <c r="D498" s="9"/>
      <c r="E498" s="9"/>
      <c r="F498" s="1"/>
      <c r="G498" s="1"/>
      <c r="H498" s="19"/>
      <c r="I498" s="1"/>
      <c r="J498" s="1"/>
      <c r="K498" s="19"/>
      <c r="L498" s="1"/>
      <c r="M498" s="9"/>
      <c r="N498" s="1"/>
      <c r="O498" s="1"/>
      <c r="P498" s="1"/>
      <c r="Q498" s="1"/>
      <c r="R498" s="1"/>
    </row>
    <row r="499" spans="2:18">
      <c r="B499" s="1"/>
      <c r="C499" s="9"/>
      <c r="D499" s="9"/>
      <c r="E499" s="9"/>
      <c r="F499" s="1"/>
      <c r="G499" s="1"/>
      <c r="H499" s="19"/>
      <c r="I499" s="1"/>
      <c r="J499" s="1"/>
      <c r="K499" s="19"/>
      <c r="L499" s="1"/>
      <c r="M499" s="9"/>
      <c r="N499" s="1"/>
      <c r="O499" s="1"/>
      <c r="P499" s="1"/>
      <c r="Q499" s="1"/>
      <c r="R499" s="1"/>
    </row>
    <row r="500" spans="2:18">
      <c r="B500" s="1"/>
      <c r="C500" s="9"/>
      <c r="D500" s="9"/>
      <c r="E500" s="9"/>
      <c r="F500" s="1"/>
      <c r="G500" s="1"/>
      <c r="H500" s="19"/>
      <c r="I500" s="1"/>
      <c r="J500" s="1"/>
      <c r="K500" s="19"/>
      <c r="L500" s="1"/>
      <c r="M500" s="9"/>
      <c r="N500" s="1"/>
      <c r="O500" s="1"/>
      <c r="P500" s="1"/>
      <c r="Q500" s="1"/>
      <c r="R500" s="1"/>
    </row>
    <row r="501" spans="2:18">
      <c r="B501" s="1"/>
      <c r="C501" s="9"/>
      <c r="D501" s="9"/>
      <c r="E501" s="9"/>
      <c r="F501" s="1"/>
      <c r="G501" s="1"/>
      <c r="H501" s="19"/>
      <c r="I501" s="1"/>
      <c r="J501" s="1"/>
      <c r="K501" s="19"/>
      <c r="L501" s="1"/>
      <c r="M501" s="9"/>
      <c r="N501" s="1"/>
      <c r="O501" s="1"/>
      <c r="P501" s="1"/>
      <c r="Q501" s="1"/>
      <c r="R501" s="1"/>
    </row>
    <row r="502" spans="2:18">
      <c r="B502" s="1"/>
      <c r="C502" s="9"/>
      <c r="D502" s="9"/>
      <c r="E502" s="9"/>
      <c r="F502" s="1"/>
      <c r="G502" s="1"/>
      <c r="H502" s="19"/>
      <c r="I502" s="1"/>
      <c r="J502" s="1"/>
      <c r="K502" s="19"/>
      <c r="L502" s="1"/>
      <c r="M502" s="9"/>
      <c r="N502" s="1"/>
      <c r="O502" s="1"/>
      <c r="P502" s="1"/>
      <c r="Q502" s="1"/>
      <c r="R502" s="1"/>
    </row>
    <row r="503" spans="2:18">
      <c r="B503" s="1"/>
      <c r="C503" s="9"/>
      <c r="D503" s="9"/>
      <c r="E503" s="9"/>
      <c r="F503" s="1"/>
      <c r="G503" s="1"/>
      <c r="H503" s="19"/>
      <c r="I503" s="1"/>
      <c r="J503" s="1"/>
      <c r="K503" s="19"/>
      <c r="L503" s="1"/>
      <c r="M503" s="9"/>
      <c r="N503" s="1"/>
      <c r="O503" s="1"/>
      <c r="P503" s="1"/>
      <c r="Q503" s="1"/>
      <c r="R503" s="1"/>
    </row>
    <row r="504" spans="2:18">
      <c r="B504" s="1"/>
      <c r="C504" s="9"/>
      <c r="D504" s="9"/>
      <c r="E504" s="9"/>
      <c r="F504" s="1"/>
      <c r="G504" s="1"/>
      <c r="H504" s="19"/>
      <c r="I504" s="1"/>
      <c r="J504" s="1"/>
      <c r="K504" s="19"/>
      <c r="L504" s="1"/>
      <c r="M504" s="9"/>
      <c r="N504" s="1"/>
      <c r="O504" s="1"/>
      <c r="P504" s="1"/>
      <c r="Q504" s="1"/>
      <c r="R504" s="1"/>
    </row>
    <row r="505" spans="2:18">
      <c r="B505" s="1"/>
      <c r="C505" s="9"/>
      <c r="D505" s="9"/>
      <c r="E505" s="9"/>
      <c r="F505" s="1"/>
      <c r="G505" s="1"/>
      <c r="H505" s="19"/>
      <c r="I505" s="1"/>
      <c r="J505" s="1"/>
      <c r="K505" s="19"/>
      <c r="L505" s="1"/>
      <c r="M505" s="9"/>
      <c r="N505" s="1"/>
      <c r="O505" s="1"/>
      <c r="P505" s="1"/>
      <c r="Q505" s="1"/>
      <c r="R505" s="1"/>
    </row>
    <row r="506" spans="2:18">
      <c r="B506" s="1"/>
      <c r="C506" s="9"/>
      <c r="D506" s="9"/>
      <c r="E506" s="9"/>
      <c r="F506" s="1"/>
      <c r="G506" s="1"/>
      <c r="H506" s="19"/>
      <c r="I506" s="1"/>
      <c r="J506" s="1"/>
      <c r="K506" s="19"/>
      <c r="L506" s="1"/>
      <c r="M506" s="9"/>
      <c r="N506" s="1"/>
      <c r="O506" s="1"/>
      <c r="P506" s="1"/>
      <c r="Q506" s="1"/>
      <c r="R506" s="1"/>
    </row>
    <row r="507" spans="2:18">
      <c r="B507" s="1"/>
      <c r="C507" s="9"/>
      <c r="D507" s="9"/>
      <c r="E507" s="9"/>
      <c r="F507" s="1"/>
      <c r="G507" s="1"/>
      <c r="H507" s="19"/>
      <c r="I507" s="1"/>
      <c r="J507" s="1"/>
      <c r="K507" s="19"/>
      <c r="L507" s="1"/>
      <c r="M507" s="9"/>
      <c r="N507" s="1"/>
      <c r="O507" s="1"/>
      <c r="P507" s="1"/>
      <c r="Q507" s="1"/>
      <c r="R507" s="1"/>
    </row>
    <row r="508" spans="2:18">
      <c r="B508" s="1"/>
      <c r="C508" s="9"/>
      <c r="D508" s="9"/>
      <c r="E508" s="9"/>
      <c r="F508" s="1"/>
      <c r="G508" s="1"/>
      <c r="H508" s="19"/>
      <c r="I508" s="1"/>
      <c r="J508" s="1"/>
      <c r="K508" s="19"/>
      <c r="L508" s="1"/>
      <c r="M508" s="9"/>
      <c r="N508" s="1"/>
      <c r="O508" s="1"/>
      <c r="P508" s="1"/>
      <c r="Q508" s="1"/>
      <c r="R508" s="1"/>
    </row>
    <row r="509" spans="2:18">
      <c r="B509" s="1"/>
      <c r="C509" s="9"/>
      <c r="D509" s="9"/>
      <c r="E509" s="9"/>
      <c r="F509" s="1"/>
      <c r="G509" s="1"/>
      <c r="H509" s="19"/>
      <c r="I509" s="1"/>
      <c r="J509" s="1"/>
      <c r="K509" s="19"/>
      <c r="L509" s="1"/>
      <c r="M509" s="9"/>
      <c r="N509" s="1"/>
      <c r="O509" s="1"/>
      <c r="P509" s="1"/>
      <c r="Q509" s="1"/>
      <c r="R509" s="1"/>
    </row>
    <row r="510" spans="2:18">
      <c r="B510" s="1"/>
      <c r="C510" s="9"/>
      <c r="D510" s="9"/>
      <c r="E510" s="9"/>
      <c r="F510" s="1"/>
      <c r="G510" s="1"/>
      <c r="H510" s="19"/>
      <c r="I510" s="1"/>
      <c r="J510" s="1"/>
      <c r="K510" s="19"/>
      <c r="L510" s="1"/>
      <c r="M510" s="9"/>
      <c r="N510" s="1"/>
      <c r="O510" s="1"/>
      <c r="P510" s="1"/>
      <c r="Q510" s="1"/>
      <c r="R510" s="1"/>
    </row>
    <row r="511" spans="2:18">
      <c r="B511" s="1"/>
      <c r="C511" s="9"/>
      <c r="D511" s="9"/>
      <c r="E511" s="9"/>
      <c r="F511" s="1"/>
      <c r="G511" s="1"/>
      <c r="H511" s="19"/>
      <c r="I511" s="1"/>
      <c r="J511" s="1"/>
      <c r="K511" s="19"/>
      <c r="L511" s="1"/>
      <c r="M511" s="9"/>
      <c r="N511" s="1"/>
      <c r="O511" s="1"/>
      <c r="P511" s="1"/>
      <c r="Q511" s="1"/>
      <c r="R511" s="1"/>
    </row>
    <row r="512" spans="2:18">
      <c r="B512" s="1"/>
      <c r="C512" s="9"/>
      <c r="D512" s="9"/>
      <c r="E512" s="9"/>
      <c r="F512" s="1"/>
      <c r="G512" s="1"/>
      <c r="H512" s="19"/>
      <c r="I512" s="1"/>
      <c r="J512" s="1"/>
      <c r="K512" s="19"/>
      <c r="L512" s="1"/>
      <c r="M512" s="9"/>
      <c r="N512" s="1"/>
      <c r="O512" s="1"/>
      <c r="P512" s="1"/>
      <c r="Q512" s="1"/>
      <c r="R512" s="1"/>
    </row>
    <row r="513" spans="2:18">
      <c r="B513" s="1"/>
      <c r="C513" s="9"/>
      <c r="D513" s="9"/>
      <c r="E513" s="9"/>
      <c r="F513" s="1"/>
      <c r="G513" s="1"/>
      <c r="H513" s="19"/>
      <c r="I513" s="1"/>
      <c r="J513" s="1"/>
      <c r="K513" s="19"/>
      <c r="L513" s="1"/>
      <c r="M513" s="9"/>
      <c r="N513" s="1"/>
      <c r="O513" s="1"/>
      <c r="P513" s="1"/>
      <c r="Q513" s="1"/>
      <c r="R513" s="1"/>
    </row>
    <row r="514" spans="2:18">
      <c r="B514" s="1"/>
      <c r="C514" s="9"/>
      <c r="D514" s="9"/>
      <c r="E514" s="9"/>
      <c r="F514" s="1"/>
      <c r="G514" s="1"/>
      <c r="H514" s="19"/>
      <c r="I514" s="1"/>
      <c r="J514" s="1"/>
      <c r="K514" s="19"/>
      <c r="L514" s="1"/>
      <c r="M514" s="9"/>
      <c r="N514" s="1"/>
      <c r="O514" s="1"/>
      <c r="P514" s="1"/>
      <c r="Q514" s="1"/>
      <c r="R514" s="1"/>
    </row>
    <row r="515" spans="2:18">
      <c r="B515" s="1"/>
      <c r="C515" s="9"/>
      <c r="D515" s="9"/>
      <c r="E515" s="9"/>
      <c r="F515" s="1"/>
      <c r="G515" s="1"/>
      <c r="H515" s="19"/>
      <c r="I515" s="1"/>
      <c r="J515" s="1"/>
      <c r="K515" s="19"/>
      <c r="L515" s="1"/>
      <c r="M515" s="9"/>
      <c r="N515" s="1"/>
      <c r="O515" s="1"/>
      <c r="P515" s="1"/>
      <c r="Q515" s="1"/>
      <c r="R515" s="1"/>
    </row>
    <row r="516" spans="2:18">
      <c r="B516" s="1"/>
      <c r="C516" s="9"/>
      <c r="D516" s="9"/>
      <c r="E516" s="9"/>
      <c r="F516" s="1"/>
      <c r="G516" s="1"/>
      <c r="H516" s="19"/>
      <c r="I516" s="1"/>
      <c r="J516" s="1"/>
      <c r="K516" s="19"/>
      <c r="L516" s="1"/>
      <c r="M516" s="9"/>
      <c r="N516" s="1"/>
      <c r="O516" s="1"/>
      <c r="P516" s="1"/>
      <c r="Q516" s="1"/>
      <c r="R516" s="1"/>
    </row>
    <row r="517" spans="2:18">
      <c r="B517" s="1"/>
      <c r="C517" s="9"/>
      <c r="D517" s="9"/>
      <c r="E517" s="9"/>
      <c r="F517" s="1"/>
      <c r="G517" s="1"/>
      <c r="H517" s="19"/>
      <c r="I517" s="1"/>
      <c r="J517" s="1"/>
      <c r="K517" s="19"/>
      <c r="L517" s="1"/>
      <c r="M517" s="9"/>
      <c r="N517" s="1"/>
      <c r="O517" s="1"/>
      <c r="P517" s="1"/>
      <c r="Q517" s="1"/>
      <c r="R517" s="1"/>
    </row>
    <row r="518" spans="2:18">
      <c r="B518" s="1"/>
      <c r="C518" s="9"/>
      <c r="D518" s="9"/>
      <c r="E518" s="9"/>
      <c r="F518" s="1"/>
      <c r="G518" s="1"/>
      <c r="H518" s="19"/>
      <c r="I518" s="1"/>
      <c r="J518" s="1"/>
      <c r="K518" s="19"/>
      <c r="L518" s="1"/>
      <c r="M518" s="9"/>
      <c r="N518" s="1"/>
      <c r="O518" s="1"/>
      <c r="P518" s="1"/>
      <c r="Q518" s="1"/>
      <c r="R518" s="1"/>
    </row>
    <row r="519" spans="2:18">
      <c r="B519" s="1"/>
      <c r="C519" s="9"/>
      <c r="D519" s="9"/>
      <c r="E519" s="9"/>
      <c r="F519" s="1"/>
      <c r="G519" s="1"/>
      <c r="H519" s="19"/>
      <c r="I519" s="1"/>
      <c r="J519" s="1"/>
      <c r="K519" s="19"/>
      <c r="L519" s="1"/>
      <c r="M519" s="9"/>
      <c r="N519" s="1"/>
      <c r="O519" s="1"/>
      <c r="P519" s="1"/>
      <c r="Q519" s="1"/>
      <c r="R519" s="1"/>
    </row>
    <row r="520" spans="2:18">
      <c r="B520" s="1"/>
      <c r="C520" s="9"/>
      <c r="D520" s="9"/>
      <c r="E520" s="9"/>
      <c r="F520" s="1"/>
      <c r="G520" s="1"/>
      <c r="H520" s="19"/>
      <c r="I520" s="1"/>
      <c r="J520" s="1"/>
      <c r="K520" s="19"/>
      <c r="L520" s="1"/>
      <c r="M520" s="9"/>
      <c r="N520" s="1"/>
      <c r="O520" s="1"/>
      <c r="P520" s="1"/>
      <c r="Q520" s="1"/>
      <c r="R520" s="1"/>
    </row>
    <row r="521" spans="2:18">
      <c r="B521" s="1"/>
      <c r="C521" s="9"/>
      <c r="D521" s="9"/>
      <c r="E521" s="9"/>
      <c r="F521" s="1"/>
      <c r="G521" s="1"/>
      <c r="H521" s="19"/>
      <c r="I521" s="1"/>
      <c r="J521" s="1"/>
      <c r="K521" s="19"/>
      <c r="L521" s="1"/>
      <c r="M521" s="9"/>
      <c r="N521" s="1"/>
      <c r="O521" s="1"/>
      <c r="P521" s="1"/>
      <c r="Q521" s="1"/>
      <c r="R521" s="1"/>
    </row>
    <row r="522" spans="2:18">
      <c r="B522" s="1"/>
      <c r="C522" s="9"/>
      <c r="D522" s="9"/>
      <c r="E522" s="9"/>
      <c r="F522" s="1"/>
      <c r="G522" s="1"/>
      <c r="H522" s="19"/>
      <c r="I522" s="1"/>
      <c r="J522" s="1"/>
      <c r="K522" s="19"/>
      <c r="L522" s="1"/>
      <c r="M522" s="9"/>
      <c r="N522" s="1"/>
      <c r="O522" s="1"/>
      <c r="P522" s="1"/>
      <c r="Q522" s="1"/>
      <c r="R522" s="1"/>
    </row>
    <row r="523" spans="2:18">
      <c r="B523" s="1"/>
      <c r="C523" s="9"/>
      <c r="D523" s="9"/>
      <c r="E523" s="9"/>
      <c r="F523" s="1"/>
      <c r="G523" s="1"/>
      <c r="H523" s="19"/>
      <c r="I523" s="1"/>
      <c r="J523" s="1"/>
      <c r="K523" s="19"/>
      <c r="L523" s="1"/>
      <c r="M523" s="9"/>
      <c r="N523" s="1"/>
      <c r="O523" s="1"/>
      <c r="P523" s="1"/>
      <c r="Q523" s="1"/>
      <c r="R523" s="1"/>
    </row>
    <row r="524" spans="2:18">
      <c r="B524" s="1"/>
      <c r="C524" s="9"/>
      <c r="D524" s="9"/>
      <c r="E524" s="9"/>
      <c r="F524" s="1"/>
      <c r="G524" s="1"/>
      <c r="H524" s="19"/>
      <c r="I524" s="1"/>
      <c r="J524" s="1"/>
      <c r="K524" s="19"/>
      <c r="L524" s="1"/>
      <c r="M524" s="9"/>
      <c r="N524" s="1"/>
      <c r="O524" s="1"/>
      <c r="P524" s="1"/>
      <c r="Q524" s="1"/>
      <c r="R524" s="1"/>
    </row>
    <row r="525" spans="2:18">
      <c r="B525" s="1"/>
      <c r="C525" s="9"/>
      <c r="D525" s="9"/>
      <c r="E525" s="9"/>
      <c r="F525" s="1"/>
      <c r="G525" s="1"/>
      <c r="H525" s="19"/>
      <c r="I525" s="1"/>
      <c r="J525" s="1"/>
      <c r="K525" s="19"/>
      <c r="L525" s="1"/>
      <c r="M525" s="9"/>
      <c r="N525" s="1"/>
      <c r="O525" s="1"/>
      <c r="P525" s="1"/>
      <c r="Q525" s="1"/>
      <c r="R525" s="1"/>
    </row>
    <row r="526" spans="2:18">
      <c r="B526" s="1"/>
      <c r="C526" s="9"/>
      <c r="D526" s="9"/>
      <c r="E526" s="9"/>
      <c r="F526" s="1"/>
      <c r="G526" s="1"/>
      <c r="H526" s="19"/>
      <c r="I526" s="1"/>
      <c r="J526" s="1"/>
      <c r="K526" s="19"/>
      <c r="L526" s="1"/>
      <c r="M526" s="9"/>
      <c r="N526" s="1"/>
      <c r="O526" s="1"/>
      <c r="P526" s="1"/>
      <c r="Q526" s="1"/>
      <c r="R526" s="1"/>
    </row>
    <row r="527" spans="2:18">
      <c r="B527" s="1"/>
      <c r="C527" s="9"/>
      <c r="D527" s="9"/>
      <c r="E527" s="9"/>
      <c r="F527" s="1"/>
      <c r="G527" s="1"/>
      <c r="H527" s="19"/>
      <c r="I527" s="1"/>
      <c r="J527" s="1"/>
      <c r="K527" s="19"/>
      <c r="L527" s="1"/>
      <c r="M527" s="9"/>
      <c r="N527" s="1"/>
      <c r="O527" s="1"/>
      <c r="P527" s="1"/>
      <c r="Q527" s="1"/>
      <c r="R527" s="1"/>
    </row>
    <row r="528" spans="2:18">
      <c r="B528" s="1"/>
      <c r="C528" s="9"/>
      <c r="D528" s="9"/>
      <c r="E528" s="9"/>
      <c r="F528" s="1"/>
      <c r="G528" s="1"/>
      <c r="H528" s="19"/>
      <c r="I528" s="1"/>
      <c r="J528" s="1"/>
      <c r="K528" s="19"/>
      <c r="L528" s="1"/>
      <c r="M528" s="9"/>
      <c r="N528" s="1"/>
      <c r="O528" s="1"/>
      <c r="P528" s="1"/>
      <c r="Q528" s="1"/>
      <c r="R528" s="1"/>
    </row>
    <row r="529" spans="2:18">
      <c r="B529" s="1"/>
      <c r="C529" s="9"/>
      <c r="D529" s="9"/>
      <c r="E529" s="9"/>
      <c r="F529" s="1"/>
      <c r="G529" s="1"/>
      <c r="H529" s="19"/>
      <c r="I529" s="1"/>
      <c r="J529" s="1"/>
      <c r="K529" s="19"/>
      <c r="L529" s="1"/>
      <c r="M529" s="9"/>
      <c r="N529" s="1"/>
      <c r="O529" s="1"/>
      <c r="P529" s="1"/>
      <c r="Q529" s="1"/>
      <c r="R529" s="1"/>
    </row>
    <row r="530" spans="2:18">
      <c r="B530" s="1"/>
      <c r="C530" s="9"/>
      <c r="D530" s="9"/>
      <c r="E530" s="9"/>
      <c r="F530" s="1"/>
      <c r="G530" s="1"/>
      <c r="H530" s="19"/>
      <c r="I530" s="1"/>
      <c r="J530" s="1"/>
      <c r="K530" s="19"/>
      <c r="L530" s="1"/>
      <c r="M530" s="9"/>
      <c r="N530" s="1"/>
      <c r="O530" s="1"/>
      <c r="P530" s="1"/>
      <c r="Q530" s="1"/>
      <c r="R530" s="1"/>
    </row>
    <row r="531" spans="2:18">
      <c r="B531" s="1"/>
      <c r="C531" s="9"/>
      <c r="D531" s="9"/>
      <c r="E531" s="9"/>
      <c r="F531" s="1"/>
      <c r="G531" s="1"/>
      <c r="H531" s="19"/>
      <c r="I531" s="1"/>
      <c r="J531" s="1"/>
      <c r="K531" s="19"/>
      <c r="L531" s="1"/>
      <c r="M531" s="9"/>
      <c r="N531" s="1"/>
      <c r="O531" s="1"/>
      <c r="P531" s="1"/>
      <c r="Q531" s="1"/>
      <c r="R531" s="1"/>
    </row>
    <row r="532" spans="2:18">
      <c r="B532" s="1"/>
      <c r="C532" s="9"/>
      <c r="D532" s="9"/>
      <c r="E532" s="9"/>
      <c r="F532" s="1"/>
      <c r="G532" s="1"/>
      <c r="H532" s="19"/>
      <c r="I532" s="1"/>
      <c r="J532" s="1"/>
      <c r="K532" s="19"/>
      <c r="L532" s="1"/>
      <c r="M532" s="9"/>
      <c r="N532" s="1"/>
      <c r="O532" s="1"/>
      <c r="P532" s="1"/>
      <c r="Q532" s="1"/>
      <c r="R532" s="1"/>
    </row>
    <row r="533" spans="2:18">
      <c r="B533" s="1"/>
      <c r="C533" s="9"/>
      <c r="D533" s="9"/>
      <c r="E533" s="9"/>
      <c r="F533" s="1"/>
      <c r="G533" s="1"/>
      <c r="H533" s="19"/>
      <c r="I533" s="1"/>
      <c r="J533" s="1"/>
      <c r="K533" s="19"/>
      <c r="L533" s="1"/>
      <c r="M533" s="9"/>
      <c r="N533" s="1"/>
      <c r="O533" s="1"/>
      <c r="P533" s="1"/>
      <c r="Q533" s="1"/>
      <c r="R533" s="1"/>
    </row>
    <row r="534" spans="2:18">
      <c r="B534" s="1"/>
      <c r="C534" s="9"/>
      <c r="D534" s="9"/>
      <c r="E534" s="9"/>
      <c r="F534" s="1"/>
      <c r="G534" s="1"/>
      <c r="H534" s="19"/>
      <c r="I534" s="1"/>
      <c r="J534" s="1"/>
      <c r="K534" s="19"/>
      <c r="L534" s="1"/>
      <c r="M534" s="9"/>
      <c r="N534" s="1"/>
      <c r="O534" s="1"/>
      <c r="P534" s="1"/>
      <c r="Q534" s="1"/>
      <c r="R534" s="1"/>
    </row>
    <row r="535" spans="2:18">
      <c r="B535" s="1"/>
      <c r="C535" s="9"/>
      <c r="D535" s="9"/>
      <c r="E535" s="9"/>
      <c r="F535" s="1"/>
      <c r="G535" s="1"/>
      <c r="H535" s="19"/>
      <c r="I535" s="1"/>
      <c r="J535" s="1"/>
      <c r="K535" s="19"/>
      <c r="L535" s="1"/>
      <c r="M535" s="9"/>
      <c r="N535" s="1"/>
      <c r="O535" s="1"/>
      <c r="P535" s="1"/>
      <c r="Q535" s="1"/>
      <c r="R535" s="1"/>
    </row>
    <row r="536" spans="2:18">
      <c r="B536" s="1"/>
      <c r="C536" s="9"/>
      <c r="D536" s="9"/>
      <c r="E536" s="9"/>
      <c r="F536" s="1"/>
      <c r="G536" s="1"/>
      <c r="H536" s="19"/>
      <c r="I536" s="1"/>
      <c r="J536" s="1"/>
      <c r="K536" s="19"/>
      <c r="L536" s="1"/>
      <c r="M536" s="9"/>
      <c r="N536" s="1"/>
      <c r="O536" s="1"/>
      <c r="P536" s="1"/>
      <c r="Q536" s="1"/>
      <c r="R536" s="1"/>
    </row>
    <row r="537" spans="2:18">
      <c r="B537" s="1"/>
      <c r="C537" s="9"/>
      <c r="D537" s="9"/>
      <c r="E537" s="9"/>
      <c r="F537" s="1"/>
      <c r="G537" s="1"/>
      <c r="H537" s="19"/>
      <c r="I537" s="1"/>
      <c r="J537" s="1"/>
      <c r="K537" s="19"/>
      <c r="L537" s="1"/>
      <c r="M537" s="9"/>
      <c r="N537" s="1"/>
      <c r="O537" s="1"/>
      <c r="P537" s="1"/>
      <c r="Q537" s="1"/>
      <c r="R537" s="1"/>
    </row>
    <row r="538" spans="2:18">
      <c r="B538" s="1"/>
      <c r="C538" s="9"/>
      <c r="D538" s="9"/>
      <c r="E538" s="9"/>
      <c r="F538" s="1"/>
      <c r="G538" s="1"/>
      <c r="H538" s="19"/>
      <c r="I538" s="1"/>
      <c r="J538" s="1"/>
      <c r="K538" s="19"/>
      <c r="L538" s="1"/>
      <c r="M538" s="9"/>
      <c r="N538" s="1"/>
      <c r="O538" s="1"/>
      <c r="P538" s="1"/>
      <c r="Q538" s="1"/>
      <c r="R538" s="1"/>
    </row>
    <row r="539" spans="2:18">
      <c r="B539" s="1"/>
      <c r="C539" s="9"/>
      <c r="D539" s="9"/>
      <c r="E539" s="9"/>
      <c r="F539" s="1"/>
      <c r="G539" s="1"/>
      <c r="H539" s="19"/>
      <c r="I539" s="1"/>
      <c r="J539" s="1"/>
      <c r="K539" s="19"/>
      <c r="L539" s="1"/>
      <c r="M539" s="9"/>
      <c r="N539" s="1"/>
      <c r="O539" s="1"/>
      <c r="P539" s="1"/>
      <c r="Q539" s="1"/>
      <c r="R539" s="1"/>
    </row>
    <row r="540" spans="2:18">
      <c r="B540" s="1"/>
      <c r="C540" s="9"/>
      <c r="D540" s="9"/>
      <c r="E540" s="9"/>
      <c r="F540" s="1"/>
      <c r="G540" s="1"/>
      <c r="H540" s="19"/>
      <c r="I540" s="1"/>
      <c r="J540" s="1"/>
      <c r="K540" s="19"/>
      <c r="L540" s="1"/>
      <c r="M540" s="9"/>
      <c r="N540" s="1"/>
      <c r="O540" s="1"/>
      <c r="P540" s="1"/>
      <c r="Q540" s="1"/>
      <c r="R540" s="1"/>
    </row>
    <row r="541" spans="2:18">
      <c r="B541" s="1"/>
      <c r="C541" s="9"/>
      <c r="D541" s="9"/>
      <c r="E541" s="9"/>
      <c r="F541" s="1"/>
      <c r="G541" s="1"/>
      <c r="H541" s="19"/>
      <c r="I541" s="1"/>
      <c r="J541" s="1"/>
      <c r="K541" s="19"/>
      <c r="L541" s="1"/>
      <c r="M541" s="9"/>
      <c r="N541" s="1"/>
      <c r="O541" s="1"/>
      <c r="P541" s="1"/>
      <c r="Q541" s="1"/>
      <c r="R541" s="1"/>
    </row>
    <row r="542" spans="2:18">
      <c r="B542" s="1"/>
      <c r="C542" s="9"/>
      <c r="D542" s="9"/>
      <c r="E542" s="9"/>
      <c r="F542" s="1"/>
      <c r="G542" s="1"/>
      <c r="H542" s="19"/>
      <c r="I542" s="1"/>
      <c r="J542" s="1"/>
      <c r="K542" s="19"/>
      <c r="L542" s="1"/>
      <c r="M542" s="9"/>
      <c r="N542" s="1"/>
      <c r="O542" s="1"/>
      <c r="P542" s="1"/>
      <c r="Q542" s="1"/>
      <c r="R542" s="1"/>
    </row>
    <row r="543" spans="2:18">
      <c r="B543" s="1"/>
      <c r="C543" s="9"/>
      <c r="D543" s="9"/>
      <c r="E543" s="9"/>
      <c r="F543" s="1"/>
      <c r="G543" s="1"/>
      <c r="H543" s="19"/>
      <c r="I543" s="1"/>
      <c r="J543" s="1"/>
      <c r="K543" s="19"/>
      <c r="L543" s="1"/>
      <c r="M543" s="9"/>
      <c r="N543" s="1"/>
      <c r="O543" s="1"/>
      <c r="P543" s="1"/>
      <c r="Q543" s="1"/>
      <c r="R543" s="1"/>
    </row>
    <row r="544" spans="2:18">
      <c r="B544" s="1"/>
      <c r="C544" s="9"/>
      <c r="D544" s="9"/>
      <c r="E544" s="9"/>
      <c r="F544" s="1"/>
      <c r="G544" s="1"/>
      <c r="H544" s="19"/>
      <c r="I544" s="1"/>
      <c r="J544" s="1"/>
      <c r="K544" s="19"/>
      <c r="L544" s="1"/>
      <c r="M544" s="9"/>
      <c r="N544" s="1"/>
      <c r="O544" s="1"/>
      <c r="P544" s="1"/>
      <c r="Q544" s="1"/>
      <c r="R544" s="1"/>
    </row>
    <row r="545" spans="2:18">
      <c r="B545" s="1"/>
      <c r="C545" s="9"/>
      <c r="D545" s="9"/>
      <c r="E545" s="9"/>
      <c r="F545" s="1"/>
      <c r="G545" s="1"/>
      <c r="H545" s="19"/>
      <c r="I545" s="1"/>
      <c r="J545" s="1"/>
      <c r="K545" s="19"/>
      <c r="L545" s="1"/>
      <c r="M545" s="9"/>
      <c r="N545" s="1"/>
      <c r="O545" s="1"/>
      <c r="P545" s="1"/>
      <c r="Q545" s="1"/>
      <c r="R545" s="1"/>
    </row>
    <row r="546" spans="2:18">
      <c r="B546" s="1"/>
      <c r="C546" s="9"/>
      <c r="D546" s="9"/>
      <c r="E546" s="9"/>
      <c r="F546" s="1"/>
      <c r="G546" s="1"/>
      <c r="H546" s="19"/>
      <c r="I546" s="1"/>
      <c r="J546" s="1"/>
      <c r="K546" s="19"/>
      <c r="L546" s="1"/>
      <c r="M546" s="9"/>
      <c r="N546" s="1"/>
      <c r="O546" s="1"/>
      <c r="P546" s="1"/>
      <c r="Q546" s="1"/>
      <c r="R546" s="1"/>
    </row>
    <row r="547" spans="2:18">
      <c r="B547" s="1"/>
      <c r="C547" s="9"/>
      <c r="D547" s="9"/>
      <c r="E547" s="9"/>
      <c r="F547" s="1"/>
      <c r="G547" s="1"/>
      <c r="H547" s="19"/>
      <c r="I547" s="1"/>
      <c r="J547" s="1"/>
      <c r="K547" s="19"/>
      <c r="L547" s="1"/>
      <c r="M547" s="9"/>
      <c r="N547" s="1"/>
      <c r="O547" s="1"/>
      <c r="P547" s="1"/>
      <c r="Q547" s="1"/>
      <c r="R547" s="1"/>
    </row>
    <row r="548" spans="2:18">
      <c r="B548" s="1"/>
      <c r="C548" s="9"/>
      <c r="D548" s="9"/>
      <c r="E548" s="9"/>
      <c r="F548" s="1"/>
      <c r="G548" s="1"/>
      <c r="H548" s="19"/>
      <c r="I548" s="1"/>
      <c r="J548" s="1"/>
      <c r="K548" s="19"/>
      <c r="L548" s="1"/>
      <c r="M548" s="9"/>
      <c r="N548" s="1"/>
      <c r="O548" s="1"/>
      <c r="P548" s="1"/>
      <c r="Q548" s="1"/>
      <c r="R548" s="1"/>
    </row>
    <row r="549" spans="2:18">
      <c r="B549" s="1"/>
      <c r="C549" s="9"/>
      <c r="D549" s="9"/>
      <c r="E549" s="9"/>
      <c r="F549" s="1"/>
      <c r="G549" s="1"/>
      <c r="H549" s="19"/>
      <c r="I549" s="1"/>
      <c r="J549" s="1"/>
      <c r="K549" s="19"/>
      <c r="L549" s="1"/>
      <c r="M549" s="9"/>
      <c r="N549" s="1"/>
      <c r="O549" s="1"/>
      <c r="P549" s="1"/>
      <c r="Q549" s="1"/>
      <c r="R549" s="1"/>
    </row>
    <row r="550" spans="2:18">
      <c r="B550" s="1"/>
      <c r="C550" s="9"/>
      <c r="D550" s="9"/>
      <c r="E550" s="9"/>
      <c r="F550" s="1"/>
      <c r="G550" s="1"/>
      <c r="H550" s="19"/>
      <c r="I550" s="1"/>
      <c r="J550" s="1"/>
      <c r="K550" s="19"/>
      <c r="L550" s="1"/>
      <c r="M550" s="9"/>
      <c r="N550" s="1"/>
      <c r="O550" s="1"/>
      <c r="P550" s="1"/>
      <c r="Q550" s="1"/>
      <c r="R550" s="1"/>
    </row>
    <row r="551" spans="2:18">
      <c r="B551" s="1"/>
      <c r="C551" s="9"/>
      <c r="D551" s="9"/>
      <c r="E551" s="9"/>
      <c r="F551" s="1"/>
      <c r="G551" s="1"/>
      <c r="H551" s="19"/>
      <c r="I551" s="1"/>
      <c r="J551" s="1"/>
      <c r="K551" s="19"/>
      <c r="L551" s="1"/>
      <c r="M551" s="9"/>
      <c r="N551" s="1"/>
      <c r="O551" s="1"/>
      <c r="P551" s="1"/>
      <c r="Q551" s="1"/>
      <c r="R551" s="1"/>
    </row>
    <row r="552" spans="2:18">
      <c r="B552" s="1"/>
      <c r="C552" s="9"/>
      <c r="D552" s="9"/>
      <c r="E552" s="9"/>
      <c r="F552" s="1"/>
      <c r="G552" s="1"/>
      <c r="H552" s="19"/>
      <c r="I552" s="1"/>
      <c r="J552" s="1"/>
      <c r="K552" s="19"/>
      <c r="L552" s="1"/>
      <c r="M552" s="9"/>
      <c r="N552" s="1"/>
      <c r="O552" s="1"/>
      <c r="P552" s="1"/>
      <c r="Q552" s="1"/>
      <c r="R552" s="1"/>
    </row>
    <row r="553" spans="2:18">
      <c r="B553" s="1"/>
      <c r="C553" s="9"/>
      <c r="D553" s="9"/>
      <c r="E553" s="9"/>
      <c r="F553" s="1"/>
      <c r="G553" s="1"/>
      <c r="H553" s="19"/>
      <c r="I553" s="1"/>
      <c r="J553" s="1"/>
      <c r="K553" s="19"/>
      <c r="L553" s="1"/>
      <c r="M553" s="9"/>
      <c r="N553" s="1"/>
      <c r="O553" s="1"/>
      <c r="P553" s="1"/>
      <c r="Q553" s="1"/>
      <c r="R553" s="1"/>
    </row>
    <row r="554" spans="2:18">
      <c r="B554" s="1"/>
      <c r="C554" s="9"/>
      <c r="D554" s="9"/>
      <c r="E554" s="9"/>
      <c r="F554" s="1"/>
      <c r="G554" s="1"/>
      <c r="H554" s="19"/>
      <c r="I554" s="1"/>
      <c r="J554" s="1"/>
      <c r="K554" s="19"/>
      <c r="L554" s="1"/>
      <c r="M554" s="9"/>
      <c r="N554" s="1"/>
      <c r="O554" s="1"/>
      <c r="P554" s="1"/>
      <c r="Q554" s="1"/>
      <c r="R554" s="1"/>
    </row>
    <row r="555" spans="2:18">
      <c r="B555" s="1"/>
      <c r="C555" s="9"/>
      <c r="D555" s="9"/>
      <c r="E555" s="9"/>
      <c r="F555" s="1"/>
      <c r="G555" s="1"/>
      <c r="H555" s="19"/>
      <c r="I555" s="1"/>
      <c r="J555" s="1"/>
      <c r="K555" s="19"/>
      <c r="L555" s="1"/>
      <c r="M555" s="9"/>
      <c r="N555" s="1"/>
      <c r="O555" s="1"/>
      <c r="P555" s="1"/>
      <c r="Q555" s="1"/>
      <c r="R555" s="1"/>
    </row>
    <row r="556" spans="2:18">
      <c r="B556" s="1"/>
      <c r="C556" s="9"/>
      <c r="D556" s="9"/>
      <c r="E556" s="9"/>
      <c r="F556" s="1"/>
      <c r="G556" s="1"/>
      <c r="H556" s="19"/>
      <c r="I556" s="1"/>
      <c r="J556" s="1"/>
      <c r="K556" s="19"/>
      <c r="L556" s="1"/>
      <c r="M556" s="9"/>
      <c r="N556" s="1"/>
      <c r="O556" s="1"/>
      <c r="P556" s="1"/>
      <c r="Q556" s="1"/>
      <c r="R556" s="1"/>
    </row>
    <row r="557" spans="2:18">
      <c r="B557" s="1"/>
      <c r="C557" s="9"/>
      <c r="D557" s="9"/>
      <c r="E557" s="9"/>
      <c r="F557" s="1"/>
      <c r="G557" s="1"/>
      <c r="H557" s="19"/>
      <c r="I557" s="1"/>
      <c r="J557" s="1"/>
      <c r="K557" s="19"/>
      <c r="L557" s="1"/>
      <c r="M557" s="9"/>
      <c r="N557" s="1"/>
      <c r="O557" s="1"/>
      <c r="P557" s="1"/>
      <c r="Q557" s="1"/>
      <c r="R557" s="1"/>
    </row>
    <row r="558" spans="2:18">
      <c r="B558" s="1"/>
      <c r="C558" s="9"/>
      <c r="D558" s="9"/>
      <c r="E558" s="9"/>
      <c r="F558" s="1"/>
      <c r="G558" s="1"/>
      <c r="H558" s="19"/>
      <c r="I558" s="1"/>
      <c r="J558" s="1"/>
      <c r="K558" s="19"/>
      <c r="L558" s="1"/>
      <c r="M558" s="9"/>
      <c r="N558" s="1"/>
      <c r="O558" s="1"/>
      <c r="P558" s="1"/>
      <c r="Q558" s="1"/>
      <c r="R558" s="1"/>
    </row>
    <row r="559" spans="2:18">
      <c r="B559" s="1"/>
      <c r="C559" s="9"/>
      <c r="D559" s="9"/>
      <c r="E559" s="9"/>
      <c r="F559" s="1"/>
      <c r="G559" s="1"/>
      <c r="H559" s="19"/>
      <c r="I559" s="1"/>
      <c r="J559" s="1"/>
      <c r="K559" s="19"/>
      <c r="L559" s="1"/>
      <c r="M559" s="9"/>
      <c r="N559" s="1"/>
      <c r="O559" s="1"/>
      <c r="P559" s="1"/>
      <c r="Q559" s="1"/>
      <c r="R559" s="1"/>
    </row>
    <row r="560" spans="2:18">
      <c r="B560" s="1"/>
      <c r="C560" s="9"/>
      <c r="D560" s="9"/>
      <c r="E560" s="9"/>
      <c r="F560" s="1"/>
      <c r="G560" s="1"/>
      <c r="H560" s="19"/>
      <c r="I560" s="1"/>
      <c r="J560" s="1"/>
      <c r="K560" s="19"/>
      <c r="L560" s="1"/>
      <c r="M560" s="9"/>
      <c r="N560" s="1"/>
      <c r="O560" s="1"/>
      <c r="P560" s="1"/>
      <c r="Q560" s="1"/>
      <c r="R560" s="1"/>
    </row>
    <row r="561" spans="2:18">
      <c r="B561" s="1"/>
      <c r="C561" s="9"/>
      <c r="D561" s="9"/>
      <c r="E561" s="9"/>
      <c r="F561" s="1"/>
      <c r="G561" s="1"/>
      <c r="H561" s="19"/>
      <c r="I561" s="1"/>
      <c r="J561" s="1"/>
      <c r="K561" s="19"/>
      <c r="L561" s="1"/>
      <c r="M561" s="9"/>
      <c r="N561" s="1"/>
      <c r="O561" s="1"/>
      <c r="P561" s="1"/>
      <c r="Q561" s="1"/>
      <c r="R561" s="1"/>
    </row>
    <row r="562" spans="2:18">
      <c r="B562" s="1"/>
      <c r="C562" s="9"/>
      <c r="D562" s="9"/>
      <c r="E562" s="9"/>
      <c r="F562" s="1"/>
      <c r="G562" s="1"/>
      <c r="H562" s="19"/>
      <c r="I562" s="1"/>
      <c r="J562" s="1"/>
      <c r="K562" s="19"/>
      <c r="L562" s="1"/>
      <c r="M562" s="9"/>
      <c r="N562" s="1"/>
      <c r="O562" s="1"/>
      <c r="P562" s="1"/>
      <c r="Q562" s="1"/>
      <c r="R562" s="1"/>
    </row>
    <row r="563" spans="2:18">
      <c r="B563" s="1"/>
      <c r="C563" s="9"/>
      <c r="D563" s="9"/>
      <c r="E563" s="9"/>
      <c r="F563" s="1"/>
      <c r="G563" s="1"/>
      <c r="H563" s="19"/>
      <c r="I563" s="1"/>
      <c r="J563" s="1"/>
      <c r="K563" s="19"/>
      <c r="L563" s="1"/>
      <c r="M563" s="9"/>
      <c r="N563" s="1"/>
      <c r="O563" s="1"/>
      <c r="P563" s="1"/>
      <c r="Q563" s="1"/>
      <c r="R563" s="1"/>
    </row>
    <row r="564" spans="2:18">
      <c r="B564" s="1"/>
      <c r="C564" s="9"/>
      <c r="D564" s="9"/>
      <c r="E564" s="9"/>
      <c r="F564" s="1"/>
      <c r="G564" s="1"/>
      <c r="H564" s="19"/>
      <c r="I564" s="1"/>
      <c r="J564" s="1"/>
      <c r="K564" s="19"/>
      <c r="L564" s="1"/>
      <c r="M564" s="9"/>
      <c r="N564" s="1"/>
      <c r="O564" s="1"/>
      <c r="P564" s="1"/>
      <c r="Q564" s="1"/>
      <c r="R564" s="1"/>
    </row>
    <row r="565" spans="2:18">
      <c r="B565" s="1"/>
      <c r="C565" s="9"/>
      <c r="D565" s="9"/>
      <c r="E565" s="9"/>
      <c r="F565" s="1"/>
      <c r="G565" s="1"/>
      <c r="H565" s="19"/>
      <c r="I565" s="1"/>
      <c r="J565" s="1"/>
      <c r="K565" s="19"/>
      <c r="L565" s="1"/>
      <c r="M565" s="9"/>
      <c r="N565" s="1"/>
      <c r="O565" s="1"/>
      <c r="P565" s="1"/>
      <c r="Q565" s="1"/>
      <c r="R565" s="1"/>
    </row>
    <row r="566" spans="2:18">
      <c r="B566" s="1"/>
      <c r="C566" s="9"/>
      <c r="D566" s="9"/>
      <c r="E566" s="9"/>
      <c r="F566" s="1"/>
      <c r="G566" s="1"/>
      <c r="H566" s="19"/>
      <c r="I566" s="1"/>
      <c r="J566" s="1"/>
      <c r="K566" s="19"/>
      <c r="L566" s="1"/>
      <c r="M566" s="9"/>
      <c r="N566" s="1"/>
      <c r="O566" s="1"/>
      <c r="P566" s="1"/>
      <c r="Q566" s="1"/>
      <c r="R566" s="1"/>
    </row>
    <row r="567" spans="2:18">
      <c r="B567" s="1"/>
      <c r="C567" s="9"/>
      <c r="D567" s="9"/>
      <c r="E567" s="9"/>
      <c r="F567" s="1"/>
      <c r="G567" s="1"/>
      <c r="H567" s="19"/>
      <c r="I567" s="1"/>
      <c r="J567" s="1"/>
      <c r="K567" s="19"/>
      <c r="L567" s="1"/>
      <c r="M567" s="9"/>
      <c r="N567" s="1"/>
      <c r="O567" s="1"/>
      <c r="P567" s="1"/>
      <c r="Q567" s="1"/>
      <c r="R567" s="1"/>
    </row>
    <row r="568" spans="2:18">
      <c r="B568" s="1"/>
      <c r="C568" s="9"/>
      <c r="D568" s="9"/>
      <c r="E568" s="9"/>
      <c r="F568" s="1"/>
      <c r="G568" s="1"/>
      <c r="H568" s="19"/>
      <c r="I568" s="1"/>
      <c r="J568" s="1"/>
      <c r="K568" s="19"/>
      <c r="L568" s="1"/>
      <c r="M568" s="9"/>
      <c r="N568" s="1"/>
      <c r="O568" s="1"/>
      <c r="P568" s="1"/>
      <c r="Q568" s="1"/>
      <c r="R568" s="1"/>
    </row>
    <row r="569" spans="2:18">
      <c r="B569" s="1"/>
      <c r="C569" s="9"/>
      <c r="D569" s="9"/>
      <c r="E569" s="9"/>
      <c r="F569" s="1"/>
      <c r="G569" s="1"/>
      <c r="H569" s="19"/>
      <c r="I569" s="1"/>
      <c r="J569" s="1"/>
      <c r="K569" s="19"/>
      <c r="L569" s="1"/>
      <c r="M569" s="9"/>
      <c r="N569" s="1"/>
      <c r="O569" s="1"/>
      <c r="P569" s="1"/>
      <c r="Q569" s="1"/>
      <c r="R569" s="1"/>
    </row>
    <row r="570" spans="2:18">
      <c r="B570" s="1"/>
      <c r="C570" s="9"/>
      <c r="D570" s="9"/>
      <c r="E570" s="9"/>
      <c r="F570" s="1"/>
      <c r="G570" s="1"/>
      <c r="H570" s="19"/>
      <c r="I570" s="1"/>
      <c r="J570" s="1"/>
      <c r="K570" s="19"/>
      <c r="L570" s="1"/>
      <c r="M570" s="9"/>
      <c r="N570" s="1"/>
      <c r="O570" s="1"/>
      <c r="P570" s="1"/>
      <c r="Q570" s="1"/>
      <c r="R570" s="1"/>
    </row>
    <row r="571" spans="2:18">
      <c r="B571" s="1"/>
      <c r="C571" s="9"/>
      <c r="D571" s="9"/>
      <c r="E571" s="9"/>
      <c r="F571" s="1"/>
      <c r="G571" s="1"/>
      <c r="H571" s="19"/>
      <c r="I571" s="1"/>
      <c r="J571" s="1"/>
      <c r="K571" s="19"/>
      <c r="L571" s="1"/>
      <c r="M571" s="9"/>
      <c r="N571" s="1"/>
      <c r="O571" s="1"/>
      <c r="P571" s="1"/>
      <c r="Q571" s="1"/>
      <c r="R571" s="1"/>
    </row>
    <row r="572" spans="2:18">
      <c r="B572" s="1"/>
      <c r="C572" s="9"/>
      <c r="D572" s="9"/>
      <c r="E572" s="9"/>
      <c r="F572" s="1"/>
      <c r="G572" s="1"/>
      <c r="H572" s="19"/>
      <c r="I572" s="1"/>
      <c r="J572" s="1"/>
      <c r="K572" s="19"/>
      <c r="L572" s="1"/>
      <c r="M572" s="9"/>
      <c r="N572" s="1"/>
      <c r="O572" s="1"/>
      <c r="P572" s="1"/>
      <c r="Q572" s="1"/>
      <c r="R572" s="1"/>
    </row>
    <row r="573" spans="2:18">
      <c r="B573" s="1"/>
      <c r="C573" s="9"/>
      <c r="D573" s="9"/>
      <c r="E573" s="9"/>
      <c r="F573" s="1"/>
      <c r="G573" s="1"/>
      <c r="H573" s="19"/>
      <c r="I573" s="1"/>
      <c r="J573" s="1"/>
      <c r="K573" s="19"/>
      <c r="L573" s="1"/>
      <c r="M573" s="9"/>
      <c r="N573" s="1"/>
      <c r="O573" s="1"/>
      <c r="P573" s="1"/>
      <c r="Q573" s="1"/>
      <c r="R573" s="1"/>
    </row>
    <row r="574" spans="2:18">
      <c r="B574" s="1"/>
      <c r="C574" s="9"/>
      <c r="D574" s="9"/>
      <c r="E574" s="9"/>
      <c r="F574" s="1"/>
      <c r="G574" s="1"/>
      <c r="H574" s="19"/>
      <c r="I574" s="1"/>
      <c r="J574" s="1"/>
      <c r="K574" s="19"/>
      <c r="L574" s="1"/>
      <c r="M574" s="9"/>
      <c r="N574" s="1"/>
      <c r="O574" s="1"/>
      <c r="P574" s="1"/>
      <c r="Q574" s="1"/>
      <c r="R574" s="1"/>
    </row>
    <row r="575" spans="2:18">
      <c r="B575" s="1"/>
      <c r="C575" s="9"/>
      <c r="D575" s="9"/>
      <c r="E575" s="9"/>
      <c r="F575" s="1"/>
      <c r="G575" s="1"/>
      <c r="H575" s="19"/>
      <c r="I575" s="1"/>
      <c r="J575" s="1"/>
      <c r="K575" s="19"/>
      <c r="L575" s="1"/>
      <c r="M575" s="9"/>
      <c r="N575" s="1"/>
      <c r="O575" s="1"/>
      <c r="P575" s="1"/>
      <c r="Q575" s="1"/>
      <c r="R575" s="1"/>
    </row>
    <row r="576" spans="2:18">
      <c r="B576" s="1"/>
      <c r="C576" s="9"/>
      <c r="D576" s="9"/>
      <c r="E576" s="9"/>
      <c r="F576" s="1"/>
      <c r="G576" s="1"/>
      <c r="H576" s="19"/>
      <c r="I576" s="1"/>
      <c r="J576" s="1"/>
      <c r="K576" s="19"/>
      <c r="L576" s="1"/>
      <c r="M576" s="9"/>
      <c r="N576" s="1"/>
      <c r="O576" s="1"/>
      <c r="P576" s="1"/>
      <c r="Q576" s="1"/>
      <c r="R576" s="1"/>
    </row>
    <row r="577" spans="2:18">
      <c r="B577" s="1"/>
      <c r="C577" s="9"/>
      <c r="D577" s="9"/>
      <c r="E577" s="9"/>
      <c r="F577" s="1"/>
      <c r="G577" s="1"/>
      <c r="H577" s="19"/>
      <c r="I577" s="1"/>
      <c r="J577" s="1"/>
      <c r="K577" s="19"/>
      <c r="L577" s="1"/>
      <c r="M577" s="9"/>
      <c r="N577" s="1"/>
      <c r="O577" s="1"/>
      <c r="P577" s="1"/>
      <c r="Q577" s="1"/>
      <c r="R577" s="1"/>
    </row>
    <row r="578" spans="2:18">
      <c r="B578" s="1"/>
      <c r="C578" s="9"/>
      <c r="D578" s="9"/>
      <c r="E578" s="9"/>
      <c r="F578" s="1"/>
      <c r="G578" s="1"/>
      <c r="H578" s="19"/>
      <c r="I578" s="1"/>
      <c r="J578" s="1"/>
      <c r="K578" s="19"/>
      <c r="L578" s="1"/>
      <c r="M578" s="9"/>
      <c r="N578" s="1"/>
      <c r="O578" s="1"/>
      <c r="P578" s="1"/>
      <c r="Q578" s="1"/>
      <c r="R578" s="1"/>
    </row>
    <row r="579" spans="2:18">
      <c r="B579" s="1"/>
      <c r="C579" s="9"/>
      <c r="D579" s="9"/>
      <c r="E579" s="9"/>
      <c r="F579" s="1"/>
      <c r="G579" s="1"/>
      <c r="H579" s="19"/>
      <c r="I579" s="1"/>
      <c r="J579" s="1"/>
      <c r="K579" s="19"/>
      <c r="L579" s="1"/>
      <c r="M579" s="9"/>
      <c r="N579" s="1"/>
      <c r="O579" s="1"/>
      <c r="P579" s="1"/>
      <c r="Q579" s="1"/>
      <c r="R579" s="1"/>
    </row>
    <row r="580" spans="2:18">
      <c r="B580" s="1"/>
      <c r="C580" s="9"/>
      <c r="D580" s="9"/>
      <c r="E580" s="9"/>
      <c r="F580" s="1"/>
      <c r="G580" s="1"/>
      <c r="H580" s="19"/>
      <c r="I580" s="1"/>
      <c r="J580" s="1"/>
      <c r="K580" s="19"/>
      <c r="L580" s="1"/>
      <c r="M580" s="9"/>
      <c r="N580" s="1"/>
      <c r="O580" s="1"/>
      <c r="P580" s="1"/>
      <c r="Q580" s="1"/>
      <c r="R580" s="1"/>
    </row>
    <row r="581" spans="2:18">
      <c r="B581" s="1"/>
      <c r="C581" s="9"/>
      <c r="D581" s="9"/>
      <c r="E581" s="9"/>
      <c r="F581" s="1"/>
      <c r="G581" s="1"/>
      <c r="H581" s="19"/>
      <c r="I581" s="1"/>
      <c r="J581" s="1"/>
      <c r="K581" s="19"/>
      <c r="L581" s="1"/>
      <c r="M581" s="9"/>
      <c r="N581" s="1"/>
      <c r="O581" s="1"/>
      <c r="P581" s="1"/>
      <c r="Q581" s="1"/>
      <c r="R581" s="1"/>
    </row>
    <row r="582" spans="2:18">
      <c r="B582" s="1"/>
      <c r="C582" s="9"/>
      <c r="D582" s="9"/>
      <c r="E582" s="9"/>
      <c r="F582" s="1"/>
      <c r="G582" s="1"/>
      <c r="H582" s="19"/>
      <c r="I582" s="1"/>
      <c r="J582" s="1"/>
      <c r="K582" s="19"/>
      <c r="L582" s="1"/>
      <c r="M582" s="9"/>
      <c r="N582" s="1"/>
      <c r="O582" s="1"/>
      <c r="P582" s="1"/>
      <c r="Q582" s="1"/>
      <c r="R582" s="1"/>
    </row>
    <row r="583" spans="2:18">
      <c r="B583" s="1"/>
      <c r="C583" s="9"/>
      <c r="D583" s="9"/>
      <c r="E583" s="9"/>
      <c r="F583" s="1"/>
      <c r="G583" s="1"/>
      <c r="H583" s="19"/>
      <c r="I583" s="1"/>
      <c r="J583" s="1"/>
      <c r="K583" s="19"/>
      <c r="L583" s="1"/>
      <c r="M583" s="9"/>
      <c r="N583" s="1"/>
      <c r="O583" s="1"/>
      <c r="P583" s="1"/>
      <c r="Q583" s="1"/>
      <c r="R583" s="1"/>
    </row>
    <row r="584" spans="2:18">
      <c r="B584" s="1"/>
      <c r="C584" s="9"/>
      <c r="D584" s="9"/>
      <c r="E584" s="9"/>
      <c r="F584" s="1"/>
      <c r="G584" s="1"/>
      <c r="H584" s="19"/>
      <c r="I584" s="1"/>
      <c r="J584" s="1"/>
      <c r="K584" s="19"/>
      <c r="L584" s="1"/>
      <c r="M584" s="9"/>
      <c r="N584" s="1"/>
      <c r="O584" s="1"/>
      <c r="P584" s="1"/>
      <c r="Q584" s="1"/>
      <c r="R584" s="1"/>
    </row>
    <row r="585" spans="2:18">
      <c r="B585" s="1"/>
      <c r="C585" s="9"/>
      <c r="D585" s="9"/>
      <c r="E585" s="9"/>
      <c r="F585" s="1"/>
      <c r="G585" s="1"/>
      <c r="H585" s="19"/>
      <c r="I585" s="1"/>
      <c r="J585" s="1"/>
      <c r="K585" s="19"/>
      <c r="L585" s="1"/>
      <c r="M585" s="9"/>
      <c r="N585" s="1"/>
      <c r="O585" s="1"/>
      <c r="P585" s="1"/>
      <c r="Q585" s="1"/>
      <c r="R585" s="1"/>
    </row>
    <row r="586" spans="2:18">
      <c r="B586" s="1"/>
      <c r="C586" s="9"/>
      <c r="D586" s="9"/>
      <c r="E586" s="9"/>
      <c r="F586" s="1"/>
      <c r="G586" s="1"/>
      <c r="H586" s="19"/>
      <c r="I586" s="1"/>
      <c r="J586" s="1"/>
      <c r="K586" s="19"/>
      <c r="L586" s="1"/>
      <c r="M586" s="9"/>
      <c r="N586" s="1"/>
      <c r="O586" s="1"/>
      <c r="P586" s="1"/>
      <c r="Q586" s="1"/>
      <c r="R586" s="1"/>
    </row>
    <row r="587" spans="2:18">
      <c r="B587" s="1"/>
      <c r="C587" s="9"/>
      <c r="D587" s="9"/>
      <c r="E587" s="9"/>
      <c r="F587" s="1"/>
      <c r="G587" s="1"/>
      <c r="H587" s="19"/>
      <c r="I587" s="1"/>
      <c r="J587" s="1"/>
      <c r="K587" s="19"/>
      <c r="L587" s="1"/>
      <c r="M587" s="9"/>
      <c r="N587" s="1"/>
      <c r="O587" s="1"/>
      <c r="P587" s="1"/>
      <c r="Q587" s="1"/>
      <c r="R587" s="1"/>
    </row>
    <row r="588" spans="2:18">
      <c r="B588" s="1"/>
      <c r="C588" s="9"/>
      <c r="D588" s="9"/>
      <c r="E588" s="9"/>
      <c r="F588" s="1"/>
      <c r="G588" s="1"/>
      <c r="H588" s="19"/>
      <c r="I588" s="1"/>
      <c r="J588" s="1"/>
      <c r="K588" s="19"/>
      <c r="L588" s="1"/>
      <c r="M588" s="9"/>
      <c r="N588" s="1"/>
      <c r="O588" s="1"/>
      <c r="P588" s="1"/>
      <c r="Q588" s="1"/>
      <c r="R588" s="1"/>
    </row>
    <row r="589" spans="2:18">
      <c r="B589" s="1"/>
      <c r="C589" s="9"/>
      <c r="D589" s="9"/>
      <c r="E589" s="9"/>
      <c r="F589" s="1"/>
      <c r="G589" s="1"/>
      <c r="H589" s="19"/>
      <c r="I589" s="1"/>
      <c r="J589" s="1"/>
      <c r="K589" s="19"/>
      <c r="L589" s="1"/>
      <c r="M589" s="9"/>
      <c r="N589" s="1"/>
      <c r="O589" s="1"/>
      <c r="P589" s="1"/>
      <c r="Q589" s="1"/>
      <c r="R589" s="1"/>
    </row>
    <row r="590" spans="2:18">
      <c r="B590" s="1"/>
      <c r="C590" s="9"/>
      <c r="D590" s="9"/>
      <c r="E590" s="9"/>
      <c r="F590" s="1"/>
      <c r="G590" s="1"/>
      <c r="H590" s="19"/>
      <c r="I590" s="1"/>
      <c r="J590" s="1"/>
      <c r="K590" s="19"/>
      <c r="L590" s="1"/>
      <c r="M590" s="9"/>
      <c r="N590" s="1"/>
      <c r="O590" s="1"/>
      <c r="P590" s="1"/>
      <c r="Q590" s="1"/>
      <c r="R590" s="1"/>
    </row>
    <row r="591" spans="2:18">
      <c r="B591" s="1"/>
      <c r="C591" s="9"/>
      <c r="D591" s="9"/>
      <c r="E591" s="9"/>
      <c r="F591" s="1"/>
      <c r="G591" s="1"/>
      <c r="H591" s="19"/>
      <c r="I591" s="1"/>
      <c r="J591" s="1"/>
      <c r="K591" s="19"/>
      <c r="L591" s="1"/>
      <c r="M591" s="9"/>
      <c r="N591" s="1"/>
      <c r="O591" s="1"/>
      <c r="P591" s="1"/>
      <c r="Q591" s="1"/>
      <c r="R591" s="1"/>
    </row>
    <row r="592" spans="2:18">
      <c r="B592" s="1"/>
      <c r="C592" s="9"/>
      <c r="D592" s="9"/>
      <c r="E592" s="9"/>
      <c r="F592" s="1"/>
      <c r="G592" s="1"/>
      <c r="H592" s="19"/>
      <c r="I592" s="1"/>
      <c r="J592" s="1"/>
      <c r="K592" s="19"/>
      <c r="L592" s="1"/>
      <c r="M592" s="9"/>
      <c r="N592" s="1"/>
      <c r="O592" s="1"/>
      <c r="P592" s="1"/>
      <c r="Q592" s="1"/>
      <c r="R592" s="1"/>
    </row>
    <row r="593" spans="2:18">
      <c r="B593" s="1"/>
      <c r="C593" s="9"/>
      <c r="D593" s="9"/>
      <c r="E593" s="9"/>
      <c r="F593" s="1"/>
      <c r="G593" s="1"/>
      <c r="H593" s="19"/>
      <c r="I593" s="1"/>
      <c r="J593" s="1"/>
      <c r="K593" s="19"/>
      <c r="L593" s="1"/>
      <c r="M593" s="9"/>
      <c r="N593" s="1"/>
      <c r="O593" s="1"/>
      <c r="P593" s="1"/>
      <c r="Q593" s="1"/>
      <c r="R593" s="1"/>
    </row>
    <row r="594" spans="2:18">
      <c r="B594" s="1"/>
      <c r="C594" s="9"/>
      <c r="D594" s="9"/>
      <c r="E594" s="9"/>
      <c r="F594" s="1"/>
      <c r="G594" s="1"/>
      <c r="H594" s="19"/>
      <c r="I594" s="1"/>
      <c r="J594" s="1"/>
      <c r="K594" s="19"/>
      <c r="L594" s="1"/>
      <c r="M594" s="9"/>
      <c r="N594" s="1"/>
      <c r="O594" s="1"/>
      <c r="P594" s="1"/>
      <c r="Q594" s="1"/>
      <c r="R594" s="1"/>
    </row>
    <row r="595" spans="2:18">
      <c r="B595" s="1"/>
      <c r="C595" s="9"/>
      <c r="D595" s="9"/>
      <c r="E595" s="9"/>
      <c r="F595" s="1"/>
      <c r="G595" s="1"/>
      <c r="H595" s="19"/>
      <c r="I595" s="1"/>
      <c r="J595" s="1"/>
      <c r="K595" s="19"/>
      <c r="L595" s="1"/>
      <c r="M595" s="9"/>
      <c r="N595" s="1"/>
      <c r="O595" s="1"/>
      <c r="P595" s="1"/>
      <c r="Q595" s="1"/>
      <c r="R595" s="1"/>
    </row>
    <row r="596" spans="2:18">
      <c r="B596" s="1"/>
      <c r="C596" s="9"/>
      <c r="D596" s="9"/>
      <c r="E596" s="9"/>
      <c r="F596" s="1"/>
      <c r="G596" s="1"/>
      <c r="H596" s="19"/>
      <c r="I596" s="1"/>
      <c r="J596" s="1"/>
      <c r="K596" s="19"/>
      <c r="L596" s="1"/>
      <c r="M596" s="9"/>
      <c r="N596" s="1"/>
      <c r="O596" s="1"/>
      <c r="P596" s="1"/>
      <c r="Q596" s="1"/>
      <c r="R596" s="1"/>
    </row>
    <row r="597" spans="2:18">
      <c r="B597" s="1"/>
      <c r="C597" s="9"/>
      <c r="D597" s="9"/>
      <c r="E597" s="9"/>
      <c r="F597" s="1"/>
      <c r="G597" s="1"/>
      <c r="H597" s="19"/>
      <c r="I597" s="1"/>
      <c r="J597" s="1"/>
      <c r="K597" s="19"/>
      <c r="L597" s="1"/>
      <c r="M597" s="9"/>
      <c r="N597" s="1"/>
      <c r="O597" s="1"/>
      <c r="P597" s="1"/>
      <c r="Q597" s="1"/>
      <c r="R597" s="1"/>
    </row>
    <row r="598" spans="2:18">
      <c r="B598" s="1"/>
      <c r="C598" s="9"/>
      <c r="D598" s="9"/>
      <c r="E598" s="9"/>
      <c r="F598" s="1"/>
      <c r="G598" s="1"/>
      <c r="H598" s="19"/>
      <c r="I598" s="1"/>
      <c r="J598" s="1"/>
      <c r="K598" s="19"/>
      <c r="L598" s="1"/>
      <c r="M598" s="9"/>
      <c r="N598" s="1"/>
      <c r="O598" s="1"/>
      <c r="P598" s="1"/>
      <c r="Q598" s="1"/>
      <c r="R598" s="1"/>
    </row>
    <row r="599" spans="2:18">
      <c r="B599" s="1"/>
      <c r="C599" s="9"/>
      <c r="D599" s="9"/>
      <c r="E599" s="9"/>
      <c r="F599" s="1"/>
      <c r="G599" s="1"/>
      <c r="H599" s="19"/>
      <c r="I599" s="1"/>
      <c r="J599" s="1"/>
      <c r="K599" s="19"/>
      <c r="L599" s="1"/>
      <c r="M599" s="9"/>
      <c r="N599" s="1"/>
      <c r="O599" s="1"/>
      <c r="P599" s="1"/>
      <c r="Q599" s="1"/>
      <c r="R599" s="1"/>
    </row>
    <row r="600" spans="2:18">
      <c r="B600" s="1"/>
      <c r="C600" s="9"/>
      <c r="D600" s="9"/>
      <c r="E600" s="9"/>
      <c r="F600" s="1"/>
      <c r="G600" s="1"/>
      <c r="H600" s="19"/>
      <c r="I600" s="1"/>
      <c r="J600" s="1"/>
      <c r="K600" s="19"/>
      <c r="L600" s="1"/>
      <c r="M600" s="9"/>
      <c r="N600" s="1"/>
      <c r="O600" s="1"/>
      <c r="P600" s="1"/>
      <c r="Q600" s="1"/>
      <c r="R600" s="1"/>
    </row>
    <row r="601" spans="2:18">
      <c r="B601" s="1"/>
      <c r="C601" s="9"/>
      <c r="D601" s="9"/>
      <c r="E601" s="9"/>
      <c r="F601" s="1"/>
      <c r="G601" s="1"/>
      <c r="H601" s="19"/>
      <c r="I601" s="1"/>
      <c r="J601" s="1"/>
      <c r="K601" s="19"/>
      <c r="L601" s="1"/>
      <c r="M601" s="9"/>
      <c r="N601" s="1"/>
      <c r="O601" s="1"/>
      <c r="P601" s="1"/>
      <c r="Q601" s="1"/>
      <c r="R601" s="1"/>
    </row>
    <row r="602" spans="2:18">
      <c r="B602" s="1"/>
      <c r="C602" s="9"/>
      <c r="D602" s="9"/>
      <c r="E602" s="9"/>
      <c r="F602" s="1"/>
      <c r="G602" s="1"/>
      <c r="H602" s="19"/>
      <c r="I602" s="1"/>
      <c r="J602" s="1"/>
      <c r="K602" s="19"/>
      <c r="L602" s="1"/>
      <c r="M602" s="9"/>
      <c r="N602" s="1"/>
      <c r="O602" s="1"/>
      <c r="P602" s="1"/>
      <c r="Q602" s="1"/>
      <c r="R602" s="1"/>
    </row>
    <row r="603" spans="2:18">
      <c r="B603" s="1"/>
      <c r="C603" s="9"/>
      <c r="D603" s="9"/>
      <c r="E603" s="9"/>
      <c r="F603" s="1"/>
      <c r="G603" s="1"/>
      <c r="H603" s="19"/>
      <c r="I603" s="1"/>
      <c r="J603" s="1"/>
      <c r="K603" s="19"/>
      <c r="L603" s="1"/>
      <c r="M603" s="9"/>
      <c r="N603" s="1"/>
      <c r="O603" s="1"/>
      <c r="P603" s="1"/>
      <c r="Q603" s="1"/>
      <c r="R603" s="1"/>
    </row>
    <row r="604" spans="2:18">
      <c r="B604" s="1"/>
      <c r="C604" s="9"/>
      <c r="D604" s="9"/>
      <c r="E604" s="9"/>
      <c r="F604" s="1"/>
      <c r="G604" s="1"/>
      <c r="H604" s="19"/>
      <c r="I604" s="1"/>
      <c r="J604" s="1"/>
      <c r="K604" s="19"/>
      <c r="L604" s="1"/>
      <c r="M604" s="9"/>
      <c r="N604" s="1"/>
      <c r="O604" s="1"/>
      <c r="P604" s="1"/>
      <c r="Q604" s="1"/>
      <c r="R604" s="1"/>
    </row>
    <row r="605" spans="2:18">
      <c r="B605" s="1"/>
      <c r="C605" s="9"/>
      <c r="D605" s="9"/>
      <c r="E605" s="9"/>
      <c r="F605" s="1"/>
      <c r="G605" s="1"/>
      <c r="H605" s="19"/>
      <c r="I605" s="1"/>
      <c r="J605" s="1"/>
      <c r="K605" s="19"/>
      <c r="L605" s="1"/>
      <c r="M605" s="9"/>
      <c r="N605" s="1"/>
      <c r="O605" s="1"/>
      <c r="P605" s="1"/>
      <c r="Q605" s="1"/>
      <c r="R605" s="1"/>
    </row>
    <row r="606" spans="2:18">
      <c r="B606" s="1"/>
      <c r="C606" s="9"/>
      <c r="D606" s="9"/>
      <c r="E606" s="9"/>
      <c r="F606" s="1"/>
      <c r="G606" s="1"/>
      <c r="H606" s="19"/>
      <c r="I606" s="1"/>
      <c r="J606" s="1"/>
      <c r="K606" s="19"/>
      <c r="L606" s="1"/>
      <c r="M606" s="9"/>
      <c r="N606" s="1"/>
      <c r="O606" s="1"/>
      <c r="P606" s="1"/>
      <c r="Q606" s="1"/>
      <c r="R606" s="1"/>
    </row>
    <row r="607" spans="2:18">
      <c r="B607" s="1"/>
      <c r="C607" s="9"/>
      <c r="D607" s="9"/>
      <c r="E607" s="9"/>
      <c r="F607" s="1"/>
      <c r="G607" s="1"/>
      <c r="H607" s="19"/>
      <c r="I607" s="1"/>
      <c r="J607" s="1"/>
      <c r="K607" s="19"/>
      <c r="L607" s="1"/>
      <c r="M607" s="9"/>
      <c r="N607" s="1"/>
      <c r="O607" s="1"/>
      <c r="P607" s="1"/>
      <c r="Q607" s="1"/>
      <c r="R607" s="1"/>
    </row>
    <row r="608" spans="2:18">
      <c r="B608" s="1"/>
      <c r="C608" s="9"/>
      <c r="D608" s="9"/>
      <c r="E608" s="9"/>
      <c r="F608" s="1"/>
      <c r="G608" s="1"/>
      <c r="H608" s="19"/>
      <c r="I608" s="1"/>
      <c r="J608" s="1"/>
      <c r="K608" s="19"/>
      <c r="L608" s="1"/>
      <c r="M608" s="9"/>
      <c r="N608" s="1"/>
      <c r="O608" s="1"/>
      <c r="P608" s="1"/>
      <c r="Q608" s="1"/>
      <c r="R608" s="1"/>
    </row>
    <row r="609" spans="2:18">
      <c r="B609" s="1"/>
      <c r="C609" s="9"/>
      <c r="D609" s="9"/>
      <c r="E609" s="9"/>
      <c r="F609" s="1"/>
      <c r="G609" s="1"/>
      <c r="H609" s="19"/>
      <c r="I609" s="1"/>
      <c r="J609" s="1"/>
      <c r="K609" s="19"/>
      <c r="L609" s="1"/>
      <c r="M609" s="9"/>
      <c r="N609" s="1"/>
      <c r="O609" s="1"/>
      <c r="P609" s="1"/>
      <c r="Q609" s="1"/>
      <c r="R609" s="1"/>
    </row>
    <row r="610" spans="2:18">
      <c r="B610" s="1"/>
      <c r="C610" s="9"/>
      <c r="D610" s="9"/>
      <c r="E610" s="9"/>
      <c r="F610" s="1"/>
      <c r="G610" s="1"/>
      <c r="H610" s="19"/>
      <c r="I610" s="1"/>
      <c r="J610" s="1"/>
      <c r="K610" s="19"/>
      <c r="L610" s="1"/>
      <c r="M610" s="9"/>
      <c r="N610" s="1"/>
      <c r="O610" s="1"/>
      <c r="P610" s="1"/>
      <c r="Q610" s="1"/>
      <c r="R610" s="1"/>
    </row>
    <row r="611" spans="2:18">
      <c r="B611" s="1"/>
      <c r="C611" s="9"/>
      <c r="D611" s="9"/>
      <c r="E611" s="9"/>
      <c r="F611" s="1"/>
      <c r="G611" s="1"/>
      <c r="H611" s="19"/>
      <c r="I611" s="1"/>
      <c r="J611" s="1"/>
      <c r="K611" s="19"/>
      <c r="L611" s="1"/>
      <c r="M611" s="9"/>
      <c r="N611" s="1"/>
      <c r="O611" s="1"/>
      <c r="P611" s="1"/>
      <c r="Q611" s="1"/>
      <c r="R611" s="1"/>
    </row>
    <row r="612" spans="2:18">
      <c r="B612" s="1"/>
      <c r="C612" s="9"/>
      <c r="D612" s="9"/>
      <c r="E612" s="9"/>
      <c r="F612" s="1"/>
      <c r="G612" s="1"/>
      <c r="H612" s="19"/>
      <c r="I612" s="1"/>
      <c r="J612" s="1"/>
      <c r="K612" s="19"/>
      <c r="L612" s="1"/>
      <c r="M612" s="9"/>
      <c r="N612" s="1"/>
      <c r="O612" s="1"/>
      <c r="P612" s="1"/>
      <c r="Q612" s="1"/>
      <c r="R612" s="1"/>
    </row>
    <row r="613" spans="2:18">
      <c r="B613" s="1"/>
      <c r="C613" s="9"/>
      <c r="D613" s="9"/>
      <c r="E613" s="9"/>
      <c r="F613" s="1"/>
      <c r="G613" s="1"/>
      <c r="H613" s="19"/>
      <c r="I613" s="1"/>
      <c r="J613" s="1"/>
      <c r="K613" s="19"/>
      <c r="L613" s="1"/>
      <c r="M613" s="9"/>
      <c r="N613" s="1"/>
      <c r="O613" s="1"/>
      <c r="P613" s="1"/>
      <c r="Q613" s="1"/>
      <c r="R613" s="1"/>
    </row>
    <row r="614" spans="2:18">
      <c r="B614" s="1"/>
      <c r="C614" s="9"/>
      <c r="D614" s="9"/>
      <c r="E614" s="9"/>
      <c r="F614" s="1"/>
      <c r="G614" s="1"/>
      <c r="H614" s="19"/>
      <c r="I614" s="1"/>
      <c r="J614" s="1"/>
      <c r="K614" s="19"/>
      <c r="L614" s="1"/>
      <c r="M614" s="9"/>
      <c r="N614" s="1"/>
      <c r="O614" s="1"/>
      <c r="P614" s="1"/>
      <c r="Q614" s="1"/>
      <c r="R614" s="1"/>
    </row>
    <row r="615" spans="2:18">
      <c r="B615" s="1"/>
      <c r="C615" s="9"/>
      <c r="D615" s="9"/>
      <c r="E615" s="9"/>
      <c r="F615" s="1"/>
      <c r="G615" s="1"/>
      <c r="H615" s="19"/>
      <c r="I615" s="1"/>
      <c r="J615" s="1"/>
      <c r="K615" s="19"/>
      <c r="L615" s="1"/>
      <c r="M615" s="9"/>
      <c r="N615" s="1"/>
      <c r="O615" s="1"/>
      <c r="P615" s="1"/>
      <c r="Q615" s="1"/>
      <c r="R615" s="1"/>
    </row>
    <row r="616" spans="2:18">
      <c r="B616" s="1"/>
      <c r="C616" s="9"/>
      <c r="D616" s="9"/>
      <c r="E616" s="9"/>
      <c r="F616" s="1"/>
      <c r="G616" s="1"/>
      <c r="H616" s="19"/>
      <c r="I616" s="1"/>
      <c r="J616" s="1"/>
      <c r="K616" s="19"/>
      <c r="L616" s="1"/>
      <c r="M616" s="9"/>
      <c r="N616" s="1"/>
      <c r="O616" s="1"/>
      <c r="P616" s="1"/>
      <c r="Q616" s="1"/>
      <c r="R616" s="1"/>
    </row>
    <row r="617" spans="2:18">
      <c r="B617" s="1"/>
      <c r="C617" s="9"/>
      <c r="D617" s="9"/>
      <c r="E617" s="9"/>
      <c r="F617" s="1"/>
      <c r="G617" s="1"/>
      <c r="H617" s="19"/>
      <c r="I617" s="1"/>
      <c r="J617" s="1"/>
      <c r="K617" s="19"/>
      <c r="L617" s="1"/>
      <c r="M617" s="9"/>
      <c r="N617" s="1"/>
      <c r="O617" s="1"/>
      <c r="P617" s="1"/>
      <c r="Q617" s="1"/>
      <c r="R617" s="1"/>
    </row>
    <row r="618" spans="2:18">
      <c r="B618" s="1"/>
      <c r="C618" s="9"/>
      <c r="D618" s="9"/>
      <c r="E618" s="9"/>
      <c r="F618" s="1"/>
      <c r="G618" s="1"/>
      <c r="H618" s="19"/>
      <c r="I618" s="1"/>
      <c r="J618" s="1"/>
      <c r="K618" s="19"/>
      <c r="L618" s="1"/>
      <c r="M618" s="9"/>
      <c r="N618" s="1"/>
      <c r="O618" s="1"/>
      <c r="P618" s="1"/>
      <c r="Q618" s="1"/>
      <c r="R618" s="1"/>
    </row>
    <row r="619" spans="2:18">
      <c r="B619" s="1"/>
      <c r="C619" s="9"/>
      <c r="D619" s="9"/>
      <c r="E619" s="9"/>
      <c r="F619" s="1"/>
      <c r="G619" s="1"/>
      <c r="H619" s="19"/>
      <c r="I619" s="1"/>
      <c r="J619" s="1"/>
      <c r="K619" s="19"/>
      <c r="L619" s="1"/>
      <c r="M619" s="9"/>
      <c r="N619" s="1"/>
      <c r="O619" s="1"/>
      <c r="P619" s="1"/>
      <c r="Q619" s="1"/>
      <c r="R619" s="1"/>
    </row>
    <row r="620" spans="2:18">
      <c r="B620" s="1"/>
      <c r="C620" s="9"/>
      <c r="D620" s="9"/>
      <c r="E620" s="9"/>
      <c r="F620" s="1"/>
      <c r="G620" s="1"/>
      <c r="H620" s="19"/>
      <c r="I620" s="1"/>
      <c r="J620" s="1"/>
      <c r="K620" s="19"/>
      <c r="L620" s="1"/>
      <c r="M620" s="9"/>
      <c r="N620" s="1"/>
      <c r="O620" s="1"/>
      <c r="P620" s="1"/>
      <c r="Q620" s="1"/>
      <c r="R620" s="1"/>
    </row>
    <row r="621" spans="2:18">
      <c r="B621" s="1"/>
      <c r="C621" s="9"/>
      <c r="D621" s="9"/>
      <c r="E621" s="9"/>
      <c r="F621" s="1"/>
      <c r="G621" s="1"/>
      <c r="H621" s="19"/>
      <c r="I621" s="1"/>
      <c r="J621" s="1"/>
      <c r="K621" s="19"/>
      <c r="L621" s="1"/>
      <c r="M621" s="9"/>
      <c r="N621" s="1"/>
      <c r="O621" s="1"/>
      <c r="P621" s="1"/>
      <c r="Q621" s="1"/>
      <c r="R621" s="1"/>
    </row>
    <row r="622" spans="2:18">
      <c r="B622" s="1"/>
      <c r="C622" s="9"/>
      <c r="D622" s="9"/>
      <c r="E622" s="9"/>
      <c r="F622" s="1"/>
      <c r="G622" s="1"/>
      <c r="H622" s="19"/>
      <c r="I622" s="1"/>
      <c r="J622" s="1"/>
      <c r="K622" s="19"/>
      <c r="L622" s="1"/>
      <c r="M622" s="9"/>
      <c r="N622" s="1"/>
      <c r="O622" s="1"/>
      <c r="P622" s="1"/>
      <c r="Q622" s="1"/>
      <c r="R622" s="1"/>
    </row>
    <row r="623" spans="2:18">
      <c r="B623" s="1"/>
      <c r="C623" s="9"/>
      <c r="D623" s="9"/>
      <c r="E623" s="9"/>
      <c r="F623" s="1"/>
      <c r="G623" s="1"/>
      <c r="H623" s="19"/>
      <c r="I623" s="1"/>
      <c r="J623" s="1"/>
      <c r="K623" s="19"/>
      <c r="L623" s="1"/>
      <c r="M623" s="9"/>
      <c r="N623" s="1"/>
      <c r="O623" s="1"/>
      <c r="P623" s="1"/>
      <c r="Q623" s="1"/>
      <c r="R623" s="1"/>
    </row>
    <row r="624" spans="2:18">
      <c r="B624" s="1"/>
      <c r="C624" s="9"/>
      <c r="D624" s="9"/>
      <c r="E624" s="9"/>
      <c r="F624" s="1"/>
      <c r="G624" s="1"/>
      <c r="H624" s="19"/>
      <c r="I624" s="1"/>
      <c r="J624" s="1"/>
      <c r="K624" s="19"/>
      <c r="L624" s="1"/>
      <c r="M624" s="9"/>
      <c r="N624" s="1"/>
      <c r="O624" s="1"/>
      <c r="P624" s="1"/>
      <c r="Q624" s="1"/>
      <c r="R624" s="1"/>
    </row>
    <row r="625" spans="2:18">
      <c r="B625" s="1"/>
      <c r="C625" s="9"/>
      <c r="D625" s="9"/>
      <c r="E625" s="9"/>
      <c r="F625" s="1"/>
      <c r="G625" s="1"/>
      <c r="H625" s="19"/>
      <c r="I625" s="1"/>
      <c r="J625" s="1"/>
      <c r="K625" s="19"/>
      <c r="L625" s="1"/>
      <c r="M625" s="9"/>
      <c r="N625" s="1"/>
      <c r="O625" s="1"/>
      <c r="P625" s="1"/>
      <c r="Q625" s="1"/>
      <c r="R625" s="1"/>
    </row>
    <row r="626" spans="2:18">
      <c r="B626" s="1"/>
      <c r="C626" s="9"/>
      <c r="D626" s="9"/>
      <c r="E626" s="9"/>
      <c r="F626" s="1"/>
      <c r="G626" s="1"/>
      <c r="H626" s="19"/>
      <c r="I626" s="1"/>
      <c r="J626" s="1"/>
      <c r="K626" s="19"/>
      <c r="L626" s="1"/>
      <c r="M626" s="9"/>
      <c r="N626" s="1"/>
      <c r="O626" s="1"/>
      <c r="P626" s="1"/>
      <c r="Q626" s="1"/>
      <c r="R626" s="1"/>
    </row>
    <row r="627" spans="2:18">
      <c r="B627" s="1"/>
      <c r="C627" s="9"/>
      <c r="D627" s="9"/>
      <c r="E627" s="9"/>
      <c r="F627" s="1"/>
      <c r="G627" s="1"/>
      <c r="H627" s="19"/>
      <c r="I627" s="1"/>
      <c r="J627" s="1"/>
      <c r="K627" s="19"/>
      <c r="L627" s="1"/>
      <c r="M627" s="9"/>
      <c r="N627" s="1"/>
      <c r="O627" s="1"/>
      <c r="P627" s="1"/>
      <c r="Q627" s="1"/>
      <c r="R627" s="1"/>
    </row>
    <row r="628" spans="2:18">
      <c r="B628" s="1"/>
      <c r="C628" s="9"/>
      <c r="D628" s="9"/>
      <c r="E628" s="9"/>
      <c r="F628" s="1"/>
      <c r="G628" s="1"/>
      <c r="H628" s="19"/>
      <c r="I628" s="1"/>
      <c r="J628" s="1"/>
      <c r="K628" s="19"/>
      <c r="L628" s="1"/>
      <c r="M628" s="9"/>
      <c r="N628" s="1"/>
      <c r="O628" s="1"/>
      <c r="P628" s="1"/>
      <c r="Q628" s="1"/>
      <c r="R628" s="1"/>
    </row>
    <row r="629" spans="2:18">
      <c r="B629" s="1"/>
      <c r="C629" s="9"/>
      <c r="D629" s="9"/>
      <c r="E629" s="9"/>
      <c r="F629" s="1"/>
      <c r="G629" s="1"/>
      <c r="H629" s="19"/>
      <c r="I629" s="1"/>
      <c r="J629" s="1"/>
      <c r="K629" s="19"/>
      <c r="L629" s="1"/>
      <c r="M629" s="9"/>
      <c r="N629" s="1"/>
      <c r="O629" s="1"/>
      <c r="P629" s="1"/>
      <c r="Q629" s="1"/>
      <c r="R629" s="1"/>
    </row>
    <row r="630" spans="2:18">
      <c r="B630" s="1"/>
      <c r="C630" s="9"/>
      <c r="D630" s="9"/>
      <c r="E630" s="9"/>
      <c r="F630" s="1"/>
      <c r="G630" s="1"/>
      <c r="H630" s="19"/>
      <c r="I630" s="1"/>
      <c r="J630" s="1"/>
      <c r="K630" s="19"/>
      <c r="L630" s="1"/>
      <c r="M630" s="9"/>
      <c r="N630" s="1"/>
      <c r="O630" s="1"/>
      <c r="P630" s="1"/>
      <c r="Q630" s="1"/>
      <c r="R630" s="1"/>
    </row>
    <row r="631" spans="2:18">
      <c r="B631" s="1"/>
      <c r="C631" s="9"/>
      <c r="D631" s="9"/>
      <c r="E631" s="9"/>
      <c r="F631" s="1"/>
      <c r="G631" s="1"/>
      <c r="H631" s="19"/>
      <c r="I631" s="1"/>
      <c r="J631" s="1"/>
      <c r="K631" s="19"/>
      <c r="L631" s="1"/>
      <c r="M631" s="9"/>
      <c r="N631" s="1"/>
      <c r="O631" s="1"/>
      <c r="P631" s="1"/>
      <c r="Q631" s="1"/>
      <c r="R631" s="1"/>
    </row>
    <row r="632" spans="2:18">
      <c r="B632" s="1"/>
      <c r="C632" s="9"/>
      <c r="D632" s="9"/>
      <c r="E632" s="9"/>
      <c r="F632" s="1"/>
      <c r="G632" s="1"/>
      <c r="H632" s="19"/>
      <c r="I632" s="1"/>
      <c r="J632" s="1"/>
      <c r="K632" s="19"/>
      <c r="L632" s="1"/>
      <c r="M632" s="9"/>
      <c r="N632" s="1"/>
      <c r="O632" s="1"/>
      <c r="P632" s="1"/>
      <c r="Q632" s="1"/>
      <c r="R632" s="1"/>
    </row>
    <row r="633" spans="2:18">
      <c r="B633" s="1"/>
      <c r="C633" s="9"/>
      <c r="D633" s="9"/>
      <c r="E633" s="9"/>
      <c r="F633" s="1"/>
      <c r="G633" s="1"/>
      <c r="H633" s="19"/>
      <c r="I633" s="1"/>
      <c r="J633" s="1"/>
      <c r="K633" s="19"/>
      <c r="L633" s="1"/>
      <c r="M633" s="9"/>
      <c r="N633" s="1"/>
      <c r="O633" s="1"/>
      <c r="P633" s="1"/>
      <c r="Q633" s="1"/>
      <c r="R633" s="1"/>
    </row>
    <row r="634" spans="2:18">
      <c r="B634" s="1"/>
      <c r="C634" s="9"/>
      <c r="D634" s="9"/>
      <c r="E634" s="9"/>
      <c r="F634" s="1"/>
      <c r="G634" s="1"/>
      <c r="H634" s="19"/>
      <c r="I634" s="1"/>
      <c r="J634" s="1"/>
      <c r="K634" s="19"/>
      <c r="L634" s="1"/>
      <c r="M634" s="9"/>
      <c r="N634" s="1"/>
      <c r="O634" s="1"/>
      <c r="P634" s="1"/>
      <c r="Q634" s="1"/>
      <c r="R634" s="1"/>
    </row>
    <row r="635" spans="2:18">
      <c r="B635" s="1"/>
      <c r="C635" s="9"/>
      <c r="D635" s="9"/>
      <c r="E635" s="9"/>
      <c r="F635" s="1"/>
      <c r="G635" s="1"/>
      <c r="H635" s="19"/>
      <c r="I635" s="1"/>
      <c r="J635" s="1"/>
      <c r="K635" s="19"/>
      <c r="L635" s="1"/>
      <c r="M635" s="9"/>
      <c r="N635" s="1"/>
      <c r="O635" s="1"/>
      <c r="P635" s="1"/>
      <c r="Q635" s="1"/>
      <c r="R635" s="1"/>
    </row>
    <row r="636" spans="2:18">
      <c r="B636" s="1"/>
      <c r="C636" s="9"/>
      <c r="D636" s="9"/>
      <c r="E636" s="9"/>
      <c r="F636" s="1"/>
      <c r="G636" s="1"/>
      <c r="H636" s="19"/>
      <c r="I636" s="1"/>
      <c r="J636" s="1"/>
      <c r="K636" s="19"/>
      <c r="L636" s="1"/>
      <c r="M636" s="9"/>
      <c r="N636" s="1"/>
      <c r="O636" s="1"/>
      <c r="P636" s="1"/>
      <c r="Q636" s="1"/>
      <c r="R636" s="1"/>
    </row>
    <row r="637" spans="2:18">
      <c r="B637" s="1"/>
      <c r="C637" s="9"/>
      <c r="D637" s="9"/>
      <c r="E637" s="9"/>
      <c r="F637" s="1"/>
      <c r="G637" s="1"/>
      <c r="H637" s="19"/>
      <c r="I637" s="1"/>
      <c r="J637" s="1"/>
      <c r="K637" s="19"/>
      <c r="L637" s="1"/>
      <c r="M637" s="9"/>
      <c r="N637" s="1"/>
      <c r="O637" s="1"/>
      <c r="P637" s="1"/>
      <c r="Q637" s="1"/>
      <c r="R637" s="1"/>
    </row>
    <row r="638" spans="2:18">
      <c r="B638" s="1"/>
      <c r="C638" s="9"/>
      <c r="D638" s="9"/>
      <c r="E638" s="9"/>
      <c r="F638" s="1"/>
      <c r="G638" s="1"/>
      <c r="H638" s="19"/>
      <c r="I638" s="1"/>
      <c r="J638" s="1"/>
      <c r="K638" s="19"/>
      <c r="L638" s="1"/>
      <c r="M638" s="9"/>
      <c r="N638" s="1"/>
      <c r="O638" s="1"/>
      <c r="P638" s="1"/>
      <c r="Q638" s="1"/>
      <c r="R638" s="1"/>
    </row>
    <row r="639" spans="2:18">
      <c r="B639" s="1"/>
      <c r="C639" s="9"/>
      <c r="D639" s="9"/>
      <c r="E639" s="9"/>
      <c r="F639" s="1"/>
      <c r="G639" s="1"/>
      <c r="H639" s="19"/>
      <c r="I639" s="1"/>
      <c r="J639" s="1"/>
      <c r="K639" s="19"/>
      <c r="L639" s="1"/>
      <c r="M639" s="9"/>
      <c r="N639" s="1"/>
      <c r="O639" s="1"/>
      <c r="P639" s="1"/>
      <c r="Q639" s="1"/>
      <c r="R639" s="1"/>
    </row>
    <row r="640" spans="2:18">
      <c r="B640" s="1"/>
      <c r="C640" s="9"/>
      <c r="D640" s="9"/>
      <c r="E640" s="9"/>
      <c r="F640" s="1"/>
      <c r="G640" s="1"/>
      <c r="H640" s="19"/>
      <c r="I640" s="1"/>
      <c r="J640" s="1"/>
      <c r="K640" s="19"/>
      <c r="L640" s="1"/>
      <c r="M640" s="9"/>
      <c r="N640" s="1"/>
      <c r="O640" s="1"/>
      <c r="P640" s="1"/>
      <c r="Q640" s="1"/>
      <c r="R640" s="1"/>
    </row>
    <row r="641" spans="2:18">
      <c r="B641" s="1"/>
      <c r="C641" s="9"/>
      <c r="D641" s="9"/>
      <c r="E641" s="9"/>
      <c r="F641" s="1"/>
      <c r="G641" s="1"/>
      <c r="H641" s="19"/>
      <c r="I641" s="1"/>
      <c r="J641" s="1"/>
      <c r="K641" s="19"/>
      <c r="L641" s="1"/>
      <c r="M641" s="9"/>
      <c r="N641" s="1"/>
      <c r="O641" s="1"/>
      <c r="P641" s="1"/>
      <c r="Q641" s="1"/>
      <c r="R641" s="1"/>
    </row>
    <row r="642" spans="2:18">
      <c r="B642" s="1"/>
      <c r="C642" s="9"/>
      <c r="D642" s="9"/>
      <c r="E642" s="9"/>
      <c r="F642" s="1"/>
      <c r="G642" s="1"/>
      <c r="H642" s="19"/>
      <c r="I642" s="1"/>
      <c r="J642" s="1"/>
      <c r="K642" s="19"/>
      <c r="L642" s="1"/>
      <c r="M642" s="9"/>
      <c r="N642" s="1"/>
      <c r="O642" s="1"/>
      <c r="P642" s="1"/>
      <c r="Q642" s="1"/>
      <c r="R642" s="1"/>
    </row>
    <row r="643" spans="2:18">
      <c r="B643" s="1"/>
      <c r="C643" s="9"/>
      <c r="D643" s="9"/>
      <c r="E643" s="9"/>
      <c r="F643" s="1"/>
      <c r="G643" s="1"/>
      <c r="H643" s="19"/>
      <c r="I643" s="1"/>
      <c r="J643" s="1"/>
      <c r="K643" s="19"/>
      <c r="L643" s="1"/>
      <c r="M643" s="9"/>
      <c r="N643" s="1"/>
      <c r="O643" s="1"/>
      <c r="P643" s="1"/>
      <c r="Q643" s="1"/>
      <c r="R643" s="1"/>
    </row>
    <row r="644" spans="2:18">
      <c r="B644" s="1"/>
      <c r="C644" s="9"/>
      <c r="D644" s="9"/>
      <c r="E644" s="9"/>
      <c r="F644" s="1"/>
      <c r="G644" s="1"/>
      <c r="H644" s="19"/>
      <c r="I644" s="1"/>
      <c r="J644" s="1"/>
      <c r="K644" s="19"/>
      <c r="L644" s="1"/>
      <c r="M644" s="9"/>
      <c r="N644" s="1"/>
      <c r="O644" s="1"/>
      <c r="P644" s="1"/>
      <c r="Q644" s="1"/>
      <c r="R644" s="1"/>
    </row>
    <row r="645" spans="2:18">
      <c r="B645" s="1"/>
      <c r="C645" s="9"/>
      <c r="D645" s="9"/>
      <c r="E645" s="9"/>
      <c r="F645" s="1"/>
      <c r="G645" s="1"/>
      <c r="H645" s="19"/>
      <c r="I645" s="1"/>
      <c r="J645" s="1"/>
      <c r="K645" s="19"/>
      <c r="L645" s="1"/>
      <c r="M645" s="9"/>
      <c r="N645" s="1"/>
      <c r="O645" s="1"/>
      <c r="P645" s="1"/>
      <c r="Q645" s="1"/>
      <c r="R645" s="1"/>
    </row>
    <row r="646" spans="2:18">
      <c r="B646" s="1"/>
      <c r="C646" s="9"/>
      <c r="D646" s="9"/>
      <c r="E646" s="9"/>
      <c r="F646" s="1"/>
      <c r="G646" s="1"/>
      <c r="H646" s="19"/>
      <c r="I646" s="1"/>
      <c r="J646" s="1"/>
      <c r="K646" s="19"/>
      <c r="L646" s="1"/>
      <c r="M646" s="9"/>
      <c r="N646" s="1"/>
      <c r="O646" s="1"/>
      <c r="P646" s="1"/>
      <c r="Q646" s="1"/>
      <c r="R646" s="1"/>
    </row>
    <row r="647" spans="2:18">
      <c r="B647" s="1"/>
      <c r="C647" s="9"/>
      <c r="D647" s="9"/>
      <c r="E647" s="9"/>
      <c r="F647" s="1"/>
      <c r="G647" s="1"/>
      <c r="H647" s="19"/>
      <c r="I647" s="1"/>
      <c r="J647" s="1"/>
      <c r="K647" s="19"/>
      <c r="L647" s="1"/>
      <c r="M647" s="9"/>
      <c r="N647" s="1"/>
      <c r="O647" s="1"/>
      <c r="P647" s="1"/>
      <c r="Q647" s="1"/>
      <c r="R647" s="1"/>
    </row>
    <row r="648" spans="2:18">
      <c r="B648" s="1"/>
      <c r="C648" s="9"/>
      <c r="D648" s="9"/>
      <c r="E648" s="9"/>
      <c r="F648" s="1"/>
      <c r="G648" s="1"/>
      <c r="H648" s="19"/>
      <c r="I648" s="1"/>
      <c r="J648" s="1"/>
      <c r="K648" s="19"/>
      <c r="L648" s="1"/>
      <c r="M648" s="9"/>
      <c r="N648" s="1"/>
      <c r="O648" s="1"/>
      <c r="P648" s="1"/>
      <c r="Q648" s="1"/>
      <c r="R648" s="1"/>
    </row>
    <row r="649" spans="2:18">
      <c r="B649" s="1"/>
      <c r="C649" s="9"/>
      <c r="D649" s="9"/>
      <c r="E649" s="9"/>
      <c r="F649" s="1"/>
      <c r="G649" s="1"/>
      <c r="H649" s="19"/>
      <c r="I649" s="1"/>
      <c r="J649" s="1"/>
      <c r="K649" s="19"/>
      <c r="L649" s="1"/>
      <c r="M649" s="9"/>
      <c r="N649" s="1"/>
      <c r="O649" s="1"/>
      <c r="P649" s="1"/>
      <c r="Q649" s="1"/>
      <c r="R649" s="1"/>
    </row>
    <row r="650" spans="2:18">
      <c r="B650" s="1"/>
      <c r="C650" s="9"/>
      <c r="D650" s="9"/>
      <c r="E650" s="9"/>
      <c r="F650" s="1"/>
      <c r="G650" s="1"/>
      <c r="H650" s="19"/>
      <c r="I650" s="1"/>
      <c r="J650" s="1"/>
      <c r="K650" s="19"/>
      <c r="L650" s="1"/>
      <c r="M650" s="9"/>
      <c r="N650" s="1"/>
      <c r="O650" s="1"/>
      <c r="P650" s="1"/>
      <c r="Q650" s="1"/>
      <c r="R650" s="1"/>
    </row>
    <row r="651" spans="2:18">
      <c r="B651" s="1"/>
      <c r="C651" s="9"/>
      <c r="D651" s="9"/>
      <c r="E651" s="9"/>
      <c r="F651" s="1"/>
      <c r="G651" s="1"/>
      <c r="H651" s="19"/>
      <c r="I651" s="1"/>
      <c r="J651" s="1"/>
      <c r="K651" s="19"/>
      <c r="L651" s="1"/>
      <c r="M651" s="9"/>
      <c r="N651" s="1"/>
      <c r="O651" s="1"/>
      <c r="P651" s="1"/>
      <c r="Q651" s="1"/>
      <c r="R651" s="1"/>
    </row>
    <row r="652" spans="2:18">
      <c r="B652" s="1"/>
      <c r="C652" s="9"/>
      <c r="D652" s="9"/>
      <c r="E652" s="9"/>
      <c r="F652" s="1"/>
      <c r="G652" s="1"/>
      <c r="H652" s="19"/>
      <c r="I652" s="1"/>
      <c r="J652" s="1"/>
      <c r="K652" s="19"/>
      <c r="L652" s="1"/>
      <c r="M652" s="9"/>
      <c r="N652" s="1"/>
      <c r="O652" s="1"/>
      <c r="P652" s="1"/>
      <c r="Q652" s="1"/>
      <c r="R652" s="1"/>
    </row>
    <row r="653" spans="2:18">
      <c r="B653" s="1"/>
      <c r="C653" s="9"/>
      <c r="D653" s="9"/>
      <c r="E653" s="9"/>
      <c r="F653" s="1"/>
      <c r="G653" s="1"/>
      <c r="H653" s="19"/>
      <c r="I653" s="1"/>
      <c r="J653" s="1"/>
      <c r="K653" s="19"/>
      <c r="L653" s="1"/>
      <c r="M653" s="9"/>
      <c r="N653" s="1"/>
      <c r="O653" s="1"/>
      <c r="P653" s="1"/>
      <c r="Q653" s="1"/>
      <c r="R653" s="1"/>
    </row>
    <row r="654" spans="2:18">
      <c r="B654" s="1"/>
      <c r="C654" s="9"/>
      <c r="D654" s="9"/>
      <c r="E654" s="9"/>
      <c r="F654" s="1"/>
      <c r="G654" s="1"/>
      <c r="H654" s="19"/>
      <c r="I654" s="1"/>
      <c r="J654" s="1"/>
      <c r="K654" s="19"/>
      <c r="L654" s="1"/>
      <c r="M654" s="9"/>
      <c r="N654" s="1"/>
      <c r="O654" s="1"/>
      <c r="P654" s="1"/>
      <c r="Q654" s="1"/>
      <c r="R654" s="1"/>
    </row>
    <row r="655" spans="2:18">
      <c r="B655" s="1"/>
      <c r="C655" s="9"/>
      <c r="D655" s="9"/>
      <c r="E655" s="9"/>
      <c r="F655" s="1"/>
      <c r="G655" s="1"/>
      <c r="H655" s="19"/>
      <c r="I655" s="1"/>
      <c r="J655" s="1"/>
      <c r="K655" s="19"/>
      <c r="L655" s="1"/>
      <c r="M655" s="9"/>
      <c r="N655" s="1"/>
      <c r="O655" s="1"/>
      <c r="P655" s="1"/>
      <c r="Q655" s="1"/>
      <c r="R655" s="1"/>
    </row>
    <row r="656" spans="2:18">
      <c r="B656" s="1"/>
      <c r="C656" s="9"/>
      <c r="D656" s="9"/>
      <c r="E656" s="9"/>
      <c r="F656" s="1"/>
      <c r="G656" s="1"/>
      <c r="H656" s="19"/>
      <c r="I656" s="1"/>
      <c r="J656" s="1"/>
      <c r="K656" s="19"/>
      <c r="L656" s="1"/>
      <c r="M656" s="9"/>
      <c r="N656" s="1"/>
      <c r="O656" s="1"/>
      <c r="P656" s="1"/>
      <c r="Q656" s="1"/>
      <c r="R656" s="1"/>
    </row>
    <row r="657" spans="2:18">
      <c r="B657" s="1"/>
      <c r="C657" s="9"/>
      <c r="D657" s="9"/>
      <c r="E657" s="9"/>
      <c r="F657" s="1"/>
      <c r="G657" s="1"/>
      <c r="H657" s="19"/>
      <c r="I657" s="1"/>
      <c r="J657" s="1"/>
      <c r="K657" s="19"/>
      <c r="L657" s="1"/>
      <c r="M657" s="9"/>
      <c r="N657" s="1"/>
      <c r="O657" s="1"/>
      <c r="P657" s="1"/>
      <c r="Q657" s="1"/>
      <c r="R657" s="1"/>
    </row>
    <row r="658" spans="2:18">
      <c r="B658" s="1"/>
      <c r="C658" s="9"/>
      <c r="D658" s="9"/>
      <c r="E658" s="9"/>
      <c r="F658" s="1"/>
      <c r="G658" s="1"/>
      <c r="H658" s="19"/>
      <c r="I658" s="1"/>
      <c r="J658" s="1"/>
      <c r="K658" s="19"/>
      <c r="L658" s="1"/>
      <c r="M658" s="9"/>
      <c r="N658" s="1"/>
      <c r="O658" s="1"/>
      <c r="P658" s="1"/>
      <c r="Q658" s="1"/>
      <c r="R658" s="1"/>
    </row>
    <row r="659" spans="2:18">
      <c r="B659" s="1"/>
      <c r="C659" s="9"/>
      <c r="D659" s="9"/>
      <c r="E659" s="9"/>
      <c r="F659" s="1"/>
      <c r="G659" s="1"/>
      <c r="H659" s="19"/>
      <c r="I659" s="1"/>
      <c r="J659" s="1"/>
      <c r="K659" s="19"/>
      <c r="L659" s="1"/>
      <c r="M659" s="9"/>
      <c r="N659" s="1"/>
      <c r="O659" s="1"/>
      <c r="P659" s="1"/>
      <c r="Q659" s="1"/>
      <c r="R659" s="1"/>
    </row>
    <row r="660" spans="2:18">
      <c r="B660" s="1"/>
      <c r="C660" s="9"/>
      <c r="D660" s="9"/>
      <c r="E660" s="9"/>
      <c r="F660" s="1"/>
      <c r="G660" s="1"/>
      <c r="H660" s="19"/>
      <c r="I660" s="1"/>
      <c r="J660" s="1"/>
      <c r="K660" s="19"/>
      <c r="L660" s="1"/>
      <c r="M660" s="9"/>
      <c r="N660" s="1"/>
      <c r="O660" s="1"/>
      <c r="P660" s="1"/>
      <c r="Q660" s="1"/>
      <c r="R660" s="1"/>
    </row>
    <row r="661" spans="2:18">
      <c r="B661" s="1"/>
      <c r="C661" s="9"/>
      <c r="D661" s="9"/>
      <c r="E661" s="9"/>
      <c r="F661" s="1"/>
      <c r="G661" s="1"/>
      <c r="H661" s="19"/>
      <c r="I661" s="1"/>
      <c r="J661" s="1"/>
      <c r="K661" s="19"/>
      <c r="L661" s="1"/>
      <c r="M661" s="9"/>
      <c r="N661" s="1"/>
      <c r="O661" s="1"/>
      <c r="P661" s="1"/>
      <c r="Q661" s="1"/>
      <c r="R661" s="1"/>
    </row>
    <row r="662" spans="2:18">
      <c r="B662" s="1"/>
      <c r="C662" s="9"/>
      <c r="D662" s="9"/>
      <c r="E662" s="9"/>
      <c r="F662" s="1"/>
      <c r="G662" s="1"/>
      <c r="H662" s="19"/>
      <c r="I662" s="1"/>
      <c r="J662" s="1"/>
      <c r="K662" s="19"/>
      <c r="L662" s="1"/>
      <c r="M662" s="9"/>
      <c r="N662" s="1"/>
      <c r="O662" s="1"/>
      <c r="P662" s="1"/>
      <c r="Q662" s="1"/>
      <c r="R662" s="1"/>
    </row>
    <row r="663" spans="2:18">
      <c r="B663" s="1"/>
      <c r="C663" s="9"/>
      <c r="D663" s="9"/>
      <c r="E663" s="9"/>
      <c r="F663" s="1"/>
      <c r="G663" s="1"/>
      <c r="H663" s="19"/>
      <c r="I663" s="1"/>
      <c r="J663" s="1"/>
      <c r="K663" s="19"/>
      <c r="L663" s="1"/>
      <c r="M663" s="9"/>
      <c r="N663" s="1"/>
      <c r="O663" s="1"/>
      <c r="P663" s="1"/>
      <c r="Q663" s="1"/>
      <c r="R663" s="1"/>
    </row>
    <row r="664" spans="2:18">
      <c r="B664" s="1"/>
      <c r="C664" s="9"/>
      <c r="D664" s="9"/>
      <c r="E664" s="9"/>
      <c r="F664" s="1"/>
      <c r="G664" s="1"/>
      <c r="H664" s="19"/>
      <c r="I664" s="1"/>
      <c r="J664" s="1"/>
      <c r="K664" s="19"/>
      <c r="L664" s="1"/>
      <c r="M664" s="9"/>
      <c r="N664" s="1"/>
      <c r="O664" s="1"/>
      <c r="P664" s="1"/>
      <c r="Q664" s="1"/>
      <c r="R664" s="1"/>
    </row>
    <row r="665" spans="2:18">
      <c r="B665" s="1"/>
      <c r="C665" s="9"/>
      <c r="D665" s="9"/>
      <c r="E665" s="9"/>
      <c r="F665" s="1"/>
      <c r="G665" s="1"/>
      <c r="H665" s="19"/>
      <c r="I665" s="1"/>
      <c r="J665" s="1"/>
      <c r="K665" s="19"/>
      <c r="L665" s="1"/>
      <c r="M665" s="9"/>
      <c r="N665" s="1"/>
      <c r="O665" s="1"/>
      <c r="P665" s="1"/>
      <c r="Q665" s="1"/>
      <c r="R665" s="1"/>
    </row>
    <row r="666" spans="2:18">
      <c r="B666" s="1"/>
      <c r="C666" s="9"/>
      <c r="D666" s="9"/>
      <c r="E666" s="9"/>
      <c r="F666" s="1"/>
      <c r="G666" s="1"/>
      <c r="H666" s="19"/>
      <c r="I666" s="1"/>
      <c r="J666" s="1"/>
      <c r="K666" s="19"/>
      <c r="L666" s="1"/>
      <c r="M666" s="9"/>
      <c r="N666" s="1"/>
      <c r="O666" s="1"/>
      <c r="P666" s="1"/>
      <c r="Q666" s="1"/>
      <c r="R666" s="1"/>
    </row>
    <row r="667" spans="2:18">
      <c r="B667" s="1"/>
      <c r="C667" s="9"/>
      <c r="D667" s="9"/>
      <c r="E667" s="9"/>
      <c r="F667" s="1"/>
      <c r="G667" s="1"/>
      <c r="H667" s="19"/>
      <c r="I667" s="1"/>
      <c r="J667" s="1"/>
      <c r="K667" s="19"/>
      <c r="L667" s="1"/>
      <c r="M667" s="9"/>
      <c r="N667" s="1"/>
      <c r="O667" s="1"/>
      <c r="P667" s="1"/>
      <c r="Q667" s="1"/>
      <c r="R667" s="1"/>
    </row>
    <row r="668" spans="2:18">
      <c r="B668" s="1"/>
      <c r="C668" s="9"/>
      <c r="D668" s="9"/>
      <c r="E668" s="9"/>
      <c r="F668" s="1"/>
      <c r="G668" s="1"/>
      <c r="H668" s="19"/>
      <c r="I668" s="1"/>
      <c r="J668" s="1"/>
      <c r="K668" s="19"/>
      <c r="L668" s="1"/>
      <c r="M668" s="9"/>
      <c r="N668" s="1"/>
      <c r="O668" s="1"/>
      <c r="P668" s="1"/>
      <c r="Q668" s="1"/>
      <c r="R668" s="1"/>
    </row>
    <row r="669" spans="2:18">
      <c r="B669" s="1"/>
      <c r="C669" s="9"/>
      <c r="D669" s="9"/>
      <c r="E669" s="9"/>
      <c r="F669" s="1"/>
      <c r="G669" s="1"/>
      <c r="H669" s="19"/>
      <c r="I669" s="1"/>
      <c r="J669" s="1"/>
      <c r="K669" s="19"/>
      <c r="L669" s="1"/>
      <c r="M669" s="9"/>
      <c r="N669" s="1"/>
      <c r="O669" s="1"/>
      <c r="P669" s="1"/>
      <c r="Q669" s="1"/>
      <c r="R669" s="1"/>
    </row>
    <row r="670" spans="2:18">
      <c r="B670" s="1"/>
      <c r="C670" s="9"/>
      <c r="D670" s="9"/>
      <c r="E670" s="9"/>
      <c r="F670" s="1"/>
      <c r="G670" s="1"/>
      <c r="H670" s="19"/>
      <c r="I670" s="1"/>
      <c r="J670" s="1"/>
      <c r="K670" s="19"/>
      <c r="L670" s="1"/>
      <c r="M670" s="9"/>
      <c r="N670" s="1"/>
      <c r="O670" s="1"/>
      <c r="P670" s="1"/>
      <c r="Q670" s="1"/>
      <c r="R670" s="1"/>
    </row>
    <row r="671" spans="2:18">
      <c r="B671" s="1"/>
      <c r="C671" s="9"/>
      <c r="D671" s="9"/>
      <c r="E671" s="9"/>
      <c r="F671" s="1"/>
      <c r="G671" s="1"/>
      <c r="H671" s="19"/>
      <c r="I671" s="1"/>
      <c r="J671" s="1"/>
      <c r="K671" s="19"/>
      <c r="L671" s="1"/>
      <c r="M671" s="9"/>
      <c r="N671" s="1"/>
      <c r="O671" s="1"/>
      <c r="P671" s="1"/>
      <c r="Q671" s="1"/>
      <c r="R671" s="1"/>
    </row>
    <row r="672" spans="2:18">
      <c r="B672" s="1"/>
      <c r="C672" s="9"/>
      <c r="D672" s="9"/>
      <c r="E672" s="9"/>
      <c r="F672" s="1"/>
      <c r="G672" s="1"/>
      <c r="H672" s="19"/>
      <c r="I672" s="1"/>
      <c r="J672" s="1"/>
      <c r="K672" s="19"/>
      <c r="L672" s="1"/>
      <c r="M672" s="9"/>
      <c r="N672" s="1"/>
      <c r="O672" s="1"/>
      <c r="P672" s="1"/>
      <c r="Q672" s="1"/>
      <c r="R672" s="1"/>
    </row>
    <row r="673" spans="2:18">
      <c r="B673" s="1"/>
      <c r="C673" s="9"/>
      <c r="D673" s="9"/>
      <c r="E673" s="9"/>
      <c r="F673" s="1"/>
      <c r="G673" s="1"/>
      <c r="H673" s="19"/>
      <c r="I673" s="1"/>
      <c r="J673" s="1"/>
      <c r="K673" s="19"/>
      <c r="L673" s="1"/>
      <c r="M673" s="9"/>
      <c r="N673" s="1"/>
      <c r="O673" s="1"/>
      <c r="P673" s="1"/>
      <c r="Q673" s="1"/>
      <c r="R673" s="1"/>
    </row>
    <row r="674" spans="2:18">
      <c r="B674" s="1"/>
      <c r="C674" s="9"/>
      <c r="D674" s="9"/>
      <c r="E674" s="9"/>
      <c r="F674" s="1"/>
      <c r="G674" s="1"/>
      <c r="H674" s="19"/>
      <c r="I674" s="1"/>
      <c r="J674" s="1"/>
      <c r="K674" s="19"/>
      <c r="L674" s="1"/>
      <c r="M674" s="9"/>
      <c r="N674" s="1"/>
      <c r="O674" s="1"/>
      <c r="P674" s="1"/>
      <c r="Q674" s="1"/>
      <c r="R674" s="1"/>
    </row>
    <row r="675" spans="2:18">
      <c r="B675" s="1"/>
      <c r="C675" s="9"/>
      <c r="D675" s="9"/>
      <c r="E675" s="9"/>
      <c r="F675" s="1"/>
      <c r="G675" s="1"/>
      <c r="H675" s="19"/>
      <c r="I675" s="1"/>
      <c r="J675" s="1"/>
      <c r="K675" s="19"/>
      <c r="L675" s="1"/>
      <c r="M675" s="9"/>
      <c r="N675" s="1"/>
      <c r="O675" s="1"/>
      <c r="P675" s="1"/>
      <c r="Q675" s="1"/>
      <c r="R675" s="1"/>
    </row>
    <row r="676" spans="2:18">
      <c r="B676" s="1"/>
      <c r="C676" s="9"/>
      <c r="D676" s="9"/>
      <c r="E676" s="9"/>
      <c r="F676" s="1"/>
      <c r="G676" s="1"/>
      <c r="H676" s="19"/>
      <c r="I676" s="1"/>
      <c r="J676" s="1"/>
      <c r="K676" s="19"/>
      <c r="L676" s="1"/>
      <c r="M676" s="9"/>
      <c r="N676" s="1"/>
      <c r="O676" s="1"/>
      <c r="P676" s="1"/>
      <c r="Q676" s="1"/>
      <c r="R676" s="1"/>
    </row>
    <row r="677" spans="2:18">
      <c r="B677" s="1"/>
      <c r="C677" s="9"/>
      <c r="D677" s="9"/>
      <c r="E677" s="9"/>
      <c r="F677" s="1"/>
      <c r="G677" s="1"/>
      <c r="H677" s="19"/>
      <c r="I677" s="1"/>
      <c r="J677" s="1"/>
      <c r="K677" s="19"/>
      <c r="L677" s="1"/>
      <c r="M677" s="9"/>
      <c r="N677" s="1"/>
      <c r="O677" s="1"/>
      <c r="P677" s="1"/>
      <c r="Q677" s="1"/>
      <c r="R677" s="1"/>
    </row>
    <row r="678" spans="2:18">
      <c r="B678" s="1"/>
      <c r="C678" s="9"/>
      <c r="D678" s="9"/>
      <c r="E678" s="9"/>
      <c r="F678" s="1"/>
      <c r="G678" s="1"/>
      <c r="H678" s="19"/>
      <c r="I678" s="1"/>
      <c r="J678" s="1"/>
      <c r="K678" s="19"/>
      <c r="L678" s="1"/>
      <c r="M678" s="9"/>
      <c r="N678" s="1"/>
      <c r="O678" s="1"/>
      <c r="P678" s="1"/>
      <c r="Q678" s="1"/>
      <c r="R678" s="1"/>
    </row>
    <row r="679" spans="2:18">
      <c r="B679" s="1"/>
      <c r="C679" s="9"/>
      <c r="D679" s="9"/>
      <c r="E679" s="9"/>
      <c r="F679" s="1"/>
      <c r="G679" s="1"/>
      <c r="H679" s="19"/>
      <c r="I679" s="1"/>
      <c r="J679" s="1"/>
      <c r="K679" s="19"/>
      <c r="L679" s="1"/>
      <c r="M679" s="9"/>
      <c r="N679" s="1"/>
      <c r="O679" s="1"/>
      <c r="P679" s="1"/>
      <c r="Q679" s="1"/>
      <c r="R679" s="1"/>
    </row>
    <row r="680" spans="2:18">
      <c r="B680" s="1"/>
      <c r="C680" s="9"/>
      <c r="D680" s="9"/>
      <c r="E680" s="9"/>
      <c r="F680" s="1"/>
      <c r="G680" s="1"/>
      <c r="H680" s="19"/>
      <c r="I680" s="1"/>
      <c r="J680" s="1"/>
      <c r="K680" s="19"/>
      <c r="L680" s="1"/>
      <c r="M680" s="9"/>
      <c r="N680" s="1"/>
      <c r="O680" s="1"/>
      <c r="P680" s="1"/>
      <c r="Q680" s="1"/>
      <c r="R680" s="1"/>
    </row>
    <row r="681" spans="2:18">
      <c r="B681" s="1"/>
      <c r="C681" s="9"/>
      <c r="D681" s="9"/>
      <c r="E681" s="9"/>
      <c r="F681" s="1"/>
      <c r="G681" s="1"/>
      <c r="H681" s="19"/>
      <c r="I681" s="1"/>
      <c r="J681" s="1"/>
      <c r="K681" s="19"/>
      <c r="L681" s="1"/>
      <c r="M681" s="9"/>
      <c r="N681" s="1"/>
      <c r="O681" s="1"/>
      <c r="P681" s="1"/>
      <c r="Q681" s="1"/>
      <c r="R681" s="1"/>
    </row>
    <row r="682" spans="2:18">
      <c r="B682" s="1"/>
      <c r="C682" s="9"/>
      <c r="D682" s="9"/>
      <c r="E682" s="9"/>
      <c r="F682" s="1"/>
      <c r="G682" s="1"/>
      <c r="H682" s="19"/>
      <c r="I682" s="1"/>
      <c r="J682" s="1"/>
      <c r="K682" s="19"/>
      <c r="L682" s="1"/>
      <c r="M682" s="9"/>
      <c r="N682" s="1"/>
      <c r="O682" s="1"/>
      <c r="P682" s="1"/>
      <c r="Q682" s="1"/>
      <c r="R682" s="1"/>
    </row>
    <row r="683" spans="2:18">
      <c r="B683" s="1"/>
      <c r="C683" s="9"/>
      <c r="D683" s="9"/>
      <c r="E683" s="9"/>
      <c r="F683" s="1"/>
      <c r="G683" s="1"/>
      <c r="H683" s="19"/>
      <c r="I683" s="1"/>
      <c r="J683" s="1"/>
      <c r="K683" s="19"/>
      <c r="L683" s="1"/>
      <c r="M683" s="9"/>
      <c r="N683" s="1"/>
      <c r="O683" s="1"/>
      <c r="P683" s="1"/>
      <c r="Q683" s="1"/>
      <c r="R683" s="1"/>
    </row>
    <row r="684" spans="2:18">
      <c r="B684" s="1"/>
      <c r="C684" s="9"/>
      <c r="D684" s="9"/>
      <c r="E684" s="9"/>
      <c r="F684" s="1"/>
      <c r="G684" s="1"/>
      <c r="H684" s="19"/>
      <c r="I684" s="1"/>
      <c r="J684" s="1"/>
      <c r="K684" s="19"/>
      <c r="L684" s="1"/>
      <c r="M684" s="9"/>
      <c r="N684" s="1"/>
      <c r="O684" s="1"/>
      <c r="P684" s="1"/>
      <c r="Q684" s="1"/>
      <c r="R684" s="1"/>
    </row>
    <row r="685" spans="2:18">
      <c r="B685" s="1"/>
      <c r="C685" s="9"/>
      <c r="D685" s="9"/>
      <c r="E685" s="9"/>
      <c r="F685" s="1"/>
      <c r="G685" s="1"/>
      <c r="H685" s="19"/>
      <c r="I685" s="1"/>
      <c r="J685" s="1"/>
      <c r="K685" s="19"/>
      <c r="L685" s="1"/>
      <c r="M685" s="9"/>
      <c r="N685" s="1"/>
      <c r="O685" s="1"/>
      <c r="P685" s="1"/>
      <c r="Q685" s="1"/>
      <c r="R685" s="1"/>
    </row>
    <row r="686" spans="2:18">
      <c r="B686" s="1"/>
      <c r="C686" s="9"/>
      <c r="D686" s="9"/>
      <c r="E686" s="9"/>
      <c r="F686" s="1"/>
      <c r="G686" s="1"/>
      <c r="H686" s="19"/>
      <c r="I686" s="1"/>
      <c r="J686" s="1"/>
      <c r="K686" s="19"/>
      <c r="L686" s="1"/>
      <c r="M686" s="9"/>
      <c r="N686" s="1"/>
      <c r="O686" s="1"/>
      <c r="P686" s="1"/>
      <c r="Q686" s="1"/>
      <c r="R686" s="1"/>
    </row>
    <row r="687" spans="2:18">
      <c r="B687" s="1"/>
      <c r="C687" s="9"/>
      <c r="D687" s="9"/>
      <c r="E687" s="9"/>
      <c r="F687" s="1"/>
      <c r="G687" s="1"/>
      <c r="H687" s="19"/>
      <c r="I687" s="1"/>
      <c r="J687" s="1"/>
      <c r="K687" s="19"/>
      <c r="L687" s="1"/>
      <c r="M687" s="9"/>
      <c r="N687" s="1"/>
      <c r="O687" s="1"/>
      <c r="P687" s="1"/>
      <c r="Q687" s="1"/>
      <c r="R687" s="1"/>
    </row>
    <row r="688" spans="2:18">
      <c r="B688" s="1"/>
      <c r="C688" s="9"/>
      <c r="D688" s="9"/>
      <c r="E688" s="9"/>
      <c r="F688" s="1"/>
      <c r="G688" s="1"/>
      <c r="H688" s="19"/>
      <c r="I688" s="1"/>
      <c r="J688" s="1"/>
      <c r="K688" s="19"/>
      <c r="L688" s="1"/>
      <c r="M688" s="9"/>
      <c r="N688" s="1"/>
      <c r="O688" s="1"/>
      <c r="P688" s="1"/>
      <c r="Q688" s="1"/>
      <c r="R688" s="1"/>
    </row>
    <row r="689" spans="2:18">
      <c r="B689" s="1"/>
      <c r="C689" s="9"/>
      <c r="D689" s="9"/>
      <c r="E689" s="9"/>
      <c r="F689" s="1"/>
      <c r="G689" s="1"/>
      <c r="H689" s="19"/>
      <c r="I689" s="1"/>
      <c r="J689" s="1"/>
      <c r="K689" s="19"/>
      <c r="L689" s="1"/>
      <c r="M689" s="9"/>
      <c r="N689" s="1"/>
      <c r="O689" s="1"/>
      <c r="P689" s="1"/>
      <c r="Q689" s="1"/>
      <c r="R689" s="1"/>
    </row>
    <row r="690" spans="2:18">
      <c r="B690" s="1"/>
      <c r="C690" s="9"/>
      <c r="D690" s="9"/>
      <c r="E690" s="9"/>
      <c r="F690" s="1"/>
      <c r="G690" s="1"/>
      <c r="H690" s="19"/>
      <c r="I690" s="1"/>
      <c r="J690" s="1"/>
      <c r="K690" s="19"/>
      <c r="L690" s="1"/>
      <c r="M690" s="9"/>
      <c r="N690" s="1"/>
      <c r="O690" s="1"/>
      <c r="P690" s="1"/>
      <c r="Q690" s="1"/>
      <c r="R690" s="1"/>
    </row>
    <row r="691" spans="2:18">
      <c r="B691" s="1"/>
      <c r="C691" s="9"/>
      <c r="D691" s="9"/>
      <c r="E691" s="9"/>
      <c r="F691" s="1"/>
      <c r="G691" s="1"/>
      <c r="H691" s="19"/>
      <c r="I691" s="1"/>
      <c r="J691" s="1"/>
      <c r="K691" s="19"/>
      <c r="L691" s="1"/>
      <c r="M691" s="9"/>
      <c r="N691" s="1"/>
      <c r="O691" s="1"/>
      <c r="P691" s="1"/>
      <c r="Q691" s="1"/>
      <c r="R691" s="1"/>
    </row>
    <row r="692" spans="2:18">
      <c r="B692" s="1"/>
      <c r="C692" s="9"/>
      <c r="D692" s="9"/>
      <c r="E692" s="9"/>
      <c r="F692" s="1"/>
      <c r="G692" s="1"/>
      <c r="H692" s="19"/>
      <c r="I692" s="1"/>
      <c r="J692" s="1"/>
      <c r="K692" s="19"/>
      <c r="L692" s="1"/>
      <c r="M692" s="9"/>
      <c r="N692" s="1"/>
      <c r="O692" s="1"/>
      <c r="P692" s="1"/>
      <c r="Q692" s="1"/>
      <c r="R692" s="1"/>
    </row>
    <row r="693" spans="2:18">
      <c r="B693" s="1"/>
      <c r="C693" s="9"/>
      <c r="D693" s="9"/>
      <c r="E693" s="9"/>
      <c r="F693" s="1"/>
      <c r="G693" s="1"/>
      <c r="H693" s="19"/>
      <c r="I693" s="1"/>
      <c r="J693" s="1"/>
      <c r="K693" s="19"/>
      <c r="L693" s="1"/>
      <c r="M693" s="9"/>
      <c r="N693" s="1"/>
      <c r="O693" s="1"/>
      <c r="P693" s="1"/>
      <c r="Q693" s="1"/>
      <c r="R693" s="1"/>
    </row>
    <row r="694" spans="2:18">
      <c r="B694" s="1"/>
      <c r="C694" s="9"/>
      <c r="D694" s="9"/>
      <c r="E694" s="9"/>
      <c r="F694" s="1"/>
      <c r="G694" s="1"/>
      <c r="H694" s="19"/>
      <c r="I694" s="1"/>
      <c r="J694" s="1"/>
      <c r="K694" s="19"/>
      <c r="L694" s="1"/>
      <c r="M694" s="9"/>
      <c r="N694" s="1"/>
      <c r="O694" s="1"/>
      <c r="P694" s="1"/>
      <c r="Q694" s="1"/>
      <c r="R694" s="1"/>
    </row>
    <row r="695" spans="2:18">
      <c r="B695" s="1"/>
      <c r="C695" s="9"/>
      <c r="D695" s="9"/>
      <c r="E695" s="9"/>
      <c r="F695" s="1"/>
      <c r="G695" s="1"/>
      <c r="H695" s="19"/>
      <c r="I695" s="1"/>
      <c r="J695" s="1"/>
      <c r="K695" s="19"/>
      <c r="L695" s="1"/>
      <c r="M695" s="9"/>
      <c r="N695" s="1"/>
      <c r="O695" s="1"/>
      <c r="P695" s="1"/>
      <c r="Q695" s="1"/>
      <c r="R695" s="1"/>
    </row>
    <row r="696" spans="2:18">
      <c r="B696" s="1"/>
      <c r="C696" s="9"/>
      <c r="D696" s="9"/>
      <c r="E696" s="9"/>
      <c r="F696" s="1"/>
      <c r="G696" s="1"/>
      <c r="H696" s="19"/>
      <c r="I696" s="1"/>
      <c r="J696" s="1"/>
      <c r="K696" s="19"/>
      <c r="L696" s="1"/>
      <c r="M696" s="9"/>
      <c r="N696" s="1"/>
      <c r="O696" s="1"/>
      <c r="P696" s="1"/>
      <c r="Q696" s="1"/>
      <c r="R696" s="1"/>
    </row>
    <row r="697" spans="2:18">
      <c r="B697" s="1"/>
      <c r="C697" s="9"/>
      <c r="D697" s="9"/>
      <c r="E697" s="9"/>
      <c r="F697" s="1"/>
      <c r="G697" s="1"/>
      <c r="H697" s="19"/>
      <c r="I697" s="1"/>
      <c r="J697" s="1"/>
      <c r="K697" s="19"/>
      <c r="L697" s="1"/>
      <c r="M697" s="9"/>
      <c r="N697" s="1"/>
      <c r="O697" s="1"/>
      <c r="P697" s="1"/>
      <c r="Q697" s="1"/>
      <c r="R697" s="1"/>
    </row>
    <row r="698" spans="2:18">
      <c r="B698" s="1"/>
      <c r="C698" s="9"/>
      <c r="D698" s="9"/>
      <c r="E698" s="9"/>
      <c r="F698" s="1"/>
      <c r="G698" s="1"/>
      <c r="H698" s="19"/>
      <c r="I698" s="1"/>
      <c r="J698" s="1"/>
      <c r="K698" s="19"/>
      <c r="L698" s="1"/>
      <c r="M698" s="9"/>
      <c r="N698" s="1"/>
      <c r="O698" s="1"/>
      <c r="P698" s="1"/>
      <c r="Q698" s="1"/>
      <c r="R698" s="1"/>
    </row>
    <row r="699" spans="2:18">
      <c r="B699" s="1"/>
      <c r="C699" s="9"/>
      <c r="D699" s="9"/>
      <c r="E699" s="9"/>
      <c r="F699" s="1"/>
      <c r="G699" s="1"/>
      <c r="H699" s="19"/>
      <c r="I699" s="1"/>
      <c r="J699" s="1"/>
      <c r="K699" s="19"/>
      <c r="L699" s="1"/>
      <c r="M699" s="9"/>
      <c r="N699" s="1"/>
      <c r="O699" s="1"/>
      <c r="P699" s="1"/>
      <c r="Q699" s="1"/>
      <c r="R699" s="1"/>
    </row>
    <row r="700" spans="2:18">
      <c r="B700" s="1"/>
      <c r="C700" s="9"/>
      <c r="D700" s="9"/>
      <c r="E700" s="9"/>
      <c r="F700" s="1"/>
      <c r="G700" s="1"/>
      <c r="H700" s="19"/>
      <c r="I700" s="1"/>
      <c r="J700" s="1"/>
      <c r="K700" s="19"/>
      <c r="L700" s="1"/>
      <c r="M700" s="9"/>
      <c r="N700" s="1"/>
      <c r="O700" s="1"/>
      <c r="P700" s="1"/>
      <c r="Q700" s="1"/>
      <c r="R700" s="1"/>
    </row>
    <row r="701" spans="2:18">
      <c r="B701" s="1"/>
      <c r="C701" s="9"/>
      <c r="D701" s="9"/>
      <c r="E701" s="9"/>
      <c r="F701" s="1"/>
      <c r="G701" s="1"/>
      <c r="H701" s="19"/>
      <c r="I701" s="1"/>
      <c r="J701" s="1"/>
      <c r="K701" s="19"/>
      <c r="L701" s="1"/>
      <c r="M701" s="9"/>
      <c r="N701" s="1"/>
      <c r="O701" s="1"/>
      <c r="P701" s="1"/>
      <c r="Q701" s="1"/>
      <c r="R701" s="1"/>
    </row>
    <row r="702" spans="2:18">
      <c r="B702" s="1"/>
      <c r="C702" s="9"/>
      <c r="D702" s="9"/>
      <c r="E702" s="9"/>
      <c r="F702" s="1"/>
      <c r="G702" s="1"/>
      <c r="H702" s="19"/>
      <c r="I702" s="1"/>
      <c r="J702" s="1"/>
      <c r="K702" s="19"/>
      <c r="L702" s="1"/>
      <c r="M702" s="9"/>
      <c r="N702" s="1"/>
      <c r="O702" s="1"/>
      <c r="P702" s="1"/>
      <c r="Q702" s="1"/>
      <c r="R702" s="1"/>
    </row>
    <row r="703" spans="2:18">
      <c r="B703" s="1"/>
      <c r="C703" s="9"/>
      <c r="D703" s="9"/>
      <c r="E703" s="9"/>
      <c r="F703" s="1"/>
      <c r="G703" s="1"/>
      <c r="H703" s="19"/>
      <c r="I703" s="1"/>
      <c r="J703" s="1"/>
      <c r="K703" s="19"/>
      <c r="L703" s="1"/>
      <c r="M703" s="9"/>
      <c r="N703" s="1"/>
      <c r="O703" s="1"/>
      <c r="P703" s="1"/>
      <c r="Q703" s="1"/>
      <c r="R703" s="1"/>
    </row>
    <row r="704" spans="2:18">
      <c r="B704" s="1"/>
      <c r="C704" s="9"/>
      <c r="D704" s="9"/>
      <c r="E704" s="9"/>
      <c r="F704" s="1"/>
      <c r="G704" s="1"/>
      <c r="H704" s="19"/>
      <c r="I704" s="1"/>
      <c r="J704" s="1"/>
      <c r="K704" s="19"/>
      <c r="L704" s="1"/>
      <c r="M704" s="9"/>
      <c r="N704" s="1"/>
      <c r="O704" s="1"/>
      <c r="P704" s="1"/>
      <c r="Q704" s="1"/>
      <c r="R704" s="1"/>
    </row>
    <row r="705" spans="2:18">
      <c r="B705" s="1"/>
      <c r="C705" s="9"/>
      <c r="D705" s="9"/>
      <c r="E705" s="9"/>
      <c r="F705" s="1"/>
      <c r="G705" s="1"/>
      <c r="H705" s="19"/>
      <c r="I705" s="1"/>
      <c r="J705" s="1"/>
      <c r="K705" s="19"/>
      <c r="L705" s="1"/>
      <c r="M705" s="9"/>
      <c r="N705" s="1"/>
      <c r="O705" s="1"/>
      <c r="P705" s="1"/>
      <c r="Q705" s="1"/>
      <c r="R705" s="1"/>
    </row>
    <row r="706" spans="2:18">
      <c r="B706" s="1"/>
      <c r="C706" s="9"/>
      <c r="D706" s="9"/>
      <c r="E706" s="9"/>
      <c r="F706" s="1"/>
      <c r="G706" s="1"/>
      <c r="H706" s="19"/>
      <c r="I706" s="1"/>
      <c r="J706" s="1"/>
      <c r="K706" s="19"/>
      <c r="L706" s="1"/>
      <c r="M706" s="9"/>
      <c r="N706" s="1"/>
      <c r="O706" s="1"/>
      <c r="P706" s="1"/>
      <c r="Q706" s="1"/>
      <c r="R706" s="1"/>
    </row>
    <row r="707" spans="2:18">
      <c r="B707" s="1"/>
      <c r="C707" s="9"/>
      <c r="D707" s="9"/>
      <c r="E707" s="9"/>
      <c r="F707" s="1"/>
      <c r="G707" s="1"/>
      <c r="H707" s="19"/>
      <c r="I707" s="1"/>
      <c r="J707" s="1"/>
      <c r="K707" s="19"/>
      <c r="L707" s="1"/>
      <c r="M707" s="9"/>
      <c r="N707" s="1"/>
      <c r="O707" s="1"/>
      <c r="P707" s="1"/>
      <c r="Q707" s="1"/>
      <c r="R707" s="1"/>
    </row>
    <row r="708" spans="2:18">
      <c r="B708" s="1"/>
      <c r="C708" s="9"/>
      <c r="D708" s="9"/>
      <c r="E708" s="9"/>
      <c r="F708" s="1"/>
      <c r="G708" s="1"/>
      <c r="H708" s="19"/>
      <c r="I708" s="1"/>
      <c r="J708" s="1"/>
      <c r="K708" s="19"/>
      <c r="L708" s="1"/>
      <c r="M708" s="9"/>
      <c r="N708" s="1"/>
      <c r="O708" s="1"/>
      <c r="P708" s="1"/>
      <c r="Q708" s="1"/>
      <c r="R708" s="1"/>
    </row>
    <row r="709" spans="2:18">
      <c r="B709" s="1"/>
      <c r="C709" s="9"/>
      <c r="D709" s="9"/>
      <c r="E709" s="9"/>
      <c r="F709" s="1"/>
      <c r="G709" s="1"/>
      <c r="H709" s="19"/>
      <c r="I709" s="1"/>
      <c r="J709" s="1"/>
      <c r="K709" s="19"/>
      <c r="L709" s="1"/>
      <c r="M709" s="9"/>
      <c r="N709" s="1"/>
      <c r="O709" s="1"/>
      <c r="P709" s="1"/>
      <c r="Q709" s="1"/>
      <c r="R709" s="1"/>
    </row>
    <row r="710" spans="2:18">
      <c r="B710" s="1"/>
      <c r="C710" s="9"/>
      <c r="D710" s="9"/>
      <c r="E710" s="9"/>
      <c r="F710" s="1"/>
      <c r="G710" s="1"/>
      <c r="H710" s="19"/>
      <c r="I710" s="1"/>
      <c r="J710" s="1"/>
      <c r="K710" s="19"/>
      <c r="L710" s="1"/>
      <c r="M710" s="9"/>
      <c r="N710" s="1"/>
      <c r="O710" s="1"/>
      <c r="P710" s="1"/>
      <c r="Q710" s="1"/>
      <c r="R710" s="1"/>
    </row>
    <row r="711" spans="2:18">
      <c r="B711" s="1"/>
      <c r="C711" s="9"/>
      <c r="D711" s="9"/>
      <c r="E711" s="9"/>
      <c r="F711" s="1"/>
      <c r="G711" s="1"/>
      <c r="H711" s="19"/>
      <c r="I711" s="1"/>
      <c r="J711" s="1"/>
      <c r="K711" s="19"/>
      <c r="L711" s="1"/>
      <c r="M711" s="9"/>
      <c r="N711" s="1"/>
      <c r="O711" s="1"/>
      <c r="P711" s="1"/>
      <c r="Q711" s="1"/>
      <c r="R711" s="1"/>
    </row>
    <row r="712" spans="2:18">
      <c r="B712" s="1"/>
      <c r="C712" s="9"/>
      <c r="D712" s="9"/>
      <c r="E712" s="9"/>
      <c r="F712" s="1"/>
      <c r="G712" s="1"/>
      <c r="H712" s="19"/>
      <c r="I712" s="1"/>
      <c r="J712" s="1"/>
      <c r="K712" s="19"/>
      <c r="L712" s="1"/>
      <c r="M712" s="9"/>
      <c r="N712" s="1"/>
      <c r="O712" s="1"/>
      <c r="P712" s="1"/>
      <c r="Q712" s="1"/>
      <c r="R712" s="1"/>
    </row>
    <row r="713" spans="2:18">
      <c r="B713" s="1"/>
      <c r="C713" s="9"/>
      <c r="D713" s="9"/>
      <c r="E713" s="9"/>
      <c r="F713" s="1"/>
      <c r="G713" s="1"/>
      <c r="H713" s="19"/>
      <c r="I713" s="1"/>
      <c r="J713" s="1"/>
      <c r="K713" s="19"/>
      <c r="L713" s="1"/>
      <c r="M713" s="9"/>
      <c r="N713" s="1"/>
      <c r="O713" s="1"/>
      <c r="P713" s="1"/>
      <c r="Q713" s="1"/>
      <c r="R713" s="1"/>
    </row>
    <row r="714" spans="2:18">
      <c r="B714" s="1"/>
      <c r="C714" s="9"/>
      <c r="D714" s="9"/>
      <c r="E714" s="9"/>
      <c r="F714" s="1"/>
      <c r="G714" s="1"/>
      <c r="H714" s="19"/>
      <c r="I714" s="1"/>
      <c r="J714" s="1"/>
      <c r="K714" s="19"/>
      <c r="L714" s="1"/>
      <c r="M714" s="9"/>
      <c r="N714" s="1"/>
      <c r="O714" s="1"/>
      <c r="P714" s="1"/>
      <c r="Q714" s="1"/>
      <c r="R714" s="1"/>
    </row>
    <row r="715" spans="2:18">
      <c r="B715" s="1"/>
      <c r="C715" s="9"/>
      <c r="D715" s="9"/>
      <c r="E715" s="9"/>
      <c r="F715" s="1"/>
      <c r="G715" s="1"/>
      <c r="H715" s="19"/>
      <c r="I715" s="1"/>
      <c r="J715" s="1"/>
      <c r="K715" s="19"/>
      <c r="L715" s="1"/>
      <c r="M715" s="9"/>
      <c r="N715" s="1"/>
      <c r="O715" s="1"/>
      <c r="P715" s="1"/>
      <c r="Q715" s="1"/>
      <c r="R715" s="1"/>
    </row>
    <row r="716" spans="2:18">
      <c r="B716" s="1"/>
      <c r="C716" s="9"/>
      <c r="D716" s="9"/>
      <c r="E716" s="9"/>
      <c r="F716" s="1"/>
      <c r="G716" s="1"/>
      <c r="H716" s="19"/>
      <c r="I716" s="1"/>
      <c r="J716" s="1"/>
      <c r="K716" s="19"/>
      <c r="L716" s="1"/>
      <c r="M716" s="9"/>
      <c r="N716" s="1"/>
      <c r="O716" s="1"/>
      <c r="P716" s="1"/>
      <c r="Q716" s="1"/>
      <c r="R716" s="1"/>
    </row>
    <row r="717" spans="2:18">
      <c r="B717" s="1"/>
      <c r="C717" s="9"/>
      <c r="D717" s="9"/>
      <c r="E717" s="9"/>
      <c r="F717" s="1"/>
      <c r="G717" s="1"/>
      <c r="H717" s="19"/>
      <c r="I717" s="1"/>
      <c r="J717" s="1"/>
      <c r="K717" s="19"/>
      <c r="L717" s="1"/>
      <c r="M717" s="9"/>
      <c r="N717" s="1"/>
      <c r="O717" s="1"/>
      <c r="P717" s="1"/>
      <c r="Q717" s="1"/>
      <c r="R717" s="1"/>
    </row>
    <row r="718" spans="2:18">
      <c r="B718" s="1"/>
      <c r="C718" s="9"/>
      <c r="D718" s="9"/>
      <c r="E718" s="9"/>
      <c r="F718" s="1"/>
      <c r="G718" s="1"/>
      <c r="H718" s="19"/>
      <c r="I718" s="1"/>
      <c r="J718" s="1"/>
      <c r="K718" s="19"/>
      <c r="L718" s="1"/>
      <c r="M718" s="9"/>
      <c r="N718" s="1"/>
      <c r="O718" s="1"/>
      <c r="P718" s="1"/>
      <c r="Q718" s="1"/>
      <c r="R718" s="1"/>
    </row>
    <row r="719" spans="2:18">
      <c r="B719" s="1"/>
      <c r="C719" s="9"/>
      <c r="D719" s="9"/>
      <c r="E719" s="9"/>
      <c r="F719" s="1"/>
      <c r="G719" s="1"/>
      <c r="H719" s="19"/>
      <c r="I719" s="1"/>
      <c r="J719" s="1"/>
      <c r="K719" s="19"/>
      <c r="L719" s="1"/>
      <c r="M719" s="9"/>
      <c r="N719" s="1"/>
      <c r="O719" s="1"/>
      <c r="P719" s="1"/>
      <c r="Q719" s="1"/>
      <c r="R719" s="1"/>
    </row>
    <row r="720" spans="2:18">
      <c r="B720" s="1"/>
      <c r="C720" s="9"/>
      <c r="D720" s="9"/>
      <c r="E720" s="9"/>
      <c r="F720" s="1"/>
      <c r="G720" s="1"/>
      <c r="H720" s="19"/>
      <c r="I720" s="1"/>
      <c r="J720" s="1"/>
      <c r="K720" s="19"/>
      <c r="L720" s="1"/>
      <c r="M720" s="9"/>
      <c r="N720" s="1"/>
      <c r="O720" s="1"/>
      <c r="P720" s="1"/>
      <c r="Q720" s="1"/>
      <c r="R720" s="1"/>
    </row>
    <row r="721" spans="2:18">
      <c r="B721" s="1"/>
      <c r="C721" s="9"/>
      <c r="D721" s="9"/>
      <c r="E721" s="9"/>
      <c r="F721" s="1"/>
      <c r="G721" s="1"/>
      <c r="H721" s="19"/>
      <c r="I721" s="1"/>
      <c r="J721" s="1"/>
      <c r="K721" s="19"/>
      <c r="L721" s="1"/>
      <c r="M721" s="9"/>
      <c r="N721" s="1"/>
      <c r="O721" s="1"/>
      <c r="P721" s="1"/>
      <c r="Q721" s="1"/>
      <c r="R721" s="1"/>
    </row>
    <row r="722" spans="2:18">
      <c r="B722" s="1"/>
      <c r="C722" s="9"/>
      <c r="D722" s="9"/>
      <c r="E722" s="9"/>
      <c r="F722" s="1"/>
      <c r="G722" s="1"/>
      <c r="H722" s="19"/>
      <c r="I722" s="1"/>
      <c r="J722" s="1"/>
      <c r="K722" s="19"/>
      <c r="L722" s="1"/>
      <c r="M722" s="9"/>
      <c r="N722" s="1"/>
      <c r="O722" s="1"/>
      <c r="P722" s="1"/>
      <c r="Q722" s="1"/>
      <c r="R722" s="1"/>
    </row>
    <row r="723" spans="2:18">
      <c r="B723" s="1"/>
      <c r="C723" s="9"/>
      <c r="D723" s="9"/>
      <c r="E723" s="9"/>
      <c r="F723" s="1"/>
      <c r="G723" s="1"/>
      <c r="H723" s="19"/>
      <c r="I723" s="1"/>
      <c r="J723" s="1"/>
      <c r="K723" s="19"/>
      <c r="L723" s="1"/>
      <c r="M723" s="9"/>
      <c r="N723" s="1"/>
      <c r="O723" s="1"/>
      <c r="P723" s="1"/>
      <c r="Q723" s="1"/>
      <c r="R723" s="1"/>
    </row>
    <row r="724" spans="2:18">
      <c r="B724" s="1"/>
      <c r="C724" s="9"/>
      <c r="D724" s="9"/>
      <c r="E724" s="9"/>
      <c r="F724" s="1"/>
      <c r="G724" s="1"/>
      <c r="H724" s="19"/>
      <c r="I724" s="1"/>
      <c r="J724" s="1"/>
      <c r="K724" s="19"/>
      <c r="L724" s="1"/>
      <c r="M724" s="9"/>
      <c r="N724" s="1"/>
      <c r="O724" s="1"/>
      <c r="P724" s="1"/>
      <c r="Q724" s="1"/>
      <c r="R724" s="1"/>
    </row>
    <row r="725" spans="2:18">
      <c r="B725" s="1"/>
      <c r="C725" s="9"/>
      <c r="D725" s="9"/>
      <c r="E725" s="9"/>
      <c r="F725" s="1"/>
      <c r="G725" s="1"/>
      <c r="H725" s="19"/>
      <c r="I725" s="1"/>
      <c r="J725" s="1"/>
      <c r="K725" s="19"/>
      <c r="L725" s="1"/>
      <c r="M725" s="9"/>
      <c r="N725" s="1"/>
      <c r="O725" s="1"/>
      <c r="P725" s="1"/>
      <c r="Q725" s="1"/>
      <c r="R725" s="1"/>
    </row>
    <row r="726" spans="2:18">
      <c r="B726" s="1"/>
      <c r="C726" s="9"/>
      <c r="D726" s="9"/>
      <c r="E726" s="9"/>
      <c r="F726" s="1"/>
      <c r="G726" s="1"/>
      <c r="H726" s="19"/>
      <c r="I726" s="1"/>
      <c r="J726" s="1"/>
      <c r="K726" s="19"/>
      <c r="L726" s="1"/>
      <c r="M726" s="9"/>
      <c r="N726" s="1"/>
      <c r="O726" s="1"/>
      <c r="P726" s="1"/>
      <c r="Q726" s="1"/>
      <c r="R726" s="1"/>
    </row>
    <row r="727" spans="2:18">
      <c r="B727" s="1"/>
      <c r="C727" s="9"/>
      <c r="D727" s="9"/>
      <c r="E727" s="9"/>
      <c r="F727" s="1"/>
      <c r="G727" s="1"/>
      <c r="H727" s="19"/>
      <c r="I727" s="1"/>
      <c r="J727" s="1"/>
      <c r="K727" s="19"/>
      <c r="L727" s="1"/>
      <c r="M727" s="9"/>
      <c r="N727" s="1"/>
      <c r="O727" s="1"/>
      <c r="P727" s="1"/>
      <c r="Q727" s="1"/>
      <c r="R727" s="1"/>
    </row>
    <row r="728" spans="2:18">
      <c r="B728" s="1"/>
      <c r="C728" s="9"/>
      <c r="D728" s="9"/>
      <c r="E728" s="9"/>
      <c r="F728" s="1"/>
      <c r="G728" s="1"/>
      <c r="H728" s="19"/>
      <c r="I728" s="1"/>
      <c r="J728" s="1"/>
      <c r="K728" s="19"/>
      <c r="L728" s="1"/>
      <c r="M728" s="9"/>
      <c r="N728" s="1"/>
      <c r="O728" s="1"/>
      <c r="P728" s="1"/>
      <c r="Q728" s="1"/>
      <c r="R728" s="1"/>
    </row>
    <row r="729" spans="2:18">
      <c r="B729" s="1"/>
      <c r="C729" s="9"/>
      <c r="D729" s="9"/>
      <c r="E729" s="9"/>
      <c r="F729" s="1"/>
      <c r="G729" s="1"/>
      <c r="H729" s="19"/>
      <c r="I729" s="1"/>
      <c r="J729" s="1"/>
      <c r="K729" s="19"/>
      <c r="L729" s="1"/>
      <c r="M729" s="9"/>
      <c r="N729" s="1"/>
      <c r="O729" s="1"/>
      <c r="P729" s="1"/>
      <c r="Q729" s="1"/>
      <c r="R729" s="1"/>
    </row>
    <row r="730" spans="2:18">
      <c r="B730" s="1"/>
      <c r="C730" s="9"/>
      <c r="D730" s="9"/>
      <c r="E730" s="9"/>
      <c r="F730" s="1"/>
      <c r="G730" s="1"/>
      <c r="H730" s="19"/>
      <c r="I730" s="1"/>
      <c r="J730" s="1"/>
      <c r="K730" s="19"/>
      <c r="L730" s="1"/>
      <c r="M730" s="9"/>
      <c r="N730" s="1"/>
      <c r="O730" s="1"/>
      <c r="P730" s="1"/>
      <c r="Q730" s="1"/>
      <c r="R730" s="1"/>
    </row>
    <row r="731" spans="2:18">
      <c r="B731" s="1"/>
      <c r="C731" s="9"/>
      <c r="D731" s="9"/>
      <c r="E731" s="9"/>
      <c r="F731" s="1"/>
      <c r="G731" s="1"/>
      <c r="H731" s="19"/>
      <c r="I731" s="1"/>
      <c r="J731" s="1"/>
      <c r="K731" s="19"/>
      <c r="L731" s="1"/>
      <c r="M731" s="9"/>
      <c r="N731" s="1"/>
      <c r="O731" s="1"/>
      <c r="P731" s="1"/>
      <c r="Q731" s="1"/>
      <c r="R731" s="1"/>
    </row>
    <row r="732" spans="2:18">
      <c r="B732" s="1"/>
      <c r="C732" s="9"/>
      <c r="D732" s="9"/>
      <c r="E732" s="9"/>
      <c r="F732" s="1"/>
      <c r="G732" s="1"/>
      <c r="H732" s="19"/>
      <c r="I732" s="1"/>
      <c r="J732" s="1"/>
      <c r="K732" s="19"/>
      <c r="L732" s="1"/>
      <c r="M732" s="9"/>
      <c r="N732" s="1"/>
      <c r="O732" s="1"/>
      <c r="P732" s="1"/>
      <c r="Q732" s="1"/>
      <c r="R732" s="1"/>
    </row>
    <row r="733" spans="2:18">
      <c r="B733" s="1"/>
      <c r="C733" s="9"/>
      <c r="D733" s="9"/>
      <c r="E733" s="9"/>
      <c r="F733" s="1"/>
      <c r="G733" s="1"/>
      <c r="H733" s="19"/>
      <c r="I733" s="1"/>
      <c r="J733" s="1"/>
      <c r="K733" s="19"/>
      <c r="L733" s="1"/>
      <c r="M733" s="9"/>
      <c r="N733" s="1"/>
      <c r="O733" s="1"/>
      <c r="P733" s="1"/>
      <c r="Q733" s="1"/>
      <c r="R733" s="1"/>
    </row>
    <row r="734" spans="2:18">
      <c r="B734" s="1"/>
      <c r="C734" s="9"/>
      <c r="D734" s="9"/>
      <c r="E734" s="9"/>
      <c r="F734" s="1"/>
      <c r="G734" s="1"/>
      <c r="H734" s="19"/>
      <c r="I734" s="1"/>
      <c r="J734" s="1"/>
      <c r="K734" s="19"/>
      <c r="L734" s="1"/>
      <c r="M734" s="9"/>
      <c r="N734" s="1"/>
      <c r="O734" s="1"/>
      <c r="P734" s="1"/>
      <c r="Q734" s="1"/>
      <c r="R734" s="1"/>
    </row>
    <row r="735" spans="2:18">
      <c r="B735" s="1"/>
      <c r="C735" s="9"/>
      <c r="D735" s="9"/>
      <c r="E735" s="9"/>
      <c r="F735" s="1"/>
      <c r="G735" s="1"/>
      <c r="H735" s="19"/>
      <c r="I735" s="1"/>
      <c r="J735" s="1"/>
      <c r="K735" s="19"/>
      <c r="L735" s="1"/>
      <c r="M735" s="9"/>
      <c r="N735" s="1"/>
      <c r="O735" s="1"/>
      <c r="P735" s="1"/>
      <c r="Q735" s="1"/>
      <c r="R735" s="1"/>
    </row>
    <row r="736" spans="2:18">
      <c r="B736" s="1"/>
      <c r="C736" s="9"/>
      <c r="D736" s="9"/>
      <c r="E736" s="9"/>
      <c r="F736" s="1"/>
      <c r="G736" s="1"/>
      <c r="H736" s="19"/>
      <c r="I736" s="1"/>
      <c r="J736" s="1"/>
      <c r="K736" s="19"/>
      <c r="L736" s="1"/>
      <c r="M736" s="9"/>
      <c r="N736" s="1"/>
      <c r="O736" s="1"/>
      <c r="P736" s="1"/>
      <c r="Q736" s="1"/>
      <c r="R736" s="1"/>
    </row>
    <row r="737" spans="2:18">
      <c r="B737" s="1"/>
      <c r="C737" s="9"/>
      <c r="D737" s="9"/>
      <c r="E737" s="9"/>
      <c r="F737" s="1"/>
      <c r="G737" s="1"/>
      <c r="H737" s="19"/>
      <c r="I737" s="1"/>
      <c r="J737" s="1"/>
      <c r="K737" s="19"/>
      <c r="L737" s="1"/>
      <c r="M737" s="9"/>
      <c r="N737" s="1"/>
      <c r="O737" s="1"/>
      <c r="P737" s="1"/>
      <c r="Q737" s="1"/>
      <c r="R737" s="1"/>
    </row>
    <row r="738" spans="2:18">
      <c r="B738" s="1"/>
      <c r="C738" s="9"/>
      <c r="D738" s="9"/>
      <c r="E738" s="9"/>
      <c r="F738" s="1"/>
      <c r="G738" s="1"/>
      <c r="H738" s="19"/>
      <c r="I738" s="1"/>
      <c r="J738" s="1"/>
      <c r="K738" s="19"/>
      <c r="L738" s="1"/>
      <c r="M738" s="9"/>
      <c r="N738" s="1"/>
      <c r="O738" s="1"/>
      <c r="P738" s="1"/>
      <c r="Q738" s="1"/>
      <c r="R738" s="1"/>
    </row>
    <row r="739" spans="2:18">
      <c r="B739" s="1"/>
      <c r="C739" s="9"/>
      <c r="D739" s="9"/>
      <c r="E739" s="9"/>
      <c r="F739" s="1"/>
      <c r="G739" s="1"/>
      <c r="H739" s="19"/>
      <c r="I739" s="1"/>
      <c r="J739" s="1"/>
      <c r="K739" s="19"/>
      <c r="L739" s="1"/>
      <c r="M739" s="9"/>
      <c r="N739" s="1"/>
      <c r="O739" s="1"/>
      <c r="P739" s="1"/>
      <c r="Q739" s="1"/>
      <c r="R739" s="1"/>
    </row>
    <row r="740" spans="2:18">
      <c r="B740" s="1"/>
      <c r="C740" s="9"/>
      <c r="D740" s="9"/>
      <c r="E740" s="9"/>
      <c r="F740" s="1"/>
      <c r="G740" s="1"/>
      <c r="H740" s="19"/>
      <c r="I740" s="1"/>
      <c r="J740" s="1"/>
      <c r="K740" s="19"/>
      <c r="L740" s="1"/>
      <c r="M740" s="9"/>
      <c r="N740" s="1"/>
      <c r="O740" s="1"/>
      <c r="P740" s="1"/>
      <c r="Q740" s="1"/>
      <c r="R740" s="1"/>
    </row>
    <row r="741" spans="2:18">
      <c r="B741" s="1"/>
      <c r="C741" s="9"/>
      <c r="D741" s="9"/>
      <c r="E741" s="9"/>
      <c r="F741" s="1"/>
      <c r="G741" s="1"/>
      <c r="H741" s="19"/>
      <c r="I741" s="1"/>
      <c r="J741" s="1"/>
      <c r="K741" s="19"/>
      <c r="L741" s="1"/>
      <c r="M741" s="9"/>
      <c r="N741" s="1"/>
      <c r="O741" s="1"/>
      <c r="P741" s="1"/>
      <c r="Q741" s="1"/>
      <c r="R741" s="1"/>
    </row>
    <row r="742" spans="2:18">
      <c r="B742" s="1"/>
      <c r="C742" s="9"/>
      <c r="D742" s="9"/>
      <c r="E742" s="9"/>
      <c r="F742" s="1"/>
      <c r="G742" s="1"/>
      <c r="H742" s="19"/>
      <c r="I742" s="1"/>
      <c r="J742" s="1"/>
      <c r="K742" s="19"/>
      <c r="L742" s="1"/>
      <c r="M742" s="9"/>
      <c r="N742" s="1"/>
      <c r="O742" s="1"/>
      <c r="P742" s="1"/>
      <c r="Q742" s="1"/>
      <c r="R742" s="1"/>
    </row>
    <row r="743" spans="2:18">
      <c r="B743" s="1"/>
      <c r="C743" s="9"/>
      <c r="D743" s="9"/>
      <c r="E743" s="9"/>
      <c r="F743" s="1"/>
      <c r="G743" s="1"/>
      <c r="H743" s="19"/>
      <c r="I743" s="1"/>
      <c r="J743" s="1"/>
      <c r="K743" s="19"/>
      <c r="L743" s="1"/>
      <c r="M743" s="9"/>
      <c r="N743" s="1"/>
      <c r="O743" s="1"/>
      <c r="P743" s="1"/>
      <c r="Q743" s="1"/>
      <c r="R743" s="1"/>
    </row>
    <row r="744" spans="2:18">
      <c r="B744" s="1"/>
      <c r="C744" s="9"/>
      <c r="D744" s="9"/>
      <c r="E744" s="9"/>
      <c r="F744" s="1"/>
      <c r="G744" s="1"/>
      <c r="H744" s="19"/>
      <c r="I744" s="1"/>
      <c r="J744" s="1"/>
      <c r="K744" s="19"/>
      <c r="L744" s="1"/>
      <c r="M744" s="9"/>
      <c r="N744" s="1"/>
      <c r="O744" s="1"/>
      <c r="P744" s="1"/>
      <c r="Q744" s="1"/>
      <c r="R744" s="1"/>
    </row>
    <row r="745" spans="2:18">
      <c r="B745" s="1"/>
      <c r="C745" s="9"/>
      <c r="D745" s="9"/>
      <c r="E745" s="9"/>
      <c r="F745" s="1"/>
      <c r="G745" s="1"/>
      <c r="H745" s="19"/>
      <c r="I745" s="1"/>
      <c r="J745" s="1"/>
      <c r="K745" s="19"/>
      <c r="L745" s="1"/>
      <c r="M745" s="9"/>
      <c r="N745" s="1"/>
      <c r="O745" s="1"/>
      <c r="P745" s="1"/>
      <c r="Q745" s="1"/>
      <c r="R745" s="1"/>
    </row>
    <row r="746" spans="2:18">
      <c r="B746" s="1"/>
      <c r="C746" s="9"/>
      <c r="D746" s="9"/>
      <c r="E746" s="9"/>
      <c r="F746" s="1"/>
      <c r="G746" s="1"/>
      <c r="H746" s="19"/>
      <c r="I746" s="1"/>
      <c r="J746" s="1"/>
      <c r="K746" s="19"/>
      <c r="L746" s="1"/>
      <c r="M746" s="9"/>
      <c r="N746" s="1"/>
      <c r="O746" s="1"/>
      <c r="P746" s="1"/>
      <c r="Q746" s="1"/>
      <c r="R746" s="1"/>
    </row>
    <row r="747" spans="2:18">
      <c r="B747" s="1"/>
      <c r="C747" s="9"/>
      <c r="D747" s="9"/>
      <c r="E747" s="9"/>
      <c r="F747" s="1"/>
      <c r="G747" s="1"/>
      <c r="H747" s="19"/>
      <c r="I747" s="1"/>
      <c r="J747" s="1"/>
      <c r="K747" s="19"/>
      <c r="L747" s="1"/>
      <c r="M747" s="9"/>
      <c r="N747" s="1"/>
      <c r="O747" s="1"/>
      <c r="P747" s="1"/>
      <c r="Q747" s="1"/>
      <c r="R747" s="1"/>
    </row>
    <row r="748" spans="2:18">
      <c r="B748" s="1"/>
      <c r="C748" s="9"/>
      <c r="D748" s="9"/>
      <c r="E748" s="9"/>
      <c r="F748" s="1"/>
      <c r="G748" s="1"/>
      <c r="H748" s="19"/>
      <c r="I748" s="1"/>
      <c r="J748" s="1"/>
      <c r="K748" s="19"/>
      <c r="L748" s="1"/>
      <c r="M748" s="9"/>
      <c r="N748" s="1"/>
      <c r="O748" s="1"/>
      <c r="P748" s="1"/>
      <c r="Q748" s="1"/>
      <c r="R748" s="1"/>
    </row>
    <row r="749" spans="2:18">
      <c r="B749" s="1"/>
      <c r="C749" s="9"/>
      <c r="D749" s="9"/>
      <c r="E749" s="9"/>
      <c r="F749" s="1"/>
      <c r="G749" s="1"/>
      <c r="H749" s="19"/>
      <c r="I749" s="1"/>
      <c r="J749" s="1"/>
      <c r="K749" s="19"/>
      <c r="L749" s="1"/>
      <c r="M749" s="9"/>
      <c r="N749" s="1"/>
      <c r="O749" s="1"/>
      <c r="P749" s="1"/>
      <c r="Q749" s="1"/>
      <c r="R749" s="1"/>
    </row>
    <row r="750" spans="2:18">
      <c r="B750" s="1"/>
      <c r="C750" s="9"/>
      <c r="D750" s="9"/>
      <c r="E750" s="9"/>
      <c r="F750" s="1"/>
      <c r="G750" s="1"/>
      <c r="H750" s="19"/>
      <c r="I750" s="1"/>
      <c r="J750" s="1"/>
      <c r="K750" s="19"/>
      <c r="L750" s="1"/>
      <c r="M750" s="9"/>
      <c r="N750" s="1"/>
      <c r="O750" s="1"/>
      <c r="P750" s="1"/>
      <c r="Q750" s="1"/>
      <c r="R750" s="1"/>
    </row>
    <row r="751" spans="2:18">
      <c r="B751" s="1"/>
      <c r="C751" s="9"/>
      <c r="D751" s="9"/>
      <c r="E751" s="9"/>
      <c r="F751" s="1"/>
      <c r="G751" s="1"/>
      <c r="H751" s="19"/>
      <c r="I751" s="1"/>
      <c r="J751" s="1"/>
      <c r="K751" s="19"/>
      <c r="L751" s="1"/>
      <c r="M751" s="9"/>
      <c r="N751" s="1"/>
      <c r="O751" s="1"/>
      <c r="P751" s="1"/>
      <c r="Q751" s="1"/>
      <c r="R751" s="1"/>
    </row>
    <row r="752" spans="2:18">
      <c r="B752" s="1"/>
      <c r="C752" s="9"/>
      <c r="D752" s="9"/>
      <c r="E752" s="9"/>
      <c r="F752" s="1"/>
      <c r="G752" s="1"/>
      <c r="H752" s="19"/>
      <c r="I752" s="1"/>
      <c r="J752" s="1"/>
      <c r="K752" s="19"/>
      <c r="L752" s="1"/>
      <c r="M752" s="9"/>
      <c r="N752" s="1"/>
      <c r="O752" s="1"/>
      <c r="P752" s="1"/>
      <c r="Q752" s="1"/>
      <c r="R752" s="1"/>
    </row>
    <row r="753" spans="2:18">
      <c r="B753" s="1"/>
      <c r="C753" s="9"/>
      <c r="D753" s="9"/>
      <c r="E753" s="9"/>
      <c r="F753" s="1"/>
      <c r="G753" s="1"/>
      <c r="H753" s="19"/>
      <c r="I753" s="1"/>
      <c r="J753" s="1"/>
      <c r="K753" s="19"/>
      <c r="L753" s="1"/>
      <c r="M753" s="9"/>
      <c r="N753" s="1"/>
      <c r="O753" s="1"/>
      <c r="P753" s="1"/>
      <c r="Q753" s="1"/>
      <c r="R753" s="1"/>
    </row>
    <row r="754" spans="2:18">
      <c r="B754" s="1"/>
      <c r="C754" s="9"/>
      <c r="D754" s="9"/>
      <c r="E754" s="9"/>
      <c r="F754" s="1"/>
      <c r="G754" s="1"/>
      <c r="H754" s="19"/>
      <c r="I754" s="1"/>
      <c r="J754" s="1"/>
      <c r="K754" s="19"/>
      <c r="L754" s="1"/>
      <c r="M754" s="9"/>
      <c r="N754" s="1"/>
      <c r="O754" s="1"/>
      <c r="P754" s="1"/>
      <c r="Q754" s="1"/>
      <c r="R754" s="1"/>
    </row>
    <row r="755" spans="2:18">
      <c r="B755" s="1"/>
      <c r="C755" s="9"/>
      <c r="D755" s="9"/>
      <c r="E755" s="9"/>
      <c r="F755" s="1"/>
      <c r="G755" s="1"/>
      <c r="H755" s="19"/>
      <c r="I755" s="1"/>
      <c r="J755" s="1"/>
      <c r="K755" s="19"/>
      <c r="L755" s="1"/>
      <c r="M755" s="9"/>
      <c r="N755" s="1"/>
      <c r="O755" s="1"/>
      <c r="P755" s="1"/>
      <c r="Q755" s="1"/>
      <c r="R755" s="1"/>
    </row>
    <row r="756" spans="2:18">
      <c r="B756" s="1"/>
      <c r="C756" s="9"/>
      <c r="D756" s="9"/>
      <c r="E756" s="9"/>
      <c r="F756" s="1"/>
      <c r="G756" s="1"/>
      <c r="H756" s="19"/>
      <c r="I756" s="1"/>
      <c r="J756" s="1"/>
      <c r="K756" s="19"/>
      <c r="L756" s="1"/>
      <c r="M756" s="9"/>
      <c r="N756" s="1"/>
      <c r="O756" s="1"/>
      <c r="P756" s="1"/>
      <c r="Q756" s="1"/>
      <c r="R756" s="1"/>
    </row>
    <row r="757" spans="2:18">
      <c r="B757" s="1"/>
      <c r="C757" s="9"/>
      <c r="D757" s="9"/>
      <c r="E757" s="9"/>
      <c r="F757" s="1"/>
      <c r="G757" s="1"/>
      <c r="H757" s="19"/>
      <c r="I757" s="1"/>
      <c r="J757" s="1"/>
      <c r="K757" s="19"/>
      <c r="L757" s="1"/>
      <c r="M757" s="9"/>
      <c r="N757" s="1"/>
      <c r="O757" s="1"/>
      <c r="P757" s="1"/>
      <c r="Q757" s="1"/>
      <c r="R757" s="1"/>
    </row>
    <row r="758" spans="2:18">
      <c r="B758" s="1"/>
      <c r="C758" s="9"/>
      <c r="D758" s="9"/>
      <c r="E758" s="9"/>
      <c r="F758" s="1"/>
      <c r="G758" s="1"/>
      <c r="H758" s="19"/>
      <c r="I758" s="1"/>
      <c r="J758" s="1"/>
      <c r="K758" s="19"/>
      <c r="L758" s="1"/>
      <c r="M758" s="9"/>
      <c r="N758" s="1"/>
      <c r="O758" s="1"/>
      <c r="P758" s="1"/>
      <c r="Q758" s="1"/>
      <c r="R758" s="1"/>
    </row>
    <row r="759" spans="2:18">
      <c r="B759" s="1"/>
      <c r="C759" s="9"/>
      <c r="D759" s="9"/>
      <c r="E759" s="9"/>
      <c r="F759" s="1"/>
      <c r="G759" s="1"/>
      <c r="H759" s="19"/>
      <c r="I759" s="1"/>
      <c r="J759" s="1"/>
      <c r="K759" s="19"/>
      <c r="L759" s="1"/>
      <c r="M759" s="9"/>
      <c r="N759" s="1"/>
      <c r="O759" s="1"/>
      <c r="P759" s="1"/>
      <c r="Q759" s="1"/>
      <c r="R759" s="1"/>
    </row>
    <row r="760" spans="2:18">
      <c r="B760" s="1"/>
      <c r="C760" s="9"/>
      <c r="D760" s="9"/>
      <c r="E760" s="9"/>
      <c r="F760" s="1"/>
      <c r="G760" s="1"/>
      <c r="H760" s="19"/>
      <c r="I760" s="1"/>
      <c r="J760" s="1"/>
      <c r="K760" s="19"/>
      <c r="L760" s="1"/>
      <c r="M760" s="9"/>
      <c r="N760" s="1"/>
      <c r="O760" s="1"/>
      <c r="P760" s="1"/>
      <c r="Q760" s="1"/>
      <c r="R760" s="1"/>
    </row>
    <row r="761" spans="2:18">
      <c r="B761" s="1"/>
      <c r="C761" s="9"/>
      <c r="D761" s="9"/>
      <c r="E761" s="9"/>
      <c r="F761" s="1"/>
      <c r="G761" s="1"/>
      <c r="H761" s="19"/>
      <c r="I761" s="1"/>
      <c r="J761" s="1"/>
      <c r="K761" s="19"/>
      <c r="L761" s="1"/>
      <c r="M761" s="9"/>
      <c r="N761" s="1"/>
      <c r="O761" s="1"/>
      <c r="P761" s="1"/>
      <c r="Q761" s="1"/>
      <c r="R761" s="1"/>
    </row>
    <row r="762" spans="2:18">
      <c r="B762" s="1"/>
      <c r="C762" s="9"/>
      <c r="D762" s="9"/>
      <c r="E762" s="9"/>
      <c r="F762" s="1"/>
      <c r="G762" s="1"/>
      <c r="H762" s="19"/>
      <c r="I762" s="1"/>
      <c r="J762" s="1"/>
      <c r="K762" s="19"/>
      <c r="L762" s="1"/>
      <c r="M762" s="9"/>
      <c r="N762" s="1"/>
      <c r="O762" s="1"/>
      <c r="P762" s="1"/>
      <c r="Q762" s="1"/>
      <c r="R762" s="1"/>
    </row>
    <row r="763" spans="2:18">
      <c r="B763" s="1"/>
      <c r="C763" s="9"/>
      <c r="D763" s="9"/>
      <c r="E763" s="9"/>
      <c r="F763" s="1"/>
      <c r="G763" s="1"/>
      <c r="H763" s="19"/>
      <c r="I763" s="1"/>
      <c r="J763" s="1"/>
      <c r="K763" s="19"/>
      <c r="L763" s="1"/>
      <c r="M763" s="9"/>
      <c r="N763" s="1"/>
      <c r="O763" s="1"/>
      <c r="P763" s="1"/>
      <c r="Q763" s="1"/>
      <c r="R763" s="1"/>
    </row>
    <row r="764" spans="2:18">
      <c r="B764" s="1"/>
      <c r="C764" s="9"/>
      <c r="D764" s="9"/>
      <c r="E764" s="9"/>
      <c r="F764" s="1"/>
      <c r="G764" s="1"/>
      <c r="H764" s="19"/>
      <c r="I764" s="1"/>
      <c r="J764" s="1"/>
      <c r="K764" s="19"/>
      <c r="L764" s="1"/>
      <c r="M764" s="9"/>
      <c r="N764" s="1"/>
      <c r="O764" s="1"/>
      <c r="P764" s="1"/>
      <c r="Q764" s="1"/>
      <c r="R764" s="1"/>
    </row>
    <row r="765" spans="2:18">
      <c r="B765" s="1"/>
      <c r="C765" s="9"/>
      <c r="D765" s="9"/>
      <c r="E765" s="9"/>
      <c r="F765" s="1"/>
      <c r="G765" s="1"/>
      <c r="H765" s="19"/>
      <c r="I765" s="1"/>
      <c r="J765" s="1"/>
      <c r="K765" s="19"/>
      <c r="L765" s="1"/>
      <c r="M765" s="9"/>
      <c r="N765" s="1"/>
      <c r="O765" s="1"/>
      <c r="P765" s="1"/>
      <c r="Q765" s="1"/>
      <c r="R765" s="1"/>
    </row>
    <row r="766" spans="2:18">
      <c r="B766" s="1"/>
      <c r="C766" s="9"/>
      <c r="D766" s="9"/>
      <c r="E766" s="9"/>
      <c r="F766" s="1"/>
      <c r="G766" s="1"/>
      <c r="H766" s="19"/>
      <c r="I766" s="1"/>
      <c r="J766" s="1"/>
      <c r="K766" s="19"/>
      <c r="L766" s="1"/>
      <c r="M766" s="9"/>
      <c r="N766" s="1"/>
      <c r="O766" s="1"/>
      <c r="P766" s="1"/>
      <c r="Q766" s="1"/>
      <c r="R766" s="1"/>
    </row>
    <row r="767" spans="2:18">
      <c r="B767" s="1"/>
      <c r="C767" s="9"/>
      <c r="D767" s="9"/>
      <c r="E767" s="9"/>
      <c r="F767" s="1"/>
      <c r="G767" s="1"/>
      <c r="H767" s="19"/>
      <c r="I767" s="1"/>
      <c r="J767" s="1"/>
      <c r="K767" s="19"/>
      <c r="L767" s="1"/>
      <c r="M767" s="9"/>
      <c r="N767" s="1"/>
      <c r="O767" s="1"/>
      <c r="P767" s="1"/>
      <c r="Q767" s="1"/>
      <c r="R767" s="1"/>
    </row>
    <row r="768" spans="2:18">
      <c r="B768" s="1"/>
      <c r="C768" s="9"/>
      <c r="D768" s="9"/>
      <c r="E768" s="9"/>
      <c r="F768" s="1"/>
      <c r="G768" s="1"/>
      <c r="H768" s="19"/>
      <c r="I768" s="1"/>
      <c r="J768" s="1"/>
      <c r="K768" s="19"/>
      <c r="L768" s="1"/>
      <c r="M768" s="9"/>
      <c r="N768" s="1"/>
      <c r="O768" s="1"/>
      <c r="P768" s="1"/>
      <c r="Q768" s="1"/>
      <c r="R768" s="1"/>
    </row>
    <row r="769" spans="2:18">
      <c r="B769" s="1"/>
      <c r="C769" s="9"/>
      <c r="D769" s="9"/>
      <c r="E769" s="9"/>
      <c r="F769" s="1"/>
      <c r="G769" s="1"/>
      <c r="H769" s="19"/>
      <c r="I769" s="1"/>
      <c r="J769" s="1"/>
      <c r="K769" s="19"/>
      <c r="L769" s="1"/>
      <c r="M769" s="9"/>
      <c r="N769" s="1"/>
      <c r="O769" s="1"/>
      <c r="P769" s="1"/>
      <c r="Q769" s="1"/>
      <c r="R769" s="1"/>
    </row>
    <row r="770" spans="2:18">
      <c r="B770" s="1"/>
      <c r="C770" s="9"/>
      <c r="D770" s="9"/>
      <c r="E770" s="9"/>
      <c r="F770" s="1"/>
      <c r="G770" s="1"/>
      <c r="H770" s="19"/>
      <c r="I770" s="1"/>
      <c r="J770" s="1"/>
      <c r="K770" s="19"/>
      <c r="L770" s="1"/>
      <c r="M770" s="9"/>
      <c r="N770" s="1"/>
      <c r="O770" s="1"/>
      <c r="P770" s="1"/>
      <c r="Q770" s="1"/>
      <c r="R770" s="1"/>
    </row>
    <row r="771" spans="2:18">
      <c r="B771" s="1"/>
      <c r="C771" s="9"/>
      <c r="D771" s="9"/>
      <c r="E771" s="9"/>
      <c r="F771" s="1"/>
      <c r="G771" s="1"/>
      <c r="H771" s="19"/>
      <c r="I771" s="1"/>
      <c r="J771" s="1"/>
      <c r="K771" s="19"/>
      <c r="L771" s="1"/>
      <c r="M771" s="9"/>
      <c r="N771" s="1"/>
      <c r="O771" s="1"/>
      <c r="P771" s="1"/>
      <c r="Q771" s="1"/>
      <c r="R771" s="1"/>
    </row>
    <row r="772" spans="2:18">
      <c r="B772" s="1"/>
      <c r="C772" s="9"/>
      <c r="D772" s="9"/>
      <c r="E772" s="9"/>
      <c r="F772" s="1"/>
      <c r="G772" s="1"/>
      <c r="H772" s="19"/>
      <c r="I772" s="1"/>
      <c r="J772" s="1"/>
      <c r="K772" s="19"/>
      <c r="L772" s="1"/>
      <c r="M772" s="9"/>
      <c r="N772" s="1"/>
      <c r="O772" s="1"/>
      <c r="P772" s="1"/>
      <c r="Q772" s="1"/>
      <c r="R772" s="1"/>
    </row>
    <row r="773" spans="2:18">
      <c r="B773" s="1"/>
      <c r="C773" s="9"/>
      <c r="D773" s="9"/>
      <c r="E773" s="9"/>
      <c r="F773" s="1"/>
      <c r="G773" s="1"/>
      <c r="H773" s="19"/>
      <c r="I773" s="1"/>
      <c r="J773" s="1"/>
      <c r="K773" s="19"/>
      <c r="L773" s="1"/>
      <c r="M773" s="9"/>
      <c r="N773" s="1"/>
      <c r="O773" s="1"/>
      <c r="P773" s="1"/>
      <c r="Q773" s="1"/>
      <c r="R773" s="1"/>
    </row>
    <row r="774" spans="2:18">
      <c r="B774" s="1"/>
      <c r="C774" s="9"/>
      <c r="D774" s="9"/>
      <c r="E774" s="9"/>
      <c r="F774" s="1"/>
      <c r="G774" s="1"/>
      <c r="H774" s="19"/>
      <c r="I774" s="1"/>
      <c r="J774" s="1"/>
      <c r="K774" s="19"/>
      <c r="L774" s="1"/>
      <c r="M774" s="9"/>
      <c r="N774" s="1"/>
      <c r="O774" s="1"/>
      <c r="P774" s="1"/>
      <c r="Q774" s="1"/>
      <c r="R774" s="1"/>
    </row>
    <row r="775" spans="2:18">
      <c r="B775" s="1"/>
      <c r="C775" s="9"/>
      <c r="D775" s="9"/>
      <c r="E775" s="9"/>
      <c r="F775" s="1"/>
      <c r="G775" s="1"/>
      <c r="H775" s="19"/>
      <c r="I775" s="1"/>
      <c r="J775" s="1"/>
      <c r="K775" s="19"/>
      <c r="L775" s="1"/>
      <c r="M775" s="9"/>
      <c r="N775" s="1"/>
      <c r="O775" s="1"/>
      <c r="P775" s="1"/>
      <c r="Q775" s="1"/>
      <c r="R775" s="1"/>
    </row>
    <row r="776" spans="2:18">
      <c r="B776" s="1"/>
      <c r="C776" s="9"/>
      <c r="D776" s="9"/>
      <c r="E776" s="9"/>
      <c r="F776" s="1"/>
      <c r="G776" s="1"/>
      <c r="H776" s="19"/>
      <c r="I776" s="1"/>
      <c r="J776" s="1"/>
      <c r="K776" s="19"/>
      <c r="L776" s="1"/>
      <c r="M776" s="9"/>
      <c r="N776" s="1"/>
      <c r="O776" s="1"/>
      <c r="P776" s="1"/>
      <c r="Q776" s="1"/>
      <c r="R776" s="1"/>
    </row>
    <row r="777" spans="2:18">
      <c r="B777" s="1"/>
      <c r="C777" s="9"/>
      <c r="D777" s="9"/>
      <c r="E777" s="9"/>
      <c r="F777" s="1"/>
      <c r="G777" s="1"/>
      <c r="H777" s="19"/>
      <c r="I777" s="1"/>
      <c r="J777" s="1"/>
      <c r="K777" s="19"/>
      <c r="L777" s="1"/>
      <c r="M777" s="9"/>
      <c r="N777" s="1"/>
      <c r="O777" s="1"/>
      <c r="P777" s="1"/>
      <c r="Q777" s="1"/>
      <c r="R777" s="1"/>
    </row>
    <row r="778" spans="2:18">
      <c r="B778" s="1"/>
      <c r="C778" s="9"/>
      <c r="D778" s="9"/>
      <c r="E778" s="9"/>
      <c r="F778" s="1"/>
      <c r="G778" s="1"/>
      <c r="H778" s="19"/>
      <c r="I778" s="1"/>
      <c r="J778" s="1"/>
      <c r="K778" s="19"/>
      <c r="L778" s="1"/>
      <c r="M778" s="9"/>
      <c r="N778" s="1"/>
      <c r="O778" s="1"/>
      <c r="P778" s="1"/>
      <c r="Q778" s="1"/>
      <c r="R778" s="1"/>
    </row>
    <row r="779" spans="2:18">
      <c r="B779" s="1"/>
      <c r="C779" s="9"/>
      <c r="D779" s="9"/>
      <c r="E779" s="9"/>
      <c r="F779" s="1"/>
      <c r="G779" s="1"/>
      <c r="H779" s="19"/>
      <c r="I779" s="1"/>
      <c r="J779" s="1"/>
      <c r="K779" s="19"/>
      <c r="L779" s="1"/>
      <c r="M779" s="9"/>
      <c r="N779" s="1"/>
      <c r="O779" s="1"/>
      <c r="P779" s="1"/>
      <c r="Q779" s="1"/>
      <c r="R779" s="1"/>
    </row>
    <row r="780" spans="2:18">
      <c r="B780" s="1"/>
      <c r="C780" s="9"/>
      <c r="D780" s="9"/>
      <c r="E780" s="9"/>
      <c r="F780" s="1"/>
      <c r="G780" s="1"/>
      <c r="H780" s="19"/>
      <c r="I780" s="1"/>
      <c r="J780" s="1"/>
      <c r="K780" s="19"/>
      <c r="L780" s="1"/>
      <c r="M780" s="9"/>
      <c r="N780" s="1"/>
      <c r="O780" s="1"/>
      <c r="P780" s="1"/>
      <c r="Q780" s="1"/>
      <c r="R780" s="1"/>
    </row>
    <row r="781" spans="2:18">
      <c r="B781" s="1"/>
      <c r="C781" s="9"/>
      <c r="D781" s="9"/>
      <c r="E781" s="9"/>
      <c r="F781" s="1"/>
      <c r="G781" s="1"/>
      <c r="H781" s="19"/>
      <c r="I781" s="1"/>
      <c r="J781" s="1"/>
      <c r="K781" s="19"/>
      <c r="L781" s="1"/>
      <c r="M781" s="9"/>
      <c r="N781" s="1"/>
      <c r="O781" s="1"/>
      <c r="P781" s="1"/>
      <c r="Q781" s="1"/>
      <c r="R781" s="1"/>
    </row>
    <row r="782" spans="2:18">
      <c r="B782" s="1"/>
      <c r="C782" s="9"/>
      <c r="D782" s="9"/>
      <c r="E782" s="9"/>
      <c r="F782" s="1"/>
      <c r="G782" s="1"/>
      <c r="H782" s="19"/>
      <c r="I782" s="1"/>
      <c r="J782" s="1"/>
      <c r="K782" s="19"/>
      <c r="L782" s="1"/>
      <c r="M782" s="9"/>
      <c r="N782" s="1"/>
      <c r="O782" s="1"/>
      <c r="P782" s="1"/>
      <c r="Q782" s="1"/>
      <c r="R782" s="1"/>
    </row>
    <row r="783" spans="2:18">
      <c r="B783" s="1"/>
      <c r="C783" s="9"/>
      <c r="D783" s="9"/>
      <c r="E783" s="9"/>
      <c r="F783" s="1"/>
      <c r="G783" s="1"/>
      <c r="H783" s="19"/>
      <c r="I783" s="1"/>
      <c r="J783" s="1"/>
      <c r="K783" s="19"/>
      <c r="L783" s="1"/>
      <c r="M783" s="9"/>
      <c r="N783" s="1"/>
      <c r="O783" s="1"/>
      <c r="P783" s="1"/>
      <c r="Q783" s="1"/>
      <c r="R783" s="1"/>
    </row>
    <row r="784" spans="2:18">
      <c r="B784" s="1"/>
      <c r="C784" s="9"/>
      <c r="D784" s="9"/>
      <c r="E784" s="9"/>
      <c r="F784" s="1"/>
      <c r="G784" s="1"/>
      <c r="H784" s="19"/>
      <c r="I784" s="1"/>
      <c r="J784" s="1"/>
      <c r="K784" s="19"/>
      <c r="L784" s="1"/>
      <c r="M784" s="9"/>
      <c r="N784" s="1"/>
      <c r="O784" s="1"/>
      <c r="P784" s="1"/>
      <c r="Q784" s="1"/>
      <c r="R784" s="1"/>
    </row>
    <row r="785" spans="2:18">
      <c r="B785" s="1"/>
      <c r="C785" s="9"/>
      <c r="D785" s="9"/>
      <c r="E785" s="9"/>
      <c r="F785" s="1"/>
      <c r="G785" s="1"/>
      <c r="H785" s="19"/>
      <c r="I785" s="1"/>
      <c r="J785" s="1"/>
      <c r="K785" s="19"/>
      <c r="L785" s="1"/>
      <c r="M785" s="9"/>
      <c r="N785" s="1"/>
      <c r="O785" s="1"/>
      <c r="P785" s="1"/>
      <c r="Q785" s="1"/>
      <c r="R785" s="1"/>
    </row>
    <row r="786" spans="2:18">
      <c r="B786" s="1"/>
      <c r="C786" s="9"/>
      <c r="D786" s="9"/>
      <c r="E786" s="9"/>
      <c r="F786" s="1"/>
      <c r="G786" s="1"/>
      <c r="H786" s="19"/>
      <c r="I786" s="1"/>
      <c r="J786" s="1"/>
      <c r="K786" s="19"/>
      <c r="L786" s="1"/>
      <c r="M786" s="9"/>
      <c r="N786" s="1"/>
      <c r="O786" s="1"/>
      <c r="P786" s="1"/>
      <c r="Q786" s="1"/>
      <c r="R786" s="1"/>
    </row>
    <row r="787" spans="2:18">
      <c r="B787" s="1"/>
      <c r="C787" s="9"/>
      <c r="D787" s="9"/>
      <c r="E787" s="9"/>
      <c r="F787" s="1"/>
      <c r="G787" s="1"/>
      <c r="H787" s="19"/>
      <c r="I787" s="1"/>
      <c r="J787" s="1"/>
      <c r="K787" s="19"/>
      <c r="L787" s="1"/>
      <c r="M787" s="9"/>
      <c r="N787" s="1"/>
      <c r="O787" s="1"/>
      <c r="P787" s="1"/>
      <c r="Q787" s="1"/>
      <c r="R787" s="1"/>
    </row>
    <row r="788" spans="2:18">
      <c r="B788" s="1"/>
      <c r="C788" s="9"/>
      <c r="D788" s="9"/>
      <c r="E788" s="9"/>
      <c r="F788" s="1"/>
      <c r="G788" s="1"/>
      <c r="H788" s="19"/>
      <c r="I788" s="1"/>
      <c r="J788" s="1"/>
      <c r="K788" s="19"/>
      <c r="L788" s="1"/>
      <c r="M788" s="9"/>
      <c r="N788" s="1"/>
      <c r="O788" s="1"/>
      <c r="P788" s="1"/>
      <c r="Q788" s="1"/>
      <c r="R788" s="1"/>
    </row>
    <row r="789" spans="2:18">
      <c r="B789" s="1"/>
      <c r="C789" s="9"/>
      <c r="D789" s="9"/>
      <c r="E789" s="9"/>
      <c r="F789" s="1"/>
      <c r="G789" s="1"/>
      <c r="H789" s="19"/>
      <c r="I789" s="1"/>
      <c r="J789" s="1"/>
      <c r="K789" s="19"/>
      <c r="L789" s="1"/>
      <c r="M789" s="9"/>
      <c r="N789" s="1"/>
      <c r="O789" s="1"/>
      <c r="P789" s="1"/>
      <c r="Q789" s="1"/>
      <c r="R789" s="1"/>
    </row>
    <row r="790" spans="2:18">
      <c r="B790" s="1"/>
      <c r="C790" s="9"/>
      <c r="D790" s="9"/>
      <c r="E790" s="9"/>
      <c r="F790" s="1"/>
      <c r="G790" s="1"/>
      <c r="H790" s="19"/>
      <c r="I790" s="1"/>
      <c r="J790" s="1"/>
      <c r="K790" s="19"/>
      <c r="L790" s="1"/>
      <c r="M790" s="9"/>
      <c r="N790" s="1"/>
      <c r="O790" s="1"/>
      <c r="P790" s="1"/>
      <c r="Q790" s="1"/>
      <c r="R790" s="1"/>
    </row>
    <row r="791" spans="2:18">
      <c r="B791" s="1"/>
      <c r="C791" s="9"/>
      <c r="D791" s="9"/>
      <c r="E791" s="9"/>
      <c r="F791" s="1"/>
      <c r="G791" s="1"/>
      <c r="H791" s="19"/>
      <c r="I791" s="1"/>
      <c r="J791" s="1"/>
      <c r="K791" s="19"/>
      <c r="L791" s="1"/>
      <c r="M791" s="9"/>
      <c r="N791" s="1"/>
      <c r="O791" s="1"/>
      <c r="P791" s="1"/>
      <c r="Q791" s="1"/>
      <c r="R791" s="1"/>
    </row>
    <row r="792" spans="2:18">
      <c r="B792" s="1"/>
      <c r="C792" s="9"/>
      <c r="D792" s="9"/>
      <c r="E792" s="9"/>
      <c r="F792" s="1"/>
      <c r="G792" s="1"/>
      <c r="H792" s="19"/>
      <c r="I792" s="1"/>
      <c r="J792" s="1"/>
      <c r="K792" s="19"/>
      <c r="L792" s="1"/>
      <c r="M792" s="9"/>
      <c r="N792" s="1"/>
      <c r="O792" s="1"/>
      <c r="P792" s="1"/>
      <c r="Q792" s="1"/>
      <c r="R792" s="1"/>
    </row>
    <row r="793" spans="2:18">
      <c r="B793" s="1"/>
      <c r="C793" s="9"/>
      <c r="D793" s="9"/>
      <c r="E793" s="9"/>
      <c r="F793" s="1"/>
      <c r="G793" s="1"/>
      <c r="H793" s="19"/>
      <c r="I793" s="1"/>
      <c r="J793" s="1"/>
      <c r="K793" s="19"/>
      <c r="L793" s="1"/>
      <c r="M793" s="9"/>
      <c r="N793" s="1"/>
      <c r="O793" s="1"/>
      <c r="P793" s="1"/>
      <c r="Q793" s="1"/>
      <c r="R793" s="1"/>
    </row>
    <row r="794" spans="2:18">
      <c r="B794" s="1"/>
      <c r="C794" s="9"/>
      <c r="D794" s="9"/>
      <c r="E794" s="9"/>
      <c r="F794" s="1"/>
      <c r="G794" s="1"/>
      <c r="H794" s="19"/>
      <c r="I794" s="1"/>
      <c r="J794" s="1"/>
      <c r="K794" s="19"/>
      <c r="L794" s="1"/>
      <c r="M794" s="9"/>
      <c r="N794" s="1"/>
      <c r="O794" s="1"/>
      <c r="P794" s="1"/>
      <c r="Q794" s="1"/>
      <c r="R794" s="1"/>
    </row>
    <row r="795" spans="2:18">
      <c r="B795" s="1"/>
      <c r="C795" s="9"/>
      <c r="D795" s="9"/>
      <c r="E795" s="9"/>
      <c r="F795" s="1"/>
      <c r="G795" s="1"/>
      <c r="H795" s="19"/>
      <c r="I795" s="1"/>
      <c r="J795" s="1"/>
      <c r="K795" s="19"/>
      <c r="L795" s="1"/>
      <c r="M795" s="9"/>
      <c r="N795" s="1"/>
      <c r="O795" s="1"/>
      <c r="P795" s="1"/>
      <c r="Q795" s="1"/>
      <c r="R795" s="1"/>
    </row>
    <row r="796" spans="2:18">
      <c r="B796" s="1"/>
      <c r="C796" s="9"/>
      <c r="D796" s="9"/>
      <c r="E796" s="9"/>
      <c r="F796" s="1"/>
      <c r="G796" s="1"/>
      <c r="H796" s="19"/>
      <c r="I796" s="1"/>
      <c r="J796" s="1"/>
      <c r="K796" s="19"/>
      <c r="L796" s="1"/>
      <c r="M796" s="9"/>
      <c r="N796" s="1"/>
      <c r="O796" s="1"/>
      <c r="P796" s="1"/>
      <c r="Q796" s="1"/>
      <c r="R796" s="1"/>
    </row>
    <row r="797" spans="2:18">
      <c r="B797" s="1"/>
      <c r="C797" s="9"/>
      <c r="D797" s="9"/>
      <c r="E797" s="9"/>
      <c r="F797" s="1"/>
      <c r="G797" s="1"/>
      <c r="H797" s="19"/>
      <c r="I797" s="1"/>
      <c r="J797" s="1"/>
      <c r="K797" s="19"/>
      <c r="L797" s="1"/>
      <c r="M797" s="9"/>
      <c r="N797" s="1"/>
      <c r="O797" s="1"/>
      <c r="P797" s="1"/>
      <c r="Q797" s="1"/>
      <c r="R797" s="1"/>
    </row>
    <row r="798" spans="2:18">
      <c r="B798" s="1"/>
      <c r="C798" s="9"/>
      <c r="D798" s="9"/>
      <c r="E798" s="9"/>
      <c r="F798" s="1"/>
      <c r="G798" s="1"/>
      <c r="H798" s="19"/>
      <c r="I798" s="1"/>
      <c r="J798" s="1"/>
      <c r="K798" s="19"/>
      <c r="L798" s="1"/>
      <c r="M798" s="9"/>
      <c r="N798" s="1"/>
      <c r="O798" s="1"/>
      <c r="P798" s="1"/>
      <c r="Q798" s="1"/>
      <c r="R798" s="1"/>
    </row>
    <row r="799" spans="2:18">
      <c r="B799" s="1"/>
      <c r="C799" s="9"/>
      <c r="D799" s="9"/>
      <c r="E799" s="9"/>
      <c r="F799" s="1"/>
      <c r="G799" s="1"/>
      <c r="H799" s="19"/>
      <c r="I799" s="1"/>
      <c r="J799" s="1"/>
      <c r="K799" s="19"/>
      <c r="L799" s="1"/>
      <c r="M799" s="9"/>
      <c r="N799" s="1"/>
      <c r="O799" s="1"/>
      <c r="P799" s="1"/>
      <c r="Q799" s="1"/>
      <c r="R799" s="1"/>
    </row>
    <row r="800" spans="2:18">
      <c r="B800" s="1"/>
      <c r="C800" s="9"/>
      <c r="D800" s="9"/>
      <c r="E800" s="9"/>
      <c r="F800" s="1"/>
      <c r="G800" s="1"/>
      <c r="H800" s="19"/>
      <c r="I800" s="1"/>
      <c r="J800" s="1"/>
      <c r="K800" s="19"/>
      <c r="L800" s="1"/>
      <c r="M800" s="9"/>
      <c r="N800" s="1"/>
      <c r="O800" s="1"/>
      <c r="P800" s="1"/>
      <c r="Q800" s="1"/>
      <c r="R800" s="1"/>
    </row>
    <row r="801" spans="2:18">
      <c r="B801" s="1"/>
      <c r="C801" s="9"/>
      <c r="D801" s="9"/>
      <c r="E801" s="9"/>
      <c r="F801" s="1"/>
      <c r="G801" s="1"/>
      <c r="H801" s="19"/>
      <c r="I801" s="1"/>
      <c r="J801" s="1"/>
      <c r="K801" s="19"/>
      <c r="L801" s="1"/>
      <c r="M801" s="9"/>
      <c r="N801" s="1"/>
      <c r="O801" s="1"/>
      <c r="P801" s="1"/>
      <c r="Q801" s="1"/>
      <c r="R801" s="1"/>
    </row>
    <row r="802" spans="2:18">
      <c r="B802" s="1"/>
      <c r="C802" s="9"/>
      <c r="D802" s="9"/>
      <c r="E802" s="9"/>
      <c r="F802" s="1"/>
      <c r="G802" s="1"/>
      <c r="H802" s="19"/>
      <c r="I802" s="1"/>
      <c r="J802" s="1"/>
      <c r="K802" s="19"/>
      <c r="L802" s="1"/>
      <c r="M802" s="9"/>
      <c r="N802" s="1"/>
      <c r="O802" s="1"/>
      <c r="P802" s="1"/>
      <c r="Q802" s="1"/>
      <c r="R802" s="1"/>
    </row>
    <row r="803" spans="2:18">
      <c r="B803" s="1"/>
      <c r="C803" s="9"/>
      <c r="D803" s="9"/>
      <c r="E803" s="9"/>
      <c r="F803" s="1"/>
      <c r="G803" s="1"/>
      <c r="H803" s="19"/>
      <c r="I803" s="1"/>
      <c r="J803" s="1"/>
      <c r="K803" s="19"/>
      <c r="L803" s="1"/>
      <c r="M803" s="9"/>
      <c r="N803" s="1"/>
      <c r="O803" s="1"/>
      <c r="P803" s="1"/>
      <c r="Q803" s="1"/>
      <c r="R803" s="1"/>
    </row>
    <row r="804" spans="2:18">
      <c r="B804" s="1"/>
      <c r="C804" s="9"/>
      <c r="D804" s="9"/>
      <c r="E804" s="9"/>
      <c r="F804" s="1"/>
      <c r="G804" s="1"/>
      <c r="H804" s="19"/>
      <c r="I804" s="1"/>
      <c r="J804" s="1"/>
      <c r="K804" s="19"/>
      <c r="L804" s="1"/>
      <c r="M804" s="9"/>
      <c r="N804" s="1"/>
      <c r="O804" s="1"/>
      <c r="P804" s="1"/>
      <c r="Q804" s="1"/>
      <c r="R804" s="1"/>
    </row>
    <row r="805" spans="2:18">
      <c r="B805" s="1"/>
      <c r="C805" s="9"/>
      <c r="D805" s="9"/>
      <c r="E805" s="9"/>
      <c r="F805" s="1"/>
      <c r="G805" s="1"/>
      <c r="H805" s="19"/>
      <c r="I805" s="1"/>
      <c r="J805" s="1"/>
      <c r="K805" s="19"/>
      <c r="L805" s="1"/>
      <c r="M805" s="9"/>
      <c r="N805" s="1"/>
      <c r="O805" s="1"/>
      <c r="P805" s="1"/>
      <c r="Q805" s="1"/>
      <c r="R805" s="1"/>
    </row>
    <row r="806" spans="2:18">
      <c r="B806" s="1"/>
      <c r="C806" s="9"/>
      <c r="D806" s="9"/>
      <c r="E806" s="9"/>
      <c r="F806" s="1"/>
      <c r="G806" s="1"/>
      <c r="H806" s="19"/>
      <c r="I806" s="1"/>
      <c r="J806" s="1"/>
      <c r="K806" s="19"/>
      <c r="L806" s="1"/>
      <c r="M806" s="9"/>
      <c r="N806" s="1"/>
      <c r="O806" s="1"/>
      <c r="P806" s="1"/>
      <c r="Q806" s="1"/>
      <c r="R806" s="1"/>
    </row>
    <row r="807" spans="2:18">
      <c r="B807" s="1"/>
      <c r="C807" s="9"/>
      <c r="D807" s="9"/>
      <c r="E807" s="9"/>
      <c r="F807" s="1"/>
      <c r="G807" s="1"/>
      <c r="H807" s="19"/>
      <c r="I807" s="1"/>
      <c r="J807" s="1"/>
      <c r="K807" s="19"/>
      <c r="L807" s="1"/>
      <c r="M807" s="9"/>
      <c r="N807" s="1"/>
      <c r="O807" s="1"/>
      <c r="P807" s="1"/>
      <c r="Q807" s="1"/>
      <c r="R807" s="1"/>
    </row>
    <row r="808" spans="2:18">
      <c r="B808" s="1"/>
      <c r="C808" s="9"/>
      <c r="D808" s="9"/>
      <c r="E808" s="9"/>
      <c r="F808" s="1"/>
      <c r="G808" s="1"/>
      <c r="H808" s="19"/>
      <c r="I808" s="1"/>
      <c r="J808" s="1"/>
      <c r="K808" s="19"/>
      <c r="L808" s="1"/>
      <c r="M808" s="9"/>
      <c r="N808" s="1"/>
      <c r="O808" s="1"/>
      <c r="P808" s="1"/>
      <c r="Q808" s="1"/>
      <c r="R808" s="1"/>
    </row>
    <row r="809" spans="2:18">
      <c r="B809" s="1"/>
      <c r="C809" s="9"/>
      <c r="D809" s="9"/>
      <c r="E809" s="9"/>
      <c r="F809" s="1"/>
      <c r="G809" s="1"/>
      <c r="H809" s="19"/>
      <c r="I809" s="1"/>
      <c r="J809" s="1"/>
      <c r="K809" s="19"/>
      <c r="L809" s="1"/>
      <c r="M809" s="9"/>
      <c r="N809" s="1"/>
      <c r="O809" s="1"/>
      <c r="P809" s="1"/>
      <c r="Q809" s="1"/>
      <c r="R809" s="1"/>
    </row>
    <row r="810" spans="2:18">
      <c r="B810" s="1"/>
      <c r="C810" s="9"/>
      <c r="D810" s="9"/>
      <c r="E810" s="9"/>
      <c r="F810" s="1"/>
      <c r="G810" s="1"/>
      <c r="H810" s="19"/>
      <c r="I810" s="1"/>
      <c r="J810" s="1"/>
      <c r="K810" s="19"/>
      <c r="L810" s="1"/>
      <c r="M810" s="9"/>
      <c r="N810" s="1"/>
      <c r="O810" s="1"/>
      <c r="P810" s="1"/>
      <c r="Q810" s="1"/>
      <c r="R810" s="1"/>
    </row>
    <row r="811" spans="2:18">
      <c r="B811" s="1"/>
      <c r="C811" s="9"/>
      <c r="D811" s="9"/>
      <c r="E811" s="9"/>
      <c r="F811" s="1"/>
      <c r="G811" s="1"/>
      <c r="H811" s="19"/>
      <c r="I811" s="1"/>
      <c r="J811" s="1"/>
      <c r="K811" s="19"/>
      <c r="L811" s="1"/>
      <c r="M811" s="9"/>
      <c r="N811" s="1"/>
      <c r="O811" s="1"/>
      <c r="P811" s="1"/>
      <c r="Q811" s="1"/>
      <c r="R811" s="1"/>
    </row>
    <row r="812" spans="2:18">
      <c r="B812" s="1"/>
      <c r="C812" s="9"/>
      <c r="D812" s="9"/>
      <c r="E812" s="9"/>
      <c r="F812" s="1"/>
      <c r="G812" s="1"/>
      <c r="H812" s="19"/>
      <c r="I812" s="1"/>
      <c r="J812" s="1"/>
      <c r="K812" s="19"/>
      <c r="L812" s="1"/>
      <c r="M812" s="9"/>
      <c r="N812" s="1"/>
      <c r="O812" s="1"/>
      <c r="P812" s="1"/>
      <c r="Q812" s="1"/>
      <c r="R812" s="1"/>
    </row>
    <row r="813" spans="2:18">
      <c r="B813" s="1"/>
      <c r="C813" s="9"/>
      <c r="D813" s="9"/>
      <c r="E813" s="9"/>
      <c r="F813" s="1"/>
      <c r="G813" s="1"/>
      <c r="H813" s="19"/>
      <c r="I813" s="1"/>
      <c r="J813" s="1"/>
      <c r="K813" s="19"/>
      <c r="L813" s="1"/>
      <c r="M813" s="9"/>
      <c r="N813" s="1"/>
      <c r="O813" s="1"/>
      <c r="P813" s="1"/>
      <c r="Q813" s="1"/>
      <c r="R813" s="1"/>
    </row>
    <row r="814" spans="2:18">
      <c r="B814" s="1"/>
      <c r="C814" s="9"/>
      <c r="D814" s="9"/>
      <c r="E814" s="9"/>
      <c r="F814" s="1"/>
      <c r="G814" s="1"/>
      <c r="H814" s="19"/>
      <c r="I814" s="1"/>
      <c r="J814" s="1"/>
      <c r="K814" s="19"/>
      <c r="L814" s="1"/>
      <c r="M814" s="9"/>
      <c r="N814" s="1"/>
      <c r="O814" s="1"/>
      <c r="P814" s="1"/>
      <c r="Q814" s="1"/>
      <c r="R814" s="1"/>
    </row>
    <row r="815" spans="2:18">
      <c r="B815" s="1"/>
      <c r="C815" s="9"/>
      <c r="D815" s="9"/>
      <c r="E815" s="9"/>
      <c r="F815" s="1"/>
      <c r="G815" s="1"/>
      <c r="H815" s="19"/>
      <c r="I815" s="1"/>
      <c r="J815" s="1"/>
      <c r="K815" s="19"/>
      <c r="L815" s="1"/>
      <c r="M815" s="9"/>
      <c r="N815" s="1"/>
      <c r="O815" s="1"/>
      <c r="P815" s="1"/>
      <c r="Q815" s="1"/>
      <c r="R815" s="1"/>
    </row>
    <row r="816" spans="2:18">
      <c r="B816" s="1"/>
      <c r="C816" s="9"/>
      <c r="D816" s="9"/>
      <c r="E816" s="9"/>
      <c r="F816" s="1"/>
      <c r="G816" s="1"/>
      <c r="H816" s="19"/>
      <c r="I816" s="1"/>
      <c r="J816" s="1"/>
      <c r="K816" s="19"/>
      <c r="L816" s="1"/>
      <c r="M816" s="9"/>
      <c r="N816" s="1"/>
      <c r="O816" s="1"/>
      <c r="P816" s="1"/>
      <c r="Q816" s="1"/>
      <c r="R816" s="1"/>
    </row>
    <row r="817" spans="2:18">
      <c r="B817" s="1"/>
      <c r="C817" s="9"/>
      <c r="D817" s="9"/>
      <c r="E817" s="9"/>
      <c r="F817" s="1"/>
      <c r="G817" s="1"/>
      <c r="H817" s="19"/>
      <c r="I817" s="1"/>
      <c r="J817" s="1"/>
      <c r="K817" s="19"/>
      <c r="L817" s="1"/>
      <c r="M817" s="9"/>
      <c r="N817" s="1"/>
      <c r="O817" s="1"/>
      <c r="P817" s="1"/>
      <c r="Q817" s="1"/>
      <c r="R817" s="1"/>
    </row>
    <row r="818" spans="2:18">
      <c r="B818" s="1"/>
      <c r="C818" s="9"/>
      <c r="D818" s="9"/>
      <c r="E818" s="9"/>
      <c r="F818" s="1"/>
      <c r="G818" s="1"/>
      <c r="H818" s="19"/>
      <c r="I818" s="1"/>
      <c r="J818" s="1"/>
      <c r="K818" s="19"/>
      <c r="L818" s="1"/>
      <c r="M818" s="9"/>
      <c r="N818" s="1"/>
      <c r="O818" s="1"/>
      <c r="P818" s="1"/>
      <c r="Q818" s="1"/>
      <c r="R818" s="1"/>
    </row>
    <row r="819" spans="2:18">
      <c r="B819" s="1"/>
      <c r="C819" s="9"/>
      <c r="D819" s="9"/>
      <c r="E819" s="9"/>
      <c r="F819" s="1"/>
      <c r="G819" s="1"/>
      <c r="H819" s="19"/>
      <c r="I819" s="1"/>
      <c r="J819" s="1"/>
      <c r="K819" s="19"/>
      <c r="L819" s="1"/>
      <c r="M819" s="9"/>
      <c r="N819" s="1"/>
      <c r="O819" s="1"/>
      <c r="P819" s="1"/>
      <c r="Q819" s="1"/>
      <c r="R819" s="1"/>
    </row>
    <row r="820" spans="2:18">
      <c r="B820" s="1"/>
      <c r="C820" s="9"/>
      <c r="D820" s="9"/>
      <c r="E820" s="9"/>
      <c r="F820" s="1"/>
      <c r="G820" s="1"/>
      <c r="H820" s="19"/>
      <c r="I820" s="1"/>
      <c r="J820" s="1"/>
      <c r="K820" s="19"/>
      <c r="L820" s="1"/>
      <c r="M820" s="9"/>
      <c r="N820" s="1"/>
      <c r="O820" s="1"/>
      <c r="P820" s="1"/>
      <c r="Q820" s="1"/>
      <c r="R820" s="1"/>
    </row>
    <row r="821" spans="2:18">
      <c r="B821" s="1"/>
      <c r="C821" s="9"/>
      <c r="D821" s="9"/>
      <c r="E821" s="9"/>
      <c r="F821" s="1"/>
      <c r="G821" s="1"/>
      <c r="H821" s="19"/>
      <c r="I821" s="1"/>
      <c r="J821" s="1"/>
      <c r="K821" s="19"/>
      <c r="L821" s="1"/>
      <c r="M821" s="9"/>
      <c r="N821" s="1"/>
      <c r="O821" s="1"/>
      <c r="P821" s="1"/>
      <c r="Q821" s="1"/>
      <c r="R821" s="1"/>
    </row>
    <row r="822" spans="2:18">
      <c r="B822" s="1"/>
      <c r="C822" s="9"/>
      <c r="D822" s="9"/>
      <c r="E822" s="9"/>
      <c r="F822" s="1"/>
      <c r="G822" s="1"/>
      <c r="H822" s="19"/>
      <c r="I822" s="1"/>
      <c r="J822" s="1"/>
      <c r="K822" s="19"/>
      <c r="L822" s="1"/>
      <c r="M822" s="9"/>
      <c r="N822" s="1"/>
      <c r="O822" s="1"/>
      <c r="P822" s="1"/>
      <c r="Q822" s="1"/>
      <c r="R822" s="1"/>
    </row>
    <row r="823" spans="2:18">
      <c r="B823" s="1"/>
      <c r="C823" s="9"/>
      <c r="D823" s="9"/>
      <c r="E823" s="9"/>
      <c r="F823" s="1"/>
      <c r="G823" s="1"/>
      <c r="H823" s="19"/>
      <c r="I823" s="1"/>
      <c r="J823" s="1"/>
      <c r="K823" s="19"/>
      <c r="L823" s="1"/>
      <c r="M823" s="9"/>
      <c r="N823" s="1"/>
      <c r="O823" s="1"/>
      <c r="P823" s="1"/>
      <c r="Q823" s="1"/>
      <c r="R823" s="1"/>
    </row>
    <row r="824" spans="2:18">
      <c r="B824" s="1"/>
      <c r="C824" s="9"/>
      <c r="D824" s="9"/>
      <c r="E824" s="9"/>
      <c r="F824" s="1"/>
      <c r="G824" s="1"/>
      <c r="H824" s="19"/>
      <c r="I824" s="1"/>
      <c r="J824" s="1"/>
      <c r="K824" s="19"/>
      <c r="L824" s="1"/>
      <c r="M824" s="9"/>
      <c r="N824" s="1"/>
      <c r="O824" s="1"/>
      <c r="P824" s="1"/>
      <c r="Q824" s="1"/>
      <c r="R824" s="1"/>
    </row>
    <row r="825" spans="2:18">
      <c r="B825" s="1"/>
      <c r="C825" s="9"/>
      <c r="D825" s="9"/>
      <c r="E825" s="9"/>
      <c r="F825" s="1"/>
      <c r="G825" s="1"/>
      <c r="H825" s="19"/>
      <c r="I825" s="1"/>
      <c r="J825" s="1"/>
      <c r="K825" s="19"/>
      <c r="L825" s="1"/>
      <c r="M825" s="9"/>
      <c r="N825" s="1"/>
      <c r="O825" s="1"/>
      <c r="P825" s="1"/>
      <c r="Q825" s="1"/>
      <c r="R825" s="1"/>
    </row>
    <row r="826" spans="2:18">
      <c r="B826" s="1"/>
      <c r="C826" s="9"/>
      <c r="D826" s="9"/>
      <c r="E826" s="9"/>
      <c r="F826" s="1"/>
      <c r="G826" s="1"/>
      <c r="H826" s="19"/>
      <c r="I826" s="1"/>
      <c r="J826" s="1"/>
      <c r="K826" s="19"/>
      <c r="L826" s="1"/>
      <c r="M826" s="9"/>
      <c r="N826" s="1"/>
      <c r="O826" s="1"/>
      <c r="P826" s="1"/>
      <c r="Q826" s="1"/>
      <c r="R826" s="1"/>
    </row>
    <row r="827" spans="2:18">
      <c r="B827" s="1"/>
      <c r="C827" s="9"/>
      <c r="D827" s="9"/>
      <c r="E827" s="9"/>
      <c r="F827" s="1"/>
      <c r="G827" s="1"/>
      <c r="H827" s="19"/>
      <c r="I827" s="1"/>
      <c r="J827" s="1"/>
      <c r="K827" s="19"/>
      <c r="L827" s="1"/>
      <c r="M827" s="9"/>
      <c r="N827" s="1"/>
      <c r="O827" s="1"/>
      <c r="P827" s="1"/>
      <c r="Q827" s="1"/>
      <c r="R827" s="1"/>
    </row>
    <row r="828" spans="2:18">
      <c r="B828" s="1"/>
      <c r="C828" s="9"/>
      <c r="D828" s="9"/>
      <c r="E828" s="9"/>
      <c r="F828" s="1"/>
      <c r="G828" s="1"/>
      <c r="H828" s="19"/>
      <c r="I828" s="1"/>
      <c r="J828" s="1"/>
      <c r="K828" s="19"/>
      <c r="L828" s="1"/>
      <c r="M828" s="9"/>
      <c r="N828" s="1"/>
      <c r="O828" s="1"/>
      <c r="P828" s="1"/>
      <c r="Q828" s="1"/>
      <c r="R828" s="1"/>
    </row>
    <row r="829" spans="2:18">
      <c r="B829" s="1"/>
      <c r="C829" s="9"/>
      <c r="D829" s="9"/>
      <c r="E829" s="9"/>
      <c r="F829" s="1"/>
      <c r="G829" s="1"/>
      <c r="H829" s="19"/>
      <c r="I829" s="1"/>
      <c r="J829" s="1"/>
      <c r="K829" s="19"/>
      <c r="L829" s="1"/>
      <c r="M829" s="9"/>
      <c r="N829" s="1"/>
      <c r="O829" s="1"/>
      <c r="P829" s="1"/>
      <c r="Q829" s="1"/>
      <c r="R829" s="1"/>
    </row>
    <row r="830" spans="2:18">
      <c r="B830" s="1"/>
      <c r="C830" s="9"/>
      <c r="D830" s="9"/>
      <c r="E830" s="9"/>
      <c r="F830" s="1"/>
      <c r="G830" s="1"/>
      <c r="H830" s="19"/>
      <c r="I830" s="1"/>
      <c r="J830" s="1"/>
      <c r="K830" s="19"/>
      <c r="L830" s="1"/>
      <c r="M830" s="9"/>
      <c r="N830" s="1"/>
      <c r="O830" s="1"/>
      <c r="P830" s="1"/>
      <c r="Q830" s="1"/>
      <c r="R830" s="1"/>
    </row>
    <row r="831" spans="2:18">
      <c r="B831" s="1"/>
      <c r="C831" s="9"/>
      <c r="D831" s="9"/>
      <c r="E831" s="9"/>
      <c r="F831" s="1"/>
      <c r="G831" s="1"/>
      <c r="H831" s="19"/>
      <c r="I831" s="1"/>
      <c r="J831" s="1"/>
      <c r="K831" s="19"/>
      <c r="L831" s="1"/>
      <c r="M831" s="9"/>
      <c r="N831" s="1"/>
      <c r="O831" s="1"/>
      <c r="P831" s="1"/>
      <c r="Q831" s="1"/>
      <c r="R831" s="1"/>
    </row>
    <row r="832" spans="2:18">
      <c r="B832" s="1"/>
      <c r="C832" s="9"/>
      <c r="D832" s="9"/>
      <c r="E832" s="9"/>
      <c r="F832" s="1"/>
      <c r="G832" s="1"/>
      <c r="H832" s="19"/>
      <c r="I832" s="1"/>
      <c r="J832" s="1"/>
      <c r="K832" s="19"/>
      <c r="L832" s="1"/>
      <c r="M832" s="9"/>
      <c r="N832" s="1"/>
      <c r="O832" s="1"/>
      <c r="P832" s="1"/>
      <c r="Q832" s="1"/>
      <c r="R832" s="1"/>
    </row>
    <row r="833" spans="2:18">
      <c r="B833" s="1"/>
      <c r="C833" s="9"/>
      <c r="D833" s="9"/>
      <c r="E833" s="9"/>
      <c r="F833" s="1"/>
      <c r="G833" s="1"/>
      <c r="H833" s="19"/>
      <c r="I833" s="1"/>
      <c r="J833" s="1"/>
      <c r="K833" s="19"/>
      <c r="L833" s="1"/>
      <c r="M833" s="9"/>
      <c r="N833" s="1"/>
      <c r="O833" s="1"/>
      <c r="P833" s="1"/>
      <c r="Q833" s="1"/>
      <c r="R833" s="1"/>
    </row>
    <row r="834" spans="2:18">
      <c r="B834" s="1"/>
      <c r="C834" s="9"/>
      <c r="D834" s="9"/>
      <c r="E834" s="9"/>
      <c r="F834" s="1"/>
      <c r="G834" s="1"/>
      <c r="H834" s="19"/>
      <c r="I834" s="1"/>
      <c r="J834" s="1"/>
      <c r="K834" s="19"/>
      <c r="L834" s="1"/>
      <c r="M834" s="9"/>
      <c r="N834" s="1"/>
      <c r="O834" s="1"/>
      <c r="P834" s="1"/>
      <c r="Q834" s="1"/>
      <c r="R834" s="1"/>
    </row>
    <row r="835" spans="2:18">
      <c r="B835" s="1"/>
      <c r="C835" s="9"/>
      <c r="D835" s="9"/>
      <c r="E835" s="9"/>
      <c r="F835" s="1"/>
      <c r="G835" s="1"/>
      <c r="H835" s="19"/>
      <c r="I835" s="1"/>
      <c r="J835" s="1"/>
      <c r="K835" s="19"/>
      <c r="L835" s="1"/>
      <c r="M835" s="9"/>
      <c r="N835" s="1"/>
      <c r="O835" s="1"/>
      <c r="P835" s="1"/>
      <c r="Q835" s="1"/>
      <c r="R835" s="1"/>
    </row>
    <row r="836" spans="2:18">
      <c r="B836" s="1"/>
      <c r="C836" s="9"/>
      <c r="D836" s="9"/>
      <c r="E836" s="9"/>
      <c r="F836" s="1"/>
      <c r="G836" s="1"/>
      <c r="H836" s="19"/>
      <c r="I836" s="1"/>
      <c r="J836" s="1"/>
      <c r="K836" s="19"/>
      <c r="L836" s="1"/>
      <c r="M836" s="9"/>
      <c r="N836" s="1"/>
      <c r="O836" s="1"/>
      <c r="P836" s="1"/>
      <c r="Q836" s="1"/>
      <c r="R836" s="1"/>
    </row>
    <row r="837" spans="2:18">
      <c r="B837" s="1"/>
      <c r="C837" s="9"/>
      <c r="D837" s="9"/>
      <c r="E837" s="9"/>
      <c r="F837" s="1"/>
      <c r="G837" s="1"/>
      <c r="H837" s="19"/>
      <c r="I837" s="1"/>
      <c r="J837" s="1"/>
      <c r="K837" s="19"/>
      <c r="L837" s="1"/>
      <c r="M837" s="9"/>
      <c r="N837" s="1"/>
      <c r="O837" s="1"/>
      <c r="P837" s="1"/>
      <c r="Q837" s="1"/>
      <c r="R837" s="1"/>
    </row>
    <row r="838" spans="2:18">
      <c r="B838" s="1"/>
      <c r="C838" s="9"/>
      <c r="D838" s="9"/>
      <c r="E838" s="9"/>
      <c r="F838" s="1"/>
      <c r="G838" s="1"/>
      <c r="H838" s="19"/>
      <c r="I838" s="1"/>
      <c r="J838" s="1"/>
      <c r="K838" s="19"/>
      <c r="L838" s="1"/>
      <c r="M838" s="9"/>
      <c r="N838" s="1"/>
      <c r="O838" s="1"/>
      <c r="P838" s="1"/>
      <c r="Q838" s="1"/>
      <c r="R838" s="1"/>
    </row>
    <row r="839" spans="2:18">
      <c r="B839" s="1"/>
      <c r="C839" s="9"/>
      <c r="D839" s="9"/>
      <c r="E839" s="9"/>
      <c r="F839" s="1"/>
      <c r="G839" s="1"/>
      <c r="H839" s="19"/>
      <c r="I839" s="1"/>
      <c r="J839" s="1"/>
      <c r="K839" s="19"/>
      <c r="L839" s="1"/>
      <c r="M839" s="9"/>
      <c r="N839" s="1"/>
      <c r="O839" s="1"/>
      <c r="P839" s="1"/>
      <c r="Q839" s="1"/>
      <c r="R839" s="1"/>
    </row>
    <row r="840" spans="2:18">
      <c r="B840" s="1"/>
      <c r="C840" s="9"/>
      <c r="D840" s="9"/>
      <c r="E840" s="9"/>
      <c r="F840" s="1"/>
      <c r="G840" s="1"/>
      <c r="H840" s="19"/>
      <c r="I840" s="1"/>
      <c r="J840" s="1"/>
      <c r="K840" s="19"/>
      <c r="L840" s="1"/>
      <c r="M840" s="9"/>
      <c r="N840" s="1"/>
      <c r="O840" s="1"/>
      <c r="P840" s="1"/>
      <c r="Q840" s="1"/>
      <c r="R840" s="1"/>
    </row>
    <row r="841" spans="2:18">
      <c r="B841" s="1"/>
      <c r="C841" s="9"/>
      <c r="D841" s="9"/>
      <c r="E841" s="9"/>
      <c r="F841" s="1"/>
      <c r="G841" s="1"/>
      <c r="H841" s="19"/>
      <c r="I841" s="1"/>
      <c r="J841" s="1"/>
      <c r="K841" s="19"/>
      <c r="L841" s="1"/>
      <c r="M841" s="9"/>
      <c r="N841" s="1"/>
      <c r="O841" s="1"/>
      <c r="P841" s="1"/>
      <c r="Q841" s="1"/>
      <c r="R841" s="1"/>
    </row>
    <row r="842" spans="2:18">
      <c r="B842" s="1"/>
      <c r="C842" s="9"/>
      <c r="D842" s="9"/>
      <c r="E842" s="9"/>
      <c r="F842" s="1"/>
      <c r="G842" s="1"/>
      <c r="H842" s="19"/>
      <c r="I842" s="1"/>
      <c r="J842" s="1"/>
      <c r="K842" s="19"/>
      <c r="L842" s="1"/>
      <c r="M842" s="9"/>
      <c r="N842" s="1"/>
      <c r="O842" s="1"/>
      <c r="P842" s="1"/>
      <c r="Q842" s="1"/>
      <c r="R842" s="1"/>
    </row>
    <row r="843" spans="2:18">
      <c r="B843" s="1"/>
      <c r="C843" s="9"/>
      <c r="D843" s="9"/>
      <c r="E843" s="9"/>
      <c r="F843" s="1"/>
      <c r="G843" s="1"/>
      <c r="H843" s="19"/>
      <c r="I843" s="1"/>
      <c r="J843" s="1"/>
      <c r="K843" s="19"/>
      <c r="L843" s="1"/>
      <c r="M843" s="9"/>
      <c r="N843" s="1"/>
      <c r="O843" s="1"/>
      <c r="P843" s="1"/>
      <c r="Q843" s="1"/>
      <c r="R843" s="1"/>
    </row>
    <row r="844" spans="2:18">
      <c r="B844" s="1"/>
      <c r="C844" s="9"/>
      <c r="D844" s="9"/>
      <c r="E844" s="9"/>
      <c r="F844" s="1"/>
      <c r="G844" s="1"/>
      <c r="H844" s="19"/>
      <c r="I844" s="1"/>
      <c r="J844" s="1"/>
      <c r="K844" s="19"/>
      <c r="L844" s="1"/>
      <c r="M844" s="9"/>
      <c r="N844" s="1"/>
      <c r="O844" s="1"/>
      <c r="P844" s="1"/>
      <c r="Q844" s="1"/>
      <c r="R844" s="1"/>
    </row>
    <row r="845" spans="2:18">
      <c r="B845" s="1"/>
      <c r="C845" s="9"/>
      <c r="D845" s="9"/>
      <c r="E845" s="9"/>
      <c r="F845" s="1"/>
      <c r="G845" s="1"/>
      <c r="H845" s="19"/>
      <c r="I845" s="1"/>
      <c r="J845" s="1"/>
      <c r="K845" s="19"/>
      <c r="L845" s="1"/>
      <c r="M845" s="9"/>
      <c r="N845" s="1"/>
      <c r="O845" s="1"/>
      <c r="P845" s="1"/>
      <c r="Q845" s="1"/>
      <c r="R845" s="1"/>
    </row>
    <row r="846" spans="2:18">
      <c r="B846" s="1"/>
      <c r="C846" s="9"/>
      <c r="D846" s="9"/>
      <c r="E846" s="9"/>
      <c r="F846" s="1"/>
      <c r="G846" s="1"/>
      <c r="H846" s="19"/>
      <c r="I846" s="1"/>
      <c r="J846" s="1"/>
      <c r="K846" s="19"/>
      <c r="L846" s="1"/>
      <c r="M846" s="9"/>
      <c r="N846" s="1"/>
      <c r="O846" s="1"/>
      <c r="P846" s="1"/>
      <c r="Q846" s="1"/>
      <c r="R846" s="1"/>
    </row>
    <row r="847" spans="2:18">
      <c r="B847" s="1"/>
      <c r="C847" s="9"/>
      <c r="D847" s="9"/>
      <c r="E847" s="9"/>
      <c r="F847" s="1"/>
      <c r="G847" s="1"/>
      <c r="H847" s="19"/>
      <c r="I847" s="1"/>
      <c r="J847" s="1"/>
      <c r="K847" s="19"/>
      <c r="L847" s="1"/>
      <c r="M847" s="9"/>
      <c r="N847" s="1"/>
      <c r="O847" s="1"/>
      <c r="P847" s="1"/>
      <c r="Q847" s="1"/>
      <c r="R847" s="1"/>
    </row>
    <row r="848" spans="2:18">
      <c r="B848" s="1"/>
      <c r="C848" s="9"/>
      <c r="D848" s="9"/>
      <c r="E848" s="9"/>
      <c r="F848" s="1"/>
      <c r="G848" s="1"/>
      <c r="H848" s="19"/>
      <c r="I848" s="1"/>
      <c r="J848" s="1"/>
      <c r="K848" s="19"/>
      <c r="L848" s="1"/>
      <c r="M848" s="9"/>
      <c r="N848" s="1"/>
      <c r="O848" s="1"/>
      <c r="P848" s="1"/>
      <c r="Q848" s="1"/>
      <c r="R848" s="1"/>
    </row>
    <row r="849" spans="2:18">
      <c r="B849" s="1"/>
      <c r="C849" s="9"/>
      <c r="D849" s="9"/>
      <c r="E849" s="9"/>
      <c r="F849" s="1"/>
      <c r="G849" s="1"/>
      <c r="H849" s="19"/>
      <c r="I849" s="1"/>
      <c r="J849" s="1"/>
      <c r="K849" s="19"/>
      <c r="L849" s="1"/>
      <c r="M849" s="9"/>
      <c r="N849" s="1"/>
      <c r="O849" s="1"/>
      <c r="P849" s="1"/>
      <c r="Q849" s="1"/>
      <c r="R849" s="1"/>
    </row>
    <row r="850" spans="2:18">
      <c r="B850" s="1"/>
      <c r="C850" s="9"/>
      <c r="D850" s="9"/>
      <c r="E850" s="9"/>
      <c r="F850" s="1"/>
      <c r="G850" s="1"/>
      <c r="H850" s="19"/>
      <c r="I850" s="1"/>
      <c r="J850" s="1"/>
      <c r="K850" s="19"/>
      <c r="L850" s="1"/>
      <c r="M850" s="9"/>
      <c r="N850" s="1"/>
      <c r="O850" s="1"/>
      <c r="P850" s="1"/>
      <c r="Q850" s="1"/>
      <c r="R850" s="1"/>
    </row>
    <row r="851" spans="2:18">
      <c r="B851" s="1"/>
      <c r="C851" s="9"/>
      <c r="D851" s="9"/>
      <c r="E851" s="9"/>
      <c r="F851" s="1"/>
      <c r="G851" s="1"/>
      <c r="H851" s="19"/>
      <c r="I851" s="1"/>
      <c r="J851" s="1"/>
      <c r="K851" s="19"/>
      <c r="L851" s="1"/>
      <c r="M851" s="9"/>
      <c r="N851" s="1"/>
      <c r="O851" s="1"/>
      <c r="P851" s="1"/>
      <c r="Q851" s="1"/>
      <c r="R851" s="1"/>
    </row>
    <row r="852" spans="2:18">
      <c r="B852" s="1"/>
      <c r="C852" s="9"/>
      <c r="D852" s="9"/>
      <c r="E852" s="9"/>
      <c r="F852" s="1"/>
      <c r="G852" s="1"/>
      <c r="H852" s="19"/>
      <c r="I852" s="1"/>
      <c r="J852" s="1"/>
      <c r="K852" s="19"/>
      <c r="L852" s="1"/>
      <c r="M852" s="9"/>
      <c r="N852" s="1"/>
      <c r="O852" s="1"/>
      <c r="P852" s="1"/>
      <c r="Q852" s="1"/>
      <c r="R852" s="1"/>
    </row>
    <row r="853" spans="2:18">
      <c r="B853" s="1"/>
      <c r="C853" s="9"/>
      <c r="D853" s="9"/>
      <c r="E853" s="9"/>
      <c r="F853" s="1"/>
      <c r="G853" s="1"/>
      <c r="H853" s="19"/>
      <c r="I853" s="1"/>
      <c r="J853" s="1"/>
      <c r="K853" s="19"/>
      <c r="L853" s="1"/>
      <c r="M853" s="9"/>
      <c r="N853" s="1"/>
      <c r="O853" s="1"/>
      <c r="P853" s="1"/>
      <c r="Q853" s="1"/>
      <c r="R853" s="1"/>
    </row>
    <row r="854" spans="2:18">
      <c r="B854" s="1"/>
      <c r="C854" s="9"/>
      <c r="D854" s="9"/>
      <c r="E854" s="9"/>
      <c r="F854" s="1"/>
      <c r="G854" s="1"/>
      <c r="H854" s="19"/>
      <c r="I854" s="1"/>
      <c r="J854" s="1"/>
      <c r="K854" s="19"/>
      <c r="L854" s="1"/>
      <c r="M854" s="9"/>
      <c r="N854" s="1"/>
      <c r="O854" s="1"/>
      <c r="P854" s="1"/>
      <c r="Q854" s="1"/>
      <c r="R854" s="1"/>
    </row>
    <row r="855" spans="2:18">
      <c r="B855" s="1"/>
      <c r="C855" s="9"/>
      <c r="D855" s="9"/>
      <c r="E855" s="9"/>
      <c r="F855" s="1"/>
      <c r="G855" s="1"/>
      <c r="H855" s="19"/>
      <c r="I855" s="1"/>
      <c r="J855" s="1"/>
      <c r="K855" s="19"/>
      <c r="L855" s="1"/>
      <c r="M855" s="9"/>
      <c r="N855" s="1"/>
      <c r="O855" s="1"/>
      <c r="P855" s="1"/>
      <c r="Q855" s="1"/>
      <c r="R855" s="1"/>
    </row>
    <row r="856" spans="2:18">
      <c r="B856" s="1"/>
      <c r="C856" s="9"/>
      <c r="D856" s="9"/>
      <c r="E856" s="9"/>
      <c r="F856" s="1"/>
      <c r="G856" s="1"/>
      <c r="H856" s="19"/>
      <c r="I856" s="1"/>
      <c r="J856" s="1"/>
      <c r="K856" s="19"/>
      <c r="L856" s="1"/>
      <c r="M856" s="9"/>
      <c r="N856" s="1"/>
      <c r="O856" s="1"/>
      <c r="P856" s="1"/>
      <c r="Q856" s="1"/>
      <c r="R856" s="1"/>
    </row>
    <row r="857" spans="2:18">
      <c r="B857" s="1"/>
      <c r="C857" s="9"/>
      <c r="D857" s="9"/>
      <c r="E857" s="9"/>
      <c r="F857" s="1"/>
      <c r="G857" s="1"/>
      <c r="H857" s="19"/>
      <c r="I857" s="1"/>
      <c r="J857" s="1"/>
      <c r="K857" s="19"/>
      <c r="L857" s="1"/>
      <c r="M857" s="9"/>
      <c r="N857" s="1"/>
      <c r="O857" s="1"/>
      <c r="P857" s="1"/>
      <c r="Q857" s="1"/>
      <c r="R857" s="1"/>
    </row>
    <row r="858" spans="2:18">
      <c r="B858" s="1"/>
      <c r="C858" s="9"/>
      <c r="D858" s="9"/>
      <c r="E858" s="9"/>
      <c r="F858" s="1"/>
      <c r="G858" s="1"/>
      <c r="H858" s="19"/>
      <c r="I858" s="1"/>
      <c r="J858" s="1"/>
      <c r="K858" s="19"/>
      <c r="L858" s="1"/>
      <c r="M858" s="9"/>
      <c r="N858" s="1"/>
      <c r="O858" s="1"/>
      <c r="P858" s="1"/>
      <c r="Q858" s="1"/>
      <c r="R858" s="1"/>
    </row>
    <row r="859" spans="2:18">
      <c r="B859" s="1"/>
      <c r="C859" s="9"/>
      <c r="D859" s="9"/>
      <c r="E859" s="9"/>
      <c r="F859" s="1"/>
      <c r="G859" s="1"/>
      <c r="H859" s="19"/>
      <c r="I859" s="1"/>
      <c r="J859" s="1"/>
      <c r="K859" s="19"/>
      <c r="L859" s="1"/>
      <c r="M859" s="9"/>
      <c r="N859" s="1"/>
      <c r="O859" s="1"/>
      <c r="P859" s="1"/>
      <c r="Q859" s="1"/>
      <c r="R859" s="1"/>
    </row>
    <row r="860" spans="2:18">
      <c r="B860" s="1"/>
      <c r="C860" s="9"/>
      <c r="D860" s="9"/>
      <c r="E860" s="9"/>
      <c r="F860" s="1"/>
      <c r="G860" s="1"/>
      <c r="H860" s="19"/>
      <c r="I860" s="1"/>
      <c r="J860" s="1"/>
      <c r="K860" s="19"/>
      <c r="L860" s="1"/>
      <c r="M860" s="9"/>
      <c r="N860" s="1"/>
      <c r="O860" s="1"/>
      <c r="P860" s="1"/>
      <c r="Q860" s="1"/>
      <c r="R860" s="1"/>
    </row>
    <row r="861" spans="2:18">
      <c r="B861" s="1"/>
      <c r="C861" s="9"/>
      <c r="D861" s="9"/>
      <c r="E861" s="9"/>
      <c r="F861" s="1"/>
      <c r="G861" s="1"/>
      <c r="H861" s="19"/>
      <c r="I861" s="1"/>
      <c r="J861" s="1"/>
      <c r="K861" s="19"/>
      <c r="L861" s="1"/>
      <c r="M861" s="9"/>
      <c r="N861" s="1"/>
      <c r="O861" s="1"/>
      <c r="P861" s="1"/>
      <c r="Q861" s="1"/>
      <c r="R861" s="1"/>
    </row>
    <row r="862" spans="2:18">
      <c r="B862" s="1"/>
      <c r="C862" s="9"/>
      <c r="D862" s="9"/>
      <c r="E862" s="9"/>
      <c r="F862" s="1"/>
      <c r="G862" s="1"/>
      <c r="H862" s="19"/>
      <c r="I862" s="1"/>
      <c r="J862" s="1"/>
      <c r="K862" s="19"/>
      <c r="L862" s="1"/>
      <c r="M862" s="9"/>
      <c r="N862" s="1"/>
      <c r="O862" s="1"/>
      <c r="P862" s="1"/>
      <c r="Q862" s="1"/>
      <c r="R862" s="1"/>
    </row>
    <row r="863" spans="2:18">
      <c r="B863" s="1"/>
      <c r="C863" s="9"/>
      <c r="D863" s="9"/>
      <c r="E863" s="9"/>
      <c r="F863" s="1"/>
      <c r="G863" s="1"/>
      <c r="H863" s="19"/>
      <c r="I863" s="1"/>
      <c r="J863" s="1"/>
      <c r="K863" s="19"/>
      <c r="L863" s="1"/>
      <c r="M863" s="9"/>
      <c r="N863" s="1"/>
      <c r="O863" s="1"/>
      <c r="P863" s="1"/>
      <c r="Q863" s="1"/>
      <c r="R863" s="1"/>
    </row>
    <row r="864" spans="2:18">
      <c r="B864" s="1"/>
      <c r="C864" s="9"/>
      <c r="D864" s="9"/>
      <c r="E864" s="9"/>
      <c r="F864" s="1"/>
      <c r="G864" s="1"/>
      <c r="H864" s="19"/>
      <c r="I864" s="1"/>
      <c r="J864" s="1"/>
      <c r="K864" s="19"/>
      <c r="L864" s="1"/>
      <c r="M864" s="9"/>
      <c r="N864" s="1"/>
      <c r="O864" s="1"/>
      <c r="P864" s="1"/>
      <c r="Q864" s="1"/>
      <c r="R864" s="1"/>
    </row>
    <row r="865" spans="2:18">
      <c r="B865" s="1"/>
      <c r="C865" s="9"/>
      <c r="D865" s="9"/>
      <c r="E865" s="9"/>
      <c r="F865" s="1"/>
      <c r="G865" s="1"/>
      <c r="H865" s="19"/>
      <c r="I865" s="1"/>
      <c r="J865" s="1"/>
      <c r="K865" s="19"/>
      <c r="L865" s="1"/>
      <c r="M865" s="9"/>
      <c r="N865" s="1"/>
      <c r="O865" s="1"/>
      <c r="P865" s="1"/>
      <c r="Q865" s="1"/>
      <c r="R865" s="1"/>
    </row>
    <row r="866" spans="2:18">
      <c r="B866" s="1"/>
      <c r="C866" s="9"/>
      <c r="D866" s="9"/>
      <c r="E866" s="9"/>
      <c r="F866" s="1"/>
      <c r="G866" s="1"/>
      <c r="H866" s="19"/>
      <c r="I866" s="1"/>
      <c r="J866" s="1"/>
      <c r="K866" s="19"/>
      <c r="L866" s="1"/>
      <c r="M866" s="9"/>
      <c r="N866" s="1"/>
      <c r="O866" s="1"/>
      <c r="P866" s="1"/>
      <c r="Q866" s="1"/>
      <c r="R866" s="1"/>
    </row>
    <row r="867" spans="2:18">
      <c r="B867" s="1"/>
      <c r="C867" s="9"/>
      <c r="D867" s="9"/>
      <c r="E867" s="9"/>
      <c r="F867" s="1"/>
      <c r="G867" s="1"/>
      <c r="H867" s="19"/>
      <c r="I867" s="1"/>
      <c r="J867" s="1"/>
      <c r="K867" s="19"/>
      <c r="L867" s="1"/>
      <c r="M867" s="9"/>
      <c r="N867" s="1"/>
      <c r="O867" s="1"/>
      <c r="P867" s="1"/>
      <c r="Q867" s="1"/>
      <c r="R867" s="1"/>
    </row>
    <row r="868" spans="2:18">
      <c r="B868" s="1"/>
      <c r="C868" s="9"/>
      <c r="D868" s="9"/>
      <c r="E868" s="9"/>
      <c r="F868" s="1"/>
      <c r="G868" s="1"/>
      <c r="H868" s="19"/>
      <c r="I868" s="1"/>
      <c r="J868" s="1"/>
      <c r="K868" s="19"/>
      <c r="L868" s="1"/>
      <c r="M868" s="9"/>
      <c r="N868" s="1"/>
      <c r="O868" s="1"/>
      <c r="P868" s="1"/>
      <c r="Q868" s="1"/>
      <c r="R868" s="1"/>
    </row>
    <row r="869" spans="2:18">
      <c r="B869" s="1"/>
      <c r="C869" s="9"/>
      <c r="D869" s="9"/>
      <c r="E869" s="9"/>
      <c r="F869" s="1"/>
      <c r="G869" s="1"/>
      <c r="H869" s="19"/>
      <c r="I869" s="1"/>
      <c r="J869" s="1"/>
      <c r="K869" s="19"/>
      <c r="L869" s="1"/>
      <c r="M869" s="9"/>
      <c r="N869" s="1"/>
      <c r="O869" s="1"/>
      <c r="P869" s="1"/>
      <c r="Q869" s="1"/>
      <c r="R869" s="1"/>
    </row>
    <row r="870" spans="2:18">
      <c r="B870" s="1"/>
      <c r="C870" s="9"/>
      <c r="D870" s="9"/>
      <c r="E870" s="9"/>
      <c r="F870" s="1"/>
      <c r="G870" s="1"/>
      <c r="H870" s="19"/>
      <c r="I870" s="1"/>
      <c r="J870" s="1"/>
      <c r="K870" s="19"/>
      <c r="L870" s="1"/>
      <c r="M870" s="9"/>
      <c r="N870" s="1"/>
      <c r="O870" s="1"/>
      <c r="P870" s="1"/>
      <c r="Q870" s="1"/>
      <c r="R870" s="1"/>
    </row>
    <row r="871" spans="2:18">
      <c r="B871" s="1"/>
      <c r="C871" s="9"/>
      <c r="D871" s="9"/>
      <c r="E871" s="9"/>
      <c r="F871" s="1"/>
      <c r="G871" s="1"/>
      <c r="H871" s="19"/>
      <c r="I871" s="1"/>
      <c r="J871" s="1"/>
      <c r="K871" s="19"/>
      <c r="L871" s="1"/>
      <c r="M871" s="9"/>
      <c r="N871" s="1"/>
      <c r="O871" s="1"/>
      <c r="P871" s="1"/>
      <c r="Q871" s="1"/>
      <c r="R871" s="1"/>
    </row>
    <row r="872" spans="2:18">
      <c r="B872" s="1"/>
      <c r="C872" s="9"/>
      <c r="D872" s="9"/>
      <c r="E872" s="9"/>
      <c r="F872" s="1"/>
      <c r="G872" s="1"/>
      <c r="H872" s="19"/>
      <c r="I872" s="1"/>
      <c r="J872" s="1"/>
      <c r="K872" s="19"/>
      <c r="L872" s="1"/>
      <c r="M872" s="9"/>
      <c r="N872" s="1"/>
      <c r="O872" s="1"/>
      <c r="P872" s="1"/>
      <c r="Q872" s="1"/>
      <c r="R872" s="1"/>
    </row>
    <row r="873" spans="2:18">
      <c r="B873" s="1"/>
      <c r="C873" s="9"/>
      <c r="D873" s="9"/>
      <c r="E873" s="9"/>
      <c r="F873" s="1"/>
      <c r="G873" s="1"/>
      <c r="H873" s="19"/>
      <c r="I873" s="1"/>
      <c r="J873" s="1"/>
      <c r="K873" s="19"/>
      <c r="L873" s="1"/>
      <c r="M873" s="9"/>
      <c r="N873" s="1"/>
      <c r="O873" s="1"/>
      <c r="P873" s="1"/>
      <c r="Q873" s="1"/>
      <c r="R873" s="1"/>
    </row>
    <row r="874" spans="2:18">
      <c r="B874" s="1"/>
      <c r="C874" s="9"/>
      <c r="D874" s="9"/>
      <c r="E874" s="9"/>
      <c r="F874" s="1"/>
      <c r="G874" s="1"/>
      <c r="H874" s="19"/>
      <c r="I874" s="1"/>
      <c r="J874" s="1"/>
      <c r="K874" s="19"/>
      <c r="L874" s="1"/>
      <c r="M874" s="9"/>
      <c r="N874" s="1"/>
      <c r="O874" s="1"/>
      <c r="P874" s="1"/>
      <c r="Q874" s="1"/>
      <c r="R874" s="1"/>
    </row>
    <row r="875" spans="2:18">
      <c r="B875" s="1"/>
      <c r="C875" s="9"/>
      <c r="D875" s="9"/>
      <c r="E875" s="9"/>
      <c r="F875" s="1"/>
      <c r="G875" s="1"/>
      <c r="H875" s="19"/>
      <c r="I875" s="1"/>
      <c r="J875" s="1"/>
      <c r="K875" s="19"/>
      <c r="L875" s="1"/>
      <c r="M875" s="9"/>
      <c r="N875" s="1"/>
      <c r="O875" s="1"/>
      <c r="P875" s="1"/>
      <c r="Q875" s="1"/>
      <c r="R875" s="1"/>
    </row>
    <row r="876" spans="2:18">
      <c r="B876" s="1"/>
      <c r="C876" s="9"/>
      <c r="D876" s="9"/>
      <c r="E876" s="9"/>
      <c r="F876" s="1"/>
      <c r="G876" s="1"/>
      <c r="H876" s="19"/>
      <c r="I876" s="1"/>
      <c r="J876" s="1"/>
      <c r="K876" s="19"/>
      <c r="L876" s="1"/>
      <c r="M876" s="9"/>
      <c r="N876" s="1"/>
      <c r="O876" s="1"/>
      <c r="P876" s="1"/>
      <c r="Q876" s="1"/>
      <c r="R876" s="1"/>
    </row>
    <row r="877" spans="2:18">
      <c r="B877" s="1"/>
      <c r="C877" s="9"/>
      <c r="D877" s="9"/>
      <c r="E877" s="9"/>
      <c r="F877" s="1"/>
      <c r="G877" s="1"/>
      <c r="H877" s="19"/>
      <c r="I877" s="1"/>
      <c r="J877" s="1"/>
      <c r="K877" s="19"/>
      <c r="L877" s="1"/>
      <c r="M877" s="9"/>
      <c r="N877" s="1"/>
      <c r="O877" s="1"/>
      <c r="P877" s="1"/>
      <c r="Q877" s="1"/>
      <c r="R877" s="1"/>
    </row>
    <row r="878" spans="2:18">
      <c r="B878" s="1"/>
      <c r="C878" s="9"/>
      <c r="D878" s="9"/>
      <c r="E878" s="9"/>
      <c r="F878" s="1"/>
      <c r="G878" s="1"/>
      <c r="H878" s="19"/>
      <c r="I878" s="1"/>
      <c r="J878" s="1"/>
      <c r="K878" s="19"/>
      <c r="L878" s="1"/>
      <c r="M878" s="9"/>
      <c r="N878" s="1"/>
      <c r="O878" s="1"/>
      <c r="P878" s="1"/>
      <c r="Q878" s="1"/>
      <c r="R878" s="1"/>
    </row>
    <row r="879" spans="2:18">
      <c r="B879" s="1"/>
      <c r="C879" s="9"/>
      <c r="D879" s="9"/>
      <c r="E879" s="9"/>
      <c r="F879" s="1"/>
      <c r="G879" s="1"/>
      <c r="H879" s="19"/>
      <c r="I879" s="1"/>
      <c r="J879" s="1"/>
      <c r="K879" s="19"/>
      <c r="L879" s="1"/>
      <c r="M879" s="9"/>
      <c r="N879" s="1"/>
      <c r="O879" s="1"/>
      <c r="P879" s="1"/>
      <c r="Q879" s="1"/>
      <c r="R879" s="1"/>
    </row>
    <row r="880" spans="2:18">
      <c r="B880" s="1"/>
      <c r="C880" s="9"/>
      <c r="D880" s="9"/>
      <c r="E880" s="9"/>
      <c r="F880" s="1"/>
      <c r="G880" s="1"/>
      <c r="H880" s="19"/>
      <c r="I880" s="1"/>
      <c r="J880" s="1"/>
      <c r="K880" s="19"/>
      <c r="L880" s="1"/>
      <c r="M880" s="9"/>
      <c r="N880" s="1"/>
      <c r="O880" s="1"/>
      <c r="P880" s="1"/>
      <c r="Q880" s="1"/>
      <c r="R880" s="1"/>
    </row>
    <row r="881" spans="2:18">
      <c r="B881" s="1"/>
      <c r="C881" s="9"/>
      <c r="D881" s="9"/>
      <c r="E881" s="9"/>
      <c r="F881" s="1"/>
      <c r="G881" s="1"/>
      <c r="H881" s="19"/>
      <c r="I881" s="1"/>
      <c r="J881" s="1"/>
      <c r="K881" s="19"/>
      <c r="L881" s="1"/>
      <c r="M881" s="9"/>
      <c r="N881" s="1"/>
      <c r="O881" s="1"/>
      <c r="P881" s="1"/>
      <c r="Q881" s="1"/>
      <c r="R881" s="1"/>
    </row>
    <row r="882" spans="2:18">
      <c r="B882" s="1"/>
      <c r="C882" s="9"/>
      <c r="D882" s="9"/>
      <c r="E882" s="9"/>
      <c r="F882" s="1"/>
      <c r="G882" s="1"/>
      <c r="H882" s="19"/>
      <c r="I882" s="1"/>
      <c r="J882" s="1"/>
      <c r="K882" s="19"/>
      <c r="L882" s="1"/>
      <c r="M882" s="9"/>
      <c r="N882" s="1"/>
      <c r="O882" s="1"/>
      <c r="P882" s="1"/>
      <c r="Q882" s="1"/>
      <c r="R882" s="1"/>
    </row>
    <row r="883" spans="2:18">
      <c r="B883" s="1"/>
      <c r="C883" s="9"/>
      <c r="D883" s="9"/>
      <c r="E883" s="9"/>
      <c r="F883" s="1"/>
      <c r="G883" s="1"/>
      <c r="H883" s="19"/>
      <c r="I883" s="1"/>
      <c r="J883" s="1"/>
      <c r="K883" s="19"/>
      <c r="L883" s="1"/>
      <c r="M883" s="9"/>
      <c r="N883" s="1"/>
      <c r="O883" s="1"/>
      <c r="P883" s="1"/>
      <c r="Q883" s="1"/>
      <c r="R883" s="1"/>
    </row>
    <row r="884" spans="2:18">
      <c r="B884" s="1"/>
      <c r="C884" s="9"/>
      <c r="D884" s="9"/>
      <c r="E884" s="9"/>
      <c r="F884" s="1"/>
      <c r="G884" s="1"/>
      <c r="H884" s="19"/>
      <c r="I884" s="1"/>
      <c r="J884" s="1"/>
      <c r="K884" s="19"/>
      <c r="L884" s="1"/>
      <c r="M884" s="9"/>
      <c r="N884" s="1"/>
      <c r="O884" s="1"/>
      <c r="P884" s="1"/>
      <c r="Q884" s="1"/>
      <c r="R884" s="1"/>
    </row>
    <row r="885" spans="2:18">
      <c r="B885" s="1"/>
      <c r="C885" s="9"/>
      <c r="D885" s="9"/>
      <c r="E885" s="9"/>
      <c r="F885" s="1"/>
      <c r="G885" s="1"/>
      <c r="H885" s="19"/>
      <c r="I885" s="1"/>
      <c r="J885" s="1"/>
      <c r="K885" s="19"/>
      <c r="L885" s="1"/>
      <c r="M885" s="9"/>
      <c r="N885" s="1"/>
      <c r="O885" s="1"/>
      <c r="P885" s="1"/>
      <c r="Q885" s="1"/>
      <c r="R885" s="1"/>
    </row>
    <row r="886" spans="2:18">
      <c r="B886" s="1"/>
      <c r="C886" s="9"/>
      <c r="D886" s="9"/>
      <c r="E886" s="9"/>
      <c r="F886" s="1"/>
      <c r="G886" s="1"/>
      <c r="H886" s="19"/>
      <c r="I886" s="1"/>
      <c r="J886" s="1"/>
      <c r="K886" s="19"/>
      <c r="L886" s="1"/>
      <c r="M886" s="9"/>
      <c r="N886" s="1"/>
      <c r="O886" s="1"/>
      <c r="P886" s="1"/>
      <c r="Q886" s="1"/>
      <c r="R886" s="1"/>
    </row>
    <row r="887" spans="2:18">
      <c r="B887" s="1"/>
      <c r="C887" s="9"/>
      <c r="D887" s="9"/>
      <c r="E887" s="9"/>
      <c r="F887" s="1"/>
      <c r="G887" s="1"/>
      <c r="H887" s="19"/>
      <c r="I887" s="1"/>
      <c r="J887" s="1"/>
      <c r="K887" s="19"/>
      <c r="L887" s="1"/>
      <c r="M887" s="9"/>
      <c r="N887" s="1"/>
      <c r="O887" s="1"/>
      <c r="P887" s="1"/>
      <c r="Q887" s="1"/>
      <c r="R887" s="1"/>
    </row>
    <row r="888" spans="2:18">
      <c r="B888" s="1"/>
      <c r="C888" s="9"/>
      <c r="D888" s="9"/>
      <c r="E888" s="9"/>
      <c r="F888" s="1"/>
      <c r="G888" s="1"/>
      <c r="H888" s="19"/>
      <c r="I888" s="1"/>
      <c r="J888" s="1"/>
      <c r="K888" s="19"/>
      <c r="L888" s="1"/>
      <c r="M888" s="9"/>
      <c r="N888" s="1"/>
      <c r="O888" s="1"/>
      <c r="P888" s="1"/>
      <c r="Q888" s="1"/>
      <c r="R888" s="1"/>
    </row>
    <row r="889" spans="2:18">
      <c r="B889" s="1"/>
      <c r="C889" s="9"/>
      <c r="D889" s="9"/>
      <c r="E889" s="9"/>
      <c r="F889" s="1"/>
      <c r="G889" s="1"/>
      <c r="H889" s="19"/>
      <c r="I889" s="1"/>
      <c r="J889" s="1"/>
      <c r="K889" s="19"/>
      <c r="L889" s="1"/>
      <c r="M889" s="9"/>
      <c r="N889" s="1"/>
      <c r="O889" s="1"/>
      <c r="P889" s="1"/>
      <c r="Q889" s="1"/>
      <c r="R889" s="1"/>
    </row>
    <row r="890" spans="2:18">
      <c r="B890" s="1"/>
      <c r="C890" s="9"/>
      <c r="D890" s="9"/>
      <c r="E890" s="9"/>
      <c r="F890" s="1"/>
      <c r="G890" s="1"/>
      <c r="H890" s="19"/>
      <c r="I890" s="1"/>
      <c r="J890" s="1"/>
      <c r="K890" s="19"/>
      <c r="L890" s="1"/>
      <c r="M890" s="9"/>
      <c r="N890" s="1"/>
      <c r="O890" s="1"/>
      <c r="P890" s="1"/>
      <c r="Q890" s="1"/>
      <c r="R890" s="1"/>
    </row>
    <row r="891" spans="2:18">
      <c r="B891" s="1"/>
      <c r="C891" s="9"/>
      <c r="D891" s="9"/>
      <c r="E891" s="9"/>
      <c r="F891" s="1"/>
      <c r="G891" s="1"/>
      <c r="H891" s="19"/>
      <c r="I891" s="1"/>
      <c r="J891" s="1"/>
      <c r="K891" s="19"/>
      <c r="L891" s="1"/>
      <c r="M891" s="9"/>
      <c r="N891" s="1"/>
      <c r="O891" s="1"/>
      <c r="P891" s="1"/>
      <c r="Q891" s="1"/>
      <c r="R891" s="1"/>
    </row>
    <row r="892" spans="2:18">
      <c r="B892" s="1"/>
      <c r="C892" s="9"/>
      <c r="D892" s="9"/>
      <c r="E892" s="9"/>
      <c r="F892" s="1"/>
      <c r="G892" s="1"/>
      <c r="H892" s="19"/>
      <c r="I892" s="1"/>
      <c r="J892" s="1"/>
      <c r="K892" s="19"/>
      <c r="L892" s="1"/>
      <c r="M892" s="9"/>
      <c r="N892" s="1"/>
      <c r="O892" s="1"/>
      <c r="P892" s="1"/>
      <c r="Q892" s="1"/>
      <c r="R892" s="1"/>
    </row>
    <row r="893" spans="2:18">
      <c r="B893" s="1"/>
      <c r="C893" s="9"/>
      <c r="D893" s="9"/>
      <c r="E893" s="9"/>
      <c r="F893" s="1"/>
      <c r="G893" s="1"/>
      <c r="H893" s="19"/>
      <c r="I893" s="1"/>
      <c r="J893" s="1"/>
      <c r="K893" s="19"/>
      <c r="L893" s="1"/>
      <c r="M893" s="9"/>
      <c r="N893" s="1"/>
      <c r="O893" s="1"/>
      <c r="P893" s="1"/>
      <c r="Q893" s="1"/>
      <c r="R893" s="1"/>
    </row>
    <row r="894" spans="2:18">
      <c r="B894" s="1"/>
      <c r="C894" s="9"/>
      <c r="D894" s="9"/>
      <c r="E894" s="9"/>
      <c r="F894" s="1"/>
      <c r="G894" s="1"/>
      <c r="H894" s="19"/>
      <c r="I894" s="1"/>
      <c r="J894" s="1"/>
      <c r="K894" s="19"/>
      <c r="L894" s="1"/>
      <c r="M894" s="9"/>
      <c r="N894" s="1"/>
      <c r="O894" s="1"/>
      <c r="P894" s="1"/>
      <c r="Q894" s="1"/>
      <c r="R894" s="1"/>
    </row>
    <row r="895" spans="2:18">
      <c r="B895" s="1"/>
      <c r="C895" s="9"/>
      <c r="D895" s="9"/>
      <c r="E895" s="9"/>
      <c r="F895" s="1"/>
      <c r="G895" s="1"/>
      <c r="H895" s="19"/>
      <c r="I895" s="1"/>
      <c r="J895" s="1"/>
      <c r="K895" s="19"/>
      <c r="L895" s="1"/>
      <c r="M895" s="9"/>
      <c r="N895" s="1"/>
      <c r="O895" s="1"/>
      <c r="P895" s="1"/>
      <c r="Q895" s="1"/>
      <c r="R895" s="1"/>
    </row>
    <row r="896" spans="2:18">
      <c r="B896" s="1"/>
      <c r="C896" s="9"/>
      <c r="D896" s="9"/>
      <c r="E896" s="9"/>
      <c r="F896" s="1"/>
      <c r="G896" s="1"/>
      <c r="H896" s="19"/>
      <c r="I896" s="1"/>
      <c r="J896" s="1"/>
      <c r="K896" s="19"/>
      <c r="L896" s="1"/>
      <c r="M896" s="9"/>
      <c r="N896" s="1"/>
      <c r="O896" s="1"/>
      <c r="P896" s="1"/>
      <c r="Q896" s="1"/>
      <c r="R896" s="1"/>
    </row>
    <row r="897" spans="2:18">
      <c r="B897" s="1"/>
      <c r="C897" s="9"/>
      <c r="D897" s="9"/>
      <c r="E897" s="9"/>
      <c r="F897" s="1"/>
      <c r="G897" s="1"/>
      <c r="H897" s="19"/>
      <c r="I897" s="1"/>
      <c r="J897" s="1"/>
      <c r="K897" s="19"/>
      <c r="L897" s="1"/>
      <c r="M897" s="9"/>
      <c r="N897" s="1"/>
      <c r="O897" s="1"/>
      <c r="P897" s="1"/>
      <c r="Q897" s="1"/>
      <c r="R897" s="1"/>
    </row>
    <row r="898" spans="2:18">
      <c r="B898" s="1"/>
      <c r="C898" s="9"/>
      <c r="D898" s="9"/>
      <c r="E898" s="9"/>
      <c r="F898" s="1"/>
      <c r="G898" s="1"/>
      <c r="H898" s="19"/>
      <c r="I898" s="1"/>
      <c r="J898" s="1"/>
      <c r="K898" s="19"/>
      <c r="L898" s="1"/>
      <c r="M898" s="9"/>
      <c r="N898" s="1"/>
      <c r="O898" s="1"/>
      <c r="P898" s="1"/>
      <c r="Q898" s="1"/>
      <c r="R898" s="1"/>
    </row>
    <row r="899" spans="2:18">
      <c r="B899" s="1"/>
      <c r="C899" s="9"/>
      <c r="D899" s="9"/>
      <c r="E899" s="9"/>
      <c r="F899" s="1"/>
      <c r="G899" s="1"/>
      <c r="H899" s="19"/>
      <c r="I899" s="1"/>
      <c r="J899" s="1"/>
      <c r="K899" s="19"/>
      <c r="L899" s="1"/>
      <c r="M899" s="9"/>
      <c r="N899" s="1"/>
      <c r="O899" s="1"/>
      <c r="P899" s="1"/>
      <c r="Q899" s="1"/>
      <c r="R899" s="1"/>
    </row>
    <row r="900" spans="2:18">
      <c r="B900" s="1"/>
      <c r="C900" s="9"/>
      <c r="D900" s="9"/>
      <c r="E900" s="9"/>
      <c r="F900" s="1"/>
      <c r="G900" s="1"/>
      <c r="H900" s="19"/>
      <c r="I900" s="1"/>
      <c r="J900" s="1"/>
      <c r="K900" s="19"/>
      <c r="L900" s="1"/>
      <c r="M900" s="9"/>
      <c r="N900" s="1"/>
      <c r="O900" s="1"/>
      <c r="P900" s="1"/>
      <c r="Q900" s="1"/>
      <c r="R900" s="1"/>
    </row>
    <row r="901" spans="2:18">
      <c r="B901" s="1"/>
      <c r="C901" s="9"/>
      <c r="D901" s="9"/>
      <c r="E901" s="9"/>
      <c r="F901" s="1"/>
      <c r="G901" s="1"/>
      <c r="H901" s="19"/>
      <c r="I901" s="1"/>
      <c r="J901" s="1"/>
      <c r="K901" s="19"/>
      <c r="L901" s="1"/>
      <c r="M901" s="9"/>
      <c r="N901" s="1"/>
      <c r="O901" s="1"/>
      <c r="P901" s="1"/>
      <c r="Q901" s="1"/>
      <c r="R901" s="1"/>
    </row>
    <row r="902" spans="2:18">
      <c r="B902" s="1"/>
      <c r="C902" s="9"/>
      <c r="D902" s="9"/>
      <c r="E902" s="9"/>
      <c r="F902" s="1"/>
      <c r="G902" s="1"/>
      <c r="H902" s="19"/>
      <c r="I902" s="1"/>
      <c r="J902" s="1"/>
      <c r="K902" s="19"/>
      <c r="L902" s="1"/>
      <c r="M902" s="9"/>
      <c r="N902" s="1"/>
      <c r="O902" s="1"/>
      <c r="P902" s="1"/>
      <c r="Q902" s="1"/>
      <c r="R902" s="1"/>
    </row>
    <row r="903" spans="2:18">
      <c r="B903" s="1"/>
      <c r="C903" s="9"/>
      <c r="D903" s="9"/>
      <c r="E903" s="9"/>
      <c r="F903" s="1"/>
      <c r="G903" s="1"/>
      <c r="H903" s="19"/>
      <c r="I903" s="1"/>
      <c r="J903" s="1"/>
      <c r="K903" s="19"/>
      <c r="L903" s="1"/>
      <c r="M903" s="9"/>
      <c r="N903" s="1"/>
      <c r="O903" s="1"/>
      <c r="P903" s="1"/>
      <c r="Q903" s="1"/>
      <c r="R903" s="1"/>
    </row>
    <row r="904" spans="2:18">
      <c r="B904" s="1"/>
      <c r="C904" s="9"/>
      <c r="D904" s="9"/>
      <c r="E904" s="9"/>
      <c r="F904" s="1"/>
      <c r="G904" s="1"/>
      <c r="H904" s="19"/>
      <c r="I904" s="1"/>
      <c r="J904" s="1"/>
      <c r="K904" s="19"/>
      <c r="L904" s="1"/>
      <c r="M904" s="9"/>
      <c r="N904" s="1"/>
      <c r="O904" s="1"/>
      <c r="P904" s="1"/>
      <c r="Q904" s="1"/>
      <c r="R904" s="1"/>
    </row>
    <row r="905" spans="2:18">
      <c r="B905" s="1"/>
      <c r="C905" s="9"/>
      <c r="D905" s="9"/>
      <c r="E905" s="9"/>
      <c r="F905" s="1"/>
      <c r="G905" s="1"/>
      <c r="H905" s="19"/>
      <c r="I905" s="1"/>
      <c r="J905" s="1"/>
      <c r="K905" s="19"/>
      <c r="L905" s="1"/>
      <c r="M905" s="9"/>
      <c r="N905" s="1"/>
      <c r="O905" s="1"/>
      <c r="P905" s="1"/>
      <c r="Q905" s="1"/>
      <c r="R905" s="1"/>
    </row>
    <row r="906" spans="2:18">
      <c r="B906" s="1"/>
      <c r="C906" s="9"/>
      <c r="D906" s="9"/>
      <c r="E906" s="9"/>
      <c r="F906" s="1"/>
      <c r="G906" s="1"/>
      <c r="H906" s="19"/>
      <c r="I906" s="1"/>
      <c r="J906" s="1"/>
      <c r="K906" s="19"/>
      <c r="L906" s="1"/>
      <c r="M906" s="9"/>
      <c r="N906" s="1"/>
      <c r="O906" s="1"/>
      <c r="P906" s="1"/>
      <c r="Q906" s="1"/>
      <c r="R906" s="1"/>
    </row>
    <row r="907" spans="2:18">
      <c r="B907" s="1"/>
      <c r="C907" s="9"/>
      <c r="D907" s="9"/>
      <c r="E907" s="9"/>
      <c r="F907" s="1"/>
      <c r="G907" s="1"/>
      <c r="H907" s="19"/>
      <c r="I907" s="1"/>
      <c r="J907" s="1"/>
      <c r="K907" s="19"/>
      <c r="L907" s="1"/>
      <c r="M907" s="9"/>
      <c r="N907" s="1"/>
      <c r="O907" s="1"/>
      <c r="P907" s="1"/>
      <c r="Q907" s="1"/>
      <c r="R907" s="1"/>
    </row>
    <row r="908" spans="2:18">
      <c r="B908" s="1"/>
      <c r="C908" s="9"/>
      <c r="D908" s="9"/>
      <c r="E908" s="9"/>
      <c r="F908" s="1"/>
      <c r="G908" s="1"/>
      <c r="H908" s="19"/>
      <c r="I908" s="1"/>
      <c r="J908" s="1"/>
      <c r="K908" s="19"/>
      <c r="L908" s="1"/>
      <c r="M908" s="9"/>
      <c r="N908" s="1"/>
      <c r="O908" s="1"/>
      <c r="P908" s="1"/>
      <c r="Q908" s="1"/>
      <c r="R908" s="1"/>
    </row>
    <row r="909" spans="2:18">
      <c r="B909" s="1"/>
      <c r="C909" s="9"/>
      <c r="D909" s="9"/>
      <c r="E909" s="9"/>
      <c r="F909" s="1"/>
      <c r="G909" s="1"/>
      <c r="H909" s="19"/>
      <c r="I909" s="1"/>
      <c r="J909" s="1"/>
      <c r="K909" s="19"/>
      <c r="L909" s="1"/>
      <c r="M909" s="9"/>
      <c r="N909" s="1"/>
      <c r="O909" s="1"/>
      <c r="P909" s="1"/>
      <c r="Q909" s="1"/>
      <c r="R909" s="1"/>
    </row>
    <row r="910" spans="2:18">
      <c r="B910" s="1"/>
      <c r="C910" s="9"/>
      <c r="D910" s="9"/>
      <c r="E910" s="9"/>
      <c r="F910" s="1"/>
      <c r="G910" s="1"/>
      <c r="H910" s="19"/>
      <c r="I910" s="1"/>
      <c r="J910" s="1"/>
      <c r="K910" s="19"/>
      <c r="L910" s="1"/>
      <c r="M910" s="9"/>
      <c r="N910" s="1"/>
      <c r="O910" s="1"/>
      <c r="P910" s="1"/>
      <c r="Q910" s="1"/>
      <c r="R910" s="1"/>
    </row>
    <row r="911" spans="2:18">
      <c r="B911" s="1"/>
      <c r="C911" s="9"/>
      <c r="D911" s="9"/>
      <c r="E911" s="9"/>
      <c r="F911" s="1"/>
      <c r="G911" s="1"/>
      <c r="H911" s="19"/>
      <c r="I911" s="1"/>
      <c r="J911" s="1"/>
      <c r="K911" s="19"/>
      <c r="L911" s="1"/>
      <c r="M911" s="9"/>
      <c r="N911" s="1"/>
      <c r="O911" s="1"/>
      <c r="P911" s="1"/>
      <c r="Q911" s="1"/>
      <c r="R911" s="1"/>
    </row>
    <row r="912" spans="2:18">
      <c r="B912" s="1"/>
      <c r="C912" s="9"/>
      <c r="D912" s="9"/>
      <c r="E912" s="9"/>
      <c r="F912" s="1"/>
      <c r="G912" s="1"/>
      <c r="H912" s="19"/>
      <c r="I912" s="1"/>
      <c r="J912" s="1"/>
      <c r="K912" s="19"/>
      <c r="L912" s="1"/>
      <c r="M912" s="9"/>
      <c r="N912" s="1"/>
      <c r="O912" s="1"/>
      <c r="P912" s="1"/>
      <c r="Q912" s="1"/>
      <c r="R912" s="1"/>
    </row>
    <row r="913" spans="2:18">
      <c r="B913" s="1"/>
      <c r="C913" s="9"/>
      <c r="D913" s="9"/>
      <c r="E913" s="9"/>
      <c r="F913" s="1"/>
      <c r="G913" s="1"/>
      <c r="H913" s="19"/>
      <c r="I913" s="1"/>
      <c r="J913" s="1"/>
      <c r="K913" s="19"/>
      <c r="L913" s="1"/>
      <c r="M913" s="9"/>
      <c r="N913" s="1"/>
      <c r="O913" s="1"/>
      <c r="P913" s="1"/>
      <c r="Q913" s="1"/>
      <c r="R913" s="1"/>
    </row>
    <row r="914" spans="2:18">
      <c r="B914" s="1"/>
      <c r="C914" s="9"/>
      <c r="D914" s="9"/>
      <c r="E914" s="9"/>
      <c r="F914" s="1"/>
      <c r="G914" s="1"/>
      <c r="H914" s="19"/>
      <c r="I914" s="1"/>
      <c r="J914" s="1"/>
      <c r="K914" s="19"/>
      <c r="L914" s="1"/>
      <c r="M914" s="9"/>
      <c r="N914" s="1"/>
      <c r="O914" s="1"/>
      <c r="P914" s="1"/>
      <c r="Q914" s="1"/>
      <c r="R914" s="1"/>
    </row>
    <row r="915" spans="2:18">
      <c r="B915" s="1"/>
      <c r="C915" s="9"/>
      <c r="D915" s="9"/>
      <c r="E915" s="9"/>
      <c r="F915" s="1"/>
      <c r="G915" s="1"/>
      <c r="H915" s="19"/>
      <c r="I915" s="1"/>
      <c r="J915" s="1"/>
      <c r="K915" s="19"/>
      <c r="L915" s="1"/>
      <c r="M915" s="9"/>
      <c r="N915" s="1"/>
      <c r="O915" s="1"/>
      <c r="P915" s="1"/>
      <c r="Q915" s="1"/>
      <c r="R915" s="1"/>
    </row>
    <row r="916" spans="2:18">
      <c r="B916" s="1"/>
      <c r="C916" s="9"/>
      <c r="D916" s="9"/>
      <c r="E916" s="9"/>
      <c r="F916" s="1"/>
      <c r="G916" s="1"/>
      <c r="H916" s="19"/>
      <c r="I916" s="1"/>
      <c r="J916" s="1"/>
      <c r="K916" s="19"/>
      <c r="L916" s="1"/>
      <c r="M916" s="9"/>
      <c r="N916" s="1"/>
      <c r="O916" s="1"/>
      <c r="P916" s="1"/>
      <c r="Q916" s="1"/>
      <c r="R916" s="1"/>
    </row>
    <row r="917" spans="2:18">
      <c r="B917" s="1"/>
      <c r="C917" s="9"/>
      <c r="D917" s="9"/>
      <c r="E917" s="9"/>
      <c r="F917" s="1"/>
      <c r="G917" s="1"/>
      <c r="H917" s="19"/>
      <c r="I917" s="1"/>
      <c r="J917" s="1"/>
      <c r="K917" s="19"/>
      <c r="L917" s="1"/>
      <c r="M917" s="9"/>
      <c r="N917" s="1"/>
      <c r="O917" s="1"/>
      <c r="P917" s="1"/>
      <c r="Q917" s="1"/>
      <c r="R917" s="1"/>
    </row>
    <row r="918" spans="2:18">
      <c r="B918" s="1"/>
      <c r="C918" s="9"/>
      <c r="D918" s="9"/>
      <c r="E918" s="9"/>
      <c r="F918" s="1"/>
      <c r="G918" s="1"/>
      <c r="H918" s="19"/>
      <c r="I918" s="1"/>
      <c r="J918" s="1"/>
      <c r="K918" s="19"/>
      <c r="L918" s="1"/>
      <c r="M918" s="9"/>
      <c r="N918" s="1"/>
      <c r="O918" s="1"/>
      <c r="P918" s="1"/>
      <c r="Q918" s="1"/>
      <c r="R918" s="1"/>
    </row>
    <row r="919" spans="2:18">
      <c r="B919" s="1"/>
      <c r="C919" s="9"/>
      <c r="D919" s="9"/>
      <c r="E919" s="9"/>
      <c r="F919" s="1"/>
      <c r="G919" s="1"/>
      <c r="H919" s="19"/>
      <c r="I919" s="1"/>
      <c r="J919" s="1"/>
      <c r="K919" s="19"/>
      <c r="L919" s="1"/>
      <c r="M919" s="9"/>
      <c r="N919" s="1"/>
      <c r="O919" s="1"/>
      <c r="P919" s="1"/>
      <c r="Q919" s="1"/>
      <c r="R919" s="1"/>
    </row>
    <row r="920" spans="2:18">
      <c r="B920" s="1"/>
      <c r="C920" s="9"/>
      <c r="D920" s="9"/>
      <c r="E920" s="9"/>
      <c r="F920" s="1"/>
      <c r="G920" s="1"/>
      <c r="H920" s="19"/>
      <c r="I920" s="1"/>
      <c r="J920" s="1"/>
      <c r="K920" s="19"/>
      <c r="L920" s="1"/>
      <c r="M920" s="9"/>
      <c r="N920" s="1"/>
      <c r="O920" s="1"/>
      <c r="P920" s="1"/>
      <c r="Q920" s="1"/>
      <c r="R920" s="1"/>
    </row>
    <row r="921" spans="2:18">
      <c r="B921" s="1"/>
      <c r="C921" s="9"/>
      <c r="D921" s="9"/>
      <c r="E921" s="9"/>
      <c r="F921" s="1"/>
      <c r="G921" s="1"/>
      <c r="H921" s="19"/>
      <c r="I921" s="1"/>
      <c r="J921" s="1"/>
      <c r="K921" s="19"/>
      <c r="L921" s="1"/>
      <c r="M921" s="9"/>
      <c r="N921" s="1"/>
      <c r="O921" s="1"/>
      <c r="P921" s="1"/>
      <c r="Q921" s="1"/>
      <c r="R921" s="1"/>
    </row>
    <row r="922" spans="2:18">
      <c r="B922" s="1"/>
      <c r="C922" s="9"/>
      <c r="D922" s="9"/>
      <c r="E922" s="9"/>
      <c r="F922" s="1"/>
      <c r="G922" s="1"/>
      <c r="H922" s="19"/>
      <c r="I922" s="1"/>
      <c r="J922" s="1"/>
      <c r="K922" s="19"/>
      <c r="L922" s="1"/>
      <c r="M922" s="9"/>
      <c r="N922" s="1"/>
      <c r="O922" s="1"/>
      <c r="P922" s="1"/>
      <c r="Q922" s="1"/>
      <c r="R922" s="1"/>
    </row>
    <row r="923" spans="2:18">
      <c r="B923" s="1"/>
      <c r="C923" s="9"/>
      <c r="D923" s="9"/>
      <c r="E923" s="9"/>
      <c r="F923" s="1"/>
      <c r="G923" s="1"/>
      <c r="H923" s="19"/>
      <c r="I923" s="1"/>
      <c r="J923" s="1"/>
      <c r="K923" s="19"/>
      <c r="L923" s="1"/>
      <c r="M923" s="9"/>
      <c r="N923" s="1"/>
      <c r="O923" s="1"/>
      <c r="P923" s="1"/>
      <c r="Q923" s="1"/>
      <c r="R923" s="1"/>
    </row>
    <row r="924" spans="2:18">
      <c r="B924" s="1"/>
      <c r="C924" s="9"/>
      <c r="D924" s="9"/>
      <c r="E924" s="9"/>
      <c r="F924" s="1"/>
      <c r="G924" s="1"/>
      <c r="H924" s="19"/>
      <c r="I924" s="1"/>
      <c r="J924" s="1"/>
      <c r="K924" s="19"/>
      <c r="L924" s="1"/>
      <c r="M924" s="9"/>
      <c r="N924" s="1"/>
      <c r="O924" s="1"/>
      <c r="P924" s="1"/>
      <c r="Q924" s="1"/>
      <c r="R924" s="1"/>
    </row>
    <row r="925" spans="2:18">
      <c r="B925" s="1"/>
      <c r="C925" s="9"/>
      <c r="D925" s="9"/>
      <c r="E925" s="9"/>
      <c r="F925" s="1"/>
      <c r="G925" s="1"/>
      <c r="H925" s="19"/>
      <c r="I925" s="1"/>
      <c r="J925" s="1"/>
      <c r="K925" s="19"/>
      <c r="L925" s="1"/>
      <c r="M925" s="9"/>
      <c r="N925" s="1"/>
      <c r="O925" s="1"/>
      <c r="P925" s="1"/>
      <c r="Q925" s="1"/>
      <c r="R925" s="1"/>
    </row>
    <row r="926" spans="2:18">
      <c r="B926" s="1"/>
      <c r="C926" s="9"/>
      <c r="D926" s="9"/>
      <c r="E926" s="9"/>
      <c r="F926" s="1"/>
      <c r="G926" s="1"/>
      <c r="H926" s="19"/>
      <c r="I926" s="1"/>
      <c r="J926" s="1"/>
      <c r="K926" s="19"/>
      <c r="L926" s="1"/>
      <c r="M926" s="9"/>
      <c r="N926" s="1"/>
      <c r="O926" s="1"/>
      <c r="P926" s="1"/>
      <c r="Q926" s="1"/>
      <c r="R926" s="1"/>
    </row>
    <row r="927" spans="2:18">
      <c r="B927" s="1"/>
      <c r="C927" s="9"/>
      <c r="D927" s="9"/>
      <c r="E927" s="9"/>
      <c r="F927" s="1"/>
      <c r="G927" s="1"/>
      <c r="H927" s="19"/>
      <c r="I927" s="1"/>
      <c r="J927" s="1"/>
      <c r="K927" s="19"/>
      <c r="L927" s="1"/>
      <c r="M927" s="9"/>
      <c r="N927" s="1"/>
      <c r="O927" s="1"/>
      <c r="P927" s="1"/>
      <c r="Q927" s="1"/>
      <c r="R927" s="1"/>
    </row>
    <row r="928" spans="2:18">
      <c r="B928" s="1"/>
      <c r="C928" s="9"/>
      <c r="D928" s="9"/>
      <c r="E928" s="9"/>
      <c r="F928" s="1"/>
      <c r="G928" s="1"/>
      <c r="H928" s="19"/>
      <c r="I928" s="1"/>
      <c r="J928" s="1"/>
      <c r="K928" s="19"/>
      <c r="L928" s="1"/>
      <c r="M928" s="9"/>
      <c r="N928" s="1"/>
      <c r="O928" s="1"/>
      <c r="P928" s="1"/>
      <c r="Q928" s="1"/>
      <c r="R928" s="1"/>
    </row>
    <row r="929" spans="2:18">
      <c r="B929" s="1"/>
      <c r="C929" s="9"/>
      <c r="D929" s="9"/>
      <c r="E929" s="9"/>
      <c r="F929" s="1"/>
      <c r="G929" s="1"/>
      <c r="H929" s="19"/>
      <c r="I929" s="1"/>
      <c r="J929" s="1"/>
      <c r="K929" s="19"/>
      <c r="L929" s="1"/>
      <c r="M929" s="9"/>
      <c r="N929" s="1"/>
      <c r="O929" s="1"/>
      <c r="P929" s="1"/>
      <c r="Q929" s="1"/>
      <c r="R929" s="1"/>
    </row>
    <row r="930" spans="2:18">
      <c r="B930" s="1"/>
      <c r="C930" s="9"/>
      <c r="D930" s="9"/>
      <c r="E930" s="9"/>
      <c r="F930" s="1"/>
      <c r="G930" s="1"/>
      <c r="H930" s="19"/>
      <c r="I930" s="1"/>
      <c r="J930" s="1"/>
      <c r="K930" s="19"/>
      <c r="L930" s="1"/>
      <c r="M930" s="9"/>
      <c r="N930" s="1"/>
      <c r="O930" s="1"/>
      <c r="P930" s="1"/>
      <c r="Q930" s="1"/>
      <c r="R930" s="1"/>
    </row>
    <row r="931" spans="2:18">
      <c r="B931" s="1"/>
      <c r="C931" s="9"/>
      <c r="D931" s="9"/>
      <c r="E931" s="9"/>
      <c r="F931" s="1"/>
      <c r="G931" s="1"/>
      <c r="H931" s="19"/>
      <c r="I931" s="1"/>
      <c r="J931" s="1"/>
      <c r="K931" s="19"/>
      <c r="L931" s="1"/>
      <c r="M931" s="9"/>
      <c r="N931" s="1"/>
      <c r="O931" s="1"/>
      <c r="P931" s="1"/>
      <c r="Q931" s="1"/>
      <c r="R931" s="1"/>
    </row>
    <row r="932" spans="2:18">
      <c r="B932" s="1"/>
      <c r="C932" s="9"/>
      <c r="D932" s="9"/>
      <c r="E932" s="9"/>
      <c r="F932" s="1"/>
      <c r="G932" s="1"/>
      <c r="H932" s="19"/>
      <c r="I932" s="1"/>
      <c r="J932" s="1"/>
      <c r="K932" s="19"/>
      <c r="L932" s="1"/>
      <c r="M932" s="9"/>
      <c r="N932" s="1"/>
      <c r="O932" s="1"/>
      <c r="P932" s="1"/>
      <c r="Q932" s="1"/>
      <c r="R932" s="1"/>
    </row>
    <row r="933" spans="2:18">
      <c r="B933" s="1"/>
      <c r="C933" s="9"/>
      <c r="D933" s="9"/>
      <c r="E933" s="9"/>
      <c r="F933" s="1"/>
      <c r="G933" s="1"/>
      <c r="H933" s="19"/>
      <c r="I933" s="1"/>
      <c r="J933" s="1"/>
      <c r="K933" s="19"/>
      <c r="L933" s="1"/>
      <c r="M933" s="9"/>
      <c r="N933" s="1"/>
      <c r="O933" s="1"/>
      <c r="P933" s="1"/>
      <c r="Q933" s="1"/>
      <c r="R933" s="1"/>
    </row>
    <row r="934" spans="2:18">
      <c r="B934" s="1"/>
      <c r="C934" s="9"/>
      <c r="D934" s="9"/>
      <c r="E934" s="9"/>
      <c r="F934" s="1"/>
      <c r="G934" s="1"/>
      <c r="H934" s="19"/>
      <c r="I934" s="1"/>
      <c r="J934" s="1"/>
      <c r="K934" s="19"/>
      <c r="L934" s="1"/>
      <c r="M934" s="9"/>
      <c r="N934" s="1"/>
      <c r="O934" s="1"/>
      <c r="P934" s="1"/>
      <c r="Q934" s="1"/>
      <c r="R934" s="1"/>
    </row>
    <row r="935" spans="2:18">
      <c r="B935" s="1"/>
      <c r="C935" s="9"/>
      <c r="D935" s="9"/>
      <c r="E935" s="9"/>
      <c r="F935" s="1"/>
      <c r="G935" s="1"/>
      <c r="H935" s="19"/>
      <c r="I935" s="1"/>
      <c r="J935" s="1"/>
      <c r="K935" s="19"/>
      <c r="L935" s="1"/>
      <c r="M935" s="9"/>
      <c r="N935" s="1"/>
      <c r="O935" s="1"/>
      <c r="P935" s="1"/>
      <c r="Q935" s="1"/>
      <c r="R935" s="1"/>
    </row>
    <row r="936" spans="2:18">
      <c r="B936" s="1"/>
      <c r="C936" s="9"/>
      <c r="D936" s="9"/>
      <c r="E936" s="9"/>
      <c r="F936" s="1"/>
      <c r="G936" s="1"/>
      <c r="H936" s="19"/>
      <c r="I936" s="1"/>
      <c r="J936" s="1"/>
      <c r="K936" s="19"/>
      <c r="L936" s="1"/>
      <c r="M936" s="9"/>
      <c r="N936" s="1"/>
      <c r="O936" s="1"/>
      <c r="P936" s="1"/>
      <c r="Q936" s="1"/>
      <c r="R936" s="1"/>
    </row>
    <row r="937" spans="2:18">
      <c r="B937" s="1"/>
      <c r="C937" s="9"/>
      <c r="D937" s="9"/>
      <c r="E937" s="9"/>
      <c r="F937" s="1"/>
      <c r="G937" s="1"/>
      <c r="H937" s="19"/>
      <c r="I937" s="1"/>
      <c r="J937" s="1"/>
      <c r="K937" s="19"/>
      <c r="L937" s="1"/>
      <c r="M937" s="9"/>
      <c r="N937" s="1"/>
      <c r="O937" s="1"/>
      <c r="P937" s="1"/>
      <c r="Q937" s="1"/>
      <c r="R937" s="1"/>
    </row>
    <row r="938" spans="2:18">
      <c r="B938" s="1"/>
      <c r="C938" s="9"/>
      <c r="D938" s="9"/>
      <c r="E938" s="9"/>
      <c r="F938" s="1"/>
      <c r="G938" s="1"/>
      <c r="H938" s="19"/>
      <c r="I938" s="1"/>
      <c r="J938" s="1"/>
      <c r="K938" s="19"/>
      <c r="L938" s="1"/>
      <c r="M938" s="9"/>
      <c r="N938" s="1"/>
      <c r="O938" s="1"/>
      <c r="P938" s="1"/>
      <c r="Q938" s="1"/>
      <c r="R938" s="1"/>
    </row>
    <row r="939" spans="2:18">
      <c r="B939" s="1"/>
      <c r="C939" s="9"/>
      <c r="D939" s="9"/>
      <c r="E939" s="9"/>
      <c r="F939" s="1"/>
      <c r="G939" s="1"/>
      <c r="H939" s="19"/>
      <c r="I939" s="1"/>
      <c r="J939" s="1"/>
      <c r="K939" s="19"/>
      <c r="L939" s="1"/>
      <c r="M939" s="9"/>
      <c r="N939" s="1"/>
      <c r="O939" s="1"/>
      <c r="P939" s="1"/>
      <c r="Q939" s="1"/>
      <c r="R939" s="1"/>
    </row>
    <row r="940" spans="2:18">
      <c r="B940" s="1"/>
      <c r="C940" s="9"/>
      <c r="D940" s="9"/>
      <c r="E940" s="9"/>
      <c r="F940" s="1"/>
      <c r="G940" s="1"/>
      <c r="H940" s="19"/>
      <c r="I940" s="1"/>
      <c r="J940" s="1"/>
      <c r="K940" s="19"/>
      <c r="L940" s="1"/>
      <c r="M940" s="9"/>
      <c r="N940" s="1"/>
      <c r="O940" s="1"/>
      <c r="P940" s="1"/>
      <c r="Q940" s="1"/>
      <c r="R940" s="1"/>
    </row>
    <row r="941" spans="2:18">
      <c r="B941" s="1"/>
      <c r="C941" s="9"/>
      <c r="D941" s="9"/>
      <c r="E941" s="9"/>
      <c r="F941" s="1"/>
      <c r="G941" s="1"/>
      <c r="H941" s="19"/>
      <c r="I941" s="1"/>
      <c r="J941" s="1"/>
      <c r="K941" s="19"/>
      <c r="L941" s="1"/>
      <c r="M941" s="9"/>
      <c r="N941" s="1"/>
      <c r="O941" s="1"/>
      <c r="P941" s="1"/>
      <c r="Q941" s="1"/>
      <c r="R941" s="1"/>
    </row>
    <row r="942" spans="2:18">
      <c r="B942" s="1"/>
      <c r="C942" s="9"/>
      <c r="D942" s="9"/>
      <c r="E942" s="9"/>
      <c r="F942" s="1"/>
      <c r="G942" s="1"/>
      <c r="H942" s="19"/>
      <c r="I942" s="1"/>
      <c r="J942" s="1"/>
      <c r="K942" s="19"/>
      <c r="L942" s="1"/>
      <c r="M942" s="9"/>
      <c r="N942" s="1"/>
      <c r="O942" s="1"/>
      <c r="P942" s="1"/>
      <c r="Q942" s="1"/>
      <c r="R942" s="1"/>
    </row>
    <row r="943" spans="2:18">
      <c r="B943" s="1"/>
      <c r="C943" s="9"/>
      <c r="D943" s="9"/>
      <c r="E943" s="9"/>
      <c r="F943" s="1"/>
      <c r="G943" s="1"/>
      <c r="H943" s="19"/>
      <c r="I943" s="1"/>
      <c r="J943" s="1"/>
      <c r="K943" s="19"/>
      <c r="L943" s="1"/>
      <c r="M943" s="9"/>
      <c r="N943" s="1"/>
      <c r="O943" s="1"/>
      <c r="P943" s="1"/>
      <c r="Q943" s="1"/>
      <c r="R943" s="1"/>
    </row>
    <row r="944" spans="2:18">
      <c r="B944" s="1"/>
      <c r="C944" s="9"/>
      <c r="D944" s="9"/>
      <c r="E944" s="9"/>
      <c r="F944" s="1"/>
      <c r="G944" s="1"/>
      <c r="H944" s="19"/>
      <c r="I944" s="1"/>
      <c r="J944" s="1"/>
      <c r="K944" s="19"/>
      <c r="L944" s="1"/>
      <c r="M944" s="9"/>
      <c r="N944" s="1"/>
      <c r="O944" s="1"/>
      <c r="P944" s="1"/>
      <c r="Q944" s="1"/>
      <c r="R944" s="1"/>
    </row>
    <row r="945" spans="2:18">
      <c r="B945" s="1"/>
      <c r="C945" s="9"/>
      <c r="D945" s="9"/>
      <c r="E945" s="9"/>
      <c r="F945" s="1"/>
      <c r="G945" s="1"/>
      <c r="H945" s="19"/>
      <c r="I945" s="1"/>
      <c r="J945" s="1"/>
      <c r="K945" s="19"/>
      <c r="L945" s="1"/>
      <c r="M945" s="9"/>
      <c r="N945" s="1"/>
      <c r="O945" s="1"/>
      <c r="P945" s="1"/>
      <c r="Q945" s="1"/>
      <c r="R945" s="1"/>
    </row>
    <row r="946" spans="2:18">
      <c r="B946" s="1"/>
      <c r="C946" s="9"/>
      <c r="D946" s="9"/>
      <c r="E946" s="9"/>
      <c r="F946" s="1"/>
      <c r="G946" s="1"/>
      <c r="H946" s="19"/>
      <c r="I946" s="1"/>
      <c r="J946" s="1"/>
      <c r="K946" s="19"/>
      <c r="L946" s="1"/>
      <c r="M946" s="9"/>
      <c r="N946" s="1"/>
      <c r="O946" s="1"/>
      <c r="P946" s="1"/>
      <c r="Q946" s="1"/>
      <c r="R946" s="1"/>
    </row>
    <row r="947" spans="2:18">
      <c r="B947" s="1"/>
      <c r="C947" s="9"/>
      <c r="D947" s="9"/>
      <c r="E947" s="9"/>
      <c r="F947" s="1"/>
      <c r="G947" s="1"/>
      <c r="H947" s="19"/>
      <c r="I947" s="1"/>
      <c r="J947" s="1"/>
      <c r="K947" s="19"/>
      <c r="L947" s="1"/>
      <c r="M947" s="9"/>
      <c r="N947" s="1"/>
      <c r="O947" s="1"/>
      <c r="P947" s="1"/>
      <c r="Q947" s="1"/>
      <c r="R947" s="1"/>
    </row>
    <row r="948" spans="2:18">
      <c r="B948" s="1"/>
      <c r="C948" s="9"/>
      <c r="D948" s="9"/>
      <c r="E948" s="9"/>
      <c r="F948" s="1"/>
      <c r="G948" s="1"/>
      <c r="H948" s="19"/>
      <c r="I948" s="1"/>
      <c r="J948" s="1"/>
      <c r="K948" s="19"/>
      <c r="L948" s="1"/>
      <c r="M948" s="9"/>
      <c r="N948" s="1"/>
      <c r="O948" s="1"/>
      <c r="P948" s="1"/>
      <c r="Q948" s="1"/>
      <c r="R948" s="1"/>
    </row>
    <row r="949" spans="2:18">
      <c r="B949" s="1"/>
      <c r="C949" s="9"/>
      <c r="D949" s="9"/>
      <c r="E949" s="9"/>
      <c r="F949" s="1"/>
      <c r="G949" s="1"/>
      <c r="H949" s="19"/>
      <c r="I949" s="1"/>
      <c r="J949" s="1"/>
      <c r="K949" s="19"/>
      <c r="L949" s="1"/>
      <c r="M949" s="9"/>
      <c r="N949" s="1"/>
      <c r="O949" s="1"/>
      <c r="P949" s="1"/>
      <c r="Q949" s="1"/>
      <c r="R949" s="1"/>
    </row>
    <row r="950" spans="2:18">
      <c r="B950" s="1"/>
      <c r="C950" s="9"/>
      <c r="D950" s="9"/>
      <c r="E950" s="9"/>
      <c r="F950" s="1"/>
      <c r="G950" s="1"/>
      <c r="H950" s="19"/>
      <c r="I950" s="1"/>
      <c r="J950" s="1"/>
      <c r="K950" s="19"/>
      <c r="L950" s="1"/>
      <c r="M950" s="9"/>
      <c r="N950" s="1"/>
      <c r="O950" s="1"/>
      <c r="P950" s="1"/>
      <c r="Q950" s="1"/>
      <c r="R950" s="1"/>
    </row>
    <row r="951" spans="2:18">
      <c r="B951" s="1"/>
      <c r="C951" s="9"/>
      <c r="D951" s="9"/>
      <c r="E951" s="9"/>
      <c r="F951" s="1"/>
      <c r="G951" s="1"/>
      <c r="H951" s="19"/>
      <c r="I951" s="1"/>
      <c r="J951" s="1"/>
      <c r="K951" s="19"/>
      <c r="L951" s="1"/>
      <c r="M951" s="9"/>
      <c r="N951" s="1"/>
      <c r="O951" s="1"/>
      <c r="P951" s="1"/>
      <c r="Q951" s="1"/>
      <c r="R951" s="1"/>
    </row>
    <row r="952" spans="2:18">
      <c r="B952" s="1"/>
      <c r="C952" s="9"/>
      <c r="D952" s="9"/>
      <c r="E952" s="9"/>
      <c r="F952" s="1"/>
      <c r="G952" s="1"/>
      <c r="H952" s="19"/>
      <c r="I952" s="1"/>
      <c r="J952" s="1"/>
      <c r="K952" s="19"/>
      <c r="L952" s="1"/>
      <c r="M952" s="9"/>
      <c r="N952" s="1"/>
      <c r="O952" s="1"/>
      <c r="P952" s="1"/>
      <c r="Q952" s="1"/>
      <c r="R952" s="1"/>
    </row>
    <row r="953" spans="2:18">
      <c r="B953" s="1"/>
      <c r="C953" s="9"/>
      <c r="D953" s="9"/>
      <c r="E953" s="9"/>
      <c r="F953" s="1"/>
      <c r="G953" s="1"/>
      <c r="H953" s="19"/>
      <c r="I953" s="1"/>
      <c r="J953" s="1"/>
      <c r="K953" s="19"/>
      <c r="L953" s="1"/>
      <c r="M953" s="9"/>
      <c r="N953" s="1"/>
      <c r="O953" s="1"/>
      <c r="P953" s="1"/>
      <c r="Q953" s="1"/>
      <c r="R953" s="1"/>
    </row>
    <row r="954" spans="2:18">
      <c r="B954" s="1"/>
      <c r="C954" s="9"/>
      <c r="D954" s="9"/>
      <c r="E954" s="9"/>
      <c r="F954" s="1"/>
      <c r="G954" s="1"/>
      <c r="H954" s="19"/>
      <c r="I954" s="1"/>
      <c r="J954" s="1"/>
      <c r="K954" s="19"/>
      <c r="L954" s="1"/>
      <c r="M954" s="9"/>
      <c r="N954" s="1"/>
      <c r="O954" s="1"/>
      <c r="P954" s="1"/>
      <c r="Q954" s="1"/>
      <c r="R954" s="1"/>
    </row>
    <row r="955" spans="2:18">
      <c r="B955" s="1"/>
      <c r="C955" s="9"/>
      <c r="D955" s="9"/>
      <c r="E955" s="9"/>
      <c r="F955" s="1"/>
      <c r="G955" s="1"/>
      <c r="H955" s="19"/>
      <c r="I955" s="1"/>
      <c r="J955" s="1"/>
      <c r="K955" s="19"/>
      <c r="L955" s="1"/>
      <c r="M955" s="9"/>
      <c r="N955" s="1"/>
      <c r="O955" s="1"/>
      <c r="P955" s="1"/>
      <c r="Q955" s="1"/>
      <c r="R955" s="1"/>
    </row>
    <row r="956" spans="2:18">
      <c r="B956" s="1"/>
      <c r="C956" s="9"/>
      <c r="D956" s="9"/>
      <c r="E956" s="9"/>
      <c r="F956" s="1"/>
      <c r="G956" s="1"/>
      <c r="H956" s="19"/>
      <c r="I956" s="1"/>
      <c r="J956" s="1"/>
      <c r="K956" s="19"/>
      <c r="L956" s="1"/>
      <c r="M956" s="9"/>
      <c r="N956" s="1"/>
      <c r="O956" s="1"/>
      <c r="P956" s="1"/>
      <c r="Q956" s="1"/>
      <c r="R956" s="1"/>
    </row>
    <row r="957" spans="2:18">
      <c r="B957" s="1"/>
      <c r="C957" s="9"/>
      <c r="D957" s="9"/>
      <c r="E957" s="9"/>
      <c r="F957" s="1"/>
      <c r="G957" s="1"/>
      <c r="H957" s="19"/>
      <c r="I957" s="1"/>
      <c r="J957" s="1"/>
      <c r="K957" s="19"/>
      <c r="L957" s="1"/>
      <c r="M957" s="9"/>
      <c r="N957" s="1"/>
      <c r="O957" s="1"/>
      <c r="P957" s="1"/>
      <c r="Q957" s="1"/>
      <c r="R957" s="1"/>
    </row>
    <row r="958" spans="2:18">
      <c r="B958" s="1"/>
      <c r="C958" s="9"/>
      <c r="D958" s="9"/>
      <c r="E958" s="9"/>
      <c r="F958" s="1"/>
      <c r="G958" s="1"/>
      <c r="H958" s="19"/>
      <c r="I958" s="1"/>
      <c r="J958" s="1"/>
      <c r="K958" s="19"/>
      <c r="L958" s="1"/>
      <c r="M958" s="9"/>
      <c r="N958" s="1"/>
      <c r="O958" s="1"/>
      <c r="P958" s="1"/>
      <c r="Q958" s="1"/>
      <c r="R958" s="1"/>
    </row>
    <row r="959" spans="2:18">
      <c r="B959" s="1"/>
      <c r="C959" s="9"/>
      <c r="D959" s="9"/>
      <c r="E959" s="9"/>
      <c r="F959" s="1"/>
      <c r="G959" s="1"/>
      <c r="H959" s="19"/>
      <c r="I959" s="1"/>
      <c r="J959" s="1"/>
      <c r="K959" s="19"/>
      <c r="L959" s="1"/>
      <c r="M959" s="9"/>
      <c r="N959" s="1"/>
      <c r="O959" s="1"/>
      <c r="P959" s="1"/>
      <c r="Q959" s="1"/>
      <c r="R959" s="1"/>
    </row>
    <row r="960" spans="2:18">
      <c r="B960" s="1"/>
      <c r="C960" s="9"/>
      <c r="D960" s="9"/>
      <c r="E960" s="9"/>
      <c r="F960" s="1"/>
      <c r="G960" s="1"/>
      <c r="H960" s="19"/>
      <c r="I960" s="1"/>
      <c r="J960" s="1"/>
      <c r="K960" s="19"/>
      <c r="L960" s="1"/>
      <c r="M960" s="9"/>
      <c r="N960" s="1"/>
      <c r="O960" s="1"/>
      <c r="P960" s="1"/>
      <c r="Q960" s="1"/>
      <c r="R960" s="1"/>
    </row>
    <row r="961" spans="2:18">
      <c r="B961" s="1"/>
      <c r="C961" s="9"/>
      <c r="D961" s="9"/>
      <c r="E961" s="9"/>
      <c r="F961" s="1"/>
      <c r="G961" s="1"/>
      <c r="H961" s="19"/>
      <c r="I961" s="1"/>
      <c r="J961" s="1"/>
      <c r="K961" s="19"/>
      <c r="L961" s="1"/>
      <c r="M961" s="9"/>
      <c r="N961" s="1"/>
      <c r="O961" s="1"/>
      <c r="P961" s="1"/>
      <c r="Q961" s="1"/>
      <c r="R961" s="1"/>
    </row>
    <row r="962" spans="2:18">
      <c r="B962" s="1"/>
      <c r="C962" s="9"/>
      <c r="D962" s="9"/>
      <c r="E962" s="9"/>
      <c r="F962" s="1"/>
      <c r="G962" s="1"/>
      <c r="H962" s="19"/>
      <c r="I962" s="1"/>
      <c r="J962" s="1"/>
      <c r="K962" s="19"/>
      <c r="L962" s="1"/>
      <c r="M962" s="9"/>
      <c r="N962" s="1"/>
      <c r="O962" s="1"/>
      <c r="P962" s="1"/>
      <c r="Q962" s="1"/>
      <c r="R962" s="1"/>
    </row>
    <row r="963" spans="2:18">
      <c r="B963" s="1"/>
      <c r="C963" s="9"/>
      <c r="D963" s="9"/>
      <c r="E963" s="9"/>
      <c r="F963" s="1"/>
      <c r="G963" s="1"/>
      <c r="H963" s="19"/>
      <c r="I963" s="1"/>
      <c r="J963" s="1"/>
      <c r="K963" s="19"/>
      <c r="L963" s="1"/>
      <c r="M963" s="9"/>
      <c r="N963" s="1"/>
      <c r="O963" s="1"/>
      <c r="P963" s="1"/>
      <c r="Q963" s="1"/>
      <c r="R963" s="1"/>
    </row>
    <row r="964" spans="2:18">
      <c r="B964" s="1"/>
      <c r="C964" s="9"/>
      <c r="D964" s="9"/>
      <c r="E964" s="9"/>
      <c r="F964" s="1"/>
      <c r="G964" s="1"/>
      <c r="H964" s="19"/>
      <c r="I964" s="1"/>
      <c r="J964" s="1"/>
      <c r="K964" s="19"/>
      <c r="L964" s="1"/>
      <c r="M964" s="9"/>
      <c r="N964" s="1"/>
      <c r="O964" s="1"/>
      <c r="P964" s="1"/>
      <c r="Q964" s="1"/>
      <c r="R964" s="1"/>
    </row>
    <row r="965" spans="2:18">
      <c r="B965" s="1"/>
      <c r="C965" s="9"/>
      <c r="D965" s="9"/>
      <c r="E965" s="9"/>
      <c r="F965" s="1"/>
      <c r="G965" s="1"/>
      <c r="H965" s="19"/>
      <c r="I965" s="1"/>
      <c r="J965" s="1"/>
      <c r="K965" s="19"/>
      <c r="L965" s="1"/>
      <c r="M965" s="9"/>
      <c r="N965" s="1"/>
      <c r="O965" s="1"/>
      <c r="P965" s="1"/>
      <c r="Q965" s="1"/>
      <c r="R965" s="1"/>
    </row>
    <row r="966" spans="2:18">
      <c r="B966" s="1"/>
      <c r="C966" s="9"/>
      <c r="D966" s="9"/>
      <c r="E966" s="9"/>
      <c r="F966" s="1"/>
      <c r="G966" s="1"/>
      <c r="H966" s="19"/>
      <c r="I966" s="1"/>
      <c r="J966" s="1"/>
      <c r="K966" s="19"/>
      <c r="L966" s="1"/>
      <c r="M966" s="9"/>
      <c r="N966" s="1"/>
      <c r="O966" s="1"/>
      <c r="P966" s="1"/>
      <c r="Q966" s="1"/>
      <c r="R966" s="1"/>
    </row>
    <row r="967" spans="2:18">
      <c r="B967" s="1"/>
      <c r="C967" s="9"/>
      <c r="D967" s="9"/>
      <c r="E967" s="9"/>
      <c r="F967" s="1"/>
      <c r="G967" s="1"/>
      <c r="H967" s="19"/>
      <c r="I967" s="1"/>
      <c r="J967" s="1"/>
      <c r="K967" s="19"/>
      <c r="L967" s="1"/>
      <c r="M967" s="9"/>
      <c r="N967" s="1"/>
      <c r="O967" s="1"/>
      <c r="P967" s="1"/>
      <c r="Q967" s="1"/>
      <c r="R967" s="1"/>
    </row>
    <row r="968" spans="2:18">
      <c r="B968" s="1"/>
      <c r="C968" s="9"/>
      <c r="D968" s="9"/>
      <c r="E968" s="9"/>
      <c r="F968" s="1"/>
      <c r="G968" s="1"/>
      <c r="H968" s="19"/>
      <c r="I968" s="1"/>
      <c r="J968" s="1"/>
      <c r="K968" s="19"/>
      <c r="L968" s="1"/>
      <c r="M968" s="9"/>
      <c r="N968" s="1"/>
      <c r="O968" s="1"/>
      <c r="P968" s="1"/>
      <c r="Q968" s="1"/>
      <c r="R968" s="1"/>
    </row>
    <row r="969" spans="2:18">
      <c r="B969" s="1"/>
      <c r="C969" s="9"/>
      <c r="D969" s="9"/>
      <c r="E969" s="9"/>
      <c r="F969" s="1"/>
      <c r="G969" s="1"/>
      <c r="H969" s="19"/>
      <c r="I969" s="1"/>
      <c r="J969" s="1"/>
      <c r="K969" s="19"/>
      <c r="L969" s="1"/>
      <c r="M969" s="9"/>
      <c r="N969" s="1"/>
      <c r="O969" s="1"/>
      <c r="P969" s="1"/>
      <c r="Q969" s="1"/>
      <c r="R969" s="1"/>
    </row>
    <row r="970" spans="2:18">
      <c r="B970" s="1"/>
      <c r="C970" s="9"/>
      <c r="D970" s="9"/>
      <c r="E970" s="9"/>
      <c r="F970" s="1"/>
      <c r="G970" s="1"/>
      <c r="H970" s="19"/>
      <c r="I970" s="1"/>
      <c r="J970" s="1"/>
      <c r="K970" s="19"/>
      <c r="L970" s="1"/>
      <c r="M970" s="9"/>
      <c r="N970" s="1"/>
      <c r="O970" s="1"/>
      <c r="P970" s="1"/>
      <c r="Q970" s="1"/>
      <c r="R970" s="1"/>
    </row>
    <row r="971" spans="2:18">
      <c r="B971" s="1"/>
      <c r="C971" s="9"/>
      <c r="D971" s="9"/>
      <c r="E971" s="9"/>
      <c r="F971" s="1"/>
      <c r="G971" s="1"/>
      <c r="H971" s="19"/>
      <c r="I971" s="1"/>
      <c r="J971" s="1"/>
      <c r="K971" s="19"/>
      <c r="L971" s="1"/>
      <c r="M971" s="9"/>
      <c r="N971" s="1"/>
      <c r="O971" s="1"/>
      <c r="P971" s="1"/>
      <c r="Q971" s="1"/>
      <c r="R971" s="1"/>
    </row>
    <row r="972" spans="2:18">
      <c r="B972" s="1"/>
      <c r="C972" s="9"/>
      <c r="D972" s="9"/>
      <c r="E972" s="9"/>
      <c r="F972" s="1"/>
      <c r="G972" s="1"/>
      <c r="H972" s="19"/>
      <c r="I972" s="1"/>
      <c r="J972" s="1"/>
      <c r="K972" s="19"/>
      <c r="L972" s="1"/>
      <c r="M972" s="9"/>
      <c r="N972" s="1"/>
      <c r="O972" s="1"/>
      <c r="P972" s="1"/>
      <c r="Q972" s="1"/>
      <c r="R972" s="1"/>
    </row>
    <row r="973" spans="2:18">
      <c r="B973" s="1"/>
      <c r="C973" s="9"/>
      <c r="D973" s="9"/>
      <c r="E973" s="9"/>
      <c r="F973" s="1"/>
      <c r="G973" s="1"/>
      <c r="H973" s="19"/>
      <c r="I973" s="1"/>
      <c r="J973" s="1"/>
      <c r="K973" s="19"/>
      <c r="L973" s="1"/>
      <c r="M973" s="9"/>
      <c r="N973" s="1"/>
      <c r="O973" s="1"/>
      <c r="P973" s="1"/>
      <c r="Q973" s="1"/>
      <c r="R973" s="1"/>
    </row>
    <row r="974" spans="2:18">
      <c r="B974" s="1"/>
      <c r="C974" s="9"/>
      <c r="D974" s="9"/>
      <c r="E974" s="9"/>
      <c r="F974" s="1"/>
      <c r="G974" s="1"/>
      <c r="H974" s="19"/>
      <c r="I974" s="1"/>
      <c r="J974" s="1"/>
      <c r="K974" s="19"/>
      <c r="L974" s="1"/>
      <c r="M974" s="9"/>
      <c r="N974" s="1"/>
      <c r="O974" s="1"/>
      <c r="P974" s="1"/>
      <c r="Q974" s="1"/>
      <c r="R974" s="1"/>
    </row>
    <row r="975" spans="2:18">
      <c r="B975" s="1"/>
      <c r="C975" s="9"/>
      <c r="D975" s="9"/>
      <c r="E975" s="9"/>
      <c r="F975" s="1"/>
      <c r="G975" s="1"/>
      <c r="H975" s="19"/>
      <c r="I975" s="1"/>
      <c r="J975" s="1"/>
      <c r="K975" s="19"/>
      <c r="L975" s="1"/>
      <c r="M975" s="9"/>
      <c r="N975" s="1"/>
      <c r="O975" s="1"/>
      <c r="P975" s="1"/>
      <c r="Q975" s="1"/>
      <c r="R975" s="1"/>
    </row>
    <row r="976" spans="2:18">
      <c r="B976" s="1"/>
      <c r="C976" s="9"/>
      <c r="D976" s="9"/>
      <c r="E976" s="9"/>
      <c r="F976" s="1"/>
      <c r="G976" s="1"/>
      <c r="H976" s="19"/>
      <c r="I976" s="1"/>
      <c r="J976" s="1"/>
      <c r="K976" s="19"/>
      <c r="L976" s="1"/>
      <c r="M976" s="9"/>
      <c r="N976" s="1"/>
      <c r="O976" s="1"/>
      <c r="P976" s="1"/>
      <c r="Q976" s="1"/>
      <c r="R976" s="1"/>
    </row>
    <row r="977" spans="2:18">
      <c r="B977" s="1"/>
      <c r="C977" s="9"/>
      <c r="D977" s="9"/>
      <c r="E977" s="9"/>
      <c r="F977" s="1"/>
      <c r="G977" s="1"/>
      <c r="H977" s="19"/>
      <c r="I977" s="1"/>
      <c r="J977" s="1"/>
      <c r="K977" s="19"/>
      <c r="L977" s="1"/>
      <c r="M977" s="9"/>
      <c r="N977" s="1"/>
      <c r="O977" s="1"/>
      <c r="P977" s="1"/>
      <c r="Q977" s="1"/>
      <c r="R977" s="1"/>
    </row>
    <row r="978" spans="2:18">
      <c r="B978" s="1"/>
      <c r="C978" s="9"/>
      <c r="D978" s="9"/>
      <c r="E978" s="9"/>
      <c r="F978" s="1"/>
      <c r="G978" s="1"/>
      <c r="H978" s="19"/>
      <c r="I978" s="1"/>
      <c r="J978" s="1"/>
      <c r="K978" s="19"/>
      <c r="L978" s="1"/>
      <c r="M978" s="9"/>
      <c r="N978" s="1"/>
      <c r="O978" s="1"/>
      <c r="P978" s="1"/>
      <c r="Q978" s="1"/>
      <c r="R978" s="1"/>
    </row>
    <row r="979" spans="2:18">
      <c r="B979" s="1"/>
      <c r="C979" s="9"/>
      <c r="D979" s="9"/>
      <c r="E979" s="9"/>
      <c r="F979" s="1"/>
      <c r="G979" s="1"/>
      <c r="H979" s="19"/>
      <c r="I979" s="1"/>
      <c r="J979" s="1"/>
      <c r="K979" s="19"/>
      <c r="L979" s="1"/>
      <c r="M979" s="9"/>
      <c r="N979" s="1"/>
      <c r="O979" s="1"/>
      <c r="P979" s="1"/>
      <c r="Q979" s="1"/>
      <c r="R979" s="1"/>
    </row>
    <row r="980" spans="2:18">
      <c r="B980" s="1"/>
      <c r="C980" s="9"/>
      <c r="D980" s="9"/>
      <c r="E980" s="9"/>
      <c r="F980" s="1"/>
      <c r="G980" s="1"/>
      <c r="H980" s="19"/>
      <c r="I980" s="1"/>
      <c r="J980" s="1"/>
      <c r="K980" s="19"/>
      <c r="L980" s="1"/>
      <c r="M980" s="9"/>
      <c r="N980" s="1"/>
      <c r="O980" s="1"/>
      <c r="P980" s="1"/>
      <c r="Q980" s="1"/>
      <c r="R980" s="1"/>
    </row>
    <row r="981" spans="2:18">
      <c r="B981" s="1"/>
      <c r="C981" s="9"/>
      <c r="D981" s="9"/>
      <c r="E981" s="9"/>
      <c r="F981" s="1"/>
      <c r="G981" s="1"/>
      <c r="H981" s="19"/>
      <c r="I981" s="1"/>
      <c r="J981" s="1"/>
      <c r="K981" s="19"/>
      <c r="L981" s="1"/>
      <c r="M981" s="9"/>
      <c r="N981" s="1"/>
      <c r="O981" s="1"/>
      <c r="P981" s="1"/>
      <c r="Q981" s="1"/>
      <c r="R981" s="1"/>
    </row>
    <row r="982" spans="2:18">
      <c r="B982" s="1"/>
      <c r="C982" s="9"/>
      <c r="D982" s="9"/>
      <c r="E982" s="9"/>
      <c r="F982" s="1"/>
      <c r="G982" s="1"/>
      <c r="H982" s="19"/>
      <c r="I982" s="1"/>
      <c r="J982" s="1"/>
      <c r="K982" s="19"/>
      <c r="L982" s="1"/>
      <c r="M982" s="9"/>
      <c r="N982" s="1"/>
      <c r="O982" s="1"/>
      <c r="P982" s="1"/>
      <c r="Q982" s="1"/>
      <c r="R982" s="1"/>
    </row>
    <row r="983" spans="2:18">
      <c r="B983" s="1"/>
      <c r="C983" s="9"/>
      <c r="D983" s="9"/>
      <c r="E983" s="9"/>
      <c r="F983" s="1"/>
      <c r="G983" s="1"/>
      <c r="H983" s="19"/>
      <c r="I983" s="1"/>
      <c r="J983" s="1"/>
      <c r="K983" s="19"/>
      <c r="L983" s="1"/>
      <c r="M983" s="9"/>
      <c r="N983" s="1"/>
      <c r="O983" s="1"/>
      <c r="P983" s="1"/>
      <c r="Q983" s="1"/>
      <c r="R983" s="1"/>
    </row>
    <row r="984" spans="2:18">
      <c r="B984" s="1"/>
      <c r="C984" s="9"/>
      <c r="D984" s="9"/>
      <c r="E984" s="9"/>
      <c r="F984" s="1"/>
      <c r="G984" s="1"/>
      <c r="H984" s="19"/>
      <c r="I984" s="1"/>
      <c r="J984" s="1"/>
      <c r="K984" s="19"/>
      <c r="L984" s="1"/>
      <c r="M984" s="9"/>
      <c r="N984" s="1"/>
      <c r="O984" s="1"/>
      <c r="P984" s="1"/>
      <c r="Q984" s="1"/>
      <c r="R984" s="1"/>
    </row>
    <row r="985" spans="2:18">
      <c r="B985" s="1"/>
      <c r="C985" s="9"/>
      <c r="D985" s="9"/>
      <c r="E985" s="9"/>
      <c r="F985" s="1"/>
      <c r="G985" s="1"/>
      <c r="H985" s="19"/>
      <c r="I985" s="1"/>
      <c r="J985" s="1"/>
      <c r="K985" s="19"/>
      <c r="L985" s="1"/>
      <c r="M985" s="9"/>
      <c r="N985" s="1"/>
      <c r="O985" s="1"/>
      <c r="P985" s="1"/>
      <c r="Q985" s="1"/>
      <c r="R985" s="1"/>
    </row>
    <row r="986" spans="2:18">
      <c r="B986" s="1"/>
      <c r="C986" s="9"/>
      <c r="D986" s="9"/>
      <c r="E986" s="9"/>
      <c r="F986" s="1"/>
      <c r="G986" s="1"/>
      <c r="H986" s="19"/>
      <c r="I986" s="1"/>
      <c r="J986" s="1"/>
      <c r="K986" s="19"/>
      <c r="L986" s="1"/>
      <c r="M986" s="9"/>
      <c r="N986" s="1"/>
      <c r="O986" s="1"/>
      <c r="P986" s="1"/>
      <c r="Q986" s="1"/>
      <c r="R986" s="1"/>
    </row>
    <row r="987" spans="2:18">
      <c r="B987" s="1"/>
      <c r="C987" s="9"/>
      <c r="D987" s="9"/>
      <c r="E987" s="9"/>
      <c r="F987" s="1"/>
      <c r="G987" s="1"/>
      <c r="H987" s="19"/>
      <c r="I987" s="1"/>
      <c r="J987" s="1"/>
      <c r="K987" s="19"/>
      <c r="L987" s="1"/>
      <c r="M987" s="9"/>
      <c r="N987" s="1"/>
      <c r="O987" s="1"/>
      <c r="P987" s="1"/>
      <c r="Q987" s="1"/>
      <c r="R987" s="1"/>
    </row>
    <row r="988" spans="2:18">
      <c r="B988" s="1"/>
      <c r="C988" s="9"/>
      <c r="D988" s="9"/>
      <c r="E988" s="9"/>
      <c r="F988" s="1"/>
      <c r="G988" s="1"/>
      <c r="H988" s="19"/>
      <c r="I988" s="1"/>
      <c r="J988" s="1"/>
      <c r="K988" s="19"/>
      <c r="L988" s="1"/>
      <c r="M988" s="9"/>
      <c r="N988" s="1"/>
      <c r="O988" s="1"/>
      <c r="P988" s="1"/>
      <c r="Q988" s="1"/>
      <c r="R988" s="1"/>
    </row>
    <row r="989" spans="2:18">
      <c r="B989" s="1"/>
      <c r="C989" s="9"/>
      <c r="D989" s="9"/>
      <c r="E989" s="9"/>
      <c r="F989" s="1"/>
      <c r="G989" s="1"/>
      <c r="H989" s="19"/>
      <c r="I989" s="1"/>
      <c r="J989" s="1"/>
      <c r="K989" s="19"/>
      <c r="L989" s="1"/>
      <c r="M989" s="9"/>
      <c r="N989" s="1"/>
      <c r="O989" s="1"/>
      <c r="P989" s="1"/>
      <c r="Q989" s="1"/>
      <c r="R989" s="1"/>
    </row>
    <row r="990" spans="2:18">
      <c r="B990" s="1"/>
      <c r="C990" s="9"/>
      <c r="D990" s="9"/>
      <c r="E990" s="9"/>
      <c r="F990" s="1"/>
      <c r="G990" s="1"/>
      <c r="H990" s="19"/>
      <c r="I990" s="1"/>
      <c r="J990" s="1"/>
      <c r="K990" s="19"/>
      <c r="L990" s="1"/>
      <c r="M990" s="9"/>
      <c r="N990" s="1"/>
      <c r="O990" s="1"/>
      <c r="P990" s="1"/>
      <c r="Q990" s="1"/>
      <c r="R990" s="1"/>
    </row>
    <row r="991" spans="2:18">
      <c r="B991" s="1"/>
      <c r="C991" s="9"/>
      <c r="D991" s="9"/>
      <c r="E991" s="9"/>
      <c r="F991" s="1"/>
      <c r="G991" s="1"/>
      <c r="H991" s="19"/>
      <c r="I991" s="1"/>
      <c r="J991" s="1"/>
      <c r="K991" s="19"/>
      <c r="L991" s="1"/>
      <c r="M991" s="9"/>
      <c r="N991" s="1"/>
      <c r="O991" s="1"/>
      <c r="P991" s="1"/>
      <c r="Q991" s="1"/>
      <c r="R991" s="1"/>
    </row>
    <row r="992" spans="2:18">
      <c r="B992" s="1"/>
      <c r="C992" s="9"/>
      <c r="D992" s="9"/>
      <c r="E992" s="9"/>
      <c r="F992" s="1"/>
      <c r="G992" s="1"/>
      <c r="H992" s="19"/>
      <c r="I992" s="1"/>
      <c r="J992" s="1"/>
      <c r="K992" s="19"/>
      <c r="L992" s="1"/>
      <c r="M992" s="9"/>
      <c r="N992" s="1"/>
      <c r="O992" s="1"/>
      <c r="P992" s="1"/>
      <c r="Q992" s="1"/>
      <c r="R992" s="1"/>
    </row>
    <row r="993" spans="2:18">
      <c r="B993" s="1"/>
      <c r="C993" s="9"/>
      <c r="D993" s="9"/>
      <c r="E993" s="9"/>
      <c r="F993" s="1"/>
      <c r="G993" s="1"/>
      <c r="H993" s="19"/>
      <c r="I993" s="1"/>
      <c r="J993" s="1"/>
      <c r="K993" s="19"/>
      <c r="L993" s="1"/>
      <c r="M993" s="9"/>
      <c r="N993" s="1"/>
      <c r="O993" s="1"/>
      <c r="P993" s="1"/>
      <c r="Q993" s="1"/>
      <c r="R993" s="1"/>
    </row>
    <row r="994" spans="2:18">
      <c r="B994" s="1"/>
      <c r="C994" s="9"/>
      <c r="D994" s="9"/>
      <c r="E994" s="9"/>
      <c r="F994" s="1"/>
      <c r="G994" s="1"/>
      <c r="H994" s="19"/>
      <c r="I994" s="1"/>
      <c r="J994" s="1"/>
      <c r="K994" s="19"/>
      <c r="L994" s="1"/>
      <c r="M994" s="9"/>
      <c r="N994" s="1"/>
      <c r="O994" s="1"/>
      <c r="P994" s="1"/>
      <c r="Q994" s="1"/>
      <c r="R994" s="1"/>
    </row>
    <row r="995" spans="2:18">
      <c r="B995" s="1"/>
      <c r="C995" s="9"/>
      <c r="D995" s="9"/>
      <c r="E995" s="9"/>
      <c r="F995" s="1"/>
      <c r="G995" s="1"/>
      <c r="H995" s="19"/>
      <c r="I995" s="1"/>
      <c r="J995" s="1"/>
      <c r="K995" s="19"/>
      <c r="L995" s="1"/>
      <c r="M995" s="9"/>
      <c r="N995" s="1"/>
      <c r="O995" s="1"/>
      <c r="P995" s="1"/>
      <c r="Q995" s="1"/>
      <c r="R995" s="1"/>
    </row>
    <row r="996" spans="2:18">
      <c r="B996" s="1"/>
      <c r="C996" s="9"/>
      <c r="D996" s="9"/>
      <c r="E996" s="9"/>
      <c r="F996" s="1"/>
      <c r="G996" s="1"/>
      <c r="H996" s="19"/>
      <c r="I996" s="1"/>
      <c r="J996" s="1"/>
      <c r="K996" s="19"/>
      <c r="L996" s="1"/>
      <c r="M996" s="9"/>
      <c r="N996" s="1"/>
      <c r="O996" s="1"/>
      <c r="P996" s="1"/>
      <c r="Q996" s="1"/>
      <c r="R996" s="1"/>
    </row>
    <row r="997" spans="2:18">
      <c r="B997" s="1"/>
      <c r="C997" s="9"/>
      <c r="D997" s="9"/>
      <c r="E997" s="9"/>
      <c r="F997" s="1"/>
      <c r="G997" s="1"/>
      <c r="H997" s="19"/>
      <c r="I997" s="1"/>
      <c r="J997" s="1"/>
      <c r="K997" s="19"/>
      <c r="L997" s="1"/>
      <c r="M997" s="9"/>
      <c r="N997" s="1"/>
      <c r="O997" s="1"/>
      <c r="P997" s="1"/>
      <c r="Q997" s="1"/>
      <c r="R997" s="1"/>
    </row>
    <row r="998" spans="2:18">
      <c r="B998" s="1"/>
      <c r="C998" s="9"/>
      <c r="D998" s="9"/>
      <c r="E998" s="9"/>
      <c r="F998" s="1"/>
      <c r="G998" s="1"/>
      <c r="H998" s="19"/>
      <c r="I998" s="1"/>
      <c r="J998" s="1"/>
      <c r="K998" s="19"/>
      <c r="L998" s="1"/>
      <c r="M998" s="9"/>
      <c r="N998" s="1"/>
      <c r="O998" s="1"/>
      <c r="P998" s="1"/>
      <c r="Q998" s="1"/>
      <c r="R998" s="1"/>
    </row>
    <row r="999" spans="2:18">
      <c r="B999" s="1"/>
      <c r="C999" s="9"/>
      <c r="D999" s="9"/>
      <c r="E999" s="9"/>
      <c r="F999" s="1"/>
      <c r="G999" s="1"/>
      <c r="H999" s="19"/>
      <c r="I999" s="1"/>
      <c r="J999" s="1"/>
      <c r="K999" s="19"/>
      <c r="L999" s="1"/>
      <c r="M999" s="9"/>
      <c r="N999" s="1"/>
      <c r="O999" s="1"/>
      <c r="P999" s="1"/>
      <c r="Q999" s="1"/>
      <c r="R999" s="1"/>
    </row>
    <row r="1000" spans="2:18">
      <c r="B1000" s="1"/>
      <c r="C1000" s="9"/>
      <c r="D1000" s="9"/>
      <c r="E1000" s="9"/>
      <c r="F1000" s="1"/>
      <c r="G1000" s="1"/>
      <c r="H1000" s="19"/>
      <c r="I1000" s="1"/>
      <c r="J1000" s="1"/>
      <c r="K1000" s="19"/>
      <c r="L1000" s="1"/>
      <c r="M1000" s="9"/>
      <c r="N1000" s="1"/>
      <c r="O1000" s="1"/>
      <c r="P1000" s="1"/>
      <c r="Q1000" s="1"/>
      <c r="R1000" s="1"/>
    </row>
    <row r="1001" spans="2:18">
      <c r="B1001" s="1"/>
      <c r="C1001" s="9"/>
      <c r="D1001" s="9"/>
      <c r="E1001" s="9"/>
      <c r="F1001" s="1"/>
      <c r="G1001" s="1"/>
      <c r="H1001" s="19"/>
      <c r="I1001" s="1"/>
      <c r="J1001" s="1"/>
      <c r="K1001" s="19"/>
      <c r="L1001" s="1"/>
      <c r="M1001" s="9"/>
      <c r="N1001" s="1"/>
      <c r="O1001" s="1"/>
      <c r="P1001" s="1"/>
      <c r="Q1001" s="1"/>
      <c r="R1001" s="1"/>
    </row>
    <row r="1002" spans="2:18">
      <c r="B1002" s="1"/>
      <c r="C1002" s="9"/>
      <c r="D1002" s="9"/>
      <c r="E1002" s="9"/>
      <c r="F1002" s="1"/>
      <c r="G1002" s="1"/>
      <c r="H1002" s="19"/>
      <c r="I1002" s="1"/>
      <c r="J1002" s="1"/>
      <c r="K1002" s="19"/>
      <c r="L1002" s="1"/>
      <c r="M1002" s="9"/>
      <c r="N1002" s="1"/>
      <c r="O1002" s="1"/>
      <c r="P1002" s="1"/>
      <c r="Q1002" s="1"/>
      <c r="R1002" s="1"/>
    </row>
    <row r="1003" spans="2:18">
      <c r="B1003" s="1"/>
      <c r="C1003" s="9"/>
      <c r="D1003" s="9"/>
      <c r="E1003" s="9"/>
      <c r="F1003" s="1"/>
      <c r="G1003" s="1"/>
      <c r="H1003" s="19"/>
      <c r="I1003" s="1"/>
      <c r="J1003" s="1"/>
      <c r="K1003" s="19"/>
      <c r="L1003" s="1"/>
      <c r="M1003" s="9"/>
      <c r="N1003" s="1"/>
      <c r="O1003" s="1"/>
      <c r="P1003" s="1"/>
      <c r="Q1003" s="1"/>
      <c r="R1003" s="1"/>
    </row>
    <row r="1004" spans="2:18">
      <c r="B1004" s="1"/>
      <c r="C1004" s="9"/>
      <c r="D1004" s="9"/>
      <c r="E1004" s="9"/>
      <c r="F1004" s="1"/>
      <c r="G1004" s="1"/>
      <c r="H1004" s="19"/>
      <c r="I1004" s="1"/>
      <c r="J1004" s="1"/>
      <c r="K1004" s="19"/>
      <c r="L1004" s="1"/>
      <c r="M1004" s="9"/>
      <c r="N1004" s="1"/>
      <c r="O1004" s="1"/>
      <c r="P1004" s="1"/>
      <c r="Q1004" s="1"/>
      <c r="R1004" s="1"/>
    </row>
    <row r="1005" spans="2:18">
      <c r="B1005" s="1"/>
      <c r="C1005" s="9"/>
      <c r="D1005" s="9"/>
      <c r="E1005" s="9"/>
      <c r="F1005" s="1"/>
      <c r="G1005" s="1"/>
      <c r="H1005" s="19"/>
      <c r="I1005" s="1"/>
      <c r="J1005" s="1"/>
      <c r="K1005" s="19"/>
      <c r="L1005" s="1"/>
      <c r="M1005" s="9"/>
      <c r="N1005" s="1"/>
      <c r="O1005" s="1"/>
      <c r="P1005" s="1"/>
      <c r="Q1005" s="1"/>
      <c r="R1005" s="1"/>
    </row>
    <row r="1006" spans="2:18">
      <c r="B1006" s="1"/>
      <c r="C1006" s="9"/>
      <c r="D1006" s="9"/>
      <c r="E1006" s="9"/>
      <c r="F1006" s="1"/>
      <c r="G1006" s="1"/>
      <c r="H1006" s="19"/>
      <c r="I1006" s="1"/>
      <c r="J1006" s="1"/>
      <c r="K1006" s="19"/>
      <c r="L1006" s="1"/>
      <c r="M1006" s="9"/>
      <c r="N1006" s="1"/>
      <c r="O1006" s="1"/>
      <c r="P1006" s="1"/>
      <c r="Q1006" s="1"/>
      <c r="R1006" s="1"/>
    </row>
    <row r="1007" spans="2:18">
      <c r="B1007" s="1"/>
      <c r="C1007" s="9"/>
      <c r="D1007" s="9"/>
      <c r="E1007" s="9"/>
      <c r="F1007" s="1"/>
      <c r="G1007" s="1"/>
      <c r="H1007" s="19"/>
      <c r="I1007" s="1"/>
      <c r="J1007" s="1"/>
      <c r="K1007" s="19"/>
      <c r="L1007" s="1"/>
      <c r="M1007" s="9"/>
      <c r="N1007" s="1"/>
      <c r="O1007" s="1"/>
      <c r="P1007" s="1"/>
      <c r="Q1007" s="1"/>
      <c r="R1007" s="1"/>
    </row>
    <row r="1008" spans="2:18">
      <c r="B1008" s="1"/>
      <c r="C1008" s="9"/>
      <c r="D1008" s="9"/>
      <c r="E1008" s="9"/>
      <c r="F1008" s="1"/>
      <c r="G1008" s="1"/>
      <c r="H1008" s="19"/>
      <c r="I1008" s="1"/>
      <c r="J1008" s="1"/>
      <c r="K1008" s="19"/>
      <c r="L1008" s="1"/>
      <c r="M1008" s="9"/>
      <c r="N1008" s="1"/>
      <c r="O1008" s="1"/>
      <c r="P1008" s="1"/>
      <c r="Q1008" s="1"/>
      <c r="R1008" s="1"/>
    </row>
    <row r="1009" spans="2:18">
      <c r="B1009" s="1"/>
      <c r="C1009" s="9"/>
      <c r="D1009" s="9"/>
      <c r="E1009" s="9"/>
      <c r="F1009" s="1"/>
      <c r="G1009" s="1"/>
      <c r="H1009" s="19"/>
      <c r="I1009" s="1"/>
      <c r="J1009" s="1"/>
      <c r="K1009" s="19"/>
      <c r="L1009" s="1"/>
      <c r="M1009" s="9"/>
      <c r="N1009" s="1"/>
      <c r="O1009" s="1"/>
      <c r="P1009" s="1"/>
      <c r="Q1009" s="1"/>
      <c r="R1009" s="1"/>
    </row>
    <row r="1010" spans="2:18">
      <c r="B1010" s="1"/>
      <c r="C1010" s="9"/>
      <c r="D1010" s="9"/>
      <c r="E1010" s="9"/>
      <c r="F1010" s="1"/>
      <c r="G1010" s="1"/>
      <c r="H1010" s="19"/>
      <c r="I1010" s="1"/>
      <c r="J1010" s="1"/>
      <c r="K1010" s="19"/>
      <c r="L1010" s="1"/>
      <c r="M1010" s="9"/>
      <c r="N1010" s="1"/>
      <c r="O1010" s="1"/>
      <c r="P1010" s="1"/>
      <c r="Q1010" s="1"/>
      <c r="R1010" s="1"/>
    </row>
    <row r="1011" spans="2:18">
      <c r="B1011" s="1"/>
      <c r="C1011" s="9"/>
      <c r="D1011" s="9"/>
      <c r="E1011" s="9"/>
      <c r="F1011" s="1"/>
      <c r="G1011" s="1"/>
      <c r="H1011" s="19"/>
      <c r="I1011" s="1"/>
      <c r="J1011" s="1"/>
      <c r="K1011" s="19"/>
      <c r="L1011" s="1"/>
      <c r="M1011" s="9"/>
      <c r="N1011" s="1"/>
      <c r="O1011" s="1"/>
      <c r="P1011" s="1"/>
      <c r="Q1011" s="1"/>
      <c r="R1011" s="1"/>
    </row>
    <row r="1012" spans="2:18">
      <c r="B1012" s="1"/>
      <c r="C1012" s="9"/>
      <c r="D1012" s="9"/>
      <c r="E1012" s="9"/>
      <c r="F1012" s="1"/>
      <c r="G1012" s="1"/>
      <c r="H1012" s="19"/>
      <c r="I1012" s="1"/>
      <c r="J1012" s="1"/>
      <c r="K1012" s="19"/>
      <c r="L1012" s="1"/>
      <c r="M1012" s="9"/>
      <c r="N1012" s="1"/>
      <c r="O1012" s="1"/>
      <c r="P1012" s="1"/>
      <c r="Q1012" s="1"/>
      <c r="R1012" s="1"/>
    </row>
    <row r="1013" spans="2:18">
      <c r="B1013" s="1"/>
      <c r="C1013" s="9"/>
      <c r="D1013" s="9"/>
      <c r="E1013" s="9"/>
      <c r="F1013" s="1"/>
      <c r="G1013" s="1"/>
      <c r="H1013" s="19"/>
      <c r="I1013" s="1"/>
      <c r="J1013" s="1"/>
      <c r="K1013" s="19"/>
      <c r="L1013" s="1"/>
      <c r="M1013" s="9"/>
      <c r="N1013" s="1"/>
      <c r="O1013" s="1"/>
      <c r="P1013" s="1"/>
      <c r="Q1013" s="1"/>
      <c r="R1013" s="1"/>
    </row>
    <row r="1014" spans="2:18">
      <c r="B1014" s="1"/>
      <c r="C1014" s="9"/>
      <c r="D1014" s="9"/>
      <c r="E1014" s="9"/>
      <c r="F1014" s="1"/>
      <c r="G1014" s="1"/>
      <c r="H1014" s="19"/>
      <c r="I1014" s="1"/>
      <c r="J1014" s="1"/>
      <c r="K1014" s="19"/>
      <c r="L1014" s="1"/>
      <c r="M1014" s="9"/>
      <c r="N1014" s="1"/>
      <c r="O1014" s="1"/>
      <c r="P1014" s="1"/>
      <c r="Q1014" s="1"/>
      <c r="R1014" s="1"/>
    </row>
    <row r="1015" spans="2:18">
      <c r="B1015" s="1"/>
      <c r="C1015" s="9"/>
      <c r="D1015" s="9"/>
      <c r="E1015" s="9"/>
      <c r="F1015" s="1"/>
      <c r="G1015" s="1"/>
      <c r="H1015" s="19"/>
      <c r="I1015" s="1"/>
      <c r="J1015" s="1"/>
      <c r="K1015" s="19"/>
      <c r="L1015" s="1"/>
      <c r="M1015" s="9"/>
      <c r="N1015" s="1"/>
      <c r="O1015" s="1"/>
      <c r="P1015" s="1"/>
      <c r="Q1015" s="1"/>
      <c r="R1015" s="1"/>
    </row>
    <row r="1016" spans="2:18">
      <c r="B1016" s="1"/>
      <c r="C1016" s="9"/>
      <c r="D1016" s="9"/>
      <c r="E1016" s="9"/>
      <c r="F1016" s="1"/>
      <c r="G1016" s="1"/>
      <c r="H1016" s="19"/>
      <c r="I1016" s="1"/>
      <c r="J1016" s="1"/>
      <c r="K1016" s="19"/>
      <c r="L1016" s="1"/>
      <c r="M1016" s="9"/>
      <c r="N1016" s="1"/>
      <c r="O1016" s="1"/>
      <c r="P1016" s="1"/>
      <c r="Q1016" s="1"/>
      <c r="R1016" s="1"/>
    </row>
    <row r="1017" spans="2:18">
      <c r="B1017" s="1"/>
      <c r="C1017" s="9"/>
      <c r="D1017" s="9"/>
      <c r="E1017" s="9"/>
      <c r="F1017" s="1"/>
      <c r="G1017" s="1"/>
      <c r="H1017" s="19"/>
      <c r="I1017" s="1"/>
      <c r="J1017" s="1"/>
      <c r="K1017" s="19"/>
      <c r="L1017" s="1"/>
      <c r="M1017" s="9"/>
      <c r="N1017" s="1"/>
      <c r="O1017" s="1"/>
      <c r="P1017" s="1"/>
      <c r="Q1017" s="1"/>
      <c r="R1017" s="1"/>
    </row>
    <row r="1018" spans="2:18">
      <c r="B1018" s="1"/>
      <c r="C1018" s="9"/>
      <c r="D1018" s="9"/>
      <c r="E1018" s="9"/>
      <c r="F1018" s="1"/>
      <c r="G1018" s="1"/>
      <c r="H1018" s="19"/>
      <c r="I1018" s="1"/>
      <c r="J1018" s="1"/>
      <c r="K1018" s="19"/>
      <c r="L1018" s="1"/>
      <c r="M1018" s="9"/>
      <c r="N1018" s="1"/>
      <c r="O1018" s="1"/>
      <c r="P1018" s="1"/>
      <c r="Q1018" s="1"/>
      <c r="R1018" s="1"/>
    </row>
    <row r="1019" spans="2:18">
      <c r="B1019" s="1"/>
      <c r="C1019" s="9"/>
      <c r="D1019" s="9"/>
      <c r="E1019" s="9"/>
      <c r="F1019" s="1"/>
      <c r="G1019" s="1"/>
      <c r="H1019" s="19"/>
      <c r="I1019" s="1"/>
      <c r="J1019" s="1"/>
      <c r="K1019" s="19"/>
      <c r="L1019" s="1"/>
      <c r="M1019" s="9"/>
      <c r="N1019" s="1"/>
      <c r="O1019" s="1"/>
      <c r="P1019" s="1"/>
      <c r="Q1019" s="1"/>
      <c r="R1019" s="1"/>
    </row>
    <row r="1020" spans="2:18">
      <c r="B1020" s="1"/>
      <c r="C1020" s="9"/>
      <c r="D1020" s="9"/>
      <c r="E1020" s="9"/>
      <c r="F1020" s="1"/>
      <c r="G1020" s="1"/>
      <c r="H1020" s="19"/>
      <c r="I1020" s="1"/>
      <c r="J1020" s="1"/>
      <c r="K1020" s="19"/>
      <c r="L1020" s="1"/>
      <c r="M1020" s="9"/>
      <c r="N1020" s="1"/>
      <c r="O1020" s="1"/>
      <c r="P1020" s="1"/>
      <c r="Q1020" s="1"/>
      <c r="R1020" s="1"/>
    </row>
    <row r="1021" spans="2:18">
      <c r="B1021" s="1"/>
      <c r="C1021" s="9"/>
      <c r="D1021" s="9"/>
      <c r="E1021" s="9"/>
      <c r="F1021" s="1"/>
      <c r="G1021" s="1"/>
      <c r="H1021" s="19"/>
      <c r="I1021" s="1"/>
      <c r="J1021" s="1"/>
      <c r="K1021" s="19"/>
      <c r="L1021" s="1"/>
      <c r="M1021" s="9"/>
      <c r="N1021" s="1"/>
      <c r="O1021" s="1"/>
      <c r="P1021" s="1"/>
      <c r="Q1021" s="1"/>
      <c r="R1021" s="1"/>
    </row>
    <row r="1022" spans="2:18">
      <c r="B1022" s="1"/>
      <c r="C1022" s="9"/>
      <c r="D1022" s="9"/>
      <c r="E1022" s="9"/>
      <c r="F1022" s="1"/>
      <c r="G1022" s="1"/>
      <c r="H1022" s="19"/>
      <c r="I1022" s="1"/>
      <c r="J1022" s="1"/>
      <c r="K1022" s="19"/>
      <c r="L1022" s="1"/>
      <c r="M1022" s="9"/>
      <c r="N1022" s="1"/>
      <c r="O1022" s="1"/>
      <c r="P1022" s="1"/>
      <c r="Q1022" s="1"/>
      <c r="R1022" s="1"/>
    </row>
    <row r="1023" spans="2:18">
      <c r="B1023" s="1"/>
      <c r="C1023" s="9"/>
      <c r="D1023" s="9"/>
      <c r="E1023" s="9"/>
      <c r="F1023" s="1"/>
      <c r="G1023" s="1"/>
      <c r="H1023" s="19"/>
      <c r="I1023" s="1"/>
      <c r="J1023" s="1"/>
      <c r="K1023" s="19"/>
      <c r="L1023" s="1"/>
      <c r="M1023" s="9"/>
      <c r="N1023" s="1"/>
      <c r="O1023" s="1"/>
      <c r="P1023" s="1"/>
      <c r="Q1023" s="1"/>
      <c r="R1023" s="1"/>
    </row>
    <row r="1024" spans="2:18">
      <c r="B1024" s="1"/>
      <c r="C1024" s="9"/>
      <c r="D1024" s="9"/>
      <c r="E1024" s="9"/>
      <c r="F1024" s="1"/>
      <c r="G1024" s="1"/>
      <c r="H1024" s="19"/>
      <c r="I1024" s="1"/>
      <c r="J1024" s="1"/>
      <c r="K1024" s="19"/>
      <c r="L1024" s="1"/>
      <c r="M1024" s="9"/>
      <c r="N1024" s="1"/>
      <c r="O1024" s="1"/>
      <c r="P1024" s="1"/>
      <c r="Q1024" s="1"/>
      <c r="R1024" s="1"/>
    </row>
    <row r="1025" spans="2:18">
      <c r="B1025" s="1"/>
      <c r="C1025" s="9"/>
      <c r="D1025" s="9"/>
      <c r="E1025" s="9"/>
      <c r="F1025" s="1"/>
      <c r="G1025" s="1"/>
      <c r="H1025" s="19"/>
      <c r="I1025" s="1"/>
      <c r="J1025" s="1"/>
      <c r="K1025" s="19"/>
      <c r="L1025" s="1"/>
      <c r="M1025" s="9"/>
      <c r="N1025" s="1"/>
      <c r="O1025" s="1"/>
      <c r="P1025" s="1"/>
      <c r="Q1025" s="1"/>
      <c r="R1025" s="1"/>
    </row>
    <row r="1026" spans="2:18">
      <c r="B1026" s="1"/>
      <c r="C1026" s="9"/>
      <c r="D1026" s="9"/>
      <c r="E1026" s="9"/>
      <c r="F1026" s="1"/>
      <c r="G1026" s="1"/>
      <c r="H1026" s="19"/>
      <c r="I1026" s="1"/>
      <c r="J1026" s="1"/>
      <c r="K1026" s="19"/>
      <c r="L1026" s="1"/>
      <c r="M1026" s="9"/>
      <c r="N1026" s="1"/>
      <c r="O1026" s="1"/>
      <c r="P1026" s="1"/>
      <c r="Q1026" s="1"/>
      <c r="R1026" s="1"/>
    </row>
    <row r="1027" spans="2:18">
      <c r="B1027" s="1"/>
      <c r="C1027" s="9"/>
      <c r="D1027" s="9"/>
      <c r="E1027" s="9"/>
      <c r="F1027" s="1"/>
      <c r="G1027" s="1"/>
      <c r="H1027" s="19"/>
      <c r="I1027" s="1"/>
      <c r="J1027" s="1"/>
      <c r="K1027" s="19"/>
      <c r="L1027" s="1"/>
      <c r="M1027" s="9"/>
      <c r="N1027" s="1"/>
      <c r="O1027" s="1"/>
      <c r="P1027" s="1"/>
      <c r="Q1027" s="1"/>
      <c r="R1027" s="1"/>
    </row>
    <row r="1028" spans="2:18">
      <c r="B1028" s="1"/>
      <c r="C1028" s="9"/>
      <c r="D1028" s="9"/>
      <c r="E1028" s="9"/>
      <c r="F1028" s="1"/>
      <c r="G1028" s="1"/>
      <c r="H1028" s="19"/>
      <c r="I1028" s="1"/>
      <c r="J1028" s="1"/>
      <c r="K1028" s="19"/>
      <c r="L1028" s="1"/>
      <c r="M1028" s="9"/>
      <c r="N1028" s="1"/>
      <c r="O1028" s="1"/>
      <c r="P1028" s="1"/>
      <c r="Q1028" s="1"/>
      <c r="R1028" s="1"/>
    </row>
    <row r="1029" spans="2:18">
      <c r="B1029" s="1"/>
      <c r="C1029" s="9"/>
      <c r="D1029" s="9"/>
      <c r="E1029" s="9"/>
      <c r="F1029" s="1"/>
      <c r="G1029" s="1"/>
      <c r="H1029" s="19"/>
      <c r="I1029" s="1"/>
      <c r="J1029" s="1"/>
      <c r="K1029" s="19"/>
      <c r="L1029" s="1"/>
      <c r="M1029" s="9"/>
      <c r="N1029" s="1"/>
      <c r="O1029" s="1"/>
      <c r="P1029" s="1"/>
      <c r="Q1029" s="1"/>
      <c r="R1029" s="1"/>
    </row>
    <row r="1030" spans="2:18">
      <c r="B1030" s="1"/>
      <c r="C1030" s="9"/>
      <c r="D1030" s="9"/>
      <c r="E1030" s="9"/>
      <c r="F1030" s="1"/>
      <c r="G1030" s="1"/>
      <c r="H1030" s="19"/>
      <c r="I1030" s="1"/>
      <c r="J1030" s="1"/>
      <c r="K1030" s="19"/>
      <c r="L1030" s="1"/>
      <c r="M1030" s="9"/>
      <c r="N1030" s="1"/>
      <c r="O1030" s="1"/>
      <c r="P1030" s="1"/>
      <c r="Q1030" s="1"/>
      <c r="R1030" s="1"/>
    </row>
    <row r="1031" spans="2:18">
      <c r="B1031" s="1"/>
      <c r="C1031" s="9"/>
      <c r="D1031" s="9"/>
      <c r="E1031" s="9"/>
      <c r="F1031" s="1"/>
      <c r="G1031" s="1"/>
      <c r="H1031" s="19"/>
      <c r="I1031" s="1"/>
      <c r="J1031" s="1"/>
      <c r="K1031" s="19"/>
      <c r="L1031" s="1"/>
      <c r="M1031" s="9"/>
      <c r="N1031" s="1"/>
      <c r="O1031" s="1"/>
      <c r="P1031" s="1"/>
      <c r="Q1031" s="1"/>
      <c r="R1031" s="1"/>
    </row>
    <row r="1032" spans="2:18">
      <c r="B1032" s="1"/>
      <c r="C1032" s="9"/>
      <c r="D1032" s="9"/>
      <c r="E1032" s="9"/>
      <c r="F1032" s="1"/>
      <c r="G1032" s="1"/>
      <c r="H1032" s="19"/>
      <c r="I1032" s="1"/>
      <c r="J1032" s="1"/>
      <c r="K1032" s="19"/>
      <c r="L1032" s="1"/>
      <c r="M1032" s="9"/>
      <c r="N1032" s="1"/>
      <c r="O1032" s="1"/>
      <c r="P1032" s="1"/>
      <c r="Q1032" s="1"/>
      <c r="R1032" s="1"/>
    </row>
    <row r="1033" spans="2:18">
      <c r="B1033" s="1"/>
      <c r="C1033" s="9"/>
      <c r="D1033" s="9"/>
      <c r="E1033" s="9"/>
      <c r="F1033" s="1"/>
      <c r="G1033" s="1"/>
      <c r="H1033" s="19"/>
      <c r="I1033" s="1"/>
      <c r="J1033" s="1"/>
      <c r="K1033" s="19"/>
      <c r="L1033" s="1"/>
      <c r="M1033" s="9"/>
      <c r="N1033" s="1"/>
      <c r="O1033" s="1"/>
      <c r="P1033" s="1"/>
      <c r="Q1033" s="1"/>
      <c r="R1033" s="1"/>
    </row>
    <row r="1034" spans="2:18">
      <c r="B1034" s="1"/>
      <c r="C1034" s="9"/>
      <c r="D1034" s="9"/>
      <c r="E1034" s="9"/>
      <c r="F1034" s="1"/>
      <c r="G1034" s="1"/>
      <c r="H1034" s="19"/>
      <c r="I1034" s="1"/>
      <c r="J1034" s="1"/>
      <c r="K1034" s="19"/>
      <c r="L1034" s="1"/>
      <c r="M1034" s="9"/>
      <c r="N1034" s="1"/>
      <c r="O1034" s="1"/>
      <c r="P1034" s="1"/>
      <c r="Q1034" s="1"/>
      <c r="R1034" s="1"/>
    </row>
    <row r="1035" spans="2:18">
      <c r="B1035" s="1"/>
      <c r="C1035" s="9"/>
      <c r="D1035" s="9"/>
      <c r="E1035" s="9"/>
      <c r="F1035" s="1"/>
      <c r="G1035" s="1"/>
      <c r="H1035" s="19"/>
      <c r="I1035" s="1"/>
      <c r="J1035" s="1"/>
      <c r="K1035" s="19"/>
      <c r="L1035" s="1"/>
      <c r="M1035" s="9"/>
      <c r="N1035" s="1"/>
      <c r="O1035" s="1"/>
      <c r="P1035" s="1"/>
      <c r="Q1035" s="1"/>
      <c r="R1035" s="1"/>
    </row>
    <row r="1036" spans="2:18">
      <c r="B1036" s="1"/>
      <c r="C1036" s="9"/>
      <c r="D1036" s="9"/>
      <c r="E1036" s="9"/>
      <c r="F1036" s="1"/>
      <c r="G1036" s="1"/>
      <c r="H1036" s="19"/>
      <c r="I1036" s="1"/>
      <c r="J1036" s="1"/>
      <c r="K1036" s="19"/>
      <c r="L1036" s="1"/>
      <c r="M1036" s="9"/>
      <c r="N1036" s="1"/>
      <c r="O1036" s="1"/>
      <c r="P1036" s="1"/>
      <c r="Q1036" s="1"/>
      <c r="R1036" s="1"/>
    </row>
    <row r="1037" spans="2:18">
      <c r="B1037" s="1"/>
      <c r="C1037" s="9"/>
      <c r="D1037" s="9"/>
      <c r="E1037" s="9"/>
      <c r="F1037" s="1"/>
      <c r="G1037" s="1"/>
      <c r="H1037" s="19"/>
      <c r="I1037" s="1"/>
      <c r="J1037" s="1"/>
      <c r="K1037" s="19"/>
      <c r="L1037" s="1"/>
      <c r="M1037" s="9"/>
      <c r="N1037" s="1"/>
      <c r="O1037" s="1"/>
      <c r="P1037" s="1"/>
      <c r="Q1037" s="1"/>
      <c r="R1037" s="1"/>
    </row>
    <row r="1038" spans="2:18">
      <c r="B1038" s="1"/>
      <c r="C1038" s="9"/>
      <c r="D1038" s="9"/>
      <c r="E1038" s="9"/>
      <c r="F1038" s="1"/>
      <c r="G1038" s="1"/>
      <c r="H1038" s="19"/>
      <c r="I1038" s="1"/>
      <c r="J1038" s="1"/>
      <c r="K1038" s="19"/>
      <c r="L1038" s="1"/>
      <c r="M1038" s="9"/>
      <c r="N1038" s="1"/>
      <c r="O1038" s="1"/>
      <c r="P1038" s="1"/>
      <c r="Q1038" s="1"/>
      <c r="R1038" s="1"/>
    </row>
    <row r="1039" spans="2:18">
      <c r="B1039" s="1"/>
      <c r="C1039" s="9"/>
      <c r="D1039" s="9"/>
      <c r="E1039" s="9"/>
      <c r="F1039" s="1"/>
      <c r="G1039" s="1"/>
      <c r="H1039" s="19"/>
      <c r="I1039" s="1"/>
      <c r="J1039" s="1"/>
      <c r="K1039" s="19"/>
      <c r="L1039" s="1"/>
      <c r="M1039" s="9"/>
      <c r="N1039" s="1"/>
      <c r="O1039" s="1"/>
      <c r="P1039" s="1"/>
      <c r="Q1039" s="1"/>
      <c r="R1039" s="1"/>
    </row>
    <row r="1040" spans="2:18">
      <c r="B1040" s="1"/>
      <c r="C1040" s="9"/>
      <c r="D1040" s="9"/>
      <c r="E1040" s="9"/>
      <c r="F1040" s="1"/>
      <c r="G1040" s="1"/>
      <c r="H1040" s="19"/>
      <c r="I1040" s="1"/>
      <c r="J1040" s="1"/>
      <c r="K1040" s="19"/>
      <c r="L1040" s="1"/>
      <c r="M1040" s="9"/>
      <c r="N1040" s="1"/>
      <c r="O1040" s="1"/>
      <c r="P1040" s="1"/>
      <c r="Q1040" s="1"/>
      <c r="R1040" s="1"/>
    </row>
    <row r="1041" spans="2:18">
      <c r="B1041" s="1"/>
      <c r="C1041" s="9"/>
      <c r="D1041" s="9"/>
      <c r="E1041" s="9"/>
      <c r="F1041" s="1"/>
      <c r="G1041" s="1"/>
      <c r="H1041" s="19"/>
      <c r="I1041" s="1"/>
      <c r="J1041" s="1"/>
      <c r="K1041" s="19"/>
      <c r="L1041" s="1"/>
      <c r="M1041" s="9"/>
      <c r="N1041" s="1"/>
      <c r="O1041" s="1"/>
      <c r="P1041" s="1"/>
      <c r="Q1041" s="1"/>
      <c r="R1041" s="1"/>
    </row>
    <row r="1042" spans="2:18">
      <c r="B1042" s="1"/>
      <c r="C1042" s="9"/>
      <c r="D1042" s="9"/>
      <c r="E1042" s="9"/>
      <c r="F1042" s="1"/>
      <c r="G1042" s="1"/>
      <c r="H1042" s="19"/>
      <c r="I1042" s="1"/>
      <c r="J1042" s="1"/>
      <c r="K1042" s="19"/>
      <c r="L1042" s="1"/>
      <c r="M1042" s="9"/>
      <c r="N1042" s="1"/>
      <c r="O1042" s="1"/>
      <c r="P1042" s="1"/>
      <c r="Q1042" s="1"/>
      <c r="R1042" s="1"/>
    </row>
    <row r="1043" spans="2:18">
      <c r="B1043" s="1"/>
      <c r="C1043" s="9"/>
      <c r="D1043" s="9"/>
      <c r="E1043" s="9"/>
      <c r="F1043" s="1"/>
      <c r="G1043" s="1"/>
      <c r="H1043" s="19"/>
      <c r="I1043" s="1"/>
      <c r="J1043" s="1"/>
      <c r="K1043" s="19"/>
      <c r="L1043" s="1"/>
      <c r="M1043" s="9"/>
      <c r="N1043" s="1"/>
      <c r="O1043" s="1"/>
      <c r="P1043" s="1"/>
      <c r="Q1043" s="1"/>
      <c r="R1043" s="1"/>
    </row>
    <row r="1044" spans="2:18">
      <c r="B1044" s="1"/>
      <c r="C1044" s="9"/>
      <c r="D1044" s="9"/>
      <c r="E1044" s="9"/>
      <c r="F1044" s="1"/>
      <c r="G1044" s="1"/>
      <c r="H1044" s="19"/>
      <c r="I1044" s="1"/>
      <c r="J1044" s="1"/>
      <c r="K1044" s="19"/>
      <c r="L1044" s="1"/>
      <c r="M1044" s="9"/>
      <c r="N1044" s="1"/>
      <c r="O1044" s="1"/>
      <c r="P1044" s="1"/>
      <c r="Q1044" s="1"/>
      <c r="R1044" s="1"/>
    </row>
    <row r="1045" spans="2:18">
      <c r="B1045" s="1"/>
      <c r="C1045" s="9"/>
      <c r="D1045" s="9"/>
      <c r="E1045" s="9"/>
      <c r="F1045" s="1"/>
      <c r="G1045" s="1"/>
      <c r="H1045" s="19"/>
      <c r="I1045" s="1"/>
      <c r="J1045" s="1"/>
      <c r="K1045" s="19"/>
      <c r="L1045" s="1"/>
      <c r="M1045" s="9"/>
      <c r="N1045" s="1"/>
      <c r="O1045" s="1"/>
      <c r="P1045" s="1"/>
      <c r="Q1045" s="1"/>
      <c r="R1045" s="1"/>
    </row>
    <row r="1046" spans="2:18">
      <c r="B1046" s="1"/>
      <c r="C1046" s="9"/>
      <c r="D1046" s="9"/>
      <c r="E1046" s="9"/>
      <c r="F1046" s="1"/>
      <c r="G1046" s="1"/>
      <c r="H1046" s="19"/>
      <c r="I1046" s="1"/>
      <c r="J1046" s="1"/>
      <c r="K1046" s="19"/>
      <c r="L1046" s="1"/>
      <c r="M1046" s="9"/>
      <c r="N1046" s="1"/>
      <c r="O1046" s="1"/>
      <c r="P1046" s="1"/>
      <c r="Q1046" s="1"/>
      <c r="R1046" s="1"/>
    </row>
    <row r="1047" spans="2:18">
      <c r="B1047" s="1"/>
      <c r="C1047" s="9"/>
      <c r="D1047" s="9"/>
      <c r="E1047" s="9"/>
      <c r="F1047" s="1"/>
      <c r="G1047" s="1"/>
      <c r="H1047" s="19"/>
      <c r="I1047" s="1"/>
      <c r="J1047" s="1"/>
      <c r="K1047" s="19"/>
      <c r="L1047" s="1"/>
      <c r="M1047" s="9"/>
      <c r="N1047" s="1"/>
      <c r="O1047" s="1"/>
      <c r="P1047" s="1"/>
      <c r="Q1047" s="1"/>
      <c r="R1047" s="1"/>
    </row>
    <row r="1048" spans="2:18">
      <c r="B1048" s="1"/>
      <c r="C1048" s="9"/>
      <c r="D1048" s="9"/>
      <c r="E1048" s="9"/>
      <c r="F1048" s="1"/>
      <c r="G1048" s="1"/>
      <c r="H1048" s="19"/>
      <c r="I1048" s="1"/>
      <c r="J1048" s="1"/>
      <c r="K1048" s="19"/>
      <c r="L1048" s="1"/>
      <c r="M1048" s="9"/>
      <c r="N1048" s="1"/>
      <c r="O1048" s="1"/>
      <c r="P1048" s="1"/>
      <c r="Q1048" s="1"/>
      <c r="R1048" s="1"/>
    </row>
    <row r="1049" spans="2:18">
      <c r="B1049" s="1"/>
      <c r="C1049" s="9"/>
      <c r="D1049" s="9"/>
      <c r="E1049" s="9"/>
      <c r="F1049" s="1"/>
      <c r="G1049" s="1"/>
      <c r="H1049" s="19"/>
      <c r="I1049" s="1"/>
      <c r="J1049" s="1"/>
      <c r="K1049" s="19"/>
      <c r="L1049" s="1"/>
      <c r="M1049" s="9"/>
      <c r="N1049" s="1"/>
      <c r="O1049" s="1"/>
      <c r="P1049" s="1"/>
      <c r="Q1049" s="1"/>
      <c r="R1049" s="1"/>
    </row>
    <row r="1050" spans="2:18">
      <c r="B1050" s="1"/>
      <c r="C1050" s="9"/>
      <c r="D1050" s="9"/>
      <c r="E1050" s="9"/>
      <c r="F1050" s="1"/>
      <c r="G1050" s="1"/>
      <c r="H1050" s="19"/>
      <c r="I1050" s="1"/>
      <c r="J1050" s="1"/>
      <c r="K1050" s="19"/>
      <c r="L1050" s="1"/>
      <c r="M1050" s="9"/>
      <c r="N1050" s="1"/>
      <c r="O1050" s="1"/>
      <c r="P1050" s="1"/>
      <c r="Q1050" s="1"/>
      <c r="R1050" s="1"/>
    </row>
    <row r="1051" spans="2:18">
      <c r="B1051" s="1"/>
      <c r="C1051" s="9"/>
      <c r="D1051" s="9"/>
      <c r="E1051" s="9"/>
      <c r="F1051" s="1"/>
      <c r="G1051" s="1"/>
      <c r="H1051" s="19"/>
      <c r="I1051" s="1"/>
      <c r="J1051" s="1"/>
      <c r="K1051" s="19"/>
      <c r="L1051" s="1"/>
      <c r="M1051" s="9"/>
      <c r="N1051" s="1"/>
      <c r="O1051" s="1"/>
      <c r="P1051" s="1"/>
      <c r="Q1051" s="1"/>
      <c r="R1051" s="1"/>
    </row>
    <row r="1052" spans="2:18">
      <c r="B1052" s="1"/>
      <c r="C1052" s="9"/>
      <c r="D1052" s="9"/>
      <c r="E1052" s="9"/>
      <c r="F1052" s="1"/>
      <c r="G1052" s="1"/>
      <c r="H1052" s="19"/>
      <c r="I1052" s="1"/>
      <c r="J1052" s="1"/>
      <c r="K1052" s="19"/>
      <c r="L1052" s="1"/>
      <c r="M1052" s="9"/>
      <c r="N1052" s="1"/>
      <c r="O1052" s="1"/>
      <c r="P1052" s="1"/>
      <c r="Q1052" s="1"/>
      <c r="R1052" s="1"/>
    </row>
    <row r="1053" spans="2:18">
      <c r="B1053" s="1"/>
      <c r="C1053" s="9"/>
      <c r="D1053" s="9"/>
      <c r="E1053" s="9"/>
      <c r="F1053" s="1"/>
      <c r="G1053" s="1"/>
      <c r="H1053" s="19"/>
      <c r="I1053" s="1"/>
      <c r="J1053" s="1"/>
      <c r="K1053" s="19"/>
      <c r="L1053" s="1"/>
      <c r="M1053" s="9"/>
      <c r="N1053" s="1"/>
      <c r="O1053" s="1"/>
      <c r="P1053" s="1"/>
      <c r="Q1053" s="1"/>
      <c r="R1053" s="1"/>
    </row>
    <row r="1054" spans="2:18">
      <c r="B1054" s="1"/>
      <c r="C1054" s="9"/>
      <c r="D1054" s="9"/>
      <c r="E1054" s="9"/>
      <c r="F1054" s="1"/>
      <c r="G1054" s="1"/>
      <c r="H1054" s="19"/>
      <c r="I1054" s="1"/>
      <c r="J1054" s="1"/>
      <c r="K1054" s="19"/>
      <c r="L1054" s="1"/>
      <c r="M1054" s="9"/>
      <c r="N1054" s="1"/>
      <c r="O1054" s="1"/>
      <c r="P1054" s="1"/>
      <c r="Q1054" s="1"/>
      <c r="R1054" s="1"/>
    </row>
    <row r="1055" spans="2:18">
      <c r="B1055" s="1"/>
      <c r="C1055" s="9"/>
      <c r="D1055" s="9"/>
      <c r="E1055" s="9"/>
      <c r="F1055" s="1"/>
      <c r="G1055" s="1"/>
      <c r="H1055" s="19"/>
      <c r="I1055" s="1"/>
      <c r="J1055" s="1"/>
      <c r="K1055" s="19"/>
      <c r="L1055" s="1"/>
      <c r="M1055" s="9"/>
      <c r="N1055" s="1"/>
      <c r="O1055" s="1"/>
      <c r="P1055" s="1"/>
      <c r="Q1055" s="1"/>
      <c r="R1055" s="1"/>
    </row>
    <row r="1056" spans="2:18">
      <c r="B1056" s="1"/>
      <c r="C1056" s="9"/>
      <c r="D1056" s="9"/>
      <c r="E1056" s="9"/>
      <c r="F1056" s="1"/>
      <c r="G1056" s="1"/>
      <c r="H1056" s="19"/>
      <c r="I1056" s="1"/>
      <c r="J1056" s="1"/>
      <c r="K1056" s="19"/>
      <c r="L1056" s="1"/>
      <c r="M1056" s="9"/>
      <c r="N1056" s="1"/>
      <c r="O1056" s="1"/>
      <c r="P1056" s="1"/>
      <c r="Q1056" s="1"/>
      <c r="R1056" s="1"/>
    </row>
    <row r="1057" spans="2:18">
      <c r="B1057" s="1"/>
      <c r="C1057" s="9"/>
      <c r="D1057" s="9"/>
      <c r="E1057" s="9"/>
      <c r="F1057" s="1"/>
      <c r="G1057" s="1"/>
      <c r="H1057" s="19"/>
      <c r="I1057" s="1"/>
      <c r="J1057" s="1"/>
      <c r="K1057" s="19"/>
      <c r="L1057" s="1"/>
      <c r="M1057" s="9"/>
      <c r="N1057" s="1"/>
      <c r="O1057" s="1"/>
      <c r="P1057" s="1"/>
      <c r="Q1057" s="1"/>
      <c r="R1057" s="1"/>
    </row>
    <row r="1058" spans="2:18">
      <c r="B1058" s="1"/>
      <c r="C1058" s="9"/>
      <c r="D1058" s="9"/>
      <c r="E1058" s="9"/>
      <c r="F1058" s="1"/>
      <c r="G1058" s="1"/>
      <c r="H1058" s="19"/>
      <c r="I1058" s="1"/>
      <c r="J1058" s="1"/>
      <c r="K1058" s="19"/>
      <c r="L1058" s="1"/>
      <c r="M1058" s="9"/>
      <c r="N1058" s="1"/>
      <c r="O1058" s="1"/>
      <c r="P1058" s="1"/>
      <c r="Q1058" s="1"/>
      <c r="R1058" s="1"/>
    </row>
    <row r="1059" spans="2:18">
      <c r="B1059" s="1"/>
      <c r="C1059" s="9"/>
      <c r="D1059" s="9"/>
      <c r="E1059" s="9"/>
      <c r="F1059" s="1"/>
      <c r="G1059" s="1"/>
      <c r="H1059" s="19"/>
      <c r="I1059" s="1"/>
      <c r="J1059" s="1"/>
      <c r="K1059" s="19"/>
      <c r="L1059" s="1"/>
      <c r="M1059" s="9"/>
      <c r="N1059" s="1"/>
      <c r="O1059" s="1"/>
      <c r="P1059" s="1"/>
      <c r="Q1059" s="1"/>
      <c r="R1059" s="1"/>
    </row>
    <row r="1060" spans="2:18">
      <c r="B1060" s="1"/>
      <c r="C1060" s="9"/>
      <c r="D1060" s="9"/>
      <c r="E1060" s="9"/>
      <c r="F1060" s="1"/>
      <c r="G1060" s="1"/>
      <c r="H1060" s="19"/>
      <c r="I1060" s="1"/>
      <c r="J1060" s="1"/>
      <c r="K1060" s="19"/>
      <c r="L1060" s="1"/>
      <c r="M1060" s="9"/>
      <c r="N1060" s="1"/>
      <c r="O1060" s="1"/>
      <c r="P1060" s="1"/>
      <c r="Q1060" s="1"/>
      <c r="R1060" s="1"/>
    </row>
    <row r="1061" spans="2:18">
      <c r="B1061" s="1"/>
      <c r="C1061" s="9"/>
      <c r="D1061" s="9"/>
      <c r="E1061" s="9"/>
      <c r="F1061" s="1"/>
      <c r="G1061" s="1"/>
      <c r="H1061" s="19"/>
      <c r="I1061" s="1"/>
      <c r="J1061" s="1"/>
      <c r="K1061" s="19"/>
      <c r="L1061" s="1"/>
      <c r="M1061" s="9"/>
      <c r="N1061" s="1"/>
      <c r="O1061" s="1"/>
      <c r="P1061" s="1"/>
      <c r="Q1061" s="1"/>
      <c r="R1061" s="1"/>
    </row>
    <row r="1062" spans="2:18">
      <c r="B1062" s="1"/>
      <c r="C1062" s="9"/>
      <c r="D1062" s="9"/>
      <c r="E1062" s="9"/>
      <c r="F1062" s="1"/>
      <c r="G1062" s="1"/>
      <c r="H1062" s="19"/>
      <c r="I1062" s="1"/>
      <c r="J1062" s="1"/>
      <c r="K1062" s="19"/>
      <c r="L1062" s="1"/>
      <c r="M1062" s="9"/>
      <c r="N1062" s="1"/>
      <c r="O1062" s="1"/>
      <c r="P1062" s="1"/>
      <c r="Q1062" s="1"/>
      <c r="R1062" s="1"/>
    </row>
    <row r="1063" spans="2:18">
      <c r="B1063" s="1"/>
      <c r="C1063" s="9"/>
      <c r="D1063" s="9"/>
      <c r="E1063" s="9"/>
      <c r="F1063" s="1"/>
      <c r="G1063" s="1"/>
      <c r="H1063" s="19"/>
      <c r="I1063" s="1"/>
      <c r="J1063" s="1"/>
      <c r="K1063" s="19"/>
      <c r="L1063" s="1"/>
      <c r="M1063" s="9"/>
      <c r="N1063" s="1"/>
      <c r="O1063" s="1"/>
      <c r="P1063" s="1"/>
      <c r="Q1063" s="1"/>
      <c r="R1063" s="1"/>
    </row>
    <row r="1064" spans="2:18">
      <c r="B1064" s="1"/>
      <c r="C1064" s="9"/>
      <c r="D1064" s="9"/>
      <c r="E1064" s="9"/>
      <c r="F1064" s="1"/>
      <c r="G1064" s="1"/>
      <c r="H1064" s="19"/>
      <c r="I1064" s="1"/>
      <c r="J1064" s="1"/>
      <c r="K1064" s="19"/>
      <c r="L1064" s="1"/>
      <c r="M1064" s="9"/>
      <c r="N1064" s="1"/>
      <c r="O1064" s="1"/>
      <c r="P1064" s="1"/>
      <c r="Q1064" s="1"/>
      <c r="R1064" s="1"/>
    </row>
    <row r="1065" spans="2:18">
      <c r="B1065" s="1"/>
      <c r="C1065" s="9"/>
      <c r="D1065" s="9"/>
      <c r="E1065" s="9"/>
      <c r="F1065" s="1"/>
      <c r="G1065" s="1"/>
      <c r="H1065" s="19"/>
      <c r="I1065" s="1"/>
      <c r="J1065" s="1"/>
      <c r="K1065" s="19"/>
      <c r="L1065" s="1"/>
      <c r="M1065" s="9"/>
      <c r="N1065" s="1"/>
      <c r="O1065" s="1"/>
      <c r="P1065" s="1"/>
      <c r="Q1065" s="1"/>
      <c r="R1065" s="1"/>
    </row>
    <row r="1066" spans="2:18">
      <c r="B1066" s="1"/>
      <c r="C1066" s="9"/>
      <c r="D1066" s="9"/>
      <c r="E1066" s="9"/>
      <c r="F1066" s="1"/>
      <c r="G1066" s="1"/>
      <c r="H1066" s="19"/>
      <c r="I1066" s="1"/>
      <c r="J1066" s="1"/>
      <c r="K1066" s="19"/>
      <c r="L1066" s="1"/>
      <c r="M1066" s="9"/>
      <c r="N1066" s="1"/>
      <c r="O1066" s="1"/>
      <c r="P1066" s="1"/>
      <c r="Q1066" s="1"/>
      <c r="R1066" s="1"/>
    </row>
    <row r="1067" spans="2:18">
      <c r="B1067" s="1"/>
      <c r="C1067" s="9"/>
      <c r="D1067" s="9"/>
      <c r="E1067" s="9"/>
      <c r="F1067" s="1"/>
      <c r="G1067" s="1"/>
      <c r="H1067" s="19"/>
      <c r="I1067" s="1"/>
      <c r="J1067" s="1"/>
      <c r="K1067" s="19"/>
      <c r="L1067" s="1"/>
      <c r="M1067" s="9"/>
      <c r="N1067" s="1"/>
      <c r="O1067" s="1"/>
      <c r="P1067" s="1"/>
      <c r="Q1067" s="1"/>
      <c r="R1067" s="1"/>
    </row>
    <row r="1068" spans="2:18">
      <c r="B1068" s="1"/>
      <c r="C1068" s="9"/>
      <c r="D1068" s="9"/>
      <c r="E1068" s="9"/>
      <c r="F1068" s="1"/>
      <c r="G1068" s="1"/>
      <c r="H1068" s="19"/>
      <c r="I1068" s="1"/>
      <c r="J1068" s="1"/>
      <c r="K1068" s="19"/>
      <c r="L1068" s="1"/>
      <c r="M1068" s="9"/>
      <c r="N1068" s="1"/>
      <c r="O1068" s="1"/>
      <c r="P1068" s="1"/>
      <c r="Q1068" s="1"/>
      <c r="R1068" s="1"/>
    </row>
    <row r="1069" spans="2:18">
      <c r="B1069" s="1"/>
      <c r="C1069" s="9"/>
      <c r="D1069" s="9"/>
      <c r="E1069" s="9"/>
      <c r="F1069" s="1"/>
      <c r="G1069" s="1"/>
      <c r="H1069" s="19"/>
      <c r="I1069" s="1"/>
      <c r="J1069" s="1"/>
      <c r="K1069" s="19"/>
      <c r="L1069" s="1"/>
      <c r="M1069" s="9"/>
      <c r="N1069" s="1"/>
      <c r="O1069" s="1"/>
      <c r="P1069" s="1"/>
      <c r="Q1069" s="1"/>
      <c r="R1069" s="1"/>
    </row>
    <row r="1070" spans="2:18">
      <c r="B1070" s="1"/>
      <c r="C1070" s="9"/>
      <c r="D1070" s="9"/>
      <c r="E1070" s="9"/>
      <c r="F1070" s="1"/>
      <c r="G1070" s="1"/>
      <c r="H1070" s="19"/>
      <c r="I1070" s="1"/>
      <c r="J1070" s="1"/>
      <c r="K1070" s="19"/>
      <c r="L1070" s="1"/>
      <c r="M1070" s="9"/>
      <c r="N1070" s="1"/>
      <c r="O1070" s="1"/>
      <c r="P1070" s="1"/>
      <c r="Q1070" s="1"/>
      <c r="R1070" s="1"/>
    </row>
    <row r="1071" spans="2:18">
      <c r="B1071" s="1"/>
      <c r="C1071" s="9"/>
      <c r="D1071" s="9"/>
      <c r="E1071" s="9"/>
      <c r="F1071" s="1"/>
      <c r="G1071" s="1"/>
      <c r="H1071" s="19"/>
      <c r="I1071" s="1"/>
      <c r="J1071" s="1"/>
      <c r="K1071" s="19"/>
      <c r="L1071" s="1"/>
      <c r="M1071" s="9"/>
      <c r="N1071" s="1"/>
      <c r="O1071" s="1"/>
      <c r="P1071" s="1"/>
      <c r="Q1071" s="1"/>
      <c r="R1071" s="1"/>
    </row>
    <row r="1072" spans="2:18">
      <c r="B1072" s="1"/>
      <c r="C1072" s="9"/>
      <c r="D1072" s="9"/>
      <c r="E1072" s="9"/>
      <c r="F1072" s="1"/>
      <c r="G1072" s="1"/>
      <c r="H1072" s="19"/>
      <c r="I1072" s="1"/>
      <c r="J1072" s="1"/>
      <c r="K1072" s="19"/>
      <c r="L1072" s="1"/>
      <c r="M1072" s="9"/>
      <c r="N1072" s="1"/>
      <c r="O1072" s="1"/>
      <c r="P1072" s="1"/>
      <c r="Q1072" s="1"/>
      <c r="R1072" s="1"/>
    </row>
    <row r="1073" spans="2:18">
      <c r="B1073" s="1"/>
      <c r="C1073" s="9"/>
      <c r="D1073" s="9"/>
      <c r="E1073" s="9"/>
      <c r="F1073" s="1"/>
      <c r="G1073" s="1"/>
      <c r="H1073" s="19"/>
      <c r="I1073" s="1"/>
      <c r="J1073" s="1"/>
      <c r="K1073" s="19"/>
      <c r="L1073" s="1"/>
      <c r="M1073" s="9"/>
      <c r="N1073" s="1"/>
      <c r="O1073" s="1"/>
      <c r="P1073" s="1"/>
      <c r="Q1073" s="1"/>
      <c r="R1073" s="1"/>
    </row>
    <row r="1074" spans="2:18">
      <c r="B1074" s="1"/>
      <c r="C1074" s="9"/>
      <c r="D1074" s="9"/>
      <c r="E1074" s="9"/>
      <c r="F1074" s="1"/>
      <c r="G1074" s="1"/>
      <c r="H1074" s="19"/>
      <c r="I1074" s="1"/>
      <c r="J1074" s="1"/>
      <c r="K1074" s="19"/>
      <c r="L1074" s="1"/>
      <c r="M1074" s="9"/>
      <c r="N1074" s="1"/>
      <c r="O1074" s="1"/>
      <c r="P1074" s="1"/>
      <c r="Q1074" s="1"/>
      <c r="R1074" s="1"/>
    </row>
    <row r="1075" spans="2:18">
      <c r="B1075" s="1"/>
      <c r="C1075" s="9"/>
      <c r="D1075" s="9"/>
      <c r="E1075" s="9"/>
      <c r="F1075" s="1"/>
      <c r="G1075" s="1"/>
      <c r="H1075" s="19"/>
      <c r="I1075" s="1"/>
      <c r="J1075" s="1"/>
      <c r="K1075" s="19"/>
      <c r="L1075" s="1"/>
      <c r="M1075" s="9"/>
      <c r="N1075" s="1"/>
      <c r="O1075" s="1"/>
      <c r="P1075" s="1"/>
      <c r="Q1075" s="1"/>
      <c r="R1075" s="1"/>
    </row>
    <row r="1076" spans="2:18">
      <c r="B1076" s="1"/>
      <c r="C1076" s="9"/>
      <c r="D1076" s="9"/>
      <c r="E1076" s="9"/>
      <c r="F1076" s="1"/>
      <c r="G1076" s="1"/>
      <c r="H1076" s="19"/>
      <c r="I1076" s="1"/>
      <c r="J1076" s="1"/>
      <c r="K1076" s="19"/>
      <c r="L1076" s="1"/>
      <c r="M1076" s="9"/>
      <c r="N1076" s="1"/>
      <c r="O1076" s="1"/>
      <c r="P1076" s="1"/>
      <c r="Q1076" s="1"/>
      <c r="R1076" s="1"/>
    </row>
    <row r="1077" spans="2:18">
      <c r="B1077" s="1"/>
      <c r="C1077" s="9"/>
      <c r="D1077" s="9"/>
      <c r="E1077" s="9"/>
      <c r="F1077" s="1"/>
      <c r="G1077" s="1"/>
      <c r="H1077" s="19"/>
      <c r="I1077" s="1"/>
      <c r="J1077" s="1"/>
      <c r="K1077" s="19"/>
      <c r="L1077" s="1"/>
      <c r="M1077" s="9"/>
      <c r="N1077" s="1"/>
      <c r="O1077" s="1"/>
      <c r="P1077" s="1"/>
      <c r="Q1077" s="1"/>
      <c r="R1077" s="1"/>
    </row>
    <row r="1078" spans="2:18">
      <c r="B1078" s="1"/>
      <c r="C1078" s="9"/>
      <c r="D1078" s="9"/>
      <c r="E1078" s="9"/>
      <c r="F1078" s="1"/>
      <c r="G1078" s="1"/>
      <c r="H1078" s="19"/>
      <c r="I1078" s="1"/>
      <c r="J1078" s="1"/>
      <c r="K1078" s="19"/>
      <c r="L1078" s="1"/>
      <c r="M1078" s="9"/>
      <c r="N1078" s="1"/>
      <c r="O1078" s="1"/>
      <c r="P1078" s="1"/>
      <c r="Q1078" s="1"/>
      <c r="R1078" s="1"/>
    </row>
    <row r="1079" spans="2:18">
      <c r="B1079" s="1"/>
      <c r="C1079" s="9"/>
      <c r="D1079" s="9"/>
      <c r="E1079" s="9"/>
      <c r="F1079" s="1"/>
      <c r="G1079" s="1"/>
      <c r="H1079" s="19"/>
      <c r="I1079" s="1"/>
      <c r="J1079" s="1"/>
      <c r="K1079" s="19"/>
      <c r="L1079" s="1"/>
      <c r="M1079" s="9"/>
      <c r="N1079" s="1"/>
      <c r="O1079" s="1"/>
      <c r="P1079" s="1"/>
      <c r="Q1079" s="1"/>
      <c r="R1079" s="1"/>
    </row>
    <row r="1080" spans="2:18">
      <c r="B1080" s="1"/>
      <c r="C1080" s="9"/>
      <c r="D1080" s="9"/>
      <c r="E1080" s="9"/>
      <c r="F1080" s="1"/>
      <c r="G1080" s="1"/>
      <c r="H1080" s="19"/>
      <c r="I1080" s="1"/>
      <c r="J1080" s="1"/>
      <c r="K1080" s="19"/>
      <c r="L1080" s="1"/>
      <c r="M1080" s="9"/>
      <c r="N1080" s="1"/>
      <c r="O1080" s="1"/>
      <c r="P1080" s="1"/>
      <c r="Q1080" s="1"/>
      <c r="R1080" s="1"/>
    </row>
    <row r="1081" spans="2:18">
      <c r="B1081" s="1"/>
      <c r="C1081" s="9"/>
      <c r="D1081" s="9"/>
      <c r="E1081" s="9"/>
      <c r="F1081" s="1"/>
      <c r="G1081" s="1"/>
      <c r="H1081" s="19"/>
      <c r="I1081" s="1"/>
      <c r="J1081" s="1"/>
      <c r="K1081" s="19"/>
      <c r="L1081" s="1"/>
      <c r="M1081" s="9"/>
      <c r="N1081" s="1"/>
      <c r="O1081" s="1"/>
      <c r="P1081" s="1"/>
      <c r="Q1081" s="1"/>
      <c r="R1081" s="1"/>
    </row>
    <row r="1082" spans="2:18">
      <c r="B1082" s="1"/>
      <c r="C1082" s="9"/>
      <c r="D1082" s="9"/>
      <c r="E1082" s="9"/>
      <c r="F1082" s="1"/>
      <c r="G1082" s="1"/>
      <c r="H1082" s="19"/>
      <c r="I1082" s="1"/>
      <c r="J1082" s="1"/>
      <c r="K1082" s="19"/>
      <c r="L1082" s="1"/>
      <c r="M1082" s="9"/>
      <c r="N1082" s="1"/>
      <c r="O1082" s="1"/>
      <c r="P1082" s="1"/>
      <c r="Q1082" s="1"/>
      <c r="R1082" s="1"/>
    </row>
    <row r="1083" spans="2:18">
      <c r="B1083" s="1"/>
      <c r="C1083" s="9"/>
      <c r="D1083" s="9"/>
      <c r="E1083" s="9"/>
      <c r="F1083" s="1"/>
      <c r="G1083" s="1"/>
      <c r="H1083" s="19"/>
      <c r="I1083" s="1"/>
      <c r="J1083" s="1"/>
      <c r="K1083" s="19"/>
      <c r="L1083" s="1"/>
      <c r="M1083" s="9"/>
      <c r="N1083" s="1"/>
      <c r="O1083" s="1"/>
      <c r="P1083" s="1"/>
      <c r="Q1083" s="1"/>
      <c r="R1083" s="1"/>
    </row>
    <row r="1084" spans="2:18">
      <c r="B1084" s="1"/>
      <c r="C1084" s="9"/>
      <c r="D1084" s="9"/>
      <c r="E1084" s="9"/>
      <c r="F1084" s="1"/>
      <c r="G1084" s="1"/>
      <c r="H1084" s="19"/>
      <c r="I1084" s="1"/>
      <c r="J1084" s="1"/>
      <c r="K1084" s="19"/>
      <c r="L1084" s="1"/>
      <c r="M1084" s="9"/>
      <c r="N1084" s="1"/>
      <c r="O1084" s="1"/>
      <c r="P1084" s="1"/>
      <c r="Q1084" s="1"/>
      <c r="R1084" s="1"/>
    </row>
    <row r="1085" spans="2:18">
      <c r="B1085" s="1"/>
      <c r="C1085" s="9"/>
      <c r="D1085" s="9"/>
      <c r="E1085" s="9"/>
      <c r="F1085" s="1"/>
      <c r="G1085" s="1"/>
      <c r="H1085" s="19"/>
      <c r="I1085" s="1"/>
      <c r="J1085" s="1"/>
      <c r="K1085" s="19"/>
      <c r="L1085" s="1"/>
      <c r="M1085" s="9"/>
      <c r="N1085" s="1"/>
      <c r="O1085" s="1"/>
      <c r="P1085" s="1"/>
      <c r="Q1085" s="1"/>
      <c r="R1085" s="1"/>
    </row>
    <row r="1086" spans="2:18">
      <c r="B1086" s="1"/>
      <c r="C1086" s="9"/>
      <c r="D1086" s="9"/>
      <c r="E1086" s="9"/>
      <c r="F1086" s="1"/>
      <c r="G1086" s="1"/>
      <c r="H1086" s="19"/>
      <c r="I1086" s="1"/>
      <c r="J1086" s="1"/>
      <c r="K1086" s="19"/>
      <c r="L1086" s="1"/>
      <c r="M1086" s="9"/>
      <c r="N1086" s="1"/>
      <c r="O1086" s="1"/>
      <c r="P1086" s="1"/>
      <c r="Q1086" s="1"/>
      <c r="R1086" s="1"/>
    </row>
    <row r="1087" spans="2:18">
      <c r="B1087" s="1"/>
      <c r="C1087" s="9"/>
      <c r="D1087" s="9"/>
      <c r="E1087" s="9"/>
      <c r="F1087" s="1"/>
      <c r="G1087" s="1"/>
      <c r="H1087" s="19"/>
      <c r="I1087" s="1"/>
      <c r="J1087" s="1"/>
      <c r="K1087" s="19"/>
      <c r="L1087" s="1"/>
      <c r="M1087" s="9"/>
      <c r="N1087" s="1"/>
      <c r="O1087" s="1"/>
      <c r="P1087" s="1"/>
      <c r="Q1087" s="1"/>
      <c r="R1087" s="1"/>
    </row>
    <row r="1088" spans="2:18">
      <c r="B1088" s="1"/>
      <c r="C1088" s="9"/>
      <c r="D1088" s="9"/>
      <c r="E1088" s="9"/>
      <c r="F1088" s="1"/>
      <c r="G1088" s="1"/>
      <c r="H1088" s="19"/>
      <c r="I1088" s="1"/>
      <c r="J1088" s="1"/>
      <c r="K1088" s="19"/>
      <c r="L1088" s="1"/>
      <c r="M1088" s="9"/>
      <c r="N1088" s="1"/>
      <c r="O1088" s="1"/>
      <c r="P1088" s="1"/>
      <c r="Q1088" s="1"/>
      <c r="R1088" s="1"/>
    </row>
    <row r="1089" spans="2:18">
      <c r="B1089" s="1"/>
      <c r="C1089" s="9"/>
      <c r="D1089" s="9"/>
      <c r="E1089" s="9"/>
      <c r="F1089" s="1"/>
      <c r="G1089" s="1"/>
      <c r="H1089" s="19"/>
      <c r="I1089" s="1"/>
      <c r="J1089" s="1"/>
      <c r="K1089" s="19"/>
      <c r="L1089" s="1"/>
      <c r="M1089" s="9"/>
      <c r="N1089" s="1"/>
      <c r="O1089" s="1"/>
      <c r="P1089" s="1"/>
      <c r="Q1089" s="1"/>
      <c r="R1089" s="1"/>
    </row>
    <row r="1090" spans="2:18">
      <c r="B1090" s="1"/>
      <c r="C1090" s="9"/>
      <c r="D1090" s="9"/>
      <c r="E1090" s="9"/>
      <c r="F1090" s="1"/>
      <c r="G1090" s="1"/>
      <c r="H1090" s="19"/>
      <c r="I1090" s="1"/>
      <c r="J1090" s="1"/>
      <c r="K1090" s="19"/>
      <c r="L1090" s="1"/>
      <c r="M1090" s="9"/>
      <c r="N1090" s="1"/>
      <c r="O1090" s="1"/>
      <c r="P1090" s="1"/>
      <c r="Q1090" s="1"/>
      <c r="R1090" s="1"/>
    </row>
    <row r="1091" spans="2:18">
      <c r="B1091" s="1"/>
      <c r="C1091" s="9"/>
      <c r="D1091" s="9"/>
      <c r="E1091" s="9"/>
      <c r="F1091" s="1"/>
      <c r="G1091" s="1"/>
      <c r="H1091" s="19"/>
      <c r="I1091" s="1"/>
      <c r="J1091" s="1"/>
      <c r="K1091" s="19"/>
      <c r="L1091" s="1"/>
      <c r="M1091" s="9"/>
      <c r="N1091" s="1"/>
      <c r="O1091" s="1"/>
      <c r="P1091" s="1"/>
      <c r="Q1091" s="1"/>
      <c r="R1091" s="1"/>
    </row>
    <row r="1092" spans="2:18">
      <c r="B1092" s="1"/>
      <c r="C1092" s="9"/>
      <c r="D1092" s="9"/>
      <c r="E1092" s="9"/>
      <c r="F1092" s="1"/>
      <c r="G1092" s="1"/>
      <c r="H1092" s="19"/>
      <c r="I1092" s="1"/>
      <c r="J1092" s="1"/>
      <c r="K1092" s="19"/>
      <c r="L1092" s="1"/>
      <c r="M1092" s="9"/>
      <c r="N1092" s="1"/>
      <c r="O1092" s="1"/>
      <c r="P1092" s="1"/>
      <c r="Q1092" s="1"/>
      <c r="R1092" s="1"/>
    </row>
    <row r="1093" spans="2:18">
      <c r="B1093" s="1"/>
      <c r="C1093" s="9"/>
      <c r="D1093" s="9"/>
      <c r="E1093" s="9"/>
      <c r="F1093" s="1"/>
      <c r="G1093" s="1"/>
      <c r="H1093" s="19"/>
      <c r="I1093" s="1"/>
      <c r="J1093" s="1"/>
      <c r="K1093" s="19"/>
      <c r="L1093" s="1"/>
      <c r="M1093" s="9"/>
      <c r="N1093" s="1"/>
      <c r="O1093" s="1"/>
      <c r="P1093" s="1"/>
      <c r="Q1093" s="1"/>
      <c r="R1093" s="1"/>
    </row>
    <row r="1094" spans="2:18">
      <c r="B1094" s="1"/>
      <c r="C1094" s="9"/>
      <c r="D1094" s="9"/>
      <c r="E1094" s="9"/>
      <c r="F1094" s="1"/>
      <c r="G1094" s="1"/>
      <c r="H1094" s="19"/>
      <c r="I1094" s="1"/>
      <c r="J1094" s="1"/>
      <c r="K1094" s="19"/>
      <c r="L1094" s="1"/>
      <c r="M1094" s="9"/>
      <c r="N1094" s="1"/>
      <c r="O1094" s="1"/>
      <c r="P1094" s="1"/>
      <c r="Q1094" s="1"/>
      <c r="R1094" s="1"/>
    </row>
    <row r="1095" spans="2:18">
      <c r="B1095" s="1"/>
      <c r="C1095" s="9"/>
      <c r="D1095" s="9"/>
      <c r="E1095" s="9"/>
      <c r="F1095" s="1"/>
      <c r="G1095" s="1"/>
      <c r="H1095" s="19"/>
      <c r="I1095" s="1"/>
      <c r="J1095" s="1"/>
      <c r="K1095" s="19"/>
      <c r="L1095" s="1"/>
      <c r="M1095" s="9"/>
      <c r="N1095" s="1"/>
      <c r="O1095" s="1"/>
      <c r="P1095" s="1"/>
      <c r="Q1095" s="1"/>
      <c r="R1095" s="1"/>
    </row>
    <row r="1096" spans="2:18">
      <c r="B1096" s="1"/>
      <c r="C1096" s="9"/>
      <c r="D1096" s="9"/>
      <c r="E1096" s="9"/>
      <c r="F1096" s="1"/>
      <c r="G1096" s="1"/>
      <c r="H1096" s="19"/>
      <c r="I1096" s="1"/>
      <c r="J1096" s="1"/>
      <c r="K1096" s="19"/>
      <c r="L1096" s="1"/>
      <c r="M1096" s="9"/>
      <c r="N1096" s="1"/>
      <c r="O1096" s="1"/>
      <c r="P1096" s="1"/>
      <c r="Q1096" s="1"/>
      <c r="R1096" s="1"/>
    </row>
    <row r="1097" spans="2:18">
      <c r="B1097" s="1"/>
      <c r="C1097" s="9"/>
      <c r="D1097" s="9"/>
      <c r="E1097" s="9"/>
      <c r="F1097" s="1"/>
      <c r="G1097" s="1"/>
      <c r="H1097" s="19"/>
      <c r="I1097" s="1"/>
      <c r="J1097" s="1"/>
      <c r="K1097" s="19"/>
      <c r="L1097" s="1"/>
      <c r="M1097" s="9"/>
      <c r="N1097" s="1"/>
      <c r="O1097" s="1"/>
      <c r="P1097" s="1"/>
      <c r="Q1097" s="1"/>
      <c r="R1097" s="1"/>
    </row>
    <row r="1098" spans="2:18">
      <c r="B1098" s="1"/>
      <c r="C1098" s="9"/>
      <c r="D1098" s="9"/>
      <c r="E1098" s="9"/>
      <c r="F1098" s="1"/>
      <c r="G1098" s="1"/>
      <c r="H1098" s="19"/>
      <c r="I1098" s="1"/>
      <c r="J1098" s="1"/>
      <c r="K1098" s="19"/>
      <c r="L1098" s="1"/>
      <c r="M1098" s="9"/>
      <c r="N1098" s="1"/>
      <c r="O1098" s="1"/>
      <c r="P1098" s="1"/>
      <c r="Q1098" s="1"/>
      <c r="R1098" s="1"/>
    </row>
    <row r="1099" spans="2:18">
      <c r="B1099" s="1"/>
      <c r="C1099" s="9"/>
      <c r="D1099" s="9"/>
      <c r="E1099" s="9"/>
      <c r="F1099" s="1"/>
      <c r="G1099" s="1"/>
      <c r="H1099" s="19"/>
      <c r="I1099" s="1"/>
      <c r="J1099" s="1"/>
      <c r="K1099" s="19"/>
      <c r="L1099" s="1"/>
      <c r="M1099" s="9"/>
      <c r="N1099" s="1"/>
      <c r="O1099" s="1"/>
      <c r="P1099" s="1"/>
      <c r="Q1099" s="1"/>
      <c r="R1099" s="1"/>
    </row>
    <row r="1100" spans="2:18">
      <c r="B1100" s="1"/>
      <c r="C1100" s="9"/>
      <c r="D1100" s="9"/>
      <c r="E1100" s="9"/>
      <c r="F1100" s="1"/>
      <c r="G1100" s="1"/>
      <c r="H1100" s="19"/>
      <c r="I1100" s="1"/>
      <c r="J1100" s="1"/>
      <c r="K1100" s="19"/>
      <c r="L1100" s="1"/>
      <c r="M1100" s="9"/>
      <c r="N1100" s="1"/>
      <c r="O1100" s="1"/>
      <c r="P1100" s="1"/>
      <c r="Q1100" s="1"/>
      <c r="R1100" s="1"/>
    </row>
    <row r="1101" spans="2:18">
      <c r="B1101" s="1"/>
      <c r="C1101" s="9"/>
      <c r="D1101" s="9"/>
      <c r="E1101" s="9"/>
      <c r="F1101" s="1"/>
      <c r="G1101" s="1"/>
      <c r="H1101" s="19"/>
      <c r="I1101" s="1"/>
      <c r="J1101" s="1"/>
      <c r="K1101" s="19"/>
      <c r="L1101" s="1"/>
      <c r="M1101" s="9"/>
      <c r="N1101" s="1"/>
      <c r="O1101" s="1"/>
      <c r="P1101" s="1"/>
      <c r="Q1101" s="1"/>
      <c r="R1101" s="1"/>
    </row>
    <row r="1102" spans="2:18">
      <c r="B1102" s="1"/>
      <c r="C1102" s="9"/>
      <c r="D1102" s="9"/>
      <c r="E1102" s="9"/>
      <c r="F1102" s="1"/>
      <c r="G1102" s="1"/>
      <c r="H1102" s="19"/>
      <c r="I1102" s="1"/>
      <c r="J1102" s="1"/>
      <c r="K1102" s="19"/>
      <c r="L1102" s="1"/>
      <c r="M1102" s="9"/>
      <c r="N1102" s="1"/>
      <c r="O1102" s="1"/>
      <c r="P1102" s="1"/>
      <c r="Q1102" s="1"/>
      <c r="R1102" s="1"/>
    </row>
    <row r="1103" spans="2:18">
      <c r="B1103" s="1"/>
      <c r="C1103" s="9"/>
      <c r="D1103" s="9"/>
      <c r="E1103" s="9"/>
      <c r="F1103" s="1"/>
      <c r="G1103" s="1"/>
      <c r="H1103" s="19"/>
      <c r="I1103" s="1"/>
      <c r="J1103" s="1"/>
      <c r="K1103" s="19"/>
      <c r="L1103" s="1"/>
      <c r="M1103" s="9"/>
      <c r="N1103" s="1"/>
      <c r="O1103" s="1"/>
      <c r="P1103" s="1"/>
      <c r="Q1103" s="1"/>
      <c r="R1103" s="1"/>
    </row>
    <row r="1104" spans="2:18">
      <c r="B1104" s="1"/>
      <c r="C1104" s="9"/>
      <c r="D1104" s="9"/>
      <c r="E1104" s="9"/>
      <c r="F1104" s="1"/>
      <c r="G1104" s="1"/>
      <c r="H1104" s="19"/>
      <c r="I1104" s="1"/>
      <c r="J1104" s="1"/>
      <c r="K1104" s="19"/>
      <c r="L1104" s="1"/>
      <c r="M1104" s="9"/>
      <c r="N1104" s="1"/>
      <c r="O1104" s="1"/>
      <c r="P1104" s="1"/>
      <c r="Q1104" s="1"/>
      <c r="R1104" s="1"/>
    </row>
    <row r="1105" spans="2:18">
      <c r="B1105" s="1"/>
      <c r="C1105" s="9"/>
      <c r="D1105" s="9"/>
      <c r="E1105" s="9"/>
      <c r="F1105" s="1"/>
      <c r="G1105" s="1"/>
      <c r="H1105" s="19"/>
      <c r="I1105" s="1"/>
      <c r="J1105" s="1"/>
      <c r="K1105" s="19"/>
      <c r="L1105" s="1"/>
      <c r="M1105" s="9"/>
      <c r="N1105" s="1"/>
      <c r="O1105" s="1"/>
      <c r="P1105" s="1"/>
      <c r="Q1105" s="1"/>
      <c r="R1105" s="1"/>
    </row>
    <row r="1106" spans="2:18">
      <c r="B1106" s="1"/>
      <c r="C1106" s="9"/>
      <c r="D1106" s="9"/>
      <c r="E1106" s="9"/>
      <c r="F1106" s="1"/>
      <c r="G1106" s="1"/>
      <c r="H1106" s="19"/>
      <c r="I1106" s="1"/>
      <c r="J1106" s="1"/>
      <c r="K1106" s="19"/>
      <c r="L1106" s="1"/>
      <c r="M1106" s="9"/>
      <c r="N1106" s="1"/>
      <c r="O1106" s="1"/>
      <c r="P1106" s="1"/>
      <c r="Q1106" s="1"/>
      <c r="R1106" s="1"/>
    </row>
    <row r="1107" spans="2:18">
      <c r="B1107" s="1"/>
      <c r="C1107" s="9"/>
      <c r="D1107" s="9"/>
      <c r="E1107" s="9"/>
      <c r="F1107" s="1"/>
      <c r="G1107" s="1"/>
      <c r="H1107" s="19"/>
      <c r="I1107" s="1"/>
      <c r="J1107" s="1"/>
      <c r="K1107" s="19"/>
      <c r="L1107" s="1"/>
      <c r="M1107" s="9"/>
      <c r="N1107" s="1"/>
      <c r="O1107" s="1"/>
      <c r="P1107" s="1"/>
      <c r="Q1107" s="1"/>
      <c r="R1107" s="1"/>
    </row>
    <row r="1108" spans="2:18">
      <c r="B1108" s="1"/>
      <c r="C1108" s="9"/>
      <c r="D1108" s="9"/>
      <c r="E1108" s="9"/>
      <c r="F1108" s="1"/>
      <c r="G1108" s="1"/>
      <c r="H1108" s="19"/>
      <c r="I1108" s="1"/>
      <c r="J1108" s="1"/>
      <c r="K1108" s="19"/>
      <c r="L1108" s="1"/>
      <c r="M1108" s="9"/>
      <c r="N1108" s="1"/>
      <c r="O1108" s="1"/>
      <c r="P1108" s="1"/>
      <c r="Q1108" s="1"/>
      <c r="R1108" s="1"/>
    </row>
    <row r="1109" spans="2:18">
      <c r="B1109" s="1"/>
      <c r="C1109" s="9"/>
      <c r="D1109" s="9"/>
      <c r="E1109" s="9"/>
      <c r="F1109" s="1"/>
      <c r="G1109" s="1"/>
      <c r="H1109" s="19"/>
      <c r="I1109" s="1"/>
      <c r="J1109" s="1"/>
      <c r="K1109" s="19"/>
      <c r="L1109" s="1"/>
      <c r="M1109" s="9"/>
      <c r="N1109" s="1"/>
      <c r="O1109" s="1"/>
      <c r="P1109" s="1"/>
      <c r="Q1109" s="1"/>
      <c r="R1109" s="1"/>
    </row>
    <row r="1110" spans="2:18">
      <c r="B1110" s="1"/>
      <c r="C1110" s="9"/>
      <c r="D1110" s="9"/>
      <c r="E1110" s="9"/>
      <c r="F1110" s="1"/>
      <c r="G1110" s="1"/>
      <c r="H1110" s="19"/>
      <c r="I1110" s="1"/>
      <c r="J1110" s="1"/>
      <c r="K1110" s="19"/>
      <c r="L1110" s="1"/>
      <c r="M1110" s="9"/>
      <c r="N1110" s="1"/>
      <c r="O1110" s="1"/>
      <c r="P1110" s="1"/>
      <c r="Q1110" s="1"/>
      <c r="R1110" s="1"/>
    </row>
    <row r="1111" spans="2:18">
      <c r="B1111" s="1"/>
      <c r="C1111" s="9"/>
      <c r="D1111" s="9"/>
      <c r="E1111" s="9"/>
      <c r="F1111" s="1"/>
      <c r="G1111" s="1"/>
      <c r="H1111" s="19"/>
      <c r="I1111" s="1"/>
      <c r="J1111" s="1"/>
      <c r="K1111" s="19"/>
      <c r="L1111" s="1"/>
      <c r="M1111" s="9"/>
      <c r="N1111" s="1"/>
      <c r="O1111" s="1"/>
      <c r="P1111" s="1"/>
      <c r="Q1111" s="1"/>
      <c r="R1111" s="1"/>
    </row>
    <row r="1112" spans="2:18">
      <c r="B1112" s="1"/>
      <c r="C1112" s="9"/>
      <c r="D1112" s="9"/>
      <c r="E1112" s="9"/>
      <c r="F1112" s="1"/>
      <c r="G1112" s="1"/>
      <c r="H1112" s="19"/>
      <c r="I1112" s="1"/>
      <c r="J1112" s="1"/>
      <c r="K1112" s="19"/>
      <c r="L1112" s="1"/>
      <c r="M1112" s="9"/>
      <c r="N1112" s="1"/>
      <c r="O1112" s="1"/>
      <c r="P1112" s="1"/>
      <c r="Q1112" s="1"/>
      <c r="R1112" s="1"/>
    </row>
    <row r="1113" spans="2:18">
      <c r="B1113" s="1"/>
      <c r="C1113" s="9"/>
      <c r="D1113" s="9"/>
      <c r="E1113" s="9"/>
      <c r="F1113" s="1"/>
      <c r="G1113" s="1"/>
      <c r="H1113" s="19"/>
      <c r="I1113" s="1"/>
      <c r="J1113" s="1"/>
      <c r="K1113" s="19"/>
      <c r="L1113" s="1"/>
      <c r="M1113" s="9"/>
      <c r="N1113" s="1"/>
      <c r="O1113" s="1"/>
      <c r="P1113" s="1"/>
      <c r="Q1113" s="1"/>
      <c r="R1113" s="1"/>
    </row>
    <row r="1114" spans="2:18">
      <c r="B1114" s="1"/>
      <c r="C1114" s="9"/>
      <c r="D1114" s="9"/>
      <c r="E1114" s="9"/>
      <c r="F1114" s="1"/>
      <c r="G1114" s="1"/>
      <c r="H1114" s="19"/>
      <c r="I1114" s="1"/>
      <c r="J1114" s="1"/>
      <c r="K1114" s="19"/>
      <c r="L1114" s="1"/>
      <c r="M1114" s="9"/>
      <c r="N1114" s="1"/>
      <c r="O1114" s="1"/>
      <c r="P1114" s="1"/>
      <c r="Q1114" s="1"/>
      <c r="R1114" s="1"/>
    </row>
    <row r="1115" spans="2:18">
      <c r="B1115" s="1"/>
      <c r="C1115" s="9"/>
      <c r="D1115" s="9"/>
      <c r="E1115" s="9"/>
      <c r="F1115" s="1"/>
      <c r="G1115" s="1"/>
      <c r="H1115" s="19"/>
      <c r="I1115" s="1"/>
      <c r="J1115" s="1"/>
      <c r="K1115" s="19"/>
      <c r="L1115" s="1"/>
      <c r="M1115" s="9"/>
      <c r="N1115" s="1"/>
      <c r="O1115" s="1"/>
      <c r="P1115" s="1"/>
      <c r="Q1115" s="1"/>
      <c r="R1115" s="1"/>
    </row>
    <row r="1116" spans="2:18">
      <c r="B1116" s="1"/>
      <c r="C1116" s="9"/>
      <c r="D1116" s="9"/>
      <c r="E1116" s="9"/>
      <c r="F1116" s="1"/>
      <c r="G1116" s="1"/>
      <c r="H1116" s="19"/>
      <c r="I1116" s="1"/>
      <c r="J1116" s="1"/>
      <c r="K1116" s="19"/>
      <c r="L1116" s="1"/>
      <c r="M1116" s="9"/>
      <c r="N1116" s="1"/>
      <c r="O1116" s="1"/>
      <c r="P1116" s="1"/>
      <c r="Q1116" s="1"/>
      <c r="R1116" s="1"/>
    </row>
    <row r="1117" spans="2:18">
      <c r="B1117" s="1"/>
      <c r="C1117" s="9"/>
      <c r="D1117" s="9"/>
      <c r="E1117" s="9"/>
      <c r="F1117" s="1"/>
      <c r="G1117" s="1"/>
      <c r="H1117" s="19"/>
      <c r="I1117" s="1"/>
      <c r="J1117" s="1"/>
      <c r="K1117" s="19"/>
      <c r="L1117" s="1"/>
      <c r="M1117" s="9"/>
      <c r="N1117" s="1"/>
      <c r="O1117" s="1"/>
      <c r="P1117" s="1"/>
      <c r="Q1117" s="1"/>
      <c r="R1117" s="1"/>
    </row>
    <row r="1118" spans="2:18">
      <c r="B1118" s="1"/>
      <c r="C1118" s="9"/>
      <c r="D1118" s="9"/>
      <c r="E1118" s="9"/>
      <c r="F1118" s="1"/>
      <c r="G1118" s="1"/>
      <c r="H1118" s="19"/>
      <c r="I1118" s="1"/>
      <c r="J1118" s="1"/>
      <c r="K1118" s="19"/>
      <c r="L1118" s="1"/>
      <c r="M1118" s="9"/>
      <c r="N1118" s="1"/>
      <c r="O1118" s="1"/>
      <c r="P1118" s="1"/>
      <c r="Q1118" s="1"/>
      <c r="R1118" s="1"/>
    </row>
    <row r="1119" spans="2:18">
      <c r="B1119" s="1"/>
      <c r="C1119" s="9"/>
      <c r="D1119" s="9"/>
      <c r="E1119" s="9"/>
      <c r="F1119" s="1"/>
      <c r="G1119" s="1"/>
      <c r="H1119" s="19"/>
      <c r="I1119" s="1"/>
      <c r="J1119" s="1"/>
      <c r="K1119" s="19"/>
      <c r="L1119" s="1"/>
      <c r="M1119" s="9"/>
      <c r="N1119" s="1"/>
      <c r="O1119" s="1"/>
      <c r="P1119" s="1"/>
      <c r="Q1119" s="1"/>
      <c r="R1119" s="1"/>
    </row>
    <row r="1120" spans="2:18">
      <c r="B1120" s="1"/>
      <c r="C1120" s="9"/>
      <c r="D1120" s="9"/>
      <c r="E1120" s="9"/>
      <c r="F1120" s="1"/>
      <c r="G1120" s="1"/>
      <c r="H1120" s="19"/>
      <c r="I1120" s="1"/>
      <c r="J1120" s="1"/>
      <c r="K1120" s="19"/>
      <c r="L1120" s="1"/>
      <c r="M1120" s="9"/>
      <c r="N1120" s="1"/>
      <c r="O1120" s="1"/>
      <c r="P1120" s="1"/>
      <c r="Q1120" s="1"/>
      <c r="R1120" s="1"/>
    </row>
    <row r="1121" spans="2:18">
      <c r="B1121" s="1"/>
      <c r="C1121" s="9"/>
      <c r="D1121" s="9"/>
      <c r="E1121" s="9"/>
      <c r="F1121" s="1"/>
      <c r="G1121" s="1"/>
      <c r="H1121" s="19"/>
      <c r="I1121" s="1"/>
      <c r="J1121" s="1"/>
      <c r="K1121" s="19"/>
      <c r="L1121" s="1"/>
      <c r="M1121" s="9"/>
      <c r="N1121" s="1"/>
      <c r="O1121" s="1"/>
      <c r="P1121" s="1"/>
      <c r="Q1121" s="1"/>
      <c r="R1121" s="1"/>
    </row>
    <row r="1122" spans="2:18">
      <c r="B1122" s="1"/>
      <c r="C1122" s="9"/>
      <c r="D1122" s="9"/>
      <c r="E1122" s="9"/>
      <c r="F1122" s="1"/>
      <c r="G1122" s="1"/>
      <c r="H1122" s="19"/>
      <c r="I1122" s="1"/>
      <c r="J1122" s="1"/>
      <c r="K1122" s="19"/>
      <c r="L1122" s="1"/>
      <c r="M1122" s="9"/>
      <c r="N1122" s="1"/>
      <c r="O1122" s="1"/>
      <c r="P1122" s="1"/>
      <c r="Q1122" s="1"/>
      <c r="R1122" s="1"/>
    </row>
    <row r="1123" spans="2:18">
      <c r="B1123" s="1"/>
      <c r="C1123" s="9"/>
      <c r="D1123" s="9"/>
      <c r="E1123" s="9"/>
      <c r="F1123" s="1"/>
      <c r="G1123" s="1"/>
      <c r="H1123" s="19"/>
      <c r="I1123" s="1"/>
      <c r="J1123" s="1"/>
      <c r="K1123" s="19"/>
      <c r="L1123" s="1"/>
      <c r="M1123" s="9"/>
      <c r="N1123" s="1"/>
      <c r="O1123" s="1"/>
      <c r="P1123" s="1"/>
      <c r="Q1123" s="1"/>
      <c r="R1123" s="1"/>
    </row>
    <row r="1124" spans="2:18">
      <c r="B1124" s="1"/>
      <c r="C1124" s="9"/>
      <c r="D1124" s="9"/>
      <c r="E1124" s="9"/>
      <c r="F1124" s="1"/>
      <c r="G1124" s="1"/>
      <c r="H1124" s="19"/>
      <c r="I1124" s="1"/>
      <c r="J1124" s="1"/>
      <c r="K1124" s="19"/>
      <c r="L1124" s="1"/>
      <c r="M1124" s="9"/>
      <c r="N1124" s="1"/>
      <c r="O1124" s="1"/>
      <c r="P1124" s="1"/>
      <c r="Q1124" s="1"/>
      <c r="R1124" s="1"/>
    </row>
    <row r="1125" spans="2:18">
      <c r="B1125" s="1"/>
      <c r="C1125" s="9"/>
      <c r="D1125" s="9"/>
      <c r="E1125" s="9"/>
      <c r="F1125" s="1"/>
      <c r="G1125" s="1"/>
      <c r="H1125" s="19"/>
      <c r="I1125" s="1"/>
      <c r="J1125" s="1"/>
      <c r="K1125" s="19"/>
      <c r="L1125" s="1"/>
      <c r="M1125" s="9"/>
      <c r="N1125" s="1"/>
      <c r="O1125" s="1"/>
      <c r="P1125" s="1"/>
      <c r="Q1125" s="1"/>
      <c r="R1125" s="1"/>
    </row>
    <row r="1126" spans="2:18">
      <c r="B1126" s="1"/>
      <c r="C1126" s="9"/>
      <c r="D1126" s="9"/>
      <c r="E1126" s="9"/>
      <c r="F1126" s="1"/>
      <c r="G1126" s="1"/>
      <c r="H1126" s="19"/>
      <c r="I1126" s="1"/>
      <c r="J1126" s="1"/>
      <c r="K1126" s="19"/>
      <c r="L1126" s="1"/>
      <c r="M1126" s="9"/>
      <c r="N1126" s="1"/>
      <c r="O1126" s="1"/>
      <c r="P1126" s="1"/>
      <c r="Q1126" s="1"/>
      <c r="R1126" s="1"/>
    </row>
    <row r="1127" spans="2:18">
      <c r="B1127" s="1"/>
      <c r="C1127" s="9"/>
      <c r="D1127" s="9"/>
      <c r="E1127" s="9"/>
      <c r="F1127" s="1"/>
      <c r="G1127" s="1"/>
      <c r="H1127" s="19"/>
      <c r="I1127" s="1"/>
      <c r="J1127" s="1"/>
      <c r="K1127" s="19"/>
      <c r="L1127" s="1"/>
      <c r="M1127" s="9"/>
      <c r="N1127" s="1"/>
      <c r="O1127" s="1"/>
      <c r="P1127" s="1"/>
      <c r="Q1127" s="1"/>
      <c r="R1127" s="1"/>
    </row>
    <row r="1128" spans="2:18">
      <c r="B1128" s="1"/>
      <c r="C1128" s="9"/>
      <c r="D1128" s="9"/>
      <c r="E1128" s="9"/>
      <c r="F1128" s="1"/>
      <c r="G1128" s="1"/>
      <c r="H1128" s="19"/>
      <c r="I1128" s="1"/>
      <c r="J1128" s="1"/>
      <c r="K1128" s="19"/>
      <c r="L1128" s="1"/>
      <c r="M1128" s="9"/>
      <c r="N1128" s="1"/>
      <c r="O1128" s="1"/>
      <c r="P1128" s="1"/>
      <c r="Q1128" s="1"/>
      <c r="R1128" s="1"/>
    </row>
    <row r="1129" spans="2:18">
      <c r="B1129" s="1"/>
      <c r="C1129" s="9"/>
      <c r="D1129" s="9"/>
      <c r="E1129" s="9"/>
      <c r="F1129" s="1"/>
      <c r="G1129" s="1"/>
      <c r="H1129" s="19"/>
      <c r="I1129" s="1"/>
      <c r="J1129" s="1"/>
      <c r="K1129" s="19"/>
      <c r="L1129" s="1"/>
      <c r="M1129" s="9"/>
      <c r="N1129" s="1"/>
      <c r="O1129" s="1"/>
      <c r="P1129" s="1"/>
      <c r="Q1129" s="1"/>
      <c r="R1129" s="1"/>
    </row>
    <row r="1130" spans="2:18">
      <c r="B1130" s="1"/>
      <c r="C1130" s="9"/>
      <c r="D1130" s="9"/>
      <c r="E1130" s="9"/>
      <c r="F1130" s="1"/>
      <c r="G1130" s="1"/>
      <c r="H1130" s="19"/>
      <c r="I1130" s="1"/>
      <c r="J1130" s="1"/>
      <c r="K1130" s="19"/>
      <c r="L1130" s="1"/>
      <c r="M1130" s="9"/>
      <c r="N1130" s="1"/>
      <c r="O1130" s="1"/>
      <c r="P1130" s="1"/>
      <c r="Q1130" s="1"/>
      <c r="R1130" s="1"/>
    </row>
    <row r="1131" spans="2:18">
      <c r="B1131" s="1"/>
      <c r="C1131" s="9"/>
      <c r="D1131" s="9"/>
      <c r="E1131" s="9"/>
      <c r="F1131" s="1"/>
      <c r="G1131" s="1"/>
      <c r="H1131" s="19"/>
      <c r="I1131" s="1"/>
      <c r="J1131" s="1"/>
      <c r="K1131" s="19"/>
      <c r="L1131" s="1"/>
      <c r="M1131" s="9"/>
      <c r="N1131" s="1"/>
      <c r="O1131" s="1"/>
      <c r="P1131" s="1"/>
      <c r="Q1131" s="1"/>
      <c r="R1131" s="1"/>
    </row>
    <row r="1132" spans="2:18">
      <c r="B1132" s="1"/>
      <c r="C1132" s="9"/>
      <c r="D1132" s="9"/>
      <c r="E1132" s="9"/>
      <c r="F1132" s="1"/>
      <c r="G1132" s="1"/>
      <c r="H1132" s="19"/>
      <c r="I1132" s="1"/>
      <c r="J1132" s="1"/>
      <c r="K1132" s="19"/>
      <c r="L1132" s="1"/>
      <c r="M1132" s="9"/>
      <c r="N1132" s="1"/>
      <c r="O1132" s="1"/>
      <c r="P1132" s="1"/>
      <c r="Q1132" s="1"/>
      <c r="R1132" s="1"/>
    </row>
    <row r="1133" spans="2:18">
      <c r="B1133" s="1"/>
      <c r="C1133" s="9"/>
      <c r="D1133" s="9"/>
      <c r="E1133" s="9"/>
      <c r="F1133" s="1"/>
      <c r="G1133" s="1"/>
      <c r="H1133" s="19"/>
      <c r="I1133" s="1"/>
      <c r="J1133" s="1"/>
      <c r="K1133" s="19"/>
      <c r="L1133" s="1"/>
      <c r="M1133" s="9"/>
      <c r="N1133" s="1"/>
      <c r="O1133" s="1"/>
      <c r="P1133" s="1"/>
      <c r="Q1133" s="1"/>
      <c r="R1133" s="1"/>
    </row>
    <row r="1134" spans="2:18">
      <c r="B1134" s="1"/>
      <c r="C1134" s="9"/>
      <c r="D1134" s="9"/>
      <c r="E1134" s="9"/>
      <c r="F1134" s="1"/>
      <c r="G1134" s="1"/>
      <c r="H1134" s="19"/>
      <c r="I1134" s="1"/>
      <c r="J1134" s="1"/>
      <c r="K1134" s="19"/>
      <c r="L1134" s="1"/>
      <c r="M1134" s="9"/>
      <c r="N1134" s="1"/>
      <c r="O1134" s="1"/>
      <c r="P1134" s="1"/>
      <c r="Q1134" s="1"/>
      <c r="R1134" s="1"/>
    </row>
    <row r="1135" spans="2:18">
      <c r="B1135" s="1"/>
      <c r="C1135" s="9"/>
      <c r="D1135" s="9"/>
      <c r="E1135" s="9"/>
      <c r="F1135" s="1"/>
      <c r="G1135" s="1"/>
      <c r="H1135" s="19"/>
      <c r="I1135" s="1"/>
      <c r="J1135" s="1"/>
      <c r="K1135" s="19"/>
      <c r="L1135" s="1"/>
      <c r="M1135" s="9"/>
      <c r="N1135" s="1"/>
      <c r="O1135" s="1"/>
      <c r="P1135" s="1"/>
      <c r="Q1135" s="1"/>
      <c r="R1135" s="1"/>
    </row>
    <row r="1136" spans="2:18">
      <c r="B1136" s="1"/>
      <c r="C1136" s="9"/>
      <c r="D1136" s="9"/>
      <c r="E1136" s="9"/>
      <c r="F1136" s="1"/>
      <c r="G1136" s="1"/>
      <c r="H1136" s="19"/>
      <c r="I1136" s="1"/>
      <c r="J1136" s="1"/>
      <c r="K1136" s="19"/>
      <c r="L1136" s="1"/>
      <c r="M1136" s="9"/>
      <c r="N1136" s="1"/>
      <c r="O1136" s="1"/>
      <c r="P1136" s="1"/>
      <c r="Q1136" s="1"/>
      <c r="R1136" s="1"/>
    </row>
    <row r="1137" spans="2:18">
      <c r="B1137" s="1"/>
      <c r="C1137" s="9"/>
      <c r="D1137" s="9"/>
      <c r="E1137" s="9"/>
      <c r="F1137" s="1"/>
      <c r="G1137" s="1"/>
      <c r="H1137" s="19"/>
      <c r="I1137" s="1"/>
      <c r="J1137" s="1"/>
      <c r="K1137" s="19"/>
      <c r="L1137" s="1"/>
      <c r="M1137" s="9"/>
      <c r="N1137" s="1"/>
      <c r="O1137" s="1"/>
      <c r="P1137" s="1"/>
      <c r="Q1137" s="1"/>
      <c r="R1137" s="1"/>
    </row>
    <row r="1138" spans="2:18">
      <c r="B1138" s="1"/>
      <c r="C1138" s="9"/>
      <c r="D1138" s="9"/>
      <c r="E1138" s="9"/>
      <c r="F1138" s="1"/>
      <c r="G1138" s="1"/>
      <c r="H1138" s="19"/>
      <c r="I1138" s="1"/>
      <c r="J1138" s="1"/>
      <c r="K1138" s="19"/>
      <c r="L1138" s="1"/>
      <c r="M1138" s="9"/>
      <c r="N1138" s="1"/>
      <c r="O1138" s="1"/>
      <c r="P1138" s="1"/>
      <c r="Q1138" s="1"/>
      <c r="R1138" s="1"/>
    </row>
    <row r="1139" spans="2:18">
      <c r="B1139" s="1"/>
      <c r="C1139" s="9"/>
      <c r="D1139" s="9"/>
      <c r="E1139" s="9"/>
      <c r="F1139" s="1"/>
      <c r="G1139" s="1"/>
      <c r="H1139" s="19"/>
      <c r="I1139" s="1"/>
      <c r="J1139" s="1"/>
      <c r="K1139" s="19"/>
      <c r="L1139" s="1"/>
      <c r="M1139" s="9"/>
      <c r="N1139" s="1"/>
      <c r="O1139" s="1"/>
      <c r="P1139" s="1"/>
      <c r="Q1139" s="1"/>
      <c r="R1139" s="1"/>
    </row>
    <row r="1140" spans="2:18">
      <c r="B1140" s="1"/>
      <c r="C1140" s="9"/>
      <c r="D1140" s="9"/>
      <c r="E1140" s="9"/>
      <c r="F1140" s="1"/>
      <c r="G1140" s="1"/>
      <c r="H1140" s="19"/>
      <c r="I1140" s="1"/>
      <c r="J1140" s="1"/>
      <c r="K1140" s="19"/>
      <c r="L1140" s="1"/>
      <c r="M1140" s="9"/>
      <c r="N1140" s="1"/>
      <c r="O1140" s="1"/>
      <c r="P1140" s="1"/>
      <c r="Q1140" s="1"/>
      <c r="R1140" s="1"/>
    </row>
    <row r="1141" spans="2:18">
      <c r="B1141" s="1"/>
      <c r="C1141" s="9"/>
      <c r="D1141" s="9"/>
      <c r="E1141" s="9"/>
      <c r="F1141" s="1"/>
      <c r="G1141" s="1"/>
      <c r="H1141" s="19"/>
      <c r="I1141" s="1"/>
      <c r="J1141" s="1"/>
      <c r="K1141" s="19"/>
      <c r="L1141" s="1"/>
      <c r="M1141" s="9"/>
      <c r="N1141" s="1"/>
      <c r="O1141" s="1"/>
      <c r="P1141" s="1"/>
      <c r="Q1141" s="1"/>
      <c r="R1141" s="1"/>
    </row>
    <row r="1142" spans="2:18">
      <c r="B1142" s="1"/>
      <c r="C1142" s="9"/>
      <c r="D1142" s="9"/>
      <c r="E1142" s="9"/>
      <c r="F1142" s="1"/>
      <c r="G1142" s="1"/>
      <c r="H1142" s="19"/>
      <c r="I1142" s="1"/>
      <c r="J1142" s="1"/>
      <c r="K1142" s="19"/>
      <c r="L1142" s="1"/>
      <c r="M1142" s="9"/>
      <c r="N1142" s="1"/>
      <c r="O1142" s="1"/>
      <c r="P1142" s="1"/>
      <c r="Q1142" s="1"/>
      <c r="R1142" s="1"/>
    </row>
    <row r="1143" spans="2:18">
      <c r="B1143" s="1"/>
      <c r="C1143" s="9"/>
      <c r="D1143" s="9"/>
      <c r="E1143" s="9"/>
      <c r="F1143" s="1"/>
      <c r="G1143" s="1"/>
      <c r="H1143" s="19"/>
      <c r="I1143" s="1"/>
      <c r="J1143" s="1"/>
      <c r="K1143" s="19"/>
      <c r="L1143" s="1"/>
      <c r="M1143" s="9"/>
      <c r="N1143" s="1"/>
      <c r="O1143" s="1"/>
      <c r="P1143" s="1"/>
      <c r="Q1143" s="1"/>
      <c r="R1143" s="1"/>
    </row>
    <row r="1144" spans="2:18">
      <c r="B1144" s="1"/>
      <c r="C1144" s="9"/>
      <c r="D1144" s="9"/>
      <c r="E1144" s="9"/>
      <c r="F1144" s="1"/>
      <c r="G1144" s="1"/>
      <c r="H1144" s="19"/>
      <c r="I1144" s="1"/>
      <c r="J1144" s="1"/>
      <c r="K1144" s="19"/>
      <c r="L1144" s="1"/>
      <c r="M1144" s="9"/>
      <c r="N1144" s="1"/>
      <c r="O1144" s="1"/>
      <c r="P1144" s="1"/>
      <c r="Q1144" s="1"/>
      <c r="R1144" s="1"/>
    </row>
    <row r="1145" spans="2:18">
      <c r="B1145" s="1"/>
      <c r="C1145" s="9"/>
      <c r="D1145" s="9"/>
      <c r="E1145" s="9"/>
      <c r="F1145" s="1"/>
      <c r="G1145" s="1"/>
      <c r="H1145" s="19"/>
      <c r="I1145" s="1"/>
      <c r="J1145" s="1"/>
      <c r="K1145" s="19"/>
      <c r="L1145" s="1"/>
      <c r="M1145" s="9"/>
      <c r="N1145" s="1"/>
      <c r="O1145" s="1"/>
      <c r="P1145" s="1"/>
      <c r="Q1145" s="1"/>
      <c r="R1145" s="1"/>
    </row>
    <row r="1146" spans="2:18">
      <c r="B1146" s="1"/>
      <c r="C1146" s="9"/>
      <c r="D1146" s="9"/>
      <c r="E1146" s="9"/>
      <c r="F1146" s="1"/>
      <c r="G1146" s="1"/>
      <c r="H1146" s="19"/>
      <c r="I1146" s="1"/>
      <c r="J1146" s="1"/>
      <c r="K1146" s="19"/>
      <c r="L1146" s="1"/>
      <c r="M1146" s="9"/>
      <c r="N1146" s="1"/>
      <c r="O1146" s="1"/>
      <c r="P1146" s="1"/>
      <c r="Q1146" s="1"/>
      <c r="R1146" s="1"/>
    </row>
    <row r="1147" spans="2:18">
      <c r="B1147" s="1"/>
      <c r="C1147" s="9"/>
      <c r="D1147" s="9"/>
      <c r="E1147" s="9"/>
      <c r="F1147" s="1"/>
      <c r="G1147" s="1"/>
      <c r="H1147" s="19"/>
      <c r="I1147" s="1"/>
      <c r="J1147" s="1"/>
      <c r="K1147" s="19"/>
      <c r="L1147" s="1"/>
      <c r="M1147" s="9"/>
      <c r="N1147" s="1"/>
      <c r="O1147" s="1"/>
      <c r="P1147" s="1"/>
      <c r="Q1147" s="1"/>
      <c r="R1147" s="1"/>
    </row>
    <row r="1148" spans="2:18">
      <c r="B1148" s="1"/>
      <c r="C1148" s="9"/>
      <c r="D1148" s="9"/>
      <c r="E1148" s="9"/>
      <c r="F1148" s="1"/>
      <c r="G1148" s="1"/>
      <c r="H1148" s="19"/>
      <c r="I1148" s="1"/>
      <c r="J1148" s="1"/>
      <c r="K1148" s="19"/>
      <c r="L1148" s="1"/>
      <c r="M1148" s="9"/>
      <c r="N1148" s="1"/>
      <c r="O1148" s="1"/>
      <c r="P1148" s="1"/>
      <c r="Q1148" s="1"/>
      <c r="R1148" s="1"/>
    </row>
    <row r="1149" spans="2:18">
      <c r="B1149" s="1"/>
      <c r="C1149" s="9"/>
      <c r="D1149" s="9"/>
      <c r="E1149" s="9"/>
      <c r="F1149" s="1"/>
      <c r="G1149" s="1"/>
      <c r="H1149" s="19"/>
      <c r="I1149" s="1"/>
      <c r="J1149" s="1"/>
      <c r="K1149" s="19"/>
      <c r="L1149" s="1"/>
      <c r="M1149" s="9"/>
      <c r="N1149" s="1"/>
      <c r="O1149" s="1"/>
      <c r="P1149" s="1"/>
      <c r="Q1149" s="1"/>
      <c r="R1149" s="1"/>
    </row>
    <row r="1150" spans="2:18">
      <c r="B1150" s="1"/>
      <c r="C1150" s="9"/>
      <c r="D1150" s="9"/>
      <c r="E1150" s="9"/>
      <c r="F1150" s="1"/>
      <c r="G1150" s="1"/>
      <c r="H1150" s="19"/>
      <c r="I1150" s="1"/>
      <c r="J1150" s="1"/>
      <c r="K1150" s="19"/>
      <c r="L1150" s="1"/>
      <c r="M1150" s="9"/>
      <c r="N1150" s="1"/>
      <c r="O1150" s="1"/>
      <c r="P1150" s="1"/>
      <c r="Q1150" s="1"/>
      <c r="R1150" s="1"/>
    </row>
    <row r="1151" spans="2:18">
      <c r="B1151" s="1"/>
      <c r="C1151" s="9"/>
      <c r="D1151" s="9"/>
      <c r="E1151" s="9"/>
      <c r="F1151" s="1"/>
      <c r="G1151" s="1"/>
      <c r="H1151" s="19"/>
      <c r="I1151" s="1"/>
      <c r="J1151" s="1"/>
      <c r="K1151" s="19"/>
      <c r="L1151" s="1"/>
      <c r="M1151" s="9"/>
      <c r="N1151" s="1"/>
      <c r="O1151" s="1"/>
      <c r="P1151" s="1"/>
      <c r="Q1151" s="1"/>
      <c r="R1151" s="1"/>
    </row>
    <row r="1152" spans="2:18">
      <c r="B1152" s="1"/>
      <c r="C1152" s="9"/>
      <c r="D1152" s="9"/>
      <c r="E1152" s="9"/>
      <c r="F1152" s="1"/>
      <c r="G1152" s="1"/>
      <c r="H1152" s="19"/>
      <c r="I1152" s="1"/>
      <c r="J1152" s="1"/>
      <c r="K1152" s="19"/>
      <c r="L1152" s="1"/>
      <c r="M1152" s="9"/>
      <c r="N1152" s="1"/>
      <c r="O1152" s="1"/>
      <c r="P1152" s="1"/>
      <c r="Q1152" s="1"/>
      <c r="R1152" s="1"/>
    </row>
    <row r="1153" spans="2:18">
      <c r="B1153" s="1"/>
      <c r="C1153" s="9"/>
      <c r="D1153" s="9"/>
      <c r="E1153" s="9"/>
      <c r="F1153" s="1"/>
      <c r="G1153" s="1"/>
      <c r="H1153" s="19"/>
      <c r="I1153" s="1"/>
      <c r="J1153" s="1"/>
      <c r="K1153" s="19"/>
      <c r="L1153" s="1"/>
      <c r="M1153" s="9"/>
      <c r="N1153" s="1"/>
      <c r="O1153" s="1"/>
      <c r="P1153" s="1"/>
      <c r="Q1153" s="1"/>
      <c r="R1153" s="1"/>
    </row>
    <row r="1154" spans="2:18">
      <c r="B1154" s="1"/>
      <c r="C1154" s="9"/>
      <c r="D1154" s="9"/>
      <c r="E1154" s="9"/>
      <c r="F1154" s="1"/>
      <c r="G1154" s="1"/>
      <c r="H1154" s="19"/>
      <c r="I1154" s="1"/>
      <c r="J1154" s="1"/>
      <c r="K1154" s="19"/>
      <c r="L1154" s="1"/>
      <c r="M1154" s="9"/>
      <c r="N1154" s="1"/>
      <c r="O1154" s="1"/>
      <c r="P1154" s="1"/>
      <c r="Q1154" s="1"/>
      <c r="R1154" s="1"/>
    </row>
    <row r="1155" spans="2:18">
      <c r="B1155" s="1"/>
      <c r="C1155" s="9"/>
      <c r="D1155" s="9"/>
      <c r="E1155" s="9"/>
      <c r="F1155" s="1"/>
      <c r="G1155" s="1"/>
      <c r="H1155" s="19"/>
      <c r="I1155" s="1"/>
      <c r="J1155" s="1"/>
      <c r="K1155" s="19"/>
      <c r="L1155" s="1"/>
      <c r="M1155" s="9"/>
      <c r="N1155" s="1"/>
      <c r="O1155" s="1"/>
      <c r="P1155" s="1"/>
      <c r="Q1155" s="1"/>
      <c r="R1155" s="1"/>
    </row>
    <row r="1156" spans="2:18">
      <c r="B1156" s="1"/>
      <c r="C1156" s="9"/>
      <c r="D1156" s="9"/>
      <c r="E1156" s="9"/>
      <c r="F1156" s="1"/>
      <c r="G1156" s="1"/>
      <c r="H1156" s="19"/>
      <c r="I1156" s="1"/>
      <c r="J1156" s="1"/>
      <c r="K1156" s="19"/>
      <c r="L1156" s="1"/>
      <c r="M1156" s="9"/>
      <c r="N1156" s="1"/>
      <c r="O1156" s="1"/>
      <c r="P1156" s="1"/>
      <c r="Q1156" s="1"/>
      <c r="R1156" s="1"/>
    </row>
    <row r="1157" spans="2:18">
      <c r="B1157" s="1"/>
      <c r="C1157" s="9"/>
      <c r="D1157" s="9"/>
      <c r="E1157" s="9"/>
      <c r="F1157" s="1"/>
      <c r="G1157" s="1"/>
      <c r="H1157" s="19"/>
      <c r="I1157" s="1"/>
      <c r="J1157" s="1"/>
      <c r="K1157" s="19"/>
      <c r="L1157" s="1"/>
      <c r="M1157" s="9"/>
      <c r="N1157" s="1"/>
      <c r="O1157" s="1"/>
      <c r="P1157" s="1"/>
      <c r="Q1157" s="1"/>
      <c r="R1157" s="1"/>
    </row>
    <row r="1158" spans="2:18">
      <c r="B1158" s="1"/>
      <c r="C1158" s="9"/>
      <c r="D1158" s="9"/>
      <c r="E1158" s="9"/>
      <c r="F1158" s="1"/>
      <c r="G1158" s="1"/>
      <c r="H1158" s="19"/>
      <c r="I1158" s="1"/>
      <c r="J1158" s="1"/>
      <c r="K1158" s="19"/>
      <c r="L1158" s="1"/>
      <c r="M1158" s="9"/>
      <c r="N1158" s="1"/>
      <c r="O1158" s="1"/>
      <c r="P1158" s="1"/>
      <c r="Q1158" s="1"/>
      <c r="R1158" s="1"/>
    </row>
    <row r="1159" spans="2:18">
      <c r="B1159" s="1"/>
      <c r="C1159" s="9"/>
      <c r="D1159" s="9"/>
      <c r="E1159" s="9"/>
      <c r="F1159" s="1"/>
      <c r="G1159" s="1"/>
      <c r="H1159" s="19"/>
      <c r="I1159" s="1"/>
      <c r="J1159" s="1"/>
      <c r="K1159" s="19"/>
      <c r="L1159" s="1"/>
      <c r="M1159" s="9"/>
      <c r="N1159" s="1"/>
      <c r="O1159" s="1"/>
      <c r="P1159" s="1"/>
      <c r="Q1159" s="1"/>
      <c r="R1159" s="1"/>
    </row>
    <row r="1160" spans="2:18">
      <c r="B1160" s="1"/>
      <c r="C1160" s="9"/>
      <c r="D1160" s="9"/>
      <c r="E1160" s="9"/>
      <c r="F1160" s="1"/>
      <c r="G1160" s="1"/>
      <c r="H1160" s="19"/>
      <c r="I1160" s="1"/>
      <c r="J1160" s="1"/>
      <c r="K1160" s="19"/>
      <c r="L1160" s="1"/>
      <c r="M1160" s="9"/>
      <c r="N1160" s="1"/>
      <c r="O1160" s="1"/>
      <c r="P1160" s="1"/>
      <c r="Q1160" s="1"/>
      <c r="R1160" s="1"/>
    </row>
    <row r="1161" spans="2:18">
      <c r="B1161" s="1"/>
      <c r="C1161" s="9"/>
      <c r="D1161" s="9"/>
      <c r="E1161" s="9"/>
      <c r="F1161" s="1"/>
      <c r="G1161" s="1"/>
      <c r="H1161" s="19"/>
      <c r="I1161" s="1"/>
      <c r="J1161" s="1"/>
      <c r="K1161" s="19"/>
      <c r="L1161" s="1"/>
      <c r="M1161" s="9"/>
      <c r="N1161" s="1"/>
      <c r="O1161" s="1"/>
      <c r="P1161" s="1"/>
      <c r="Q1161" s="1"/>
      <c r="R1161" s="1"/>
    </row>
    <row r="1162" spans="2:18">
      <c r="B1162" s="1"/>
      <c r="C1162" s="9"/>
      <c r="D1162" s="9"/>
      <c r="E1162" s="9"/>
      <c r="F1162" s="1"/>
      <c r="G1162" s="1"/>
      <c r="H1162" s="19"/>
      <c r="I1162" s="1"/>
      <c r="J1162" s="1"/>
      <c r="K1162" s="19"/>
      <c r="L1162" s="1"/>
      <c r="M1162" s="9"/>
      <c r="N1162" s="1"/>
      <c r="O1162" s="1"/>
      <c r="P1162" s="1"/>
      <c r="Q1162" s="1"/>
      <c r="R1162" s="1"/>
    </row>
    <row r="1163" spans="2:18">
      <c r="B1163" s="1"/>
      <c r="C1163" s="9"/>
      <c r="D1163" s="9"/>
      <c r="E1163" s="9"/>
      <c r="F1163" s="1"/>
      <c r="G1163" s="1"/>
      <c r="H1163" s="19"/>
      <c r="I1163" s="1"/>
      <c r="J1163" s="1"/>
      <c r="K1163" s="19"/>
      <c r="L1163" s="1"/>
      <c r="M1163" s="9"/>
      <c r="N1163" s="1"/>
      <c r="O1163" s="1"/>
      <c r="P1163" s="1"/>
      <c r="Q1163" s="1"/>
      <c r="R1163" s="1"/>
    </row>
    <row r="1164" spans="2:18">
      <c r="B1164" s="1"/>
      <c r="C1164" s="9"/>
      <c r="D1164" s="9"/>
      <c r="E1164" s="9"/>
      <c r="F1164" s="1"/>
      <c r="G1164" s="1"/>
      <c r="H1164" s="19"/>
      <c r="I1164" s="1"/>
      <c r="J1164" s="1"/>
      <c r="K1164" s="19"/>
      <c r="L1164" s="1"/>
      <c r="M1164" s="9"/>
      <c r="N1164" s="1"/>
      <c r="O1164" s="1"/>
      <c r="P1164" s="1"/>
      <c r="Q1164" s="1"/>
      <c r="R1164" s="1"/>
    </row>
    <row r="1165" spans="2:18">
      <c r="B1165" s="1"/>
      <c r="C1165" s="9"/>
      <c r="D1165" s="9"/>
      <c r="E1165" s="9"/>
      <c r="F1165" s="1"/>
      <c r="G1165" s="1"/>
      <c r="H1165" s="19"/>
      <c r="I1165" s="1"/>
      <c r="J1165" s="1"/>
      <c r="K1165" s="19"/>
      <c r="L1165" s="1"/>
      <c r="M1165" s="9"/>
      <c r="N1165" s="1"/>
      <c r="O1165" s="1"/>
      <c r="P1165" s="1"/>
      <c r="Q1165" s="1"/>
      <c r="R1165" s="1"/>
    </row>
    <row r="1166" spans="2:18">
      <c r="B1166" s="1"/>
      <c r="C1166" s="9"/>
      <c r="D1166" s="9"/>
      <c r="E1166" s="9"/>
      <c r="F1166" s="1"/>
      <c r="G1166" s="1"/>
      <c r="H1166" s="19"/>
      <c r="I1166" s="1"/>
      <c r="J1166" s="1"/>
      <c r="K1166" s="19"/>
      <c r="L1166" s="1"/>
      <c r="M1166" s="9"/>
      <c r="N1166" s="1"/>
      <c r="O1166" s="1"/>
      <c r="P1166" s="1"/>
      <c r="Q1166" s="1"/>
      <c r="R1166" s="1"/>
    </row>
    <row r="1167" spans="2:18">
      <c r="B1167" s="1"/>
      <c r="C1167" s="9"/>
      <c r="D1167" s="9"/>
      <c r="E1167" s="9"/>
      <c r="F1167" s="1"/>
      <c r="G1167" s="1"/>
      <c r="H1167" s="19"/>
      <c r="I1167" s="1"/>
      <c r="J1167" s="1"/>
      <c r="K1167" s="19"/>
      <c r="L1167" s="1"/>
      <c r="M1167" s="9"/>
      <c r="N1167" s="1"/>
      <c r="O1167" s="1"/>
      <c r="P1167" s="1"/>
      <c r="Q1167" s="1"/>
      <c r="R1167" s="1"/>
    </row>
    <row r="1168" spans="2:18">
      <c r="B1168" s="1"/>
      <c r="C1168" s="9"/>
      <c r="D1168" s="9"/>
      <c r="E1168" s="9"/>
      <c r="F1168" s="1"/>
      <c r="G1168" s="1"/>
      <c r="H1168" s="19"/>
      <c r="I1168" s="1"/>
      <c r="J1168" s="1"/>
      <c r="K1168" s="19"/>
      <c r="L1168" s="1"/>
      <c r="M1168" s="9"/>
      <c r="N1168" s="1"/>
      <c r="O1168" s="1"/>
      <c r="P1168" s="1"/>
      <c r="Q1168" s="1"/>
      <c r="R1168" s="1"/>
    </row>
    <row r="1169" spans="2:18">
      <c r="B1169" s="1"/>
      <c r="C1169" s="9"/>
      <c r="D1169" s="9"/>
      <c r="E1169" s="9"/>
      <c r="F1169" s="1"/>
      <c r="G1169" s="1"/>
      <c r="H1169" s="19"/>
      <c r="I1169" s="1"/>
      <c r="J1169" s="1"/>
      <c r="K1169" s="19"/>
      <c r="L1169" s="1"/>
      <c r="M1169" s="9"/>
      <c r="N1169" s="1"/>
      <c r="O1169" s="1"/>
      <c r="P1169" s="1"/>
      <c r="Q1169" s="1"/>
      <c r="R1169" s="1"/>
    </row>
    <row r="1170" spans="2:18">
      <c r="B1170" s="1"/>
      <c r="C1170" s="9"/>
      <c r="D1170" s="9"/>
      <c r="E1170" s="9"/>
      <c r="F1170" s="1"/>
      <c r="G1170" s="1"/>
      <c r="H1170" s="19"/>
      <c r="I1170" s="1"/>
      <c r="J1170" s="1"/>
      <c r="K1170" s="19"/>
      <c r="L1170" s="1"/>
      <c r="M1170" s="9"/>
      <c r="N1170" s="1"/>
      <c r="O1170" s="1"/>
      <c r="P1170" s="1"/>
      <c r="Q1170" s="1"/>
      <c r="R1170" s="1"/>
    </row>
    <row r="1171" spans="2:18">
      <c r="B1171" s="1"/>
      <c r="C1171" s="9"/>
      <c r="D1171" s="9"/>
      <c r="E1171" s="9"/>
      <c r="F1171" s="1"/>
      <c r="G1171" s="1"/>
      <c r="H1171" s="19"/>
      <c r="I1171" s="1"/>
      <c r="J1171" s="1"/>
      <c r="K1171" s="19"/>
      <c r="L1171" s="1"/>
      <c r="M1171" s="9"/>
      <c r="N1171" s="1"/>
      <c r="O1171" s="1"/>
      <c r="P1171" s="1"/>
      <c r="Q1171" s="1"/>
      <c r="R1171" s="1"/>
    </row>
    <row r="1172" spans="2:18">
      <c r="B1172" s="1"/>
      <c r="C1172" s="9"/>
      <c r="D1172" s="9"/>
      <c r="E1172" s="9"/>
      <c r="F1172" s="1"/>
      <c r="G1172" s="1"/>
      <c r="H1172" s="19"/>
      <c r="I1172" s="1"/>
      <c r="J1172" s="1"/>
      <c r="K1172" s="19"/>
      <c r="L1172" s="1"/>
      <c r="M1172" s="9"/>
      <c r="N1172" s="1"/>
      <c r="O1172" s="1"/>
      <c r="P1172" s="1"/>
      <c r="Q1172" s="1"/>
      <c r="R1172" s="1"/>
    </row>
    <row r="1173" spans="2:18">
      <c r="B1173" s="1"/>
      <c r="C1173" s="9"/>
      <c r="D1173" s="9"/>
      <c r="E1173" s="9"/>
      <c r="F1173" s="1"/>
      <c r="G1173" s="1"/>
      <c r="H1173" s="19"/>
      <c r="I1173" s="1"/>
      <c r="J1173" s="1"/>
      <c r="K1173" s="19"/>
      <c r="L1173" s="1"/>
      <c r="M1173" s="9"/>
      <c r="N1173" s="1"/>
      <c r="O1173" s="1"/>
      <c r="P1173" s="1"/>
      <c r="Q1173" s="1"/>
      <c r="R1173" s="1"/>
    </row>
    <row r="1174" spans="2:18">
      <c r="B1174" s="1"/>
      <c r="C1174" s="9"/>
      <c r="D1174" s="9"/>
      <c r="E1174" s="9"/>
      <c r="F1174" s="1"/>
      <c r="G1174" s="1"/>
      <c r="H1174" s="19"/>
      <c r="I1174" s="1"/>
      <c r="J1174" s="1"/>
      <c r="K1174" s="19"/>
      <c r="L1174" s="1"/>
      <c r="M1174" s="9"/>
      <c r="N1174" s="1"/>
      <c r="O1174" s="1"/>
      <c r="P1174" s="1"/>
      <c r="Q1174" s="1"/>
      <c r="R1174" s="1"/>
    </row>
    <row r="1175" spans="2:18">
      <c r="B1175" s="1"/>
      <c r="C1175" s="9"/>
      <c r="D1175" s="9"/>
      <c r="E1175" s="9"/>
      <c r="F1175" s="1"/>
      <c r="G1175" s="1"/>
      <c r="H1175" s="19"/>
      <c r="I1175" s="1"/>
      <c r="J1175" s="1"/>
      <c r="K1175" s="19"/>
      <c r="L1175" s="1"/>
      <c r="M1175" s="9"/>
      <c r="N1175" s="1"/>
      <c r="O1175" s="1"/>
      <c r="P1175" s="1"/>
      <c r="Q1175" s="1"/>
      <c r="R1175" s="1"/>
    </row>
    <row r="1176" spans="2:18">
      <c r="B1176" s="1"/>
      <c r="C1176" s="9"/>
      <c r="D1176" s="9"/>
      <c r="E1176" s="9"/>
      <c r="F1176" s="1"/>
      <c r="G1176" s="1"/>
      <c r="H1176" s="19"/>
      <c r="I1176" s="1"/>
      <c r="J1176" s="1"/>
      <c r="K1176" s="19"/>
      <c r="L1176" s="1"/>
      <c r="M1176" s="9"/>
      <c r="N1176" s="1"/>
      <c r="O1176" s="1"/>
      <c r="P1176" s="1"/>
      <c r="Q1176" s="1"/>
      <c r="R1176" s="1"/>
    </row>
    <row r="1177" spans="2:18">
      <c r="B1177" s="1"/>
      <c r="C1177" s="9"/>
      <c r="D1177" s="9"/>
      <c r="E1177" s="9"/>
      <c r="F1177" s="1"/>
      <c r="G1177" s="1"/>
      <c r="H1177" s="19"/>
      <c r="I1177" s="1"/>
      <c r="J1177" s="1"/>
      <c r="K1177" s="19"/>
      <c r="L1177" s="1"/>
      <c r="M1177" s="9"/>
      <c r="N1177" s="1"/>
      <c r="O1177" s="1"/>
      <c r="P1177" s="1"/>
      <c r="Q1177" s="1"/>
      <c r="R1177" s="1"/>
    </row>
    <row r="1178" spans="2:18">
      <c r="B1178" s="1"/>
      <c r="C1178" s="9"/>
      <c r="D1178" s="9"/>
      <c r="E1178" s="9"/>
      <c r="F1178" s="1"/>
      <c r="G1178" s="1"/>
      <c r="H1178" s="19"/>
      <c r="I1178" s="1"/>
      <c r="J1178" s="1"/>
      <c r="K1178" s="19"/>
      <c r="L1178" s="1"/>
      <c r="M1178" s="9"/>
      <c r="N1178" s="1"/>
      <c r="O1178" s="1"/>
      <c r="P1178" s="1"/>
      <c r="Q1178" s="1"/>
      <c r="R1178" s="1"/>
    </row>
    <row r="1179" spans="2:18">
      <c r="B1179" s="1"/>
      <c r="C1179" s="9"/>
      <c r="D1179" s="9"/>
      <c r="E1179" s="9"/>
      <c r="F1179" s="1"/>
      <c r="G1179" s="1"/>
      <c r="H1179" s="19"/>
      <c r="I1179" s="1"/>
      <c r="J1179" s="1"/>
      <c r="K1179" s="19"/>
      <c r="L1179" s="1"/>
      <c r="M1179" s="9"/>
      <c r="N1179" s="1"/>
      <c r="O1179" s="1"/>
      <c r="P1179" s="1"/>
      <c r="Q1179" s="1"/>
      <c r="R1179" s="1"/>
    </row>
    <row r="1180" spans="2:18">
      <c r="B1180" s="1"/>
      <c r="C1180" s="9"/>
      <c r="D1180" s="9"/>
      <c r="E1180" s="9"/>
      <c r="F1180" s="1"/>
      <c r="G1180" s="1"/>
      <c r="H1180" s="19"/>
      <c r="I1180" s="1"/>
      <c r="J1180" s="1"/>
      <c r="K1180" s="19"/>
      <c r="L1180" s="1"/>
      <c r="M1180" s="9"/>
      <c r="N1180" s="1"/>
      <c r="O1180" s="1"/>
      <c r="P1180" s="1"/>
      <c r="Q1180" s="1"/>
      <c r="R1180" s="1"/>
    </row>
    <row r="1181" spans="2:18">
      <c r="B1181" s="1"/>
      <c r="C1181" s="9"/>
      <c r="D1181" s="9"/>
      <c r="E1181" s="9"/>
      <c r="F1181" s="1"/>
      <c r="G1181" s="1"/>
      <c r="H1181" s="19"/>
      <c r="I1181" s="1"/>
      <c r="J1181" s="1"/>
      <c r="K1181" s="19"/>
      <c r="L1181" s="1"/>
      <c r="M1181" s="9"/>
      <c r="N1181" s="1"/>
      <c r="O1181" s="1"/>
      <c r="P1181" s="1"/>
      <c r="Q1181" s="1"/>
      <c r="R1181" s="1"/>
    </row>
    <row r="1182" spans="2:18">
      <c r="B1182" s="1"/>
      <c r="C1182" s="9"/>
      <c r="D1182" s="9"/>
      <c r="E1182" s="9"/>
      <c r="F1182" s="1"/>
      <c r="G1182" s="1"/>
      <c r="H1182" s="19"/>
      <c r="I1182" s="1"/>
      <c r="J1182" s="1"/>
      <c r="K1182" s="19"/>
      <c r="L1182" s="1"/>
      <c r="M1182" s="9"/>
      <c r="N1182" s="1"/>
      <c r="O1182" s="1"/>
      <c r="P1182" s="1"/>
      <c r="Q1182" s="1"/>
      <c r="R1182" s="1"/>
    </row>
    <row r="1183" spans="2:18">
      <c r="B1183" s="1"/>
      <c r="C1183" s="9"/>
      <c r="D1183" s="9"/>
      <c r="E1183" s="9"/>
      <c r="F1183" s="1"/>
      <c r="G1183" s="1"/>
      <c r="H1183" s="19"/>
      <c r="I1183" s="1"/>
      <c r="J1183" s="1"/>
      <c r="K1183" s="19"/>
      <c r="L1183" s="1"/>
      <c r="M1183" s="9"/>
      <c r="N1183" s="1"/>
      <c r="O1183" s="1"/>
      <c r="P1183" s="1"/>
      <c r="Q1183" s="1"/>
      <c r="R1183" s="1"/>
    </row>
    <row r="1184" spans="2:18">
      <c r="B1184" s="1"/>
      <c r="C1184" s="9"/>
      <c r="D1184" s="9"/>
      <c r="E1184" s="9"/>
      <c r="F1184" s="1"/>
      <c r="G1184" s="1"/>
      <c r="H1184" s="19"/>
      <c r="I1184" s="1"/>
      <c r="J1184" s="1"/>
      <c r="K1184" s="19"/>
      <c r="L1184" s="1"/>
      <c r="M1184" s="9"/>
      <c r="N1184" s="1"/>
      <c r="O1184" s="1"/>
      <c r="P1184" s="1"/>
      <c r="Q1184" s="1"/>
      <c r="R1184" s="1"/>
    </row>
    <row r="1185" spans="2:18">
      <c r="B1185" s="1"/>
      <c r="C1185" s="9"/>
      <c r="D1185" s="9"/>
      <c r="E1185" s="9"/>
      <c r="F1185" s="1"/>
      <c r="G1185" s="1"/>
      <c r="H1185" s="19"/>
      <c r="I1185" s="1"/>
      <c r="J1185" s="1"/>
      <c r="K1185" s="19"/>
      <c r="L1185" s="1"/>
      <c r="M1185" s="9"/>
      <c r="N1185" s="1"/>
      <c r="O1185" s="1"/>
      <c r="P1185" s="1"/>
      <c r="Q1185" s="1"/>
      <c r="R1185" s="1"/>
    </row>
    <row r="1186" spans="2:18">
      <c r="B1186" s="1"/>
      <c r="C1186" s="9"/>
      <c r="D1186" s="9"/>
      <c r="E1186" s="9"/>
      <c r="F1186" s="1"/>
      <c r="G1186" s="1"/>
      <c r="H1186" s="19"/>
      <c r="I1186" s="1"/>
      <c r="J1186" s="1"/>
      <c r="K1186" s="19"/>
      <c r="L1186" s="1"/>
      <c r="M1186" s="9"/>
      <c r="N1186" s="1"/>
      <c r="O1186" s="1"/>
      <c r="P1186" s="1"/>
      <c r="Q1186" s="1"/>
      <c r="R1186" s="1"/>
    </row>
    <row r="1187" spans="2:18">
      <c r="B1187" s="1"/>
      <c r="C1187" s="9"/>
      <c r="D1187" s="9"/>
      <c r="E1187" s="9"/>
      <c r="F1187" s="1"/>
      <c r="G1187" s="1"/>
      <c r="H1187" s="19"/>
      <c r="I1187" s="1"/>
      <c r="J1187" s="1"/>
      <c r="K1187" s="19"/>
      <c r="L1187" s="1"/>
      <c r="M1187" s="9"/>
      <c r="N1187" s="1"/>
      <c r="O1187" s="1"/>
      <c r="P1187" s="1"/>
      <c r="Q1187" s="1"/>
      <c r="R1187" s="1"/>
    </row>
    <row r="1188" spans="2:18">
      <c r="B1188" s="1"/>
      <c r="C1188" s="9"/>
      <c r="D1188" s="9"/>
      <c r="E1188" s="9"/>
      <c r="F1188" s="1"/>
      <c r="G1188" s="1"/>
      <c r="H1188" s="19"/>
      <c r="I1188" s="1"/>
      <c r="J1188" s="1"/>
      <c r="K1188" s="19"/>
      <c r="L1188" s="1"/>
      <c r="M1188" s="9"/>
      <c r="N1188" s="1"/>
      <c r="O1188" s="1"/>
      <c r="P1188" s="1"/>
      <c r="Q1188" s="1"/>
      <c r="R1188" s="1"/>
    </row>
    <row r="1189" spans="2:18">
      <c r="B1189" s="1"/>
      <c r="C1189" s="9"/>
      <c r="D1189" s="9"/>
      <c r="E1189" s="9"/>
      <c r="F1189" s="1"/>
      <c r="G1189" s="1"/>
      <c r="H1189" s="19"/>
      <c r="I1189" s="1"/>
      <c r="J1189" s="1"/>
      <c r="K1189" s="19"/>
      <c r="L1189" s="1"/>
      <c r="M1189" s="9"/>
      <c r="N1189" s="1"/>
      <c r="O1189" s="1"/>
      <c r="P1189" s="1"/>
      <c r="Q1189" s="1"/>
      <c r="R1189" s="1"/>
    </row>
    <row r="1190" spans="2:18">
      <c r="B1190" s="1"/>
      <c r="C1190" s="9"/>
      <c r="D1190" s="9"/>
      <c r="E1190" s="9"/>
      <c r="F1190" s="1"/>
      <c r="G1190" s="1"/>
      <c r="H1190" s="19"/>
      <c r="I1190" s="1"/>
      <c r="J1190" s="1"/>
      <c r="K1190" s="19"/>
      <c r="L1190" s="1"/>
      <c r="M1190" s="9"/>
      <c r="N1190" s="1"/>
      <c r="O1190" s="1"/>
      <c r="P1190" s="1"/>
      <c r="Q1190" s="1"/>
      <c r="R1190" s="1"/>
    </row>
    <row r="1191" spans="2:18">
      <c r="B1191" s="1"/>
      <c r="C1191" s="9"/>
      <c r="D1191" s="9"/>
      <c r="E1191" s="9"/>
      <c r="F1191" s="1"/>
      <c r="G1191" s="1"/>
      <c r="H1191" s="19"/>
      <c r="I1191" s="1"/>
      <c r="J1191" s="1"/>
      <c r="K1191" s="19"/>
      <c r="L1191" s="1"/>
      <c r="M1191" s="9"/>
      <c r="N1191" s="1"/>
      <c r="O1191" s="1"/>
      <c r="P1191" s="1"/>
      <c r="Q1191" s="1"/>
      <c r="R1191" s="1"/>
    </row>
    <row r="1192" spans="2:18">
      <c r="B1192" s="1"/>
      <c r="C1192" s="9"/>
      <c r="D1192" s="9"/>
      <c r="E1192" s="9"/>
      <c r="F1192" s="1"/>
      <c r="G1192" s="1"/>
      <c r="H1192" s="19"/>
      <c r="I1192" s="1"/>
      <c r="J1192" s="1"/>
      <c r="K1192" s="19"/>
      <c r="L1192" s="1"/>
      <c r="M1192" s="9"/>
      <c r="N1192" s="1"/>
      <c r="O1192" s="1"/>
      <c r="P1192" s="1"/>
      <c r="Q1192" s="1"/>
      <c r="R1192" s="1"/>
    </row>
    <row r="1193" spans="2:18">
      <c r="B1193" s="1"/>
      <c r="C1193" s="9"/>
      <c r="D1193" s="9"/>
      <c r="E1193" s="9"/>
      <c r="F1193" s="1"/>
      <c r="G1193" s="1"/>
      <c r="H1193" s="19"/>
      <c r="I1193" s="1"/>
      <c r="J1193" s="1"/>
      <c r="K1193" s="19"/>
      <c r="L1193" s="1"/>
      <c r="M1193" s="9"/>
      <c r="N1193" s="1"/>
      <c r="O1193" s="1"/>
      <c r="P1193" s="1"/>
      <c r="Q1193" s="1"/>
      <c r="R1193" s="1"/>
    </row>
    <row r="1194" spans="2:18">
      <c r="B1194" s="1"/>
      <c r="C1194" s="9"/>
      <c r="D1194" s="9"/>
      <c r="E1194" s="9"/>
      <c r="F1194" s="1"/>
      <c r="G1194" s="1"/>
      <c r="H1194" s="19"/>
      <c r="I1194" s="1"/>
      <c r="J1194" s="1"/>
      <c r="K1194" s="19"/>
      <c r="L1194" s="1"/>
      <c r="M1194" s="9"/>
      <c r="N1194" s="1"/>
      <c r="O1194" s="1"/>
      <c r="P1194" s="1"/>
      <c r="Q1194" s="1"/>
      <c r="R1194" s="1"/>
    </row>
    <row r="1195" spans="2:18">
      <c r="B1195" s="1"/>
      <c r="C1195" s="9"/>
      <c r="D1195" s="9"/>
      <c r="E1195" s="9"/>
      <c r="F1195" s="1"/>
      <c r="G1195" s="1"/>
      <c r="H1195" s="19"/>
      <c r="I1195" s="1"/>
      <c r="J1195" s="1"/>
      <c r="K1195" s="19"/>
      <c r="L1195" s="1"/>
      <c r="M1195" s="9"/>
      <c r="N1195" s="1"/>
      <c r="O1195" s="1"/>
      <c r="P1195" s="1"/>
      <c r="Q1195" s="1"/>
      <c r="R1195" s="1"/>
    </row>
    <row r="1196" spans="2:18">
      <c r="B1196" s="1"/>
      <c r="C1196" s="9"/>
      <c r="D1196" s="9"/>
      <c r="E1196" s="9"/>
      <c r="F1196" s="1"/>
      <c r="G1196" s="1"/>
      <c r="H1196" s="19"/>
      <c r="I1196" s="1"/>
      <c r="J1196" s="1"/>
      <c r="K1196" s="19"/>
      <c r="L1196" s="1"/>
      <c r="M1196" s="9"/>
      <c r="N1196" s="1"/>
      <c r="O1196" s="1"/>
      <c r="P1196" s="1"/>
      <c r="Q1196" s="1"/>
      <c r="R1196" s="1"/>
    </row>
    <row r="1197" spans="2:18">
      <c r="B1197" s="1"/>
      <c r="C1197" s="9"/>
      <c r="D1197" s="9"/>
      <c r="E1197" s="9"/>
      <c r="F1197" s="1"/>
      <c r="G1197" s="1"/>
      <c r="H1197" s="19"/>
      <c r="I1197" s="1"/>
      <c r="J1197" s="1"/>
      <c r="K1197" s="19"/>
      <c r="L1197" s="1"/>
      <c r="M1197" s="9"/>
      <c r="N1197" s="1"/>
      <c r="O1197" s="1"/>
      <c r="P1197" s="1"/>
      <c r="Q1197" s="1"/>
      <c r="R1197" s="1"/>
    </row>
    <row r="1198" spans="2:18">
      <c r="B1198" s="1"/>
      <c r="C1198" s="9"/>
      <c r="D1198" s="9"/>
      <c r="E1198" s="9"/>
      <c r="F1198" s="1"/>
      <c r="G1198" s="1"/>
      <c r="H1198" s="19"/>
      <c r="I1198" s="1"/>
      <c r="J1198" s="1"/>
      <c r="K1198" s="19"/>
      <c r="L1198" s="1"/>
      <c r="M1198" s="9"/>
      <c r="N1198" s="1"/>
      <c r="O1198" s="1"/>
      <c r="P1198" s="1"/>
      <c r="Q1198" s="1"/>
      <c r="R1198" s="1"/>
    </row>
    <row r="1199" spans="2:18">
      <c r="B1199" s="1"/>
      <c r="C1199" s="9"/>
      <c r="D1199" s="9"/>
      <c r="E1199" s="9"/>
      <c r="F1199" s="1"/>
      <c r="G1199" s="1"/>
      <c r="H1199" s="19"/>
      <c r="I1199" s="1"/>
      <c r="J1199" s="1"/>
      <c r="K1199" s="19"/>
      <c r="L1199" s="1"/>
      <c r="M1199" s="9"/>
      <c r="N1199" s="1"/>
      <c r="O1199" s="1"/>
      <c r="P1199" s="1"/>
      <c r="Q1199" s="1"/>
      <c r="R1199" s="1"/>
    </row>
    <row r="1200" spans="2:18">
      <c r="B1200" s="1"/>
      <c r="C1200" s="9"/>
      <c r="D1200" s="9"/>
      <c r="E1200" s="9"/>
      <c r="F1200" s="1"/>
      <c r="G1200" s="1"/>
      <c r="H1200" s="19"/>
      <c r="I1200" s="1"/>
      <c r="J1200" s="1"/>
      <c r="K1200" s="19"/>
      <c r="L1200" s="1"/>
      <c r="M1200" s="9"/>
      <c r="N1200" s="1"/>
      <c r="O1200" s="1"/>
      <c r="P1200" s="1"/>
      <c r="Q1200" s="1"/>
      <c r="R1200" s="1"/>
    </row>
    <row r="1201" spans="2:18">
      <c r="B1201" s="1"/>
      <c r="C1201" s="9"/>
      <c r="D1201" s="9"/>
      <c r="E1201" s="9"/>
      <c r="F1201" s="1"/>
      <c r="G1201" s="1"/>
      <c r="H1201" s="19"/>
      <c r="I1201" s="1"/>
      <c r="J1201" s="1"/>
      <c r="K1201" s="19"/>
      <c r="L1201" s="1"/>
      <c r="M1201" s="9"/>
      <c r="N1201" s="1"/>
      <c r="O1201" s="1"/>
      <c r="P1201" s="1"/>
      <c r="Q1201" s="1"/>
      <c r="R1201" s="1"/>
    </row>
    <row r="1202" spans="2:18">
      <c r="B1202" s="1"/>
      <c r="C1202" s="9"/>
      <c r="D1202" s="9"/>
      <c r="E1202" s="9"/>
      <c r="F1202" s="1"/>
      <c r="G1202" s="1"/>
      <c r="H1202" s="19"/>
      <c r="I1202" s="1"/>
      <c r="J1202" s="1"/>
      <c r="K1202" s="19"/>
      <c r="L1202" s="1"/>
      <c r="M1202" s="9"/>
      <c r="N1202" s="1"/>
      <c r="O1202" s="1"/>
      <c r="P1202" s="1"/>
      <c r="Q1202" s="1"/>
      <c r="R1202" s="1"/>
    </row>
    <row r="1203" spans="2:18">
      <c r="B1203" s="1"/>
      <c r="C1203" s="9"/>
      <c r="D1203" s="9"/>
      <c r="E1203" s="9"/>
      <c r="F1203" s="1"/>
      <c r="G1203" s="1"/>
      <c r="H1203" s="19"/>
      <c r="I1203" s="1"/>
      <c r="J1203" s="1"/>
      <c r="K1203" s="19"/>
      <c r="L1203" s="1"/>
      <c r="M1203" s="9"/>
      <c r="N1203" s="1"/>
      <c r="O1203" s="1"/>
      <c r="P1203" s="1"/>
      <c r="Q1203" s="1"/>
      <c r="R1203" s="1"/>
    </row>
    <row r="1204" spans="2:18">
      <c r="B1204" s="1"/>
      <c r="C1204" s="9"/>
      <c r="D1204" s="9"/>
      <c r="E1204" s="9"/>
      <c r="F1204" s="1"/>
      <c r="G1204" s="1"/>
      <c r="H1204" s="19"/>
      <c r="I1204" s="1"/>
      <c r="J1204" s="1"/>
      <c r="K1204" s="19"/>
      <c r="L1204" s="1"/>
      <c r="M1204" s="9"/>
      <c r="N1204" s="1"/>
      <c r="O1204" s="1"/>
      <c r="P1204" s="1"/>
      <c r="Q1204" s="1"/>
      <c r="R1204" s="1"/>
    </row>
    <row r="1205" spans="2:18">
      <c r="B1205" s="1"/>
      <c r="C1205" s="9"/>
      <c r="D1205" s="9"/>
      <c r="E1205" s="9"/>
      <c r="F1205" s="1"/>
      <c r="G1205" s="1"/>
      <c r="H1205" s="19"/>
      <c r="I1205" s="1"/>
      <c r="J1205" s="1"/>
      <c r="K1205" s="19"/>
      <c r="L1205" s="1"/>
      <c r="M1205" s="9"/>
      <c r="N1205" s="1"/>
      <c r="O1205" s="1"/>
      <c r="P1205" s="1"/>
      <c r="Q1205" s="1"/>
      <c r="R1205" s="1"/>
    </row>
    <row r="1206" spans="2:18">
      <c r="B1206" s="1"/>
      <c r="C1206" s="9"/>
      <c r="D1206" s="9"/>
      <c r="E1206" s="9"/>
      <c r="F1206" s="1"/>
      <c r="G1206" s="1"/>
      <c r="H1206" s="19"/>
      <c r="I1206" s="1"/>
      <c r="J1206" s="1"/>
      <c r="K1206" s="19"/>
      <c r="L1206" s="1"/>
      <c r="M1206" s="9"/>
      <c r="N1206" s="1"/>
      <c r="O1206" s="1"/>
      <c r="P1206" s="1"/>
      <c r="Q1206" s="1"/>
      <c r="R1206" s="1"/>
    </row>
    <row r="1207" spans="2:18">
      <c r="B1207" s="1"/>
      <c r="C1207" s="9"/>
      <c r="D1207" s="9"/>
      <c r="E1207" s="9"/>
      <c r="F1207" s="1"/>
      <c r="G1207" s="1"/>
      <c r="H1207" s="19"/>
      <c r="I1207" s="1"/>
      <c r="J1207" s="1"/>
      <c r="K1207" s="19"/>
      <c r="L1207" s="1"/>
      <c r="M1207" s="9"/>
      <c r="N1207" s="1"/>
      <c r="O1207" s="1"/>
      <c r="P1207" s="1"/>
      <c r="Q1207" s="1"/>
      <c r="R1207" s="1"/>
    </row>
    <row r="1208" spans="2:18">
      <c r="B1208" s="1"/>
      <c r="C1208" s="9"/>
      <c r="D1208" s="9"/>
      <c r="E1208" s="9"/>
      <c r="F1208" s="1"/>
      <c r="G1208" s="1"/>
      <c r="H1208" s="19"/>
      <c r="I1208" s="1"/>
      <c r="J1208" s="1"/>
      <c r="K1208" s="19"/>
      <c r="L1208" s="1"/>
      <c r="M1208" s="9"/>
      <c r="N1208" s="1"/>
      <c r="O1208" s="1"/>
      <c r="P1208" s="1"/>
      <c r="Q1208" s="1"/>
      <c r="R1208" s="1"/>
    </row>
    <row r="1209" spans="2:18">
      <c r="B1209" s="1"/>
      <c r="C1209" s="9"/>
      <c r="D1209" s="9"/>
      <c r="E1209" s="9"/>
      <c r="F1209" s="1"/>
      <c r="G1209" s="1"/>
      <c r="H1209" s="19"/>
      <c r="I1209" s="1"/>
      <c r="J1209" s="1"/>
      <c r="K1209" s="19"/>
      <c r="L1209" s="1"/>
      <c r="M1209" s="9"/>
      <c r="N1209" s="1"/>
      <c r="O1209" s="1"/>
      <c r="P1209" s="1"/>
      <c r="Q1209" s="1"/>
      <c r="R1209" s="1"/>
    </row>
    <row r="1210" spans="2:18">
      <c r="B1210" s="1"/>
      <c r="C1210" s="9"/>
      <c r="D1210" s="9"/>
      <c r="E1210" s="9"/>
      <c r="F1210" s="1"/>
      <c r="G1210" s="1"/>
      <c r="H1210" s="19"/>
      <c r="I1210" s="1"/>
      <c r="J1210" s="1"/>
      <c r="K1210" s="19"/>
      <c r="L1210" s="1"/>
      <c r="M1210" s="9"/>
      <c r="N1210" s="1"/>
      <c r="O1210" s="1"/>
      <c r="P1210" s="1"/>
      <c r="Q1210" s="1"/>
      <c r="R1210" s="1"/>
    </row>
    <row r="1211" spans="2:18">
      <c r="B1211" s="1"/>
      <c r="C1211" s="9"/>
      <c r="D1211" s="9"/>
      <c r="E1211" s="9"/>
      <c r="F1211" s="1"/>
      <c r="G1211" s="1"/>
      <c r="H1211" s="19"/>
      <c r="I1211" s="1"/>
      <c r="J1211" s="1"/>
      <c r="K1211" s="19"/>
      <c r="L1211" s="1"/>
      <c r="M1211" s="9"/>
      <c r="N1211" s="1"/>
      <c r="O1211" s="1"/>
      <c r="P1211" s="1"/>
      <c r="Q1211" s="1"/>
      <c r="R1211" s="1"/>
    </row>
    <row r="1212" spans="2:18">
      <c r="B1212" s="1"/>
      <c r="C1212" s="9"/>
      <c r="D1212" s="9"/>
      <c r="E1212" s="9"/>
      <c r="F1212" s="1"/>
      <c r="G1212" s="1"/>
      <c r="H1212" s="19"/>
      <c r="I1212" s="1"/>
      <c r="J1212" s="1"/>
      <c r="K1212" s="19"/>
      <c r="L1212" s="1"/>
      <c r="M1212" s="9"/>
      <c r="N1212" s="1"/>
      <c r="O1212" s="1"/>
      <c r="P1212" s="1"/>
      <c r="Q1212" s="1"/>
      <c r="R1212" s="1"/>
    </row>
    <row r="1213" spans="2:18">
      <c r="B1213" s="1"/>
      <c r="C1213" s="9"/>
      <c r="D1213" s="9"/>
      <c r="E1213" s="9"/>
      <c r="F1213" s="1"/>
      <c r="G1213" s="1"/>
      <c r="H1213" s="19"/>
      <c r="I1213" s="1"/>
      <c r="J1213" s="1"/>
      <c r="K1213" s="19"/>
      <c r="L1213" s="1"/>
      <c r="M1213" s="9"/>
      <c r="N1213" s="1"/>
      <c r="O1213" s="1"/>
      <c r="P1213" s="1"/>
      <c r="Q1213" s="1"/>
      <c r="R1213" s="1"/>
    </row>
    <row r="1214" spans="2:18">
      <c r="B1214" s="1"/>
      <c r="C1214" s="9"/>
      <c r="D1214" s="9"/>
      <c r="E1214" s="9"/>
      <c r="F1214" s="1"/>
      <c r="G1214" s="1"/>
      <c r="H1214" s="19"/>
      <c r="I1214" s="1"/>
      <c r="J1214" s="1"/>
      <c r="K1214" s="19"/>
      <c r="L1214" s="1"/>
      <c r="M1214" s="9"/>
      <c r="N1214" s="1"/>
      <c r="O1214" s="1"/>
      <c r="P1214" s="1"/>
      <c r="Q1214" s="1"/>
      <c r="R1214" s="1"/>
    </row>
    <row r="1215" spans="2:18">
      <c r="B1215" s="1"/>
      <c r="C1215" s="9"/>
      <c r="D1215" s="9"/>
      <c r="E1215" s="9"/>
      <c r="F1215" s="1"/>
      <c r="G1215" s="1"/>
      <c r="H1215" s="19"/>
      <c r="I1215" s="1"/>
      <c r="J1215" s="1"/>
      <c r="K1215" s="19"/>
      <c r="L1215" s="1"/>
      <c r="M1215" s="9"/>
      <c r="N1215" s="1"/>
      <c r="O1215" s="1"/>
      <c r="P1215" s="1"/>
      <c r="Q1215" s="1"/>
      <c r="R1215" s="1"/>
    </row>
    <row r="1216" spans="2:18">
      <c r="B1216" s="1"/>
      <c r="C1216" s="9"/>
      <c r="D1216" s="9"/>
      <c r="E1216" s="9"/>
      <c r="F1216" s="1"/>
      <c r="G1216" s="1"/>
      <c r="H1216" s="19"/>
      <c r="I1216" s="1"/>
      <c r="J1216" s="1"/>
      <c r="K1216" s="19"/>
      <c r="L1216" s="1"/>
      <c r="M1216" s="9"/>
      <c r="N1216" s="1"/>
      <c r="O1216" s="1"/>
      <c r="P1216" s="1"/>
      <c r="Q1216" s="1"/>
      <c r="R1216" s="1"/>
    </row>
    <row r="1217" spans="2:18">
      <c r="B1217" s="1"/>
      <c r="C1217" s="9"/>
      <c r="D1217" s="9"/>
      <c r="E1217" s="9"/>
      <c r="F1217" s="1"/>
      <c r="G1217" s="1"/>
      <c r="H1217" s="19"/>
      <c r="I1217" s="1"/>
      <c r="J1217" s="1"/>
      <c r="K1217" s="19"/>
      <c r="L1217" s="1"/>
      <c r="M1217" s="9"/>
      <c r="N1217" s="1"/>
      <c r="O1217" s="1"/>
      <c r="P1217" s="1"/>
      <c r="Q1217" s="1"/>
      <c r="R1217" s="1"/>
    </row>
    <row r="1218" spans="2:18">
      <c r="B1218" s="1"/>
      <c r="C1218" s="9"/>
      <c r="D1218" s="9"/>
      <c r="E1218" s="9"/>
      <c r="F1218" s="1"/>
      <c r="G1218" s="1"/>
      <c r="H1218" s="19"/>
      <c r="I1218" s="1"/>
      <c r="J1218" s="1"/>
      <c r="K1218" s="19"/>
      <c r="L1218" s="1"/>
      <c r="M1218" s="9"/>
      <c r="N1218" s="1"/>
      <c r="O1218" s="1"/>
      <c r="P1218" s="1"/>
      <c r="Q1218" s="1"/>
      <c r="R1218" s="1"/>
    </row>
    <row r="1219" spans="2:18">
      <c r="B1219" s="1"/>
      <c r="C1219" s="9"/>
      <c r="D1219" s="9"/>
      <c r="E1219" s="9"/>
      <c r="F1219" s="1"/>
      <c r="G1219" s="1"/>
      <c r="H1219" s="19"/>
      <c r="I1219" s="1"/>
      <c r="J1219" s="1"/>
      <c r="K1219" s="19"/>
      <c r="L1219" s="1"/>
      <c r="M1219" s="9"/>
      <c r="N1219" s="1"/>
      <c r="O1219" s="1"/>
      <c r="P1219" s="1"/>
      <c r="Q1219" s="1"/>
      <c r="R1219" s="1"/>
    </row>
    <row r="1220" spans="2:18">
      <c r="B1220" s="1"/>
      <c r="C1220" s="9"/>
      <c r="D1220" s="9"/>
      <c r="E1220" s="9"/>
      <c r="F1220" s="1"/>
      <c r="G1220" s="1"/>
      <c r="H1220" s="19"/>
      <c r="I1220" s="1"/>
      <c r="J1220" s="1"/>
      <c r="K1220" s="19"/>
      <c r="L1220" s="1"/>
      <c r="M1220" s="9"/>
      <c r="N1220" s="1"/>
      <c r="O1220" s="1"/>
      <c r="P1220" s="1"/>
      <c r="Q1220" s="1"/>
      <c r="R1220" s="1"/>
    </row>
    <row r="1221" spans="2:18">
      <c r="B1221" s="1"/>
      <c r="C1221" s="9"/>
      <c r="D1221" s="9"/>
      <c r="E1221" s="9"/>
      <c r="F1221" s="1"/>
      <c r="G1221" s="1"/>
      <c r="H1221" s="19"/>
      <c r="I1221" s="1"/>
      <c r="J1221" s="1"/>
      <c r="K1221" s="19"/>
      <c r="L1221" s="1"/>
      <c r="M1221" s="9"/>
      <c r="N1221" s="1"/>
      <c r="O1221" s="1"/>
      <c r="P1221" s="1"/>
      <c r="Q1221" s="1"/>
      <c r="R1221" s="1"/>
    </row>
    <row r="1222" spans="2:18">
      <c r="B1222" s="1"/>
      <c r="C1222" s="9"/>
      <c r="D1222" s="9"/>
      <c r="E1222" s="9"/>
      <c r="F1222" s="1"/>
      <c r="G1222" s="1"/>
      <c r="H1222" s="19"/>
      <c r="I1222" s="1"/>
      <c r="J1222" s="1"/>
      <c r="K1222" s="19"/>
      <c r="L1222" s="1"/>
      <c r="M1222" s="9"/>
      <c r="N1222" s="1"/>
      <c r="O1222" s="1"/>
      <c r="P1222" s="1"/>
      <c r="Q1222" s="1"/>
      <c r="R1222" s="1"/>
    </row>
    <row r="1223" spans="2:18">
      <c r="B1223" s="1"/>
      <c r="C1223" s="9"/>
      <c r="D1223" s="9"/>
      <c r="E1223" s="9"/>
      <c r="F1223" s="1"/>
      <c r="G1223" s="1"/>
      <c r="H1223" s="19"/>
      <c r="I1223" s="1"/>
      <c r="J1223" s="1"/>
      <c r="K1223" s="19"/>
      <c r="L1223" s="1"/>
      <c r="M1223" s="9"/>
      <c r="N1223" s="1"/>
      <c r="O1223" s="1"/>
      <c r="P1223" s="1"/>
      <c r="Q1223" s="1"/>
      <c r="R1223" s="1"/>
    </row>
    <row r="1224" spans="2:18">
      <c r="B1224" s="1"/>
      <c r="C1224" s="9"/>
      <c r="D1224" s="9"/>
      <c r="E1224" s="9"/>
      <c r="F1224" s="1"/>
      <c r="G1224" s="1"/>
      <c r="H1224" s="19"/>
      <c r="I1224" s="1"/>
      <c r="J1224" s="1"/>
      <c r="K1224" s="19"/>
      <c r="L1224" s="1"/>
      <c r="M1224" s="9"/>
      <c r="N1224" s="1"/>
      <c r="O1224" s="1"/>
      <c r="P1224" s="1"/>
      <c r="Q1224" s="1"/>
      <c r="R1224" s="1"/>
    </row>
    <row r="1225" spans="2:18">
      <c r="B1225" s="1"/>
      <c r="C1225" s="9"/>
      <c r="D1225" s="9"/>
      <c r="E1225" s="9"/>
      <c r="F1225" s="1"/>
      <c r="G1225" s="1"/>
      <c r="H1225" s="19"/>
      <c r="I1225" s="1"/>
      <c r="J1225" s="1"/>
      <c r="K1225" s="19"/>
      <c r="L1225" s="1"/>
      <c r="M1225" s="9"/>
      <c r="N1225" s="1"/>
      <c r="O1225" s="1"/>
      <c r="P1225" s="1"/>
      <c r="Q1225" s="1"/>
      <c r="R1225" s="1"/>
    </row>
    <row r="1226" spans="2:18">
      <c r="B1226" s="1"/>
      <c r="C1226" s="9"/>
      <c r="D1226" s="9"/>
      <c r="E1226" s="9"/>
      <c r="F1226" s="1"/>
      <c r="G1226" s="1"/>
      <c r="H1226" s="19"/>
      <c r="I1226" s="1"/>
      <c r="J1226" s="1"/>
      <c r="K1226" s="19"/>
      <c r="L1226" s="1"/>
      <c r="M1226" s="9"/>
      <c r="N1226" s="1"/>
      <c r="O1226" s="1"/>
      <c r="P1226" s="1"/>
      <c r="Q1226" s="1"/>
      <c r="R1226" s="1"/>
    </row>
    <row r="1227" spans="2:18">
      <c r="B1227" s="1"/>
      <c r="C1227" s="9"/>
      <c r="D1227" s="9"/>
      <c r="E1227" s="9"/>
      <c r="F1227" s="1"/>
      <c r="G1227" s="1"/>
      <c r="H1227" s="19"/>
      <c r="I1227" s="1"/>
      <c r="J1227" s="1"/>
      <c r="K1227" s="19"/>
      <c r="L1227" s="1"/>
      <c r="M1227" s="9"/>
      <c r="N1227" s="1"/>
      <c r="O1227" s="1"/>
      <c r="P1227" s="1"/>
      <c r="Q1227" s="1"/>
      <c r="R1227" s="1"/>
    </row>
    <row r="1228" spans="2:18">
      <c r="B1228" s="1"/>
      <c r="C1228" s="9"/>
      <c r="D1228" s="9"/>
      <c r="E1228" s="9"/>
      <c r="F1228" s="1"/>
      <c r="G1228" s="1"/>
      <c r="H1228" s="19"/>
      <c r="I1228" s="1"/>
      <c r="J1228" s="1"/>
      <c r="K1228" s="19"/>
      <c r="L1228" s="1"/>
      <c r="M1228" s="9"/>
      <c r="N1228" s="1"/>
      <c r="O1228" s="1"/>
      <c r="P1228" s="1"/>
      <c r="Q1228" s="1"/>
      <c r="R1228" s="1"/>
    </row>
    <row r="1229" spans="2:18">
      <c r="B1229" s="1"/>
      <c r="C1229" s="9"/>
      <c r="D1229" s="9"/>
      <c r="E1229" s="9"/>
      <c r="F1229" s="1"/>
      <c r="G1229" s="1"/>
      <c r="H1229" s="19"/>
      <c r="I1229" s="1"/>
      <c r="J1229" s="1"/>
      <c r="K1229" s="19"/>
      <c r="L1229" s="1"/>
      <c r="M1229" s="9"/>
      <c r="N1229" s="1"/>
      <c r="O1229" s="1"/>
      <c r="P1229" s="1"/>
      <c r="Q1229" s="1"/>
      <c r="R1229" s="1"/>
    </row>
    <row r="1230" spans="2:18">
      <c r="B1230" s="1"/>
      <c r="C1230" s="9"/>
      <c r="D1230" s="9"/>
      <c r="E1230" s="9"/>
      <c r="F1230" s="1"/>
      <c r="G1230" s="1"/>
      <c r="H1230" s="19"/>
      <c r="I1230" s="1"/>
      <c r="J1230" s="1"/>
      <c r="K1230" s="19"/>
      <c r="L1230" s="1"/>
      <c r="M1230" s="9"/>
      <c r="N1230" s="1"/>
      <c r="O1230" s="1"/>
      <c r="P1230" s="1"/>
      <c r="Q1230" s="1"/>
      <c r="R1230" s="1"/>
    </row>
    <row r="1231" spans="2:18">
      <c r="B1231" s="1"/>
      <c r="C1231" s="9"/>
      <c r="D1231" s="9"/>
      <c r="E1231" s="9"/>
      <c r="F1231" s="1"/>
      <c r="G1231" s="1"/>
      <c r="H1231" s="19"/>
      <c r="I1231" s="1"/>
      <c r="J1231" s="1"/>
      <c r="K1231" s="19"/>
      <c r="L1231" s="1"/>
      <c r="M1231" s="9"/>
      <c r="N1231" s="1"/>
      <c r="O1231" s="1"/>
      <c r="P1231" s="1"/>
      <c r="Q1231" s="1"/>
      <c r="R1231" s="1"/>
    </row>
    <row r="1232" spans="2:18">
      <c r="B1232" s="1"/>
      <c r="C1232" s="9"/>
      <c r="D1232" s="9"/>
      <c r="E1232" s="9"/>
      <c r="F1232" s="1"/>
      <c r="G1232" s="1"/>
      <c r="H1232" s="19"/>
      <c r="I1232" s="1"/>
      <c r="J1232" s="1"/>
      <c r="K1232" s="19"/>
      <c r="L1232" s="1"/>
      <c r="M1232" s="9"/>
      <c r="N1232" s="1"/>
      <c r="O1232" s="1"/>
      <c r="P1232" s="1"/>
      <c r="Q1232" s="1"/>
      <c r="R1232" s="1"/>
    </row>
    <row r="1233" spans="2:18">
      <c r="B1233" s="1"/>
      <c r="C1233" s="9"/>
      <c r="D1233" s="9"/>
      <c r="E1233" s="9"/>
      <c r="F1233" s="1"/>
      <c r="G1233" s="1"/>
      <c r="H1233" s="19"/>
      <c r="I1233" s="1"/>
      <c r="J1233" s="1"/>
      <c r="K1233" s="19"/>
      <c r="L1233" s="1"/>
      <c r="M1233" s="9"/>
      <c r="N1233" s="1"/>
      <c r="O1233" s="1"/>
      <c r="P1233" s="1"/>
      <c r="Q1233" s="1"/>
      <c r="R1233" s="1"/>
    </row>
    <row r="1234" spans="2:18">
      <c r="B1234" s="1"/>
      <c r="C1234" s="9"/>
      <c r="D1234" s="9"/>
      <c r="E1234" s="9"/>
      <c r="F1234" s="1"/>
      <c r="G1234" s="1"/>
      <c r="H1234" s="19"/>
      <c r="I1234" s="1"/>
      <c r="J1234" s="1"/>
      <c r="K1234" s="19"/>
      <c r="L1234" s="1"/>
      <c r="M1234" s="9"/>
      <c r="N1234" s="1"/>
      <c r="O1234" s="1"/>
      <c r="P1234" s="1"/>
      <c r="Q1234" s="1"/>
      <c r="R1234" s="1"/>
    </row>
    <row r="1235" spans="2:18">
      <c r="B1235" s="1"/>
      <c r="C1235" s="9"/>
      <c r="D1235" s="9"/>
      <c r="E1235" s="9"/>
      <c r="F1235" s="1"/>
      <c r="G1235" s="1"/>
      <c r="H1235" s="19"/>
      <c r="I1235" s="1"/>
      <c r="J1235" s="1"/>
      <c r="K1235" s="19"/>
      <c r="L1235" s="1"/>
      <c r="M1235" s="9"/>
      <c r="N1235" s="1"/>
      <c r="O1235" s="1"/>
      <c r="P1235" s="1"/>
      <c r="Q1235" s="1"/>
      <c r="R1235" s="1"/>
    </row>
    <row r="1236" spans="2:18">
      <c r="B1236" s="1"/>
      <c r="C1236" s="9"/>
      <c r="D1236" s="9"/>
      <c r="E1236" s="9"/>
      <c r="F1236" s="1"/>
      <c r="G1236" s="1"/>
      <c r="H1236" s="19"/>
      <c r="I1236" s="1"/>
      <c r="J1236" s="1"/>
      <c r="K1236" s="19"/>
      <c r="L1236" s="1"/>
      <c r="M1236" s="9"/>
      <c r="N1236" s="1"/>
      <c r="O1236" s="1"/>
      <c r="P1236" s="1"/>
      <c r="Q1236" s="1"/>
      <c r="R1236" s="1"/>
    </row>
    <row r="1237" spans="2:18">
      <c r="B1237" s="1"/>
      <c r="C1237" s="9"/>
      <c r="D1237" s="9"/>
      <c r="E1237" s="9"/>
      <c r="F1237" s="1"/>
      <c r="G1237" s="1"/>
      <c r="H1237" s="19"/>
      <c r="I1237" s="1"/>
      <c r="J1237" s="1"/>
      <c r="K1237" s="19"/>
      <c r="L1237" s="1"/>
      <c r="M1237" s="9"/>
      <c r="N1237" s="1"/>
      <c r="O1237" s="1"/>
      <c r="P1237" s="1"/>
      <c r="Q1237" s="1"/>
      <c r="R1237" s="1"/>
    </row>
    <row r="1238" spans="2:18">
      <c r="B1238" s="1"/>
      <c r="C1238" s="9"/>
      <c r="D1238" s="9"/>
      <c r="E1238" s="9"/>
      <c r="F1238" s="1"/>
      <c r="G1238" s="1"/>
      <c r="H1238" s="19"/>
      <c r="I1238" s="1"/>
      <c r="J1238" s="1"/>
      <c r="K1238" s="19"/>
      <c r="L1238" s="1"/>
      <c r="M1238" s="9"/>
      <c r="N1238" s="1"/>
      <c r="O1238" s="1"/>
      <c r="P1238" s="1"/>
      <c r="Q1238" s="1"/>
      <c r="R1238" s="1"/>
    </row>
    <row r="1239" spans="2:18">
      <c r="B1239" s="1"/>
      <c r="C1239" s="9"/>
      <c r="D1239" s="9"/>
      <c r="E1239" s="9"/>
      <c r="F1239" s="1"/>
      <c r="G1239" s="1"/>
      <c r="H1239" s="19"/>
      <c r="I1239" s="1"/>
      <c r="J1239" s="1"/>
      <c r="K1239" s="19"/>
      <c r="L1239" s="1"/>
      <c r="M1239" s="9"/>
      <c r="N1239" s="1"/>
      <c r="O1239" s="1"/>
      <c r="P1239" s="1"/>
      <c r="Q1239" s="1"/>
      <c r="R1239" s="1"/>
    </row>
    <row r="1240" spans="2:18">
      <c r="B1240" s="1"/>
      <c r="C1240" s="9"/>
      <c r="D1240" s="9"/>
      <c r="E1240" s="9"/>
      <c r="F1240" s="1"/>
      <c r="G1240" s="1"/>
      <c r="H1240" s="19"/>
      <c r="I1240" s="1"/>
      <c r="J1240" s="1"/>
      <c r="K1240" s="19"/>
      <c r="L1240" s="1"/>
      <c r="M1240" s="9"/>
      <c r="N1240" s="1"/>
      <c r="O1240" s="1"/>
      <c r="P1240" s="1"/>
      <c r="Q1240" s="1"/>
      <c r="R1240" s="1"/>
    </row>
    <row r="1241" spans="2:18">
      <c r="B1241" s="1"/>
      <c r="C1241" s="9"/>
      <c r="D1241" s="9"/>
      <c r="E1241" s="9"/>
      <c r="F1241" s="1"/>
      <c r="G1241" s="1"/>
      <c r="H1241" s="19"/>
      <c r="I1241" s="1"/>
      <c r="J1241" s="1"/>
      <c r="K1241" s="19"/>
      <c r="L1241" s="1"/>
      <c r="M1241" s="9"/>
      <c r="N1241" s="1"/>
      <c r="O1241" s="1"/>
      <c r="P1241" s="1"/>
      <c r="Q1241" s="1"/>
      <c r="R1241" s="1"/>
    </row>
    <row r="1242" spans="2:18">
      <c r="B1242" s="1"/>
      <c r="C1242" s="9"/>
      <c r="D1242" s="9"/>
      <c r="E1242" s="9"/>
      <c r="F1242" s="1"/>
      <c r="G1242" s="1"/>
      <c r="H1242" s="19"/>
      <c r="I1242" s="1"/>
      <c r="J1242" s="1"/>
      <c r="K1242" s="19"/>
      <c r="L1242" s="1"/>
      <c r="M1242" s="9"/>
      <c r="N1242" s="1"/>
      <c r="O1242" s="1"/>
      <c r="P1242" s="1"/>
      <c r="Q1242" s="1"/>
      <c r="R1242" s="1"/>
    </row>
    <row r="1243" spans="2:18">
      <c r="B1243" s="1"/>
      <c r="C1243" s="9"/>
      <c r="D1243" s="9"/>
      <c r="E1243" s="9"/>
      <c r="F1243" s="1"/>
      <c r="G1243" s="1"/>
      <c r="H1243" s="19"/>
      <c r="I1243" s="1"/>
      <c r="J1243" s="1"/>
      <c r="K1243" s="19"/>
      <c r="L1243" s="1"/>
      <c r="M1243" s="9"/>
      <c r="N1243" s="1"/>
      <c r="O1243" s="1"/>
      <c r="P1243" s="1"/>
      <c r="Q1243" s="1"/>
      <c r="R1243" s="1"/>
    </row>
    <row r="1244" spans="2:18">
      <c r="B1244" s="1"/>
      <c r="C1244" s="9"/>
      <c r="D1244" s="9"/>
      <c r="E1244" s="9"/>
      <c r="F1244" s="1"/>
      <c r="G1244" s="1"/>
      <c r="H1244" s="19"/>
      <c r="I1244" s="1"/>
      <c r="J1244" s="1"/>
      <c r="K1244" s="19"/>
      <c r="L1244" s="1"/>
      <c r="M1244" s="9"/>
      <c r="N1244" s="1"/>
      <c r="O1244" s="1"/>
      <c r="P1244" s="1"/>
      <c r="Q1244" s="1"/>
      <c r="R1244" s="1"/>
    </row>
    <row r="1245" spans="2:18">
      <c r="B1245" s="1"/>
      <c r="C1245" s="9"/>
      <c r="D1245" s="9"/>
      <c r="E1245" s="9"/>
      <c r="F1245" s="1"/>
      <c r="G1245" s="1"/>
      <c r="H1245" s="19"/>
      <c r="I1245" s="1"/>
      <c r="J1245" s="1"/>
      <c r="K1245" s="19"/>
      <c r="L1245" s="1"/>
      <c r="M1245" s="9"/>
      <c r="N1245" s="1"/>
      <c r="O1245" s="1"/>
      <c r="P1245" s="1"/>
      <c r="Q1245" s="1"/>
      <c r="R1245" s="1"/>
    </row>
    <row r="1246" spans="2:18">
      <c r="B1246" s="1"/>
      <c r="C1246" s="9"/>
      <c r="D1246" s="9"/>
      <c r="E1246" s="9"/>
      <c r="F1246" s="1"/>
      <c r="G1246" s="1"/>
      <c r="H1246" s="19"/>
      <c r="I1246" s="1"/>
      <c r="J1246" s="1"/>
      <c r="K1246" s="19"/>
      <c r="L1246" s="1"/>
      <c r="M1246" s="9"/>
      <c r="N1246" s="1"/>
      <c r="O1246" s="1"/>
      <c r="P1246" s="1"/>
      <c r="Q1246" s="1"/>
      <c r="R1246" s="1"/>
    </row>
    <row r="1247" spans="2:18">
      <c r="B1247" s="1"/>
      <c r="C1247" s="9"/>
      <c r="D1247" s="9"/>
      <c r="E1247" s="9"/>
      <c r="F1247" s="1"/>
      <c r="G1247" s="1"/>
      <c r="H1247" s="19"/>
      <c r="I1247" s="1"/>
      <c r="J1247" s="1"/>
      <c r="K1247" s="19"/>
      <c r="L1247" s="1"/>
      <c r="M1247" s="9"/>
      <c r="N1247" s="1"/>
      <c r="O1247" s="1"/>
      <c r="P1247" s="1"/>
      <c r="Q1247" s="1"/>
      <c r="R1247" s="1"/>
    </row>
    <row r="1248" spans="2:18">
      <c r="B1248" s="1"/>
      <c r="C1248" s="9"/>
      <c r="D1248" s="9"/>
      <c r="E1248" s="9"/>
      <c r="F1248" s="1"/>
      <c r="G1248" s="1"/>
      <c r="H1248" s="19"/>
      <c r="I1248" s="1"/>
      <c r="J1248" s="1"/>
      <c r="K1248" s="19"/>
      <c r="L1248" s="1"/>
      <c r="M1248" s="9"/>
      <c r="N1248" s="1"/>
      <c r="O1248" s="1"/>
      <c r="P1248" s="1"/>
      <c r="Q1248" s="1"/>
      <c r="R1248" s="1"/>
    </row>
    <row r="1249" spans="2:18">
      <c r="B1249" s="1"/>
      <c r="C1249" s="9"/>
      <c r="D1249" s="9"/>
      <c r="E1249" s="9"/>
      <c r="F1249" s="1"/>
      <c r="G1249" s="1"/>
      <c r="H1249" s="19"/>
      <c r="I1249" s="1"/>
      <c r="J1249" s="1"/>
      <c r="K1249" s="19"/>
      <c r="L1249" s="1"/>
      <c r="M1249" s="9"/>
      <c r="N1249" s="1"/>
      <c r="O1249" s="1"/>
      <c r="P1249" s="1"/>
      <c r="Q1249" s="1"/>
      <c r="R1249" s="1"/>
    </row>
    <row r="1250" spans="2:18">
      <c r="B1250" s="1"/>
      <c r="C1250" s="9"/>
      <c r="D1250" s="9"/>
      <c r="E1250" s="9"/>
      <c r="F1250" s="1"/>
      <c r="G1250" s="1"/>
      <c r="H1250" s="19"/>
      <c r="I1250" s="1"/>
      <c r="J1250" s="1"/>
      <c r="K1250" s="19"/>
      <c r="L1250" s="1"/>
      <c r="M1250" s="9"/>
      <c r="N1250" s="1"/>
      <c r="O1250" s="1"/>
      <c r="P1250" s="1"/>
      <c r="Q1250" s="1"/>
      <c r="R1250" s="1"/>
    </row>
    <row r="1251" spans="2:18">
      <c r="B1251" s="1"/>
      <c r="C1251" s="9"/>
      <c r="D1251" s="9"/>
      <c r="E1251" s="9"/>
      <c r="F1251" s="1"/>
      <c r="G1251" s="1"/>
      <c r="H1251" s="19"/>
      <c r="I1251" s="1"/>
      <c r="J1251" s="1"/>
      <c r="K1251" s="19"/>
      <c r="L1251" s="1"/>
      <c r="M1251" s="9"/>
      <c r="N1251" s="1"/>
      <c r="O1251" s="1"/>
      <c r="P1251" s="1"/>
      <c r="Q1251" s="1"/>
      <c r="R1251" s="1"/>
    </row>
    <row r="1252" spans="2:18">
      <c r="B1252" s="1"/>
      <c r="C1252" s="9"/>
      <c r="D1252" s="9"/>
      <c r="E1252" s="9"/>
      <c r="F1252" s="1"/>
      <c r="G1252" s="1"/>
      <c r="H1252" s="19"/>
      <c r="I1252" s="1"/>
      <c r="J1252" s="1"/>
      <c r="K1252" s="19"/>
      <c r="L1252" s="1"/>
      <c r="M1252" s="9"/>
      <c r="N1252" s="1"/>
      <c r="O1252" s="1"/>
      <c r="P1252" s="1"/>
      <c r="Q1252" s="1"/>
      <c r="R1252" s="1"/>
    </row>
    <row r="1253" spans="2:18">
      <c r="B1253" s="1"/>
      <c r="C1253" s="9"/>
      <c r="D1253" s="9"/>
      <c r="E1253" s="9"/>
      <c r="F1253" s="1"/>
      <c r="G1253" s="1"/>
      <c r="H1253" s="19"/>
      <c r="I1253" s="1"/>
      <c r="J1253" s="1"/>
      <c r="K1253" s="19"/>
      <c r="L1253" s="1"/>
      <c r="M1253" s="9"/>
      <c r="N1253" s="1"/>
      <c r="O1253" s="1"/>
      <c r="P1253" s="1"/>
      <c r="Q1253" s="1"/>
      <c r="R1253" s="1"/>
    </row>
    <row r="1254" spans="2:18">
      <c r="B1254" s="1"/>
      <c r="C1254" s="9"/>
      <c r="D1254" s="9"/>
      <c r="E1254" s="9"/>
      <c r="F1254" s="1"/>
      <c r="G1254" s="1"/>
      <c r="H1254" s="19"/>
      <c r="I1254" s="1"/>
      <c r="J1254" s="1"/>
      <c r="K1254" s="19"/>
      <c r="L1254" s="1"/>
      <c r="M1254" s="9"/>
      <c r="N1254" s="1"/>
      <c r="O1254" s="1"/>
      <c r="P1254" s="1"/>
      <c r="Q1254" s="1"/>
      <c r="R1254" s="1"/>
    </row>
    <row r="1255" spans="2:18">
      <c r="B1255" s="1"/>
      <c r="C1255" s="9"/>
      <c r="D1255" s="9"/>
      <c r="E1255" s="9"/>
      <c r="F1255" s="1"/>
      <c r="G1255" s="1"/>
      <c r="H1255" s="19"/>
      <c r="I1255" s="1"/>
      <c r="J1255" s="1"/>
      <c r="K1255" s="19"/>
      <c r="L1255" s="1"/>
      <c r="M1255" s="9"/>
      <c r="N1255" s="1"/>
      <c r="O1255" s="1"/>
      <c r="P1255" s="1"/>
      <c r="Q1255" s="1"/>
      <c r="R1255" s="1"/>
    </row>
    <row r="1256" spans="2:18">
      <c r="B1256" s="1"/>
      <c r="C1256" s="9"/>
      <c r="D1256" s="9"/>
      <c r="E1256" s="9"/>
      <c r="F1256" s="1"/>
      <c r="G1256" s="1"/>
      <c r="H1256" s="19"/>
      <c r="I1256" s="1"/>
      <c r="J1256" s="1"/>
      <c r="K1256" s="19"/>
      <c r="L1256" s="1"/>
      <c r="M1256" s="9"/>
      <c r="N1256" s="1"/>
      <c r="O1256" s="1"/>
      <c r="P1256" s="1"/>
      <c r="Q1256" s="1"/>
      <c r="R1256" s="1"/>
    </row>
    <row r="1257" spans="2:18">
      <c r="B1257" s="1"/>
      <c r="C1257" s="9"/>
      <c r="D1257" s="9"/>
      <c r="E1257" s="9"/>
      <c r="F1257" s="1"/>
      <c r="G1257" s="1"/>
      <c r="H1257" s="19"/>
      <c r="I1257" s="1"/>
      <c r="J1257" s="1"/>
      <c r="K1257" s="19"/>
      <c r="L1257" s="1"/>
      <c r="M1257" s="9"/>
      <c r="N1257" s="1"/>
      <c r="O1257" s="1"/>
      <c r="P1257" s="1"/>
      <c r="Q1257" s="1"/>
      <c r="R1257" s="1"/>
    </row>
    <row r="1258" spans="2:18">
      <c r="B1258" s="1"/>
      <c r="C1258" s="9"/>
      <c r="D1258" s="9"/>
      <c r="E1258" s="9"/>
      <c r="F1258" s="1"/>
      <c r="G1258" s="1"/>
      <c r="H1258" s="19"/>
      <c r="I1258" s="1"/>
      <c r="J1258" s="1"/>
      <c r="K1258" s="19"/>
      <c r="L1258" s="1"/>
      <c r="M1258" s="9"/>
      <c r="N1258" s="1"/>
      <c r="O1258" s="1"/>
      <c r="P1258" s="1"/>
      <c r="Q1258" s="1"/>
      <c r="R1258" s="1"/>
    </row>
    <row r="1259" spans="2:18">
      <c r="B1259" s="1"/>
      <c r="C1259" s="9"/>
      <c r="D1259" s="9"/>
      <c r="E1259" s="9"/>
      <c r="F1259" s="1"/>
      <c r="G1259" s="1"/>
      <c r="H1259" s="19"/>
      <c r="I1259" s="1"/>
      <c r="J1259" s="1"/>
      <c r="K1259" s="19"/>
      <c r="L1259" s="1"/>
      <c r="M1259" s="9"/>
      <c r="N1259" s="1"/>
      <c r="O1259" s="1"/>
      <c r="P1259" s="1"/>
      <c r="Q1259" s="1"/>
      <c r="R1259" s="1"/>
    </row>
    <row r="1260" spans="2:18">
      <c r="B1260" s="1"/>
      <c r="C1260" s="9"/>
      <c r="D1260" s="9"/>
      <c r="E1260" s="9"/>
      <c r="F1260" s="1"/>
      <c r="G1260" s="1"/>
      <c r="H1260" s="19"/>
      <c r="I1260" s="1"/>
      <c r="J1260" s="1"/>
      <c r="K1260" s="19"/>
      <c r="L1260" s="1"/>
      <c r="M1260" s="9"/>
      <c r="N1260" s="1"/>
      <c r="O1260" s="1"/>
      <c r="P1260" s="1"/>
      <c r="Q1260" s="1"/>
      <c r="R1260" s="1"/>
    </row>
    <row r="1261" spans="2:18">
      <c r="B1261" s="1"/>
      <c r="C1261" s="9"/>
      <c r="D1261" s="9"/>
      <c r="E1261" s="9"/>
      <c r="F1261" s="1"/>
      <c r="G1261" s="1"/>
      <c r="H1261" s="19"/>
      <c r="I1261" s="1"/>
      <c r="J1261" s="1"/>
      <c r="K1261" s="19"/>
      <c r="L1261" s="1"/>
      <c r="M1261" s="9"/>
      <c r="N1261" s="1"/>
      <c r="O1261" s="1"/>
      <c r="P1261" s="1"/>
      <c r="Q1261" s="1"/>
      <c r="R1261" s="1"/>
    </row>
    <row r="1262" spans="2:18">
      <c r="B1262" s="1"/>
      <c r="C1262" s="9"/>
      <c r="D1262" s="9"/>
      <c r="E1262" s="9"/>
      <c r="F1262" s="1"/>
      <c r="G1262" s="1"/>
      <c r="H1262" s="19"/>
      <c r="I1262" s="1"/>
      <c r="J1262" s="1"/>
      <c r="K1262" s="19"/>
      <c r="L1262" s="1"/>
      <c r="M1262" s="9"/>
      <c r="N1262" s="1"/>
      <c r="O1262" s="1"/>
      <c r="P1262" s="1"/>
      <c r="Q1262" s="1"/>
      <c r="R1262" s="1"/>
    </row>
    <row r="1263" spans="2:18">
      <c r="B1263" s="1"/>
      <c r="C1263" s="9"/>
      <c r="D1263" s="9"/>
      <c r="E1263" s="9"/>
      <c r="F1263" s="1"/>
      <c r="G1263" s="1"/>
      <c r="H1263" s="19"/>
      <c r="I1263" s="1"/>
      <c r="J1263" s="1"/>
      <c r="K1263" s="19"/>
      <c r="L1263" s="1"/>
      <c r="M1263" s="9"/>
      <c r="N1263" s="1"/>
      <c r="O1263" s="1"/>
      <c r="P1263" s="1"/>
      <c r="Q1263" s="1"/>
      <c r="R1263" s="1"/>
    </row>
    <row r="1264" spans="2:18">
      <c r="B1264" s="1"/>
      <c r="C1264" s="9"/>
      <c r="D1264" s="9"/>
      <c r="E1264" s="9"/>
      <c r="F1264" s="1"/>
      <c r="G1264" s="1"/>
      <c r="H1264" s="19"/>
      <c r="I1264" s="1"/>
      <c r="J1264" s="1"/>
      <c r="K1264" s="19"/>
      <c r="L1264" s="1"/>
      <c r="M1264" s="9"/>
      <c r="N1264" s="1"/>
      <c r="O1264" s="1"/>
      <c r="P1264" s="1"/>
      <c r="Q1264" s="1"/>
      <c r="R1264" s="1"/>
    </row>
    <row r="1265" spans="2:18">
      <c r="B1265" s="1"/>
      <c r="C1265" s="9"/>
      <c r="D1265" s="9"/>
      <c r="E1265" s="9"/>
      <c r="F1265" s="1"/>
      <c r="G1265" s="1"/>
      <c r="H1265" s="19"/>
      <c r="I1265" s="1"/>
      <c r="J1265" s="1"/>
      <c r="K1265" s="19"/>
      <c r="L1265" s="1"/>
      <c r="M1265" s="9"/>
      <c r="N1265" s="1"/>
      <c r="O1265" s="1"/>
      <c r="P1265" s="1"/>
      <c r="Q1265" s="1"/>
      <c r="R1265" s="1"/>
    </row>
    <row r="1266" spans="2:18">
      <c r="B1266" s="1"/>
      <c r="C1266" s="9"/>
      <c r="D1266" s="9"/>
      <c r="E1266" s="9"/>
      <c r="F1266" s="1"/>
      <c r="G1266" s="1"/>
      <c r="H1266" s="19"/>
      <c r="I1266" s="1"/>
      <c r="J1266" s="1"/>
      <c r="K1266" s="19"/>
      <c r="L1266" s="1"/>
      <c r="M1266" s="9"/>
      <c r="N1266" s="1"/>
      <c r="O1266" s="1"/>
      <c r="P1266" s="1"/>
      <c r="Q1266" s="1"/>
      <c r="R1266" s="1"/>
    </row>
    <row r="1267" spans="2:18">
      <c r="B1267" s="1"/>
      <c r="C1267" s="9"/>
      <c r="D1267" s="9"/>
      <c r="E1267" s="9"/>
      <c r="F1267" s="1"/>
      <c r="G1267" s="1"/>
      <c r="H1267" s="19"/>
      <c r="I1267" s="1"/>
      <c r="J1267" s="1"/>
      <c r="K1267" s="19"/>
      <c r="L1267" s="1"/>
      <c r="M1267" s="9"/>
      <c r="N1267" s="1"/>
      <c r="O1267" s="1"/>
      <c r="P1267" s="1"/>
      <c r="Q1267" s="1"/>
      <c r="R1267" s="1"/>
    </row>
    <row r="1268" spans="2:18">
      <c r="B1268" s="1"/>
      <c r="C1268" s="9"/>
      <c r="D1268" s="9"/>
      <c r="E1268" s="9"/>
      <c r="F1268" s="1"/>
      <c r="G1268" s="1"/>
      <c r="H1268" s="19"/>
      <c r="I1268" s="1"/>
      <c r="J1268" s="1"/>
      <c r="K1268" s="19"/>
      <c r="L1268" s="1"/>
      <c r="M1268" s="9"/>
      <c r="N1268" s="1"/>
      <c r="O1268" s="1"/>
      <c r="P1268" s="1"/>
      <c r="Q1268" s="1"/>
      <c r="R1268" s="1"/>
    </row>
    <row r="1269" spans="2:18">
      <c r="B1269" s="1"/>
      <c r="C1269" s="9"/>
      <c r="D1269" s="9"/>
      <c r="E1269" s="9"/>
      <c r="F1269" s="1"/>
      <c r="G1269" s="1"/>
      <c r="H1269" s="19"/>
      <c r="I1269" s="1"/>
      <c r="J1269" s="1"/>
      <c r="K1269" s="19"/>
      <c r="L1269" s="1"/>
      <c r="M1269" s="9"/>
      <c r="N1269" s="1"/>
      <c r="O1269" s="1"/>
      <c r="P1269" s="1"/>
      <c r="Q1269" s="1"/>
      <c r="R1269" s="1"/>
    </row>
    <row r="1270" spans="2:18">
      <c r="B1270" s="1"/>
      <c r="C1270" s="9"/>
      <c r="D1270" s="9"/>
      <c r="E1270" s="9"/>
      <c r="F1270" s="1"/>
      <c r="G1270" s="1"/>
      <c r="H1270" s="19"/>
      <c r="I1270" s="1"/>
      <c r="J1270" s="1"/>
      <c r="K1270" s="19"/>
      <c r="L1270" s="1"/>
      <c r="M1270" s="9"/>
      <c r="N1270" s="1"/>
      <c r="O1270" s="1"/>
      <c r="P1270" s="1"/>
      <c r="Q1270" s="1"/>
      <c r="R1270" s="1"/>
    </row>
    <row r="1271" spans="2:18">
      <c r="B1271" s="1"/>
      <c r="C1271" s="9"/>
      <c r="D1271" s="9"/>
      <c r="E1271" s="9"/>
      <c r="F1271" s="1"/>
      <c r="G1271" s="1"/>
      <c r="H1271" s="19"/>
      <c r="I1271" s="1"/>
      <c r="J1271" s="1"/>
      <c r="K1271" s="19"/>
      <c r="L1271" s="1"/>
      <c r="M1271" s="9"/>
      <c r="N1271" s="1"/>
      <c r="O1271" s="1"/>
      <c r="P1271" s="1"/>
      <c r="Q1271" s="1"/>
      <c r="R1271" s="1"/>
    </row>
    <row r="1272" spans="2:18">
      <c r="B1272" s="1"/>
      <c r="C1272" s="9"/>
      <c r="D1272" s="9"/>
      <c r="E1272" s="9"/>
      <c r="F1272" s="1"/>
      <c r="G1272" s="1"/>
      <c r="H1272" s="19"/>
      <c r="I1272" s="1"/>
      <c r="J1272" s="1"/>
      <c r="K1272" s="19"/>
      <c r="L1272" s="1"/>
      <c r="M1272" s="9"/>
      <c r="N1272" s="1"/>
      <c r="O1272" s="1"/>
      <c r="P1272" s="1"/>
      <c r="Q1272" s="1"/>
      <c r="R1272" s="1"/>
    </row>
    <row r="1273" spans="2:18">
      <c r="B1273" s="1"/>
      <c r="C1273" s="9"/>
      <c r="D1273" s="9"/>
      <c r="E1273" s="9"/>
      <c r="F1273" s="1"/>
      <c r="G1273" s="1"/>
      <c r="H1273" s="19"/>
      <c r="I1273" s="1"/>
      <c r="J1273" s="1"/>
      <c r="K1273" s="19"/>
      <c r="L1273" s="1"/>
      <c r="M1273" s="9"/>
      <c r="N1273" s="1"/>
      <c r="O1273" s="1"/>
      <c r="P1273" s="1"/>
      <c r="Q1273" s="1"/>
      <c r="R1273" s="1"/>
    </row>
    <row r="1274" spans="2:18">
      <c r="B1274" s="1"/>
      <c r="C1274" s="9"/>
      <c r="D1274" s="9"/>
      <c r="E1274" s="9"/>
      <c r="F1274" s="1"/>
      <c r="G1274" s="1"/>
      <c r="H1274" s="19"/>
      <c r="I1274" s="1"/>
      <c r="J1274" s="1"/>
      <c r="K1274" s="19"/>
      <c r="L1274" s="1"/>
      <c r="M1274" s="9"/>
      <c r="N1274" s="1"/>
      <c r="O1274" s="1"/>
      <c r="P1274" s="1"/>
      <c r="Q1274" s="1"/>
      <c r="R1274" s="1"/>
    </row>
    <row r="1275" spans="2:18">
      <c r="B1275" s="1"/>
      <c r="C1275" s="9"/>
      <c r="D1275" s="9"/>
      <c r="E1275" s="9"/>
      <c r="F1275" s="1"/>
      <c r="G1275" s="1"/>
      <c r="H1275" s="19"/>
      <c r="I1275" s="1"/>
      <c r="J1275" s="1"/>
      <c r="K1275" s="19"/>
      <c r="L1275" s="1"/>
      <c r="M1275" s="9"/>
      <c r="N1275" s="1"/>
      <c r="O1275" s="1"/>
      <c r="P1275" s="1"/>
      <c r="Q1275" s="1"/>
      <c r="R1275" s="1"/>
    </row>
    <row r="1276" spans="2:18">
      <c r="B1276" s="1"/>
      <c r="C1276" s="9"/>
      <c r="D1276" s="9"/>
      <c r="E1276" s="9"/>
      <c r="F1276" s="1"/>
      <c r="G1276" s="1"/>
      <c r="H1276" s="19"/>
      <c r="I1276" s="1"/>
      <c r="J1276" s="1"/>
      <c r="K1276" s="19"/>
      <c r="L1276" s="1"/>
      <c r="M1276" s="9"/>
      <c r="N1276" s="1"/>
      <c r="O1276" s="1"/>
      <c r="P1276" s="1"/>
      <c r="Q1276" s="1"/>
      <c r="R1276" s="1"/>
    </row>
    <row r="1277" spans="2:18">
      <c r="B1277" s="1"/>
      <c r="C1277" s="9"/>
      <c r="D1277" s="9"/>
      <c r="E1277" s="9"/>
      <c r="F1277" s="1"/>
      <c r="G1277" s="1"/>
      <c r="H1277" s="19"/>
      <c r="I1277" s="1"/>
      <c r="J1277" s="1"/>
      <c r="K1277" s="19"/>
      <c r="L1277" s="1"/>
      <c r="M1277" s="9"/>
      <c r="N1277" s="1"/>
      <c r="O1277" s="1"/>
      <c r="P1277" s="1"/>
      <c r="Q1277" s="1"/>
      <c r="R1277" s="1"/>
    </row>
    <row r="1278" spans="2:18">
      <c r="B1278" s="1"/>
      <c r="C1278" s="9"/>
      <c r="D1278" s="9"/>
      <c r="E1278" s="9"/>
      <c r="F1278" s="1"/>
      <c r="G1278" s="1"/>
      <c r="H1278" s="19"/>
      <c r="I1278" s="1"/>
      <c r="J1278" s="1"/>
      <c r="K1278" s="19"/>
      <c r="L1278" s="1"/>
      <c r="M1278" s="9"/>
      <c r="N1278" s="1"/>
      <c r="O1278" s="1"/>
      <c r="P1278" s="1"/>
      <c r="Q1278" s="1"/>
      <c r="R1278" s="1"/>
    </row>
    <row r="1279" spans="2:18">
      <c r="B1279" s="1"/>
      <c r="C1279" s="9"/>
      <c r="D1279" s="9"/>
      <c r="E1279" s="9"/>
      <c r="F1279" s="1"/>
      <c r="G1279" s="1"/>
      <c r="H1279" s="19"/>
      <c r="I1279" s="1"/>
      <c r="J1279" s="1"/>
      <c r="K1279" s="19"/>
      <c r="L1279" s="1"/>
      <c r="M1279" s="9"/>
      <c r="N1279" s="1"/>
      <c r="O1279" s="1"/>
      <c r="P1279" s="1"/>
      <c r="Q1279" s="1"/>
      <c r="R1279" s="1"/>
    </row>
    <row r="1280" spans="2:18">
      <c r="B1280" s="1"/>
      <c r="C1280" s="9"/>
      <c r="D1280" s="9"/>
      <c r="E1280" s="9"/>
      <c r="F1280" s="1"/>
      <c r="G1280" s="1"/>
      <c r="H1280" s="19"/>
      <c r="I1280" s="1"/>
      <c r="J1280" s="1"/>
      <c r="K1280" s="19"/>
      <c r="L1280" s="1"/>
      <c r="M1280" s="9"/>
      <c r="N1280" s="1"/>
      <c r="O1280" s="1"/>
      <c r="P1280" s="1"/>
      <c r="Q1280" s="1"/>
      <c r="R1280" s="1"/>
    </row>
    <row r="1281" spans="2:18">
      <c r="B1281" s="1"/>
      <c r="C1281" s="9"/>
      <c r="D1281" s="9"/>
      <c r="E1281" s="9"/>
      <c r="F1281" s="1"/>
      <c r="G1281" s="1"/>
      <c r="H1281" s="19"/>
      <c r="I1281" s="1"/>
      <c r="J1281" s="1"/>
      <c r="K1281" s="19"/>
      <c r="L1281" s="1"/>
      <c r="M1281" s="9"/>
      <c r="N1281" s="1"/>
      <c r="O1281" s="1"/>
      <c r="P1281" s="1"/>
      <c r="Q1281" s="1"/>
      <c r="R1281" s="1"/>
    </row>
    <row r="1282" spans="2:18">
      <c r="B1282" s="1"/>
      <c r="C1282" s="9"/>
      <c r="D1282" s="9"/>
      <c r="E1282" s="9"/>
      <c r="F1282" s="1"/>
      <c r="G1282" s="1"/>
      <c r="H1282" s="19"/>
      <c r="I1282" s="1"/>
      <c r="J1282" s="1"/>
      <c r="K1282" s="19"/>
      <c r="L1282" s="1"/>
      <c r="M1282" s="9"/>
      <c r="N1282" s="1"/>
      <c r="O1282" s="1"/>
      <c r="P1282" s="1"/>
      <c r="Q1282" s="1"/>
      <c r="R1282" s="1"/>
    </row>
    <row r="1283" spans="2:18">
      <c r="B1283" s="1"/>
      <c r="C1283" s="9"/>
      <c r="D1283" s="9"/>
      <c r="E1283" s="9"/>
      <c r="F1283" s="1"/>
      <c r="G1283" s="1"/>
      <c r="H1283" s="19"/>
      <c r="I1283" s="1"/>
      <c r="J1283" s="1"/>
      <c r="K1283" s="19"/>
      <c r="L1283" s="1"/>
      <c r="M1283" s="9"/>
      <c r="N1283" s="1"/>
      <c r="O1283" s="1"/>
      <c r="P1283" s="1"/>
      <c r="Q1283" s="1"/>
      <c r="R1283" s="1"/>
    </row>
    <row r="1284" spans="2:18">
      <c r="B1284" s="1"/>
      <c r="C1284" s="9"/>
      <c r="D1284" s="9"/>
      <c r="E1284" s="9"/>
      <c r="F1284" s="1"/>
      <c r="G1284" s="1"/>
      <c r="H1284" s="19"/>
      <c r="I1284" s="1"/>
      <c r="J1284" s="1"/>
      <c r="K1284" s="19"/>
      <c r="L1284" s="1"/>
      <c r="M1284" s="9"/>
      <c r="N1284" s="1"/>
      <c r="O1284" s="1"/>
      <c r="P1284" s="1"/>
      <c r="Q1284" s="1"/>
      <c r="R1284" s="1"/>
    </row>
    <row r="1285" spans="2:18">
      <c r="B1285" s="1"/>
      <c r="C1285" s="9"/>
      <c r="D1285" s="9"/>
      <c r="E1285" s="9"/>
      <c r="F1285" s="1"/>
      <c r="G1285" s="1"/>
      <c r="H1285" s="19"/>
      <c r="I1285" s="1"/>
      <c r="J1285" s="1"/>
      <c r="K1285" s="19"/>
      <c r="L1285" s="1"/>
      <c r="M1285" s="9"/>
      <c r="N1285" s="1"/>
      <c r="O1285" s="1"/>
      <c r="P1285" s="1"/>
      <c r="Q1285" s="1"/>
      <c r="R1285" s="1"/>
    </row>
    <row r="1286" spans="2:18">
      <c r="B1286" s="1"/>
      <c r="C1286" s="9"/>
      <c r="D1286" s="9"/>
      <c r="E1286" s="9"/>
      <c r="F1286" s="1"/>
      <c r="G1286" s="1"/>
      <c r="H1286" s="19"/>
      <c r="I1286" s="1"/>
      <c r="J1286" s="1"/>
      <c r="K1286" s="19"/>
      <c r="L1286" s="1"/>
      <c r="M1286" s="9"/>
      <c r="N1286" s="1"/>
      <c r="O1286" s="1"/>
      <c r="P1286" s="1"/>
      <c r="Q1286" s="1"/>
      <c r="R1286" s="1"/>
    </row>
    <row r="1287" spans="2:18">
      <c r="B1287" s="1"/>
      <c r="C1287" s="9"/>
      <c r="D1287" s="9"/>
      <c r="E1287" s="9"/>
      <c r="F1287" s="1"/>
      <c r="G1287" s="1"/>
      <c r="H1287" s="19"/>
      <c r="I1287" s="1"/>
      <c r="J1287" s="1"/>
      <c r="K1287" s="19"/>
      <c r="L1287" s="1"/>
      <c r="M1287" s="9"/>
      <c r="N1287" s="1"/>
      <c r="O1287" s="1"/>
      <c r="P1287" s="1"/>
      <c r="Q1287" s="1"/>
      <c r="R1287" s="1"/>
    </row>
    <row r="1288" spans="2:18">
      <c r="B1288" s="1"/>
      <c r="C1288" s="9"/>
      <c r="D1288" s="9"/>
      <c r="E1288" s="9"/>
      <c r="F1288" s="1"/>
      <c r="G1288" s="1"/>
      <c r="H1288" s="19"/>
      <c r="I1288" s="1"/>
      <c r="J1288" s="1"/>
      <c r="K1288" s="19"/>
      <c r="L1288" s="1"/>
      <c r="M1288" s="9"/>
      <c r="N1288" s="1"/>
      <c r="O1288" s="1"/>
      <c r="P1288" s="1"/>
      <c r="Q1288" s="1"/>
      <c r="R1288" s="1"/>
    </row>
    <row r="1289" spans="2:18">
      <c r="B1289" s="1"/>
      <c r="C1289" s="9"/>
      <c r="D1289" s="9"/>
      <c r="E1289" s="9"/>
      <c r="F1289" s="1"/>
      <c r="G1289" s="1"/>
      <c r="H1289" s="19"/>
      <c r="I1289" s="1"/>
      <c r="J1289" s="1"/>
      <c r="K1289" s="19"/>
      <c r="L1289" s="1"/>
      <c r="M1289" s="9"/>
      <c r="N1289" s="1"/>
      <c r="O1289" s="1"/>
      <c r="P1289" s="1"/>
      <c r="Q1289" s="1"/>
      <c r="R1289" s="1"/>
    </row>
    <row r="1290" spans="2:18">
      <c r="B1290" s="1"/>
      <c r="C1290" s="9"/>
      <c r="D1290" s="9"/>
      <c r="E1290" s="9"/>
      <c r="F1290" s="1"/>
      <c r="G1290" s="1"/>
      <c r="H1290" s="19"/>
      <c r="I1290" s="1"/>
      <c r="J1290" s="1"/>
      <c r="K1290" s="19"/>
      <c r="L1290" s="1"/>
      <c r="M1290" s="9"/>
      <c r="N1290" s="1"/>
      <c r="O1290" s="1"/>
      <c r="P1290" s="1"/>
      <c r="Q1290" s="1"/>
      <c r="R1290" s="1"/>
    </row>
    <row r="1291" spans="2:18">
      <c r="B1291" s="1"/>
      <c r="C1291" s="9"/>
      <c r="D1291" s="9"/>
      <c r="E1291" s="9"/>
      <c r="F1291" s="1"/>
      <c r="G1291" s="1"/>
      <c r="H1291" s="19"/>
      <c r="I1291" s="1"/>
      <c r="J1291" s="1"/>
      <c r="K1291" s="19"/>
      <c r="L1291" s="1"/>
      <c r="M1291" s="9"/>
      <c r="N1291" s="1"/>
      <c r="O1291" s="1"/>
      <c r="P1291" s="1"/>
      <c r="Q1291" s="1"/>
      <c r="R1291" s="1"/>
    </row>
    <row r="1292" spans="2:18">
      <c r="B1292" s="1"/>
      <c r="C1292" s="9"/>
      <c r="D1292" s="9"/>
      <c r="E1292" s="9"/>
      <c r="F1292" s="1"/>
      <c r="G1292" s="1"/>
      <c r="H1292" s="19"/>
      <c r="I1292" s="1"/>
      <c r="J1292" s="1"/>
      <c r="K1292" s="19"/>
      <c r="L1292" s="1"/>
      <c r="M1292" s="9"/>
      <c r="N1292" s="1"/>
      <c r="O1292" s="1"/>
      <c r="P1292" s="1"/>
      <c r="Q1292" s="1"/>
      <c r="R1292" s="1"/>
    </row>
    <row r="1293" spans="2:18">
      <c r="B1293" s="1"/>
      <c r="C1293" s="9"/>
      <c r="D1293" s="9"/>
      <c r="E1293" s="9"/>
      <c r="F1293" s="1"/>
      <c r="G1293" s="1"/>
      <c r="H1293" s="19"/>
      <c r="I1293" s="1"/>
      <c r="J1293" s="1"/>
      <c r="K1293" s="19"/>
      <c r="L1293" s="1"/>
      <c r="M1293" s="9"/>
      <c r="N1293" s="1"/>
      <c r="O1293" s="1"/>
      <c r="P1293" s="1"/>
      <c r="Q1293" s="1"/>
      <c r="R1293" s="1"/>
    </row>
    <row r="1294" spans="2:18">
      <c r="B1294" s="1"/>
      <c r="C1294" s="9"/>
      <c r="D1294" s="9"/>
      <c r="E1294" s="9"/>
      <c r="F1294" s="1"/>
      <c r="G1294" s="1"/>
      <c r="H1294" s="19"/>
      <c r="I1294" s="1"/>
      <c r="J1294" s="1"/>
      <c r="K1294" s="19"/>
      <c r="L1294" s="1"/>
      <c r="M1294" s="9"/>
      <c r="N1294" s="1"/>
      <c r="O1294" s="1"/>
      <c r="P1294" s="1"/>
      <c r="Q1294" s="1"/>
      <c r="R1294" s="1"/>
    </row>
    <row r="1295" spans="2:18">
      <c r="B1295" s="1"/>
      <c r="C1295" s="9"/>
      <c r="D1295" s="9"/>
      <c r="E1295" s="9"/>
      <c r="F1295" s="1"/>
      <c r="G1295" s="1"/>
      <c r="H1295" s="19"/>
      <c r="I1295" s="1"/>
      <c r="J1295" s="1"/>
      <c r="K1295" s="19"/>
      <c r="L1295" s="1"/>
      <c r="M1295" s="9"/>
      <c r="N1295" s="1"/>
      <c r="O1295" s="1"/>
      <c r="P1295" s="1"/>
      <c r="Q1295" s="1"/>
      <c r="R1295" s="1"/>
    </row>
    <row r="1296" spans="2:18">
      <c r="B1296" s="1"/>
      <c r="C1296" s="9"/>
      <c r="D1296" s="9"/>
      <c r="E1296" s="9"/>
      <c r="F1296" s="1"/>
      <c r="G1296" s="1"/>
      <c r="H1296" s="19"/>
      <c r="I1296" s="1"/>
      <c r="J1296" s="1"/>
      <c r="K1296" s="19"/>
      <c r="L1296" s="1"/>
      <c r="M1296" s="9"/>
      <c r="N1296" s="1"/>
      <c r="O1296" s="1"/>
      <c r="P1296" s="1"/>
      <c r="Q1296" s="1"/>
      <c r="R1296" s="1"/>
    </row>
    <row r="1297" spans="2:18">
      <c r="B1297" s="1"/>
      <c r="C1297" s="9"/>
      <c r="D1297" s="9"/>
      <c r="E1297" s="9"/>
      <c r="F1297" s="1"/>
      <c r="G1297" s="1"/>
      <c r="H1297" s="19"/>
      <c r="I1297" s="1"/>
      <c r="J1297" s="1"/>
      <c r="K1297" s="19"/>
      <c r="L1297" s="1"/>
      <c r="M1297" s="9"/>
      <c r="N1297" s="1"/>
      <c r="O1297" s="1"/>
      <c r="P1297" s="1"/>
      <c r="Q1297" s="1"/>
      <c r="R1297" s="1"/>
    </row>
    <row r="1298" spans="2:18">
      <c r="B1298" s="1"/>
      <c r="C1298" s="9"/>
      <c r="D1298" s="9"/>
      <c r="E1298" s="9"/>
      <c r="F1298" s="1"/>
      <c r="G1298" s="1"/>
      <c r="H1298" s="19"/>
      <c r="I1298" s="1"/>
      <c r="J1298" s="1"/>
      <c r="K1298" s="19"/>
      <c r="L1298" s="1"/>
      <c r="M1298" s="9"/>
      <c r="N1298" s="1"/>
      <c r="O1298" s="1"/>
      <c r="P1298" s="1"/>
      <c r="Q1298" s="1"/>
      <c r="R1298" s="1"/>
    </row>
    <row r="1299" spans="2:18">
      <c r="B1299" s="1"/>
      <c r="C1299" s="9"/>
      <c r="D1299" s="9"/>
      <c r="E1299" s="9"/>
      <c r="F1299" s="1"/>
      <c r="G1299" s="1"/>
      <c r="H1299" s="19"/>
      <c r="I1299" s="1"/>
      <c r="J1299" s="1"/>
      <c r="K1299" s="19"/>
      <c r="L1299" s="1"/>
      <c r="M1299" s="9"/>
      <c r="N1299" s="1"/>
      <c r="O1299" s="1"/>
      <c r="P1299" s="1"/>
      <c r="Q1299" s="1"/>
      <c r="R1299" s="1"/>
    </row>
    <row r="1300" spans="2:18">
      <c r="B1300" s="1"/>
      <c r="C1300" s="9"/>
      <c r="D1300" s="9"/>
      <c r="E1300" s="9"/>
      <c r="F1300" s="1"/>
      <c r="G1300" s="1"/>
      <c r="H1300" s="19"/>
      <c r="I1300" s="1"/>
      <c r="J1300" s="1"/>
      <c r="K1300" s="19"/>
      <c r="L1300" s="1"/>
      <c r="M1300" s="9"/>
      <c r="N1300" s="1"/>
      <c r="O1300" s="1"/>
      <c r="P1300" s="1"/>
      <c r="Q1300" s="1"/>
      <c r="R1300" s="1"/>
    </row>
    <row r="1301" spans="2:18">
      <c r="B1301" s="1"/>
      <c r="C1301" s="9"/>
      <c r="D1301" s="9"/>
      <c r="E1301" s="9"/>
      <c r="F1301" s="1"/>
      <c r="G1301" s="1"/>
      <c r="H1301" s="19"/>
      <c r="I1301" s="1"/>
      <c r="J1301" s="1"/>
      <c r="K1301" s="19"/>
      <c r="L1301" s="1"/>
      <c r="M1301" s="9"/>
      <c r="N1301" s="1"/>
      <c r="O1301" s="1"/>
      <c r="P1301" s="1"/>
      <c r="Q1301" s="1"/>
      <c r="R1301" s="1"/>
    </row>
    <row r="1302" spans="2:18">
      <c r="B1302" s="1"/>
      <c r="C1302" s="9"/>
      <c r="D1302" s="9"/>
      <c r="E1302" s="9"/>
      <c r="F1302" s="1"/>
      <c r="G1302" s="1"/>
      <c r="H1302" s="19"/>
      <c r="I1302" s="1"/>
      <c r="J1302" s="1"/>
      <c r="K1302" s="19"/>
      <c r="L1302" s="1"/>
      <c r="M1302" s="9"/>
      <c r="N1302" s="1"/>
      <c r="O1302" s="1"/>
      <c r="P1302" s="1"/>
      <c r="Q1302" s="1"/>
      <c r="R1302" s="1"/>
    </row>
    <row r="1303" spans="2:18">
      <c r="B1303" s="1"/>
      <c r="C1303" s="9"/>
      <c r="D1303" s="9"/>
      <c r="E1303" s="9"/>
      <c r="F1303" s="1"/>
      <c r="G1303" s="1"/>
      <c r="H1303" s="19"/>
      <c r="I1303" s="1"/>
      <c r="J1303" s="1"/>
      <c r="K1303" s="19"/>
      <c r="L1303" s="1"/>
      <c r="M1303" s="9"/>
      <c r="N1303" s="1"/>
      <c r="O1303" s="1"/>
      <c r="P1303" s="1"/>
      <c r="Q1303" s="1"/>
      <c r="R1303" s="1"/>
    </row>
    <row r="1304" spans="2:18">
      <c r="B1304" s="1"/>
      <c r="C1304" s="9"/>
      <c r="D1304" s="9"/>
      <c r="E1304" s="9"/>
      <c r="F1304" s="1"/>
      <c r="G1304" s="1"/>
      <c r="H1304" s="19"/>
      <c r="I1304" s="1"/>
      <c r="J1304" s="1"/>
      <c r="K1304" s="19"/>
      <c r="L1304" s="1"/>
      <c r="M1304" s="9"/>
      <c r="N1304" s="1"/>
      <c r="O1304" s="1"/>
      <c r="P1304" s="1"/>
      <c r="Q1304" s="1"/>
      <c r="R1304" s="1"/>
    </row>
    <row r="1305" spans="2:18">
      <c r="B1305" s="1"/>
      <c r="C1305" s="9"/>
      <c r="D1305" s="9"/>
      <c r="E1305" s="9"/>
      <c r="F1305" s="1"/>
      <c r="G1305" s="1"/>
      <c r="H1305" s="19"/>
      <c r="I1305" s="1"/>
      <c r="J1305" s="1"/>
      <c r="K1305" s="19"/>
      <c r="L1305" s="1"/>
      <c r="M1305" s="9"/>
      <c r="N1305" s="1"/>
      <c r="O1305" s="1"/>
      <c r="P1305" s="1"/>
      <c r="Q1305" s="1"/>
      <c r="R1305" s="1"/>
    </row>
    <row r="1306" spans="2:18">
      <c r="B1306" s="1"/>
      <c r="C1306" s="9"/>
      <c r="D1306" s="9"/>
      <c r="E1306" s="9"/>
      <c r="F1306" s="1"/>
      <c r="G1306" s="1"/>
      <c r="H1306" s="19"/>
      <c r="I1306" s="1"/>
      <c r="J1306" s="1"/>
      <c r="K1306" s="19"/>
      <c r="L1306" s="1"/>
      <c r="M1306" s="9"/>
      <c r="N1306" s="1"/>
      <c r="O1306" s="1"/>
      <c r="P1306" s="1"/>
      <c r="Q1306" s="1"/>
      <c r="R1306" s="1"/>
    </row>
    <row r="1307" spans="2:18">
      <c r="B1307" s="1"/>
      <c r="C1307" s="9"/>
      <c r="D1307" s="9"/>
      <c r="E1307" s="9"/>
      <c r="F1307" s="1"/>
      <c r="G1307" s="1"/>
      <c r="H1307" s="19"/>
      <c r="I1307" s="1"/>
      <c r="J1307" s="1"/>
      <c r="K1307" s="19"/>
      <c r="L1307" s="1"/>
      <c r="M1307" s="9"/>
      <c r="N1307" s="1"/>
      <c r="O1307" s="1"/>
      <c r="P1307" s="1"/>
      <c r="Q1307" s="1"/>
      <c r="R1307" s="1"/>
    </row>
    <row r="1308" spans="2:18">
      <c r="B1308" s="1"/>
      <c r="C1308" s="9"/>
      <c r="D1308" s="9"/>
      <c r="E1308" s="9"/>
      <c r="F1308" s="1"/>
      <c r="G1308" s="1"/>
      <c r="H1308" s="19"/>
      <c r="I1308" s="1"/>
      <c r="J1308" s="1"/>
      <c r="K1308" s="19"/>
      <c r="L1308" s="1"/>
      <c r="M1308" s="9"/>
      <c r="N1308" s="1"/>
      <c r="O1308" s="1"/>
      <c r="P1308" s="1"/>
      <c r="Q1308" s="1"/>
      <c r="R1308" s="1"/>
    </row>
    <row r="1309" spans="2:18">
      <c r="B1309" s="1"/>
      <c r="C1309" s="9"/>
      <c r="D1309" s="9"/>
      <c r="E1309" s="9"/>
      <c r="F1309" s="1"/>
      <c r="G1309" s="1"/>
      <c r="H1309" s="19"/>
      <c r="I1309" s="1"/>
      <c r="J1309" s="1"/>
      <c r="K1309" s="19"/>
      <c r="L1309" s="1"/>
      <c r="M1309" s="9"/>
      <c r="N1309" s="1"/>
      <c r="O1309" s="1"/>
      <c r="P1309" s="1"/>
      <c r="Q1309" s="1"/>
      <c r="R1309" s="1"/>
    </row>
    <row r="1310" spans="2:18">
      <c r="B1310" s="1"/>
      <c r="C1310" s="9"/>
      <c r="D1310" s="9"/>
      <c r="E1310" s="9"/>
      <c r="F1310" s="1"/>
      <c r="G1310" s="1"/>
      <c r="H1310" s="19"/>
      <c r="I1310" s="1"/>
      <c r="J1310" s="1"/>
      <c r="K1310" s="19"/>
      <c r="L1310" s="1"/>
      <c r="M1310" s="9"/>
      <c r="N1310" s="1"/>
      <c r="O1310" s="1"/>
      <c r="P1310" s="1"/>
      <c r="Q1310" s="1"/>
      <c r="R1310" s="1"/>
    </row>
    <row r="1311" spans="2:18">
      <c r="B1311" s="1"/>
      <c r="C1311" s="9"/>
      <c r="D1311" s="9"/>
      <c r="E1311" s="9"/>
      <c r="F1311" s="1"/>
      <c r="G1311" s="1"/>
      <c r="H1311" s="19"/>
      <c r="I1311" s="1"/>
      <c r="J1311" s="1"/>
      <c r="K1311" s="19"/>
      <c r="L1311" s="1"/>
      <c r="M1311" s="9"/>
      <c r="N1311" s="1"/>
      <c r="O1311" s="1"/>
      <c r="P1311" s="1"/>
      <c r="Q1311" s="1"/>
      <c r="R1311" s="1"/>
    </row>
    <row r="1312" spans="2:18">
      <c r="B1312" s="1"/>
      <c r="C1312" s="9"/>
      <c r="D1312" s="9"/>
      <c r="E1312" s="9"/>
      <c r="F1312" s="1"/>
      <c r="G1312" s="1"/>
      <c r="H1312" s="19"/>
      <c r="I1312" s="1"/>
      <c r="J1312" s="1"/>
      <c r="K1312" s="19"/>
      <c r="L1312" s="1"/>
      <c r="M1312" s="9"/>
      <c r="N1312" s="1"/>
      <c r="O1312" s="1"/>
      <c r="P1312" s="1"/>
      <c r="Q1312" s="1"/>
      <c r="R1312" s="1"/>
    </row>
    <row r="1313" spans="2:18">
      <c r="B1313" s="1"/>
      <c r="C1313" s="9"/>
      <c r="D1313" s="9"/>
      <c r="E1313" s="9"/>
      <c r="F1313" s="1"/>
      <c r="G1313" s="1"/>
      <c r="H1313" s="19"/>
      <c r="I1313" s="1"/>
      <c r="J1313" s="1"/>
      <c r="K1313" s="19"/>
      <c r="L1313" s="1"/>
      <c r="M1313" s="9"/>
      <c r="N1313" s="1"/>
      <c r="O1313" s="1"/>
      <c r="P1313" s="1"/>
      <c r="Q1313" s="1"/>
      <c r="R1313" s="1"/>
    </row>
    <row r="1314" spans="2:18">
      <c r="B1314" s="1"/>
      <c r="C1314" s="9"/>
      <c r="D1314" s="9"/>
      <c r="E1314" s="9"/>
      <c r="F1314" s="1"/>
      <c r="G1314" s="1"/>
      <c r="H1314" s="19"/>
      <c r="I1314" s="1"/>
      <c r="J1314" s="1"/>
      <c r="K1314" s="19"/>
      <c r="L1314" s="1"/>
      <c r="M1314" s="9"/>
      <c r="N1314" s="1"/>
      <c r="O1314" s="1"/>
      <c r="P1314" s="1"/>
      <c r="Q1314" s="1"/>
      <c r="R1314" s="1"/>
    </row>
    <row r="1315" spans="2:18">
      <c r="B1315" s="1"/>
      <c r="C1315" s="9"/>
      <c r="D1315" s="9"/>
      <c r="E1315" s="9"/>
      <c r="F1315" s="1"/>
      <c r="G1315" s="1"/>
      <c r="H1315" s="19"/>
      <c r="I1315" s="1"/>
      <c r="J1315" s="1"/>
      <c r="K1315" s="19"/>
      <c r="L1315" s="1"/>
      <c r="M1315" s="9"/>
      <c r="N1315" s="1"/>
      <c r="O1315" s="1"/>
      <c r="P1315" s="1"/>
      <c r="Q1315" s="1"/>
      <c r="R1315" s="1"/>
    </row>
    <row r="1316" spans="2:18">
      <c r="B1316" s="1"/>
      <c r="C1316" s="9"/>
      <c r="D1316" s="9"/>
      <c r="E1316" s="9"/>
      <c r="F1316" s="1"/>
      <c r="G1316" s="1"/>
      <c r="H1316" s="19"/>
      <c r="I1316" s="1"/>
      <c r="J1316" s="1"/>
      <c r="K1316" s="19"/>
      <c r="L1316" s="1"/>
      <c r="M1316" s="9"/>
      <c r="N1316" s="1"/>
      <c r="O1316" s="1"/>
      <c r="P1316" s="1"/>
      <c r="Q1316" s="1"/>
      <c r="R1316" s="1"/>
    </row>
    <row r="1317" spans="2:18">
      <c r="B1317" s="1"/>
      <c r="C1317" s="9"/>
      <c r="D1317" s="9"/>
      <c r="E1317" s="9"/>
      <c r="F1317" s="1"/>
      <c r="G1317" s="1"/>
      <c r="H1317" s="19"/>
      <c r="I1317" s="1"/>
      <c r="J1317" s="1"/>
      <c r="K1317" s="19"/>
      <c r="L1317" s="1"/>
      <c r="M1317" s="9"/>
      <c r="N1317" s="1"/>
      <c r="O1317" s="1"/>
      <c r="P1317" s="1"/>
      <c r="Q1317" s="1"/>
      <c r="R1317" s="1"/>
    </row>
    <row r="1318" spans="2:18">
      <c r="B1318" s="1"/>
      <c r="C1318" s="9"/>
      <c r="D1318" s="9"/>
      <c r="E1318" s="9"/>
      <c r="F1318" s="1"/>
      <c r="G1318" s="1"/>
      <c r="H1318" s="19"/>
      <c r="I1318" s="1"/>
      <c r="J1318" s="1"/>
      <c r="K1318" s="19"/>
      <c r="L1318" s="1"/>
      <c r="M1318" s="9"/>
      <c r="N1318" s="1"/>
      <c r="O1318" s="1"/>
      <c r="P1318" s="1"/>
      <c r="Q1318" s="1"/>
      <c r="R1318" s="1"/>
    </row>
    <row r="1319" spans="2:18">
      <c r="B1319" s="1"/>
      <c r="C1319" s="9"/>
      <c r="D1319" s="9"/>
      <c r="E1319" s="9"/>
      <c r="F1319" s="1"/>
      <c r="G1319" s="1"/>
      <c r="H1319" s="19"/>
      <c r="I1319" s="1"/>
      <c r="J1319" s="1"/>
      <c r="K1319" s="19"/>
      <c r="L1319" s="1"/>
      <c r="M1319" s="9"/>
      <c r="N1319" s="1"/>
      <c r="O1319" s="1"/>
      <c r="P1319" s="1"/>
      <c r="Q1319" s="1"/>
      <c r="R1319" s="1"/>
    </row>
    <row r="1320" spans="2:18">
      <c r="B1320" s="1"/>
      <c r="C1320" s="9"/>
      <c r="D1320" s="9"/>
      <c r="E1320" s="9"/>
      <c r="F1320" s="1"/>
      <c r="G1320" s="1"/>
      <c r="H1320" s="19"/>
      <c r="I1320" s="1"/>
      <c r="J1320" s="1"/>
      <c r="K1320" s="19"/>
      <c r="L1320" s="1"/>
      <c r="M1320" s="9"/>
      <c r="N1320" s="1"/>
      <c r="O1320" s="1"/>
      <c r="P1320" s="1"/>
      <c r="Q1320" s="1"/>
      <c r="R1320" s="1"/>
    </row>
    <row r="1321" spans="2:18">
      <c r="B1321" s="1"/>
      <c r="C1321" s="9"/>
      <c r="D1321" s="9"/>
      <c r="E1321" s="9"/>
      <c r="F1321" s="1"/>
      <c r="G1321" s="1"/>
      <c r="H1321" s="19"/>
      <c r="I1321" s="1"/>
      <c r="J1321" s="1"/>
      <c r="K1321" s="19"/>
      <c r="L1321" s="1"/>
      <c r="M1321" s="9"/>
      <c r="N1321" s="1"/>
      <c r="O1321" s="1"/>
      <c r="P1321" s="1"/>
      <c r="Q1321" s="1"/>
      <c r="R1321" s="1"/>
    </row>
    <row r="1322" spans="2:18">
      <c r="B1322" s="1"/>
      <c r="C1322" s="9"/>
      <c r="D1322" s="9"/>
      <c r="E1322" s="9"/>
      <c r="F1322" s="1"/>
      <c r="G1322" s="1"/>
      <c r="H1322" s="19"/>
      <c r="I1322" s="1"/>
      <c r="J1322" s="1"/>
      <c r="K1322" s="19"/>
      <c r="L1322" s="1"/>
      <c r="M1322" s="9"/>
      <c r="N1322" s="1"/>
      <c r="O1322" s="1"/>
      <c r="P1322" s="1"/>
      <c r="Q1322" s="1"/>
      <c r="R1322" s="1"/>
    </row>
    <row r="1323" spans="2:18">
      <c r="B1323" s="1"/>
      <c r="C1323" s="9"/>
      <c r="D1323" s="9"/>
      <c r="E1323" s="9"/>
      <c r="F1323" s="1"/>
      <c r="G1323" s="1"/>
      <c r="H1323" s="19"/>
      <c r="I1323" s="1"/>
      <c r="J1323" s="1"/>
      <c r="K1323" s="19"/>
      <c r="L1323" s="1"/>
      <c r="M1323" s="9"/>
      <c r="N1323" s="1"/>
      <c r="O1323" s="1"/>
      <c r="P1323" s="1"/>
      <c r="Q1323" s="1"/>
      <c r="R1323" s="1"/>
    </row>
    <row r="1324" spans="2:18">
      <c r="B1324" s="1"/>
      <c r="C1324" s="9"/>
      <c r="D1324" s="9"/>
      <c r="E1324" s="9"/>
      <c r="F1324" s="1"/>
      <c r="G1324" s="1"/>
      <c r="H1324" s="19"/>
      <c r="I1324" s="1"/>
      <c r="J1324" s="1"/>
      <c r="K1324" s="19"/>
      <c r="L1324" s="1"/>
      <c r="M1324" s="9"/>
      <c r="N1324" s="1"/>
      <c r="O1324" s="1"/>
      <c r="P1324" s="1"/>
      <c r="Q1324" s="1"/>
      <c r="R1324" s="1"/>
    </row>
    <row r="1325" spans="2:18">
      <c r="B1325" s="1"/>
      <c r="C1325" s="9"/>
      <c r="D1325" s="9"/>
      <c r="E1325" s="9"/>
      <c r="F1325" s="1"/>
      <c r="G1325" s="1"/>
      <c r="H1325" s="19"/>
      <c r="I1325" s="1"/>
      <c r="J1325" s="1"/>
      <c r="K1325" s="19"/>
      <c r="L1325" s="1"/>
      <c r="M1325" s="9"/>
      <c r="N1325" s="1"/>
      <c r="O1325" s="1"/>
      <c r="P1325" s="1"/>
      <c r="Q1325" s="1"/>
      <c r="R1325" s="1"/>
    </row>
    <row r="1326" spans="2:18">
      <c r="B1326" s="1"/>
      <c r="C1326" s="9"/>
      <c r="D1326" s="9"/>
      <c r="E1326" s="9"/>
      <c r="F1326" s="1"/>
      <c r="G1326" s="1"/>
      <c r="H1326" s="19"/>
      <c r="I1326" s="1"/>
      <c r="J1326" s="1"/>
      <c r="K1326" s="19"/>
      <c r="L1326" s="1"/>
      <c r="M1326" s="9"/>
      <c r="N1326" s="1"/>
      <c r="O1326" s="1"/>
      <c r="P1326" s="1"/>
      <c r="Q1326" s="1"/>
      <c r="R1326" s="1"/>
    </row>
    <row r="1327" spans="2:18">
      <c r="B1327" s="1"/>
      <c r="C1327" s="9"/>
      <c r="D1327" s="9"/>
      <c r="E1327" s="9"/>
      <c r="F1327" s="1"/>
      <c r="G1327" s="1"/>
      <c r="H1327" s="19"/>
      <c r="I1327" s="1"/>
      <c r="J1327" s="1"/>
      <c r="K1327" s="19"/>
      <c r="L1327" s="1"/>
      <c r="M1327" s="9"/>
      <c r="N1327" s="1"/>
      <c r="O1327" s="1"/>
      <c r="P1327" s="1"/>
      <c r="Q1327" s="1"/>
      <c r="R1327" s="1"/>
    </row>
    <row r="1328" spans="2:18">
      <c r="B1328" s="1"/>
      <c r="C1328" s="9"/>
      <c r="D1328" s="9"/>
      <c r="E1328" s="9"/>
      <c r="F1328" s="1"/>
      <c r="G1328" s="1"/>
      <c r="H1328" s="19"/>
      <c r="I1328" s="1"/>
      <c r="J1328" s="1"/>
      <c r="K1328" s="19"/>
      <c r="L1328" s="1"/>
      <c r="M1328" s="9"/>
      <c r="N1328" s="1"/>
      <c r="O1328" s="1"/>
      <c r="P1328" s="1"/>
      <c r="Q1328" s="1"/>
      <c r="R1328" s="1"/>
    </row>
    <row r="1329" spans="2:18">
      <c r="B1329" s="1"/>
      <c r="C1329" s="9"/>
      <c r="D1329" s="9"/>
      <c r="E1329" s="9"/>
      <c r="F1329" s="1"/>
      <c r="G1329" s="1"/>
      <c r="H1329" s="19"/>
      <c r="I1329" s="1"/>
      <c r="J1329" s="1"/>
      <c r="K1329" s="19"/>
      <c r="L1329" s="1"/>
      <c r="M1329" s="9"/>
      <c r="N1329" s="1"/>
      <c r="O1329" s="1"/>
      <c r="P1329" s="1"/>
      <c r="Q1329" s="1"/>
      <c r="R1329" s="1"/>
    </row>
    <row r="1330" spans="2:18">
      <c r="B1330" s="1"/>
      <c r="C1330" s="9"/>
      <c r="D1330" s="9"/>
      <c r="E1330" s="9"/>
      <c r="F1330" s="1"/>
      <c r="G1330" s="1"/>
      <c r="H1330" s="19"/>
      <c r="I1330" s="1"/>
      <c r="J1330" s="1"/>
      <c r="K1330" s="19"/>
      <c r="L1330" s="1"/>
      <c r="M1330" s="9"/>
      <c r="N1330" s="1"/>
      <c r="O1330" s="1"/>
      <c r="P1330" s="1"/>
      <c r="Q1330" s="1"/>
      <c r="R1330" s="1"/>
    </row>
    <row r="1331" spans="2:18">
      <c r="B1331" s="1"/>
      <c r="C1331" s="9"/>
      <c r="D1331" s="9"/>
      <c r="E1331" s="9"/>
      <c r="F1331" s="1"/>
      <c r="G1331" s="1"/>
      <c r="H1331" s="19"/>
      <c r="I1331" s="1"/>
      <c r="J1331" s="1"/>
      <c r="K1331" s="19"/>
      <c r="L1331" s="1"/>
      <c r="M1331" s="9"/>
      <c r="N1331" s="1"/>
      <c r="O1331" s="1"/>
      <c r="P1331" s="1"/>
      <c r="Q1331" s="1"/>
      <c r="R1331" s="1"/>
    </row>
    <row r="1332" spans="2:18">
      <c r="B1332" s="1"/>
      <c r="C1332" s="9"/>
      <c r="D1332" s="9"/>
      <c r="E1332" s="9"/>
      <c r="F1332" s="1"/>
      <c r="G1332" s="1"/>
      <c r="H1332" s="19"/>
      <c r="I1332" s="1"/>
      <c r="J1332" s="1"/>
      <c r="K1332" s="19"/>
      <c r="L1332" s="1"/>
      <c r="M1332" s="9"/>
      <c r="N1332" s="1"/>
      <c r="O1332" s="1"/>
      <c r="P1332" s="1"/>
      <c r="Q1332" s="1"/>
      <c r="R1332" s="1"/>
    </row>
    <row r="1333" spans="2:18">
      <c r="B1333" s="1"/>
      <c r="C1333" s="9"/>
      <c r="D1333" s="9"/>
      <c r="E1333" s="9"/>
      <c r="F1333" s="1"/>
      <c r="G1333" s="1"/>
      <c r="H1333" s="19"/>
      <c r="I1333" s="1"/>
      <c r="J1333" s="1"/>
      <c r="K1333" s="19"/>
      <c r="L1333" s="1"/>
      <c r="M1333" s="9"/>
      <c r="N1333" s="1"/>
      <c r="O1333" s="1"/>
      <c r="P1333" s="1"/>
      <c r="Q1333" s="1"/>
      <c r="R1333" s="1"/>
    </row>
    <row r="1334" spans="2:18">
      <c r="B1334" s="1"/>
      <c r="C1334" s="9"/>
      <c r="D1334" s="9"/>
      <c r="E1334" s="9"/>
      <c r="F1334" s="1"/>
      <c r="G1334" s="1"/>
      <c r="H1334" s="19"/>
      <c r="I1334" s="1"/>
      <c r="J1334" s="1"/>
      <c r="K1334" s="19"/>
      <c r="L1334" s="1"/>
      <c r="M1334" s="9"/>
      <c r="N1334" s="1"/>
      <c r="O1334" s="1"/>
      <c r="P1334" s="1"/>
      <c r="Q1334" s="1"/>
      <c r="R1334" s="1"/>
    </row>
    <row r="1335" spans="2:18">
      <c r="B1335" s="1"/>
      <c r="C1335" s="9"/>
      <c r="D1335" s="9"/>
      <c r="E1335" s="9"/>
      <c r="F1335" s="1"/>
      <c r="G1335" s="1"/>
      <c r="H1335" s="19"/>
      <c r="I1335" s="1"/>
      <c r="J1335" s="1"/>
      <c r="K1335" s="19"/>
      <c r="L1335" s="1"/>
      <c r="M1335" s="9"/>
      <c r="N1335" s="1"/>
      <c r="O1335" s="1"/>
      <c r="P1335" s="1"/>
      <c r="Q1335" s="1"/>
      <c r="R1335" s="1"/>
    </row>
    <row r="1336" spans="2:18">
      <c r="B1336" s="1"/>
      <c r="C1336" s="9"/>
      <c r="D1336" s="9"/>
      <c r="E1336" s="9"/>
      <c r="F1336" s="1"/>
      <c r="G1336" s="1"/>
      <c r="H1336" s="19"/>
      <c r="I1336" s="1"/>
      <c r="J1336" s="1"/>
      <c r="K1336" s="19"/>
      <c r="L1336" s="1"/>
      <c r="M1336" s="9"/>
      <c r="N1336" s="1"/>
      <c r="O1336" s="1"/>
      <c r="P1336" s="1"/>
      <c r="Q1336" s="1"/>
      <c r="R1336" s="1"/>
    </row>
    <row r="1337" spans="2:18">
      <c r="B1337" s="1"/>
      <c r="C1337" s="9"/>
      <c r="D1337" s="9"/>
      <c r="E1337" s="9"/>
      <c r="F1337" s="1"/>
      <c r="G1337" s="1"/>
      <c r="H1337" s="19"/>
      <c r="I1337" s="1"/>
      <c r="J1337" s="1"/>
      <c r="K1337" s="19"/>
      <c r="L1337" s="1"/>
      <c r="M1337" s="9"/>
      <c r="N1337" s="1"/>
      <c r="O1337" s="1"/>
      <c r="P1337" s="1"/>
      <c r="Q1337" s="1"/>
      <c r="R1337" s="1"/>
    </row>
    <row r="1338" spans="2:18">
      <c r="B1338" s="1"/>
      <c r="C1338" s="9"/>
      <c r="D1338" s="9"/>
      <c r="E1338" s="9"/>
      <c r="F1338" s="1"/>
      <c r="G1338" s="1"/>
      <c r="H1338" s="19"/>
      <c r="I1338" s="1"/>
      <c r="J1338" s="1"/>
      <c r="K1338" s="19"/>
      <c r="L1338" s="1"/>
      <c r="M1338" s="9"/>
      <c r="N1338" s="1"/>
      <c r="O1338" s="1"/>
      <c r="P1338" s="1"/>
      <c r="Q1338" s="1"/>
      <c r="R1338" s="1"/>
    </row>
    <row r="1339" spans="2:18">
      <c r="B1339" s="1"/>
      <c r="C1339" s="9"/>
      <c r="D1339" s="9"/>
      <c r="E1339" s="9"/>
      <c r="F1339" s="1"/>
      <c r="G1339" s="1"/>
      <c r="H1339" s="19"/>
      <c r="I1339" s="1"/>
      <c r="J1339" s="1"/>
      <c r="K1339" s="19"/>
      <c r="L1339" s="1"/>
      <c r="M1339" s="9"/>
      <c r="N1339" s="1"/>
      <c r="O1339" s="1"/>
      <c r="P1339" s="1"/>
      <c r="Q1339" s="1"/>
      <c r="R1339" s="1"/>
    </row>
    <row r="1340" spans="2:18">
      <c r="B1340" s="1"/>
      <c r="C1340" s="9"/>
      <c r="D1340" s="9"/>
      <c r="E1340" s="9"/>
      <c r="F1340" s="1"/>
      <c r="G1340" s="1"/>
      <c r="H1340" s="19"/>
      <c r="I1340" s="1"/>
      <c r="J1340" s="1"/>
      <c r="K1340" s="19"/>
      <c r="L1340" s="1"/>
      <c r="M1340" s="9"/>
      <c r="N1340" s="1"/>
      <c r="O1340" s="1"/>
      <c r="P1340" s="1"/>
      <c r="Q1340" s="1"/>
      <c r="R1340" s="1"/>
    </row>
    <row r="1341" spans="2:18">
      <c r="B1341" s="1"/>
      <c r="C1341" s="9"/>
      <c r="D1341" s="9"/>
      <c r="E1341" s="9"/>
      <c r="F1341" s="1"/>
      <c r="G1341" s="1"/>
      <c r="H1341" s="19"/>
      <c r="I1341" s="1"/>
      <c r="J1341" s="1"/>
      <c r="K1341" s="19"/>
      <c r="L1341" s="1"/>
      <c r="M1341" s="9"/>
      <c r="N1341" s="1"/>
      <c r="O1341" s="1"/>
      <c r="P1341" s="1"/>
      <c r="Q1341" s="1"/>
      <c r="R1341" s="1"/>
    </row>
    <row r="1342" spans="2:18">
      <c r="B1342" s="1"/>
      <c r="C1342" s="9"/>
      <c r="D1342" s="9"/>
      <c r="E1342" s="9"/>
      <c r="F1342" s="1"/>
      <c r="G1342" s="1"/>
      <c r="H1342" s="19"/>
      <c r="I1342" s="1"/>
      <c r="J1342" s="1"/>
      <c r="K1342" s="19"/>
      <c r="L1342" s="1"/>
      <c r="M1342" s="9"/>
      <c r="N1342" s="1"/>
      <c r="O1342" s="1"/>
      <c r="P1342" s="1"/>
      <c r="Q1342" s="1"/>
      <c r="R1342" s="1"/>
    </row>
    <row r="1343" spans="2:18">
      <c r="B1343" s="1"/>
      <c r="C1343" s="9"/>
      <c r="D1343" s="9"/>
      <c r="E1343" s="9"/>
      <c r="F1343" s="1"/>
      <c r="G1343" s="1"/>
      <c r="H1343" s="19"/>
      <c r="I1343" s="1"/>
      <c r="J1343" s="1"/>
      <c r="K1343" s="19"/>
      <c r="L1343" s="1"/>
      <c r="M1343" s="9"/>
      <c r="N1343" s="1"/>
      <c r="O1343" s="1"/>
      <c r="P1343" s="1"/>
      <c r="Q1343" s="1"/>
      <c r="R1343" s="1"/>
    </row>
    <row r="1344" spans="2:18">
      <c r="B1344" s="1"/>
      <c r="C1344" s="9"/>
      <c r="D1344" s="9"/>
      <c r="E1344" s="9"/>
      <c r="F1344" s="1"/>
      <c r="G1344" s="1"/>
      <c r="H1344" s="19"/>
      <c r="I1344" s="1"/>
      <c r="J1344" s="1"/>
      <c r="K1344" s="19"/>
      <c r="L1344" s="1"/>
      <c r="M1344" s="9"/>
      <c r="N1344" s="1"/>
      <c r="O1344" s="1"/>
      <c r="P1344" s="1"/>
      <c r="Q1344" s="1"/>
      <c r="R1344" s="1"/>
    </row>
    <row r="1345" spans="2:18">
      <c r="B1345" s="1"/>
      <c r="C1345" s="9"/>
      <c r="D1345" s="9"/>
      <c r="E1345" s="9"/>
      <c r="F1345" s="1"/>
      <c r="G1345" s="1"/>
      <c r="H1345" s="19"/>
      <c r="I1345" s="1"/>
      <c r="J1345" s="1"/>
      <c r="K1345" s="19"/>
      <c r="L1345" s="1"/>
      <c r="M1345" s="9"/>
      <c r="N1345" s="1"/>
      <c r="O1345" s="1"/>
      <c r="P1345" s="1"/>
      <c r="Q1345" s="1"/>
      <c r="R1345" s="1"/>
    </row>
    <row r="1346" spans="2:18">
      <c r="B1346" s="1"/>
      <c r="C1346" s="9"/>
      <c r="D1346" s="9"/>
      <c r="E1346" s="9"/>
      <c r="F1346" s="1"/>
      <c r="G1346" s="1"/>
      <c r="H1346" s="19"/>
      <c r="I1346" s="1"/>
      <c r="J1346" s="1"/>
      <c r="K1346" s="19"/>
      <c r="L1346" s="1"/>
      <c r="M1346" s="9"/>
      <c r="N1346" s="1"/>
      <c r="O1346" s="1"/>
      <c r="P1346" s="1"/>
      <c r="Q1346" s="1"/>
      <c r="R1346" s="1"/>
    </row>
    <row r="1347" spans="2:18">
      <c r="B1347" s="1"/>
      <c r="C1347" s="9"/>
      <c r="D1347" s="9"/>
      <c r="E1347" s="9"/>
      <c r="F1347" s="1"/>
      <c r="G1347" s="1"/>
      <c r="H1347" s="19"/>
      <c r="I1347" s="1"/>
      <c r="J1347" s="1"/>
      <c r="K1347" s="19"/>
      <c r="L1347" s="1"/>
      <c r="M1347" s="9"/>
      <c r="N1347" s="1"/>
      <c r="O1347" s="1"/>
      <c r="P1347" s="1"/>
      <c r="Q1347" s="1"/>
      <c r="R1347" s="1"/>
    </row>
    <row r="1348" spans="2:18">
      <c r="B1348" s="1"/>
      <c r="C1348" s="9"/>
      <c r="D1348" s="9"/>
      <c r="E1348" s="9"/>
      <c r="F1348" s="1"/>
      <c r="G1348" s="1"/>
      <c r="H1348" s="19"/>
      <c r="I1348" s="1"/>
      <c r="J1348" s="1"/>
      <c r="K1348" s="19"/>
      <c r="L1348" s="1"/>
      <c r="M1348" s="9"/>
      <c r="N1348" s="1"/>
      <c r="O1348" s="1"/>
      <c r="P1348" s="1"/>
      <c r="Q1348" s="1"/>
      <c r="R1348" s="1"/>
    </row>
    <row r="1349" spans="2:18">
      <c r="B1349" s="1"/>
      <c r="C1349" s="9"/>
      <c r="D1349" s="9"/>
      <c r="E1349" s="9"/>
      <c r="F1349" s="1"/>
      <c r="G1349" s="1"/>
      <c r="H1349" s="19"/>
      <c r="I1349" s="1"/>
      <c r="J1349" s="1"/>
      <c r="K1349" s="19"/>
      <c r="L1349" s="1"/>
      <c r="M1349" s="9"/>
      <c r="N1349" s="1"/>
      <c r="O1349" s="1"/>
      <c r="P1349" s="1"/>
      <c r="Q1349" s="1"/>
      <c r="R1349" s="1"/>
    </row>
    <row r="1350" spans="2:18">
      <c r="B1350" s="1"/>
      <c r="C1350" s="9"/>
      <c r="D1350" s="9"/>
      <c r="E1350" s="9"/>
      <c r="F1350" s="1"/>
      <c r="G1350" s="1"/>
      <c r="H1350" s="19"/>
      <c r="I1350" s="1"/>
      <c r="J1350" s="1"/>
      <c r="K1350" s="19"/>
      <c r="L1350" s="1"/>
      <c r="M1350" s="9"/>
      <c r="N1350" s="1"/>
      <c r="O1350" s="1"/>
      <c r="P1350" s="1"/>
      <c r="Q1350" s="1"/>
      <c r="R1350" s="1"/>
    </row>
    <row r="1351" spans="2:18">
      <c r="B1351" s="1"/>
      <c r="C1351" s="9"/>
      <c r="D1351" s="9"/>
      <c r="E1351" s="9"/>
      <c r="F1351" s="1"/>
      <c r="G1351" s="1"/>
      <c r="H1351" s="19"/>
      <c r="I1351" s="1"/>
      <c r="J1351" s="1"/>
      <c r="K1351" s="19"/>
      <c r="L1351" s="1"/>
      <c r="M1351" s="9"/>
      <c r="N1351" s="1"/>
      <c r="O1351" s="1"/>
      <c r="P1351" s="1"/>
      <c r="Q1351" s="1"/>
      <c r="R1351" s="1"/>
    </row>
    <row r="1352" spans="2:18">
      <c r="B1352" s="1"/>
      <c r="C1352" s="9"/>
      <c r="D1352" s="9"/>
      <c r="E1352" s="9"/>
      <c r="F1352" s="1"/>
      <c r="G1352" s="1"/>
      <c r="H1352" s="19"/>
      <c r="I1352" s="1"/>
      <c r="J1352" s="1"/>
      <c r="K1352" s="19"/>
      <c r="L1352" s="1"/>
      <c r="M1352" s="9"/>
      <c r="N1352" s="1"/>
      <c r="O1352" s="1"/>
      <c r="P1352" s="1"/>
      <c r="Q1352" s="1"/>
      <c r="R1352" s="1"/>
    </row>
    <row r="1353" spans="2:18">
      <c r="B1353" s="1"/>
      <c r="C1353" s="9"/>
      <c r="D1353" s="9"/>
      <c r="E1353" s="9"/>
      <c r="F1353" s="1"/>
      <c r="G1353" s="1"/>
      <c r="H1353" s="19"/>
      <c r="I1353" s="1"/>
      <c r="J1353" s="1"/>
      <c r="K1353" s="19"/>
      <c r="L1353" s="1"/>
      <c r="M1353" s="9"/>
      <c r="N1353" s="1"/>
      <c r="O1353" s="1"/>
      <c r="P1353" s="1"/>
      <c r="Q1353" s="1"/>
      <c r="R1353" s="1"/>
    </row>
    <row r="1354" spans="2:18">
      <c r="B1354" s="1"/>
      <c r="C1354" s="9"/>
      <c r="D1354" s="9"/>
      <c r="E1354" s="9"/>
      <c r="F1354" s="1"/>
      <c r="G1354" s="1"/>
      <c r="H1354" s="19"/>
      <c r="I1354" s="1"/>
      <c r="J1354" s="1"/>
      <c r="K1354" s="19"/>
      <c r="L1354" s="1"/>
      <c r="M1354" s="9"/>
      <c r="N1354" s="1"/>
      <c r="O1354" s="1"/>
      <c r="P1354" s="1"/>
      <c r="Q1354" s="1"/>
      <c r="R1354" s="1"/>
    </row>
    <row r="1355" spans="2:18">
      <c r="B1355" s="1"/>
      <c r="C1355" s="9"/>
      <c r="D1355" s="9"/>
      <c r="E1355" s="9"/>
      <c r="F1355" s="1"/>
      <c r="G1355" s="1"/>
      <c r="H1355" s="19"/>
      <c r="I1355" s="1"/>
      <c r="J1355" s="1"/>
      <c r="K1355" s="19"/>
      <c r="L1355" s="1"/>
      <c r="M1355" s="9"/>
      <c r="N1355" s="1"/>
      <c r="O1355" s="1"/>
      <c r="P1355" s="1"/>
      <c r="Q1355" s="1"/>
      <c r="R1355" s="1"/>
    </row>
    <row r="1356" spans="2:18">
      <c r="B1356" s="1"/>
      <c r="C1356" s="9"/>
      <c r="D1356" s="9"/>
      <c r="E1356" s="9"/>
      <c r="F1356" s="1"/>
      <c r="G1356" s="1"/>
      <c r="H1356" s="19"/>
      <c r="I1356" s="1"/>
      <c r="J1356" s="1"/>
      <c r="K1356" s="19"/>
      <c r="L1356" s="1"/>
      <c r="M1356" s="9"/>
      <c r="N1356" s="1"/>
      <c r="O1356" s="1"/>
      <c r="P1356" s="1"/>
      <c r="Q1356" s="1"/>
      <c r="R1356" s="1"/>
    </row>
    <row r="1357" spans="2:18">
      <c r="B1357" s="1"/>
      <c r="C1357" s="9"/>
      <c r="D1357" s="9"/>
      <c r="E1357" s="9"/>
      <c r="F1357" s="1"/>
      <c r="G1357" s="1"/>
      <c r="H1357" s="19"/>
      <c r="I1357" s="1"/>
      <c r="J1357" s="1"/>
      <c r="K1357" s="19"/>
      <c r="L1357" s="1"/>
      <c r="M1357" s="9"/>
      <c r="N1357" s="1"/>
      <c r="O1357" s="1"/>
      <c r="P1357" s="1"/>
      <c r="Q1357" s="1"/>
      <c r="R1357" s="1"/>
    </row>
    <row r="1358" spans="2:18">
      <c r="B1358" s="1"/>
      <c r="C1358" s="9"/>
      <c r="D1358" s="9"/>
      <c r="E1358" s="9"/>
      <c r="F1358" s="1"/>
      <c r="G1358" s="1"/>
      <c r="H1358" s="19"/>
      <c r="I1358" s="1"/>
      <c r="J1358" s="1"/>
      <c r="K1358" s="19"/>
      <c r="L1358" s="1"/>
      <c r="M1358" s="9"/>
      <c r="N1358" s="1"/>
      <c r="O1358" s="1"/>
      <c r="P1358" s="1"/>
      <c r="Q1358" s="1"/>
      <c r="R1358" s="1"/>
    </row>
    <row r="1359" spans="2:18">
      <c r="B1359" s="1"/>
      <c r="C1359" s="9"/>
      <c r="D1359" s="9"/>
      <c r="E1359" s="9"/>
      <c r="F1359" s="1"/>
      <c r="G1359" s="1"/>
      <c r="H1359" s="19"/>
      <c r="I1359" s="1"/>
      <c r="J1359" s="1"/>
      <c r="K1359" s="19"/>
      <c r="L1359" s="1"/>
      <c r="M1359" s="9"/>
      <c r="N1359" s="1"/>
      <c r="O1359" s="1"/>
      <c r="P1359" s="1"/>
      <c r="Q1359" s="1"/>
      <c r="R1359" s="1"/>
    </row>
    <row r="1360" spans="2:18">
      <c r="B1360" s="1"/>
      <c r="C1360" s="9"/>
      <c r="D1360" s="9"/>
      <c r="E1360" s="9"/>
      <c r="F1360" s="1"/>
      <c r="G1360" s="1"/>
      <c r="H1360" s="19"/>
      <c r="I1360" s="1"/>
      <c r="J1360" s="1"/>
      <c r="K1360" s="19"/>
      <c r="L1360" s="1"/>
      <c r="M1360" s="9"/>
      <c r="N1360" s="1"/>
      <c r="O1360" s="1"/>
      <c r="P1360" s="1"/>
      <c r="Q1360" s="1"/>
      <c r="R1360" s="1"/>
    </row>
    <row r="1361" spans="2:18">
      <c r="B1361" s="1"/>
      <c r="C1361" s="9"/>
      <c r="D1361" s="9"/>
      <c r="E1361" s="9"/>
      <c r="F1361" s="1"/>
      <c r="G1361" s="1"/>
      <c r="H1361" s="19"/>
      <c r="I1361" s="1"/>
      <c r="J1361" s="1"/>
      <c r="K1361" s="19"/>
      <c r="L1361" s="1"/>
      <c r="M1361" s="9"/>
      <c r="N1361" s="1"/>
      <c r="O1361" s="1"/>
      <c r="P1361" s="1"/>
      <c r="Q1361" s="1"/>
      <c r="R1361" s="1"/>
    </row>
    <row r="1362" spans="2:18">
      <c r="B1362" s="1"/>
      <c r="C1362" s="9"/>
      <c r="D1362" s="9"/>
      <c r="E1362" s="9"/>
      <c r="F1362" s="1"/>
      <c r="G1362" s="1"/>
      <c r="H1362" s="19"/>
      <c r="I1362" s="1"/>
      <c r="J1362" s="1"/>
      <c r="K1362" s="19"/>
      <c r="L1362" s="1"/>
      <c r="M1362" s="9"/>
      <c r="N1362" s="1"/>
      <c r="O1362" s="1"/>
      <c r="P1362" s="1"/>
      <c r="Q1362" s="1"/>
      <c r="R1362" s="1"/>
    </row>
    <row r="1363" spans="2:18">
      <c r="B1363" s="1"/>
      <c r="C1363" s="9"/>
      <c r="D1363" s="9"/>
      <c r="E1363" s="9"/>
      <c r="F1363" s="1"/>
      <c r="G1363" s="1"/>
      <c r="H1363" s="19"/>
      <c r="I1363" s="1"/>
      <c r="J1363" s="1"/>
      <c r="K1363" s="19"/>
      <c r="L1363" s="1"/>
      <c r="M1363" s="9"/>
      <c r="N1363" s="1"/>
      <c r="O1363" s="1"/>
      <c r="P1363" s="1"/>
      <c r="Q1363" s="1"/>
      <c r="R1363" s="1"/>
    </row>
    <row r="1364" spans="2:18">
      <c r="B1364" s="1"/>
      <c r="C1364" s="9"/>
      <c r="D1364" s="9"/>
      <c r="E1364" s="9"/>
      <c r="F1364" s="1"/>
      <c r="G1364" s="1"/>
      <c r="H1364" s="19"/>
      <c r="I1364" s="1"/>
      <c r="J1364" s="1"/>
      <c r="K1364" s="19"/>
      <c r="L1364" s="1"/>
      <c r="M1364" s="9"/>
      <c r="N1364" s="1"/>
      <c r="O1364" s="1"/>
      <c r="P1364" s="1"/>
      <c r="Q1364" s="1"/>
      <c r="R1364" s="1"/>
    </row>
    <row r="1365" spans="2:18">
      <c r="B1365" s="1"/>
      <c r="C1365" s="9"/>
      <c r="D1365" s="9"/>
      <c r="E1365" s="9"/>
      <c r="F1365" s="1"/>
      <c r="G1365" s="1"/>
      <c r="H1365" s="19"/>
      <c r="I1365" s="1"/>
      <c r="J1365" s="1"/>
      <c r="K1365" s="19"/>
      <c r="L1365" s="1"/>
      <c r="M1365" s="9"/>
      <c r="N1365" s="1"/>
      <c r="O1365" s="1"/>
      <c r="P1365" s="1"/>
      <c r="Q1365" s="1"/>
      <c r="R1365" s="1"/>
    </row>
    <row r="1366" spans="2:18">
      <c r="B1366" s="1"/>
      <c r="C1366" s="9"/>
      <c r="D1366" s="9"/>
      <c r="E1366" s="9"/>
      <c r="F1366" s="1"/>
      <c r="G1366" s="1"/>
      <c r="H1366" s="19"/>
      <c r="I1366" s="1"/>
      <c r="J1366" s="1"/>
      <c r="K1366" s="19"/>
      <c r="L1366" s="1"/>
      <c r="M1366" s="9"/>
      <c r="N1366" s="1"/>
      <c r="O1366" s="1"/>
      <c r="P1366" s="1"/>
      <c r="Q1366" s="1"/>
      <c r="R1366" s="1"/>
    </row>
    <row r="1367" spans="2:18">
      <c r="B1367" s="1"/>
      <c r="C1367" s="9"/>
      <c r="D1367" s="9"/>
      <c r="E1367" s="9"/>
      <c r="F1367" s="1"/>
      <c r="G1367" s="1"/>
      <c r="H1367" s="19"/>
      <c r="I1367" s="1"/>
      <c r="J1367" s="1"/>
      <c r="K1367" s="19"/>
      <c r="L1367" s="1"/>
      <c r="M1367" s="9"/>
      <c r="N1367" s="1"/>
      <c r="O1367" s="1"/>
      <c r="P1367" s="1"/>
      <c r="Q1367" s="1"/>
      <c r="R1367" s="1"/>
    </row>
    <row r="1368" spans="2:18">
      <c r="B1368" s="1"/>
      <c r="C1368" s="9"/>
      <c r="D1368" s="9"/>
      <c r="E1368" s="9"/>
      <c r="F1368" s="1"/>
      <c r="G1368" s="1"/>
      <c r="H1368" s="19"/>
      <c r="I1368" s="1"/>
      <c r="J1368" s="1"/>
      <c r="K1368" s="19"/>
      <c r="L1368" s="1"/>
      <c r="M1368" s="9"/>
      <c r="N1368" s="1"/>
      <c r="O1368" s="1"/>
      <c r="P1368" s="1"/>
      <c r="Q1368" s="1"/>
      <c r="R1368" s="1"/>
    </row>
    <row r="1369" spans="2:18">
      <c r="B1369" s="1"/>
      <c r="C1369" s="9"/>
      <c r="D1369" s="9"/>
      <c r="E1369" s="9"/>
      <c r="F1369" s="1"/>
      <c r="G1369" s="1"/>
      <c r="H1369" s="19"/>
      <c r="I1369" s="1"/>
      <c r="J1369" s="1"/>
      <c r="K1369" s="19"/>
      <c r="L1369" s="1"/>
      <c r="M1369" s="9"/>
      <c r="N1369" s="1"/>
      <c r="O1369" s="1"/>
      <c r="P1369" s="1"/>
      <c r="Q1369" s="1"/>
      <c r="R1369" s="1"/>
    </row>
    <row r="1370" spans="2:18">
      <c r="B1370" s="1"/>
      <c r="C1370" s="9"/>
      <c r="D1370" s="9"/>
      <c r="E1370" s="9"/>
      <c r="F1370" s="1"/>
      <c r="G1370" s="1"/>
      <c r="H1370" s="19"/>
      <c r="I1370" s="1"/>
      <c r="J1370" s="1"/>
      <c r="K1370" s="19"/>
      <c r="L1370" s="1"/>
      <c r="M1370" s="9"/>
      <c r="N1370" s="1"/>
      <c r="O1370" s="1"/>
      <c r="P1370" s="1"/>
      <c r="Q1370" s="1"/>
      <c r="R1370" s="1"/>
    </row>
    <row r="1371" spans="2:18">
      <c r="B1371" s="1"/>
      <c r="C1371" s="9"/>
      <c r="D1371" s="9"/>
      <c r="E1371" s="9"/>
      <c r="F1371" s="1"/>
      <c r="G1371" s="1"/>
      <c r="H1371" s="19"/>
      <c r="I1371" s="1"/>
      <c r="J1371" s="1"/>
      <c r="K1371" s="19"/>
      <c r="L1371" s="1"/>
      <c r="M1371" s="9"/>
      <c r="N1371" s="1"/>
      <c r="O1371" s="1"/>
      <c r="P1371" s="1"/>
      <c r="Q1371" s="1"/>
      <c r="R1371" s="1"/>
    </row>
    <row r="1372" spans="2:18">
      <c r="B1372" s="1"/>
      <c r="C1372" s="9"/>
      <c r="D1372" s="9"/>
      <c r="E1372" s="9"/>
      <c r="F1372" s="1"/>
      <c r="G1372" s="1"/>
      <c r="H1372" s="19"/>
      <c r="I1372" s="1"/>
      <c r="J1372" s="1"/>
      <c r="K1372" s="19"/>
      <c r="L1372" s="1"/>
      <c r="M1372" s="9"/>
      <c r="N1372" s="1"/>
      <c r="O1372" s="1"/>
      <c r="P1372" s="1"/>
      <c r="Q1372" s="1"/>
      <c r="R1372" s="1"/>
    </row>
    <row r="1373" spans="2:18">
      <c r="B1373" s="1"/>
      <c r="C1373" s="9"/>
      <c r="D1373" s="9"/>
      <c r="E1373" s="9"/>
      <c r="F1373" s="1"/>
      <c r="G1373" s="1"/>
      <c r="H1373" s="19"/>
      <c r="I1373" s="1"/>
      <c r="J1373" s="1"/>
      <c r="K1373" s="19"/>
      <c r="L1373" s="1"/>
      <c r="M1373" s="9"/>
      <c r="N1373" s="1"/>
      <c r="O1373" s="1"/>
      <c r="P1373" s="1"/>
      <c r="Q1373" s="1"/>
      <c r="R1373" s="1"/>
    </row>
    <row r="1374" spans="2:18">
      <c r="B1374" s="1"/>
      <c r="C1374" s="9"/>
      <c r="D1374" s="9"/>
      <c r="E1374" s="9"/>
      <c r="F1374" s="1"/>
      <c r="G1374" s="1"/>
      <c r="H1374" s="19"/>
      <c r="I1374" s="1"/>
      <c r="J1374" s="1"/>
      <c r="K1374" s="19"/>
      <c r="L1374" s="1"/>
      <c r="M1374" s="9"/>
      <c r="N1374" s="1"/>
      <c r="O1374" s="1"/>
      <c r="P1374" s="1"/>
      <c r="Q1374" s="1"/>
      <c r="R1374" s="1"/>
    </row>
    <row r="1375" spans="2:18">
      <c r="B1375" s="1"/>
      <c r="C1375" s="9"/>
      <c r="D1375" s="9"/>
      <c r="E1375" s="9"/>
      <c r="F1375" s="1"/>
      <c r="G1375" s="1"/>
      <c r="H1375" s="19"/>
      <c r="I1375" s="1"/>
      <c r="J1375" s="1"/>
      <c r="K1375" s="19"/>
      <c r="L1375" s="1"/>
      <c r="M1375" s="9"/>
      <c r="N1375" s="1"/>
      <c r="O1375" s="1"/>
      <c r="P1375" s="1"/>
      <c r="Q1375" s="1"/>
      <c r="R1375" s="1"/>
    </row>
    <row r="1376" spans="2:18">
      <c r="B1376" s="1"/>
      <c r="C1376" s="9"/>
      <c r="D1376" s="9"/>
      <c r="E1376" s="9"/>
      <c r="F1376" s="1"/>
      <c r="G1376" s="1"/>
      <c r="H1376" s="19"/>
      <c r="I1376" s="1"/>
      <c r="J1376" s="1"/>
      <c r="K1376" s="19"/>
      <c r="L1376" s="1"/>
      <c r="M1376" s="9"/>
      <c r="N1376" s="1"/>
      <c r="O1376" s="1"/>
      <c r="P1376" s="1"/>
      <c r="Q1376" s="1"/>
      <c r="R1376" s="1"/>
    </row>
    <row r="1377" spans="2:18">
      <c r="B1377" s="1"/>
      <c r="C1377" s="9"/>
      <c r="D1377" s="9"/>
      <c r="E1377" s="9"/>
      <c r="F1377" s="1"/>
      <c r="G1377" s="1"/>
      <c r="H1377" s="19"/>
      <c r="I1377" s="1"/>
      <c r="J1377" s="1"/>
      <c r="K1377" s="19"/>
      <c r="L1377" s="1"/>
      <c r="M1377" s="9"/>
      <c r="N1377" s="1"/>
      <c r="O1377" s="1"/>
      <c r="P1377" s="1"/>
      <c r="Q1377" s="1"/>
      <c r="R1377" s="1"/>
    </row>
    <row r="1378" spans="2:18">
      <c r="B1378" s="1"/>
      <c r="C1378" s="9"/>
      <c r="D1378" s="9"/>
      <c r="E1378" s="9"/>
      <c r="F1378" s="1"/>
      <c r="G1378" s="1"/>
      <c r="H1378" s="19"/>
      <c r="I1378" s="1"/>
      <c r="J1378" s="1"/>
      <c r="K1378" s="19"/>
      <c r="L1378" s="1"/>
      <c r="M1378" s="9"/>
      <c r="N1378" s="1"/>
      <c r="O1378" s="1"/>
      <c r="P1378" s="1"/>
      <c r="Q1378" s="1"/>
      <c r="R1378" s="1"/>
    </row>
    <row r="1379" spans="2:18">
      <c r="B1379" s="1"/>
      <c r="C1379" s="9"/>
      <c r="D1379" s="9"/>
      <c r="E1379" s="9"/>
      <c r="F1379" s="1"/>
      <c r="G1379" s="1"/>
      <c r="H1379" s="19"/>
      <c r="I1379" s="1"/>
      <c r="J1379" s="1"/>
      <c r="K1379" s="19"/>
      <c r="L1379" s="1"/>
      <c r="M1379" s="9"/>
      <c r="N1379" s="1"/>
      <c r="O1379" s="1"/>
      <c r="P1379" s="1"/>
      <c r="Q1379" s="1"/>
      <c r="R1379" s="1"/>
    </row>
    <row r="1380" spans="2:18">
      <c r="B1380" s="1"/>
      <c r="C1380" s="9"/>
      <c r="D1380" s="9"/>
      <c r="E1380" s="9"/>
      <c r="F1380" s="1"/>
      <c r="G1380" s="1"/>
      <c r="H1380" s="19"/>
      <c r="I1380" s="1"/>
      <c r="J1380" s="1"/>
      <c r="K1380" s="19"/>
      <c r="L1380" s="1"/>
      <c r="M1380" s="9"/>
      <c r="N1380" s="1"/>
      <c r="O1380" s="1"/>
      <c r="P1380" s="1"/>
      <c r="Q1380" s="1"/>
      <c r="R1380" s="1"/>
    </row>
    <row r="1381" spans="2:18">
      <c r="B1381" s="1"/>
      <c r="C1381" s="9"/>
      <c r="D1381" s="9"/>
      <c r="E1381" s="9"/>
      <c r="F1381" s="1"/>
      <c r="G1381" s="1"/>
      <c r="H1381" s="19"/>
      <c r="I1381" s="1"/>
      <c r="J1381" s="1"/>
      <c r="K1381" s="19"/>
      <c r="L1381" s="1"/>
      <c r="M1381" s="9"/>
      <c r="N1381" s="1"/>
      <c r="O1381" s="1"/>
      <c r="P1381" s="1"/>
      <c r="Q1381" s="1"/>
      <c r="R1381" s="1"/>
    </row>
    <row r="1382" spans="2:18">
      <c r="B1382" s="1"/>
      <c r="C1382" s="9"/>
      <c r="D1382" s="9"/>
      <c r="E1382" s="9"/>
      <c r="F1382" s="1"/>
      <c r="G1382" s="1"/>
      <c r="H1382" s="19"/>
      <c r="I1382" s="1"/>
      <c r="J1382" s="1"/>
      <c r="K1382" s="19"/>
      <c r="L1382" s="1"/>
      <c r="M1382" s="9"/>
      <c r="N1382" s="1"/>
      <c r="O1382" s="1"/>
      <c r="P1382" s="1"/>
      <c r="Q1382" s="1"/>
      <c r="R1382" s="1"/>
    </row>
    <row r="1383" spans="2:18">
      <c r="B1383" s="1"/>
      <c r="C1383" s="9"/>
      <c r="D1383" s="9"/>
      <c r="E1383" s="9"/>
      <c r="F1383" s="1"/>
      <c r="G1383" s="1"/>
      <c r="H1383" s="19"/>
      <c r="I1383" s="1"/>
      <c r="J1383" s="1"/>
      <c r="K1383" s="19"/>
      <c r="L1383" s="1"/>
      <c r="M1383" s="9"/>
      <c r="N1383" s="1"/>
      <c r="O1383" s="1"/>
      <c r="P1383" s="1"/>
      <c r="Q1383" s="1"/>
      <c r="R1383" s="1"/>
    </row>
    <row r="1384" spans="2:18">
      <c r="B1384" s="1"/>
      <c r="C1384" s="9"/>
      <c r="D1384" s="9"/>
      <c r="E1384" s="9"/>
      <c r="F1384" s="1"/>
      <c r="G1384" s="1"/>
      <c r="H1384" s="19"/>
      <c r="I1384" s="1"/>
      <c r="J1384" s="1"/>
      <c r="K1384" s="19"/>
      <c r="L1384" s="1"/>
      <c r="M1384" s="9"/>
      <c r="N1384" s="1"/>
      <c r="O1384" s="1"/>
      <c r="P1384" s="1"/>
      <c r="Q1384" s="1"/>
      <c r="R1384" s="1"/>
    </row>
    <row r="1385" spans="2:18">
      <c r="B1385" s="1"/>
      <c r="C1385" s="9"/>
      <c r="D1385" s="9"/>
      <c r="E1385" s="9"/>
      <c r="F1385" s="1"/>
      <c r="G1385" s="1"/>
      <c r="H1385" s="19"/>
      <c r="I1385" s="1"/>
      <c r="J1385" s="1"/>
      <c r="K1385" s="19"/>
      <c r="L1385" s="1"/>
      <c r="M1385" s="9"/>
      <c r="N1385" s="1"/>
      <c r="O1385" s="1"/>
      <c r="P1385" s="1"/>
      <c r="Q1385" s="1"/>
      <c r="R1385" s="1"/>
    </row>
    <row r="1386" spans="2:18">
      <c r="B1386" s="1"/>
      <c r="C1386" s="9"/>
      <c r="D1386" s="9"/>
      <c r="E1386" s="9"/>
      <c r="F1386" s="1"/>
      <c r="G1386" s="1"/>
      <c r="H1386" s="19"/>
      <c r="I1386" s="1"/>
      <c r="J1386" s="1"/>
      <c r="K1386" s="19"/>
      <c r="L1386" s="1"/>
      <c r="M1386" s="9"/>
      <c r="N1386" s="1"/>
      <c r="O1386" s="1"/>
      <c r="P1386" s="1"/>
      <c r="Q1386" s="1"/>
      <c r="R1386" s="1"/>
    </row>
    <row r="1387" spans="2:18">
      <c r="B1387" s="1"/>
      <c r="C1387" s="9"/>
      <c r="D1387" s="9"/>
      <c r="E1387" s="9"/>
      <c r="F1387" s="1"/>
      <c r="G1387" s="1"/>
      <c r="H1387" s="19"/>
      <c r="I1387" s="1"/>
      <c r="J1387" s="1"/>
      <c r="K1387" s="19"/>
      <c r="L1387" s="1"/>
      <c r="M1387" s="9"/>
      <c r="N1387" s="1"/>
      <c r="O1387" s="1"/>
      <c r="P1387" s="1"/>
      <c r="Q1387" s="1"/>
      <c r="R1387" s="1"/>
    </row>
    <row r="1388" spans="2:18">
      <c r="B1388" s="1"/>
      <c r="C1388" s="9"/>
      <c r="D1388" s="9"/>
      <c r="E1388" s="9"/>
      <c r="F1388" s="1"/>
      <c r="G1388" s="1"/>
      <c r="H1388" s="19"/>
      <c r="I1388" s="1"/>
      <c r="J1388" s="1"/>
      <c r="K1388" s="19"/>
      <c r="L1388" s="1"/>
      <c r="M1388" s="9"/>
      <c r="N1388" s="1"/>
      <c r="O1388" s="1"/>
      <c r="P1388" s="1"/>
      <c r="Q1388" s="1"/>
      <c r="R1388" s="1"/>
    </row>
    <row r="1389" spans="2:18">
      <c r="B1389" s="1"/>
      <c r="C1389" s="9"/>
      <c r="D1389" s="9"/>
      <c r="E1389" s="9"/>
      <c r="F1389" s="1"/>
      <c r="G1389" s="1"/>
      <c r="H1389" s="19"/>
      <c r="I1389" s="1"/>
      <c r="J1389" s="1"/>
      <c r="K1389" s="19"/>
      <c r="L1389" s="1"/>
      <c r="M1389" s="9"/>
      <c r="N1389" s="1"/>
      <c r="O1389" s="1"/>
      <c r="P1389" s="1"/>
      <c r="Q1389" s="1"/>
      <c r="R1389" s="1"/>
    </row>
    <row r="1390" spans="2:18">
      <c r="B1390" s="1"/>
      <c r="C1390" s="9"/>
      <c r="D1390" s="9"/>
      <c r="E1390" s="9"/>
      <c r="F1390" s="1"/>
      <c r="G1390" s="1"/>
      <c r="H1390" s="19"/>
      <c r="I1390" s="1"/>
      <c r="J1390" s="1"/>
      <c r="K1390" s="19"/>
      <c r="L1390" s="1"/>
      <c r="M1390" s="9"/>
      <c r="N1390" s="1"/>
      <c r="O1390" s="1"/>
      <c r="P1390" s="1"/>
      <c r="Q1390" s="1"/>
      <c r="R1390" s="1"/>
    </row>
    <row r="1391" spans="2:18">
      <c r="B1391" s="1"/>
      <c r="C1391" s="9"/>
      <c r="D1391" s="9"/>
      <c r="E1391" s="9"/>
      <c r="F1391" s="1"/>
      <c r="G1391" s="1"/>
      <c r="H1391" s="19"/>
      <c r="I1391" s="1"/>
      <c r="J1391" s="1"/>
      <c r="K1391" s="19"/>
      <c r="L1391" s="1"/>
      <c r="M1391" s="9"/>
      <c r="N1391" s="1"/>
      <c r="O1391" s="1"/>
      <c r="P1391" s="1"/>
      <c r="Q1391" s="1"/>
      <c r="R1391" s="1"/>
    </row>
    <row r="1392" spans="2:18">
      <c r="B1392" s="1"/>
      <c r="C1392" s="9"/>
      <c r="D1392" s="9"/>
      <c r="E1392" s="9"/>
      <c r="F1392" s="1"/>
      <c r="G1392" s="1"/>
      <c r="H1392" s="19"/>
      <c r="I1392" s="1"/>
      <c r="J1392" s="1"/>
      <c r="K1392" s="19"/>
      <c r="L1392" s="1"/>
      <c r="M1392" s="9"/>
      <c r="N1392" s="1"/>
      <c r="O1392" s="1"/>
      <c r="P1392" s="1"/>
      <c r="Q1392" s="1"/>
      <c r="R1392" s="1"/>
    </row>
    <row r="1393" spans="2:18">
      <c r="B1393" s="1"/>
      <c r="C1393" s="9"/>
      <c r="D1393" s="9"/>
      <c r="E1393" s="9"/>
      <c r="F1393" s="1"/>
      <c r="G1393" s="1"/>
      <c r="H1393" s="19"/>
      <c r="I1393" s="1"/>
      <c r="J1393" s="1"/>
      <c r="K1393" s="19"/>
      <c r="L1393" s="1"/>
      <c r="M1393" s="9"/>
      <c r="N1393" s="1"/>
      <c r="O1393" s="1"/>
      <c r="P1393" s="1"/>
      <c r="Q1393" s="1"/>
      <c r="R1393" s="1"/>
    </row>
    <row r="1394" spans="2:18">
      <c r="B1394" s="1"/>
      <c r="C1394" s="9"/>
      <c r="D1394" s="9"/>
      <c r="E1394" s="9"/>
      <c r="F1394" s="1"/>
      <c r="G1394" s="1"/>
      <c r="H1394" s="19"/>
      <c r="I1394" s="1"/>
      <c r="J1394" s="1"/>
      <c r="K1394" s="19"/>
      <c r="L1394" s="1"/>
      <c r="M1394" s="9"/>
      <c r="N1394" s="1"/>
      <c r="O1394" s="1"/>
      <c r="P1394" s="1"/>
      <c r="Q1394" s="1"/>
      <c r="R1394" s="1"/>
    </row>
    <row r="1395" spans="2:18">
      <c r="B1395" s="1"/>
      <c r="C1395" s="9"/>
      <c r="D1395" s="9"/>
      <c r="E1395" s="9"/>
      <c r="F1395" s="1"/>
      <c r="G1395" s="1"/>
      <c r="H1395" s="19"/>
      <c r="I1395" s="1"/>
      <c r="J1395" s="1"/>
      <c r="K1395" s="19"/>
      <c r="L1395" s="1"/>
      <c r="M1395" s="9"/>
      <c r="N1395" s="1"/>
      <c r="O1395" s="1"/>
      <c r="P1395" s="1"/>
      <c r="Q1395" s="1"/>
      <c r="R1395" s="1"/>
    </row>
    <row r="1396" spans="2:18">
      <c r="B1396" s="1"/>
      <c r="C1396" s="9"/>
      <c r="D1396" s="9"/>
      <c r="E1396" s="9"/>
      <c r="F1396" s="1"/>
      <c r="G1396" s="1"/>
      <c r="H1396" s="19"/>
      <c r="I1396" s="1"/>
      <c r="J1396" s="1"/>
      <c r="K1396" s="19"/>
      <c r="L1396" s="1"/>
      <c r="M1396" s="9"/>
      <c r="N1396" s="1"/>
      <c r="O1396" s="1"/>
      <c r="P1396" s="1"/>
      <c r="Q1396" s="1"/>
      <c r="R1396" s="1"/>
    </row>
    <row r="1397" spans="2:18">
      <c r="B1397" s="1"/>
      <c r="C1397" s="9"/>
      <c r="D1397" s="9"/>
      <c r="E1397" s="9"/>
      <c r="F1397" s="1"/>
      <c r="G1397" s="1"/>
      <c r="H1397" s="19"/>
      <c r="I1397" s="1"/>
      <c r="J1397" s="1"/>
      <c r="K1397" s="19"/>
      <c r="L1397" s="1"/>
      <c r="M1397" s="9"/>
      <c r="N1397" s="1"/>
      <c r="O1397" s="1"/>
      <c r="P1397" s="1"/>
      <c r="Q1397" s="1"/>
      <c r="R1397" s="1"/>
    </row>
    <row r="1398" spans="2:18">
      <c r="B1398" s="1"/>
      <c r="C1398" s="9"/>
      <c r="D1398" s="9"/>
      <c r="E1398" s="9"/>
      <c r="F1398" s="1"/>
      <c r="G1398" s="1"/>
      <c r="H1398" s="19"/>
      <c r="I1398" s="1"/>
      <c r="J1398" s="1"/>
      <c r="K1398" s="19"/>
      <c r="L1398" s="1"/>
      <c r="M1398" s="9"/>
      <c r="N1398" s="1"/>
      <c r="O1398" s="1"/>
      <c r="P1398" s="1"/>
      <c r="Q1398" s="1"/>
      <c r="R1398" s="1"/>
    </row>
    <row r="1399" spans="2:18">
      <c r="B1399" s="1"/>
      <c r="C1399" s="9"/>
      <c r="D1399" s="9"/>
      <c r="E1399" s="9"/>
      <c r="F1399" s="1"/>
      <c r="G1399" s="1"/>
      <c r="H1399" s="19"/>
      <c r="I1399" s="1"/>
      <c r="J1399" s="1"/>
      <c r="K1399" s="19"/>
      <c r="L1399" s="1"/>
      <c r="M1399" s="9"/>
      <c r="N1399" s="1"/>
      <c r="O1399" s="1"/>
      <c r="P1399" s="1"/>
      <c r="Q1399" s="1"/>
      <c r="R1399" s="1"/>
    </row>
    <row r="1400" spans="2:18">
      <c r="B1400" s="1"/>
      <c r="C1400" s="9"/>
      <c r="D1400" s="9"/>
      <c r="E1400" s="9"/>
      <c r="F1400" s="1"/>
      <c r="G1400" s="1"/>
      <c r="H1400" s="19"/>
      <c r="I1400" s="1"/>
      <c r="J1400" s="1"/>
      <c r="K1400" s="19"/>
      <c r="L1400" s="1"/>
      <c r="M1400" s="9"/>
      <c r="N1400" s="1"/>
      <c r="O1400" s="1"/>
      <c r="P1400" s="1"/>
      <c r="Q1400" s="1"/>
      <c r="R1400" s="1"/>
    </row>
    <row r="1401" spans="2:18">
      <c r="B1401" s="1"/>
      <c r="C1401" s="9"/>
      <c r="D1401" s="9"/>
      <c r="E1401" s="9"/>
      <c r="F1401" s="1"/>
      <c r="G1401" s="1"/>
      <c r="H1401" s="19"/>
      <c r="I1401" s="1"/>
      <c r="J1401" s="1"/>
      <c r="K1401" s="19"/>
      <c r="L1401" s="1"/>
      <c r="M1401" s="9"/>
      <c r="N1401" s="1"/>
      <c r="O1401" s="1"/>
      <c r="P1401" s="1"/>
      <c r="Q1401" s="1"/>
      <c r="R1401" s="1"/>
    </row>
    <row r="1402" spans="2:18">
      <c r="B1402" s="1"/>
      <c r="C1402" s="9"/>
      <c r="D1402" s="9"/>
      <c r="E1402" s="9"/>
      <c r="F1402" s="1"/>
      <c r="G1402" s="1"/>
      <c r="H1402" s="19"/>
      <c r="I1402" s="1"/>
      <c r="J1402" s="1"/>
      <c r="K1402" s="19"/>
      <c r="L1402" s="1"/>
      <c r="M1402" s="9"/>
      <c r="N1402" s="1"/>
      <c r="O1402" s="1"/>
      <c r="P1402" s="1"/>
      <c r="Q1402" s="1"/>
      <c r="R1402" s="1"/>
    </row>
    <row r="1403" spans="2:18">
      <c r="B1403" s="1"/>
      <c r="C1403" s="9"/>
      <c r="D1403" s="9"/>
      <c r="E1403" s="9"/>
      <c r="F1403" s="1"/>
      <c r="G1403" s="1"/>
      <c r="H1403" s="19"/>
      <c r="I1403" s="1"/>
      <c r="J1403" s="1"/>
      <c r="K1403" s="19"/>
      <c r="L1403" s="1"/>
      <c r="M1403" s="9"/>
      <c r="N1403" s="1"/>
      <c r="O1403" s="1"/>
      <c r="P1403" s="1"/>
      <c r="Q1403" s="1"/>
      <c r="R1403" s="1"/>
    </row>
    <row r="1404" spans="2:18">
      <c r="B1404" s="1"/>
      <c r="C1404" s="9"/>
      <c r="D1404" s="9"/>
      <c r="E1404" s="9"/>
      <c r="F1404" s="1"/>
      <c r="G1404" s="1"/>
      <c r="H1404" s="19"/>
      <c r="I1404" s="1"/>
      <c r="J1404" s="1"/>
      <c r="K1404" s="19"/>
      <c r="L1404" s="1"/>
      <c r="M1404" s="9"/>
      <c r="N1404" s="1"/>
      <c r="O1404" s="1"/>
      <c r="P1404" s="1"/>
      <c r="Q1404" s="1"/>
      <c r="R1404" s="1"/>
    </row>
    <row r="1405" spans="2:18">
      <c r="B1405" s="1"/>
      <c r="C1405" s="9"/>
      <c r="D1405" s="9"/>
      <c r="E1405" s="9"/>
      <c r="F1405" s="1"/>
      <c r="G1405" s="1"/>
      <c r="H1405" s="19"/>
      <c r="I1405" s="1"/>
      <c r="J1405" s="1"/>
      <c r="K1405" s="19"/>
      <c r="L1405" s="1"/>
      <c r="M1405" s="9"/>
      <c r="N1405" s="1"/>
      <c r="O1405" s="1"/>
      <c r="P1405" s="1"/>
      <c r="Q1405" s="1"/>
      <c r="R1405" s="1"/>
    </row>
    <row r="1406" spans="2:18">
      <c r="B1406" s="1"/>
      <c r="C1406" s="9"/>
      <c r="D1406" s="9"/>
      <c r="E1406" s="9"/>
      <c r="F1406" s="1"/>
      <c r="G1406" s="1"/>
      <c r="H1406" s="19"/>
      <c r="I1406" s="1"/>
      <c r="J1406" s="1"/>
      <c r="K1406" s="19"/>
      <c r="L1406" s="1"/>
      <c r="M1406" s="9"/>
      <c r="N1406" s="1"/>
      <c r="O1406" s="1"/>
      <c r="P1406" s="1"/>
      <c r="Q1406" s="1"/>
      <c r="R1406" s="1"/>
    </row>
    <row r="1407" spans="2:18">
      <c r="B1407" s="1"/>
      <c r="C1407" s="9"/>
      <c r="D1407" s="9"/>
      <c r="E1407" s="9"/>
      <c r="F1407" s="1"/>
      <c r="G1407" s="1"/>
      <c r="H1407" s="19"/>
      <c r="I1407" s="1"/>
      <c r="J1407" s="1"/>
      <c r="K1407" s="19"/>
      <c r="L1407" s="1"/>
      <c r="M1407" s="9"/>
      <c r="N1407" s="1"/>
      <c r="O1407" s="1"/>
      <c r="P1407" s="1"/>
      <c r="Q1407" s="1"/>
      <c r="R1407" s="1"/>
    </row>
    <row r="1408" spans="2:18">
      <c r="B1408" s="1"/>
      <c r="C1408" s="9"/>
      <c r="D1408" s="9"/>
      <c r="E1408" s="9"/>
      <c r="F1408" s="1"/>
      <c r="G1408" s="1"/>
      <c r="H1408" s="19"/>
      <c r="I1408" s="1"/>
      <c r="J1408" s="1"/>
      <c r="K1408" s="19"/>
      <c r="L1408" s="1"/>
      <c r="M1408" s="9"/>
      <c r="N1408" s="1"/>
      <c r="O1408" s="1"/>
      <c r="P1408" s="1"/>
      <c r="Q1408" s="1"/>
      <c r="R1408" s="1"/>
    </row>
    <row r="1409" spans="2:18">
      <c r="B1409" s="1"/>
      <c r="C1409" s="9"/>
      <c r="D1409" s="9"/>
      <c r="E1409" s="9"/>
      <c r="F1409" s="1"/>
      <c r="G1409" s="1"/>
      <c r="H1409" s="19"/>
      <c r="I1409" s="1"/>
      <c r="J1409" s="1"/>
      <c r="K1409" s="19"/>
      <c r="L1409" s="1"/>
      <c r="M1409" s="9"/>
      <c r="N1409" s="1"/>
      <c r="O1409" s="1"/>
      <c r="P1409" s="1"/>
      <c r="Q1409" s="1"/>
      <c r="R1409" s="1"/>
    </row>
    <row r="1410" spans="2:18">
      <c r="B1410" s="1"/>
      <c r="C1410" s="9"/>
      <c r="D1410" s="9"/>
      <c r="E1410" s="9"/>
      <c r="F1410" s="1"/>
      <c r="G1410" s="1"/>
      <c r="H1410" s="19"/>
      <c r="I1410" s="1"/>
      <c r="J1410" s="1"/>
      <c r="K1410" s="19"/>
      <c r="L1410" s="1"/>
      <c r="M1410" s="9"/>
      <c r="N1410" s="1"/>
      <c r="O1410" s="1"/>
      <c r="P1410" s="1"/>
      <c r="Q1410" s="1"/>
      <c r="R1410" s="1"/>
    </row>
    <row r="1411" spans="2:18">
      <c r="B1411" s="1"/>
      <c r="C1411" s="9"/>
      <c r="D1411" s="9"/>
      <c r="E1411" s="9"/>
      <c r="F1411" s="1"/>
      <c r="G1411" s="1"/>
      <c r="H1411" s="19"/>
      <c r="I1411" s="1"/>
      <c r="J1411" s="1"/>
      <c r="K1411" s="19"/>
      <c r="L1411" s="1"/>
      <c r="M1411" s="9"/>
      <c r="N1411" s="1"/>
      <c r="O1411" s="1"/>
      <c r="P1411" s="1"/>
      <c r="Q1411" s="1"/>
      <c r="R1411" s="1"/>
    </row>
    <row r="1412" spans="2:18">
      <c r="B1412" s="1"/>
      <c r="C1412" s="9"/>
      <c r="D1412" s="9"/>
      <c r="E1412" s="9"/>
      <c r="F1412" s="1"/>
      <c r="G1412" s="1"/>
      <c r="H1412" s="19"/>
      <c r="I1412" s="1"/>
      <c r="J1412" s="1"/>
      <c r="K1412" s="19"/>
      <c r="L1412" s="1"/>
      <c r="M1412" s="9"/>
      <c r="N1412" s="1"/>
      <c r="O1412" s="1"/>
      <c r="P1412" s="1"/>
      <c r="Q1412" s="1"/>
      <c r="R1412" s="1"/>
    </row>
    <row r="1413" spans="2:18">
      <c r="B1413" s="1"/>
      <c r="C1413" s="9"/>
      <c r="D1413" s="9"/>
      <c r="E1413" s="9"/>
      <c r="F1413" s="1"/>
      <c r="G1413" s="1"/>
      <c r="H1413" s="19"/>
      <c r="I1413" s="1"/>
      <c r="J1413" s="1"/>
      <c r="K1413" s="19"/>
      <c r="L1413" s="1"/>
      <c r="M1413" s="9"/>
      <c r="N1413" s="1"/>
      <c r="O1413" s="1"/>
      <c r="P1413" s="1"/>
      <c r="Q1413" s="1"/>
      <c r="R1413" s="1"/>
    </row>
    <row r="1414" spans="2:18">
      <c r="B1414" s="1"/>
      <c r="C1414" s="9"/>
      <c r="D1414" s="9"/>
      <c r="E1414" s="9"/>
      <c r="F1414" s="1"/>
      <c r="G1414" s="1"/>
      <c r="H1414" s="19"/>
      <c r="I1414" s="1"/>
      <c r="J1414" s="1"/>
      <c r="K1414" s="19"/>
      <c r="L1414" s="1"/>
      <c r="M1414" s="9"/>
      <c r="N1414" s="1"/>
      <c r="O1414" s="1"/>
      <c r="P1414" s="1"/>
      <c r="Q1414" s="1"/>
      <c r="R1414" s="1"/>
    </row>
    <row r="1415" spans="2:18">
      <c r="B1415" s="1"/>
      <c r="C1415" s="9"/>
      <c r="D1415" s="9"/>
      <c r="E1415" s="9"/>
      <c r="F1415" s="1"/>
      <c r="G1415" s="1"/>
      <c r="H1415" s="19"/>
      <c r="I1415" s="1"/>
      <c r="J1415" s="1"/>
      <c r="K1415" s="19"/>
      <c r="L1415" s="1"/>
      <c r="M1415" s="9"/>
      <c r="N1415" s="1"/>
      <c r="O1415" s="1"/>
      <c r="P1415" s="1"/>
      <c r="Q1415" s="1"/>
      <c r="R1415" s="1"/>
    </row>
    <row r="1416" spans="2:18">
      <c r="B1416" s="1"/>
      <c r="C1416" s="9"/>
      <c r="D1416" s="9"/>
      <c r="E1416" s="9"/>
      <c r="F1416" s="1"/>
      <c r="G1416" s="1"/>
      <c r="H1416" s="19"/>
      <c r="I1416" s="1"/>
      <c r="J1416" s="1"/>
      <c r="K1416" s="19"/>
      <c r="L1416" s="1"/>
      <c r="M1416" s="9"/>
      <c r="N1416" s="1"/>
      <c r="O1416" s="1"/>
      <c r="P1416" s="1"/>
      <c r="Q1416" s="1"/>
      <c r="R1416" s="1"/>
    </row>
    <row r="1417" spans="2:18">
      <c r="B1417" s="1"/>
      <c r="C1417" s="9"/>
      <c r="D1417" s="9"/>
      <c r="E1417" s="9"/>
      <c r="F1417" s="1"/>
      <c r="G1417" s="1"/>
      <c r="H1417" s="19"/>
      <c r="I1417" s="1"/>
      <c r="J1417" s="1"/>
      <c r="K1417" s="19"/>
      <c r="L1417" s="1"/>
      <c r="M1417" s="9"/>
      <c r="N1417" s="1"/>
      <c r="O1417" s="1"/>
      <c r="P1417" s="1"/>
      <c r="Q1417" s="1"/>
      <c r="R1417" s="1"/>
    </row>
    <row r="1418" spans="2:18">
      <c r="B1418" s="1"/>
      <c r="C1418" s="9"/>
      <c r="D1418" s="9"/>
      <c r="E1418" s="9"/>
      <c r="F1418" s="1"/>
      <c r="G1418" s="1"/>
      <c r="H1418" s="19"/>
      <c r="I1418" s="1"/>
      <c r="J1418" s="1"/>
      <c r="K1418" s="19"/>
      <c r="L1418" s="1"/>
      <c r="M1418" s="9"/>
      <c r="N1418" s="1"/>
      <c r="O1418" s="1"/>
      <c r="P1418" s="1"/>
      <c r="Q1418" s="1"/>
      <c r="R1418" s="1"/>
    </row>
    <row r="1419" spans="2:18">
      <c r="B1419" s="1"/>
      <c r="C1419" s="9"/>
      <c r="D1419" s="9"/>
      <c r="E1419" s="9"/>
      <c r="F1419" s="1"/>
      <c r="G1419" s="1"/>
      <c r="H1419" s="19"/>
      <c r="I1419" s="1"/>
      <c r="J1419" s="1"/>
      <c r="K1419" s="19"/>
      <c r="L1419" s="1"/>
      <c r="M1419" s="9"/>
      <c r="N1419" s="1"/>
      <c r="O1419" s="1"/>
      <c r="P1419" s="1"/>
      <c r="Q1419" s="1"/>
      <c r="R1419" s="1"/>
    </row>
    <row r="1420" spans="2:18">
      <c r="B1420" s="1"/>
      <c r="C1420" s="9"/>
      <c r="D1420" s="9"/>
      <c r="E1420" s="9"/>
      <c r="F1420" s="1"/>
      <c r="G1420" s="1"/>
      <c r="H1420" s="19"/>
      <c r="I1420" s="1"/>
      <c r="J1420" s="1"/>
      <c r="K1420" s="19"/>
      <c r="L1420" s="1"/>
      <c r="M1420" s="9"/>
      <c r="N1420" s="1"/>
      <c r="O1420" s="1"/>
      <c r="P1420" s="1"/>
      <c r="Q1420" s="1"/>
      <c r="R1420" s="1"/>
    </row>
    <row r="1421" spans="2:18">
      <c r="B1421" s="1"/>
      <c r="C1421" s="9"/>
      <c r="D1421" s="9"/>
      <c r="E1421" s="9"/>
      <c r="F1421" s="1"/>
      <c r="G1421" s="1"/>
      <c r="H1421" s="19"/>
      <c r="I1421" s="1"/>
      <c r="J1421" s="1"/>
      <c r="K1421" s="19"/>
      <c r="L1421" s="1"/>
      <c r="M1421" s="9"/>
      <c r="N1421" s="1"/>
      <c r="O1421" s="1"/>
      <c r="P1421" s="1"/>
      <c r="Q1421" s="1"/>
      <c r="R1421" s="1"/>
    </row>
    <row r="1422" spans="2:18">
      <c r="B1422" s="1"/>
      <c r="C1422" s="9"/>
      <c r="D1422" s="9"/>
      <c r="E1422" s="9"/>
      <c r="F1422" s="1"/>
      <c r="G1422" s="1"/>
      <c r="H1422" s="19"/>
      <c r="I1422" s="1"/>
      <c r="J1422" s="1"/>
      <c r="K1422" s="19"/>
      <c r="L1422" s="1"/>
      <c r="M1422" s="9"/>
      <c r="N1422" s="1"/>
      <c r="O1422" s="1"/>
      <c r="P1422" s="1"/>
      <c r="Q1422" s="1"/>
      <c r="R1422" s="1"/>
    </row>
    <row r="1423" spans="2:18">
      <c r="B1423" s="1"/>
      <c r="C1423" s="9"/>
      <c r="D1423" s="9"/>
      <c r="E1423" s="9"/>
      <c r="F1423" s="1"/>
      <c r="G1423" s="1"/>
      <c r="H1423" s="19"/>
      <c r="I1423" s="1"/>
      <c r="J1423" s="1"/>
      <c r="K1423" s="19"/>
      <c r="L1423" s="1"/>
      <c r="M1423" s="9"/>
      <c r="N1423" s="1"/>
      <c r="O1423" s="1"/>
      <c r="P1423" s="1"/>
      <c r="Q1423" s="1"/>
      <c r="R1423" s="1"/>
    </row>
    <row r="1424" spans="2:18">
      <c r="B1424" s="1"/>
      <c r="C1424" s="9"/>
      <c r="D1424" s="9"/>
      <c r="E1424" s="9"/>
      <c r="F1424" s="1"/>
      <c r="G1424" s="1"/>
      <c r="H1424" s="19"/>
      <c r="I1424" s="1"/>
      <c r="J1424" s="1"/>
      <c r="K1424" s="19"/>
      <c r="L1424" s="1"/>
      <c r="M1424" s="9"/>
      <c r="N1424" s="1"/>
      <c r="O1424" s="1"/>
      <c r="P1424" s="1"/>
      <c r="Q1424" s="1"/>
      <c r="R1424" s="1"/>
    </row>
    <row r="1425" spans="2:18">
      <c r="B1425" s="1"/>
      <c r="C1425" s="9"/>
      <c r="D1425" s="9"/>
      <c r="E1425" s="9"/>
      <c r="F1425" s="1"/>
      <c r="G1425" s="1"/>
      <c r="H1425" s="19"/>
      <c r="I1425" s="1"/>
      <c r="J1425" s="1"/>
      <c r="K1425" s="19"/>
      <c r="L1425" s="1"/>
      <c r="M1425" s="9"/>
      <c r="N1425" s="1"/>
      <c r="O1425" s="1"/>
      <c r="P1425" s="1"/>
      <c r="Q1425" s="1"/>
      <c r="R1425" s="1"/>
    </row>
    <row r="1426" spans="2:18">
      <c r="B1426" s="1"/>
      <c r="C1426" s="9"/>
      <c r="D1426" s="9"/>
      <c r="E1426" s="9"/>
      <c r="F1426" s="1"/>
      <c r="G1426" s="1"/>
      <c r="H1426" s="19"/>
      <c r="I1426" s="1"/>
      <c r="J1426" s="1"/>
      <c r="K1426" s="19"/>
      <c r="L1426" s="1"/>
      <c r="M1426" s="9"/>
      <c r="N1426" s="1"/>
      <c r="O1426" s="1"/>
      <c r="P1426" s="1"/>
      <c r="Q1426" s="1"/>
      <c r="R1426" s="1"/>
    </row>
    <row r="1427" spans="2:18">
      <c r="B1427" s="1"/>
      <c r="C1427" s="9"/>
      <c r="D1427" s="9"/>
      <c r="E1427" s="9"/>
      <c r="F1427" s="1"/>
      <c r="G1427" s="1"/>
      <c r="H1427" s="19"/>
      <c r="I1427" s="1"/>
      <c r="J1427" s="1"/>
      <c r="K1427" s="19"/>
      <c r="L1427" s="1"/>
      <c r="M1427" s="9"/>
      <c r="N1427" s="1"/>
      <c r="O1427" s="1"/>
      <c r="P1427" s="1"/>
      <c r="Q1427" s="1"/>
      <c r="R1427" s="1"/>
    </row>
    <row r="1428" spans="2:18">
      <c r="B1428" s="1"/>
      <c r="C1428" s="9"/>
      <c r="D1428" s="9"/>
      <c r="E1428" s="9"/>
      <c r="F1428" s="1"/>
      <c r="G1428" s="1"/>
      <c r="H1428" s="19"/>
      <c r="I1428" s="1"/>
      <c r="J1428" s="1"/>
      <c r="K1428" s="19"/>
      <c r="L1428" s="1"/>
      <c r="M1428" s="9"/>
      <c r="N1428" s="1"/>
      <c r="O1428" s="1"/>
      <c r="P1428" s="1"/>
      <c r="Q1428" s="1"/>
      <c r="R1428" s="1"/>
    </row>
    <row r="1429" spans="2:18">
      <c r="B1429" s="1"/>
      <c r="C1429" s="9"/>
      <c r="D1429" s="9"/>
      <c r="E1429" s="9"/>
      <c r="F1429" s="1"/>
      <c r="G1429" s="1"/>
      <c r="H1429" s="19"/>
      <c r="I1429" s="1"/>
      <c r="J1429" s="1"/>
      <c r="K1429" s="19"/>
      <c r="L1429" s="1"/>
      <c r="M1429" s="9"/>
      <c r="N1429" s="1"/>
      <c r="O1429" s="1"/>
      <c r="P1429" s="1"/>
      <c r="Q1429" s="1"/>
      <c r="R1429" s="1"/>
    </row>
    <row r="1430" spans="2:18">
      <c r="B1430" s="1"/>
      <c r="C1430" s="9"/>
      <c r="D1430" s="9"/>
      <c r="E1430" s="9"/>
      <c r="F1430" s="1"/>
      <c r="G1430" s="1"/>
      <c r="H1430" s="19"/>
      <c r="I1430" s="1"/>
      <c r="J1430" s="1"/>
      <c r="K1430" s="19"/>
      <c r="L1430" s="1"/>
      <c r="M1430" s="9"/>
      <c r="N1430" s="1"/>
      <c r="O1430" s="1"/>
      <c r="P1430" s="1"/>
      <c r="Q1430" s="1"/>
      <c r="R1430" s="1"/>
    </row>
    <row r="1431" spans="2:18">
      <c r="B1431" s="1"/>
      <c r="C1431" s="9"/>
      <c r="D1431" s="9"/>
      <c r="E1431" s="9"/>
      <c r="F1431" s="1"/>
      <c r="G1431" s="1"/>
      <c r="H1431" s="19"/>
      <c r="I1431" s="1"/>
      <c r="J1431" s="1"/>
      <c r="K1431" s="19"/>
      <c r="L1431" s="1"/>
      <c r="M1431" s="9"/>
      <c r="N1431" s="1"/>
      <c r="O1431" s="1"/>
      <c r="P1431" s="1"/>
      <c r="Q1431" s="1"/>
      <c r="R1431" s="1"/>
    </row>
    <row r="1432" spans="2:18">
      <c r="B1432" s="1"/>
      <c r="C1432" s="9"/>
      <c r="D1432" s="9"/>
      <c r="E1432" s="9"/>
      <c r="F1432" s="1"/>
      <c r="G1432" s="1"/>
      <c r="H1432" s="19"/>
      <c r="I1432" s="1"/>
      <c r="J1432" s="1"/>
      <c r="K1432" s="19"/>
      <c r="L1432" s="1"/>
      <c r="M1432" s="9"/>
      <c r="N1432" s="1"/>
      <c r="O1432" s="1"/>
      <c r="P1432" s="1"/>
      <c r="Q1432" s="1"/>
      <c r="R1432" s="1"/>
    </row>
    <row r="1433" spans="2:18">
      <c r="B1433" s="1"/>
      <c r="C1433" s="9"/>
      <c r="D1433" s="9"/>
      <c r="E1433" s="9"/>
      <c r="F1433" s="1"/>
      <c r="G1433" s="1"/>
      <c r="H1433" s="19"/>
      <c r="I1433" s="1"/>
      <c r="J1433" s="1"/>
      <c r="K1433" s="19"/>
      <c r="L1433" s="1"/>
      <c r="M1433" s="9"/>
      <c r="N1433" s="1"/>
      <c r="O1433" s="1"/>
      <c r="P1433" s="1"/>
      <c r="Q1433" s="1"/>
      <c r="R1433" s="1"/>
    </row>
    <row r="1434" spans="2:18">
      <c r="B1434" s="1"/>
      <c r="C1434" s="9"/>
      <c r="D1434" s="9"/>
      <c r="E1434" s="9"/>
      <c r="F1434" s="1"/>
      <c r="G1434" s="1"/>
      <c r="H1434" s="19"/>
      <c r="I1434" s="1"/>
      <c r="J1434" s="1"/>
      <c r="K1434" s="19"/>
      <c r="L1434" s="1"/>
      <c r="M1434" s="9"/>
      <c r="N1434" s="1"/>
      <c r="O1434" s="1"/>
      <c r="P1434" s="1"/>
      <c r="Q1434" s="1"/>
      <c r="R1434" s="1"/>
    </row>
    <row r="1435" spans="2:18">
      <c r="B1435" s="1"/>
      <c r="C1435" s="9"/>
      <c r="D1435" s="9"/>
      <c r="E1435" s="9"/>
      <c r="F1435" s="1"/>
      <c r="G1435" s="1"/>
      <c r="H1435" s="19"/>
      <c r="I1435" s="1"/>
      <c r="J1435" s="1"/>
      <c r="K1435" s="19"/>
      <c r="L1435" s="1"/>
      <c r="M1435" s="9"/>
      <c r="N1435" s="1"/>
      <c r="O1435" s="1"/>
      <c r="P1435" s="1"/>
      <c r="Q1435" s="1"/>
      <c r="R1435" s="1"/>
    </row>
    <row r="1436" spans="2:18">
      <c r="B1436" s="1"/>
      <c r="C1436" s="9"/>
      <c r="D1436" s="9"/>
      <c r="E1436" s="9"/>
      <c r="F1436" s="1"/>
      <c r="G1436" s="1"/>
      <c r="H1436" s="19"/>
      <c r="I1436" s="1"/>
      <c r="J1436" s="1"/>
      <c r="K1436" s="19"/>
      <c r="L1436" s="1"/>
      <c r="M1436" s="9"/>
      <c r="N1436" s="1"/>
      <c r="O1436" s="1"/>
      <c r="P1436" s="1"/>
      <c r="Q1436" s="1"/>
      <c r="R1436" s="1"/>
    </row>
    <row r="1437" spans="2:18">
      <c r="B1437" s="1"/>
      <c r="C1437" s="9"/>
      <c r="D1437" s="9"/>
      <c r="E1437" s="9"/>
      <c r="F1437" s="1"/>
      <c r="G1437" s="1"/>
      <c r="H1437" s="19"/>
      <c r="I1437" s="1"/>
      <c r="J1437" s="1"/>
      <c r="K1437" s="19"/>
      <c r="L1437" s="1"/>
      <c r="M1437" s="9"/>
      <c r="N1437" s="1"/>
      <c r="O1437" s="1"/>
      <c r="P1437" s="1"/>
      <c r="Q1437" s="1"/>
      <c r="R1437" s="1"/>
    </row>
    <row r="1438" spans="2:18">
      <c r="B1438" s="1"/>
      <c r="C1438" s="9"/>
      <c r="D1438" s="9"/>
      <c r="E1438" s="9"/>
      <c r="F1438" s="1"/>
      <c r="G1438" s="1"/>
      <c r="H1438" s="19"/>
      <c r="I1438" s="1"/>
      <c r="J1438" s="1"/>
      <c r="K1438" s="19"/>
      <c r="L1438" s="1"/>
      <c r="M1438" s="9"/>
      <c r="N1438" s="1"/>
      <c r="O1438" s="1"/>
      <c r="P1438" s="1"/>
      <c r="Q1438" s="1"/>
      <c r="R1438" s="1"/>
    </row>
    <row r="1439" spans="2:18">
      <c r="B1439" s="1"/>
      <c r="C1439" s="9"/>
      <c r="D1439" s="9"/>
      <c r="E1439" s="9"/>
      <c r="F1439" s="1"/>
      <c r="G1439" s="1"/>
      <c r="H1439" s="19"/>
      <c r="I1439" s="1"/>
      <c r="J1439" s="1"/>
      <c r="K1439" s="19"/>
      <c r="L1439" s="1"/>
      <c r="M1439" s="9"/>
      <c r="N1439" s="1"/>
      <c r="O1439" s="1"/>
      <c r="P1439" s="1"/>
      <c r="Q1439" s="1"/>
      <c r="R1439" s="1"/>
    </row>
    <row r="1440" spans="2:18">
      <c r="B1440" s="1"/>
      <c r="C1440" s="9"/>
      <c r="D1440" s="9"/>
      <c r="E1440" s="9"/>
      <c r="F1440" s="1"/>
      <c r="G1440" s="1"/>
      <c r="H1440" s="19"/>
      <c r="I1440" s="1"/>
      <c r="J1440" s="1"/>
      <c r="K1440" s="19"/>
      <c r="L1440" s="1"/>
      <c r="M1440" s="9"/>
      <c r="N1440" s="1"/>
      <c r="O1440" s="1"/>
      <c r="P1440" s="1"/>
      <c r="Q1440" s="1"/>
      <c r="R1440" s="1"/>
    </row>
    <row r="1441" spans="2:18">
      <c r="B1441" s="1"/>
      <c r="C1441" s="9"/>
      <c r="D1441" s="9"/>
      <c r="E1441" s="9"/>
      <c r="F1441" s="1"/>
      <c r="G1441" s="1"/>
      <c r="H1441" s="19"/>
      <c r="I1441" s="1"/>
      <c r="J1441" s="1"/>
      <c r="K1441" s="19"/>
      <c r="L1441" s="1"/>
      <c r="M1441" s="9"/>
      <c r="N1441" s="1"/>
      <c r="O1441" s="1"/>
      <c r="P1441" s="1"/>
      <c r="Q1441" s="1"/>
      <c r="R1441" s="1"/>
    </row>
    <row r="1442" spans="2:18">
      <c r="B1442" s="1"/>
      <c r="C1442" s="9"/>
      <c r="D1442" s="9"/>
      <c r="E1442" s="9"/>
      <c r="F1442" s="1"/>
      <c r="G1442" s="1"/>
      <c r="H1442" s="19"/>
      <c r="I1442" s="1"/>
      <c r="J1442" s="1"/>
      <c r="K1442" s="19"/>
      <c r="L1442" s="1"/>
      <c r="M1442" s="9"/>
      <c r="N1442" s="1"/>
      <c r="O1442" s="1"/>
      <c r="P1442" s="1"/>
      <c r="Q1442" s="1"/>
      <c r="R1442" s="1"/>
    </row>
    <row r="1443" spans="2:18">
      <c r="B1443" s="1"/>
      <c r="C1443" s="9"/>
      <c r="D1443" s="9"/>
      <c r="E1443" s="9"/>
      <c r="F1443" s="1"/>
      <c r="G1443" s="1"/>
      <c r="H1443" s="19"/>
      <c r="I1443" s="1"/>
      <c r="J1443" s="1"/>
      <c r="K1443" s="19"/>
      <c r="L1443" s="1"/>
      <c r="M1443" s="9"/>
      <c r="N1443" s="1"/>
      <c r="O1443" s="1"/>
      <c r="P1443" s="1"/>
      <c r="Q1443" s="1"/>
      <c r="R1443" s="1"/>
    </row>
    <row r="1444" spans="2:18">
      <c r="B1444" s="1"/>
      <c r="C1444" s="9"/>
      <c r="D1444" s="9"/>
      <c r="E1444" s="9"/>
      <c r="F1444" s="1"/>
      <c r="G1444" s="1"/>
      <c r="H1444" s="19"/>
      <c r="I1444" s="1"/>
      <c r="J1444" s="1"/>
      <c r="K1444" s="19"/>
      <c r="L1444" s="1"/>
      <c r="M1444" s="9"/>
      <c r="N1444" s="1"/>
      <c r="O1444" s="1"/>
      <c r="P1444" s="1"/>
      <c r="Q1444" s="1"/>
      <c r="R1444" s="1"/>
    </row>
    <row r="1445" spans="2:18">
      <c r="B1445" s="1"/>
      <c r="C1445" s="9"/>
      <c r="D1445" s="9"/>
      <c r="E1445" s="9"/>
      <c r="F1445" s="1"/>
      <c r="G1445" s="1"/>
      <c r="H1445" s="19"/>
      <c r="I1445" s="1"/>
      <c r="J1445" s="1"/>
      <c r="K1445" s="19"/>
      <c r="L1445" s="1"/>
      <c r="M1445" s="9"/>
      <c r="N1445" s="1"/>
      <c r="O1445" s="1"/>
      <c r="P1445" s="1"/>
      <c r="Q1445" s="1"/>
      <c r="R1445" s="1"/>
    </row>
    <row r="1446" spans="2:18">
      <c r="B1446" s="1"/>
      <c r="C1446" s="9"/>
      <c r="D1446" s="9"/>
      <c r="E1446" s="9"/>
      <c r="F1446" s="1"/>
      <c r="G1446" s="1"/>
      <c r="H1446" s="19"/>
      <c r="I1446" s="1"/>
      <c r="J1446" s="1"/>
      <c r="K1446" s="19"/>
      <c r="L1446" s="1"/>
      <c r="M1446" s="9"/>
      <c r="N1446" s="1"/>
      <c r="O1446" s="1"/>
      <c r="P1446" s="1"/>
      <c r="Q1446" s="1"/>
      <c r="R1446" s="1"/>
    </row>
    <row r="1447" spans="2:18">
      <c r="B1447" s="1"/>
      <c r="C1447" s="9"/>
      <c r="D1447" s="9"/>
      <c r="E1447" s="9"/>
      <c r="F1447" s="1"/>
      <c r="G1447" s="1"/>
      <c r="H1447" s="19"/>
      <c r="I1447" s="1"/>
      <c r="J1447" s="1"/>
      <c r="K1447" s="19"/>
      <c r="L1447" s="1"/>
      <c r="M1447" s="9"/>
      <c r="N1447" s="1"/>
      <c r="O1447" s="1"/>
      <c r="P1447" s="1"/>
      <c r="Q1447" s="1"/>
      <c r="R1447" s="1"/>
    </row>
    <row r="1448" spans="2:18">
      <c r="B1448" s="1"/>
      <c r="C1448" s="9"/>
      <c r="D1448" s="9"/>
      <c r="E1448" s="9"/>
      <c r="F1448" s="1"/>
      <c r="G1448" s="1"/>
      <c r="H1448" s="19"/>
      <c r="I1448" s="1"/>
      <c r="J1448" s="1"/>
      <c r="K1448" s="19"/>
      <c r="L1448" s="1"/>
      <c r="M1448" s="9"/>
      <c r="N1448" s="1"/>
      <c r="O1448" s="1"/>
      <c r="P1448" s="1"/>
      <c r="Q1448" s="1"/>
      <c r="R1448" s="1"/>
    </row>
    <row r="1449" spans="2:18">
      <c r="B1449" s="1"/>
      <c r="C1449" s="9"/>
      <c r="D1449" s="9"/>
      <c r="E1449" s="9"/>
      <c r="F1449" s="1"/>
      <c r="G1449" s="1"/>
      <c r="H1449" s="19"/>
      <c r="I1449" s="1"/>
      <c r="J1449" s="1"/>
      <c r="K1449" s="19"/>
      <c r="L1449" s="1"/>
      <c r="M1449" s="9"/>
      <c r="N1449" s="1"/>
      <c r="O1449" s="1"/>
      <c r="P1449" s="1"/>
      <c r="Q1449" s="1"/>
      <c r="R1449" s="1"/>
    </row>
    <row r="1450" spans="2:18">
      <c r="B1450" s="1"/>
      <c r="C1450" s="9"/>
      <c r="D1450" s="9"/>
      <c r="E1450" s="9"/>
      <c r="F1450" s="1"/>
      <c r="G1450" s="1"/>
      <c r="H1450" s="19"/>
      <c r="I1450" s="1"/>
      <c r="J1450" s="1"/>
      <c r="K1450" s="19"/>
      <c r="L1450" s="1"/>
      <c r="M1450" s="9"/>
      <c r="N1450" s="1"/>
      <c r="O1450" s="1"/>
      <c r="P1450" s="1"/>
      <c r="Q1450" s="1"/>
      <c r="R1450" s="1"/>
    </row>
    <row r="1451" spans="2:18">
      <c r="B1451" s="1"/>
      <c r="C1451" s="9"/>
      <c r="D1451" s="9"/>
      <c r="E1451" s="9"/>
      <c r="F1451" s="1"/>
      <c r="G1451" s="1"/>
      <c r="H1451" s="19"/>
      <c r="I1451" s="1"/>
      <c r="J1451" s="1"/>
      <c r="K1451" s="19"/>
      <c r="L1451" s="1"/>
      <c r="M1451" s="9"/>
      <c r="N1451" s="1"/>
      <c r="O1451" s="1"/>
      <c r="P1451" s="1"/>
      <c r="Q1451" s="1"/>
      <c r="R1451" s="1"/>
    </row>
    <row r="1452" spans="2:18">
      <c r="B1452" s="1"/>
      <c r="C1452" s="9"/>
      <c r="D1452" s="9"/>
      <c r="E1452" s="9"/>
      <c r="F1452" s="1"/>
      <c r="G1452" s="1"/>
      <c r="H1452" s="19"/>
      <c r="I1452" s="1"/>
      <c r="J1452" s="1"/>
      <c r="K1452" s="19"/>
      <c r="L1452" s="1"/>
      <c r="M1452" s="9"/>
      <c r="N1452" s="1"/>
      <c r="O1452" s="1"/>
      <c r="P1452" s="1"/>
      <c r="Q1452" s="1"/>
      <c r="R1452" s="1"/>
    </row>
    <row r="1453" spans="2:18">
      <c r="B1453" s="1"/>
      <c r="C1453" s="9"/>
      <c r="D1453" s="9"/>
      <c r="E1453" s="9"/>
      <c r="F1453" s="1"/>
      <c r="G1453" s="1"/>
      <c r="H1453" s="19"/>
      <c r="I1453" s="1"/>
      <c r="J1453" s="1"/>
      <c r="K1453" s="19"/>
      <c r="L1453" s="1"/>
      <c r="M1453" s="9"/>
      <c r="N1453" s="1"/>
      <c r="O1453" s="1"/>
      <c r="P1453" s="1"/>
      <c r="Q1453" s="1"/>
      <c r="R1453" s="1"/>
    </row>
    <row r="1454" spans="2:18">
      <c r="B1454" s="1"/>
      <c r="C1454" s="9"/>
      <c r="D1454" s="9"/>
      <c r="E1454" s="9"/>
      <c r="F1454" s="1"/>
      <c r="G1454" s="1"/>
      <c r="H1454" s="19"/>
      <c r="I1454" s="1"/>
      <c r="J1454" s="1"/>
      <c r="K1454" s="19"/>
      <c r="L1454" s="1"/>
      <c r="M1454" s="9"/>
      <c r="N1454" s="1"/>
      <c r="O1454" s="1"/>
      <c r="P1454" s="1"/>
      <c r="Q1454" s="1"/>
      <c r="R1454" s="1"/>
    </row>
    <row r="1455" spans="2:18">
      <c r="B1455" s="1"/>
      <c r="C1455" s="9"/>
      <c r="D1455" s="9"/>
      <c r="E1455" s="9"/>
      <c r="F1455" s="1"/>
      <c r="G1455" s="1"/>
      <c r="H1455" s="19"/>
      <c r="I1455" s="1"/>
      <c r="J1455" s="1"/>
      <c r="K1455" s="19"/>
      <c r="L1455" s="1"/>
      <c r="M1455" s="9"/>
      <c r="N1455" s="1"/>
      <c r="O1455" s="1"/>
      <c r="P1455" s="1"/>
      <c r="Q1455" s="1"/>
      <c r="R1455" s="1"/>
    </row>
    <row r="1456" spans="2:18">
      <c r="B1456" s="1"/>
      <c r="C1456" s="9"/>
      <c r="D1456" s="9"/>
      <c r="E1456" s="9"/>
      <c r="F1456" s="1"/>
      <c r="G1456" s="1"/>
      <c r="H1456" s="19"/>
      <c r="I1456" s="1"/>
      <c r="J1456" s="1"/>
      <c r="K1456" s="19"/>
      <c r="L1456" s="1"/>
      <c r="M1456" s="9"/>
      <c r="N1456" s="1"/>
      <c r="O1456" s="1"/>
      <c r="P1456" s="1"/>
      <c r="Q1456" s="1"/>
      <c r="R1456" s="1"/>
    </row>
    <row r="1457" spans="2:18">
      <c r="B1457" s="1"/>
      <c r="C1457" s="9"/>
      <c r="D1457" s="9"/>
      <c r="E1457" s="9"/>
      <c r="F1457" s="1"/>
      <c r="G1457" s="1"/>
      <c r="H1457" s="19"/>
      <c r="I1457" s="1"/>
      <c r="J1457" s="1"/>
      <c r="K1457" s="19"/>
      <c r="L1457" s="1"/>
      <c r="M1457" s="9"/>
      <c r="N1457" s="1"/>
      <c r="O1457" s="1"/>
      <c r="P1457" s="1"/>
      <c r="Q1457" s="1"/>
      <c r="R1457" s="1"/>
    </row>
    <row r="1458" spans="2:18">
      <c r="B1458" s="1"/>
      <c r="C1458" s="9"/>
      <c r="D1458" s="9"/>
      <c r="E1458" s="9"/>
      <c r="F1458" s="1"/>
      <c r="G1458" s="1"/>
      <c r="H1458" s="19"/>
      <c r="I1458" s="1"/>
      <c r="J1458" s="1"/>
      <c r="K1458" s="19"/>
      <c r="L1458" s="1"/>
      <c r="M1458" s="9"/>
      <c r="N1458" s="1"/>
      <c r="O1458" s="1"/>
      <c r="P1458" s="1"/>
      <c r="Q1458" s="1"/>
      <c r="R1458" s="1"/>
    </row>
    <row r="1459" spans="2:18">
      <c r="B1459" s="1"/>
      <c r="C1459" s="9"/>
      <c r="D1459" s="9"/>
      <c r="E1459" s="9"/>
      <c r="F1459" s="1"/>
      <c r="G1459" s="1"/>
      <c r="H1459" s="19"/>
      <c r="I1459" s="1"/>
      <c r="J1459" s="1"/>
      <c r="K1459" s="19"/>
      <c r="L1459" s="1"/>
      <c r="M1459" s="9"/>
      <c r="N1459" s="1"/>
      <c r="O1459" s="1"/>
      <c r="P1459" s="1"/>
      <c r="Q1459" s="1"/>
      <c r="R1459" s="1"/>
    </row>
    <row r="1460" spans="2:18">
      <c r="B1460" s="1"/>
      <c r="C1460" s="9"/>
      <c r="D1460" s="9"/>
      <c r="E1460" s="9"/>
      <c r="F1460" s="1"/>
      <c r="G1460" s="1"/>
      <c r="H1460" s="19"/>
      <c r="I1460" s="1"/>
      <c r="J1460" s="1"/>
      <c r="K1460" s="19"/>
      <c r="L1460" s="1"/>
      <c r="M1460" s="9"/>
      <c r="N1460" s="1"/>
      <c r="O1460" s="1"/>
      <c r="P1460" s="1"/>
      <c r="Q1460" s="1"/>
      <c r="R1460" s="1"/>
    </row>
    <row r="1461" spans="2:18">
      <c r="B1461" s="1"/>
      <c r="C1461" s="9"/>
      <c r="D1461" s="9"/>
      <c r="E1461" s="9"/>
      <c r="F1461" s="1"/>
      <c r="G1461" s="1"/>
      <c r="H1461" s="19"/>
      <c r="I1461" s="1"/>
      <c r="J1461" s="1"/>
      <c r="K1461" s="19"/>
      <c r="L1461" s="1"/>
      <c r="M1461" s="9"/>
      <c r="N1461" s="1"/>
      <c r="O1461" s="1"/>
      <c r="P1461" s="1"/>
      <c r="Q1461" s="1"/>
      <c r="R1461" s="1"/>
    </row>
    <row r="1462" spans="2:18">
      <c r="B1462" s="1"/>
      <c r="C1462" s="9"/>
      <c r="D1462" s="9"/>
      <c r="E1462" s="9"/>
      <c r="F1462" s="1"/>
      <c r="G1462" s="1"/>
      <c r="H1462" s="19"/>
      <c r="I1462" s="1"/>
      <c r="J1462" s="1"/>
      <c r="K1462" s="19"/>
      <c r="L1462" s="1"/>
      <c r="M1462" s="9"/>
      <c r="N1462" s="1"/>
      <c r="O1462" s="1"/>
      <c r="P1462" s="1"/>
      <c r="Q1462" s="1"/>
      <c r="R1462" s="1"/>
    </row>
    <row r="1463" spans="2:18">
      <c r="B1463" s="1"/>
      <c r="C1463" s="9"/>
      <c r="D1463" s="9"/>
      <c r="E1463" s="9"/>
      <c r="F1463" s="1"/>
      <c r="G1463" s="1"/>
      <c r="H1463" s="19"/>
      <c r="I1463" s="1"/>
      <c r="J1463" s="1"/>
      <c r="K1463" s="19"/>
      <c r="L1463" s="1"/>
      <c r="M1463" s="9"/>
      <c r="N1463" s="1"/>
      <c r="O1463" s="1"/>
      <c r="P1463" s="1"/>
      <c r="Q1463" s="1"/>
      <c r="R1463" s="1"/>
    </row>
    <row r="1464" spans="2:18">
      <c r="B1464" s="1"/>
      <c r="C1464" s="9"/>
      <c r="D1464" s="9"/>
      <c r="E1464" s="9"/>
      <c r="F1464" s="1"/>
      <c r="G1464" s="1"/>
      <c r="H1464" s="19"/>
      <c r="I1464" s="1"/>
      <c r="J1464" s="1"/>
      <c r="K1464" s="19"/>
      <c r="L1464" s="1"/>
      <c r="M1464" s="9"/>
      <c r="N1464" s="1"/>
      <c r="O1464" s="1"/>
      <c r="P1464" s="1"/>
      <c r="Q1464" s="1"/>
      <c r="R1464" s="1"/>
    </row>
    <row r="1465" spans="2:18">
      <c r="B1465" s="1"/>
      <c r="C1465" s="9"/>
      <c r="D1465" s="9"/>
      <c r="E1465" s="9"/>
      <c r="F1465" s="1"/>
      <c r="G1465" s="1"/>
      <c r="H1465" s="19"/>
      <c r="I1465" s="1"/>
      <c r="J1465" s="1"/>
      <c r="K1465" s="19"/>
      <c r="L1465" s="1"/>
      <c r="M1465" s="9"/>
      <c r="N1465" s="1"/>
      <c r="O1465" s="1"/>
      <c r="P1465" s="1"/>
      <c r="Q1465" s="1"/>
      <c r="R1465" s="1"/>
    </row>
    <row r="1466" spans="2:18">
      <c r="B1466" s="1"/>
      <c r="C1466" s="9"/>
      <c r="D1466" s="9"/>
      <c r="E1466" s="9"/>
      <c r="F1466" s="1"/>
      <c r="G1466" s="1"/>
      <c r="H1466" s="19"/>
      <c r="I1466" s="1"/>
      <c r="J1466" s="1"/>
      <c r="K1466" s="19"/>
      <c r="L1466" s="1"/>
      <c r="M1466" s="9"/>
      <c r="N1466" s="1"/>
      <c r="O1466" s="1"/>
      <c r="P1466" s="1"/>
      <c r="Q1466" s="1"/>
      <c r="R1466" s="1"/>
    </row>
    <row r="1467" spans="2:18">
      <c r="B1467" s="1"/>
      <c r="C1467" s="9"/>
      <c r="D1467" s="9"/>
      <c r="E1467" s="9"/>
      <c r="F1467" s="1"/>
      <c r="G1467" s="1"/>
      <c r="H1467" s="19"/>
      <c r="I1467" s="1"/>
      <c r="J1467" s="1"/>
      <c r="K1467" s="19"/>
      <c r="L1467" s="1"/>
      <c r="M1467" s="9"/>
      <c r="N1467" s="1"/>
      <c r="O1467" s="1"/>
      <c r="P1467" s="1"/>
      <c r="Q1467" s="1"/>
      <c r="R1467" s="1"/>
    </row>
    <row r="1468" spans="2:18">
      <c r="B1468" s="1"/>
      <c r="C1468" s="9"/>
      <c r="D1468" s="9"/>
      <c r="E1468" s="9"/>
      <c r="F1468" s="1"/>
      <c r="G1468" s="1"/>
      <c r="H1468" s="19"/>
      <c r="I1468" s="1"/>
      <c r="J1468" s="1"/>
      <c r="K1468" s="19"/>
      <c r="L1468" s="1"/>
      <c r="M1468" s="9"/>
      <c r="N1468" s="1"/>
      <c r="O1468" s="1"/>
      <c r="P1468" s="1"/>
      <c r="Q1468" s="1"/>
      <c r="R1468" s="1"/>
    </row>
    <row r="1469" spans="2:18">
      <c r="B1469" s="1"/>
      <c r="C1469" s="9"/>
      <c r="D1469" s="9"/>
      <c r="E1469" s="9"/>
      <c r="F1469" s="1"/>
      <c r="G1469" s="1"/>
      <c r="H1469" s="19"/>
      <c r="I1469" s="1"/>
      <c r="J1469" s="1"/>
      <c r="K1469" s="19"/>
      <c r="L1469" s="1"/>
      <c r="M1469" s="9"/>
      <c r="N1469" s="1"/>
      <c r="O1469" s="1"/>
      <c r="P1469" s="1"/>
      <c r="Q1469" s="1"/>
      <c r="R1469" s="1"/>
    </row>
    <row r="1470" spans="2:18">
      <c r="B1470" s="1"/>
      <c r="C1470" s="9"/>
      <c r="D1470" s="9"/>
      <c r="E1470" s="9"/>
      <c r="F1470" s="1"/>
      <c r="G1470" s="1"/>
      <c r="H1470" s="19"/>
      <c r="I1470" s="1"/>
      <c r="J1470" s="1"/>
      <c r="K1470" s="19"/>
      <c r="L1470" s="1"/>
      <c r="M1470" s="9"/>
      <c r="N1470" s="1"/>
      <c r="O1470" s="1"/>
      <c r="P1470" s="1"/>
      <c r="Q1470" s="1"/>
      <c r="R1470" s="1"/>
    </row>
    <row r="1471" spans="2:18">
      <c r="B1471" s="1"/>
      <c r="C1471" s="9"/>
      <c r="D1471" s="9"/>
      <c r="E1471" s="9"/>
      <c r="F1471" s="1"/>
      <c r="G1471" s="1"/>
      <c r="H1471" s="19"/>
      <c r="I1471" s="1"/>
      <c r="J1471" s="1"/>
      <c r="K1471" s="19"/>
      <c r="L1471" s="1"/>
      <c r="M1471" s="9"/>
      <c r="N1471" s="1"/>
      <c r="O1471" s="1"/>
      <c r="P1471" s="1"/>
      <c r="Q1471" s="1"/>
      <c r="R1471" s="1"/>
    </row>
    <row r="1472" spans="2:18">
      <c r="B1472" s="1"/>
      <c r="C1472" s="9"/>
      <c r="D1472" s="9"/>
      <c r="E1472" s="9"/>
      <c r="F1472" s="1"/>
      <c r="G1472" s="1"/>
      <c r="H1472" s="19"/>
      <c r="I1472" s="1"/>
      <c r="J1472" s="1"/>
      <c r="K1472" s="19"/>
      <c r="L1472" s="1"/>
      <c r="M1472" s="9"/>
      <c r="N1472" s="1"/>
      <c r="O1472" s="1"/>
      <c r="P1472" s="1"/>
      <c r="Q1472" s="1"/>
      <c r="R1472" s="1"/>
    </row>
    <row r="1473" spans="2:18">
      <c r="B1473" s="1"/>
      <c r="C1473" s="9"/>
      <c r="D1473" s="9"/>
      <c r="E1473" s="9"/>
      <c r="F1473" s="1"/>
      <c r="G1473" s="1"/>
      <c r="H1473" s="19"/>
      <c r="I1473" s="1"/>
      <c r="J1473" s="1"/>
      <c r="K1473" s="19"/>
      <c r="L1473" s="1"/>
      <c r="M1473" s="9"/>
      <c r="N1473" s="1"/>
      <c r="O1473" s="1"/>
      <c r="P1473" s="1"/>
      <c r="Q1473" s="1"/>
      <c r="R1473" s="1"/>
    </row>
    <row r="1474" spans="2:18">
      <c r="B1474" s="1"/>
      <c r="C1474" s="9"/>
      <c r="D1474" s="9"/>
      <c r="E1474" s="9"/>
      <c r="F1474" s="1"/>
      <c r="G1474" s="1"/>
      <c r="H1474" s="19"/>
      <c r="I1474" s="1"/>
      <c r="J1474" s="1"/>
      <c r="K1474" s="19"/>
      <c r="L1474" s="1"/>
      <c r="M1474" s="9"/>
      <c r="N1474" s="1"/>
      <c r="O1474" s="1"/>
      <c r="P1474" s="1"/>
      <c r="Q1474" s="1"/>
      <c r="R1474" s="1"/>
    </row>
    <row r="1475" spans="2:18">
      <c r="B1475" s="1"/>
      <c r="C1475" s="9"/>
      <c r="D1475" s="9"/>
      <c r="E1475" s="9"/>
      <c r="F1475" s="1"/>
      <c r="G1475" s="1"/>
      <c r="H1475" s="19"/>
      <c r="I1475" s="1"/>
      <c r="J1475" s="1"/>
      <c r="K1475" s="19"/>
      <c r="L1475" s="1"/>
      <c r="M1475" s="9"/>
      <c r="N1475" s="1"/>
      <c r="O1475" s="1"/>
      <c r="P1475" s="1"/>
      <c r="Q1475" s="1"/>
      <c r="R1475" s="1"/>
    </row>
    <row r="1476" spans="2:18">
      <c r="B1476" s="1"/>
      <c r="C1476" s="9"/>
      <c r="D1476" s="9"/>
      <c r="E1476" s="9"/>
      <c r="F1476" s="1"/>
      <c r="G1476" s="1"/>
      <c r="H1476" s="19"/>
      <c r="I1476" s="1"/>
      <c r="J1476" s="1"/>
      <c r="K1476" s="19"/>
      <c r="L1476" s="1"/>
      <c r="M1476" s="9"/>
      <c r="N1476" s="1"/>
      <c r="O1476" s="1"/>
      <c r="P1476" s="1"/>
      <c r="Q1476" s="1"/>
      <c r="R1476" s="1"/>
    </row>
    <row r="1477" spans="2:18">
      <c r="B1477" s="1"/>
      <c r="C1477" s="9"/>
      <c r="D1477" s="9"/>
      <c r="E1477" s="9"/>
      <c r="F1477" s="1"/>
      <c r="G1477" s="1"/>
      <c r="H1477" s="19"/>
      <c r="I1477" s="1"/>
      <c r="J1477" s="1"/>
      <c r="K1477" s="19"/>
      <c r="L1477" s="1"/>
      <c r="M1477" s="9"/>
      <c r="N1477" s="1"/>
      <c r="O1477" s="1"/>
      <c r="P1477" s="1"/>
      <c r="Q1477" s="1"/>
      <c r="R1477" s="1"/>
    </row>
    <row r="1478" spans="2:18">
      <c r="B1478" s="1"/>
      <c r="C1478" s="9"/>
      <c r="D1478" s="9"/>
      <c r="E1478" s="9"/>
      <c r="F1478" s="1"/>
      <c r="G1478" s="1"/>
      <c r="H1478" s="19"/>
      <c r="I1478" s="1"/>
      <c r="J1478" s="1"/>
      <c r="K1478" s="19"/>
      <c r="L1478" s="1"/>
      <c r="M1478" s="9"/>
      <c r="N1478" s="1"/>
      <c r="O1478" s="1"/>
      <c r="P1478" s="1"/>
      <c r="Q1478" s="1"/>
      <c r="R1478" s="1"/>
    </row>
    <row r="1479" spans="2:18">
      <c r="B1479" s="1"/>
      <c r="C1479" s="9"/>
      <c r="D1479" s="9"/>
      <c r="E1479" s="9"/>
      <c r="F1479" s="1"/>
      <c r="G1479" s="1"/>
      <c r="H1479" s="19"/>
      <c r="I1479" s="1"/>
      <c r="J1479" s="1"/>
      <c r="K1479" s="19"/>
      <c r="L1479" s="1"/>
      <c r="M1479" s="9"/>
      <c r="N1479" s="1"/>
      <c r="O1479" s="1"/>
      <c r="P1479" s="1"/>
      <c r="Q1479" s="1"/>
      <c r="R1479" s="1"/>
    </row>
    <row r="1480" spans="2:18">
      <c r="B1480" s="1"/>
      <c r="C1480" s="9"/>
      <c r="D1480" s="9"/>
      <c r="E1480" s="9"/>
      <c r="F1480" s="1"/>
      <c r="G1480" s="1"/>
      <c r="H1480" s="19"/>
      <c r="I1480" s="1"/>
      <c r="J1480" s="1"/>
      <c r="K1480" s="19"/>
      <c r="L1480" s="1"/>
      <c r="M1480" s="9"/>
      <c r="N1480" s="1"/>
      <c r="O1480" s="1"/>
      <c r="P1480" s="1"/>
      <c r="Q1480" s="1"/>
      <c r="R1480" s="1"/>
    </row>
    <row r="1481" spans="2:18">
      <c r="B1481" s="1"/>
      <c r="C1481" s="9"/>
      <c r="D1481" s="9"/>
      <c r="E1481" s="9"/>
      <c r="F1481" s="1"/>
      <c r="G1481" s="1"/>
      <c r="H1481" s="19"/>
      <c r="I1481" s="1"/>
      <c r="J1481" s="1"/>
      <c r="K1481" s="19"/>
      <c r="L1481" s="1"/>
      <c r="M1481" s="9"/>
      <c r="N1481" s="1"/>
      <c r="O1481" s="1"/>
      <c r="P1481" s="1"/>
      <c r="Q1481" s="1"/>
      <c r="R1481" s="1"/>
    </row>
    <row r="1482" spans="2:18">
      <c r="B1482" s="1"/>
      <c r="C1482" s="9"/>
      <c r="D1482" s="9"/>
      <c r="E1482" s="9"/>
      <c r="F1482" s="1"/>
      <c r="G1482" s="1"/>
      <c r="H1482" s="19"/>
      <c r="I1482" s="1"/>
      <c r="J1482" s="1"/>
      <c r="K1482" s="19"/>
      <c r="L1482" s="1"/>
      <c r="M1482" s="9"/>
      <c r="N1482" s="1"/>
      <c r="O1482" s="1"/>
      <c r="P1482" s="1"/>
      <c r="Q1482" s="1"/>
      <c r="R1482" s="1"/>
    </row>
    <row r="1483" spans="2:18">
      <c r="B1483" s="1"/>
      <c r="C1483" s="9"/>
      <c r="D1483" s="9"/>
      <c r="E1483" s="9"/>
      <c r="F1483" s="1"/>
      <c r="G1483" s="1"/>
      <c r="H1483" s="19"/>
      <c r="I1483" s="1"/>
      <c r="J1483" s="1"/>
      <c r="K1483" s="19"/>
      <c r="L1483" s="1"/>
      <c r="M1483" s="9"/>
      <c r="N1483" s="1"/>
      <c r="O1483" s="1"/>
      <c r="P1483" s="1"/>
      <c r="Q1483" s="1"/>
      <c r="R1483" s="1"/>
    </row>
    <row r="1484" spans="2:18">
      <c r="B1484" s="1"/>
      <c r="C1484" s="9"/>
      <c r="D1484" s="9"/>
      <c r="E1484" s="9"/>
      <c r="F1484" s="1"/>
      <c r="G1484" s="1"/>
      <c r="H1484" s="19"/>
      <c r="I1484" s="1"/>
      <c r="J1484" s="1"/>
      <c r="K1484" s="19"/>
      <c r="L1484" s="1"/>
      <c r="M1484" s="9"/>
      <c r="N1484" s="1"/>
      <c r="O1484" s="1"/>
      <c r="P1484" s="1"/>
      <c r="Q1484" s="1"/>
      <c r="R1484" s="1"/>
    </row>
    <row r="1485" spans="2:18">
      <c r="B1485" s="1"/>
      <c r="C1485" s="9"/>
      <c r="D1485" s="9"/>
      <c r="E1485" s="9"/>
      <c r="F1485" s="1"/>
      <c r="G1485" s="1"/>
      <c r="H1485" s="19"/>
      <c r="I1485" s="1"/>
      <c r="J1485" s="1"/>
      <c r="K1485" s="19"/>
      <c r="L1485" s="1"/>
      <c r="M1485" s="9"/>
      <c r="N1485" s="1"/>
      <c r="O1485" s="1"/>
      <c r="P1485" s="1"/>
      <c r="Q1485" s="1"/>
      <c r="R1485" s="1"/>
    </row>
    <row r="1486" spans="2:18">
      <c r="B1486" s="1"/>
      <c r="C1486" s="9"/>
      <c r="D1486" s="9"/>
      <c r="E1486" s="9"/>
      <c r="F1486" s="1"/>
      <c r="G1486" s="1"/>
      <c r="H1486" s="19"/>
      <c r="I1486" s="1"/>
      <c r="J1486" s="1"/>
      <c r="K1486" s="19"/>
      <c r="L1486" s="1"/>
      <c r="M1486" s="9"/>
      <c r="N1486" s="1"/>
      <c r="O1486" s="1"/>
      <c r="P1486" s="1"/>
      <c r="Q1486" s="1"/>
      <c r="R1486" s="1"/>
    </row>
    <row r="1487" spans="2:18">
      <c r="B1487" s="1"/>
      <c r="C1487" s="9"/>
      <c r="D1487" s="9"/>
      <c r="E1487" s="9"/>
      <c r="F1487" s="1"/>
      <c r="G1487" s="1"/>
      <c r="H1487" s="19"/>
      <c r="I1487" s="1"/>
      <c r="J1487" s="1"/>
      <c r="K1487" s="19"/>
      <c r="L1487" s="1"/>
      <c r="M1487" s="9"/>
      <c r="N1487" s="1"/>
      <c r="O1487" s="1"/>
      <c r="P1487" s="1"/>
      <c r="Q1487" s="1"/>
      <c r="R1487" s="1"/>
    </row>
    <row r="1488" spans="2:18">
      <c r="B1488" s="1"/>
      <c r="C1488" s="9"/>
      <c r="D1488" s="9"/>
      <c r="E1488" s="9"/>
      <c r="F1488" s="1"/>
      <c r="G1488" s="1"/>
      <c r="H1488" s="19"/>
      <c r="I1488" s="1"/>
      <c r="J1488" s="1"/>
      <c r="K1488" s="19"/>
      <c r="L1488" s="1"/>
      <c r="M1488" s="9"/>
      <c r="N1488" s="1"/>
      <c r="O1488" s="1"/>
      <c r="P1488" s="1"/>
      <c r="Q1488" s="1"/>
      <c r="R1488" s="1"/>
    </row>
    <row r="1489" spans="2:18">
      <c r="B1489" s="1"/>
      <c r="C1489" s="9"/>
      <c r="D1489" s="9"/>
      <c r="E1489" s="9"/>
      <c r="F1489" s="1"/>
      <c r="G1489" s="1"/>
      <c r="H1489" s="19"/>
      <c r="I1489" s="1"/>
      <c r="J1489" s="1"/>
      <c r="K1489" s="19"/>
      <c r="L1489" s="1"/>
      <c r="M1489" s="9"/>
      <c r="N1489" s="1"/>
      <c r="O1489" s="1"/>
      <c r="P1489" s="1"/>
      <c r="Q1489" s="1"/>
      <c r="R1489" s="1"/>
    </row>
    <row r="1490" spans="2:18">
      <c r="B1490" s="1"/>
      <c r="C1490" s="9"/>
      <c r="D1490" s="9"/>
      <c r="E1490" s="9"/>
      <c r="F1490" s="1"/>
      <c r="G1490" s="1"/>
      <c r="H1490" s="19"/>
      <c r="I1490" s="1"/>
      <c r="J1490" s="1"/>
      <c r="K1490" s="19"/>
      <c r="L1490" s="1"/>
      <c r="M1490" s="9"/>
      <c r="N1490" s="1"/>
      <c r="O1490" s="1"/>
      <c r="P1490" s="1"/>
      <c r="Q1490" s="1"/>
      <c r="R1490" s="1"/>
    </row>
    <row r="1491" spans="2:18">
      <c r="B1491" s="1"/>
      <c r="C1491" s="9"/>
      <c r="D1491" s="9"/>
      <c r="E1491" s="9"/>
      <c r="F1491" s="1"/>
      <c r="G1491" s="1"/>
      <c r="H1491" s="19"/>
      <c r="I1491" s="1"/>
      <c r="J1491" s="1"/>
      <c r="K1491" s="19"/>
      <c r="L1491" s="1"/>
      <c r="M1491" s="9"/>
      <c r="N1491" s="1"/>
      <c r="O1491" s="1"/>
      <c r="P1491" s="1"/>
      <c r="Q1491" s="1"/>
      <c r="R1491" s="1"/>
    </row>
    <row r="1492" spans="2:18">
      <c r="B1492" s="1"/>
      <c r="C1492" s="9"/>
      <c r="D1492" s="9"/>
      <c r="E1492" s="9"/>
      <c r="F1492" s="1"/>
      <c r="G1492" s="1"/>
      <c r="H1492" s="19"/>
      <c r="I1492" s="1"/>
      <c r="J1492" s="1"/>
      <c r="K1492" s="19"/>
      <c r="L1492" s="1"/>
      <c r="M1492" s="9"/>
      <c r="N1492" s="1"/>
      <c r="O1492" s="1"/>
      <c r="P1492" s="1"/>
      <c r="Q1492" s="1"/>
      <c r="R1492" s="1"/>
    </row>
    <row r="1493" spans="2:18">
      <c r="B1493" s="1"/>
      <c r="C1493" s="9"/>
      <c r="D1493" s="9"/>
      <c r="E1493" s="9"/>
      <c r="F1493" s="1"/>
      <c r="G1493" s="1"/>
      <c r="H1493" s="19"/>
      <c r="I1493" s="1"/>
      <c r="J1493" s="1"/>
      <c r="K1493" s="19"/>
      <c r="L1493" s="1"/>
      <c r="M1493" s="9"/>
      <c r="N1493" s="1"/>
      <c r="O1493" s="1"/>
      <c r="P1493" s="1"/>
      <c r="Q1493" s="1"/>
      <c r="R1493" s="1"/>
    </row>
    <row r="1494" spans="2:18">
      <c r="B1494" s="1"/>
      <c r="C1494" s="9"/>
      <c r="D1494" s="9"/>
      <c r="E1494" s="9"/>
      <c r="F1494" s="1"/>
      <c r="G1494" s="1"/>
      <c r="H1494" s="19"/>
      <c r="I1494" s="1"/>
      <c r="J1494" s="1"/>
      <c r="K1494" s="19"/>
      <c r="L1494" s="1"/>
      <c r="M1494" s="9"/>
      <c r="N1494" s="1"/>
      <c r="O1494" s="1"/>
      <c r="P1494" s="1"/>
      <c r="Q1494" s="1"/>
      <c r="R1494" s="1"/>
    </row>
    <row r="1495" spans="2:18">
      <c r="B1495" s="1"/>
      <c r="C1495" s="9"/>
      <c r="D1495" s="9"/>
      <c r="E1495" s="9"/>
      <c r="F1495" s="1"/>
      <c r="G1495" s="1"/>
      <c r="H1495" s="19"/>
      <c r="I1495" s="1"/>
      <c r="J1495" s="1"/>
      <c r="K1495" s="19"/>
      <c r="L1495" s="1"/>
      <c r="M1495" s="9"/>
      <c r="N1495" s="1"/>
      <c r="O1495" s="1"/>
      <c r="P1495" s="1"/>
      <c r="Q1495" s="1"/>
      <c r="R1495" s="1"/>
    </row>
    <row r="1496" spans="2:18">
      <c r="B1496" s="1"/>
      <c r="C1496" s="9"/>
      <c r="D1496" s="9"/>
      <c r="E1496" s="9"/>
      <c r="F1496" s="1"/>
      <c r="G1496" s="1"/>
      <c r="H1496" s="19"/>
      <c r="I1496" s="1"/>
      <c r="J1496" s="1"/>
      <c r="K1496" s="19"/>
      <c r="L1496" s="1"/>
      <c r="M1496" s="9"/>
      <c r="N1496" s="1"/>
      <c r="O1496" s="1"/>
      <c r="P1496" s="1"/>
      <c r="Q1496" s="1"/>
      <c r="R1496" s="1"/>
    </row>
    <row r="1497" spans="2:18">
      <c r="B1497" s="1"/>
      <c r="C1497" s="9"/>
      <c r="D1497" s="9"/>
      <c r="E1497" s="9"/>
      <c r="F1497" s="1"/>
      <c r="G1497" s="1"/>
      <c r="H1497" s="19"/>
      <c r="I1497" s="1"/>
      <c r="J1497" s="1"/>
      <c r="K1497" s="19"/>
      <c r="L1497" s="1"/>
      <c r="M1497" s="9"/>
      <c r="N1497" s="1"/>
      <c r="O1497" s="1"/>
      <c r="P1497" s="1"/>
      <c r="Q1497" s="1"/>
      <c r="R1497" s="1"/>
    </row>
    <row r="1498" spans="2:18">
      <c r="B1498" s="1"/>
      <c r="C1498" s="9"/>
      <c r="D1498" s="9"/>
      <c r="E1498" s="9"/>
      <c r="F1498" s="1"/>
      <c r="G1498" s="1"/>
      <c r="H1498" s="19"/>
      <c r="I1498" s="1"/>
      <c r="J1498" s="1"/>
      <c r="K1498" s="19"/>
      <c r="L1498" s="1"/>
      <c r="M1498" s="9"/>
      <c r="N1498" s="1"/>
      <c r="O1498" s="1"/>
      <c r="P1498" s="1"/>
      <c r="Q1498" s="1"/>
      <c r="R1498" s="1"/>
    </row>
    <row r="1499" spans="2:18">
      <c r="B1499" s="1"/>
      <c r="C1499" s="9"/>
      <c r="D1499" s="9"/>
      <c r="E1499" s="9"/>
      <c r="F1499" s="1"/>
      <c r="G1499" s="1"/>
      <c r="H1499" s="19"/>
      <c r="I1499" s="1"/>
      <c r="J1499" s="1"/>
      <c r="K1499" s="19"/>
      <c r="L1499" s="1"/>
      <c r="M1499" s="9"/>
      <c r="N1499" s="1"/>
      <c r="O1499" s="1"/>
      <c r="P1499" s="1"/>
      <c r="Q1499" s="1"/>
      <c r="R1499" s="1"/>
    </row>
    <row r="1500" spans="2:18">
      <c r="B1500" s="1"/>
      <c r="C1500" s="9"/>
      <c r="D1500" s="9"/>
      <c r="E1500" s="9"/>
      <c r="F1500" s="1"/>
      <c r="G1500" s="1"/>
      <c r="H1500" s="19"/>
      <c r="I1500" s="1"/>
      <c r="J1500" s="1"/>
      <c r="K1500" s="19"/>
      <c r="L1500" s="1"/>
      <c r="M1500" s="9"/>
      <c r="N1500" s="1"/>
      <c r="O1500" s="1"/>
      <c r="P1500" s="1"/>
      <c r="Q1500" s="1"/>
      <c r="R1500" s="1"/>
    </row>
    <row r="1501" spans="2:18">
      <c r="B1501" s="1"/>
      <c r="C1501" s="9"/>
      <c r="D1501" s="9"/>
      <c r="E1501" s="9"/>
      <c r="F1501" s="1"/>
      <c r="G1501" s="1"/>
      <c r="H1501" s="19"/>
      <c r="I1501" s="1"/>
      <c r="J1501" s="1"/>
      <c r="K1501" s="19"/>
      <c r="L1501" s="1"/>
      <c r="M1501" s="9"/>
      <c r="N1501" s="1"/>
      <c r="O1501" s="1"/>
      <c r="P1501" s="1"/>
      <c r="Q1501" s="1"/>
      <c r="R1501" s="1"/>
    </row>
    <row r="1502" spans="2:18">
      <c r="B1502" s="1"/>
      <c r="C1502" s="9"/>
      <c r="D1502" s="9"/>
      <c r="E1502" s="9"/>
      <c r="F1502" s="1"/>
      <c r="G1502" s="1"/>
      <c r="H1502" s="19"/>
      <c r="I1502" s="1"/>
      <c r="J1502" s="1"/>
      <c r="K1502" s="19"/>
      <c r="L1502" s="1"/>
      <c r="M1502" s="9"/>
      <c r="N1502" s="1"/>
      <c r="O1502" s="1"/>
      <c r="P1502" s="1"/>
      <c r="Q1502" s="1"/>
      <c r="R1502" s="1"/>
    </row>
    <row r="1503" spans="2:18">
      <c r="B1503" s="1"/>
      <c r="C1503" s="9"/>
      <c r="D1503" s="9"/>
      <c r="E1503" s="9"/>
      <c r="F1503" s="1"/>
      <c r="G1503" s="1"/>
      <c r="H1503" s="19"/>
      <c r="I1503" s="1"/>
      <c r="J1503" s="1"/>
      <c r="K1503" s="19"/>
      <c r="L1503" s="1"/>
      <c r="M1503" s="9"/>
      <c r="N1503" s="1"/>
      <c r="O1503" s="1"/>
      <c r="P1503" s="1"/>
      <c r="Q1503" s="1"/>
      <c r="R1503" s="1"/>
    </row>
    <row r="1504" spans="2:18">
      <c r="B1504" s="1"/>
      <c r="C1504" s="9"/>
      <c r="D1504" s="9"/>
      <c r="E1504" s="9"/>
      <c r="F1504" s="1"/>
      <c r="G1504" s="1"/>
      <c r="H1504" s="19"/>
      <c r="I1504" s="1"/>
      <c r="J1504" s="1"/>
      <c r="K1504" s="19"/>
      <c r="L1504" s="1"/>
      <c r="M1504" s="9"/>
      <c r="N1504" s="1"/>
      <c r="O1504" s="1"/>
      <c r="P1504" s="1"/>
      <c r="Q1504" s="1"/>
      <c r="R1504" s="1"/>
    </row>
    <row r="1505" spans="2:18">
      <c r="B1505" s="1"/>
      <c r="C1505" s="9"/>
      <c r="D1505" s="9"/>
      <c r="E1505" s="9"/>
      <c r="F1505" s="1"/>
      <c r="G1505" s="1"/>
      <c r="H1505" s="19"/>
      <c r="I1505" s="1"/>
      <c r="J1505" s="1"/>
      <c r="K1505" s="19"/>
      <c r="L1505" s="1"/>
      <c r="M1505" s="9"/>
      <c r="N1505" s="1"/>
      <c r="O1505" s="1"/>
      <c r="P1505" s="1"/>
      <c r="Q1505" s="1"/>
      <c r="R1505" s="1"/>
    </row>
    <row r="1506" spans="2:18">
      <c r="B1506" s="1"/>
      <c r="C1506" s="9"/>
      <c r="D1506" s="9"/>
      <c r="E1506" s="9"/>
      <c r="F1506" s="1"/>
      <c r="G1506" s="1"/>
      <c r="H1506" s="19"/>
      <c r="I1506" s="1"/>
      <c r="J1506" s="1"/>
      <c r="K1506" s="19"/>
      <c r="L1506" s="1"/>
      <c r="M1506" s="9"/>
      <c r="N1506" s="1"/>
      <c r="O1506" s="1"/>
      <c r="P1506" s="1"/>
      <c r="Q1506" s="1"/>
      <c r="R1506" s="1"/>
    </row>
    <row r="1507" spans="2:18">
      <c r="B1507" s="1"/>
      <c r="C1507" s="9"/>
      <c r="D1507" s="9"/>
      <c r="E1507" s="9"/>
      <c r="F1507" s="1"/>
      <c r="G1507" s="1"/>
      <c r="H1507" s="19"/>
      <c r="I1507" s="1"/>
      <c r="J1507" s="1"/>
      <c r="K1507" s="19"/>
      <c r="L1507" s="1"/>
      <c r="M1507" s="9"/>
      <c r="N1507" s="1"/>
      <c r="O1507" s="1"/>
      <c r="P1507" s="1"/>
      <c r="Q1507" s="1"/>
      <c r="R1507" s="1"/>
    </row>
    <row r="1508" spans="2:18">
      <c r="B1508" s="1"/>
      <c r="C1508" s="9"/>
      <c r="D1508" s="9"/>
      <c r="E1508" s="9"/>
      <c r="F1508" s="1"/>
      <c r="G1508" s="1"/>
      <c r="H1508" s="19"/>
      <c r="I1508" s="1"/>
      <c r="J1508" s="1"/>
      <c r="K1508" s="19"/>
      <c r="L1508" s="1"/>
      <c r="M1508" s="9"/>
      <c r="N1508" s="1"/>
      <c r="O1508" s="1"/>
      <c r="P1508" s="1"/>
      <c r="Q1508" s="1"/>
      <c r="R1508" s="1"/>
    </row>
    <row r="1509" spans="2:18">
      <c r="B1509" s="1"/>
      <c r="C1509" s="9"/>
      <c r="D1509" s="9"/>
      <c r="E1509" s="9"/>
      <c r="F1509" s="1"/>
      <c r="G1509" s="1"/>
      <c r="H1509" s="19"/>
      <c r="I1509" s="1"/>
      <c r="J1509" s="1"/>
      <c r="K1509" s="19"/>
      <c r="L1509" s="1"/>
      <c r="M1509" s="9"/>
      <c r="N1509" s="1"/>
      <c r="O1509" s="1"/>
      <c r="P1509" s="1"/>
      <c r="Q1509" s="1"/>
      <c r="R1509" s="1"/>
    </row>
    <row r="1510" spans="2:18">
      <c r="B1510" s="1"/>
      <c r="C1510" s="9"/>
      <c r="D1510" s="9"/>
      <c r="E1510" s="9"/>
      <c r="F1510" s="1"/>
      <c r="G1510" s="1"/>
      <c r="H1510" s="19"/>
      <c r="I1510" s="1"/>
      <c r="J1510" s="1"/>
      <c r="K1510" s="19"/>
      <c r="L1510" s="1"/>
      <c r="M1510" s="9"/>
      <c r="N1510" s="1"/>
      <c r="O1510" s="1"/>
      <c r="P1510" s="1"/>
      <c r="Q1510" s="1"/>
      <c r="R1510" s="1"/>
    </row>
    <row r="1511" spans="2:18">
      <c r="B1511" s="1"/>
      <c r="C1511" s="9"/>
      <c r="D1511" s="9"/>
      <c r="E1511" s="9"/>
      <c r="F1511" s="1"/>
      <c r="G1511" s="1"/>
      <c r="H1511" s="19"/>
      <c r="I1511" s="1"/>
      <c r="J1511" s="1"/>
      <c r="K1511" s="19"/>
      <c r="L1511" s="1"/>
      <c r="M1511" s="9"/>
      <c r="N1511" s="1"/>
      <c r="O1511" s="1"/>
      <c r="P1511" s="1"/>
      <c r="Q1511" s="1"/>
      <c r="R1511" s="1"/>
    </row>
    <row r="1512" spans="2:18">
      <c r="B1512" s="1"/>
      <c r="C1512" s="9"/>
      <c r="D1512" s="9"/>
      <c r="E1512" s="9"/>
      <c r="F1512" s="1"/>
      <c r="G1512" s="1"/>
      <c r="H1512" s="19"/>
      <c r="I1512" s="1"/>
      <c r="J1512" s="1"/>
      <c r="K1512" s="19"/>
      <c r="L1512" s="1"/>
      <c r="M1512" s="9"/>
      <c r="N1512" s="1"/>
      <c r="O1512" s="1"/>
      <c r="P1512" s="1"/>
      <c r="Q1512" s="1"/>
      <c r="R1512" s="1"/>
    </row>
    <row r="1513" spans="2:18">
      <c r="B1513" s="1"/>
      <c r="C1513" s="9"/>
      <c r="D1513" s="9"/>
      <c r="E1513" s="9"/>
      <c r="F1513" s="1"/>
      <c r="G1513" s="1"/>
      <c r="H1513" s="19"/>
      <c r="I1513" s="1"/>
      <c r="J1513" s="1"/>
      <c r="K1513" s="19"/>
      <c r="L1513" s="1"/>
      <c r="M1513" s="9"/>
      <c r="N1513" s="1"/>
      <c r="O1513" s="1"/>
      <c r="P1513" s="1"/>
      <c r="Q1513" s="1"/>
      <c r="R1513" s="1"/>
    </row>
    <row r="1514" spans="2:18">
      <c r="B1514" s="1"/>
      <c r="C1514" s="9"/>
      <c r="D1514" s="9"/>
      <c r="E1514" s="9"/>
      <c r="F1514" s="1"/>
      <c r="G1514" s="1"/>
      <c r="H1514" s="19"/>
      <c r="I1514" s="1"/>
      <c r="J1514" s="1"/>
      <c r="K1514" s="19"/>
      <c r="L1514" s="1"/>
      <c r="M1514" s="9"/>
      <c r="N1514" s="1"/>
      <c r="O1514" s="1"/>
      <c r="P1514" s="1"/>
      <c r="Q1514" s="1"/>
      <c r="R1514" s="1"/>
    </row>
    <row r="1515" spans="2:18">
      <c r="B1515" s="1"/>
      <c r="C1515" s="9"/>
      <c r="D1515" s="9"/>
      <c r="E1515" s="9"/>
      <c r="F1515" s="1"/>
      <c r="G1515" s="1"/>
      <c r="H1515" s="19"/>
      <c r="I1515" s="1"/>
      <c r="J1515" s="1"/>
      <c r="K1515" s="19"/>
      <c r="L1515" s="1"/>
      <c r="M1515" s="9"/>
      <c r="N1515" s="1"/>
      <c r="O1515" s="1"/>
      <c r="P1515" s="1"/>
      <c r="Q1515" s="1"/>
      <c r="R1515" s="1"/>
    </row>
    <row r="1516" spans="2:18">
      <c r="B1516" s="1"/>
      <c r="C1516" s="9"/>
      <c r="D1516" s="9"/>
      <c r="E1516" s="9"/>
      <c r="F1516" s="1"/>
      <c r="G1516" s="1"/>
      <c r="H1516" s="19"/>
      <c r="I1516" s="1"/>
      <c r="J1516" s="1"/>
      <c r="K1516" s="19"/>
      <c r="L1516" s="1"/>
      <c r="M1516" s="9"/>
      <c r="N1516" s="1"/>
      <c r="O1516" s="1"/>
      <c r="P1516" s="1"/>
      <c r="Q1516" s="1"/>
      <c r="R1516" s="1"/>
    </row>
    <row r="1517" spans="2:18">
      <c r="B1517" s="1"/>
      <c r="C1517" s="9"/>
      <c r="D1517" s="9"/>
      <c r="E1517" s="9"/>
      <c r="F1517" s="1"/>
      <c r="G1517" s="1"/>
      <c r="H1517" s="19"/>
      <c r="I1517" s="1"/>
      <c r="J1517" s="1"/>
      <c r="K1517" s="19"/>
      <c r="L1517" s="1"/>
      <c r="M1517" s="9"/>
      <c r="N1517" s="1"/>
      <c r="O1517" s="1"/>
      <c r="P1517" s="1"/>
      <c r="Q1517" s="1"/>
      <c r="R1517" s="1"/>
    </row>
    <row r="1518" spans="2:18">
      <c r="B1518" s="1"/>
      <c r="C1518" s="9"/>
      <c r="D1518" s="9"/>
      <c r="E1518" s="9"/>
      <c r="F1518" s="1"/>
      <c r="G1518" s="1"/>
      <c r="H1518" s="19"/>
      <c r="I1518" s="1"/>
      <c r="J1518" s="1"/>
      <c r="K1518" s="19"/>
      <c r="L1518" s="1"/>
      <c r="M1518" s="9"/>
      <c r="N1518" s="1"/>
      <c r="O1518" s="1"/>
      <c r="P1518" s="1"/>
      <c r="Q1518" s="1"/>
      <c r="R1518" s="1"/>
    </row>
    <row r="1519" spans="2:18">
      <c r="B1519" s="1"/>
      <c r="C1519" s="9"/>
      <c r="D1519" s="9"/>
      <c r="E1519" s="9"/>
      <c r="F1519" s="1"/>
      <c r="G1519" s="1"/>
      <c r="H1519" s="19"/>
      <c r="I1519" s="1"/>
      <c r="J1519" s="1"/>
      <c r="K1519" s="19"/>
      <c r="L1519" s="1"/>
      <c r="M1519" s="9"/>
      <c r="N1519" s="1"/>
      <c r="O1519" s="1"/>
      <c r="P1519" s="1"/>
      <c r="Q1519" s="1"/>
      <c r="R1519" s="1"/>
    </row>
    <row r="1520" spans="2:18">
      <c r="B1520" s="1"/>
      <c r="C1520" s="9"/>
      <c r="D1520" s="9"/>
      <c r="E1520" s="9"/>
      <c r="F1520" s="1"/>
      <c r="G1520" s="1"/>
      <c r="H1520" s="19"/>
      <c r="I1520" s="1"/>
      <c r="J1520" s="1"/>
      <c r="K1520" s="19"/>
      <c r="L1520" s="1"/>
      <c r="M1520" s="9"/>
      <c r="N1520" s="1"/>
      <c r="O1520" s="1"/>
      <c r="P1520" s="1"/>
      <c r="Q1520" s="1"/>
      <c r="R1520" s="1"/>
    </row>
    <row r="1521" spans="2:18">
      <c r="B1521" s="1"/>
      <c r="C1521" s="9"/>
      <c r="D1521" s="9"/>
      <c r="E1521" s="9"/>
      <c r="F1521" s="1"/>
      <c r="G1521" s="1"/>
      <c r="H1521" s="19"/>
      <c r="I1521" s="1"/>
      <c r="J1521" s="1"/>
      <c r="K1521" s="19"/>
      <c r="L1521" s="1"/>
      <c r="M1521" s="9"/>
      <c r="N1521" s="1"/>
      <c r="O1521" s="1"/>
      <c r="P1521" s="1"/>
      <c r="Q1521" s="1"/>
      <c r="R1521" s="1"/>
    </row>
    <row r="1522" spans="2:18">
      <c r="B1522" s="1"/>
      <c r="C1522" s="9"/>
      <c r="D1522" s="9"/>
      <c r="E1522" s="9"/>
      <c r="F1522" s="1"/>
      <c r="G1522" s="1"/>
      <c r="H1522" s="19"/>
      <c r="I1522" s="1"/>
      <c r="J1522" s="1"/>
      <c r="K1522" s="19"/>
      <c r="L1522" s="1"/>
      <c r="M1522" s="9"/>
      <c r="N1522" s="1"/>
      <c r="O1522" s="1"/>
      <c r="P1522" s="1"/>
      <c r="Q1522" s="1"/>
      <c r="R1522" s="1"/>
    </row>
    <row r="1523" spans="2:18">
      <c r="B1523" s="1"/>
      <c r="C1523" s="9"/>
      <c r="D1523" s="9"/>
      <c r="E1523" s="9"/>
      <c r="F1523" s="1"/>
      <c r="G1523" s="1"/>
      <c r="H1523" s="19"/>
      <c r="I1523" s="1"/>
      <c r="J1523" s="1"/>
      <c r="K1523" s="19"/>
      <c r="L1523" s="1"/>
      <c r="M1523" s="9"/>
      <c r="N1523" s="1"/>
      <c r="O1523" s="1"/>
      <c r="P1523" s="1"/>
      <c r="Q1523" s="1"/>
      <c r="R1523" s="1"/>
    </row>
    <row r="1524" spans="2:18">
      <c r="B1524" s="1"/>
      <c r="C1524" s="9"/>
      <c r="D1524" s="9"/>
      <c r="E1524" s="9"/>
      <c r="F1524" s="1"/>
      <c r="G1524" s="1"/>
      <c r="H1524" s="19"/>
      <c r="I1524" s="1"/>
      <c r="J1524" s="1"/>
      <c r="K1524" s="19"/>
      <c r="L1524" s="1"/>
      <c r="M1524" s="9"/>
      <c r="N1524" s="1"/>
      <c r="O1524" s="1"/>
      <c r="P1524" s="1"/>
      <c r="Q1524" s="1"/>
      <c r="R1524" s="1"/>
    </row>
    <row r="1525" spans="2:18">
      <c r="B1525" s="1"/>
      <c r="C1525" s="9"/>
      <c r="D1525" s="9"/>
      <c r="E1525" s="9"/>
      <c r="F1525" s="1"/>
      <c r="G1525" s="1"/>
      <c r="H1525" s="19"/>
      <c r="I1525" s="1"/>
      <c r="J1525" s="1"/>
      <c r="K1525" s="19"/>
      <c r="L1525" s="1"/>
      <c r="M1525" s="9"/>
      <c r="N1525" s="1"/>
      <c r="O1525" s="1"/>
      <c r="P1525" s="1"/>
      <c r="Q1525" s="1"/>
      <c r="R1525" s="1"/>
    </row>
    <row r="1526" spans="2:18">
      <c r="B1526" s="1"/>
      <c r="C1526" s="9"/>
      <c r="D1526" s="9"/>
      <c r="E1526" s="9"/>
      <c r="F1526" s="1"/>
      <c r="G1526" s="1"/>
      <c r="H1526" s="19"/>
      <c r="I1526" s="1"/>
      <c r="J1526" s="1"/>
      <c r="K1526" s="19"/>
      <c r="L1526" s="1"/>
      <c r="M1526" s="9"/>
      <c r="N1526" s="1"/>
      <c r="O1526" s="1"/>
      <c r="P1526" s="1"/>
      <c r="Q1526" s="1"/>
      <c r="R1526" s="1"/>
    </row>
    <row r="1527" spans="2:18">
      <c r="B1527" s="1"/>
      <c r="C1527" s="9"/>
      <c r="D1527" s="9"/>
      <c r="E1527" s="9"/>
      <c r="F1527" s="1"/>
      <c r="G1527" s="1"/>
      <c r="H1527" s="19"/>
      <c r="I1527" s="1"/>
      <c r="J1527" s="1"/>
      <c r="K1527" s="19"/>
      <c r="L1527" s="1"/>
      <c r="M1527" s="9"/>
      <c r="N1527" s="1"/>
      <c r="O1527" s="1"/>
      <c r="P1527" s="1"/>
      <c r="Q1527" s="1"/>
      <c r="R1527" s="1"/>
    </row>
    <row r="1528" spans="2:18">
      <c r="B1528" s="1"/>
      <c r="C1528" s="9"/>
      <c r="D1528" s="9"/>
      <c r="E1528" s="9"/>
      <c r="F1528" s="1"/>
      <c r="G1528" s="1"/>
      <c r="H1528" s="19"/>
      <c r="I1528" s="1"/>
      <c r="J1528" s="1"/>
      <c r="K1528" s="19"/>
      <c r="L1528" s="1"/>
      <c r="M1528" s="9"/>
      <c r="N1528" s="1"/>
      <c r="O1528" s="1"/>
      <c r="P1528" s="1"/>
      <c r="Q1528" s="1"/>
      <c r="R1528" s="1"/>
    </row>
    <row r="1529" spans="2:18">
      <c r="B1529" s="1"/>
      <c r="C1529" s="9"/>
      <c r="D1529" s="9"/>
      <c r="E1529" s="9"/>
      <c r="F1529" s="1"/>
      <c r="G1529" s="1"/>
      <c r="H1529" s="19"/>
      <c r="I1529" s="1"/>
      <c r="J1529" s="1"/>
      <c r="K1529" s="19"/>
      <c r="L1529" s="1"/>
      <c r="M1529" s="9"/>
      <c r="N1529" s="1"/>
      <c r="O1529" s="1"/>
      <c r="P1529" s="1"/>
      <c r="Q1529" s="1"/>
      <c r="R1529" s="1"/>
    </row>
    <row r="1530" spans="2:18">
      <c r="B1530" s="1"/>
      <c r="C1530" s="9"/>
      <c r="D1530" s="9"/>
      <c r="E1530" s="9"/>
      <c r="F1530" s="1"/>
      <c r="G1530" s="1"/>
      <c r="H1530" s="19"/>
      <c r="I1530" s="1"/>
      <c r="J1530" s="1"/>
      <c r="K1530" s="19"/>
      <c r="L1530" s="1"/>
      <c r="M1530" s="9"/>
      <c r="N1530" s="1"/>
      <c r="O1530" s="1"/>
      <c r="P1530" s="1"/>
      <c r="Q1530" s="1"/>
      <c r="R1530" s="1"/>
    </row>
    <row r="1531" spans="2:18">
      <c r="B1531" s="1"/>
      <c r="C1531" s="9"/>
      <c r="D1531" s="9"/>
      <c r="E1531" s="9"/>
      <c r="F1531" s="1"/>
      <c r="G1531" s="1"/>
      <c r="H1531" s="19"/>
      <c r="I1531" s="1"/>
      <c r="J1531" s="1"/>
      <c r="K1531" s="19"/>
      <c r="L1531" s="1"/>
      <c r="M1531" s="9"/>
      <c r="N1531" s="1"/>
      <c r="O1531" s="1"/>
      <c r="P1531" s="1"/>
      <c r="Q1531" s="1"/>
      <c r="R1531" s="1"/>
    </row>
    <row r="1532" spans="2:18">
      <c r="B1532" s="1"/>
      <c r="C1532" s="9"/>
      <c r="D1532" s="9"/>
      <c r="E1532" s="9"/>
      <c r="F1532" s="1"/>
      <c r="G1532" s="1"/>
      <c r="H1532" s="19"/>
      <c r="I1532" s="1"/>
      <c r="J1532" s="1"/>
      <c r="K1532" s="19"/>
      <c r="L1532" s="1"/>
      <c r="M1532" s="9"/>
      <c r="N1532" s="1"/>
      <c r="O1532" s="1"/>
      <c r="P1532" s="1"/>
      <c r="Q1532" s="1"/>
      <c r="R1532" s="1"/>
    </row>
    <row r="1533" spans="2:18">
      <c r="B1533" s="1"/>
      <c r="C1533" s="9"/>
      <c r="D1533" s="9"/>
      <c r="E1533" s="9"/>
      <c r="F1533" s="1"/>
      <c r="G1533" s="1"/>
      <c r="H1533" s="19"/>
      <c r="I1533" s="1"/>
      <c r="J1533" s="1"/>
      <c r="K1533" s="19"/>
      <c r="L1533" s="1"/>
      <c r="M1533" s="9"/>
      <c r="N1533" s="1"/>
      <c r="O1533" s="1"/>
      <c r="P1533" s="1"/>
      <c r="Q1533" s="1"/>
      <c r="R1533" s="1"/>
    </row>
    <row r="1534" spans="2:18">
      <c r="B1534" s="1"/>
      <c r="C1534" s="9"/>
      <c r="D1534" s="9"/>
      <c r="E1534" s="9"/>
      <c r="F1534" s="1"/>
      <c r="G1534" s="1"/>
      <c r="H1534" s="19"/>
      <c r="I1534" s="1"/>
      <c r="J1534" s="1"/>
      <c r="K1534" s="19"/>
      <c r="L1534" s="1"/>
      <c r="M1534" s="9"/>
      <c r="N1534" s="1"/>
      <c r="O1534" s="1"/>
      <c r="P1534" s="1"/>
      <c r="Q1534" s="1"/>
      <c r="R1534" s="1"/>
    </row>
    <row r="1535" spans="2:18">
      <c r="B1535" s="1"/>
      <c r="C1535" s="9"/>
      <c r="D1535" s="9"/>
      <c r="E1535" s="9"/>
      <c r="F1535" s="1"/>
      <c r="G1535" s="1"/>
      <c r="H1535" s="19"/>
      <c r="I1535" s="1"/>
      <c r="J1535" s="1"/>
      <c r="K1535" s="19"/>
      <c r="L1535" s="1"/>
      <c r="M1535" s="9"/>
      <c r="N1535" s="1"/>
      <c r="O1535" s="1"/>
      <c r="P1535" s="1"/>
      <c r="Q1535" s="1"/>
      <c r="R1535" s="1"/>
    </row>
    <row r="1536" spans="2:18">
      <c r="B1536" s="1"/>
      <c r="C1536" s="9"/>
      <c r="D1536" s="9"/>
      <c r="E1536" s="9"/>
      <c r="F1536" s="1"/>
      <c r="G1536" s="1"/>
      <c r="H1536" s="19"/>
      <c r="I1536" s="1"/>
      <c r="J1536" s="1"/>
      <c r="K1536" s="19"/>
      <c r="L1536" s="1"/>
      <c r="M1536" s="9"/>
      <c r="N1536" s="1"/>
      <c r="O1536" s="1"/>
      <c r="P1536" s="1"/>
      <c r="Q1536" s="1"/>
      <c r="R1536" s="1"/>
    </row>
    <row r="1537" spans="2:18">
      <c r="B1537" s="1"/>
      <c r="C1537" s="9"/>
      <c r="D1537" s="9"/>
      <c r="E1537" s="9"/>
      <c r="F1537" s="1"/>
      <c r="G1537" s="1"/>
      <c r="H1537" s="19"/>
      <c r="I1537" s="1"/>
      <c r="J1537" s="1"/>
      <c r="K1537" s="19"/>
      <c r="L1537" s="1"/>
      <c r="M1537" s="9"/>
      <c r="N1537" s="1"/>
      <c r="O1537" s="1"/>
      <c r="P1537" s="1"/>
      <c r="Q1537" s="1"/>
      <c r="R1537" s="1"/>
    </row>
    <row r="1538" spans="2:18">
      <c r="B1538" s="1"/>
      <c r="C1538" s="9"/>
      <c r="D1538" s="9"/>
      <c r="E1538" s="9"/>
      <c r="F1538" s="1"/>
      <c r="G1538" s="1"/>
      <c r="H1538" s="19"/>
      <c r="I1538" s="1"/>
      <c r="J1538" s="1"/>
      <c r="K1538" s="19"/>
      <c r="L1538" s="1"/>
      <c r="M1538" s="9"/>
      <c r="N1538" s="1"/>
      <c r="O1538" s="1"/>
      <c r="P1538" s="1"/>
      <c r="Q1538" s="1"/>
      <c r="R1538" s="1"/>
    </row>
    <row r="1539" spans="2:18">
      <c r="B1539" s="1"/>
      <c r="C1539" s="9"/>
      <c r="D1539" s="9"/>
      <c r="E1539" s="9"/>
      <c r="F1539" s="1"/>
      <c r="G1539" s="1"/>
      <c r="H1539" s="19"/>
      <c r="I1539" s="1"/>
      <c r="J1539" s="1"/>
      <c r="K1539" s="19"/>
      <c r="L1539" s="1"/>
      <c r="M1539" s="9"/>
      <c r="N1539" s="1"/>
      <c r="O1539" s="1"/>
      <c r="P1539" s="1"/>
      <c r="Q1539" s="1"/>
      <c r="R1539" s="1"/>
    </row>
    <row r="1540" spans="2:18">
      <c r="B1540" s="1"/>
      <c r="C1540" s="9"/>
      <c r="D1540" s="9"/>
      <c r="E1540" s="9"/>
      <c r="F1540" s="1"/>
      <c r="G1540" s="1"/>
      <c r="H1540" s="19"/>
      <c r="I1540" s="1"/>
      <c r="J1540" s="1"/>
      <c r="K1540" s="19"/>
      <c r="L1540" s="1"/>
      <c r="M1540" s="9"/>
      <c r="N1540" s="1"/>
      <c r="O1540" s="1"/>
      <c r="P1540" s="1"/>
      <c r="Q1540" s="1"/>
      <c r="R1540" s="1"/>
    </row>
    <row r="1541" spans="2:18">
      <c r="B1541" s="1"/>
      <c r="C1541" s="9"/>
      <c r="D1541" s="9"/>
      <c r="E1541" s="9"/>
      <c r="F1541" s="1"/>
      <c r="G1541" s="1"/>
      <c r="H1541" s="19"/>
      <c r="I1541" s="1"/>
      <c r="J1541" s="1"/>
      <c r="K1541" s="19"/>
      <c r="L1541" s="1"/>
      <c r="M1541" s="9"/>
      <c r="N1541" s="1"/>
      <c r="O1541" s="1"/>
      <c r="P1541" s="1"/>
      <c r="Q1541" s="1"/>
      <c r="R1541" s="1"/>
    </row>
    <row r="1542" spans="2:18">
      <c r="B1542" s="1"/>
      <c r="C1542" s="9"/>
      <c r="D1542" s="9"/>
      <c r="E1542" s="9"/>
      <c r="F1542" s="1"/>
      <c r="G1542" s="1"/>
      <c r="H1542" s="19"/>
      <c r="I1542" s="1"/>
      <c r="J1542" s="1"/>
      <c r="K1542" s="19"/>
      <c r="L1542" s="1"/>
      <c r="M1542" s="9"/>
      <c r="N1542" s="1"/>
      <c r="O1542" s="1"/>
      <c r="P1542" s="1"/>
      <c r="Q1542" s="1"/>
      <c r="R1542" s="1"/>
    </row>
    <row r="1543" spans="2:18">
      <c r="B1543" s="1"/>
      <c r="C1543" s="9"/>
      <c r="D1543" s="9"/>
      <c r="E1543" s="9"/>
      <c r="F1543" s="1"/>
      <c r="G1543" s="1"/>
      <c r="H1543" s="19"/>
      <c r="I1543" s="1"/>
      <c r="J1543" s="1"/>
      <c r="K1543" s="19"/>
      <c r="L1543" s="1"/>
      <c r="M1543" s="9"/>
      <c r="N1543" s="1"/>
      <c r="O1543" s="1"/>
      <c r="P1543" s="1"/>
      <c r="Q1543" s="1"/>
      <c r="R1543" s="1"/>
    </row>
    <row r="1544" spans="2:18">
      <c r="B1544" s="1"/>
      <c r="C1544" s="9"/>
      <c r="D1544" s="9"/>
      <c r="E1544" s="9"/>
      <c r="F1544" s="1"/>
      <c r="G1544" s="1"/>
      <c r="H1544" s="19"/>
      <c r="I1544" s="1"/>
      <c r="J1544" s="1"/>
      <c r="K1544" s="19"/>
      <c r="L1544" s="1"/>
      <c r="M1544" s="9"/>
      <c r="N1544" s="1"/>
      <c r="O1544" s="1"/>
      <c r="P1544" s="1"/>
      <c r="Q1544" s="1"/>
      <c r="R1544" s="1"/>
    </row>
    <row r="1545" spans="2:18">
      <c r="B1545" s="1"/>
      <c r="C1545" s="9"/>
      <c r="D1545" s="9"/>
      <c r="E1545" s="9"/>
      <c r="F1545" s="1"/>
      <c r="G1545" s="1"/>
      <c r="H1545" s="19"/>
      <c r="I1545" s="1"/>
      <c r="J1545" s="1"/>
      <c r="K1545" s="19"/>
      <c r="L1545" s="1"/>
      <c r="M1545" s="9"/>
      <c r="N1545" s="1"/>
      <c r="O1545" s="1"/>
      <c r="P1545" s="1"/>
      <c r="Q1545" s="1"/>
      <c r="R1545" s="1"/>
    </row>
    <row r="1546" spans="2:18">
      <c r="B1546" s="1"/>
      <c r="C1546" s="9"/>
      <c r="D1546" s="9"/>
      <c r="E1546" s="9"/>
      <c r="F1546" s="1"/>
      <c r="G1546" s="1"/>
      <c r="H1546" s="19"/>
      <c r="I1546" s="1"/>
      <c r="J1546" s="1"/>
      <c r="K1546" s="19"/>
      <c r="L1546" s="1"/>
      <c r="M1546" s="9"/>
      <c r="N1546" s="1"/>
      <c r="O1546" s="1"/>
      <c r="P1546" s="1"/>
      <c r="Q1546" s="1"/>
      <c r="R1546" s="1"/>
    </row>
    <row r="1547" spans="2:18">
      <c r="B1547" s="1"/>
      <c r="C1547" s="9"/>
      <c r="D1547" s="9"/>
      <c r="E1547" s="9"/>
      <c r="F1547" s="1"/>
      <c r="G1547" s="1"/>
      <c r="H1547" s="19"/>
      <c r="I1547" s="1"/>
      <c r="J1547" s="1"/>
      <c r="K1547" s="19"/>
      <c r="L1547" s="1"/>
      <c r="M1547" s="9"/>
      <c r="N1547" s="1"/>
      <c r="O1547" s="1"/>
      <c r="P1547" s="1"/>
      <c r="Q1547" s="1"/>
      <c r="R1547" s="1"/>
    </row>
    <row r="1548" spans="2:18">
      <c r="B1548" s="1"/>
      <c r="C1548" s="9"/>
      <c r="D1548" s="9"/>
      <c r="E1548" s="9"/>
      <c r="F1548" s="1"/>
      <c r="G1548" s="1"/>
      <c r="H1548" s="19"/>
      <c r="I1548" s="1"/>
      <c r="J1548" s="1"/>
      <c r="K1548" s="19"/>
      <c r="L1548" s="1"/>
      <c r="M1548" s="9"/>
      <c r="N1548" s="1"/>
      <c r="O1548" s="1"/>
      <c r="P1548" s="1"/>
      <c r="Q1548" s="1"/>
      <c r="R1548" s="1"/>
    </row>
    <row r="1549" spans="2:18">
      <c r="B1549" s="1"/>
      <c r="C1549" s="9"/>
      <c r="D1549" s="9"/>
      <c r="E1549" s="9"/>
      <c r="F1549" s="1"/>
      <c r="G1549" s="1"/>
      <c r="H1549" s="19"/>
      <c r="I1549" s="1"/>
      <c r="J1549" s="1"/>
      <c r="K1549" s="19"/>
      <c r="L1549" s="1"/>
      <c r="M1549" s="9"/>
      <c r="N1549" s="1"/>
      <c r="O1549" s="1"/>
      <c r="P1549" s="1"/>
      <c r="Q1549" s="1"/>
      <c r="R1549" s="1"/>
    </row>
    <row r="1550" spans="2:18">
      <c r="B1550" s="1"/>
      <c r="C1550" s="9"/>
      <c r="D1550" s="9"/>
      <c r="E1550" s="9"/>
      <c r="F1550" s="1"/>
      <c r="G1550" s="1"/>
      <c r="H1550" s="19"/>
      <c r="I1550" s="1"/>
      <c r="J1550" s="1"/>
      <c r="K1550" s="19"/>
      <c r="L1550" s="1"/>
      <c r="M1550" s="9"/>
      <c r="N1550" s="1"/>
      <c r="O1550" s="1"/>
      <c r="P1550" s="1"/>
      <c r="Q1550" s="1"/>
      <c r="R1550" s="1"/>
    </row>
    <row r="1551" spans="2:18">
      <c r="B1551" s="1"/>
      <c r="C1551" s="9"/>
      <c r="D1551" s="9"/>
      <c r="E1551" s="9"/>
      <c r="F1551" s="1"/>
      <c r="G1551" s="1"/>
      <c r="H1551" s="19"/>
      <c r="I1551" s="1"/>
      <c r="J1551" s="1"/>
      <c r="K1551" s="19"/>
      <c r="L1551" s="1"/>
      <c r="M1551" s="9"/>
      <c r="N1551" s="1"/>
      <c r="O1551" s="1"/>
      <c r="P1551" s="1"/>
      <c r="Q1551" s="1"/>
      <c r="R1551" s="1"/>
    </row>
    <row r="1552" spans="2:18">
      <c r="B1552" s="1"/>
      <c r="C1552" s="9"/>
      <c r="D1552" s="9"/>
      <c r="E1552" s="9"/>
      <c r="F1552" s="1"/>
      <c r="G1552" s="1"/>
      <c r="H1552" s="19"/>
      <c r="I1552" s="1"/>
      <c r="J1552" s="1"/>
      <c r="K1552" s="19"/>
      <c r="L1552" s="1"/>
      <c r="M1552" s="9"/>
      <c r="N1552" s="1"/>
      <c r="O1552" s="1"/>
      <c r="P1552" s="1"/>
      <c r="Q1552" s="1"/>
      <c r="R1552" s="1"/>
    </row>
    <row r="1553" spans="2:18">
      <c r="B1553" s="1"/>
      <c r="C1553" s="9"/>
      <c r="D1553" s="9"/>
      <c r="E1553" s="9"/>
      <c r="F1553" s="1"/>
      <c r="G1553" s="1"/>
      <c r="H1553" s="19"/>
      <c r="I1553" s="1"/>
      <c r="J1553" s="1"/>
      <c r="K1553" s="19"/>
      <c r="L1553" s="1"/>
      <c r="M1553" s="9"/>
      <c r="N1553" s="1"/>
      <c r="O1553" s="1"/>
      <c r="P1553" s="1"/>
      <c r="Q1553" s="1"/>
      <c r="R1553" s="1"/>
    </row>
    <row r="1554" spans="2:18">
      <c r="B1554" s="1"/>
      <c r="C1554" s="9"/>
      <c r="D1554" s="9"/>
      <c r="E1554" s="9"/>
      <c r="F1554" s="1"/>
      <c r="G1554" s="1"/>
      <c r="H1554" s="19"/>
      <c r="I1554" s="1"/>
      <c r="J1554" s="1"/>
      <c r="K1554" s="19"/>
      <c r="L1554" s="1"/>
      <c r="M1554" s="9"/>
      <c r="N1554" s="1"/>
      <c r="O1554" s="1"/>
      <c r="P1554" s="1"/>
      <c r="Q1554" s="1"/>
      <c r="R1554" s="1"/>
    </row>
    <row r="1555" spans="2:18">
      <c r="B1555" s="1"/>
      <c r="C1555" s="9"/>
      <c r="D1555" s="9"/>
      <c r="E1555" s="9"/>
      <c r="F1555" s="1"/>
      <c r="G1555" s="1"/>
      <c r="H1555" s="19"/>
      <c r="I1555" s="1"/>
      <c r="J1555" s="1"/>
      <c r="K1555" s="19"/>
      <c r="L1555" s="1"/>
      <c r="M1555" s="9"/>
      <c r="N1555" s="1"/>
      <c r="O1555" s="1"/>
      <c r="P1555" s="1"/>
      <c r="Q1555" s="1"/>
      <c r="R1555" s="1"/>
    </row>
    <row r="1556" spans="2:18">
      <c r="B1556" s="1"/>
      <c r="C1556" s="9"/>
      <c r="D1556" s="9"/>
      <c r="E1556" s="9"/>
      <c r="F1556" s="1"/>
      <c r="G1556" s="1"/>
      <c r="H1556" s="19"/>
      <c r="I1556" s="1"/>
      <c r="J1556" s="1"/>
      <c r="K1556" s="19"/>
      <c r="L1556" s="1"/>
      <c r="M1556" s="9"/>
      <c r="N1556" s="1"/>
      <c r="O1556" s="1"/>
      <c r="P1556" s="1"/>
      <c r="Q1556" s="1"/>
      <c r="R1556" s="1"/>
    </row>
    <row r="1557" spans="2:18">
      <c r="B1557" s="1"/>
      <c r="C1557" s="9"/>
      <c r="D1557" s="9"/>
      <c r="E1557" s="9"/>
      <c r="F1557" s="1"/>
      <c r="G1557" s="1"/>
      <c r="H1557" s="19"/>
      <c r="I1557" s="1"/>
      <c r="J1557" s="1"/>
      <c r="K1557" s="19"/>
      <c r="L1557" s="1"/>
      <c r="M1557" s="9"/>
      <c r="N1557" s="1"/>
      <c r="O1557" s="1"/>
      <c r="P1557" s="1"/>
      <c r="Q1557" s="1"/>
      <c r="R1557" s="1"/>
    </row>
    <row r="1558" spans="2:18">
      <c r="B1558" s="1"/>
      <c r="C1558" s="9"/>
      <c r="D1558" s="9"/>
      <c r="E1558" s="9"/>
      <c r="F1558" s="1"/>
      <c r="G1558" s="1"/>
      <c r="H1558" s="19"/>
      <c r="I1558" s="1"/>
      <c r="J1558" s="1"/>
      <c r="K1558" s="19"/>
      <c r="L1558" s="1"/>
      <c r="M1558" s="9"/>
      <c r="N1558" s="1"/>
      <c r="O1558" s="1"/>
      <c r="P1558" s="1"/>
      <c r="Q1558" s="1"/>
      <c r="R1558" s="1"/>
    </row>
    <row r="1559" spans="2:18">
      <c r="B1559" s="1"/>
      <c r="C1559" s="9"/>
      <c r="D1559" s="9"/>
      <c r="E1559" s="9"/>
      <c r="F1559" s="1"/>
      <c r="G1559" s="1"/>
      <c r="H1559" s="19"/>
      <c r="I1559" s="1"/>
      <c r="J1559" s="1"/>
      <c r="K1559" s="19"/>
      <c r="L1559" s="1"/>
      <c r="M1559" s="9"/>
      <c r="N1559" s="1"/>
      <c r="O1559" s="1"/>
      <c r="P1559" s="1"/>
      <c r="Q1559" s="1"/>
      <c r="R1559" s="1"/>
    </row>
    <row r="1560" spans="2:18">
      <c r="B1560" s="1"/>
      <c r="C1560" s="9"/>
      <c r="D1560" s="9"/>
      <c r="E1560" s="9"/>
      <c r="F1560" s="1"/>
      <c r="G1560" s="1"/>
      <c r="H1560" s="19"/>
      <c r="I1560" s="1"/>
      <c r="J1560" s="1"/>
      <c r="K1560" s="19"/>
      <c r="L1560" s="1"/>
      <c r="M1560" s="9"/>
      <c r="N1560" s="1"/>
      <c r="O1560" s="1"/>
      <c r="P1560" s="1"/>
      <c r="Q1560" s="1"/>
      <c r="R1560" s="1"/>
    </row>
    <row r="1561" spans="2:18">
      <c r="B1561" s="1"/>
      <c r="C1561" s="9"/>
      <c r="D1561" s="9"/>
      <c r="E1561" s="9"/>
      <c r="F1561" s="1"/>
      <c r="G1561" s="1"/>
      <c r="H1561" s="19"/>
      <c r="I1561" s="1"/>
      <c r="J1561" s="1"/>
      <c r="K1561" s="19"/>
      <c r="L1561" s="1"/>
      <c r="M1561" s="9"/>
      <c r="N1561" s="1"/>
      <c r="O1561" s="1"/>
      <c r="P1561" s="1"/>
      <c r="Q1561" s="1"/>
      <c r="R1561" s="1"/>
    </row>
    <row r="1562" spans="2:18">
      <c r="B1562" s="1"/>
      <c r="C1562" s="9"/>
      <c r="D1562" s="9"/>
      <c r="E1562" s="9"/>
      <c r="F1562" s="1"/>
      <c r="G1562" s="1"/>
      <c r="H1562" s="19"/>
      <c r="I1562" s="1"/>
      <c r="J1562" s="1"/>
      <c r="K1562" s="19"/>
      <c r="L1562" s="1"/>
      <c r="M1562" s="9"/>
      <c r="N1562" s="1"/>
      <c r="O1562" s="1"/>
      <c r="P1562" s="1"/>
      <c r="Q1562" s="1"/>
      <c r="R1562" s="1"/>
    </row>
    <row r="1563" spans="2:18">
      <c r="B1563" s="1"/>
      <c r="C1563" s="9"/>
      <c r="D1563" s="9"/>
      <c r="E1563" s="9"/>
      <c r="F1563" s="1"/>
      <c r="G1563" s="1"/>
      <c r="H1563" s="19"/>
      <c r="I1563" s="1"/>
      <c r="J1563" s="1"/>
      <c r="K1563" s="19"/>
      <c r="L1563" s="1"/>
      <c r="M1563" s="9"/>
      <c r="N1563" s="1"/>
      <c r="O1563" s="1"/>
      <c r="P1563" s="1"/>
      <c r="Q1563" s="1"/>
      <c r="R1563" s="1"/>
    </row>
    <row r="1564" spans="2:18">
      <c r="B1564" s="1"/>
      <c r="C1564" s="9"/>
      <c r="D1564" s="9"/>
      <c r="E1564" s="9"/>
      <c r="F1564" s="1"/>
      <c r="G1564" s="1"/>
      <c r="H1564" s="19"/>
      <c r="I1564" s="1"/>
      <c r="J1564" s="1"/>
      <c r="K1564" s="19"/>
      <c r="L1564" s="1"/>
      <c r="M1564" s="9"/>
      <c r="N1564" s="1"/>
      <c r="O1564" s="1"/>
      <c r="P1564" s="1"/>
      <c r="Q1564" s="1"/>
      <c r="R1564" s="1"/>
    </row>
    <row r="1565" spans="2:18">
      <c r="B1565" s="1"/>
      <c r="C1565" s="9"/>
      <c r="D1565" s="9"/>
      <c r="E1565" s="9"/>
      <c r="F1565" s="1"/>
      <c r="G1565" s="1"/>
      <c r="H1565" s="19"/>
      <c r="I1565" s="1"/>
      <c r="J1565" s="1"/>
      <c r="K1565" s="19"/>
      <c r="L1565" s="1"/>
      <c r="M1565" s="9"/>
      <c r="N1565" s="1"/>
      <c r="O1565" s="1"/>
      <c r="P1565" s="1"/>
      <c r="Q1565" s="1"/>
      <c r="R1565" s="1"/>
    </row>
    <row r="1566" spans="2:18">
      <c r="B1566" s="1"/>
      <c r="C1566" s="9"/>
      <c r="D1566" s="9"/>
      <c r="E1566" s="9"/>
      <c r="F1566" s="1"/>
      <c r="G1566" s="1"/>
      <c r="H1566" s="19"/>
      <c r="I1566" s="1"/>
      <c r="J1566" s="1"/>
      <c r="K1566" s="19"/>
      <c r="L1566" s="1"/>
      <c r="M1566" s="9"/>
      <c r="N1566" s="1"/>
      <c r="O1566" s="1"/>
      <c r="P1566" s="1"/>
      <c r="Q1566" s="1"/>
      <c r="R1566" s="1"/>
    </row>
    <row r="1567" spans="2:18">
      <c r="B1567" s="1"/>
      <c r="C1567" s="9"/>
      <c r="D1567" s="9"/>
      <c r="E1567" s="9"/>
      <c r="F1567" s="1"/>
      <c r="G1567" s="1"/>
      <c r="H1567" s="19"/>
      <c r="I1567" s="1"/>
      <c r="J1567" s="1"/>
      <c r="K1567" s="19"/>
      <c r="L1567" s="1"/>
      <c r="M1567" s="9"/>
      <c r="N1567" s="1"/>
      <c r="O1567" s="1"/>
      <c r="P1567" s="1"/>
      <c r="Q1567" s="1"/>
      <c r="R1567" s="1"/>
    </row>
    <row r="1568" spans="2:18">
      <c r="B1568" s="1"/>
      <c r="C1568" s="9"/>
      <c r="D1568" s="9"/>
      <c r="E1568" s="9"/>
      <c r="F1568" s="1"/>
      <c r="G1568" s="1"/>
      <c r="H1568" s="19"/>
      <c r="I1568" s="1"/>
      <c r="J1568" s="1"/>
      <c r="K1568" s="19"/>
      <c r="L1568" s="1"/>
      <c r="M1568" s="9"/>
      <c r="N1568" s="1"/>
      <c r="O1568" s="1"/>
      <c r="P1568" s="1"/>
      <c r="Q1568" s="1"/>
      <c r="R1568" s="1"/>
    </row>
    <row r="1569" spans="2:18">
      <c r="B1569" s="1"/>
      <c r="C1569" s="9"/>
      <c r="D1569" s="9"/>
      <c r="E1569" s="9"/>
      <c r="F1569" s="1"/>
      <c r="G1569" s="1"/>
      <c r="H1569" s="19"/>
      <c r="I1569" s="1"/>
      <c r="J1569" s="1"/>
      <c r="K1569" s="19"/>
      <c r="L1569" s="1"/>
      <c r="M1569" s="9"/>
      <c r="N1569" s="1"/>
      <c r="O1569" s="1"/>
      <c r="P1569" s="1"/>
      <c r="Q1569" s="1"/>
      <c r="R1569" s="1"/>
    </row>
    <row r="1570" spans="2:18">
      <c r="B1570" s="1"/>
      <c r="C1570" s="9"/>
      <c r="D1570" s="9"/>
      <c r="E1570" s="9"/>
      <c r="F1570" s="1"/>
      <c r="G1570" s="1"/>
      <c r="H1570" s="19"/>
      <c r="I1570" s="1"/>
      <c r="J1570" s="1"/>
      <c r="K1570" s="19"/>
      <c r="L1570" s="1"/>
      <c r="M1570" s="9"/>
      <c r="N1570" s="1"/>
      <c r="O1570" s="1"/>
      <c r="P1570" s="1"/>
      <c r="Q1570" s="1"/>
      <c r="R1570" s="1"/>
    </row>
    <row r="1571" spans="2:18">
      <c r="B1571" s="1"/>
      <c r="C1571" s="9"/>
      <c r="D1571" s="9"/>
      <c r="E1571" s="9"/>
      <c r="F1571" s="1"/>
      <c r="G1571" s="1"/>
      <c r="H1571" s="19"/>
      <c r="I1571" s="1"/>
      <c r="J1571" s="1"/>
      <c r="K1571" s="19"/>
      <c r="L1571" s="1"/>
      <c r="M1571" s="9"/>
      <c r="N1571" s="1"/>
      <c r="O1571" s="1"/>
      <c r="P1571" s="1"/>
      <c r="Q1571" s="1"/>
      <c r="R1571" s="1"/>
    </row>
    <row r="1572" spans="2:18">
      <c r="B1572" s="1"/>
      <c r="C1572" s="9"/>
      <c r="D1572" s="9"/>
      <c r="E1572" s="9"/>
      <c r="F1572" s="1"/>
      <c r="G1572" s="1"/>
      <c r="H1572" s="19"/>
      <c r="I1572" s="1"/>
      <c r="J1572" s="1"/>
      <c r="K1572" s="19"/>
      <c r="L1572" s="1"/>
      <c r="M1572" s="9"/>
      <c r="N1572" s="1"/>
      <c r="O1572" s="1"/>
      <c r="P1572" s="1"/>
      <c r="Q1572" s="1"/>
      <c r="R1572" s="1"/>
    </row>
    <row r="1573" spans="2:18">
      <c r="B1573" s="1"/>
      <c r="C1573" s="9"/>
      <c r="D1573" s="9"/>
      <c r="E1573" s="9"/>
      <c r="F1573" s="1"/>
      <c r="G1573" s="1"/>
      <c r="H1573" s="19"/>
      <c r="I1573" s="1"/>
      <c r="J1573" s="1"/>
      <c r="K1573" s="19"/>
      <c r="L1573" s="1"/>
      <c r="M1573" s="9"/>
      <c r="N1573" s="1"/>
      <c r="O1573" s="1"/>
      <c r="P1573" s="1"/>
      <c r="Q1573" s="1"/>
      <c r="R1573" s="1"/>
    </row>
    <row r="1574" spans="2:18">
      <c r="B1574" s="1"/>
      <c r="C1574" s="9"/>
      <c r="D1574" s="9"/>
      <c r="E1574" s="9"/>
      <c r="F1574" s="1"/>
      <c r="G1574" s="1"/>
      <c r="H1574" s="19"/>
      <c r="I1574" s="1"/>
      <c r="J1574" s="1"/>
      <c r="K1574" s="19"/>
      <c r="L1574" s="1"/>
      <c r="M1574" s="9"/>
      <c r="N1574" s="1"/>
      <c r="O1574" s="1"/>
      <c r="P1574" s="1"/>
      <c r="Q1574" s="1"/>
      <c r="R1574" s="1"/>
    </row>
    <row r="1575" spans="2:18">
      <c r="B1575" s="1"/>
      <c r="C1575" s="9"/>
      <c r="D1575" s="9"/>
      <c r="E1575" s="9"/>
      <c r="F1575" s="1"/>
      <c r="G1575" s="1"/>
      <c r="H1575" s="19"/>
      <c r="I1575" s="1"/>
      <c r="J1575" s="1"/>
      <c r="K1575" s="19"/>
      <c r="L1575" s="1"/>
      <c r="M1575" s="9"/>
      <c r="N1575" s="1"/>
      <c r="O1575" s="1"/>
      <c r="P1575" s="1"/>
      <c r="Q1575" s="1"/>
      <c r="R1575" s="1"/>
    </row>
    <row r="1576" spans="2:18">
      <c r="B1576" s="1"/>
      <c r="C1576" s="9"/>
      <c r="D1576" s="9"/>
      <c r="E1576" s="9"/>
      <c r="F1576" s="1"/>
      <c r="G1576" s="1"/>
      <c r="H1576" s="19"/>
      <c r="I1576" s="1"/>
      <c r="J1576" s="1"/>
      <c r="K1576" s="19"/>
      <c r="L1576" s="1"/>
      <c r="M1576" s="9"/>
      <c r="N1576" s="1"/>
      <c r="O1576" s="1"/>
      <c r="P1576" s="1"/>
      <c r="Q1576" s="1"/>
      <c r="R1576" s="1"/>
    </row>
    <row r="1577" spans="2:18">
      <c r="B1577" s="1"/>
      <c r="C1577" s="9"/>
      <c r="D1577" s="9"/>
      <c r="E1577" s="9"/>
      <c r="F1577" s="1"/>
      <c r="G1577" s="1"/>
      <c r="H1577" s="19"/>
      <c r="I1577" s="1"/>
      <c r="J1577" s="1"/>
      <c r="K1577" s="19"/>
      <c r="L1577" s="1"/>
      <c r="M1577" s="9"/>
      <c r="N1577" s="1"/>
      <c r="O1577" s="1"/>
      <c r="P1577" s="1"/>
      <c r="Q1577" s="1"/>
      <c r="R1577" s="1"/>
    </row>
    <row r="1578" spans="2:18">
      <c r="B1578" s="1"/>
      <c r="C1578" s="9"/>
      <c r="D1578" s="9"/>
      <c r="E1578" s="9"/>
      <c r="F1578" s="1"/>
      <c r="G1578" s="1"/>
      <c r="H1578" s="19"/>
      <c r="I1578" s="1"/>
      <c r="J1578" s="1"/>
      <c r="K1578" s="19"/>
      <c r="L1578" s="1"/>
      <c r="M1578" s="9"/>
      <c r="N1578" s="1"/>
      <c r="O1578" s="1"/>
      <c r="P1578" s="1"/>
      <c r="Q1578" s="1"/>
      <c r="R1578" s="1"/>
    </row>
    <row r="1579" spans="2:18">
      <c r="B1579" s="1"/>
      <c r="C1579" s="9"/>
      <c r="D1579" s="9"/>
      <c r="E1579" s="9"/>
      <c r="F1579" s="1"/>
      <c r="G1579" s="1"/>
      <c r="H1579" s="19"/>
      <c r="I1579" s="1"/>
      <c r="J1579" s="1"/>
      <c r="K1579" s="19"/>
      <c r="L1579" s="1"/>
      <c r="M1579" s="9"/>
      <c r="N1579" s="1"/>
      <c r="O1579" s="1"/>
      <c r="P1579" s="1"/>
      <c r="Q1579" s="1"/>
      <c r="R1579" s="1"/>
    </row>
    <row r="1580" spans="2:18">
      <c r="B1580" s="1"/>
      <c r="C1580" s="9"/>
      <c r="D1580" s="9"/>
      <c r="E1580" s="9"/>
      <c r="F1580" s="1"/>
      <c r="G1580" s="1"/>
      <c r="H1580" s="19"/>
      <c r="I1580" s="1"/>
      <c r="J1580" s="1"/>
      <c r="K1580" s="19"/>
      <c r="L1580" s="1"/>
      <c r="M1580" s="9"/>
      <c r="N1580" s="1"/>
      <c r="O1580" s="1"/>
      <c r="P1580" s="1"/>
      <c r="Q1580" s="1"/>
      <c r="R1580" s="1"/>
    </row>
    <row r="1581" spans="2:18">
      <c r="B1581" s="1"/>
      <c r="C1581" s="9"/>
      <c r="D1581" s="9"/>
      <c r="E1581" s="9"/>
      <c r="F1581" s="1"/>
      <c r="G1581" s="1"/>
      <c r="H1581" s="19"/>
      <c r="I1581" s="1"/>
      <c r="J1581" s="1"/>
      <c r="K1581" s="19"/>
      <c r="L1581" s="1"/>
      <c r="M1581" s="9"/>
      <c r="N1581" s="1"/>
      <c r="O1581" s="1"/>
      <c r="P1581" s="1"/>
      <c r="Q1581" s="1"/>
      <c r="R1581" s="1"/>
    </row>
    <row r="1582" spans="2:18">
      <c r="B1582" s="1"/>
      <c r="C1582" s="9"/>
      <c r="D1582" s="9"/>
      <c r="E1582" s="9"/>
      <c r="F1582" s="1"/>
      <c r="G1582" s="1"/>
      <c r="H1582" s="19"/>
      <c r="I1582" s="1"/>
      <c r="J1582" s="1"/>
      <c r="K1582" s="19"/>
      <c r="L1582" s="1"/>
      <c r="M1582" s="9"/>
      <c r="N1582" s="1"/>
      <c r="O1582" s="1"/>
      <c r="P1582" s="1"/>
      <c r="Q1582" s="1"/>
      <c r="R1582" s="1"/>
    </row>
    <row r="1583" spans="2:18">
      <c r="B1583" s="1"/>
      <c r="C1583" s="9"/>
      <c r="D1583" s="9"/>
      <c r="E1583" s="9"/>
      <c r="F1583" s="1"/>
      <c r="G1583" s="1"/>
      <c r="H1583" s="19"/>
      <c r="I1583" s="1"/>
      <c r="J1583" s="1"/>
      <c r="K1583" s="19"/>
      <c r="L1583" s="1"/>
      <c r="M1583" s="9"/>
      <c r="N1583" s="1"/>
      <c r="O1583" s="1"/>
      <c r="P1583" s="1"/>
      <c r="Q1583" s="1"/>
      <c r="R1583" s="1"/>
    </row>
    <row r="1584" spans="2:18">
      <c r="B1584" s="1"/>
      <c r="C1584" s="9"/>
      <c r="D1584" s="9"/>
      <c r="E1584" s="9"/>
      <c r="F1584" s="1"/>
      <c r="G1584" s="1"/>
      <c r="H1584" s="19"/>
      <c r="I1584" s="1"/>
      <c r="J1584" s="1"/>
      <c r="K1584" s="19"/>
      <c r="L1584" s="1"/>
      <c r="M1584" s="9"/>
      <c r="N1584" s="1"/>
      <c r="O1584" s="1"/>
      <c r="P1584" s="1"/>
      <c r="Q1584" s="1"/>
      <c r="R1584" s="1"/>
    </row>
    <row r="1585" spans="2:18">
      <c r="B1585" s="1"/>
      <c r="C1585" s="9"/>
      <c r="D1585" s="9"/>
      <c r="E1585" s="9"/>
      <c r="F1585" s="1"/>
      <c r="G1585" s="1"/>
      <c r="H1585" s="19"/>
      <c r="I1585" s="1"/>
      <c r="J1585" s="1"/>
      <c r="K1585" s="19"/>
      <c r="L1585" s="1"/>
      <c r="M1585" s="9"/>
      <c r="N1585" s="1"/>
      <c r="O1585" s="1"/>
      <c r="P1585" s="1"/>
      <c r="Q1585" s="1"/>
      <c r="R1585" s="1"/>
    </row>
    <row r="1586" spans="2:18">
      <c r="B1586" s="1"/>
      <c r="C1586" s="9"/>
      <c r="D1586" s="9"/>
      <c r="E1586" s="9"/>
      <c r="F1586" s="1"/>
      <c r="G1586" s="1"/>
      <c r="H1586" s="19"/>
      <c r="I1586" s="1"/>
      <c r="J1586" s="1"/>
      <c r="K1586" s="19"/>
      <c r="L1586" s="1"/>
      <c r="M1586" s="9"/>
      <c r="N1586" s="1"/>
      <c r="O1586" s="1"/>
      <c r="P1586" s="1"/>
      <c r="Q1586" s="1"/>
      <c r="R1586" s="1"/>
    </row>
    <row r="1587" spans="2:18">
      <c r="B1587" s="1"/>
      <c r="C1587" s="9"/>
      <c r="D1587" s="9"/>
      <c r="E1587" s="9"/>
      <c r="F1587" s="1"/>
      <c r="G1587" s="1"/>
      <c r="H1587" s="19"/>
      <c r="I1587" s="1"/>
      <c r="J1587" s="1"/>
      <c r="K1587" s="19"/>
      <c r="L1587" s="1"/>
      <c r="M1587" s="9"/>
      <c r="N1587" s="1"/>
      <c r="O1587" s="1"/>
      <c r="P1587" s="1"/>
      <c r="Q1587" s="1"/>
      <c r="R1587" s="1"/>
    </row>
    <row r="1588" spans="2:18">
      <c r="B1588" s="1"/>
      <c r="C1588" s="9"/>
      <c r="D1588" s="9"/>
      <c r="E1588" s="9"/>
      <c r="F1588" s="1"/>
      <c r="G1588" s="1"/>
      <c r="H1588" s="19"/>
      <c r="I1588" s="1"/>
      <c r="J1588" s="1"/>
      <c r="K1588" s="19"/>
      <c r="L1588" s="1"/>
      <c r="M1588" s="9"/>
      <c r="N1588" s="1"/>
      <c r="O1588" s="1"/>
      <c r="P1588" s="1"/>
      <c r="Q1588" s="1"/>
      <c r="R1588" s="1"/>
    </row>
    <row r="1589" spans="2:18">
      <c r="B1589" s="1"/>
      <c r="C1589" s="9"/>
      <c r="D1589" s="9"/>
      <c r="E1589" s="9"/>
      <c r="F1589" s="1"/>
      <c r="G1589" s="1"/>
      <c r="H1589" s="19"/>
      <c r="I1589" s="1"/>
      <c r="J1589" s="1"/>
      <c r="K1589" s="19"/>
      <c r="L1589" s="1"/>
      <c r="M1589" s="9"/>
      <c r="N1589" s="1"/>
      <c r="O1589" s="1"/>
      <c r="P1589" s="1"/>
      <c r="Q1589" s="1"/>
      <c r="R1589" s="1"/>
    </row>
    <row r="1590" spans="2:18">
      <c r="B1590" s="1"/>
      <c r="C1590" s="9"/>
      <c r="D1590" s="9"/>
      <c r="E1590" s="9"/>
      <c r="F1590" s="1"/>
      <c r="G1590" s="1"/>
      <c r="H1590" s="19"/>
      <c r="I1590" s="1"/>
      <c r="J1590" s="1"/>
      <c r="K1590" s="19"/>
      <c r="L1590" s="1"/>
      <c r="M1590" s="9"/>
      <c r="N1590" s="1"/>
      <c r="O1590" s="1"/>
      <c r="P1590" s="1"/>
      <c r="Q1590" s="1"/>
      <c r="R1590" s="1"/>
    </row>
    <row r="1591" spans="2:18">
      <c r="B1591" s="1"/>
      <c r="C1591" s="9"/>
      <c r="D1591" s="9"/>
      <c r="E1591" s="9"/>
      <c r="F1591" s="1"/>
      <c r="G1591" s="1"/>
      <c r="H1591" s="19"/>
      <c r="I1591" s="1"/>
      <c r="J1591" s="1"/>
      <c r="K1591" s="19"/>
      <c r="L1591" s="1"/>
      <c r="M1591" s="9"/>
      <c r="N1591" s="1"/>
      <c r="O1591" s="1"/>
      <c r="P1591" s="1"/>
      <c r="Q1591" s="1"/>
      <c r="R1591" s="1"/>
    </row>
    <row r="1592" spans="2:18">
      <c r="B1592" s="1"/>
      <c r="C1592" s="9"/>
      <c r="D1592" s="9"/>
      <c r="E1592" s="9"/>
      <c r="F1592" s="1"/>
      <c r="G1592" s="1"/>
      <c r="H1592" s="19"/>
      <c r="I1592" s="1"/>
      <c r="J1592" s="1"/>
      <c r="K1592" s="19"/>
      <c r="L1592" s="1"/>
      <c r="M1592" s="9"/>
      <c r="N1592" s="1"/>
      <c r="O1592" s="1"/>
      <c r="P1592" s="1"/>
      <c r="Q1592" s="1"/>
      <c r="R1592" s="1"/>
    </row>
    <row r="1593" spans="2:18">
      <c r="B1593" s="1"/>
      <c r="C1593" s="9"/>
      <c r="D1593" s="9"/>
      <c r="E1593" s="9"/>
      <c r="F1593" s="1"/>
      <c r="G1593" s="1"/>
      <c r="H1593" s="19"/>
      <c r="I1593" s="1"/>
      <c r="J1593" s="1"/>
      <c r="K1593" s="19"/>
      <c r="L1593" s="1"/>
      <c r="M1593" s="9"/>
      <c r="N1593" s="1"/>
      <c r="O1593" s="1"/>
      <c r="P1593" s="1"/>
      <c r="Q1593" s="1"/>
      <c r="R1593" s="1"/>
    </row>
    <row r="1594" spans="2:18">
      <c r="B1594" s="1"/>
      <c r="C1594" s="9"/>
      <c r="D1594" s="9"/>
      <c r="E1594" s="9"/>
      <c r="F1594" s="1"/>
      <c r="G1594" s="1"/>
      <c r="H1594" s="19"/>
      <c r="I1594" s="1"/>
      <c r="J1594" s="1"/>
      <c r="K1594" s="19"/>
      <c r="L1594" s="1"/>
      <c r="M1594" s="9"/>
      <c r="N1594" s="1"/>
      <c r="O1594" s="1"/>
      <c r="P1594" s="1"/>
      <c r="Q1594" s="1"/>
      <c r="R1594" s="1"/>
    </row>
    <row r="1595" spans="2:18">
      <c r="B1595" s="1"/>
      <c r="C1595" s="9"/>
      <c r="D1595" s="9"/>
      <c r="E1595" s="9"/>
      <c r="F1595" s="1"/>
      <c r="G1595" s="1"/>
      <c r="H1595" s="19"/>
      <c r="I1595" s="1"/>
      <c r="J1595" s="1"/>
      <c r="K1595" s="19"/>
      <c r="L1595" s="1"/>
      <c r="M1595" s="9"/>
      <c r="N1595" s="1"/>
      <c r="O1595" s="1"/>
      <c r="P1595" s="1"/>
      <c r="Q1595" s="1"/>
      <c r="R1595" s="1"/>
    </row>
    <row r="1596" spans="2:18">
      <c r="B1596" s="1"/>
      <c r="C1596" s="9"/>
      <c r="D1596" s="9"/>
      <c r="E1596" s="9"/>
      <c r="F1596" s="1"/>
      <c r="G1596" s="1"/>
      <c r="H1596" s="19"/>
      <c r="I1596" s="1"/>
      <c r="J1596" s="1"/>
      <c r="K1596" s="19"/>
      <c r="L1596" s="1"/>
      <c r="M1596" s="9"/>
      <c r="N1596" s="1"/>
      <c r="O1596" s="1"/>
      <c r="P1596" s="1"/>
      <c r="Q1596" s="1"/>
      <c r="R1596" s="1"/>
    </row>
    <row r="1597" spans="2:18">
      <c r="B1597" s="1"/>
      <c r="C1597" s="9"/>
      <c r="D1597" s="9"/>
      <c r="E1597" s="9"/>
      <c r="F1597" s="1"/>
      <c r="G1597" s="1"/>
      <c r="H1597" s="19"/>
      <c r="I1597" s="1"/>
      <c r="J1597" s="1"/>
      <c r="K1597" s="19"/>
      <c r="L1597" s="1"/>
      <c r="M1597" s="9"/>
      <c r="N1597" s="1"/>
      <c r="O1597" s="1"/>
      <c r="P1597" s="1"/>
      <c r="Q1597" s="1"/>
      <c r="R1597" s="1"/>
    </row>
    <row r="1598" spans="2:18">
      <c r="B1598" s="1"/>
      <c r="C1598" s="9"/>
      <c r="D1598" s="9"/>
      <c r="E1598" s="9"/>
      <c r="F1598" s="1"/>
      <c r="G1598" s="1"/>
      <c r="H1598" s="19"/>
      <c r="I1598" s="1"/>
      <c r="J1598" s="1"/>
      <c r="K1598" s="19"/>
      <c r="L1598" s="1"/>
      <c r="M1598" s="9"/>
      <c r="N1598" s="1"/>
      <c r="O1598" s="1"/>
      <c r="P1598" s="1"/>
      <c r="Q1598" s="1"/>
      <c r="R1598" s="1"/>
    </row>
    <row r="1599" spans="2:18">
      <c r="B1599" s="1"/>
      <c r="C1599" s="9"/>
      <c r="D1599" s="9"/>
      <c r="E1599" s="9"/>
      <c r="F1599" s="1"/>
      <c r="G1599" s="1"/>
      <c r="H1599" s="19"/>
      <c r="I1599" s="1"/>
      <c r="J1599" s="1"/>
      <c r="K1599" s="19"/>
      <c r="L1599" s="1"/>
      <c r="M1599" s="9"/>
      <c r="N1599" s="1"/>
      <c r="O1599" s="1"/>
      <c r="P1599" s="1"/>
      <c r="Q1599" s="1"/>
      <c r="R1599" s="1"/>
    </row>
    <row r="1600" spans="2:18">
      <c r="B1600" s="1"/>
      <c r="C1600" s="9"/>
      <c r="D1600" s="9"/>
      <c r="E1600" s="9"/>
      <c r="F1600" s="1"/>
      <c r="G1600" s="1"/>
      <c r="H1600" s="19"/>
      <c r="I1600" s="1"/>
      <c r="J1600" s="1"/>
      <c r="K1600" s="19"/>
      <c r="L1600" s="1"/>
      <c r="M1600" s="9"/>
      <c r="N1600" s="1"/>
      <c r="O1600" s="1"/>
      <c r="P1600" s="1"/>
      <c r="Q1600" s="1"/>
      <c r="R1600" s="1"/>
    </row>
    <row r="1601" spans="2:18">
      <c r="B1601" s="1"/>
      <c r="C1601" s="9"/>
      <c r="D1601" s="9"/>
      <c r="E1601" s="9"/>
      <c r="F1601" s="1"/>
      <c r="G1601" s="1"/>
      <c r="H1601" s="19"/>
      <c r="I1601" s="1"/>
      <c r="J1601" s="1"/>
      <c r="K1601" s="19"/>
      <c r="L1601" s="1"/>
      <c r="M1601" s="9"/>
      <c r="N1601" s="1"/>
      <c r="O1601" s="1"/>
      <c r="P1601" s="1"/>
      <c r="Q1601" s="1"/>
      <c r="R1601" s="1"/>
    </row>
    <row r="1602" spans="2:18">
      <c r="B1602" s="1"/>
      <c r="C1602" s="9"/>
      <c r="D1602" s="9"/>
      <c r="E1602" s="9"/>
      <c r="F1602" s="1"/>
      <c r="G1602" s="1"/>
      <c r="H1602" s="19"/>
      <c r="I1602" s="1"/>
      <c r="J1602" s="1"/>
      <c r="K1602" s="19"/>
      <c r="L1602" s="1"/>
      <c r="M1602" s="9"/>
      <c r="N1602" s="1"/>
      <c r="O1602" s="1"/>
      <c r="P1602" s="1"/>
      <c r="Q1602" s="1"/>
      <c r="R1602" s="1"/>
    </row>
    <row r="1603" spans="2:18">
      <c r="B1603" s="1"/>
      <c r="C1603" s="9"/>
      <c r="D1603" s="9"/>
      <c r="E1603" s="9"/>
      <c r="F1603" s="1"/>
      <c r="G1603" s="1"/>
      <c r="H1603" s="19"/>
      <c r="I1603" s="1"/>
      <c r="J1603" s="1"/>
      <c r="K1603" s="19"/>
      <c r="L1603" s="1"/>
      <c r="M1603" s="9"/>
      <c r="N1603" s="1"/>
      <c r="O1603" s="1"/>
      <c r="P1603" s="1"/>
      <c r="Q1603" s="1"/>
      <c r="R1603" s="1"/>
    </row>
    <row r="1604" spans="2:18">
      <c r="B1604" s="1"/>
      <c r="C1604" s="9"/>
      <c r="D1604" s="9"/>
      <c r="E1604" s="9"/>
      <c r="F1604" s="1"/>
      <c r="G1604" s="1"/>
      <c r="H1604" s="19"/>
      <c r="I1604" s="1"/>
      <c r="J1604" s="1"/>
      <c r="K1604" s="19"/>
      <c r="L1604" s="1"/>
      <c r="M1604" s="9"/>
      <c r="N1604" s="1"/>
      <c r="O1604" s="1"/>
      <c r="P1604" s="1"/>
      <c r="Q1604" s="1"/>
      <c r="R1604" s="1"/>
    </row>
    <row r="1605" spans="2:18">
      <c r="B1605" s="1"/>
      <c r="C1605" s="9"/>
      <c r="D1605" s="9"/>
      <c r="E1605" s="9"/>
      <c r="F1605" s="1"/>
      <c r="G1605" s="1"/>
      <c r="H1605" s="19"/>
      <c r="I1605" s="1"/>
      <c r="J1605" s="1"/>
      <c r="K1605" s="19"/>
      <c r="L1605" s="1"/>
      <c r="M1605" s="9"/>
      <c r="N1605" s="1"/>
      <c r="O1605" s="1"/>
      <c r="P1605" s="1"/>
      <c r="Q1605" s="1"/>
      <c r="R1605" s="1"/>
    </row>
    <row r="1606" spans="2:18">
      <c r="B1606" s="1"/>
      <c r="C1606" s="9"/>
      <c r="D1606" s="9"/>
      <c r="E1606" s="9"/>
      <c r="F1606" s="1"/>
      <c r="G1606" s="1"/>
      <c r="H1606" s="19"/>
      <c r="I1606" s="1"/>
      <c r="J1606" s="1"/>
      <c r="K1606" s="19"/>
      <c r="L1606" s="1"/>
      <c r="M1606" s="9"/>
      <c r="N1606" s="1"/>
      <c r="O1606" s="1"/>
      <c r="P1606" s="1"/>
      <c r="Q1606" s="1"/>
      <c r="R1606" s="1"/>
    </row>
    <row r="1607" spans="2:18">
      <c r="B1607" s="1"/>
      <c r="C1607" s="9"/>
      <c r="D1607" s="9"/>
      <c r="E1607" s="9"/>
      <c r="F1607" s="1"/>
      <c r="G1607" s="1"/>
      <c r="H1607" s="19"/>
      <c r="I1607" s="1"/>
      <c r="J1607" s="1"/>
      <c r="K1607" s="19"/>
      <c r="L1607" s="1"/>
      <c r="M1607" s="9"/>
      <c r="N1607" s="1"/>
      <c r="O1607" s="1"/>
      <c r="P1607" s="1"/>
      <c r="Q1607" s="1"/>
      <c r="R1607" s="1"/>
    </row>
    <row r="1608" spans="2:18">
      <c r="B1608" s="1"/>
      <c r="C1608" s="9"/>
      <c r="D1608" s="9"/>
      <c r="E1608" s="9"/>
      <c r="F1608" s="1"/>
      <c r="G1608" s="1"/>
      <c r="H1608" s="19"/>
      <c r="I1608" s="1"/>
      <c r="J1608" s="1"/>
      <c r="K1608" s="19"/>
      <c r="L1608" s="1"/>
      <c r="M1608" s="9"/>
      <c r="N1608" s="1"/>
      <c r="O1608" s="1"/>
      <c r="P1608" s="1"/>
      <c r="Q1608" s="1"/>
      <c r="R1608" s="1"/>
    </row>
    <row r="1609" spans="2:18">
      <c r="B1609" s="1"/>
      <c r="C1609" s="9"/>
      <c r="D1609" s="9"/>
      <c r="E1609" s="9"/>
      <c r="F1609" s="1"/>
      <c r="G1609" s="1"/>
      <c r="H1609" s="19"/>
      <c r="I1609" s="1"/>
      <c r="J1609" s="1"/>
      <c r="K1609" s="19"/>
      <c r="L1609" s="1"/>
      <c r="M1609" s="9"/>
      <c r="N1609" s="1"/>
      <c r="O1609" s="1"/>
      <c r="P1609" s="1"/>
      <c r="Q1609" s="1"/>
      <c r="R1609" s="1"/>
    </row>
    <row r="1610" spans="2:18">
      <c r="B1610" s="1"/>
      <c r="C1610" s="9"/>
      <c r="D1610" s="9"/>
      <c r="E1610" s="9"/>
      <c r="F1610" s="1"/>
      <c r="G1610" s="1"/>
      <c r="H1610" s="19"/>
      <c r="I1610" s="1"/>
      <c r="J1610" s="1"/>
      <c r="K1610" s="19"/>
      <c r="L1610" s="1"/>
      <c r="M1610" s="9"/>
      <c r="N1610" s="1"/>
      <c r="O1610" s="1"/>
      <c r="P1610" s="1"/>
      <c r="Q1610" s="1"/>
      <c r="R1610" s="1"/>
    </row>
    <row r="1611" spans="2:18">
      <c r="B1611" s="1"/>
      <c r="C1611" s="9"/>
      <c r="D1611" s="9"/>
      <c r="E1611" s="9"/>
      <c r="F1611" s="1"/>
      <c r="G1611" s="1"/>
      <c r="H1611" s="19"/>
      <c r="I1611" s="1"/>
      <c r="J1611" s="1"/>
      <c r="K1611" s="19"/>
      <c r="L1611" s="1"/>
      <c r="M1611" s="9"/>
      <c r="N1611" s="1"/>
      <c r="O1611" s="1"/>
      <c r="P1611" s="1"/>
      <c r="Q1611" s="1"/>
      <c r="R1611" s="1"/>
    </row>
    <row r="1612" spans="2:18">
      <c r="B1612" s="1"/>
      <c r="C1612" s="9"/>
      <c r="D1612" s="9"/>
      <c r="E1612" s="9"/>
      <c r="F1612" s="1"/>
      <c r="G1612" s="1"/>
      <c r="H1612" s="19"/>
      <c r="I1612" s="1"/>
      <c r="J1612" s="1"/>
      <c r="K1612" s="19"/>
      <c r="L1612" s="1"/>
      <c r="M1612" s="9"/>
      <c r="N1612" s="1"/>
      <c r="O1612" s="1"/>
      <c r="P1612" s="1"/>
      <c r="Q1612" s="1"/>
      <c r="R1612" s="1"/>
    </row>
    <row r="1613" spans="2:18">
      <c r="B1613" s="1"/>
      <c r="C1613" s="9"/>
      <c r="D1613" s="9"/>
      <c r="E1613" s="9"/>
      <c r="F1613" s="1"/>
      <c r="G1613" s="1"/>
      <c r="H1613" s="19"/>
      <c r="I1613" s="1"/>
      <c r="J1613" s="1"/>
      <c r="K1613" s="19"/>
      <c r="L1613" s="1"/>
      <c r="M1613" s="9"/>
      <c r="N1613" s="1"/>
      <c r="O1613" s="1"/>
      <c r="P1613" s="1"/>
      <c r="Q1613" s="1"/>
      <c r="R1613" s="1"/>
    </row>
    <row r="1614" spans="2:18">
      <c r="B1614" s="1"/>
      <c r="C1614" s="9"/>
      <c r="D1614" s="9"/>
      <c r="E1614" s="9"/>
      <c r="F1614" s="1"/>
      <c r="G1614" s="1"/>
      <c r="H1614" s="19"/>
      <c r="I1614" s="1"/>
      <c r="J1614" s="1"/>
      <c r="K1614" s="19"/>
      <c r="L1614" s="1"/>
      <c r="M1614" s="9"/>
      <c r="N1614" s="1"/>
      <c r="O1614" s="1"/>
      <c r="P1614" s="1"/>
      <c r="Q1614" s="1"/>
      <c r="R1614" s="1"/>
    </row>
    <row r="1615" spans="2:18">
      <c r="B1615" s="1"/>
      <c r="C1615" s="9"/>
      <c r="D1615" s="9"/>
      <c r="E1615" s="9"/>
      <c r="F1615" s="1"/>
      <c r="G1615" s="1"/>
      <c r="H1615" s="19"/>
      <c r="I1615" s="1"/>
      <c r="J1615" s="1"/>
      <c r="K1615" s="19"/>
      <c r="L1615" s="1"/>
      <c r="M1615" s="9"/>
      <c r="N1615" s="1"/>
      <c r="O1615" s="1"/>
      <c r="P1615" s="1"/>
      <c r="Q1615" s="1"/>
      <c r="R1615" s="1"/>
    </row>
    <row r="1616" spans="2:18">
      <c r="B1616" s="1"/>
      <c r="C1616" s="9"/>
      <c r="D1616" s="9"/>
      <c r="E1616" s="9"/>
      <c r="F1616" s="1"/>
      <c r="G1616" s="1"/>
      <c r="H1616" s="19"/>
      <c r="I1616" s="1"/>
      <c r="J1616" s="1"/>
      <c r="K1616" s="19"/>
      <c r="L1616" s="1"/>
      <c r="M1616" s="9"/>
      <c r="N1616" s="1"/>
      <c r="O1616" s="1"/>
      <c r="P1616" s="1"/>
      <c r="Q1616" s="1"/>
      <c r="R1616" s="1"/>
    </row>
    <row r="1617" spans="2:18">
      <c r="B1617" s="1"/>
      <c r="C1617" s="9"/>
      <c r="D1617" s="9"/>
      <c r="E1617" s="9"/>
      <c r="F1617" s="1"/>
      <c r="G1617" s="1"/>
      <c r="H1617" s="19"/>
      <c r="I1617" s="1"/>
      <c r="J1617" s="1"/>
      <c r="K1617" s="19"/>
      <c r="L1617" s="1"/>
      <c r="M1617" s="9"/>
      <c r="N1617" s="1"/>
      <c r="O1617" s="1"/>
      <c r="P1617" s="1"/>
      <c r="Q1617" s="1"/>
      <c r="R1617" s="1"/>
    </row>
    <row r="1618" spans="2:18">
      <c r="B1618" s="1"/>
      <c r="C1618" s="9"/>
      <c r="D1618" s="9"/>
      <c r="E1618" s="9"/>
      <c r="F1618" s="1"/>
      <c r="G1618" s="1"/>
      <c r="H1618" s="19"/>
      <c r="I1618" s="1"/>
      <c r="J1618" s="1"/>
      <c r="K1618" s="19"/>
      <c r="L1618" s="1"/>
      <c r="M1618" s="9"/>
      <c r="N1618" s="1"/>
      <c r="O1618" s="1"/>
      <c r="P1618" s="1"/>
      <c r="Q1618" s="1"/>
      <c r="R1618" s="1"/>
    </row>
    <row r="1619" spans="2:18">
      <c r="B1619" s="1"/>
      <c r="C1619" s="9"/>
      <c r="D1619" s="9"/>
      <c r="E1619" s="9"/>
      <c r="F1619" s="1"/>
      <c r="G1619" s="1"/>
      <c r="H1619" s="19"/>
      <c r="I1619" s="1"/>
      <c r="J1619" s="1"/>
      <c r="K1619" s="19"/>
      <c r="L1619" s="1"/>
      <c r="M1619" s="9"/>
      <c r="N1619" s="1"/>
      <c r="O1619" s="1"/>
      <c r="P1619" s="1"/>
      <c r="Q1619" s="1"/>
      <c r="R1619" s="1"/>
    </row>
    <row r="1620" spans="2:18">
      <c r="B1620" s="1"/>
      <c r="C1620" s="9"/>
      <c r="D1620" s="9"/>
      <c r="E1620" s="9"/>
      <c r="F1620" s="1"/>
      <c r="G1620" s="1"/>
      <c r="H1620" s="19"/>
      <c r="I1620" s="1"/>
      <c r="J1620" s="1"/>
      <c r="K1620" s="19"/>
      <c r="L1620" s="1"/>
      <c r="M1620" s="9"/>
      <c r="N1620" s="1"/>
      <c r="O1620" s="1"/>
      <c r="P1620" s="1"/>
      <c r="Q1620" s="1"/>
      <c r="R1620" s="1"/>
    </row>
    <row r="1621" spans="2:18">
      <c r="B1621" s="1"/>
      <c r="C1621" s="9"/>
      <c r="D1621" s="9"/>
      <c r="E1621" s="9"/>
      <c r="F1621" s="1"/>
      <c r="G1621" s="1"/>
      <c r="H1621" s="19"/>
      <c r="I1621" s="1"/>
      <c r="J1621" s="1"/>
      <c r="K1621" s="19"/>
      <c r="L1621" s="1"/>
      <c r="M1621" s="9"/>
      <c r="N1621" s="1"/>
      <c r="O1621" s="1"/>
      <c r="P1621" s="1"/>
      <c r="Q1621" s="1"/>
      <c r="R1621" s="1"/>
    </row>
    <row r="1622" spans="2:18">
      <c r="B1622" s="1"/>
      <c r="C1622" s="9"/>
      <c r="D1622" s="9"/>
      <c r="E1622" s="9"/>
      <c r="F1622" s="1"/>
      <c r="G1622" s="1"/>
      <c r="H1622" s="19"/>
      <c r="I1622" s="1"/>
      <c r="J1622" s="1"/>
      <c r="K1622" s="19"/>
      <c r="L1622" s="1"/>
      <c r="M1622" s="9"/>
      <c r="N1622" s="1"/>
      <c r="O1622" s="1"/>
      <c r="P1622" s="1"/>
      <c r="Q1622" s="1"/>
      <c r="R1622" s="1"/>
    </row>
    <row r="1623" spans="2:18">
      <c r="B1623" s="1"/>
      <c r="C1623" s="9"/>
      <c r="D1623" s="9"/>
      <c r="E1623" s="9"/>
      <c r="F1623" s="1"/>
      <c r="G1623" s="1"/>
      <c r="H1623" s="19"/>
      <c r="I1623" s="1"/>
      <c r="J1623" s="1"/>
      <c r="K1623" s="19"/>
      <c r="L1623" s="1"/>
      <c r="M1623" s="9"/>
      <c r="N1623" s="1"/>
      <c r="O1623" s="1"/>
      <c r="P1623" s="1"/>
      <c r="Q1623" s="1"/>
      <c r="R1623" s="1"/>
    </row>
    <row r="1624" spans="2:18">
      <c r="B1624" s="1"/>
      <c r="C1624" s="9"/>
      <c r="D1624" s="9"/>
      <c r="E1624" s="9"/>
      <c r="F1624" s="1"/>
      <c r="G1624" s="1"/>
      <c r="H1624" s="19"/>
      <c r="I1624" s="1"/>
      <c r="J1624" s="1"/>
      <c r="K1624" s="19"/>
      <c r="L1624" s="1"/>
      <c r="M1624" s="9"/>
      <c r="N1624" s="1"/>
      <c r="O1624" s="1"/>
      <c r="P1624" s="1"/>
      <c r="Q1624" s="1"/>
      <c r="R1624" s="1"/>
    </row>
    <row r="1625" spans="2:18">
      <c r="B1625" s="1"/>
      <c r="C1625" s="9"/>
      <c r="D1625" s="9"/>
      <c r="E1625" s="9"/>
      <c r="F1625" s="1"/>
      <c r="G1625" s="1"/>
      <c r="H1625" s="19"/>
      <c r="I1625" s="1"/>
      <c r="J1625" s="1"/>
      <c r="K1625" s="19"/>
      <c r="L1625" s="1"/>
      <c r="M1625" s="9"/>
      <c r="N1625" s="1"/>
      <c r="O1625" s="1"/>
      <c r="P1625" s="1"/>
      <c r="Q1625" s="1"/>
      <c r="R1625" s="1"/>
    </row>
    <row r="1626" spans="2:18">
      <c r="B1626" s="1"/>
      <c r="C1626" s="9"/>
      <c r="D1626" s="9"/>
      <c r="E1626" s="9"/>
      <c r="F1626" s="1"/>
      <c r="G1626" s="1"/>
      <c r="H1626" s="19"/>
      <c r="I1626" s="1"/>
      <c r="J1626" s="1"/>
      <c r="K1626" s="19"/>
      <c r="L1626" s="1"/>
      <c r="M1626" s="9"/>
      <c r="N1626" s="1"/>
      <c r="O1626" s="1"/>
      <c r="P1626" s="1"/>
      <c r="Q1626" s="1"/>
      <c r="R1626" s="1"/>
    </row>
    <row r="1627" spans="2:18">
      <c r="B1627" s="1"/>
      <c r="C1627" s="9"/>
      <c r="D1627" s="9"/>
      <c r="E1627" s="9"/>
      <c r="F1627" s="1"/>
      <c r="G1627" s="1"/>
      <c r="H1627" s="19"/>
      <c r="I1627" s="1"/>
      <c r="J1627" s="1"/>
      <c r="K1627" s="19"/>
      <c r="L1627" s="1"/>
      <c r="M1627" s="9"/>
      <c r="N1627" s="1"/>
      <c r="O1627" s="1"/>
      <c r="P1627" s="1"/>
      <c r="Q1627" s="1"/>
      <c r="R1627" s="1"/>
    </row>
    <row r="1628" spans="2:18">
      <c r="B1628" s="1"/>
      <c r="C1628" s="9"/>
      <c r="D1628" s="9"/>
      <c r="E1628" s="9"/>
      <c r="F1628" s="1"/>
      <c r="G1628" s="1"/>
      <c r="H1628" s="19"/>
      <c r="I1628" s="1"/>
      <c r="J1628" s="1"/>
      <c r="K1628" s="19"/>
      <c r="L1628" s="1"/>
      <c r="M1628" s="9"/>
      <c r="N1628" s="1"/>
      <c r="O1628" s="1"/>
      <c r="P1628" s="1"/>
      <c r="Q1628" s="1"/>
      <c r="R1628" s="1"/>
    </row>
    <row r="1629" spans="2:18">
      <c r="B1629" s="1"/>
      <c r="C1629" s="9"/>
      <c r="D1629" s="9"/>
      <c r="E1629" s="9"/>
      <c r="F1629" s="1"/>
      <c r="G1629" s="1"/>
      <c r="H1629" s="19"/>
      <c r="I1629" s="1"/>
      <c r="J1629" s="1"/>
      <c r="K1629" s="19"/>
      <c r="L1629" s="1"/>
      <c r="M1629" s="9"/>
      <c r="N1629" s="1"/>
      <c r="O1629" s="1"/>
      <c r="P1629" s="1"/>
      <c r="Q1629" s="1"/>
      <c r="R1629" s="1"/>
    </row>
    <row r="1630" spans="2:18">
      <c r="B1630" s="1"/>
      <c r="C1630" s="9"/>
      <c r="D1630" s="9"/>
      <c r="E1630" s="9"/>
      <c r="F1630" s="1"/>
      <c r="G1630" s="1"/>
      <c r="H1630" s="19"/>
      <c r="I1630" s="1"/>
      <c r="J1630" s="1"/>
      <c r="K1630" s="19"/>
      <c r="L1630" s="1"/>
      <c r="M1630" s="9"/>
      <c r="N1630" s="1"/>
      <c r="O1630" s="1"/>
      <c r="P1630" s="1"/>
      <c r="Q1630" s="1"/>
      <c r="R1630" s="1"/>
    </row>
    <row r="1631" spans="2:18">
      <c r="B1631" s="1"/>
      <c r="C1631" s="9"/>
      <c r="D1631" s="9"/>
      <c r="E1631" s="9"/>
      <c r="F1631" s="1"/>
      <c r="G1631" s="1"/>
      <c r="H1631" s="19"/>
      <c r="I1631" s="1"/>
      <c r="J1631" s="1"/>
      <c r="K1631" s="19"/>
      <c r="L1631" s="1"/>
      <c r="M1631" s="9"/>
      <c r="N1631" s="1"/>
      <c r="O1631" s="1"/>
      <c r="P1631" s="1"/>
      <c r="Q1631" s="1"/>
      <c r="R1631" s="1"/>
    </row>
    <row r="1632" spans="2:18">
      <c r="B1632" s="1"/>
      <c r="C1632" s="9"/>
      <c r="D1632" s="9"/>
      <c r="E1632" s="9"/>
      <c r="F1632" s="1"/>
      <c r="G1632" s="1"/>
      <c r="H1632" s="19"/>
      <c r="I1632" s="1"/>
      <c r="J1632" s="1"/>
      <c r="K1632" s="19"/>
      <c r="L1632" s="1"/>
      <c r="M1632" s="9"/>
      <c r="N1632" s="1"/>
      <c r="O1632" s="1"/>
      <c r="P1632" s="1"/>
      <c r="Q1632" s="1"/>
      <c r="R1632" s="1"/>
    </row>
    <row r="1633" spans="2:18">
      <c r="B1633" s="1"/>
      <c r="C1633" s="9"/>
      <c r="D1633" s="9"/>
      <c r="E1633" s="9"/>
      <c r="F1633" s="1"/>
      <c r="G1633" s="1"/>
      <c r="H1633" s="19"/>
      <c r="I1633" s="1"/>
      <c r="J1633" s="1"/>
      <c r="K1633" s="19"/>
      <c r="L1633" s="1"/>
      <c r="M1633" s="9"/>
      <c r="N1633" s="1"/>
      <c r="O1633" s="1"/>
      <c r="P1633" s="1"/>
      <c r="Q1633" s="1"/>
      <c r="R1633" s="1"/>
    </row>
    <row r="1634" spans="2:18">
      <c r="B1634" s="1"/>
      <c r="C1634" s="9"/>
      <c r="D1634" s="9"/>
      <c r="E1634" s="9"/>
      <c r="F1634" s="1"/>
      <c r="G1634" s="1"/>
      <c r="H1634" s="19"/>
      <c r="I1634" s="1"/>
      <c r="J1634" s="1"/>
      <c r="K1634" s="19"/>
      <c r="L1634" s="1"/>
      <c r="M1634" s="9"/>
      <c r="N1634" s="1"/>
      <c r="O1634" s="1"/>
      <c r="P1634" s="1"/>
      <c r="Q1634" s="1"/>
      <c r="R1634" s="1"/>
    </row>
    <row r="1635" spans="2:18">
      <c r="B1635" s="1"/>
      <c r="C1635" s="9"/>
      <c r="D1635" s="9"/>
      <c r="E1635" s="9"/>
      <c r="F1635" s="1"/>
      <c r="G1635" s="1"/>
      <c r="H1635" s="19"/>
      <c r="I1635" s="1"/>
      <c r="J1635" s="1"/>
      <c r="K1635" s="19"/>
      <c r="L1635" s="1"/>
      <c r="M1635" s="9"/>
      <c r="N1635" s="1"/>
      <c r="O1635" s="1"/>
      <c r="P1635" s="1"/>
      <c r="Q1635" s="1"/>
      <c r="R1635" s="1"/>
    </row>
    <row r="1636" spans="2:18">
      <c r="B1636" s="1"/>
      <c r="C1636" s="9"/>
      <c r="D1636" s="9"/>
      <c r="E1636" s="9"/>
      <c r="F1636" s="1"/>
      <c r="G1636" s="1"/>
      <c r="H1636" s="19"/>
      <c r="I1636" s="1"/>
      <c r="J1636" s="1"/>
      <c r="K1636" s="19"/>
      <c r="L1636" s="1"/>
      <c r="M1636" s="9"/>
      <c r="N1636" s="1"/>
      <c r="O1636" s="1"/>
      <c r="P1636" s="1"/>
      <c r="Q1636" s="1"/>
      <c r="R1636" s="1"/>
    </row>
    <row r="1637" spans="2:18">
      <c r="B1637" s="1"/>
      <c r="C1637" s="9"/>
      <c r="D1637" s="9"/>
      <c r="E1637" s="9"/>
      <c r="F1637" s="1"/>
      <c r="G1637" s="1"/>
      <c r="H1637" s="19"/>
      <c r="I1637" s="1"/>
      <c r="J1637" s="1"/>
      <c r="K1637" s="19"/>
      <c r="L1637" s="1"/>
      <c r="M1637" s="9"/>
      <c r="N1637" s="1"/>
      <c r="O1637" s="1"/>
      <c r="P1637" s="1"/>
      <c r="Q1637" s="1"/>
      <c r="R1637" s="1"/>
    </row>
    <row r="1638" spans="2:18">
      <c r="B1638" s="1"/>
      <c r="C1638" s="9"/>
      <c r="D1638" s="9"/>
      <c r="E1638" s="9"/>
      <c r="F1638" s="1"/>
      <c r="G1638" s="1"/>
      <c r="H1638" s="19"/>
      <c r="I1638" s="1"/>
      <c r="J1638" s="1"/>
      <c r="K1638" s="19"/>
      <c r="L1638" s="1"/>
      <c r="M1638" s="9"/>
      <c r="N1638" s="1"/>
      <c r="O1638" s="1"/>
      <c r="P1638" s="1"/>
      <c r="Q1638" s="1"/>
      <c r="R1638" s="1"/>
    </row>
    <row r="1639" spans="2:18">
      <c r="B1639" s="1"/>
      <c r="C1639" s="9"/>
      <c r="D1639" s="9"/>
      <c r="E1639" s="9"/>
      <c r="F1639" s="1"/>
      <c r="G1639" s="1"/>
      <c r="H1639" s="19"/>
      <c r="I1639" s="1"/>
      <c r="J1639" s="1"/>
      <c r="K1639" s="19"/>
      <c r="L1639" s="1"/>
      <c r="M1639" s="9"/>
      <c r="N1639" s="1"/>
      <c r="O1639" s="1"/>
      <c r="P1639" s="1"/>
      <c r="Q1639" s="1"/>
      <c r="R1639" s="1"/>
    </row>
    <row r="1640" spans="2:18">
      <c r="B1640" s="1"/>
      <c r="C1640" s="9"/>
      <c r="D1640" s="9"/>
      <c r="E1640" s="9"/>
      <c r="F1640" s="1"/>
      <c r="G1640" s="1"/>
      <c r="H1640" s="19"/>
      <c r="I1640" s="1"/>
      <c r="J1640" s="1"/>
      <c r="K1640" s="19"/>
      <c r="L1640" s="1"/>
      <c r="M1640" s="9"/>
      <c r="N1640" s="1"/>
      <c r="O1640" s="1"/>
      <c r="P1640" s="1"/>
      <c r="Q1640" s="1"/>
      <c r="R1640" s="1"/>
    </row>
    <row r="1641" spans="2:18">
      <c r="B1641" s="1"/>
      <c r="C1641" s="9"/>
      <c r="D1641" s="9"/>
      <c r="E1641" s="9"/>
      <c r="F1641" s="1"/>
      <c r="G1641" s="1"/>
      <c r="H1641" s="19"/>
      <c r="I1641" s="1"/>
      <c r="J1641" s="1"/>
      <c r="K1641" s="19"/>
      <c r="L1641" s="1"/>
      <c r="M1641" s="9"/>
      <c r="N1641" s="1"/>
      <c r="O1641" s="1"/>
      <c r="P1641" s="1"/>
      <c r="Q1641" s="1"/>
      <c r="R1641" s="1"/>
    </row>
    <row r="1642" spans="2:18">
      <c r="B1642" s="1"/>
      <c r="C1642" s="9"/>
      <c r="D1642" s="9"/>
      <c r="E1642" s="9"/>
      <c r="F1642" s="1"/>
      <c r="G1642" s="1"/>
      <c r="H1642" s="19"/>
      <c r="I1642" s="1"/>
      <c r="J1642" s="1"/>
      <c r="K1642" s="19"/>
      <c r="L1642" s="1"/>
      <c r="M1642" s="9"/>
      <c r="N1642" s="1"/>
      <c r="O1642" s="1"/>
      <c r="P1642" s="1"/>
      <c r="Q1642" s="1"/>
      <c r="R1642" s="1"/>
    </row>
    <row r="1643" spans="2:18">
      <c r="B1643" s="1"/>
      <c r="C1643" s="9"/>
      <c r="D1643" s="9"/>
      <c r="E1643" s="9"/>
      <c r="F1643" s="1"/>
      <c r="G1643" s="1"/>
      <c r="H1643" s="19"/>
      <c r="I1643" s="1"/>
      <c r="J1643" s="1"/>
      <c r="K1643" s="19"/>
      <c r="L1643" s="1"/>
      <c r="M1643" s="9"/>
      <c r="N1643" s="1"/>
      <c r="O1643" s="1"/>
      <c r="P1643" s="1"/>
      <c r="Q1643" s="1"/>
      <c r="R1643" s="1"/>
    </row>
    <row r="1644" spans="2:18">
      <c r="B1644" s="1"/>
      <c r="C1644" s="9"/>
      <c r="D1644" s="9"/>
      <c r="E1644" s="9"/>
      <c r="F1644" s="1"/>
      <c r="G1644" s="1"/>
      <c r="H1644" s="19"/>
      <c r="I1644" s="1"/>
      <c r="J1644" s="1"/>
      <c r="K1644" s="19"/>
      <c r="L1644" s="1"/>
      <c r="M1644" s="9"/>
      <c r="N1644" s="1"/>
      <c r="O1644" s="1"/>
      <c r="P1644" s="1"/>
      <c r="Q1644" s="1"/>
      <c r="R1644" s="1"/>
    </row>
    <row r="1645" spans="2:18">
      <c r="B1645" s="1"/>
      <c r="C1645" s="9"/>
      <c r="D1645" s="9"/>
      <c r="E1645" s="9"/>
      <c r="F1645" s="1"/>
      <c r="G1645" s="1"/>
      <c r="H1645" s="19"/>
      <c r="I1645" s="1"/>
      <c r="J1645" s="1"/>
      <c r="K1645" s="19"/>
      <c r="L1645" s="1"/>
      <c r="M1645" s="9"/>
      <c r="N1645" s="1"/>
      <c r="O1645" s="1"/>
      <c r="P1645" s="1"/>
      <c r="Q1645" s="1"/>
      <c r="R1645" s="1"/>
    </row>
    <row r="1646" spans="2:18">
      <c r="B1646" s="1"/>
      <c r="C1646" s="9"/>
      <c r="D1646" s="9"/>
      <c r="E1646" s="9"/>
      <c r="F1646" s="1"/>
      <c r="G1646" s="1"/>
      <c r="H1646" s="19"/>
      <c r="I1646" s="1"/>
      <c r="J1646" s="1"/>
      <c r="K1646" s="19"/>
      <c r="L1646" s="1"/>
      <c r="M1646" s="9"/>
      <c r="N1646" s="1"/>
      <c r="O1646" s="1"/>
      <c r="P1646" s="1"/>
      <c r="Q1646" s="1"/>
      <c r="R1646" s="1"/>
    </row>
    <row r="1647" spans="2:18">
      <c r="B1647" s="1"/>
      <c r="C1647" s="9"/>
      <c r="D1647" s="9"/>
      <c r="E1647" s="9"/>
      <c r="F1647" s="1"/>
      <c r="G1647" s="1"/>
      <c r="H1647" s="19"/>
      <c r="I1647" s="1"/>
      <c r="J1647" s="1"/>
      <c r="K1647" s="19"/>
      <c r="L1647" s="1"/>
      <c r="M1647" s="9"/>
      <c r="N1647" s="1"/>
      <c r="O1647" s="1"/>
      <c r="P1647" s="1"/>
      <c r="Q1647" s="1"/>
      <c r="R1647" s="1"/>
    </row>
    <row r="1648" spans="2:18">
      <c r="B1648" s="1"/>
      <c r="C1648" s="9"/>
      <c r="D1648" s="9"/>
      <c r="E1648" s="9"/>
      <c r="F1648" s="1"/>
      <c r="G1648" s="1"/>
      <c r="H1648" s="19"/>
      <c r="I1648" s="1"/>
      <c r="J1648" s="1"/>
      <c r="K1648" s="19"/>
      <c r="L1648" s="1"/>
      <c r="M1648" s="9"/>
      <c r="N1648" s="1"/>
      <c r="O1648" s="1"/>
      <c r="P1648" s="1"/>
      <c r="Q1648" s="1"/>
      <c r="R1648" s="1"/>
    </row>
    <row r="1649" spans="2:18">
      <c r="B1649" s="1"/>
      <c r="C1649" s="9"/>
      <c r="D1649" s="9"/>
      <c r="E1649" s="9"/>
      <c r="F1649" s="1"/>
      <c r="G1649" s="1"/>
      <c r="H1649" s="19"/>
      <c r="I1649" s="1"/>
      <c r="J1649" s="1"/>
      <c r="K1649" s="19"/>
      <c r="L1649" s="1"/>
      <c r="M1649" s="9"/>
      <c r="N1649" s="1"/>
      <c r="O1649" s="1"/>
      <c r="P1649" s="1"/>
      <c r="Q1649" s="1"/>
      <c r="R1649" s="1"/>
    </row>
    <row r="1650" spans="2:18">
      <c r="B1650" s="1"/>
      <c r="C1650" s="9"/>
      <c r="D1650" s="9"/>
      <c r="E1650" s="9"/>
      <c r="F1650" s="1"/>
      <c r="G1650" s="1"/>
      <c r="H1650" s="19"/>
      <c r="I1650" s="1"/>
      <c r="J1650" s="1"/>
      <c r="K1650" s="19"/>
      <c r="L1650" s="1"/>
      <c r="M1650" s="9"/>
      <c r="N1650" s="1"/>
      <c r="O1650" s="1"/>
      <c r="P1650" s="1"/>
      <c r="Q1650" s="1"/>
      <c r="R1650" s="1"/>
    </row>
    <row r="1651" spans="2:18">
      <c r="B1651" s="1"/>
      <c r="C1651" s="9"/>
      <c r="D1651" s="9"/>
      <c r="E1651" s="9"/>
      <c r="F1651" s="1"/>
      <c r="G1651" s="1"/>
      <c r="H1651" s="19"/>
      <c r="I1651" s="1"/>
      <c r="J1651" s="1"/>
      <c r="K1651" s="19"/>
      <c r="L1651" s="1"/>
      <c r="M1651" s="9"/>
      <c r="N1651" s="1"/>
      <c r="O1651" s="1"/>
      <c r="P1651" s="1"/>
      <c r="Q1651" s="1"/>
      <c r="R1651" s="1"/>
    </row>
    <row r="1652" spans="2:18">
      <c r="B1652" s="1"/>
      <c r="C1652" s="9"/>
      <c r="D1652" s="9"/>
      <c r="E1652" s="9"/>
      <c r="F1652" s="1"/>
      <c r="G1652" s="1"/>
      <c r="H1652" s="19"/>
      <c r="I1652" s="1"/>
      <c r="J1652" s="1"/>
      <c r="K1652" s="19"/>
      <c r="L1652" s="1"/>
      <c r="M1652" s="9"/>
      <c r="N1652" s="1"/>
      <c r="O1652" s="1"/>
      <c r="P1652" s="1"/>
      <c r="Q1652" s="1"/>
      <c r="R1652" s="1"/>
    </row>
    <row r="1653" spans="2:18">
      <c r="B1653" s="1"/>
      <c r="C1653" s="9"/>
      <c r="D1653" s="9"/>
      <c r="E1653" s="9"/>
      <c r="F1653" s="1"/>
      <c r="G1653" s="1"/>
      <c r="H1653" s="19"/>
      <c r="I1653" s="1"/>
      <c r="J1653" s="1"/>
      <c r="K1653" s="19"/>
      <c r="L1653" s="1"/>
      <c r="M1653" s="9"/>
      <c r="N1653" s="1"/>
      <c r="O1653" s="1"/>
      <c r="P1653" s="1"/>
      <c r="Q1653" s="1"/>
      <c r="R1653" s="1"/>
    </row>
    <row r="1654" spans="2:18">
      <c r="B1654" s="1"/>
      <c r="C1654" s="9"/>
      <c r="D1654" s="9"/>
      <c r="E1654" s="9"/>
      <c r="F1654" s="1"/>
      <c r="G1654" s="1"/>
      <c r="H1654" s="19"/>
      <c r="I1654" s="1"/>
      <c r="J1654" s="1"/>
      <c r="K1654" s="19"/>
      <c r="L1654" s="1"/>
      <c r="M1654" s="9"/>
      <c r="N1654" s="1"/>
      <c r="O1654" s="1"/>
      <c r="P1654" s="1"/>
      <c r="Q1654" s="1"/>
      <c r="R1654" s="1"/>
    </row>
    <row r="1655" spans="2:18">
      <c r="B1655" s="1"/>
      <c r="C1655" s="9"/>
      <c r="D1655" s="9"/>
      <c r="E1655" s="9"/>
      <c r="F1655" s="1"/>
      <c r="G1655" s="1"/>
      <c r="H1655" s="19"/>
      <c r="I1655" s="1"/>
      <c r="J1655" s="1"/>
      <c r="K1655" s="19"/>
      <c r="L1655" s="1"/>
      <c r="M1655" s="9"/>
      <c r="N1655" s="1"/>
      <c r="O1655" s="1"/>
      <c r="P1655" s="1"/>
      <c r="Q1655" s="1"/>
      <c r="R1655" s="1"/>
    </row>
    <row r="1656" spans="2:18">
      <c r="B1656" s="1"/>
      <c r="C1656" s="9"/>
      <c r="D1656" s="9"/>
      <c r="E1656" s="9"/>
      <c r="F1656" s="1"/>
      <c r="G1656" s="1"/>
      <c r="H1656" s="19"/>
      <c r="I1656" s="1"/>
      <c r="J1656" s="1"/>
      <c r="K1656" s="19"/>
      <c r="L1656" s="1"/>
      <c r="M1656" s="9"/>
      <c r="N1656" s="1"/>
      <c r="O1656" s="1"/>
      <c r="P1656" s="1"/>
      <c r="Q1656" s="1"/>
      <c r="R1656" s="1"/>
    </row>
    <row r="1657" spans="2:18">
      <c r="B1657" s="1"/>
      <c r="C1657" s="9"/>
      <c r="D1657" s="9"/>
      <c r="E1657" s="9"/>
      <c r="F1657" s="1"/>
      <c r="G1657" s="1"/>
      <c r="H1657" s="19"/>
      <c r="I1657" s="1"/>
      <c r="J1657" s="1"/>
      <c r="K1657" s="19"/>
      <c r="L1657" s="1"/>
      <c r="M1657" s="9"/>
      <c r="N1657" s="1"/>
      <c r="O1657" s="1"/>
      <c r="P1657" s="1"/>
      <c r="Q1657" s="1"/>
      <c r="R1657" s="1"/>
    </row>
    <row r="1658" spans="2:18">
      <c r="B1658" s="1"/>
      <c r="C1658" s="9"/>
      <c r="D1658" s="9"/>
      <c r="E1658" s="9"/>
      <c r="F1658" s="1"/>
      <c r="G1658" s="1"/>
      <c r="H1658" s="19"/>
      <c r="I1658" s="1"/>
      <c r="J1658" s="1"/>
      <c r="K1658" s="19"/>
      <c r="L1658" s="1"/>
      <c r="M1658" s="9"/>
      <c r="N1658" s="1"/>
      <c r="O1658" s="1"/>
      <c r="P1658" s="1"/>
      <c r="Q1658" s="1"/>
      <c r="R1658" s="1"/>
    </row>
    <row r="1659" spans="2:18">
      <c r="B1659" s="1"/>
      <c r="C1659" s="9"/>
      <c r="D1659" s="9"/>
      <c r="E1659" s="9"/>
      <c r="F1659" s="1"/>
      <c r="G1659" s="1"/>
      <c r="H1659" s="19"/>
      <c r="I1659" s="1"/>
      <c r="J1659" s="1"/>
      <c r="K1659" s="19"/>
      <c r="L1659" s="1"/>
      <c r="M1659" s="9"/>
      <c r="N1659" s="1"/>
      <c r="O1659" s="1"/>
      <c r="P1659" s="1"/>
      <c r="Q1659" s="1"/>
      <c r="R1659" s="1"/>
    </row>
    <row r="1660" spans="2:18">
      <c r="B1660" s="1"/>
      <c r="C1660" s="9"/>
      <c r="D1660" s="9"/>
      <c r="E1660" s="9"/>
      <c r="F1660" s="1"/>
      <c r="G1660" s="1"/>
      <c r="H1660" s="19"/>
      <c r="I1660" s="1"/>
      <c r="J1660" s="1"/>
      <c r="K1660" s="19"/>
      <c r="L1660" s="1"/>
      <c r="M1660" s="9"/>
      <c r="N1660" s="1"/>
      <c r="O1660" s="1"/>
      <c r="P1660" s="1"/>
      <c r="Q1660" s="1"/>
      <c r="R1660" s="1"/>
    </row>
    <row r="1661" spans="2:18">
      <c r="B1661" s="1"/>
      <c r="C1661" s="9"/>
      <c r="D1661" s="9"/>
      <c r="E1661" s="9"/>
      <c r="F1661" s="1"/>
      <c r="G1661" s="1"/>
      <c r="H1661" s="19"/>
      <c r="I1661" s="1"/>
      <c r="J1661" s="1"/>
      <c r="K1661" s="19"/>
      <c r="L1661" s="1"/>
      <c r="M1661" s="9"/>
      <c r="N1661" s="1"/>
      <c r="O1661" s="1"/>
      <c r="P1661" s="1"/>
      <c r="Q1661" s="1"/>
      <c r="R1661" s="1"/>
    </row>
    <row r="1662" spans="2:18">
      <c r="B1662" s="1"/>
      <c r="C1662" s="9"/>
      <c r="D1662" s="9"/>
      <c r="E1662" s="9"/>
      <c r="F1662" s="1"/>
      <c r="G1662" s="1"/>
      <c r="H1662" s="19"/>
      <c r="I1662" s="1"/>
      <c r="J1662" s="1"/>
      <c r="K1662" s="19"/>
      <c r="L1662" s="1"/>
      <c r="M1662" s="9"/>
      <c r="N1662" s="1"/>
      <c r="O1662" s="1"/>
      <c r="P1662" s="1"/>
      <c r="Q1662" s="1"/>
      <c r="R1662" s="1"/>
    </row>
    <row r="1663" spans="2:18">
      <c r="B1663" s="1"/>
      <c r="C1663" s="9"/>
      <c r="D1663" s="9"/>
      <c r="E1663" s="9"/>
      <c r="F1663" s="1"/>
      <c r="G1663" s="1"/>
      <c r="H1663" s="19"/>
      <c r="I1663" s="1"/>
      <c r="J1663" s="1"/>
      <c r="K1663" s="19"/>
      <c r="L1663" s="1"/>
      <c r="M1663" s="9"/>
      <c r="N1663" s="1"/>
      <c r="O1663" s="1"/>
      <c r="P1663" s="1"/>
      <c r="Q1663" s="1"/>
      <c r="R1663" s="1"/>
    </row>
    <row r="1664" spans="2:18">
      <c r="B1664" s="1"/>
      <c r="C1664" s="9"/>
      <c r="D1664" s="9"/>
      <c r="E1664" s="9"/>
      <c r="F1664" s="1"/>
      <c r="G1664" s="1"/>
      <c r="H1664" s="19"/>
      <c r="I1664" s="1"/>
      <c r="J1664" s="1"/>
      <c r="K1664" s="19"/>
      <c r="L1664" s="1"/>
      <c r="M1664" s="9"/>
      <c r="N1664" s="1"/>
      <c r="O1664" s="1"/>
      <c r="P1664" s="1"/>
      <c r="Q1664" s="1"/>
      <c r="R1664" s="1"/>
    </row>
    <row r="1665" spans="2:18">
      <c r="B1665" s="1"/>
      <c r="C1665" s="9"/>
      <c r="D1665" s="9"/>
      <c r="E1665" s="9"/>
      <c r="F1665" s="1"/>
      <c r="G1665" s="1"/>
      <c r="H1665" s="19"/>
      <c r="I1665" s="1"/>
      <c r="J1665" s="1"/>
      <c r="K1665" s="19"/>
      <c r="L1665" s="1"/>
      <c r="M1665" s="9"/>
      <c r="N1665" s="1"/>
      <c r="O1665" s="1"/>
      <c r="P1665" s="1"/>
      <c r="Q1665" s="1"/>
      <c r="R1665" s="1"/>
    </row>
    <row r="1666" spans="2:18">
      <c r="B1666" s="1"/>
      <c r="C1666" s="9"/>
      <c r="D1666" s="9"/>
      <c r="E1666" s="9"/>
      <c r="F1666" s="1"/>
      <c r="G1666" s="1"/>
      <c r="H1666" s="19"/>
      <c r="I1666" s="1"/>
      <c r="J1666" s="1"/>
      <c r="K1666" s="19"/>
      <c r="L1666" s="1"/>
      <c r="M1666" s="9"/>
      <c r="N1666" s="1"/>
      <c r="O1666" s="1"/>
      <c r="P1666" s="1"/>
      <c r="Q1666" s="1"/>
      <c r="R1666" s="1"/>
    </row>
    <row r="1667" spans="2:18">
      <c r="B1667" s="1"/>
      <c r="C1667" s="9"/>
      <c r="D1667" s="9"/>
      <c r="E1667" s="9"/>
      <c r="F1667" s="1"/>
      <c r="G1667" s="1"/>
      <c r="H1667" s="19"/>
      <c r="I1667" s="1"/>
      <c r="J1667" s="1"/>
      <c r="K1667" s="19"/>
      <c r="L1667" s="1"/>
      <c r="M1667" s="9"/>
      <c r="N1667" s="1"/>
      <c r="O1667" s="1"/>
      <c r="P1667" s="1"/>
      <c r="Q1667" s="1"/>
      <c r="R1667" s="1"/>
    </row>
    <row r="1668" spans="2:18">
      <c r="B1668" s="1"/>
      <c r="C1668" s="9"/>
      <c r="D1668" s="9"/>
      <c r="E1668" s="9"/>
      <c r="F1668" s="1"/>
      <c r="G1668" s="1"/>
      <c r="H1668" s="19"/>
      <c r="I1668" s="1"/>
      <c r="J1668" s="1"/>
      <c r="K1668" s="19"/>
      <c r="L1668" s="1"/>
      <c r="M1668" s="9"/>
      <c r="N1668" s="1"/>
      <c r="O1668" s="1"/>
      <c r="P1668" s="1"/>
      <c r="Q1668" s="1"/>
      <c r="R1668" s="1"/>
    </row>
    <row r="1669" spans="2:18">
      <c r="B1669" s="1"/>
      <c r="C1669" s="9"/>
      <c r="D1669" s="9"/>
      <c r="E1669" s="9"/>
      <c r="F1669" s="1"/>
      <c r="G1669" s="1"/>
      <c r="H1669" s="19"/>
      <c r="I1669" s="1"/>
      <c r="J1669" s="1"/>
      <c r="K1669" s="19"/>
      <c r="L1669" s="1"/>
      <c r="M1669" s="9"/>
      <c r="N1669" s="1"/>
      <c r="O1669" s="1"/>
      <c r="P1669" s="1"/>
      <c r="Q1669" s="1"/>
      <c r="R1669" s="1"/>
    </row>
    <row r="1670" spans="2:18">
      <c r="B1670" s="1"/>
      <c r="C1670" s="9"/>
      <c r="D1670" s="9"/>
      <c r="E1670" s="9"/>
      <c r="F1670" s="1"/>
      <c r="G1670" s="1"/>
      <c r="H1670" s="19"/>
      <c r="I1670" s="1"/>
      <c r="J1670" s="1"/>
      <c r="K1670" s="19"/>
      <c r="L1670" s="1"/>
      <c r="M1670" s="9"/>
      <c r="N1670" s="1"/>
      <c r="O1670" s="1"/>
      <c r="P1670" s="1"/>
      <c r="Q1670" s="1"/>
      <c r="R1670" s="1"/>
    </row>
    <row r="1671" spans="2:18">
      <c r="B1671" s="1"/>
      <c r="C1671" s="9"/>
      <c r="D1671" s="9"/>
      <c r="E1671" s="9"/>
      <c r="F1671" s="1"/>
      <c r="G1671" s="1"/>
      <c r="H1671" s="19"/>
      <c r="I1671" s="1"/>
      <c r="J1671" s="1"/>
      <c r="K1671" s="19"/>
      <c r="L1671" s="1"/>
      <c r="M1671" s="9"/>
      <c r="N1671" s="1"/>
      <c r="O1671" s="1"/>
      <c r="P1671" s="1"/>
      <c r="Q1671" s="1"/>
      <c r="R1671" s="1"/>
    </row>
    <row r="1672" spans="2:18">
      <c r="B1672" s="1"/>
      <c r="C1672" s="9"/>
      <c r="D1672" s="9"/>
      <c r="E1672" s="9"/>
      <c r="F1672" s="1"/>
      <c r="G1672" s="1"/>
      <c r="H1672" s="19"/>
      <c r="I1672" s="1"/>
      <c r="J1672" s="1"/>
      <c r="K1672" s="19"/>
      <c r="L1672" s="1"/>
      <c r="M1672" s="9"/>
      <c r="N1672" s="1"/>
      <c r="O1672" s="1"/>
      <c r="P1672" s="1"/>
      <c r="Q1672" s="1"/>
      <c r="R1672" s="1"/>
    </row>
    <row r="1673" spans="2:18">
      <c r="B1673" s="1"/>
      <c r="C1673" s="9"/>
      <c r="D1673" s="9"/>
      <c r="E1673" s="9"/>
      <c r="F1673" s="1"/>
      <c r="G1673" s="1"/>
      <c r="H1673" s="19"/>
      <c r="I1673" s="1"/>
      <c r="J1673" s="1"/>
      <c r="K1673" s="19"/>
      <c r="L1673" s="1"/>
      <c r="M1673" s="9"/>
      <c r="N1673" s="1"/>
      <c r="O1673" s="1"/>
      <c r="P1673" s="1"/>
      <c r="Q1673" s="1"/>
      <c r="R1673" s="1"/>
    </row>
    <row r="1674" spans="2:18">
      <c r="B1674" s="1"/>
      <c r="C1674" s="9"/>
      <c r="D1674" s="9"/>
      <c r="E1674" s="9"/>
      <c r="F1674" s="1"/>
      <c r="G1674" s="1"/>
      <c r="H1674" s="19"/>
      <c r="I1674" s="1"/>
      <c r="J1674" s="1"/>
      <c r="K1674" s="19"/>
      <c r="L1674" s="1"/>
      <c r="M1674" s="9"/>
      <c r="N1674" s="1"/>
      <c r="O1674" s="1"/>
      <c r="P1674" s="1"/>
      <c r="Q1674" s="1"/>
      <c r="R1674" s="1"/>
    </row>
    <row r="1675" spans="2:18">
      <c r="B1675" s="1"/>
      <c r="C1675" s="9"/>
      <c r="D1675" s="9"/>
      <c r="E1675" s="9"/>
      <c r="F1675" s="1"/>
      <c r="G1675" s="1"/>
      <c r="H1675" s="19"/>
      <c r="I1675" s="1"/>
      <c r="J1675" s="1"/>
      <c r="K1675" s="19"/>
      <c r="L1675" s="1"/>
      <c r="M1675" s="9"/>
      <c r="N1675" s="1"/>
      <c r="O1675" s="1"/>
      <c r="P1675" s="1"/>
      <c r="Q1675" s="1"/>
      <c r="R1675" s="1"/>
    </row>
    <row r="1676" spans="2:18">
      <c r="B1676" s="1"/>
      <c r="C1676" s="9"/>
      <c r="D1676" s="9"/>
      <c r="E1676" s="9"/>
      <c r="F1676" s="1"/>
      <c r="G1676" s="1"/>
      <c r="H1676" s="19"/>
      <c r="I1676" s="1"/>
      <c r="J1676" s="1"/>
      <c r="K1676" s="19"/>
      <c r="L1676" s="1"/>
      <c r="M1676" s="9"/>
      <c r="N1676" s="1"/>
      <c r="O1676" s="1"/>
      <c r="P1676" s="1"/>
      <c r="Q1676" s="1"/>
      <c r="R1676" s="1"/>
    </row>
    <row r="1677" spans="2:18">
      <c r="B1677" s="1"/>
      <c r="C1677" s="9"/>
      <c r="D1677" s="9"/>
      <c r="E1677" s="9"/>
      <c r="F1677" s="1"/>
      <c r="G1677" s="1"/>
      <c r="H1677" s="19"/>
      <c r="I1677" s="1"/>
      <c r="J1677" s="1"/>
      <c r="K1677" s="19"/>
      <c r="L1677" s="1"/>
      <c r="M1677" s="9"/>
      <c r="N1677" s="1"/>
      <c r="O1677" s="1"/>
      <c r="P1677" s="1"/>
      <c r="Q1677" s="1"/>
      <c r="R1677" s="1"/>
    </row>
    <row r="1678" spans="2:18">
      <c r="B1678" s="1"/>
      <c r="C1678" s="9"/>
      <c r="D1678" s="9"/>
      <c r="E1678" s="9"/>
      <c r="F1678" s="1"/>
      <c r="G1678" s="1"/>
      <c r="H1678" s="19"/>
      <c r="I1678" s="1"/>
      <c r="J1678" s="1"/>
      <c r="K1678" s="19"/>
      <c r="L1678" s="1"/>
      <c r="M1678" s="9"/>
      <c r="N1678" s="1"/>
      <c r="O1678" s="1"/>
      <c r="P1678" s="1"/>
      <c r="Q1678" s="1"/>
      <c r="R1678" s="1"/>
    </row>
    <row r="1679" spans="2:18">
      <c r="B1679" s="1"/>
      <c r="C1679" s="9"/>
      <c r="D1679" s="9"/>
      <c r="E1679" s="9"/>
      <c r="F1679" s="1"/>
      <c r="G1679" s="1"/>
      <c r="H1679" s="19"/>
      <c r="I1679" s="1"/>
      <c r="J1679" s="1"/>
      <c r="K1679" s="19"/>
      <c r="L1679" s="1"/>
      <c r="M1679" s="9"/>
      <c r="N1679" s="1"/>
      <c r="O1679" s="1"/>
      <c r="P1679" s="1"/>
      <c r="Q1679" s="1"/>
      <c r="R1679" s="1"/>
    </row>
    <row r="1680" spans="2:18">
      <c r="B1680" s="1"/>
      <c r="C1680" s="9"/>
      <c r="D1680" s="9"/>
      <c r="E1680" s="9"/>
      <c r="F1680" s="1"/>
      <c r="G1680" s="1"/>
      <c r="H1680" s="19"/>
      <c r="I1680" s="1"/>
      <c r="J1680" s="1"/>
      <c r="K1680" s="19"/>
      <c r="L1680" s="1"/>
      <c r="M1680" s="9"/>
      <c r="N1680" s="1"/>
      <c r="O1680" s="1"/>
      <c r="P1680" s="1"/>
      <c r="Q1680" s="1"/>
      <c r="R1680" s="1"/>
    </row>
    <row r="1681" spans="2:18">
      <c r="B1681" s="1"/>
      <c r="C1681" s="9"/>
      <c r="D1681" s="9"/>
      <c r="E1681" s="9"/>
      <c r="F1681" s="1"/>
      <c r="G1681" s="1"/>
      <c r="H1681" s="19"/>
      <c r="I1681" s="1"/>
      <c r="J1681" s="1"/>
      <c r="K1681" s="19"/>
      <c r="L1681" s="1"/>
      <c r="M1681" s="9"/>
      <c r="N1681" s="1"/>
      <c r="O1681" s="1"/>
      <c r="P1681" s="1"/>
      <c r="Q1681" s="1"/>
      <c r="R1681" s="1"/>
    </row>
    <row r="1682" spans="2:18">
      <c r="B1682" s="1"/>
      <c r="C1682" s="9"/>
      <c r="D1682" s="9"/>
      <c r="E1682" s="9"/>
      <c r="F1682" s="1"/>
      <c r="G1682" s="1"/>
      <c r="H1682" s="19"/>
      <c r="I1682" s="1"/>
      <c r="J1682" s="1"/>
      <c r="K1682" s="19"/>
      <c r="L1682" s="1"/>
      <c r="M1682" s="9"/>
      <c r="N1682" s="1"/>
      <c r="O1682" s="1"/>
      <c r="P1682" s="1"/>
      <c r="Q1682" s="1"/>
      <c r="R1682" s="1"/>
    </row>
    <row r="1683" spans="2:18">
      <c r="B1683" s="1"/>
      <c r="C1683" s="9"/>
      <c r="D1683" s="9"/>
      <c r="E1683" s="9"/>
      <c r="F1683" s="1"/>
      <c r="G1683" s="1"/>
      <c r="H1683" s="19"/>
      <c r="I1683" s="1"/>
      <c r="J1683" s="1"/>
      <c r="K1683" s="19"/>
      <c r="L1683" s="1"/>
      <c r="M1683" s="9"/>
      <c r="N1683" s="1"/>
      <c r="O1683" s="1"/>
      <c r="P1683" s="1"/>
      <c r="Q1683" s="1"/>
      <c r="R1683" s="1"/>
    </row>
    <row r="1684" spans="2:18">
      <c r="B1684" s="1"/>
      <c r="C1684" s="9"/>
      <c r="D1684" s="9"/>
      <c r="E1684" s="9"/>
      <c r="F1684" s="1"/>
      <c r="G1684" s="1"/>
      <c r="H1684" s="19"/>
      <c r="I1684" s="1"/>
      <c r="J1684" s="1"/>
      <c r="K1684" s="19"/>
      <c r="L1684" s="1"/>
      <c r="M1684" s="9"/>
      <c r="N1684" s="1"/>
      <c r="O1684" s="1"/>
      <c r="P1684" s="1"/>
      <c r="Q1684" s="1"/>
      <c r="R1684" s="1"/>
    </row>
    <row r="1685" spans="2:18">
      <c r="B1685" s="1"/>
      <c r="C1685" s="9"/>
      <c r="D1685" s="9"/>
      <c r="E1685" s="9"/>
      <c r="F1685" s="1"/>
      <c r="G1685" s="1"/>
      <c r="H1685" s="19"/>
      <c r="I1685" s="1"/>
      <c r="J1685" s="1"/>
      <c r="K1685" s="19"/>
      <c r="L1685" s="1"/>
      <c r="M1685" s="9"/>
      <c r="N1685" s="1"/>
      <c r="O1685" s="1"/>
      <c r="P1685" s="1"/>
      <c r="Q1685" s="1"/>
      <c r="R1685" s="1"/>
    </row>
    <row r="1686" spans="2:18">
      <c r="B1686" s="1"/>
      <c r="C1686" s="9"/>
      <c r="D1686" s="9"/>
      <c r="E1686" s="9"/>
      <c r="F1686" s="1"/>
      <c r="G1686" s="1"/>
      <c r="H1686" s="19"/>
      <c r="I1686" s="1"/>
      <c r="J1686" s="1"/>
      <c r="K1686" s="19"/>
      <c r="L1686" s="1"/>
      <c r="M1686" s="9"/>
      <c r="N1686" s="1"/>
      <c r="O1686" s="1"/>
      <c r="P1686" s="1"/>
      <c r="Q1686" s="1"/>
      <c r="R1686" s="1"/>
    </row>
    <row r="1687" spans="2:18">
      <c r="B1687" s="1"/>
      <c r="C1687" s="9"/>
      <c r="D1687" s="9"/>
      <c r="E1687" s="9"/>
      <c r="F1687" s="1"/>
      <c r="G1687" s="1"/>
      <c r="H1687" s="19"/>
      <c r="I1687" s="1"/>
      <c r="J1687" s="1"/>
      <c r="K1687" s="19"/>
      <c r="L1687" s="1"/>
      <c r="M1687" s="9"/>
      <c r="N1687" s="1"/>
      <c r="O1687" s="1"/>
      <c r="P1687" s="1"/>
      <c r="Q1687" s="1"/>
      <c r="R1687" s="1"/>
    </row>
    <row r="1688" spans="2:18">
      <c r="B1688" s="1"/>
      <c r="C1688" s="9"/>
      <c r="D1688" s="9"/>
      <c r="E1688" s="9"/>
      <c r="F1688" s="1"/>
      <c r="G1688" s="1"/>
      <c r="H1688" s="19"/>
      <c r="I1688" s="1"/>
      <c r="J1688" s="1"/>
      <c r="K1688" s="19"/>
      <c r="L1688" s="1"/>
      <c r="M1688" s="9"/>
      <c r="N1688" s="1"/>
      <c r="O1688" s="1"/>
      <c r="P1688" s="1"/>
      <c r="Q1688" s="1"/>
      <c r="R1688" s="1"/>
    </row>
    <row r="1689" spans="2:18">
      <c r="B1689" s="1"/>
      <c r="C1689" s="9"/>
      <c r="D1689" s="9"/>
      <c r="E1689" s="9"/>
      <c r="F1689" s="1"/>
      <c r="G1689" s="1"/>
      <c r="H1689" s="19"/>
      <c r="I1689" s="1"/>
      <c r="J1689" s="1"/>
      <c r="K1689" s="19"/>
      <c r="L1689" s="1"/>
      <c r="M1689" s="9"/>
      <c r="N1689" s="1"/>
      <c r="O1689" s="1"/>
      <c r="P1689" s="1"/>
      <c r="Q1689" s="1"/>
      <c r="R1689" s="1"/>
    </row>
    <row r="1690" spans="2:18">
      <c r="B1690" s="1"/>
      <c r="C1690" s="9"/>
      <c r="D1690" s="9"/>
      <c r="E1690" s="9"/>
      <c r="F1690" s="1"/>
      <c r="G1690" s="1"/>
      <c r="H1690" s="19"/>
      <c r="I1690" s="1"/>
      <c r="J1690" s="1"/>
      <c r="K1690" s="19"/>
      <c r="L1690" s="1"/>
      <c r="M1690" s="9"/>
      <c r="N1690" s="1"/>
      <c r="O1690" s="1"/>
      <c r="P1690" s="1"/>
      <c r="Q1690" s="1"/>
      <c r="R1690" s="1"/>
    </row>
    <row r="1691" spans="2:18">
      <c r="B1691" s="1"/>
      <c r="C1691" s="9"/>
      <c r="D1691" s="9"/>
      <c r="E1691" s="9"/>
      <c r="F1691" s="1"/>
      <c r="G1691" s="1"/>
      <c r="H1691" s="19"/>
      <c r="I1691" s="1"/>
      <c r="J1691" s="1"/>
      <c r="K1691" s="19"/>
      <c r="L1691" s="1"/>
      <c r="M1691" s="9"/>
      <c r="N1691" s="1"/>
      <c r="O1691" s="1"/>
      <c r="P1691" s="1"/>
      <c r="Q1691" s="1"/>
      <c r="R1691" s="1"/>
    </row>
    <row r="1692" spans="2:18">
      <c r="B1692" s="1"/>
      <c r="C1692" s="9"/>
      <c r="D1692" s="9"/>
      <c r="E1692" s="9"/>
      <c r="F1692" s="1"/>
      <c r="G1692" s="1"/>
      <c r="H1692" s="19"/>
      <c r="I1692" s="1"/>
      <c r="J1692" s="1"/>
      <c r="K1692" s="19"/>
      <c r="L1692" s="1"/>
      <c r="M1692" s="9"/>
      <c r="N1692" s="1"/>
      <c r="O1692" s="1"/>
      <c r="P1692" s="1"/>
      <c r="Q1692" s="1"/>
      <c r="R1692" s="1"/>
    </row>
    <row r="1693" spans="2:18">
      <c r="B1693" s="1"/>
      <c r="C1693" s="9"/>
      <c r="D1693" s="9"/>
      <c r="E1693" s="9"/>
      <c r="F1693" s="1"/>
      <c r="G1693" s="1"/>
      <c r="H1693" s="19"/>
      <c r="I1693" s="1"/>
      <c r="J1693" s="1"/>
      <c r="K1693" s="19"/>
      <c r="L1693" s="1"/>
      <c r="M1693" s="9"/>
      <c r="N1693" s="1"/>
      <c r="O1693" s="1"/>
      <c r="P1693" s="1"/>
      <c r="Q1693" s="1"/>
      <c r="R1693" s="1"/>
    </row>
    <row r="1694" spans="2:18">
      <c r="B1694" s="1"/>
      <c r="C1694" s="9"/>
      <c r="D1694" s="9"/>
      <c r="E1694" s="9"/>
      <c r="F1694" s="1"/>
      <c r="G1694" s="1"/>
      <c r="H1694" s="19"/>
      <c r="I1694" s="1"/>
      <c r="J1694" s="1"/>
      <c r="K1694" s="19"/>
      <c r="L1694" s="1"/>
      <c r="M1694" s="9"/>
      <c r="N1694" s="1"/>
      <c r="O1694" s="1"/>
      <c r="P1694" s="1"/>
      <c r="Q1694" s="1"/>
      <c r="R1694" s="1"/>
    </row>
    <row r="1695" spans="2:18">
      <c r="B1695" s="1"/>
      <c r="C1695" s="9"/>
      <c r="D1695" s="9"/>
      <c r="E1695" s="9"/>
      <c r="F1695" s="1"/>
      <c r="G1695" s="1"/>
      <c r="H1695" s="19"/>
      <c r="I1695" s="1"/>
      <c r="J1695" s="1"/>
      <c r="K1695" s="19"/>
      <c r="L1695" s="1"/>
      <c r="M1695" s="9"/>
      <c r="N1695" s="1"/>
      <c r="O1695" s="1"/>
      <c r="P1695" s="1"/>
      <c r="Q1695" s="1"/>
      <c r="R1695" s="1"/>
    </row>
    <row r="1696" spans="2:18">
      <c r="B1696" s="1"/>
      <c r="C1696" s="9"/>
      <c r="D1696" s="9"/>
      <c r="E1696" s="9"/>
      <c r="F1696" s="1"/>
      <c r="G1696" s="1"/>
      <c r="H1696" s="19"/>
      <c r="I1696" s="1"/>
      <c r="J1696" s="1"/>
      <c r="K1696" s="19"/>
      <c r="L1696" s="1"/>
      <c r="M1696" s="9"/>
      <c r="N1696" s="1"/>
      <c r="O1696" s="1"/>
      <c r="P1696" s="1"/>
      <c r="Q1696" s="1"/>
      <c r="R1696" s="1"/>
    </row>
    <row r="1697" spans="2:18">
      <c r="B1697" s="1"/>
      <c r="C1697" s="9"/>
      <c r="D1697" s="9"/>
      <c r="E1697" s="9"/>
      <c r="F1697" s="1"/>
      <c r="G1697" s="1"/>
      <c r="H1697" s="19"/>
      <c r="I1697" s="1"/>
      <c r="J1697" s="1"/>
      <c r="K1697" s="19"/>
      <c r="L1697" s="1"/>
      <c r="M1697" s="9"/>
      <c r="N1697" s="1"/>
      <c r="O1697" s="1"/>
      <c r="P1697" s="1"/>
      <c r="Q1697" s="1"/>
      <c r="R1697" s="1"/>
    </row>
    <row r="1698" spans="2:18">
      <c r="B1698" s="1"/>
      <c r="C1698" s="9"/>
      <c r="D1698" s="9"/>
      <c r="E1698" s="9"/>
      <c r="F1698" s="1"/>
      <c r="G1698" s="1"/>
      <c r="H1698" s="19"/>
      <c r="I1698" s="1"/>
      <c r="J1698" s="1"/>
      <c r="K1698" s="19"/>
      <c r="L1698" s="1"/>
      <c r="M1698" s="9"/>
      <c r="N1698" s="1"/>
      <c r="O1698" s="1"/>
      <c r="P1698" s="1"/>
      <c r="Q1698" s="1"/>
      <c r="R1698" s="1"/>
    </row>
    <row r="1699" spans="2:18">
      <c r="B1699" s="1"/>
      <c r="C1699" s="9"/>
      <c r="D1699" s="9"/>
      <c r="E1699" s="9"/>
      <c r="F1699" s="1"/>
      <c r="G1699" s="1"/>
      <c r="H1699" s="19"/>
      <c r="I1699" s="1"/>
      <c r="J1699" s="1"/>
      <c r="K1699" s="19"/>
      <c r="L1699" s="1"/>
      <c r="M1699" s="9"/>
      <c r="N1699" s="1"/>
      <c r="O1699" s="1"/>
      <c r="P1699" s="1"/>
      <c r="Q1699" s="1"/>
      <c r="R1699" s="1"/>
    </row>
    <row r="1700" spans="2:18">
      <c r="B1700" s="1"/>
      <c r="C1700" s="9"/>
      <c r="D1700" s="9"/>
      <c r="E1700" s="9"/>
      <c r="F1700" s="1"/>
      <c r="G1700" s="1"/>
      <c r="H1700" s="19"/>
      <c r="I1700" s="1"/>
      <c r="J1700" s="1"/>
      <c r="K1700" s="19"/>
      <c r="L1700" s="1"/>
      <c r="M1700" s="9"/>
      <c r="N1700" s="1"/>
      <c r="O1700" s="1"/>
      <c r="P1700" s="1"/>
      <c r="Q1700" s="1"/>
      <c r="R1700" s="1"/>
    </row>
    <row r="1701" spans="2:18">
      <c r="B1701" s="1"/>
      <c r="C1701" s="9"/>
      <c r="D1701" s="9"/>
      <c r="E1701" s="9"/>
      <c r="F1701" s="1"/>
      <c r="G1701" s="1"/>
      <c r="H1701" s="19"/>
      <c r="I1701" s="1"/>
      <c r="J1701" s="1"/>
      <c r="K1701" s="19"/>
      <c r="L1701" s="1"/>
      <c r="M1701" s="9"/>
      <c r="N1701" s="1"/>
      <c r="O1701" s="1"/>
      <c r="P1701" s="1"/>
      <c r="Q1701" s="1"/>
      <c r="R1701" s="1"/>
    </row>
    <row r="1702" spans="2:18">
      <c r="B1702" s="1"/>
      <c r="C1702" s="9"/>
      <c r="D1702" s="9"/>
      <c r="E1702" s="9"/>
      <c r="F1702" s="1"/>
      <c r="G1702" s="1"/>
      <c r="H1702" s="19"/>
      <c r="I1702" s="1"/>
      <c r="J1702" s="1"/>
      <c r="K1702" s="19"/>
      <c r="L1702" s="1"/>
      <c r="M1702" s="9"/>
      <c r="N1702" s="1"/>
      <c r="O1702" s="1"/>
      <c r="P1702" s="1"/>
      <c r="Q1702" s="1"/>
      <c r="R1702" s="1"/>
    </row>
    <row r="1703" spans="2:18">
      <c r="B1703" s="1"/>
      <c r="C1703" s="9"/>
      <c r="D1703" s="9"/>
      <c r="E1703" s="9"/>
      <c r="F1703" s="1"/>
      <c r="G1703" s="1"/>
      <c r="H1703" s="19"/>
      <c r="I1703" s="1"/>
      <c r="J1703" s="1"/>
      <c r="K1703" s="19"/>
      <c r="L1703" s="1"/>
      <c r="M1703" s="9"/>
      <c r="N1703" s="1"/>
      <c r="O1703" s="1"/>
      <c r="P1703" s="1"/>
      <c r="Q1703" s="1"/>
      <c r="R1703" s="1"/>
    </row>
    <row r="1704" spans="2:18">
      <c r="B1704" s="1"/>
      <c r="C1704" s="9"/>
      <c r="D1704" s="9"/>
      <c r="E1704" s="9"/>
      <c r="F1704" s="1"/>
      <c r="G1704" s="1"/>
      <c r="H1704" s="19"/>
      <c r="I1704" s="1"/>
      <c r="J1704" s="1"/>
      <c r="K1704" s="19"/>
      <c r="L1704" s="1"/>
      <c r="M1704" s="9"/>
      <c r="N1704" s="1"/>
      <c r="O1704" s="1"/>
      <c r="P1704" s="1"/>
      <c r="Q1704" s="1"/>
      <c r="R1704" s="1"/>
    </row>
    <row r="1705" spans="2:18">
      <c r="B1705" s="1"/>
      <c r="C1705" s="9"/>
      <c r="D1705" s="9"/>
      <c r="E1705" s="9"/>
      <c r="F1705" s="1"/>
      <c r="G1705" s="1"/>
      <c r="H1705" s="19"/>
      <c r="I1705" s="1"/>
      <c r="J1705" s="1"/>
      <c r="K1705" s="19"/>
      <c r="L1705" s="1"/>
      <c r="M1705" s="9"/>
      <c r="N1705" s="1"/>
      <c r="O1705" s="1"/>
      <c r="P1705" s="1"/>
      <c r="Q1705" s="1"/>
      <c r="R1705" s="1"/>
    </row>
    <row r="1706" spans="2:18">
      <c r="B1706" s="1"/>
      <c r="C1706" s="9"/>
      <c r="D1706" s="9"/>
      <c r="E1706" s="9"/>
      <c r="F1706" s="1"/>
      <c r="G1706" s="1"/>
      <c r="H1706" s="19"/>
      <c r="I1706" s="1"/>
      <c r="J1706" s="1"/>
      <c r="K1706" s="19"/>
      <c r="L1706" s="1"/>
      <c r="M1706" s="9"/>
      <c r="N1706" s="1"/>
      <c r="O1706" s="1"/>
      <c r="P1706" s="1"/>
      <c r="Q1706" s="1"/>
      <c r="R1706" s="1"/>
    </row>
    <row r="1707" spans="2:18">
      <c r="B1707" s="1"/>
      <c r="C1707" s="9"/>
      <c r="D1707" s="9"/>
      <c r="E1707" s="9"/>
      <c r="F1707" s="1"/>
      <c r="G1707" s="1"/>
      <c r="H1707" s="19"/>
      <c r="I1707" s="1"/>
      <c r="J1707" s="1"/>
      <c r="K1707" s="19"/>
      <c r="L1707" s="1"/>
      <c r="M1707" s="9"/>
      <c r="N1707" s="1"/>
      <c r="O1707" s="1"/>
      <c r="P1707" s="1"/>
      <c r="Q1707" s="1"/>
      <c r="R1707" s="1"/>
    </row>
    <row r="1708" spans="2:18">
      <c r="B1708" s="1"/>
      <c r="C1708" s="9"/>
      <c r="D1708" s="9"/>
      <c r="E1708" s="9"/>
      <c r="F1708" s="1"/>
      <c r="G1708" s="1"/>
      <c r="H1708" s="19"/>
      <c r="I1708" s="1"/>
      <c r="J1708" s="1"/>
      <c r="K1708" s="19"/>
      <c r="L1708" s="1"/>
      <c r="M1708" s="9"/>
      <c r="N1708" s="1"/>
      <c r="O1708" s="1"/>
      <c r="P1708" s="1"/>
      <c r="Q1708" s="1"/>
      <c r="R1708" s="1"/>
    </row>
    <row r="1709" spans="2:18">
      <c r="B1709" s="1"/>
      <c r="C1709" s="9"/>
      <c r="D1709" s="9"/>
      <c r="E1709" s="9"/>
      <c r="F1709" s="1"/>
      <c r="G1709" s="1"/>
      <c r="H1709" s="19"/>
      <c r="I1709" s="1"/>
      <c r="J1709" s="1"/>
      <c r="K1709" s="19"/>
      <c r="L1709" s="1"/>
      <c r="M1709" s="9"/>
      <c r="N1709" s="1"/>
      <c r="O1709" s="1"/>
      <c r="P1709" s="1"/>
      <c r="Q1709" s="1"/>
      <c r="R1709" s="1"/>
    </row>
    <row r="1710" spans="2:18">
      <c r="B1710" s="1"/>
      <c r="C1710" s="9"/>
      <c r="D1710" s="9"/>
      <c r="E1710" s="9"/>
      <c r="F1710" s="1"/>
      <c r="G1710" s="1"/>
      <c r="H1710" s="19"/>
      <c r="I1710" s="1"/>
      <c r="J1710" s="1"/>
      <c r="K1710" s="19"/>
      <c r="L1710" s="1"/>
      <c r="M1710" s="9"/>
      <c r="N1710" s="1"/>
      <c r="O1710" s="1"/>
      <c r="P1710" s="1"/>
      <c r="Q1710" s="1"/>
      <c r="R1710" s="1"/>
    </row>
    <row r="1711" spans="2:18">
      <c r="B1711" s="1"/>
      <c r="C1711" s="9"/>
      <c r="D1711" s="9"/>
      <c r="E1711" s="9"/>
      <c r="F1711" s="1"/>
      <c r="G1711" s="1"/>
      <c r="H1711" s="19"/>
      <c r="I1711" s="1"/>
      <c r="J1711" s="1"/>
      <c r="K1711" s="19"/>
      <c r="L1711" s="1"/>
      <c r="M1711" s="9"/>
      <c r="N1711" s="1"/>
      <c r="O1711" s="1"/>
      <c r="P1711" s="1"/>
      <c r="Q1711" s="1"/>
      <c r="R1711" s="1"/>
    </row>
    <row r="1712" spans="2:18">
      <c r="B1712" s="1"/>
      <c r="C1712" s="9"/>
      <c r="D1712" s="9"/>
      <c r="E1712" s="9"/>
      <c r="F1712" s="1"/>
      <c r="G1712" s="1"/>
      <c r="H1712" s="19"/>
      <c r="I1712" s="1"/>
      <c r="J1712" s="1"/>
      <c r="K1712" s="19"/>
      <c r="L1712" s="1"/>
      <c r="M1712" s="9"/>
      <c r="N1712" s="1"/>
      <c r="O1712" s="1"/>
      <c r="P1712" s="1"/>
      <c r="Q1712" s="1"/>
      <c r="R1712" s="1"/>
    </row>
    <row r="1713" spans="2:18">
      <c r="B1713" s="1"/>
      <c r="C1713" s="9"/>
      <c r="D1713" s="9"/>
      <c r="E1713" s="9"/>
      <c r="F1713" s="1"/>
      <c r="G1713" s="1"/>
      <c r="H1713" s="19"/>
      <c r="I1713" s="1"/>
      <c r="J1713" s="1"/>
      <c r="K1713" s="19"/>
      <c r="L1713" s="1"/>
      <c r="M1713" s="9"/>
      <c r="N1713" s="1"/>
      <c r="O1713" s="1"/>
      <c r="P1713" s="1"/>
      <c r="Q1713" s="1"/>
      <c r="R1713" s="1"/>
    </row>
    <row r="1714" spans="2:18">
      <c r="B1714" s="1"/>
      <c r="C1714" s="9"/>
      <c r="D1714" s="9"/>
      <c r="E1714" s="9"/>
      <c r="F1714" s="1"/>
      <c r="G1714" s="1"/>
      <c r="H1714" s="19"/>
      <c r="I1714" s="1"/>
      <c r="J1714" s="1"/>
      <c r="K1714" s="19"/>
      <c r="L1714" s="1"/>
      <c r="M1714" s="9"/>
      <c r="N1714" s="1"/>
      <c r="O1714" s="1"/>
      <c r="P1714" s="1"/>
      <c r="Q1714" s="1"/>
      <c r="R1714" s="1"/>
    </row>
    <row r="1715" spans="2:18">
      <c r="B1715" s="1"/>
      <c r="C1715" s="9"/>
      <c r="D1715" s="9"/>
      <c r="E1715" s="9"/>
      <c r="F1715" s="1"/>
      <c r="G1715" s="1"/>
      <c r="H1715" s="19"/>
      <c r="I1715" s="1"/>
      <c r="J1715" s="1"/>
      <c r="K1715" s="19"/>
      <c r="L1715" s="1"/>
      <c r="M1715" s="9"/>
      <c r="N1715" s="1"/>
      <c r="O1715" s="1"/>
      <c r="P1715" s="1"/>
      <c r="Q1715" s="1"/>
      <c r="R1715" s="1"/>
    </row>
    <row r="1716" spans="2:18">
      <c r="B1716" s="1"/>
      <c r="C1716" s="9"/>
      <c r="D1716" s="9"/>
      <c r="E1716" s="9"/>
      <c r="F1716" s="1"/>
      <c r="G1716" s="1"/>
      <c r="H1716" s="19"/>
      <c r="I1716" s="1"/>
      <c r="J1716" s="1"/>
      <c r="K1716" s="19"/>
      <c r="L1716" s="1"/>
      <c r="M1716" s="9"/>
      <c r="N1716" s="1"/>
      <c r="O1716" s="1"/>
      <c r="P1716" s="1"/>
      <c r="Q1716" s="1"/>
      <c r="R1716" s="1"/>
    </row>
    <row r="1717" spans="2:18">
      <c r="B1717" s="1"/>
      <c r="C1717" s="9"/>
      <c r="D1717" s="9"/>
      <c r="E1717" s="9"/>
      <c r="F1717" s="1"/>
      <c r="G1717" s="1"/>
      <c r="H1717" s="19"/>
      <c r="I1717" s="1"/>
      <c r="J1717" s="1"/>
      <c r="K1717" s="19"/>
      <c r="L1717" s="1"/>
      <c r="M1717" s="9"/>
      <c r="N1717" s="1"/>
      <c r="O1717" s="1"/>
      <c r="P1717" s="1"/>
      <c r="Q1717" s="1"/>
      <c r="R1717" s="1"/>
    </row>
    <row r="1718" spans="2:18">
      <c r="B1718" s="1"/>
      <c r="C1718" s="9"/>
      <c r="D1718" s="9"/>
      <c r="E1718" s="9"/>
      <c r="F1718" s="1"/>
      <c r="G1718" s="1"/>
      <c r="H1718" s="19"/>
      <c r="I1718" s="1"/>
      <c r="J1718" s="1"/>
      <c r="K1718" s="19"/>
      <c r="L1718" s="1"/>
      <c r="M1718" s="9"/>
      <c r="N1718" s="1"/>
      <c r="O1718" s="1"/>
      <c r="P1718" s="1"/>
      <c r="Q1718" s="1"/>
      <c r="R1718" s="1"/>
    </row>
    <row r="1719" spans="2:18">
      <c r="B1719" s="1"/>
      <c r="C1719" s="9"/>
      <c r="D1719" s="9"/>
      <c r="E1719" s="9"/>
      <c r="F1719" s="1"/>
      <c r="G1719" s="1"/>
      <c r="H1719" s="19"/>
      <c r="I1719" s="1"/>
      <c r="J1719" s="1"/>
      <c r="K1719" s="19"/>
      <c r="L1719" s="1"/>
      <c r="M1719" s="9"/>
      <c r="N1719" s="1"/>
      <c r="O1719" s="1"/>
      <c r="P1719" s="1"/>
      <c r="Q1719" s="1"/>
      <c r="R1719" s="1"/>
    </row>
    <row r="1720" spans="2:18">
      <c r="B1720" s="1"/>
      <c r="C1720" s="9"/>
      <c r="D1720" s="9"/>
      <c r="E1720" s="9"/>
      <c r="F1720" s="1"/>
      <c r="G1720" s="1"/>
      <c r="H1720" s="19"/>
      <c r="I1720" s="1"/>
      <c r="J1720" s="1"/>
      <c r="K1720" s="19"/>
      <c r="L1720" s="1"/>
      <c r="M1720" s="9"/>
      <c r="N1720" s="1"/>
      <c r="O1720" s="1"/>
      <c r="P1720" s="1"/>
      <c r="Q1720" s="1"/>
      <c r="R1720" s="1"/>
    </row>
    <row r="1721" spans="2:18">
      <c r="B1721" s="1"/>
      <c r="C1721" s="9"/>
      <c r="D1721" s="9"/>
      <c r="E1721" s="9"/>
      <c r="F1721" s="1"/>
      <c r="G1721" s="1"/>
      <c r="H1721" s="19"/>
      <c r="I1721" s="1"/>
      <c r="J1721" s="1"/>
      <c r="K1721" s="19"/>
      <c r="L1721" s="1"/>
      <c r="M1721" s="9"/>
      <c r="N1721" s="1"/>
      <c r="O1721" s="1"/>
      <c r="P1721" s="1"/>
      <c r="Q1721" s="1"/>
      <c r="R1721" s="1"/>
    </row>
    <row r="1722" spans="2:18">
      <c r="B1722" s="1"/>
      <c r="C1722" s="9"/>
      <c r="D1722" s="9"/>
      <c r="E1722" s="9"/>
      <c r="F1722" s="1"/>
      <c r="G1722" s="1"/>
      <c r="H1722" s="19"/>
      <c r="I1722" s="1"/>
      <c r="J1722" s="1"/>
      <c r="K1722" s="19"/>
      <c r="L1722" s="1"/>
      <c r="M1722" s="9"/>
      <c r="N1722" s="1"/>
      <c r="O1722" s="1"/>
      <c r="P1722" s="1"/>
      <c r="Q1722" s="1"/>
      <c r="R1722" s="1"/>
    </row>
    <row r="1723" spans="2:18">
      <c r="B1723" s="1"/>
      <c r="C1723" s="9"/>
      <c r="D1723" s="9"/>
      <c r="E1723" s="9"/>
      <c r="F1723" s="1"/>
      <c r="G1723" s="1"/>
      <c r="H1723" s="19"/>
      <c r="I1723" s="1"/>
      <c r="J1723" s="1"/>
      <c r="K1723" s="19"/>
      <c r="L1723" s="1"/>
      <c r="M1723" s="9"/>
      <c r="N1723" s="1"/>
      <c r="O1723" s="1"/>
      <c r="P1723" s="1"/>
      <c r="Q1723" s="1"/>
      <c r="R1723" s="1"/>
    </row>
    <row r="1724" spans="2:18">
      <c r="B1724" s="1"/>
      <c r="C1724" s="9"/>
      <c r="D1724" s="9"/>
      <c r="E1724" s="9"/>
      <c r="F1724" s="1"/>
      <c r="G1724" s="1"/>
      <c r="H1724" s="19"/>
      <c r="I1724" s="1"/>
      <c r="J1724" s="1"/>
      <c r="K1724" s="19"/>
      <c r="L1724" s="1"/>
      <c r="M1724" s="9"/>
      <c r="N1724" s="1"/>
      <c r="O1724" s="1"/>
      <c r="P1724" s="1"/>
      <c r="Q1724" s="1"/>
      <c r="R1724" s="1"/>
    </row>
    <row r="1725" spans="2:18">
      <c r="B1725" s="1"/>
      <c r="C1725" s="9"/>
      <c r="D1725" s="9"/>
      <c r="E1725" s="9"/>
      <c r="F1725" s="1"/>
      <c r="G1725" s="1"/>
      <c r="H1725" s="19"/>
      <c r="I1725" s="1"/>
      <c r="J1725" s="1"/>
      <c r="K1725" s="19"/>
      <c r="L1725" s="1"/>
      <c r="M1725" s="9"/>
      <c r="N1725" s="1"/>
      <c r="O1725" s="1"/>
      <c r="P1725" s="1"/>
      <c r="Q1725" s="1"/>
      <c r="R1725" s="1"/>
    </row>
    <row r="1726" spans="2:18">
      <c r="B1726" s="1"/>
      <c r="C1726" s="9"/>
      <c r="D1726" s="9"/>
      <c r="E1726" s="9"/>
      <c r="F1726" s="1"/>
      <c r="G1726" s="1"/>
      <c r="H1726" s="19"/>
      <c r="I1726" s="1"/>
      <c r="J1726" s="1"/>
      <c r="K1726" s="19"/>
      <c r="L1726" s="1"/>
      <c r="M1726" s="9"/>
      <c r="N1726" s="1"/>
      <c r="O1726" s="1"/>
      <c r="P1726" s="1"/>
      <c r="Q1726" s="1"/>
      <c r="R1726" s="1"/>
    </row>
    <row r="1727" spans="2:18">
      <c r="B1727" s="1"/>
      <c r="C1727" s="9"/>
      <c r="D1727" s="9"/>
      <c r="E1727" s="9"/>
      <c r="F1727" s="1"/>
      <c r="G1727" s="1"/>
      <c r="H1727" s="19"/>
      <c r="I1727" s="1"/>
      <c r="J1727" s="1"/>
      <c r="K1727" s="19"/>
      <c r="L1727" s="1"/>
      <c r="M1727" s="9"/>
      <c r="N1727" s="1"/>
      <c r="O1727" s="1"/>
      <c r="P1727" s="1"/>
      <c r="Q1727" s="1"/>
      <c r="R1727" s="1"/>
    </row>
    <row r="1728" spans="2:18">
      <c r="B1728" s="1"/>
      <c r="C1728" s="9"/>
      <c r="D1728" s="9"/>
      <c r="E1728" s="9"/>
      <c r="F1728" s="1"/>
      <c r="G1728" s="1"/>
      <c r="H1728" s="19"/>
      <c r="I1728" s="1"/>
      <c r="J1728" s="1"/>
      <c r="K1728" s="19"/>
      <c r="L1728" s="1"/>
      <c r="M1728" s="9"/>
      <c r="N1728" s="1"/>
      <c r="O1728" s="1"/>
      <c r="P1728" s="1"/>
      <c r="Q1728" s="1"/>
      <c r="R1728" s="1"/>
    </row>
    <row r="1729" spans="2:18">
      <c r="B1729" s="1"/>
      <c r="C1729" s="9"/>
      <c r="D1729" s="9"/>
      <c r="E1729" s="9"/>
      <c r="F1729" s="1"/>
      <c r="G1729" s="1"/>
      <c r="H1729" s="19"/>
      <c r="I1729" s="1"/>
      <c r="J1729" s="1"/>
      <c r="K1729" s="19"/>
      <c r="L1729" s="1"/>
      <c r="M1729" s="9"/>
      <c r="N1729" s="1"/>
      <c r="O1729" s="1"/>
      <c r="P1729" s="1"/>
      <c r="Q1729" s="1"/>
      <c r="R1729" s="1"/>
    </row>
    <row r="1730" spans="2:18">
      <c r="B1730" s="1"/>
      <c r="C1730" s="9"/>
      <c r="D1730" s="9"/>
      <c r="E1730" s="9"/>
      <c r="F1730" s="1"/>
      <c r="G1730" s="1"/>
      <c r="H1730" s="19"/>
      <c r="I1730" s="1"/>
      <c r="J1730" s="1"/>
      <c r="K1730" s="19"/>
      <c r="L1730" s="1"/>
      <c r="M1730" s="9"/>
      <c r="N1730" s="1"/>
      <c r="O1730" s="1"/>
      <c r="P1730" s="1"/>
      <c r="Q1730" s="1"/>
      <c r="R1730" s="1"/>
    </row>
    <row r="1731" spans="2:18">
      <c r="B1731" s="1"/>
      <c r="C1731" s="9"/>
      <c r="D1731" s="9"/>
      <c r="E1731" s="9"/>
      <c r="F1731" s="1"/>
      <c r="G1731" s="1"/>
      <c r="H1731" s="19"/>
      <c r="I1731" s="1"/>
      <c r="J1731" s="1"/>
      <c r="K1731" s="19"/>
      <c r="L1731" s="1"/>
      <c r="M1731" s="9"/>
      <c r="N1731" s="1"/>
      <c r="O1731" s="1"/>
      <c r="P1731" s="1"/>
      <c r="Q1731" s="1"/>
      <c r="R1731" s="1"/>
    </row>
    <row r="1732" spans="2:18">
      <c r="B1732" s="1"/>
      <c r="C1732" s="9"/>
      <c r="D1732" s="9"/>
      <c r="E1732" s="9"/>
      <c r="F1732" s="1"/>
      <c r="G1732" s="1"/>
      <c r="H1732" s="19"/>
      <c r="I1732" s="1"/>
      <c r="J1732" s="1"/>
      <c r="K1732" s="19"/>
      <c r="L1732" s="1"/>
      <c r="M1732" s="9"/>
      <c r="N1732" s="1"/>
      <c r="O1732" s="1"/>
      <c r="P1732" s="1"/>
      <c r="Q1732" s="1"/>
      <c r="R1732" s="1"/>
    </row>
    <row r="1733" spans="2:18">
      <c r="B1733" s="1"/>
      <c r="C1733" s="9"/>
      <c r="D1733" s="9"/>
      <c r="E1733" s="9"/>
      <c r="F1733" s="1"/>
      <c r="G1733" s="1"/>
      <c r="H1733" s="19"/>
      <c r="I1733" s="1"/>
      <c r="J1733" s="1"/>
      <c r="K1733" s="19"/>
      <c r="L1733" s="1"/>
      <c r="M1733" s="9"/>
      <c r="N1733" s="1"/>
      <c r="O1733" s="1"/>
      <c r="P1733" s="1"/>
      <c r="Q1733" s="1"/>
      <c r="R1733" s="1"/>
    </row>
    <row r="1734" spans="2:18">
      <c r="B1734" s="1"/>
      <c r="C1734" s="9"/>
      <c r="D1734" s="9"/>
      <c r="E1734" s="9"/>
      <c r="F1734" s="1"/>
      <c r="G1734" s="1"/>
      <c r="H1734" s="19"/>
      <c r="I1734" s="1"/>
      <c r="J1734" s="1"/>
      <c r="K1734" s="19"/>
      <c r="L1734" s="1"/>
      <c r="M1734" s="9"/>
      <c r="N1734" s="1"/>
      <c r="O1734" s="1"/>
      <c r="P1734" s="1"/>
      <c r="Q1734" s="1"/>
      <c r="R1734" s="1"/>
    </row>
    <row r="1735" spans="2:18">
      <c r="B1735" s="1"/>
      <c r="C1735" s="9"/>
      <c r="D1735" s="9"/>
      <c r="E1735" s="9"/>
      <c r="F1735" s="1"/>
      <c r="G1735" s="1"/>
      <c r="H1735" s="19"/>
      <c r="I1735" s="1"/>
      <c r="J1735" s="1"/>
      <c r="K1735" s="19"/>
      <c r="L1735" s="1"/>
      <c r="M1735" s="9"/>
      <c r="N1735" s="1"/>
      <c r="O1735" s="1"/>
      <c r="P1735" s="1"/>
      <c r="Q1735" s="1"/>
      <c r="R1735" s="1"/>
    </row>
    <row r="1736" spans="2:18">
      <c r="B1736" s="1"/>
      <c r="C1736" s="9"/>
      <c r="D1736" s="9"/>
      <c r="E1736" s="9"/>
      <c r="F1736" s="1"/>
      <c r="G1736" s="1"/>
      <c r="H1736" s="19"/>
      <c r="I1736" s="1"/>
      <c r="J1736" s="1"/>
      <c r="K1736" s="19"/>
      <c r="L1736" s="1"/>
      <c r="M1736" s="9"/>
      <c r="N1736" s="1"/>
      <c r="O1736" s="1"/>
      <c r="P1736" s="1"/>
      <c r="Q1736" s="1"/>
      <c r="R1736" s="1"/>
    </row>
    <row r="1737" spans="2:18">
      <c r="B1737" s="1"/>
      <c r="C1737" s="9"/>
      <c r="D1737" s="9"/>
      <c r="E1737" s="9"/>
      <c r="F1737" s="1"/>
      <c r="G1737" s="1"/>
      <c r="H1737" s="19"/>
      <c r="I1737" s="1"/>
      <c r="J1737" s="1"/>
      <c r="K1737" s="19"/>
      <c r="L1737" s="1"/>
      <c r="M1737" s="9"/>
      <c r="N1737" s="1"/>
      <c r="O1737" s="1"/>
      <c r="P1737" s="1"/>
      <c r="Q1737" s="1"/>
      <c r="R1737" s="1"/>
    </row>
    <row r="1738" spans="2:18">
      <c r="B1738" s="1"/>
      <c r="C1738" s="9"/>
      <c r="D1738" s="9"/>
      <c r="E1738" s="9"/>
      <c r="F1738" s="1"/>
      <c r="G1738" s="1"/>
      <c r="H1738" s="19"/>
      <c r="I1738" s="1"/>
      <c r="J1738" s="1"/>
      <c r="K1738" s="19"/>
      <c r="L1738" s="1"/>
      <c r="M1738" s="9"/>
      <c r="N1738" s="1"/>
      <c r="O1738" s="1"/>
      <c r="P1738" s="1"/>
      <c r="Q1738" s="1"/>
      <c r="R1738" s="1"/>
    </row>
    <row r="1739" spans="2:18">
      <c r="B1739" s="1"/>
      <c r="C1739" s="9"/>
      <c r="D1739" s="9"/>
      <c r="E1739" s="9"/>
      <c r="F1739" s="1"/>
      <c r="G1739" s="1"/>
      <c r="H1739" s="19"/>
      <c r="I1739" s="1"/>
      <c r="J1739" s="1"/>
      <c r="K1739" s="19"/>
      <c r="L1739" s="1"/>
      <c r="M1739" s="9"/>
      <c r="N1739" s="1"/>
      <c r="O1739" s="1"/>
      <c r="P1739" s="1"/>
      <c r="Q1739" s="1"/>
      <c r="R1739" s="1"/>
    </row>
    <row r="1740" spans="2:18">
      <c r="B1740" s="1"/>
      <c r="C1740" s="9"/>
      <c r="D1740" s="9"/>
      <c r="E1740" s="9"/>
      <c r="F1740" s="1"/>
      <c r="G1740" s="1"/>
      <c r="H1740" s="19"/>
      <c r="I1740" s="1"/>
      <c r="J1740" s="1"/>
      <c r="K1740" s="19"/>
      <c r="L1740" s="1"/>
      <c r="M1740" s="9"/>
      <c r="N1740" s="1"/>
      <c r="O1740" s="1"/>
      <c r="P1740" s="1"/>
      <c r="Q1740" s="1"/>
      <c r="R1740" s="1"/>
    </row>
    <row r="1741" spans="2:18">
      <c r="B1741" s="1"/>
      <c r="C1741" s="9"/>
      <c r="D1741" s="9"/>
      <c r="E1741" s="9"/>
      <c r="F1741" s="1"/>
      <c r="G1741" s="1"/>
      <c r="H1741" s="19"/>
      <c r="I1741" s="1"/>
      <c r="J1741" s="1"/>
      <c r="K1741" s="19"/>
      <c r="L1741" s="1"/>
      <c r="M1741" s="9"/>
      <c r="N1741" s="1"/>
      <c r="O1741" s="1"/>
      <c r="P1741" s="1"/>
      <c r="Q1741" s="1"/>
      <c r="R1741" s="1"/>
    </row>
    <row r="1742" spans="2:18">
      <c r="B1742" s="1"/>
      <c r="C1742" s="9"/>
      <c r="D1742" s="9"/>
      <c r="E1742" s="9"/>
      <c r="F1742" s="1"/>
      <c r="G1742" s="1"/>
      <c r="H1742" s="19"/>
      <c r="I1742" s="1"/>
      <c r="J1742" s="1"/>
      <c r="K1742" s="19"/>
      <c r="L1742" s="1"/>
      <c r="M1742" s="9"/>
      <c r="N1742" s="1"/>
      <c r="O1742" s="1"/>
      <c r="P1742" s="1"/>
      <c r="Q1742" s="1"/>
      <c r="R1742" s="1"/>
    </row>
    <row r="1743" spans="2:18">
      <c r="B1743" s="1"/>
      <c r="C1743" s="9"/>
      <c r="D1743" s="9"/>
      <c r="E1743" s="9"/>
      <c r="F1743" s="1"/>
      <c r="G1743" s="1"/>
      <c r="H1743" s="19"/>
      <c r="I1743" s="1"/>
      <c r="J1743" s="1"/>
      <c r="K1743" s="19"/>
      <c r="L1743" s="1"/>
      <c r="M1743" s="9"/>
      <c r="N1743" s="1"/>
      <c r="O1743" s="1"/>
      <c r="P1743" s="1"/>
      <c r="Q1743" s="1"/>
      <c r="R1743" s="1"/>
    </row>
    <row r="1744" spans="2:18">
      <c r="B1744" s="1"/>
      <c r="C1744" s="9"/>
      <c r="D1744" s="9"/>
      <c r="E1744" s="9"/>
      <c r="F1744" s="1"/>
      <c r="G1744" s="1"/>
      <c r="H1744" s="19"/>
      <c r="I1744" s="1"/>
      <c r="J1744" s="1"/>
      <c r="K1744" s="19"/>
      <c r="L1744" s="1"/>
      <c r="M1744" s="9"/>
      <c r="N1744" s="1"/>
      <c r="O1744" s="1"/>
      <c r="P1744" s="1"/>
      <c r="Q1744" s="1"/>
      <c r="R1744" s="1"/>
    </row>
    <row r="1745" spans="2:18">
      <c r="B1745" s="1"/>
      <c r="C1745" s="9"/>
      <c r="D1745" s="9"/>
      <c r="E1745" s="9"/>
      <c r="F1745" s="1"/>
      <c r="G1745" s="1"/>
      <c r="H1745" s="19"/>
      <c r="I1745" s="1"/>
      <c r="J1745" s="1"/>
      <c r="K1745" s="19"/>
      <c r="L1745" s="1"/>
      <c r="M1745" s="9"/>
      <c r="N1745" s="1"/>
      <c r="O1745" s="1"/>
      <c r="P1745" s="1"/>
      <c r="Q1745" s="1"/>
      <c r="R1745" s="1"/>
    </row>
    <row r="1746" spans="2:18">
      <c r="B1746" s="1"/>
      <c r="C1746" s="9"/>
      <c r="D1746" s="9"/>
      <c r="E1746" s="9"/>
      <c r="F1746" s="1"/>
      <c r="G1746" s="1"/>
      <c r="H1746" s="19"/>
      <c r="I1746" s="1"/>
      <c r="J1746" s="1"/>
      <c r="K1746" s="19"/>
      <c r="L1746" s="1"/>
      <c r="M1746" s="9"/>
      <c r="N1746" s="1"/>
      <c r="O1746" s="1"/>
      <c r="P1746" s="1"/>
      <c r="Q1746" s="1"/>
      <c r="R1746" s="1"/>
    </row>
    <row r="1747" spans="2:18">
      <c r="B1747" s="1"/>
      <c r="C1747" s="9"/>
      <c r="D1747" s="9"/>
      <c r="E1747" s="9"/>
      <c r="F1747" s="1"/>
      <c r="G1747" s="1"/>
      <c r="H1747" s="19"/>
      <c r="I1747" s="1"/>
      <c r="J1747" s="1"/>
      <c r="K1747" s="19"/>
      <c r="L1747" s="1"/>
      <c r="M1747" s="9"/>
      <c r="N1747" s="1"/>
      <c r="O1747" s="1"/>
      <c r="P1747" s="1"/>
      <c r="Q1747" s="1"/>
      <c r="R1747" s="1"/>
    </row>
    <row r="1748" spans="2:18">
      <c r="B1748" s="1"/>
      <c r="C1748" s="9"/>
      <c r="D1748" s="9"/>
      <c r="E1748" s="9"/>
      <c r="F1748" s="1"/>
      <c r="G1748" s="1"/>
      <c r="H1748" s="19"/>
      <c r="I1748" s="1"/>
      <c r="J1748" s="1"/>
      <c r="K1748" s="19"/>
      <c r="L1748" s="1"/>
      <c r="M1748" s="9"/>
      <c r="N1748" s="1"/>
      <c r="O1748" s="1"/>
      <c r="P1748" s="1"/>
      <c r="Q1748" s="1"/>
      <c r="R1748" s="1"/>
    </row>
    <row r="1749" spans="2:18">
      <c r="B1749" s="1"/>
      <c r="C1749" s="9"/>
      <c r="D1749" s="9"/>
      <c r="E1749" s="9"/>
      <c r="F1749" s="1"/>
      <c r="G1749" s="1"/>
      <c r="H1749" s="19"/>
      <c r="I1749" s="1"/>
      <c r="J1749" s="1"/>
      <c r="K1749" s="19"/>
      <c r="L1749" s="1"/>
      <c r="M1749" s="9"/>
      <c r="N1749" s="1"/>
      <c r="O1749" s="1"/>
      <c r="P1749" s="1"/>
      <c r="Q1749" s="1"/>
      <c r="R1749" s="1"/>
    </row>
    <row r="1750" spans="2:18">
      <c r="B1750" s="1"/>
      <c r="C1750" s="9"/>
      <c r="D1750" s="9"/>
      <c r="E1750" s="9"/>
      <c r="F1750" s="1"/>
      <c r="G1750" s="1"/>
      <c r="H1750" s="19"/>
      <c r="I1750" s="1"/>
      <c r="J1750" s="1"/>
      <c r="K1750" s="19"/>
      <c r="L1750" s="1"/>
      <c r="M1750" s="9"/>
      <c r="N1750" s="1"/>
      <c r="O1750" s="1"/>
      <c r="P1750" s="1"/>
      <c r="Q1750" s="1"/>
      <c r="R1750" s="1"/>
    </row>
    <row r="1751" spans="2:18">
      <c r="B1751" s="1"/>
      <c r="C1751" s="9"/>
      <c r="D1751" s="9"/>
      <c r="E1751" s="9"/>
      <c r="F1751" s="1"/>
      <c r="G1751" s="1"/>
      <c r="H1751" s="19"/>
      <c r="I1751" s="1"/>
      <c r="J1751" s="1"/>
      <c r="K1751" s="19"/>
      <c r="L1751" s="1"/>
      <c r="M1751" s="9"/>
      <c r="N1751" s="1"/>
      <c r="O1751" s="1"/>
      <c r="P1751" s="1"/>
      <c r="Q1751" s="1"/>
      <c r="R1751" s="1"/>
    </row>
    <row r="1752" spans="2:18">
      <c r="B1752" s="1"/>
      <c r="C1752" s="9"/>
      <c r="D1752" s="9"/>
      <c r="E1752" s="9"/>
      <c r="F1752" s="1"/>
      <c r="G1752" s="1"/>
      <c r="H1752" s="19"/>
      <c r="I1752" s="1"/>
      <c r="J1752" s="1"/>
      <c r="K1752" s="19"/>
      <c r="L1752" s="1"/>
      <c r="M1752" s="9"/>
      <c r="N1752" s="1"/>
      <c r="O1752" s="1"/>
      <c r="P1752" s="1"/>
      <c r="Q1752" s="1"/>
      <c r="R1752" s="1"/>
    </row>
    <row r="1753" spans="2:18">
      <c r="B1753" s="1"/>
      <c r="C1753" s="9"/>
      <c r="D1753" s="9"/>
      <c r="E1753" s="9"/>
      <c r="F1753" s="1"/>
      <c r="G1753" s="1"/>
      <c r="H1753" s="19"/>
      <c r="I1753" s="1"/>
      <c r="J1753" s="1"/>
      <c r="K1753" s="19"/>
      <c r="L1753" s="1"/>
      <c r="M1753" s="9"/>
      <c r="N1753" s="1"/>
      <c r="O1753" s="1"/>
      <c r="P1753" s="1"/>
      <c r="Q1753" s="1"/>
      <c r="R1753" s="1"/>
    </row>
    <row r="1754" spans="2:18">
      <c r="B1754" s="1"/>
      <c r="C1754" s="9"/>
      <c r="D1754" s="9"/>
      <c r="E1754" s="9"/>
      <c r="F1754" s="1"/>
      <c r="G1754" s="1"/>
      <c r="H1754" s="19"/>
      <c r="I1754" s="1"/>
      <c r="J1754" s="1"/>
      <c r="K1754" s="19"/>
      <c r="L1754" s="1"/>
      <c r="M1754" s="9"/>
      <c r="N1754" s="1"/>
      <c r="O1754" s="1"/>
      <c r="P1754" s="1"/>
      <c r="Q1754" s="1"/>
      <c r="R1754" s="1"/>
    </row>
    <row r="1755" spans="2:18">
      <c r="B1755" s="1"/>
      <c r="C1755" s="9"/>
      <c r="D1755" s="9"/>
      <c r="E1755" s="9"/>
      <c r="F1755" s="1"/>
      <c r="G1755" s="1"/>
      <c r="H1755" s="19"/>
      <c r="I1755" s="1"/>
      <c r="J1755" s="1"/>
      <c r="K1755" s="19"/>
      <c r="L1755" s="1"/>
      <c r="M1755" s="9"/>
      <c r="N1755" s="1"/>
      <c r="O1755" s="1"/>
      <c r="P1755" s="1"/>
      <c r="Q1755" s="1"/>
      <c r="R1755" s="1"/>
    </row>
    <row r="1756" spans="2:18">
      <c r="B1756" s="1"/>
      <c r="C1756" s="9"/>
      <c r="D1756" s="9"/>
      <c r="E1756" s="9"/>
      <c r="F1756" s="1"/>
      <c r="G1756" s="1"/>
      <c r="H1756" s="19"/>
      <c r="I1756" s="1"/>
      <c r="J1756" s="1"/>
      <c r="K1756" s="19"/>
      <c r="L1756" s="1"/>
      <c r="M1756" s="9"/>
      <c r="N1756" s="1"/>
      <c r="O1756" s="1"/>
      <c r="P1756" s="1"/>
      <c r="Q1756" s="1"/>
      <c r="R1756" s="1"/>
    </row>
    <row r="1757" spans="2:18">
      <c r="B1757" s="1"/>
      <c r="C1757" s="9"/>
      <c r="D1757" s="9"/>
      <c r="E1757" s="9"/>
      <c r="F1757" s="1"/>
      <c r="G1757" s="1"/>
      <c r="H1757" s="19"/>
      <c r="I1757" s="1"/>
      <c r="J1757" s="1"/>
      <c r="K1757" s="19"/>
      <c r="L1757" s="1"/>
      <c r="M1757" s="9"/>
      <c r="N1757" s="1"/>
      <c r="O1757" s="1"/>
      <c r="P1757" s="1"/>
      <c r="Q1757" s="1"/>
      <c r="R1757" s="1"/>
    </row>
    <row r="1758" spans="2:18">
      <c r="B1758" s="1"/>
      <c r="C1758" s="9"/>
      <c r="D1758" s="9"/>
      <c r="E1758" s="9"/>
      <c r="F1758" s="1"/>
      <c r="G1758" s="1"/>
      <c r="H1758" s="19"/>
      <c r="I1758" s="1"/>
      <c r="J1758" s="1"/>
      <c r="K1758" s="19"/>
      <c r="L1758" s="1"/>
      <c r="M1758" s="9"/>
      <c r="N1758" s="1"/>
      <c r="O1758" s="1"/>
      <c r="P1758" s="1"/>
      <c r="Q1758" s="1"/>
      <c r="R1758" s="1"/>
    </row>
    <row r="1759" spans="2:18">
      <c r="B1759" s="1"/>
      <c r="C1759" s="9"/>
      <c r="D1759" s="9"/>
      <c r="E1759" s="9"/>
      <c r="F1759" s="1"/>
      <c r="G1759" s="1"/>
      <c r="H1759" s="19"/>
      <c r="I1759" s="1"/>
      <c r="J1759" s="1"/>
      <c r="K1759" s="19"/>
      <c r="L1759" s="1"/>
      <c r="M1759" s="9"/>
      <c r="N1759" s="1"/>
      <c r="O1759" s="1"/>
      <c r="P1759" s="1"/>
      <c r="Q1759" s="1"/>
      <c r="R1759" s="1"/>
    </row>
    <row r="1760" spans="2:18">
      <c r="B1760" s="1"/>
      <c r="C1760" s="9"/>
      <c r="D1760" s="9"/>
      <c r="E1760" s="9"/>
      <c r="F1760" s="1"/>
      <c r="G1760" s="1"/>
      <c r="H1760" s="19"/>
      <c r="I1760" s="1"/>
      <c r="J1760" s="1"/>
      <c r="K1760" s="19"/>
      <c r="L1760" s="1"/>
      <c r="M1760" s="9"/>
      <c r="N1760" s="1"/>
      <c r="O1760" s="1"/>
      <c r="P1760" s="1"/>
      <c r="Q1760" s="1"/>
      <c r="R1760" s="1"/>
    </row>
    <row r="1761" spans="2:18">
      <c r="B1761" s="1"/>
      <c r="C1761" s="9"/>
      <c r="D1761" s="9"/>
      <c r="E1761" s="9"/>
      <c r="F1761" s="1"/>
      <c r="G1761" s="1"/>
      <c r="H1761" s="19"/>
      <c r="I1761" s="1"/>
      <c r="J1761" s="1"/>
      <c r="K1761" s="19"/>
      <c r="L1761" s="1"/>
      <c r="M1761" s="9"/>
      <c r="N1761" s="1"/>
      <c r="O1761" s="1"/>
      <c r="P1761" s="1"/>
      <c r="Q1761" s="1"/>
      <c r="R1761" s="1"/>
    </row>
    <row r="1762" spans="2:18">
      <c r="B1762" s="1"/>
      <c r="C1762" s="9"/>
      <c r="D1762" s="9"/>
      <c r="E1762" s="9"/>
      <c r="F1762" s="1"/>
      <c r="G1762" s="1"/>
      <c r="H1762" s="19"/>
      <c r="I1762" s="1"/>
      <c r="J1762" s="1"/>
      <c r="K1762" s="19"/>
      <c r="L1762" s="1"/>
      <c r="M1762" s="9"/>
      <c r="N1762" s="1"/>
      <c r="O1762" s="1"/>
      <c r="P1762" s="1"/>
      <c r="Q1762" s="1"/>
      <c r="R1762" s="1"/>
    </row>
    <row r="1763" spans="2:18">
      <c r="B1763" s="1"/>
      <c r="C1763" s="9"/>
      <c r="D1763" s="9"/>
      <c r="E1763" s="9"/>
      <c r="F1763" s="1"/>
      <c r="G1763" s="1"/>
      <c r="H1763" s="19"/>
      <c r="I1763" s="1"/>
      <c r="J1763" s="1"/>
      <c r="K1763" s="19"/>
      <c r="L1763" s="1"/>
      <c r="M1763" s="9"/>
      <c r="N1763" s="1"/>
      <c r="O1763" s="1"/>
      <c r="P1763" s="1"/>
      <c r="Q1763" s="1"/>
      <c r="R1763" s="1"/>
    </row>
    <row r="1764" spans="2:18">
      <c r="B1764" s="1"/>
      <c r="C1764" s="9"/>
      <c r="D1764" s="9"/>
      <c r="E1764" s="9"/>
      <c r="F1764" s="1"/>
      <c r="G1764" s="1"/>
      <c r="H1764" s="19"/>
      <c r="I1764" s="1"/>
      <c r="J1764" s="1"/>
      <c r="K1764" s="19"/>
      <c r="L1764" s="1"/>
      <c r="M1764" s="9"/>
      <c r="N1764" s="1"/>
      <c r="O1764" s="1"/>
      <c r="P1764" s="1"/>
      <c r="Q1764" s="1"/>
      <c r="R1764" s="1"/>
    </row>
    <row r="1765" spans="2:18">
      <c r="B1765" s="1"/>
      <c r="C1765" s="9"/>
      <c r="D1765" s="9"/>
      <c r="E1765" s="9"/>
      <c r="F1765" s="1"/>
      <c r="G1765" s="1"/>
      <c r="H1765" s="19"/>
      <c r="I1765" s="1"/>
      <c r="J1765" s="1"/>
      <c r="K1765" s="19"/>
      <c r="L1765" s="1"/>
      <c r="M1765" s="9"/>
      <c r="N1765" s="1"/>
      <c r="O1765" s="1"/>
      <c r="P1765" s="1"/>
      <c r="Q1765" s="1"/>
      <c r="R1765" s="1"/>
    </row>
    <row r="1766" spans="2:18">
      <c r="B1766" s="1"/>
      <c r="C1766" s="9"/>
      <c r="D1766" s="9"/>
      <c r="E1766" s="9"/>
      <c r="F1766" s="1"/>
      <c r="G1766" s="1"/>
      <c r="H1766" s="19"/>
      <c r="I1766" s="1"/>
      <c r="J1766" s="1"/>
      <c r="K1766" s="19"/>
      <c r="L1766" s="1"/>
      <c r="M1766" s="9"/>
      <c r="N1766" s="1"/>
      <c r="O1766" s="1"/>
      <c r="P1766" s="1"/>
      <c r="Q1766" s="1"/>
      <c r="R1766" s="1"/>
    </row>
    <row r="1767" spans="2:18">
      <c r="B1767" s="1"/>
      <c r="C1767" s="9"/>
      <c r="D1767" s="9"/>
      <c r="E1767" s="9"/>
      <c r="F1767" s="1"/>
      <c r="G1767" s="1"/>
      <c r="H1767" s="19"/>
      <c r="I1767" s="1"/>
      <c r="J1767" s="1"/>
      <c r="K1767" s="19"/>
      <c r="L1767" s="1"/>
      <c r="M1767" s="9"/>
      <c r="N1767" s="1"/>
      <c r="O1767" s="1"/>
      <c r="P1767" s="1"/>
      <c r="Q1767" s="1"/>
      <c r="R1767" s="1"/>
    </row>
    <row r="1768" spans="2:18">
      <c r="B1768" s="1"/>
      <c r="C1768" s="9"/>
      <c r="D1768" s="9"/>
      <c r="E1768" s="9"/>
      <c r="F1768" s="1"/>
      <c r="G1768" s="1"/>
      <c r="H1768" s="19"/>
      <c r="I1768" s="1"/>
      <c r="J1768" s="1"/>
      <c r="K1768" s="19"/>
      <c r="L1768" s="1"/>
      <c r="M1768" s="9"/>
      <c r="N1768" s="1"/>
      <c r="O1768" s="1"/>
      <c r="P1768" s="1"/>
      <c r="Q1768" s="1"/>
      <c r="R1768" s="1"/>
    </row>
    <row r="1769" spans="2:18">
      <c r="B1769" s="1"/>
      <c r="C1769" s="9"/>
      <c r="D1769" s="9"/>
      <c r="E1769" s="9"/>
      <c r="F1769" s="1"/>
      <c r="G1769" s="1"/>
      <c r="H1769" s="19"/>
      <c r="I1769" s="1"/>
      <c r="J1769" s="1"/>
      <c r="K1769" s="19"/>
      <c r="L1769" s="1"/>
      <c r="M1769" s="9"/>
      <c r="N1769" s="1"/>
      <c r="O1769" s="1"/>
      <c r="P1769" s="1"/>
      <c r="Q1769" s="1"/>
      <c r="R1769" s="1"/>
    </row>
    <row r="1770" spans="2:18">
      <c r="B1770" s="1"/>
      <c r="C1770" s="9"/>
      <c r="D1770" s="9"/>
      <c r="E1770" s="9"/>
      <c r="F1770" s="1"/>
      <c r="G1770" s="1"/>
      <c r="H1770" s="19"/>
      <c r="I1770" s="1"/>
      <c r="J1770" s="1"/>
      <c r="K1770" s="19"/>
      <c r="L1770" s="1"/>
      <c r="M1770" s="9"/>
      <c r="N1770" s="1"/>
      <c r="O1770" s="1"/>
      <c r="P1770" s="1"/>
      <c r="Q1770" s="1"/>
      <c r="R1770" s="1"/>
    </row>
    <row r="1771" spans="2:18">
      <c r="B1771" s="1"/>
      <c r="C1771" s="9"/>
      <c r="D1771" s="9"/>
      <c r="E1771" s="9"/>
      <c r="F1771" s="1"/>
      <c r="G1771" s="1"/>
      <c r="H1771" s="19"/>
      <c r="I1771" s="1"/>
      <c r="J1771" s="1"/>
      <c r="K1771" s="19"/>
      <c r="L1771" s="1"/>
      <c r="M1771" s="9"/>
      <c r="N1771" s="1"/>
      <c r="O1771" s="1"/>
      <c r="P1771" s="1"/>
      <c r="Q1771" s="1"/>
      <c r="R1771" s="1"/>
    </row>
    <row r="1772" spans="2:18">
      <c r="B1772" s="1"/>
      <c r="C1772" s="9"/>
      <c r="D1772" s="9"/>
      <c r="E1772" s="9"/>
      <c r="F1772" s="1"/>
      <c r="G1772" s="1"/>
      <c r="H1772" s="19"/>
      <c r="I1772" s="1"/>
      <c r="J1772" s="1"/>
      <c r="K1772" s="19"/>
      <c r="L1772" s="1"/>
      <c r="M1772" s="9"/>
      <c r="N1772" s="1"/>
      <c r="O1772" s="1"/>
      <c r="P1772" s="1"/>
      <c r="Q1772" s="1"/>
      <c r="R1772" s="1"/>
    </row>
    <row r="1773" spans="2:18">
      <c r="B1773" s="1"/>
      <c r="C1773" s="9"/>
      <c r="D1773" s="9"/>
      <c r="E1773" s="9"/>
      <c r="F1773" s="1"/>
      <c r="G1773" s="1"/>
      <c r="H1773" s="19"/>
      <c r="I1773" s="1"/>
      <c r="J1773" s="1"/>
      <c r="K1773" s="19"/>
      <c r="L1773" s="1"/>
      <c r="M1773" s="9"/>
      <c r="N1773" s="1"/>
      <c r="O1773" s="1"/>
      <c r="P1773" s="1"/>
      <c r="Q1773" s="1"/>
      <c r="R1773" s="1"/>
    </row>
    <row r="1774" spans="2:18">
      <c r="B1774" s="1"/>
      <c r="C1774" s="9"/>
      <c r="D1774" s="9"/>
      <c r="E1774" s="9"/>
      <c r="F1774" s="1"/>
      <c r="G1774" s="1"/>
      <c r="H1774" s="19"/>
      <c r="I1774" s="1"/>
      <c r="J1774" s="1"/>
      <c r="K1774" s="19"/>
      <c r="L1774" s="1"/>
      <c r="M1774" s="9"/>
      <c r="N1774" s="1"/>
      <c r="O1774" s="1"/>
      <c r="P1774" s="1"/>
      <c r="Q1774" s="1"/>
      <c r="R1774" s="1"/>
    </row>
    <row r="1775" spans="2:18">
      <c r="B1775" s="1"/>
      <c r="C1775" s="9"/>
      <c r="D1775" s="9"/>
      <c r="E1775" s="9"/>
      <c r="F1775" s="1"/>
      <c r="G1775" s="1"/>
      <c r="H1775" s="19"/>
      <c r="I1775" s="1"/>
      <c r="J1775" s="1"/>
      <c r="K1775" s="19"/>
      <c r="L1775" s="1"/>
      <c r="M1775" s="9"/>
      <c r="N1775" s="1"/>
      <c r="O1775" s="1"/>
      <c r="P1775" s="1"/>
      <c r="Q1775" s="1"/>
      <c r="R1775" s="1"/>
    </row>
    <row r="1776" spans="2:18">
      <c r="B1776" s="1"/>
      <c r="C1776" s="9"/>
      <c r="D1776" s="9"/>
      <c r="E1776" s="9"/>
      <c r="F1776" s="1"/>
      <c r="G1776" s="1"/>
      <c r="H1776" s="19"/>
      <c r="I1776" s="1"/>
      <c r="J1776" s="1"/>
      <c r="K1776" s="19"/>
      <c r="L1776" s="1"/>
      <c r="M1776" s="9"/>
      <c r="N1776" s="1"/>
      <c r="O1776" s="1"/>
      <c r="P1776" s="1"/>
      <c r="Q1776" s="1"/>
      <c r="R1776" s="1"/>
    </row>
    <row r="1777" spans="2:18">
      <c r="B1777" s="1"/>
      <c r="C1777" s="9"/>
      <c r="D1777" s="9"/>
      <c r="E1777" s="9"/>
      <c r="F1777" s="1"/>
      <c r="G1777" s="1"/>
      <c r="H1777" s="19"/>
      <c r="I1777" s="1"/>
      <c r="J1777" s="1"/>
      <c r="K1777" s="19"/>
      <c r="L1777" s="1"/>
      <c r="M1777" s="9"/>
      <c r="N1777" s="1"/>
      <c r="O1777" s="1"/>
      <c r="P1777" s="1"/>
      <c r="Q1777" s="1"/>
      <c r="R1777" s="1"/>
    </row>
    <row r="1778" spans="2:18">
      <c r="B1778" s="1"/>
      <c r="C1778" s="9"/>
      <c r="D1778" s="9"/>
      <c r="E1778" s="9"/>
      <c r="F1778" s="1"/>
      <c r="G1778" s="1"/>
      <c r="H1778" s="19"/>
      <c r="I1778" s="1"/>
      <c r="J1778" s="1"/>
      <c r="K1778" s="19"/>
      <c r="L1778" s="1"/>
      <c r="M1778" s="9"/>
      <c r="N1778" s="1"/>
      <c r="O1778" s="1"/>
      <c r="P1778" s="1"/>
      <c r="Q1778" s="1"/>
      <c r="R1778" s="1"/>
    </row>
    <row r="1779" spans="2:18">
      <c r="B1779" s="1"/>
      <c r="C1779" s="9"/>
      <c r="D1779" s="9"/>
      <c r="E1779" s="9"/>
      <c r="F1779" s="1"/>
      <c r="G1779" s="1"/>
      <c r="H1779" s="19"/>
      <c r="I1779" s="1"/>
      <c r="J1779" s="1"/>
      <c r="K1779" s="19"/>
      <c r="L1779" s="1"/>
      <c r="M1779" s="9"/>
      <c r="N1779" s="1"/>
      <c r="O1779" s="1"/>
      <c r="P1779" s="1"/>
      <c r="Q1779" s="1"/>
      <c r="R1779" s="1"/>
    </row>
    <row r="1780" spans="2:18">
      <c r="B1780" s="1"/>
      <c r="C1780" s="9"/>
      <c r="D1780" s="9"/>
      <c r="E1780" s="9"/>
      <c r="F1780" s="1"/>
      <c r="G1780" s="1"/>
      <c r="H1780" s="19"/>
      <c r="I1780" s="1"/>
      <c r="J1780" s="1"/>
      <c r="K1780" s="19"/>
      <c r="L1780" s="1"/>
      <c r="M1780" s="9"/>
      <c r="N1780" s="1"/>
      <c r="O1780" s="1"/>
      <c r="P1780" s="1"/>
      <c r="Q1780" s="1"/>
      <c r="R1780" s="1"/>
    </row>
    <row r="1781" spans="2:18">
      <c r="B1781" s="1"/>
      <c r="C1781" s="9"/>
      <c r="D1781" s="9"/>
      <c r="E1781" s="9"/>
      <c r="F1781" s="1"/>
      <c r="G1781" s="1"/>
      <c r="H1781" s="19"/>
      <c r="I1781" s="1"/>
      <c r="J1781" s="1"/>
      <c r="K1781" s="19"/>
      <c r="L1781" s="1"/>
      <c r="M1781" s="9"/>
      <c r="N1781" s="1"/>
      <c r="O1781" s="1"/>
      <c r="P1781" s="1"/>
      <c r="Q1781" s="1"/>
      <c r="R1781" s="1"/>
    </row>
    <row r="1782" spans="2:18">
      <c r="B1782" s="1"/>
      <c r="C1782" s="9"/>
      <c r="D1782" s="9"/>
      <c r="E1782" s="9"/>
      <c r="F1782" s="1"/>
      <c r="G1782" s="1"/>
      <c r="H1782" s="19"/>
      <c r="I1782" s="1"/>
      <c r="J1782" s="1"/>
      <c r="K1782" s="19"/>
      <c r="L1782" s="1"/>
      <c r="M1782" s="9"/>
      <c r="N1782" s="1"/>
      <c r="O1782" s="1"/>
      <c r="P1782" s="1"/>
      <c r="Q1782" s="1"/>
      <c r="R1782" s="1"/>
    </row>
    <row r="1783" spans="2:18">
      <c r="B1783" s="1"/>
      <c r="C1783" s="9"/>
      <c r="D1783" s="9"/>
      <c r="E1783" s="9"/>
      <c r="F1783" s="1"/>
      <c r="G1783" s="1"/>
      <c r="H1783" s="19"/>
      <c r="I1783" s="1"/>
      <c r="J1783" s="1"/>
      <c r="K1783" s="19"/>
      <c r="L1783" s="1"/>
      <c r="M1783" s="9"/>
      <c r="N1783" s="1"/>
      <c r="O1783" s="1"/>
      <c r="P1783" s="1"/>
      <c r="Q1783" s="1"/>
      <c r="R1783" s="1"/>
    </row>
    <row r="1784" spans="2:18">
      <c r="B1784" s="1"/>
      <c r="C1784" s="9"/>
      <c r="D1784" s="9"/>
      <c r="E1784" s="9"/>
      <c r="F1784" s="1"/>
      <c r="G1784" s="1"/>
      <c r="H1784" s="19"/>
      <c r="I1784" s="1"/>
      <c r="J1784" s="1"/>
      <c r="K1784" s="19"/>
      <c r="L1784" s="1"/>
      <c r="M1784" s="9"/>
      <c r="N1784" s="1"/>
      <c r="O1784" s="1"/>
      <c r="P1784" s="1"/>
      <c r="Q1784" s="1"/>
      <c r="R1784" s="1"/>
    </row>
    <row r="1785" spans="2:18">
      <c r="B1785" s="1"/>
      <c r="C1785" s="9"/>
      <c r="D1785" s="9"/>
      <c r="E1785" s="9"/>
      <c r="F1785" s="1"/>
      <c r="G1785" s="1"/>
      <c r="H1785" s="19"/>
      <c r="I1785" s="1"/>
      <c r="J1785" s="1"/>
      <c r="K1785" s="19"/>
      <c r="L1785" s="1"/>
      <c r="M1785" s="9"/>
      <c r="N1785" s="1"/>
      <c r="O1785" s="1"/>
      <c r="P1785" s="1"/>
      <c r="Q1785" s="1"/>
      <c r="R1785" s="1"/>
    </row>
    <row r="1786" spans="2:18">
      <c r="B1786" s="1"/>
      <c r="C1786" s="9"/>
      <c r="D1786" s="9"/>
      <c r="E1786" s="9"/>
      <c r="F1786" s="1"/>
      <c r="G1786" s="1"/>
      <c r="H1786" s="19"/>
      <c r="I1786" s="1"/>
      <c r="J1786" s="1"/>
      <c r="K1786" s="19"/>
      <c r="L1786" s="1"/>
      <c r="M1786" s="9"/>
      <c r="N1786" s="1"/>
      <c r="O1786" s="1"/>
      <c r="P1786" s="1"/>
      <c r="Q1786" s="1"/>
      <c r="R1786" s="1"/>
    </row>
    <row r="1787" spans="2:18">
      <c r="B1787" s="1"/>
      <c r="C1787" s="9"/>
      <c r="D1787" s="9"/>
      <c r="E1787" s="9"/>
      <c r="F1787" s="1"/>
      <c r="G1787" s="1"/>
      <c r="H1787" s="19"/>
      <c r="I1787" s="1"/>
      <c r="J1787" s="1"/>
      <c r="K1787" s="19"/>
      <c r="L1787" s="1"/>
      <c r="M1787" s="9"/>
      <c r="N1787" s="1"/>
      <c r="O1787" s="1"/>
      <c r="P1787" s="1"/>
      <c r="Q1787" s="1"/>
      <c r="R1787" s="1"/>
    </row>
    <row r="1788" spans="2:18">
      <c r="B1788" s="1"/>
      <c r="C1788" s="9"/>
      <c r="D1788" s="9"/>
      <c r="E1788" s="9"/>
      <c r="F1788" s="1"/>
      <c r="G1788" s="1"/>
      <c r="H1788" s="19"/>
      <c r="I1788" s="1"/>
      <c r="J1788" s="1"/>
      <c r="K1788" s="19"/>
      <c r="L1788" s="1"/>
      <c r="M1788" s="9"/>
      <c r="N1788" s="1"/>
      <c r="O1788" s="1"/>
      <c r="P1788" s="1"/>
      <c r="Q1788" s="1"/>
      <c r="R1788" s="1"/>
    </row>
    <row r="1789" spans="2:18">
      <c r="B1789" s="1"/>
      <c r="C1789" s="9"/>
      <c r="D1789" s="9"/>
      <c r="E1789" s="9"/>
      <c r="F1789" s="1"/>
      <c r="G1789" s="1"/>
      <c r="H1789" s="19"/>
      <c r="I1789" s="1"/>
      <c r="J1789" s="1"/>
      <c r="K1789" s="19"/>
      <c r="L1789" s="1"/>
      <c r="M1789" s="9"/>
      <c r="N1789" s="1"/>
      <c r="O1789" s="1"/>
      <c r="P1789" s="1"/>
      <c r="Q1789" s="1"/>
      <c r="R1789" s="1"/>
    </row>
    <row r="1790" spans="2:18">
      <c r="B1790" s="1"/>
      <c r="C1790" s="9"/>
      <c r="D1790" s="9"/>
      <c r="E1790" s="9"/>
      <c r="F1790" s="1"/>
      <c r="G1790" s="1"/>
      <c r="H1790" s="19"/>
      <c r="I1790" s="1"/>
      <c r="J1790" s="1"/>
      <c r="K1790" s="19"/>
      <c r="L1790" s="1"/>
      <c r="M1790" s="9"/>
      <c r="N1790" s="1"/>
      <c r="O1790" s="1"/>
      <c r="P1790" s="1"/>
      <c r="Q1790" s="1"/>
      <c r="R1790" s="1"/>
    </row>
    <row r="1791" spans="2:18">
      <c r="B1791" s="1"/>
      <c r="C1791" s="9"/>
      <c r="D1791" s="9"/>
      <c r="E1791" s="9"/>
      <c r="F1791" s="1"/>
      <c r="G1791" s="1"/>
      <c r="H1791" s="19"/>
      <c r="I1791" s="1"/>
      <c r="J1791" s="1"/>
      <c r="K1791" s="19"/>
      <c r="L1791" s="1"/>
      <c r="M1791" s="9"/>
      <c r="N1791" s="1"/>
      <c r="O1791" s="1"/>
      <c r="P1791" s="1"/>
      <c r="Q1791" s="1"/>
      <c r="R1791" s="1"/>
    </row>
    <row r="1792" spans="2:18">
      <c r="B1792" s="1"/>
      <c r="C1792" s="9"/>
      <c r="D1792" s="9"/>
      <c r="E1792" s="9"/>
      <c r="F1792" s="1"/>
      <c r="G1792" s="1"/>
      <c r="H1792" s="19"/>
      <c r="I1792" s="1"/>
      <c r="J1792" s="1"/>
      <c r="K1792" s="19"/>
      <c r="L1792" s="1"/>
      <c r="M1792" s="9"/>
      <c r="N1792" s="1"/>
      <c r="O1792" s="1"/>
      <c r="P1792" s="1"/>
      <c r="Q1792" s="1"/>
      <c r="R1792" s="1"/>
    </row>
    <row r="1793" spans="2:18">
      <c r="B1793" s="1"/>
      <c r="C1793" s="9"/>
      <c r="D1793" s="9"/>
      <c r="E1793" s="9"/>
      <c r="F1793" s="1"/>
      <c r="G1793" s="1"/>
      <c r="H1793" s="19"/>
      <c r="I1793" s="1"/>
      <c r="J1793" s="1"/>
      <c r="K1793" s="19"/>
      <c r="L1793" s="1"/>
      <c r="M1793" s="9"/>
      <c r="N1793" s="1"/>
      <c r="O1793" s="1"/>
      <c r="P1793" s="1"/>
      <c r="Q1793" s="1"/>
      <c r="R1793" s="1"/>
    </row>
    <row r="1794" spans="2:18">
      <c r="B1794" s="1"/>
      <c r="C1794" s="9"/>
      <c r="D1794" s="9"/>
      <c r="E1794" s="9"/>
      <c r="F1794" s="1"/>
      <c r="G1794" s="1"/>
      <c r="H1794" s="19"/>
      <c r="I1794" s="1"/>
      <c r="J1794" s="1"/>
      <c r="K1794" s="19"/>
      <c r="L1794" s="1"/>
      <c r="M1794" s="9"/>
      <c r="N1794" s="1"/>
      <c r="O1794" s="1"/>
      <c r="P1794" s="1"/>
      <c r="Q1794" s="1"/>
      <c r="R1794" s="1"/>
    </row>
    <row r="1795" spans="2:18">
      <c r="B1795" s="1"/>
      <c r="C1795" s="9"/>
      <c r="D1795" s="9"/>
      <c r="E1795" s="9"/>
      <c r="F1795" s="1"/>
      <c r="G1795" s="1"/>
      <c r="H1795" s="19"/>
      <c r="I1795" s="1"/>
      <c r="J1795" s="1"/>
      <c r="K1795" s="19"/>
      <c r="L1795" s="1"/>
      <c r="M1795" s="9"/>
      <c r="N1795" s="1"/>
      <c r="O1795" s="1"/>
      <c r="P1795" s="1"/>
      <c r="Q1795" s="1"/>
      <c r="R1795" s="1"/>
    </row>
    <row r="1796" spans="2:18">
      <c r="B1796" s="1"/>
      <c r="C1796" s="9"/>
      <c r="D1796" s="9"/>
      <c r="E1796" s="9"/>
      <c r="F1796" s="1"/>
      <c r="G1796" s="1"/>
      <c r="H1796" s="19"/>
      <c r="I1796" s="1"/>
      <c r="J1796" s="1"/>
      <c r="K1796" s="19"/>
      <c r="L1796" s="1"/>
      <c r="M1796" s="9"/>
      <c r="N1796" s="1"/>
      <c r="O1796" s="1"/>
      <c r="P1796" s="1"/>
      <c r="Q1796" s="1"/>
      <c r="R1796" s="1"/>
    </row>
    <row r="1797" spans="2:18">
      <c r="B1797" s="1"/>
      <c r="C1797" s="9"/>
      <c r="D1797" s="9"/>
      <c r="E1797" s="9"/>
      <c r="F1797" s="1"/>
      <c r="G1797" s="1"/>
      <c r="H1797" s="19"/>
      <c r="I1797" s="1"/>
      <c r="J1797" s="1"/>
      <c r="K1797" s="19"/>
      <c r="L1797" s="1"/>
      <c r="M1797" s="9"/>
      <c r="N1797" s="1"/>
      <c r="O1797" s="1"/>
      <c r="P1797" s="1"/>
      <c r="Q1797" s="1"/>
      <c r="R1797" s="1"/>
    </row>
    <row r="1798" spans="2:18">
      <c r="B1798" s="1"/>
      <c r="C1798" s="9"/>
      <c r="D1798" s="9"/>
      <c r="E1798" s="9"/>
      <c r="F1798" s="1"/>
      <c r="G1798" s="1"/>
      <c r="H1798" s="19"/>
      <c r="I1798" s="1"/>
      <c r="J1798" s="1"/>
      <c r="K1798" s="19"/>
      <c r="L1798" s="1"/>
      <c r="M1798" s="9"/>
      <c r="N1798" s="1"/>
      <c r="O1798" s="1"/>
      <c r="P1798" s="1"/>
      <c r="Q1798" s="1"/>
      <c r="R1798" s="1"/>
    </row>
    <row r="1799" spans="2:18">
      <c r="B1799" s="1"/>
      <c r="C1799" s="9"/>
      <c r="D1799" s="9"/>
      <c r="E1799" s="9"/>
      <c r="F1799" s="1"/>
      <c r="G1799" s="1"/>
      <c r="H1799" s="19"/>
      <c r="I1799" s="1"/>
      <c r="J1799" s="1"/>
      <c r="K1799" s="19"/>
      <c r="L1799" s="1"/>
      <c r="M1799" s="9"/>
      <c r="N1799" s="1"/>
      <c r="O1799" s="1"/>
      <c r="P1799" s="1"/>
      <c r="Q1799" s="1"/>
      <c r="R1799" s="1"/>
    </row>
    <row r="1800" spans="2:18">
      <c r="B1800" s="1"/>
      <c r="C1800" s="9"/>
      <c r="D1800" s="9"/>
      <c r="E1800" s="9"/>
      <c r="F1800" s="1"/>
      <c r="G1800" s="1"/>
      <c r="H1800" s="19"/>
      <c r="I1800" s="1"/>
      <c r="J1800" s="1"/>
      <c r="K1800" s="19"/>
      <c r="L1800" s="1"/>
      <c r="M1800" s="9"/>
      <c r="N1800" s="1"/>
      <c r="O1800" s="1"/>
      <c r="P1800" s="1"/>
      <c r="Q1800" s="1"/>
      <c r="R1800" s="1"/>
    </row>
    <row r="1801" spans="2:18">
      <c r="B1801" s="1"/>
      <c r="C1801" s="9"/>
      <c r="D1801" s="9"/>
      <c r="E1801" s="9"/>
      <c r="F1801" s="1"/>
      <c r="G1801" s="1"/>
      <c r="H1801" s="19"/>
      <c r="I1801" s="1"/>
      <c r="J1801" s="1"/>
      <c r="K1801" s="19"/>
      <c r="L1801" s="1"/>
      <c r="M1801" s="9"/>
      <c r="N1801" s="1"/>
      <c r="O1801" s="1"/>
      <c r="P1801" s="1"/>
      <c r="Q1801" s="1"/>
      <c r="R1801" s="1"/>
    </row>
    <row r="1802" spans="2:18">
      <c r="B1802" s="1"/>
      <c r="C1802" s="9"/>
      <c r="D1802" s="9"/>
      <c r="E1802" s="9"/>
      <c r="F1802" s="1"/>
      <c r="G1802" s="1"/>
      <c r="H1802" s="19"/>
      <c r="I1802" s="1"/>
      <c r="J1802" s="1"/>
      <c r="K1802" s="19"/>
      <c r="L1802" s="1"/>
      <c r="M1802" s="9"/>
      <c r="N1802" s="1"/>
      <c r="O1802" s="1"/>
      <c r="P1802" s="1"/>
      <c r="Q1802" s="1"/>
      <c r="R1802" s="1"/>
    </row>
    <row r="1803" spans="2:18">
      <c r="B1803" s="1"/>
      <c r="C1803" s="9"/>
      <c r="D1803" s="9"/>
      <c r="E1803" s="9"/>
      <c r="F1803" s="1"/>
      <c r="G1803" s="1"/>
      <c r="H1803" s="19"/>
      <c r="I1803" s="1"/>
      <c r="J1803" s="1"/>
      <c r="K1803" s="19"/>
      <c r="L1803" s="1"/>
      <c r="M1803" s="9"/>
      <c r="N1803" s="1"/>
      <c r="O1803" s="1"/>
      <c r="P1803" s="1"/>
      <c r="Q1803" s="1"/>
      <c r="R1803" s="1"/>
    </row>
    <row r="1804" spans="2:18">
      <c r="B1804" s="1"/>
      <c r="C1804" s="9"/>
      <c r="D1804" s="9"/>
      <c r="E1804" s="9"/>
      <c r="F1804" s="1"/>
      <c r="G1804" s="1"/>
      <c r="H1804" s="19"/>
      <c r="I1804" s="1"/>
      <c r="J1804" s="1"/>
      <c r="K1804" s="19"/>
      <c r="L1804" s="1"/>
      <c r="M1804" s="9"/>
      <c r="N1804" s="1"/>
      <c r="O1804" s="1"/>
      <c r="P1804" s="1"/>
      <c r="Q1804" s="1"/>
      <c r="R1804" s="1"/>
    </row>
    <row r="1805" spans="2:18">
      <c r="B1805" s="1"/>
      <c r="C1805" s="9"/>
      <c r="D1805" s="9"/>
      <c r="E1805" s="9"/>
      <c r="F1805" s="1"/>
      <c r="G1805" s="1"/>
      <c r="H1805" s="19"/>
      <c r="I1805" s="1"/>
      <c r="J1805" s="1"/>
      <c r="K1805" s="19"/>
      <c r="L1805" s="1"/>
      <c r="M1805" s="9"/>
      <c r="N1805" s="1"/>
      <c r="O1805" s="1"/>
      <c r="P1805" s="1"/>
      <c r="Q1805" s="1"/>
      <c r="R1805" s="1"/>
    </row>
    <row r="1806" spans="2:18">
      <c r="B1806" s="1"/>
      <c r="C1806" s="9"/>
      <c r="D1806" s="9"/>
      <c r="E1806" s="9"/>
      <c r="F1806" s="1"/>
      <c r="G1806" s="1"/>
      <c r="H1806" s="19"/>
      <c r="I1806" s="1"/>
      <c r="J1806" s="1"/>
      <c r="K1806" s="19"/>
      <c r="L1806" s="1"/>
      <c r="M1806" s="9"/>
      <c r="N1806" s="1"/>
      <c r="O1806" s="1"/>
      <c r="P1806" s="1"/>
      <c r="Q1806" s="1"/>
      <c r="R1806" s="1"/>
    </row>
    <row r="1807" spans="2:18">
      <c r="B1807" s="1"/>
      <c r="C1807" s="9"/>
      <c r="D1807" s="9"/>
      <c r="E1807" s="9"/>
      <c r="F1807" s="1"/>
      <c r="G1807" s="1"/>
      <c r="H1807" s="19"/>
      <c r="I1807" s="1"/>
      <c r="J1807" s="1"/>
      <c r="K1807" s="19"/>
      <c r="L1807" s="1"/>
      <c r="M1807" s="9"/>
      <c r="N1807" s="1"/>
      <c r="O1807" s="1"/>
      <c r="P1807" s="1"/>
      <c r="Q1807" s="1"/>
      <c r="R1807" s="1"/>
    </row>
    <row r="1808" spans="2:18">
      <c r="B1808" s="1"/>
      <c r="C1808" s="9"/>
      <c r="D1808" s="9"/>
      <c r="E1808" s="9"/>
      <c r="F1808" s="1"/>
      <c r="G1808" s="1"/>
      <c r="H1808" s="19"/>
      <c r="I1808" s="1"/>
      <c r="J1808" s="1"/>
      <c r="K1808" s="19"/>
      <c r="L1808" s="1"/>
      <c r="M1808" s="9"/>
      <c r="N1808" s="1"/>
      <c r="O1808" s="1"/>
      <c r="P1808" s="1"/>
      <c r="Q1808" s="1"/>
      <c r="R1808" s="1"/>
    </row>
    <row r="1809" spans="2:18">
      <c r="B1809" s="1"/>
      <c r="C1809" s="9"/>
      <c r="D1809" s="9"/>
      <c r="E1809" s="9"/>
      <c r="F1809" s="1"/>
      <c r="G1809" s="1"/>
      <c r="H1809" s="19"/>
      <c r="I1809" s="1"/>
      <c r="J1809" s="1"/>
      <c r="K1809" s="19"/>
      <c r="L1809" s="1"/>
      <c r="M1809" s="9"/>
      <c r="N1809" s="1"/>
      <c r="O1809" s="1"/>
      <c r="P1809" s="1"/>
      <c r="Q1809" s="1"/>
      <c r="R1809" s="1"/>
    </row>
    <row r="1810" spans="2:18">
      <c r="B1810" s="1"/>
      <c r="C1810" s="9"/>
      <c r="D1810" s="9"/>
      <c r="E1810" s="9"/>
      <c r="F1810" s="1"/>
      <c r="G1810" s="1"/>
      <c r="H1810" s="19"/>
      <c r="I1810" s="1"/>
      <c r="J1810" s="1"/>
      <c r="K1810" s="19"/>
      <c r="L1810" s="1"/>
      <c r="M1810" s="9"/>
      <c r="N1810" s="1"/>
      <c r="O1810" s="1"/>
      <c r="P1810" s="1"/>
      <c r="Q1810" s="1"/>
      <c r="R1810" s="1"/>
    </row>
    <row r="1811" spans="2:18">
      <c r="B1811" s="1"/>
      <c r="C1811" s="9"/>
      <c r="D1811" s="9"/>
      <c r="E1811" s="9"/>
      <c r="F1811" s="1"/>
      <c r="G1811" s="1"/>
      <c r="H1811" s="19"/>
      <c r="I1811" s="1"/>
      <c r="J1811" s="1"/>
      <c r="K1811" s="19"/>
      <c r="L1811" s="1"/>
      <c r="M1811" s="9"/>
      <c r="N1811" s="1"/>
      <c r="O1811" s="1"/>
      <c r="P1811" s="1"/>
      <c r="Q1811" s="1"/>
      <c r="R1811" s="1"/>
    </row>
    <row r="1812" spans="2:18">
      <c r="B1812" s="1"/>
      <c r="C1812" s="9"/>
      <c r="D1812" s="9"/>
      <c r="E1812" s="9"/>
      <c r="F1812" s="1"/>
      <c r="G1812" s="1"/>
      <c r="H1812" s="19"/>
      <c r="I1812" s="1"/>
      <c r="J1812" s="1"/>
      <c r="K1812" s="19"/>
      <c r="L1812" s="1"/>
      <c r="M1812" s="9"/>
      <c r="N1812" s="1"/>
      <c r="O1812" s="1"/>
      <c r="P1812" s="1"/>
      <c r="Q1812" s="1"/>
      <c r="R1812" s="1"/>
    </row>
    <row r="1813" spans="2:18">
      <c r="B1813" s="1"/>
      <c r="C1813" s="9"/>
      <c r="D1813" s="9"/>
      <c r="E1813" s="9"/>
      <c r="F1813" s="1"/>
      <c r="G1813" s="1"/>
      <c r="H1813" s="19"/>
      <c r="I1813" s="1"/>
      <c r="J1813" s="1"/>
      <c r="K1813" s="19"/>
      <c r="L1813" s="1"/>
      <c r="M1813" s="9"/>
      <c r="N1813" s="1"/>
      <c r="O1813" s="1"/>
      <c r="P1813" s="1"/>
      <c r="Q1813" s="1"/>
      <c r="R1813" s="1"/>
    </row>
    <row r="1814" spans="2:18">
      <c r="B1814" s="1"/>
      <c r="C1814" s="9"/>
      <c r="D1814" s="9"/>
      <c r="E1814" s="9"/>
      <c r="F1814" s="1"/>
      <c r="G1814" s="1"/>
      <c r="H1814" s="19"/>
      <c r="I1814" s="1"/>
      <c r="J1814" s="1"/>
      <c r="K1814" s="19"/>
      <c r="L1814" s="1"/>
      <c r="M1814" s="9"/>
      <c r="N1814" s="1"/>
      <c r="O1814" s="1"/>
      <c r="P1814" s="1"/>
      <c r="Q1814" s="1"/>
      <c r="R1814" s="1"/>
    </row>
    <row r="1815" spans="2:18">
      <c r="B1815" s="1"/>
      <c r="C1815" s="9"/>
      <c r="D1815" s="9"/>
      <c r="E1815" s="9"/>
      <c r="F1815" s="1"/>
      <c r="G1815" s="1"/>
      <c r="H1815" s="19"/>
      <c r="I1815" s="1"/>
      <c r="J1815" s="1"/>
      <c r="K1815" s="19"/>
      <c r="L1815" s="1"/>
      <c r="M1815" s="9"/>
      <c r="N1815" s="1"/>
      <c r="O1815" s="1"/>
      <c r="P1815" s="1"/>
      <c r="Q1815" s="1"/>
      <c r="R1815" s="1"/>
    </row>
    <row r="1816" spans="2:18">
      <c r="B1816" s="1"/>
      <c r="C1816" s="9"/>
      <c r="D1816" s="9"/>
      <c r="E1816" s="9"/>
      <c r="F1816" s="1"/>
      <c r="G1816" s="1"/>
      <c r="H1816" s="19"/>
      <c r="I1816" s="1"/>
      <c r="J1816" s="1"/>
      <c r="K1816" s="19"/>
      <c r="L1816" s="1"/>
      <c r="M1816" s="9"/>
      <c r="N1816" s="1"/>
      <c r="O1816" s="1"/>
      <c r="P1816" s="1"/>
      <c r="Q1816" s="1"/>
      <c r="R1816" s="1"/>
    </row>
    <row r="1817" spans="2:18">
      <c r="B1817" s="1"/>
      <c r="C1817" s="9"/>
      <c r="D1817" s="9"/>
      <c r="E1817" s="9"/>
      <c r="F1817" s="1"/>
      <c r="G1817" s="1"/>
      <c r="H1817" s="19"/>
      <c r="I1817" s="1"/>
      <c r="J1817" s="1"/>
      <c r="K1817" s="19"/>
      <c r="L1817" s="1"/>
      <c r="M1817" s="9"/>
      <c r="N1817" s="1"/>
      <c r="O1817" s="1"/>
      <c r="P1817" s="1"/>
      <c r="Q1817" s="1"/>
      <c r="R1817" s="1"/>
    </row>
    <row r="1818" spans="2:18">
      <c r="B1818" s="1"/>
      <c r="C1818" s="9"/>
      <c r="D1818" s="9"/>
      <c r="E1818" s="9"/>
      <c r="F1818" s="1"/>
      <c r="G1818" s="1"/>
      <c r="H1818" s="19"/>
      <c r="I1818" s="1"/>
      <c r="J1818" s="1"/>
      <c r="K1818" s="19"/>
      <c r="L1818" s="1"/>
      <c r="M1818" s="9"/>
      <c r="N1818" s="1"/>
      <c r="O1818" s="1"/>
      <c r="P1818" s="1"/>
      <c r="Q1818" s="1"/>
      <c r="R1818" s="1"/>
    </row>
    <row r="1819" spans="2:18">
      <c r="B1819" s="1"/>
      <c r="C1819" s="9"/>
      <c r="D1819" s="9"/>
      <c r="E1819" s="9"/>
      <c r="F1819" s="1"/>
      <c r="G1819" s="1"/>
      <c r="H1819" s="19"/>
      <c r="I1819" s="1"/>
      <c r="J1819" s="1"/>
      <c r="K1819" s="19"/>
      <c r="L1819" s="1"/>
      <c r="M1819" s="9"/>
      <c r="N1819" s="1"/>
      <c r="O1819" s="1"/>
      <c r="P1819" s="1"/>
      <c r="Q1819" s="1"/>
      <c r="R1819" s="1"/>
    </row>
    <row r="1820" spans="2:18">
      <c r="B1820" s="1"/>
      <c r="C1820" s="9"/>
      <c r="D1820" s="9"/>
      <c r="E1820" s="9"/>
      <c r="F1820" s="1"/>
      <c r="G1820" s="1"/>
      <c r="H1820" s="19"/>
      <c r="I1820" s="1"/>
      <c r="J1820" s="1"/>
      <c r="K1820" s="19"/>
      <c r="L1820" s="1"/>
      <c r="M1820" s="9"/>
      <c r="N1820" s="1"/>
      <c r="O1820" s="1"/>
      <c r="P1820" s="1"/>
      <c r="Q1820" s="1"/>
      <c r="R1820" s="1"/>
    </row>
    <row r="1821" spans="2:18">
      <c r="B1821" s="1"/>
      <c r="C1821" s="9"/>
      <c r="D1821" s="9"/>
      <c r="E1821" s="9"/>
      <c r="F1821" s="1"/>
      <c r="G1821" s="1"/>
      <c r="H1821" s="19"/>
      <c r="I1821" s="1"/>
      <c r="J1821" s="1"/>
      <c r="K1821" s="19"/>
      <c r="L1821" s="1"/>
      <c r="M1821" s="9"/>
      <c r="N1821" s="1"/>
      <c r="O1821" s="1"/>
      <c r="P1821" s="1"/>
      <c r="Q1821" s="1"/>
      <c r="R1821" s="1"/>
    </row>
    <row r="1822" spans="2:18">
      <c r="B1822" s="1"/>
      <c r="C1822" s="9"/>
      <c r="D1822" s="9"/>
      <c r="E1822" s="9"/>
      <c r="F1822" s="1"/>
      <c r="G1822" s="1"/>
      <c r="H1822" s="19"/>
      <c r="I1822" s="1"/>
      <c r="J1822" s="1"/>
      <c r="K1822" s="19"/>
      <c r="L1822" s="1"/>
      <c r="M1822" s="9"/>
      <c r="N1822" s="1"/>
      <c r="O1822" s="1"/>
      <c r="P1822" s="1"/>
      <c r="Q1822" s="1"/>
      <c r="R1822" s="1"/>
    </row>
    <row r="1823" spans="2:18">
      <c r="B1823" s="1"/>
      <c r="C1823" s="9"/>
      <c r="D1823" s="9"/>
      <c r="E1823" s="9"/>
      <c r="F1823" s="1"/>
      <c r="G1823" s="1"/>
      <c r="H1823" s="19"/>
      <c r="I1823" s="1"/>
      <c r="J1823" s="1"/>
      <c r="K1823" s="19"/>
      <c r="L1823" s="1"/>
      <c r="M1823" s="9"/>
      <c r="N1823" s="1"/>
      <c r="O1823" s="1"/>
      <c r="P1823" s="1"/>
      <c r="Q1823" s="1"/>
      <c r="R1823" s="1"/>
    </row>
    <row r="1824" spans="2:18">
      <c r="B1824" s="1"/>
      <c r="C1824" s="9"/>
      <c r="D1824" s="9"/>
      <c r="E1824" s="9"/>
      <c r="F1824" s="1"/>
      <c r="G1824" s="1"/>
      <c r="H1824" s="19"/>
      <c r="I1824" s="1"/>
      <c r="J1824" s="1"/>
      <c r="K1824" s="19"/>
      <c r="L1824" s="1"/>
      <c r="M1824" s="9"/>
      <c r="N1824" s="1"/>
      <c r="O1824" s="1"/>
      <c r="P1824" s="1"/>
      <c r="Q1824" s="1"/>
      <c r="R1824" s="1"/>
    </row>
    <row r="1825" spans="2:18">
      <c r="B1825" s="1"/>
      <c r="C1825" s="9"/>
      <c r="D1825" s="9"/>
      <c r="E1825" s="9"/>
      <c r="F1825" s="1"/>
      <c r="G1825" s="1"/>
      <c r="H1825" s="19"/>
      <c r="I1825" s="1"/>
      <c r="J1825" s="1"/>
      <c r="K1825" s="19"/>
      <c r="L1825" s="1"/>
      <c r="M1825" s="9"/>
      <c r="N1825" s="1"/>
      <c r="O1825" s="1"/>
      <c r="P1825" s="1"/>
      <c r="Q1825" s="1"/>
      <c r="R1825" s="1"/>
    </row>
    <row r="1826" spans="2:18">
      <c r="B1826" s="1"/>
      <c r="C1826" s="9"/>
      <c r="D1826" s="9"/>
      <c r="E1826" s="9"/>
      <c r="F1826" s="1"/>
      <c r="G1826" s="1"/>
      <c r="H1826" s="19"/>
      <c r="I1826" s="1"/>
      <c r="J1826" s="1"/>
      <c r="K1826" s="19"/>
      <c r="L1826" s="1"/>
      <c r="M1826" s="9"/>
      <c r="N1826" s="1"/>
      <c r="O1826" s="1"/>
      <c r="P1826" s="1"/>
      <c r="Q1826" s="1"/>
      <c r="R1826" s="1"/>
    </row>
    <row r="1827" spans="2:18">
      <c r="B1827" s="1"/>
      <c r="C1827" s="9"/>
      <c r="D1827" s="9"/>
      <c r="E1827" s="9"/>
      <c r="F1827" s="1"/>
      <c r="G1827" s="1"/>
      <c r="H1827" s="19"/>
      <c r="I1827" s="1"/>
      <c r="J1827" s="1"/>
      <c r="K1827" s="19"/>
      <c r="L1827" s="1"/>
      <c r="M1827" s="9"/>
      <c r="N1827" s="1"/>
      <c r="O1827" s="1"/>
      <c r="P1827" s="1"/>
      <c r="Q1827" s="1"/>
      <c r="R1827" s="1"/>
    </row>
    <row r="1828" spans="2:18">
      <c r="B1828" s="1"/>
      <c r="C1828" s="9"/>
      <c r="D1828" s="9"/>
      <c r="E1828" s="9"/>
      <c r="F1828" s="1"/>
      <c r="G1828" s="1"/>
      <c r="H1828" s="19"/>
      <c r="I1828" s="1"/>
      <c r="J1828" s="1"/>
      <c r="K1828" s="19"/>
      <c r="L1828" s="1"/>
      <c r="M1828" s="9"/>
      <c r="N1828" s="1"/>
      <c r="O1828" s="1"/>
      <c r="P1828" s="1"/>
      <c r="Q1828" s="1"/>
      <c r="R1828" s="1"/>
    </row>
    <row r="1829" spans="2:18">
      <c r="B1829" s="1"/>
      <c r="C1829" s="9"/>
      <c r="D1829" s="9"/>
      <c r="E1829" s="9"/>
      <c r="F1829" s="1"/>
      <c r="G1829" s="1"/>
      <c r="H1829" s="19"/>
      <c r="I1829" s="1"/>
      <c r="J1829" s="1"/>
      <c r="K1829" s="19"/>
      <c r="L1829" s="1"/>
      <c r="M1829" s="9"/>
      <c r="N1829" s="1"/>
      <c r="O1829" s="1"/>
      <c r="P1829" s="1"/>
      <c r="Q1829" s="1"/>
      <c r="R1829" s="1"/>
    </row>
    <row r="1830" spans="2:18">
      <c r="B1830" s="1"/>
      <c r="C1830" s="9"/>
      <c r="D1830" s="9"/>
      <c r="E1830" s="9"/>
      <c r="F1830" s="1"/>
      <c r="G1830" s="1"/>
      <c r="H1830" s="19"/>
      <c r="I1830" s="1"/>
      <c r="J1830" s="1"/>
      <c r="K1830" s="19"/>
      <c r="L1830" s="1"/>
      <c r="M1830" s="9"/>
      <c r="N1830" s="1"/>
      <c r="O1830" s="1"/>
      <c r="P1830" s="1"/>
      <c r="Q1830" s="1"/>
      <c r="R1830" s="1"/>
    </row>
    <row r="1831" spans="2:18">
      <c r="B1831" s="1"/>
      <c r="C1831" s="9"/>
      <c r="D1831" s="9"/>
      <c r="E1831" s="9"/>
      <c r="F1831" s="1"/>
      <c r="G1831" s="1"/>
      <c r="H1831" s="19"/>
      <c r="I1831" s="1"/>
      <c r="J1831" s="1"/>
      <c r="K1831" s="19"/>
      <c r="L1831" s="1"/>
      <c r="M1831" s="9"/>
      <c r="N1831" s="1"/>
      <c r="O1831" s="1"/>
      <c r="P1831" s="1"/>
      <c r="Q1831" s="1"/>
      <c r="R1831" s="1"/>
    </row>
    <row r="1832" spans="2:18">
      <c r="B1832" s="1"/>
      <c r="C1832" s="9"/>
      <c r="D1832" s="9"/>
      <c r="E1832" s="9"/>
      <c r="F1832" s="1"/>
      <c r="G1832" s="1"/>
      <c r="H1832" s="19"/>
      <c r="I1832" s="1"/>
      <c r="J1832" s="1"/>
      <c r="K1832" s="19"/>
      <c r="L1832" s="1"/>
      <c r="M1832" s="9"/>
      <c r="N1832" s="1"/>
      <c r="O1832" s="1"/>
      <c r="P1832" s="1"/>
      <c r="Q1832" s="1"/>
      <c r="R1832" s="1"/>
    </row>
    <row r="1833" spans="2:18">
      <c r="B1833" s="1"/>
      <c r="C1833" s="9"/>
      <c r="D1833" s="9"/>
      <c r="E1833" s="9"/>
      <c r="F1833" s="1"/>
      <c r="G1833" s="1"/>
      <c r="H1833" s="19"/>
      <c r="I1833" s="1"/>
      <c r="J1833" s="1"/>
      <c r="K1833" s="19"/>
      <c r="L1833" s="1"/>
      <c r="M1833" s="9"/>
      <c r="N1833" s="1"/>
      <c r="O1833" s="1"/>
      <c r="P1833" s="1"/>
      <c r="Q1833" s="1"/>
      <c r="R1833" s="1"/>
    </row>
    <row r="1834" spans="2:18">
      <c r="B1834" s="1"/>
      <c r="C1834" s="9"/>
      <c r="D1834" s="9"/>
      <c r="E1834" s="9"/>
      <c r="F1834" s="1"/>
      <c r="G1834" s="1"/>
      <c r="H1834" s="19"/>
      <c r="I1834" s="1"/>
      <c r="J1834" s="1"/>
      <c r="K1834" s="19"/>
      <c r="L1834" s="1"/>
      <c r="M1834" s="9"/>
      <c r="N1834" s="1"/>
      <c r="O1834" s="1"/>
      <c r="P1834" s="1"/>
      <c r="Q1834" s="1"/>
      <c r="R1834" s="1"/>
    </row>
    <row r="1835" spans="2:18">
      <c r="B1835" s="1"/>
      <c r="C1835" s="9"/>
      <c r="D1835" s="9"/>
      <c r="E1835" s="9"/>
      <c r="F1835" s="1"/>
      <c r="G1835" s="1"/>
      <c r="H1835" s="19"/>
      <c r="I1835" s="1"/>
      <c r="J1835" s="1"/>
      <c r="K1835" s="19"/>
      <c r="L1835" s="1"/>
      <c r="M1835" s="9"/>
      <c r="N1835" s="1"/>
      <c r="O1835" s="1"/>
      <c r="P1835" s="1"/>
      <c r="Q1835" s="1"/>
      <c r="R1835" s="1"/>
    </row>
    <row r="1836" spans="2:18">
      <c r="B1836" s="1"/>
      <c r="C1836" s="9"/>
      <c r="D1836" s="9"/>
      <c r="E1836" s="9"/>
      <c r="F1836" s="1"/>
      <c r="G1836" s="1"/>
      <c r="H1836" s="19"/>
      <c r="I1836" s="1"/>
      <c r="J1836" s="1"/>
      <c r="K1836" s="19"/>
      <c r="L1836" s="1"/>
      <c r="M1836" s="9"/>
      <c r="N1836" s="1"/>
      <c r="O1836" s="1"/>
      <c r="P1836" s="1"/>
      <c r="Q1836" s="1"/>
      <c r="R1836" s="1"/>
    </row>
    <row r="1837" spans="2:18">
      <c r="B1837" s="1"/>
      <c r="C1837" s="9"/>
      <c r="D1837" s="9"/>
      <c r="E1837" s="9"/>
      <c r="F1837" s="1"/>
      <c r="G1837" s="1"/>
      <c r="H1837" s="19"/>
      <c r="I1837" s="1"/>
      <c r="J1837" s="1"/>
      <c r="K1837" s="19"/>
      <c r="L1837" s="1"/>
      <c r="M1837" s="9"/>
      <c r="N1837" s="1"/>
      <c r="O1837" s="1"/>
      <c r="P1837" s="1"/>
      <c r="Q1837" s="1"/>
      <c r="R1837" s="1"/>
    </row>
    <row r="1838" spans="2:18">
      <c r="B1838" s="1"/>
      <c r="C1838" s="9"/>
      <c r="D1838" s="9"/>
      <c r="E1838" s="9"/>
      <c r="F1838" s="1"/>
      <c r="G1838" s="1"/>
      <c r="H1838" s="19"/>
      <c r="I1838" s="1"/>
      <c r="J1838" s="1"/>
      <c r="K1838" s="19"/>
      <c r="L1838" s="1"/>
      <c r="M1838" s="9"/>
      <c r="N1838" s="1"/>
      <c r="O1838" s="1"/>
      <c r="P1838" s="1"/>
      <c r="Q1838" s="1"/>
      <c r="R1838" s="1"/>
    </row>
    <row r="1839" spans="2:18">
      <c r="B1839" s="1"/>
      <c r="C1839" s="9"/>
      <c r="D1839" s="9"/>
      <c r="E1839" s="9"/>
      <c r="F1839" s="1"/>
      <c r="G1839" s="1"/>
      <c r="H1839" s="19"/>
      <c r="I1839" s="1"/>
      <c r="J1839" s="1"/>
      <c r="K1839" s="19"/>
      <c r="L1839" s="1"/>
      <c r="M1839" s="9"/>
      <c r="N1839" s="1"/>
      <c r="O1839" s="1"/>
      <c r="P1839" s="1"/>
      <c r="Q1839" s="1"/>
      <c r="R1839" s="1"/>
    </row>
    <row r="1840" spans="2:18">
      <c r="B1840" s="1"/>
      <c r="C1840" s="9"/>
      <c r="D1840" s="9"/>
      <c r="E1840" s="9"/>
      <c r="F1840" s="1"/>
      <c r="G1840" s="1"/>
      <c r="H1840" s="19"/>
      <c r="I1840" s="1"/>
      <c r="J1840" s="1"/>
      <c r="K1840" s="19"/>
      <c r="L1840" s="1"/>
      <c r="M1840" s="9"/>
      <c r="N1840" s="1"/>
      <c r="O1840" s="1"/>
      <c r="P1840" s="1"/>
      <c r="Q1840" s="1"/>
      <c r="R1840" s="1"/>
    </row>
    <row r="1841" spans="2:18">
      <c r="B1841" s="1"/>
      <c r="C1841" s="9"/>
      <c r="D1841" s="9"/>
      <c r="E1841" s="9"/>
      <c r="F1841" s="1"/>
      <c r="G1841" s="1"/>
      <c r="H1841" s="19"/>
      <c r="I1841" s="1"/>
      <c r="J1841" s="1"/>
      <c r="K1841" s="19"/>
      <c r="L1841" s="1"/>
      <c r="M1841" s="9"/>
      <c r="N1841" s="1"/>
      <c r="O1841" s="1"/>
      <c r="P1841" s="1"/>
      <c r="Q1841" s="1"/>
      <c r="R1841" s="1"/>
    </row>
    <row r="1842" spans="2:18">
      <c r="B1842" s="1"/>
      <c r="C1842" s="9"/>
      <c r="D1842" s="9"/>
      <c r="E1842" s="9"/>
      <c r="F1842" s="1"/>
      <c r="G1842" s="1"/>
      <c r="H1842" s="19"/>
      <c r="I1842" s="1"/>
      <c r="J1842" s="1"/>
      <c r="K1842" s="19"/>
      <c r="L1842" s="1"/>
      <c r="M1842" s="9"/>
      <c r="N1842" s="1"/>
      <c r="O1842" s="1"/>
      <c r="P1842" s="1"/>
      <c r="Q1842" s="1"/>
      <c r="R1842" s="1"/>
    </row>
    <row r="1843" spans="2:18">
      <c r="B1843" s="1"/>
      <c r="C1843" s="9"/>
      <c r="D1843" s="9"/>
      <c r="E1843" s="9"/>
      <c r="F1843" s="1"/>
      <c r="G1843" s="1"/>
      <c r="H1843" s="19"/>
      <c r="I1843" s="1"/>
      <c r="J1843" s="1"/>
      <c r="K1843" s="19"/>
      <c r="L1843" s="1"/>
      <c r="M1843" s="9"/>
      <c r="N1843" s="1"/>
      <c r="O1843" s="1"/>
      <c r="P1843" s="1"/>
      <c r="Q1843" s="1"/>
      <c r="R1843" s="1"/>
    </row>
    <row r="1844" spans="2:18">
      <c r="B1844" s="1"/>
      <c r="C1844" s="9"/>
      <c r="D1844" s="9"/>
      <c r="E1844" s="9"/>
      <c r="F1844" s="1"/>
      <c r="G1844" s="1"/>
      <c r="H1844" s="19"/>
      <c r="I1844" s="1"/>
      <c r="J1844" s="1"/>
      <c r="K1844" s="19"/>
      <c r="L1844" s="1"/>
      <c r="M1844" s="9"/>
      <c r="N1844" s="1"/>
      <c r="O1844" s="1"/>
      <c r="P1844" s="1"/>
      <c r="Q1844" s="1"/>
      <c r="R1844" s="1"/>
    </row>
    <row r="1845" spans="2:18">
      <c r="B1845" s="1"/>
      <c r="C1845" s="9"/>
      <c r="D1845" s="9"/>
      <c r="E1845" s="9"/>
      <c r="F1845" s="1"/>
      <c r="G1845" s="1"/>
      <c r="H1845" s="19"/>
      <c r="I1845" s="1"/>
      <c r="J1845" s="1"/>
      <c r="K1845" s="19"/>
      <c r="L1845" s="1"/>
      <c r="M1845" s="9"/>
      <c r="N1845" s="1"/>
      <c r="O1845" s="1"/>
      <c r="P1845" s="1"/>
      <c r="Q1845" s="1"/>
      <c r="R1845" s="1"/>
    </row>
    <row r="1846" spans="2:18">
      <c r="B1846" s="1"/>
      <c r="C1846" s="9"/>
      <c r="D1846" s="9"/>
      <c r="E1846" s="9"/>
      <c r="F1846" s="1"/>
      <c r="G1846" s="1"/>
      <c r="H1846" s="19"/>
      <c r="I1846" s="1"/>
      <c r="J1846" s="1"/>
      <c r="K1846" s="19"/>
      <c r="L1846" s="1"/>
      <c r="M1846" s="9"/>
      <c r="N1846" s="1"/>
      <c r="O1846" s="1"/>
      <c r="P1846" s="1"/>
      <c r="Q1846" s="1"/>
      <c r="R1846" s="1"/>
    </row>
    <row r="1847" spans="2:18">
      <c r="B1847" s="1"/>
      <c r="C1847" s="9"/>
      <c r="D1847" s="9"/>
      <c r="E1847" s="9"/>
      <c r="F1847" s="1"/>
      <c r="G1847" s="1"/>
      <c r="H1847" s="19"/>
      <c r="I1847" s="1"/>
      <c r="J1847" s="1"/>
      <c r="K1847" s="19"/>
      <c r="L1847" s="1"/>
      <c r="M1847" s="9"/>
      <c r="N1847" s="1"/>
      <c r="O1847" s="1"/>
      <c r="P1847" s="1"/>
      <c r="Q1847" s="1"/>
      <c r="R1847" s="1"/>
    </row>
    <row r="1848" spans="2:18">
      <c r="B1848" s="1"/>
      <c r="C1848" s="9"/>
      <c r="D1848" s="9"/>
      <c r="E1848" s="9"/>
      <c r="F1848" s="1"/>
      <c r="G1848" s="1"/>
      <c r="H1848" s="19"/>
      <c r="I1848" s="1"/>
      <c r="J1848" s="1"/>
      <c r="K1848" s="19"/>
      <c r="L1848" s="1"/>
      <c r="M1848" s="9"/>
      <c r="N1848" s="1"/>
      <c r="O1848" s="1"/>
      <c r="P1848" s="1"/>
      <c r="Q1848" s="1"/>
      <c r="R1848" s="1"/>
    </row>
    <row r="1849" spans="2:18">
      <c r="B1849" s="1"/>
      <c r="C1849" s="9"/>
      <c r="D1849" s="9"/>
      <c r="E1849" s="9"/>
      <c r="F1849" s="1"/>
      <c r="G1849" s="1"/>
      <c r="H1849" s="19"/>
      <c r="I1849" s="1"/>
      <c r="J1849" s="1"/>
      <c r="K1849" s="19"/>
      <c r="L1849" s="1"/>
      <c r="M1849" s="9"/>
      <c r="N1849" s="1"/>
      <c r="O1849" s="1"/>
      <c r="P1849" s="1"/>
      <c r="Q1849" s="1"/>
      <c r="R1849" s="1"/>
    </row>
    <row r="1850" spans="2:18">
      <c r="B1850" s="1"/>
      <c r="C1850" s="9"/>
      <c r="D1850" s="9"/>
      <c r="E1850" s="9"/>
      <c r="F1850" s="1"/>
      <c r="G1850" s="1"/>
      <c r="H1850" s="19"/>
      <c r="I1850" s="1"/>
      <c r="J1850" s="1"/>
      <c r="K1850" s="19"/>
      <c r="L1850" s="1"/>
      <c r="M1850" s="9"/>
      <c r="N1850" s="1"/>
      <c r="O1850" s="1"/>
      <c r="P1850" s="1"/>
      <c r="Q1850" s="1"/>
      <c r="R1850" s="1"/>
    </row>
    <row r="1851" spans="2:18">
      <c r="B1851" s="1"/>
      <c r="C1851" s="9"/>
      <c r="D1851" s="9"/>
      <c r="E1851" s="9"/>
      <c r="F1851" s="1"/>
      <c r="G1851" s="1"/>
      <c r="H1851" s="19"/>
      <c r="I1851" s="1"/>
      <c r="J1851" s="1"/>
      <c r="K1851" s="19"/>
      <c r="L1851" s="1"/>
      <c r="M1851" s="9"/>
      <c r="N1851" s="1"/>
      <c r="O1851" s="1"/>
      <c r="P1851" s="1"/>
      <c r="Q1851" s="1"/>
      <c r="R1851" s="1"/>
    </row>
    <row r="1852" spans="2:18">
      <c r="B1852" s="1"/>
      <c r="C1852" s="9"/>
      <c r="D1852" s="9"/>
      <c r="E1852" s="9"/>
      <c r="F1852" s="1"/>
      <c r="G1852" s="1"/>
      <c r="H1852" s="19"/>
      <c r="I1852" s="1"/>
      <c r="J1852" s="1"/>
      <c r="K1852" s="19"/>
      <c r="L1852" s="1"/>
      <c r="M1852" s="9"/>
      <c r="N1852" s="1"/>
      <c r="O1852" s="1"/>
      <c r="P1852" s="1"/>
      <c r="Q1852" s="1"/>
      <c r="R1852" s="1"/>
    </row>
    <row r="1853" spans="2:18">
      <c r="B1853" s="1"/>
      <c r="C1853" s="9"/>
      <c r="D1853" s="9"/>
      <c r="E1853" s="9"/>
      <c r="F1853" s="1"/>
      <c r="G1853" s="1"/>
      <c r="H1853" s="19"/>
      <c r="I1853" s="1"/>
      <c r="J1853" s="1"/>
      <c r="K1853" s="19"/>
      <c r="L1853" s="1"/>
      <c r="M1853" s="9"/>
      <c r="N1853" s="1"/>
      <c r="O1853" s="1"/>
      <c r="P1853" s="1"/>
      <c r="Q1853" s="1"/>
      <c r="R1853" s="1"/>
    </row>
    <row r="1854" spans="2:18">
      <c r="B1854" s="1"/>
      <c r="C1854" s="9"/>
      <c r="D1854" s="9"/>
      <c r="E1854" s="9"/>
      <c r="F1854" s="1"/>
      <c r="G1854" s="1"/>
      <c r="H1854" s="19"/>
      <c r="I1854" s="1"/>
      <c r="J1854" s="1"/>
      <c r="K1854" s="19"/>
      <c r="L1854" s="1"/>
      <c r="M1854" s="9"/>
      <c r="N1854" s="1"/>
      <c r="O1854" s="1"/>
      <c r="P1854" s="1"/>
      <c r="Q1854" s="1"/>
      <c r="R1854" s="1"/>
    </row>
    <row r="1855" spans="2:18">
      <c r="B1855" s="1"/>
      <c r="C1855" s="9"/>
      <c r="D1855" s="9"/>
      <c r="E1855" s="9"/>
      <c r="F1855" s="1"/>
      <c r="G1855" s="1"/>
      <c r="H1855" s="19"/>
      <c r="I1855" s="1"/>
      <c r="J1855" s="1"/>
      <c r="K1855" s="19"/>
      <c r="L1855" s="1"/>
      <c r="M1855" s="9"/>
      <c r="N1855" s="1"/>
      <c r="O1855" s="1"/>
      <c r="P1855" s="1"/>
      <c r="Q1855" s="1"/>
      <c r="R1855" s="1"/>
    </row>
    <row r="1856" spans="2:18">
      <c r="B1856" s="1"/>
      <c r="C1856" s="9"/>
      <c r="D1856" s="9"/>
      <c r="E1856" s="9"/>
      <c r="F1856" s="1"/>
      <c r="G1856" s="1"/>
      <c r="H1856" s="19"/>
      <c r="I1856" s="1"/>
      <c r="J1856" s="1"/>
      <c r="K1856" s="19"/>
      <c r="L1856" s="1"/>
      <c r="M1856" s="9"/>
      <c r="N1856" s="1"/>
      <c r="O1856" s="1"/>
      <c r="P1856" s="1"/>
      <c r="Q1856" s="1"/>
      <c r="R1856" s="1"/>
    </row>
    <row r="1857" spans="2:18">
      <c r="B1857" s="1"/>
      <c r="C1857" s="9"/>
      <c r="D1857" s="9"/>
      <c r="E1857" s="9"/>
      <c r="F1857" s="1"/>
      <c r="G1857" s="1"/>
      <c r="H1857" s="19"/>
      <c r="I1857" s="1"/>
      <c r="J1857" s="1"/>
      <c r="K1857" s="19"/>
      <c r="L1857" s="1"/>
      <c r="M1857" s="9"/>
      <c r="N1857" s="1"/>
      <c r="O1857" s="1"/>
      <c r="P1857" s="1"/>
      <c r="Q1857" s="1"/>
      <c r="R1857" s="1"/>
    </row>
    <row r="1858" spans="2:18">
      <c r="B1858" s="1"/>
      <c r="C1858" s="9"/>
      <c r="D1858" s="9"/>
      <c r="E1858" s="9"/>
      <c r="F1858" s="1"/>
      <c r="G1858" s="1"/>
      <c r="H1858" s="19"/>
      <c r="I1858" s="1"/>
      <c r="J1858" s="1"/>
      <c r="K1858" s="19"/>
      <c r="L1858" s="1"/>
      <c r="M1858" s="9"/>
      <c r="N1858" s="1"/>
      <c r="O1858" s="1"/>
      <c r="P1858" s="1"/>
      <c r="Q1858" s="1"/>
      <c r="R1858" s="1"/>
    </row>
    <row r="1859" spans="2:18">
      <c r="B1859" s="1"/>
      <c r="C1859" s="9"/>
      <c r="D1859" s="9"/>
      <c r="E1859" s="9"/>
      <c r="F1859" s="1"/>
      <c r="G1859" s="1"/>
      <c r="H1859" s="19"/>
      <c r="I1859" s="1"/>
      <c r="J1859" s="1"/>
      <c r="K1859" s="19"/>
      <c r="L1859" s="1"/>
      <c r="M1859" s="9"/>
      <c r="N1859" s="1"/>
      <c r="O1859" s="1"/>
      <c r="P1859" s="1"/>
      <c r="Q1859" s="1"/>
      <c r="R1859" s="1"/>
    </row>
    <row r="1860" spans="2:18">
      <c r="B1860" s="1"/>
      <c r="C1860" s="9"/>
      <c r="D1860" s="9"/>
      <c r="E1860" s="9"/>
      <c r="F1860" s="1"/>
      <c r="G1860" s="1"/>
      <c r="H1860" s="19"/>
      <c r="I1860" s="1"/>
      <c r="J1860" s="1"/>
      <c r="K1860" s="19"/>
      <c r="L1860" s="1"/>
      <c r="M1860" s="9"/>
      <c r="N1860" s="1"/>
      <c r="O1860" s="1"/>
      <c r="P1860" s="1"/>
      <c r="Q1860" s="1"/>
      <c r="R1860" s="1"/>
    </row>
    <row r="1861" spans="2:18">
      <c r="B1861" s="1"/>
      <c r="C1861" s="9"/>
      <c r="D1861" s="9"/>
      <c r="E1861" s="9"/>
      <c r="F1861" s="1"/>
      <c r="G1861" s="1"/>
      <c r="H1861" s="19"/>
      <c r="I1861" s="1"/>
      <c r="J1861" s="1"/>
      <c r="K1861" s="19"/>
      <c r="L1861" s="1"/>
      <c r="M1861" s="9"/>
      <c r="N1861" s="1"/>
      <c r="O1861" s="1"/>
      <c r="P1861" s="1"/>
      <c r="Q1861" s="1"/>
      <c r="R1861" s="1"/>
    </row>
    <row r="1862" spans="2:18">
      <c r="B1862" s="1"/>
      <c r="C1862" s="9"/>
      <c r="D1862" s="9"/>
      <c r="E1862" s="9"/>
      <c r="F1862" s="1"/>
      <c r="G1862" s="1"/>
      <c r="H1862" s="19"/>
      <c r="I1862" s="1"/>
      <c r="J1862" s="1"/>
      <c r="K1862" s="19"/>
      <c r="L1862" s="1"/>
      <c r="M1862" s="9"/>
      <c r="N1862" s="1"/>
      <c r="O1862" s="1"/>
      <c r="P1862" s="1"/>
      <c r="Q1862" s="1"/>
      <c r="R1862" s="1"/>
    </row>
    <row r="1863" spans="2:18">
      <c r="B1863" s="1"/>
      <c r="C1863" s="9"/>
      <c r="D1863" s="9"/>
      <c r="E1863" s="9"/>
      <c r="F1863" s="1"/>
      <c r="G1863" s="1"/>
      <c r="H1863" s="19"/>
      <c r="I1863" s="1"/>
      <c r="J1863" s="1"/>
      <c r="K1863" s="19"/>
      <c r="L1863" s="1"/>
      <c r="M1863" s="9"/>
      <c r="N1863" s="1"/>
      <c r="O1863" s="1"/>
      <c r="P1863" s="1"/>
      <c r="Q1863" s="1"/>
      <c r="R1863" s="1"/>
    </row>
    <row r="1864" spans="2:18">
      <c r="B1864" s="1"/>
      <c r="C1864" s="9"/>
      <c r="D1864" s="9"/>
      <c r="E1864" s="9"/>
      <c r="F1864" s="1"/>
      <c r="G1864" s="1"/>
      <c r="H1864" s="19"/>
      <c r="I1864" s="1"/>
      <c r="J1864" s="1"/>
      <c r="K1864" s="19"/>
      <c r="L1864" s="1"/>
      <c r="M1864" s="9"/>
      <c r="N1864" s="1"/>
      <c r="O1864" s="1"/>
      <c r="P1864" s="1"/>
      <c r="Q1864" s="1"/>
      <c r="R1864" s="1"/>
    </row>
    <row r="1865" spans="2:18">
      <c r="B1865" s="1"/>
      <c r="C1865" s="9"/>
      <c r="D1865" s="9"/>
      <c r="E1865" s="9"/>
      <c r="F1865" s="1"/>
      <c r="G1865" s="1"/>
      <c r="H1865" s="19"/>
      <c r="I1865" s="1"/>
      <c r="J1865" s="1"/>
      <c r="K1865" s="19"/>
      <c r="L1865" s="1"/>
      <c r="M1865" s="9"/>
      <c r="N1865" s="1"/>
      <c r="O1865" s="1"/>
      <c r="P1865" s="1"/>
      <c r="Q1865" s="1"/>
      <c r="R1865" s="1"/>
    </row>
    <row r="1866" spans="2:18">
      <c r="B1866" s="1"/>
      <c r="C1866" s="9"/>
      <c r="D1866" s="9"/>
      <c r="E1866" s="9"/>
      <c r="F1866" s="1"/>
      <c r="G1866" s="1"/>
      <c r="H1866" s="19"/>
      <c r="I1866" s="1"/>
      <c r="J1866" s="1"/>
      <c r="K1866" s="19"/>
      <c r="L1866" s="1"/>
      <c r="M1866" s="9"/>
      <c r="N1866" s="1"/>
      <c r="O1866" s="1"/>
      <c r="P1866" s="1"/>
      <c r="Q1866" s="1"/>
      <c r="R1866" s="1"/>
    </row>
    <row r="1867" spans="2:18">
      <c r="B1867" s="1"/>
      <c r="C1867" s="9"/>
      <c r="D1867" s="9"/>
      <c r="E1867" s="9"/>
      <c r="F1867" s="1"/>
      <c r="G1867" s="1"/>
      <c r="H1867" s="19"/>
      <c r="I1867" s="1"/>
      <c r="J1867" s="1"/>
      <c r="K1867" s="19"/>
      <c r="L1867" s="1"/>
      <c r="M1867" s="9"/>
      <c r="N1867" s="1"/>
      <c r="O1867" s="1"/>
      <c r="P1867" s="1"/>
      <c r="Q1867" s="1"/>
      <c r="R1867" s="1"/>
    </row>
    <row r="1868" spans="2:18">
      <c r="B1868" s="1"/>
      <c r="C1868" s="9"/>
      <c r="D1868" s="9"/>
      <c r="E1868" s="9"/>
      <c r="F1868" s="1"/>
      <c r="G1868" s="1"/>
      <c r="H1868" s="19"/>
      <c r="I1868" s="1"/>
      <c r="J1868" s="1"/>
      <c r="K1868" s="19"/>
      <c r="L1868" s="1"/>
      <c r="M1868" s="9"/>
      <c r="N1868" s="1"/>
      <c r="O1868" s="1"/>
      <c r="P1868" s="1"/>
      <c r="Q1868" s="1"/>
      <c r="R1868" s="1"/>
    </row>
    <row r="1869" spans="2:18">
      <c r="B1869" s="1"/>
      <c r="C1869" s="9"/>
      <c r="D1869" s="9"/>
      <c r="E1869" s="9"/>
      <c r="F1869" s="1"/>
      <c r="G1869" s="1"/>
      <c r="H1869" s="19"/>
      <c r="I1869" s="1"/>
      <c r="J1869" s="1"/>
      <c r="K1869" s="19"/>
      <c r="L1869" s="1"/>
      <c r="M1869" s="9"/>
      <c r="N1869" s="1"/>
      <c r="O1869" s="1"/>
      <c r="P1869" s="1"/>
      <c r="Q1869" s="1"/>
      <c r="R1869" s="1"/>
    </row>
    <row r="1870" spans="2:18">
      <c r="B1870" s="1"/>
      <c r="C1870" s="9"/>
      <c r="D1870" s="9"/>
      <c r="E1870" s="9"/>
      <c r="F1870" s="1"/>
      <c r="G1870" s="1"/>
      <c r="H1870" s="19"/>
      <c r="I1870" s="1"/>
      <c r="J1870" s="1"/>
      <c r="K1870" s="19"/>
      <c r="L1870" s="1"/>
      <c r="M1870" s="9"/>
      <c r="N1870" s="1"/>
      <c r="O1870" s="1"/>
      <c r="P1870" s="1"/>
      <c r="Q1870" s="1"/>
      <c r="R1870" s="1"/>
    </row>
    <row r="1871" spans="2:18">
      <c r="B1871" s="1"/>
      <c r="C1871" s="9"/>
      <c r="D1871" s="9"/>
      <c r="E1871" s="9"/>
      <c r="F1871" s="1"/>
      <c r="G1871" s="1"/>
      <c r="H1871" s="19"/>
      <c r="I1871" s="1"/>
      <c r="J1871" s="1"/>
      <c r="K1871" s="19"/>
      <c r="L1871" s="1"/>
      <c r="M1871" s="9"/>
      <c r="N1871" s="1"/>
      <c r="O1871" s="1"/>
      <c r="P1871" s="1"/>
      <c r="Q1871" s="1"/>
      <c r="R1871" s="1"/>
    </row>
    <row r="1872" spans="2:18">
      <c r="B1872" s="1"/>
      <c r="C1872" s="9"/>
      <c r="D1872" s="9"/>
      <c r="E1872" s="9"/>
      <c r="F1872" s="1"/>
      <c r="G1872" s="1"/>
      <c r="H1872" s="19"/>
      <c r="I1872" s="1"/>
      <c r="J1872" s="1"/>
      <c r="K1872" s="19"/>
      <c r="L1872" s="1"/>
      <c r="M1872" s="9"/>
      <c r="N1872" s="1"/>
      <c r="O1872" s="1"/>
      <c r="P1872" s="1"/>
      <c r="Q1872" s="1"/>
      <c r="R1872" s="1"/>
    </row>
    <row r="1873" spans="2:18">
      <c r="B1873" s="1"/>
      <c r="C1873" s="9"/>
      <c r="D1873" s="9"/>
      <c r="E1873" s="9"/>
      <c r="F1873" s="1"/>
      <c r="G1873" s="1"/>
      <c r="H1873" s="19"/>
      <c r="I1873" s="1"/>
      <c r="J1873" s="1"/>
      <c r="K1873" s="19"/>
      <c r="L1873" s="1"/>
      <c r="M1873" s="9"/>
      <c r="N1873" s="1"/>
      <c r="O1873" s="1"/>
      <c r="P1873" s="1"/>
      <c r="Q1873" s="1"/>
      <c r="R1873" s="1"/>
    </row>
    <row r="1874" spans="2:18">
      <c r="B1874" s="1"/>
      <c r="C1874" s="9"/>
      <c r="D1874" s="9"/>
      <c r="E1874" s="9"/>
      <c r="F1874" s="1"/>
      <c r="G1874" s="1"/>
      <c r="H1874" s="19"/>
      <c r="I1874" s="1"/>
      <c r="J1874" s="1"/>
      <c r="K1874" s="19"/>
      <c r="L1874" s="1"/>
      <c r="M1874" s="9"/>
      <c r="N1874" s="1"/>
      <c r="O1874" s="1"/>
      <c r="P1874" s="1"/>
      <c r="Q1874" s="1"/>
      <c r="R1874" s="1"/>
    </row>
    <row r="1875" spans="2:18">
      <c r="B1875" s="1"/>
      <c r="C1875" s="9"/>
      <c r="D1875" s="9"/>
      <c r="E1875" s="9"/>
      <c r="F1875" s="1"/>
      <c r="G1875" s="1"/>
      <c r="H1875" s="19"/>
      <c r="I1875" s="1"/>
      <c r="J1875" s="1"/>
      <c r="K1875" s="19"/>
      <c r="L1875" s="1"/>
      <c r="M1875" s="9"/>
      <c r="N1875" s="1"/>
      <c r="O1875" s="1"/>
      <c r="P1875" s="1"/>
      <c r="Q1875" s="1"/>
      <c r="R1875" s="1"/>
    </row>
    <row r="1876" spans="2:18">
      <c r="B1876" s="1"/>
      <c r="C1876" s="9"/>
      <c r="D1876" s="9"/>
      <c r="E1876" s="9"/>
      <c r="F1876" s="1"/>
      <c r="G1876" s="1"/>
      <c r="H1876" s="19"/>
      <c r="I1876" s="1"/>
      <c r="J1876" s="1"/>
      <c r="K1876" s="19"/>
      <c r="L1876" s="1"/>
      <c r="M1876" s="9"/>
      <c r="N1876" s="1"/>
      <c r="O1876" s="1"/>
      <c r="P1876" s="1"/>
      <c r="Q1876" s="1"/>
      <c r="R1876" s="1"/>
    </row>
    <row r="1877" spans="2:18">
      <c r="B1877" s="1"/>
      <c r="C1877" s="9"/>
      <c r="D1877" s="9"/>
      <c r="E1877" s="9"/>
      <c r="F1877" s="1"/>
      <c r="G1877" s="1"/>
      <c r="H1877" s="19"/>
      <c r="I1877" s="1"/>
      <c r="J1877" s="1"/>
      <c r="K1877" s="19"/>
      <c r="L1877" s="1"/>
      <c r="M1877" s="9"/>
      <c r="N1877" s="1"/>
      <c r="O1877" s="1"/>
      <c r="P1877" s="1"/>
      <c r="Q1877" s="1"/>
      <c r="R1877" s="1"/>
    </row>
    <row r="1878" spans="2:18">
      <c r="B1878" s="1"/>
      <c r="C1878" s="9"/>
      <c r="D1878" s="9"/>
      <c r="E1878" s="9"/>
      <c r="F1878" s="1"/>
      <c r="G1878" s="1"/>
      <c r="H1878" s="19"/>
      <c r="I1878" s="1"/>
      <c r="J1878" s="1"/>
      <c r="K1878" s="19"/>
      <c r="L1878" s="1"/>
      <c r="M1878" s="9"/>
      <c r="N1878" s="1"/>
      <c r="O1878" s="1"/>
      <c r="P1878" s="1"/>
      <c r="Q1878" s="1"/>
      <c r="R1878" s="1"/>
    </row>
    <row r="1879" spans="2:18">
      <c r="B1879" s="1"/>
      <c r="C1879" s="9"/>
      <c r="D1879" s="9"/>
      <c r="E1879" s="9"/>
      <c r="F1879" s="1"/>
      <c r="G1879" s="1"/>
      <c r="H1879" s="19"/>
      <c r="I1879" s="1"/>
      <c r="J1879" s="1"/>
      <c r="K1879" s="19"/>
      <c r="L1879" s="1"/>
      <c r="M1879" s="9"/>
      <c r="N1879" s="1"/>
      <c r="O1879" s="1"/>
      <c r="P1879" s="1"/>
      <c r="Q1879" s="1"/>
      <c r="R1879" s="1"/>
    </row>
    <row r="1880" spans="2:18">
      <c r="B1880" s="1"/>
      <c r="C1880" s="9"/>
      <c r="D1880" s="9"/>
      <c r="E1880" s="9"/>
      <c r="F1880" s="1"/>
      <c r="G1880" s="1"/>
      <c r="H1880" s="19"/>
      <c r="I1880" s="1"/>
      <c r="J1880" s="1"/>
      <c r="K1880" s="19"/>
      <c r="L1880" s="1"/>
      <c r="M1880" s="9"/>
      <c r="N1880" s="1"/>
      <c r="O1880" s="1"/>
      <c r="P1880" s="1"/>
      <c r="Q1880" s="1"/>
      <c r="R1880" s="1"/>
    </row>
    <row r="1881" spans="2:18">
      <c r="B1881" s="1"/>
      <c r="C1881" s="9"/>
      <c r="D1881" s="9"/>
      <c r="E1881" s="9"/>
      <c r="F1881" s="1"/>
      <c r="G1881" s="1"/>
      <c r="H1881" s="19"/>
      <c r="I1881" s="1"/>
      <c r="J1881" s="1"/>
      <c r="K1881" s="19"/>
      <c r="L1881" s="1"/>
      <c r="M1881" s="9"/>
      <c r="N1881" s="1"/>
      <c r="O1881" s="1"/>
      <c r="P1881" s="1"/>
      <c r="Q1881" s="1"/>
      <c r="R1881" s="1"/>
    </row>
    <row r="1882" spans="2:18">
      <c r="B1882" s="1"/>
      <c r="C1882" s="9"/>
      <c r="D1882" s="9"/>
      <c r="E1882" s="9"/>
      <c r="F1882" s="1"/>
      <c r="G1882" s="1"/>
      <c r="H1882" s="19"/>
      <c r="I1882" s="1"/>
      <c r="J1882" s="1"/>
      <c r="K1882" s="19"/>
      <c r="L1882" s="1"/>
      <c r="M1882" s="9"/>
      <c r="N1882" s="1"/>
      <c r="O1882" s="1"/>
      <c r="P1882" s="1"/>
      <c r="Q1882" s="1"/>
      <c r="R1882" s="1"/>
    </row>
    <row r="1883" spans="2:18">
      <c r="B1883" s="1"/>
      <c r="C1883" s="9"/>
      <c r="D1883" s="9"/>
      <c r="E1883" s="9"/>
      <c r="F1883" s="1"/>
      <c r="G1883" s="1"/>
      <c r="H1883" s="19"/>
      <c r="I1883" s="1"/>
      <c r="J1883" s="1"/>
      <c r="K1883" s="19"/>
      <c r="L1883" s="1"/>
      <c r="M1883" s="9"/>
      <c r="N1883" s="1"/>
      <c r="O1883" s="1"/>
      <c r="P1883" s="1"/>
      <c r="Q1883" s="1"/>
      <c r="R1883" s="1"/>
    </row>
    <row r="1884" spans="2:18">
      <c r="B1884" s="1"/>
      <c r="C1884" s="9"/>
      <c r="D1884" s="9"/>
      <c r="E1884" s="9"/>
      <c r="F1884" s="1"/>
      <c r="G1884" s="1"/>
      <c r="H1884" s="19"/>
      <c r="I1884" s="1"/>
      <c r="J1884" s="1"/>
      <c r="K1884" s="19"/>
      <c r="L1884" s="1"/>
      <c r="M1884" s="9"/>
      <c r="N1884" s="1"/>
      <c r="O1884" s="1"/>
      <c r="P1884" s="1"/>
      <c r="Q1884" s="1"/>
      <c r="R1884" s="1"/>
    </row>
    <row r="1885" spans="2:18">
      <c r="B1885" s="1"/>
      <c r="C1885" s="9"/>
      <c r="D1885" s="9"/>
      <c r="E1885" s="9"/>
      <c r="F1885" s="1"/>
      <c r="G1885" s="1"/>
      <c r="H1885" s="19"/>
      <c r="I1885" s="1"/>
      <c r="J1885" s="1"/>
      <c r="K1885" s="19"/>
      <c r="L1885" s="1"/>
      <c r="M1885" s="9"/>
      <c r="N1885" s="1"/>
      <c r="O1885" s="1"/>
      <c r="P1885" s="1"/>
      <c r="Q1885" s="1"/>
      <c r="R1885" s="1"/>
    </row>
    <row r="1886" spans="2:18">
      <c r="B1886" s="1"/>
      <c r="C1886" s="9"/>
      <c r="D1886" s="9"/>
      <c r="E1886" s="9"/>
      <c r="F1886" s="1"/>
      <c r="G1886" s="1"/>
      <c r="H1886" s="19"/>
      <c r="I1886" s="1"/>
      <c r="J1886" s="1"/>
      <c r="K1886" s="19"/>
      <c r="L1886" s="1"/>
      <c r="M1886" s="9"/>
      <c r="N1886" s="1"/>
      <c r="O1886" s="1"/>
      <c r="P1886" s="1"/>
      <c r="Q1886" s="1"/>
      <c r="R1886" s="1"/>
    </row>
    <row r="1887" spans="2:18">
      <c r="B1887" s="1"/>
      <c r="C1887" s="9"/>
      <c r="D1887" s="9"/>
      <c r="E1887" s="9"/>
      <c r="F1887" s="1"/>
      <c r="G1887" s="1"/>
      <c r="H1887" s="19"/>
      <c r="I1887" s="1"/>
      <c r="J1887" s="1"/>
      <c r="K1887" s="19"/>
      <c r="L1887" s="1"/>
      <c r="M1887" s="9"/>
      <c r="N1887" s="1"/>
      <c r="O1887" s="1"/>
      <c r="P1887" s="1"/>
      <c r="Q1887" s="1"/>
      <c r="R1887" s="1"/>
    </row>
    <row r="1888" spans="2:18">
      <c r="B1888" s="1"/>
      <c r="C1888" s="9"/>
      <c r="D1888" s="9"/>
      <c r="E1888" s="9"/>
      <c r="F1888" s="1"/>
      <c r="G1888" s="1"/>
      <c r="H1888" s="19"/>
      <c r="I1888" s="1"/>
      <c r="J1888" s="1"/>
      <c r="K1888" s="19"/>
      <c r="L1888" s="1"/>
      <c r="M1888" s="9"/>
      <c r="N1888" s="1"/>
      <c r="O1888" s="1"/>
      <c r="P1888" s="1"/>
      <c r="Q1888" s="1"/>
      <c r="R1888" s="1"/>
    </row>
    <row r="1889" spans="2:18">
      <c r="B1889" s="1"/>
      <c r="C1889" s="9"/>
      <c r="D1889" s="9"/>
      <c r="E1889" s="9"/>
      <c r="F1889" s="1"/>
      <c r="G1889" s="1"/>
      <c r="H1889" s="19"/>
      <c r="I1889" s="1"/>
      <c r="J1889" s="1"/>
      <c r="K1889" s="19"/>
      <c r="L1889" s="1"/>
      <c r="M1889" s="9"/>
      <c r="N1889" s="1"/>
      <c r="O1889" s="1"/>
      <c r="P1889" s="1"/>
      <c r="Q1889" s="1"/>
      <c r="R1889" s="1"/>
    </row>
    <row r="1890" spans="2:18">
      <c r="B1890" s="1"/>
      <c r="C1890" s="9"/>
      <c r="D1890" s="9"/>
      <c r="E1890" s="9"/>
      <c r="F1890" s="1"/>
      <c r="G1890" s="1"/>
      <c r="H1890" s="19"/>
      <c r="I1890" s="1"/>
      <c r="J1890" s="1"/>
      <c r="K1890" s="19"/>
      <c r="L1890" s="1"/>
      <c r="M1890" s="9"/>
      <c r="N1890" s="1"/>
      <c r="O1890" s="1"/>
      <c r="P1890" s="1"/>
      <c r="Q1890" s="1"/>
      <c r="R1890" s="1"/>
    </row>
    <row r="1891" spans="2:18">
      <c r="B1891" s="1"/>
      <c r="C1891" s="9"/>
      <c r="D1891" s="9"/>
      <c r="E1891" s="9"/>
      <c r="F1891" s="1"/>
      <c r="G1891" s="1"/>
      <c r="H1891" s="19"/>
      <c r="I1891" s="1"/>
      <c r="J1891" s="1"/>
      <c r="K1891" s="19"/>
      <c r="L1891" s="1"/>
      <c r="M1891" s="9"/>
      <c r="N1891" s="1"/>
      <c r="O1891" s="1"/>
      <c r="P1891" s="1"/>
      <c r="Q1891" s="1"/>
      <c r="R1891" s="1"/>
    </row>
    <row r="1892" spans="2:18">
      <c r="B1892" s="1"/>
      <c r="C1892" s="9"/>
      <c r="D1892" s="9"/>
      <c r="E1892" s="9"/>
      <c r="F1892" s="1"/>
      <c r="G1892" s="1"/>
      <c r="H1892" s="19"/>
      <c r="I1892" s="1"/>
      <c r="J1892" s="1"/>
      <c r="K1892" s="19"/>
      <c r="L1892" s="1"/>
      <c r="M1892" s="9"/>
      <c r="N1892" s="1"/>
      <c r="O1892" s="1"/>
      <c r="P1892" s="1"/>
      <c r="Q1892" s="1"/>
      <c r="R1892" s="1"/>
    </row>
    <row r="1893" spans="2:18">
      <c r="B1893" s="1"/>
      <c r="C1893" s="9"/>
      <c r="D1893" s="9"/>
      <c r="E1893" s="9"/>
      <c r="F1893" s="1"/>
      <c r="G1893" s="1"/>
      <c r="H1893" s="19"/>
      <c r="I1893" s="1"/>
      <c r="J1893" s="1"/>
      <c r="K1893" s="19"/>
      <c r="L1893" s="1"/>
      <c r="M1893" s="9"/>
      <c r="N1893" s="1"/>
      <c r="O1893" s="1"/>
      <c r="P1893" s="1"/>
      <c r="Q1893" s="1"/>
      <c r="R1893" s="1"/>
    </row>
    <row r="1894" spans="2:18">
      <c r="B1894" s="1"/>
      <c r="C1894" s="9"/>
      <c r="D1894" s="9"/>
      <c r="E1894" s="9"/>
      <c r="F1894" s="1"/>
      <c r="G1894" s="1"/>
      <c r="H1894" s="19"/>
      <c r="I1894" s="1"/>
      <c r="J1894" s="1"/>
      <c r="K1894" s="19"/>
      <c r="L1894" s="1"/>
      <c r="M1894" s="9"/>
      <c r="N1894" s="1"/>
      <c r="O1894" s="1"/>
      <c r="P1894" s="1"/>
      <c r="Q1894" s="1"/>
      <c r="R1894" s="1"/>
    </row>
    <row r="1895" spans="2:18">
      <c r="B1895" s="1"/>
      <c r="C1895" s="9"/>
      <c r="D1895" s="9"/>
      <c r="E1895" s="9"/>
      <c r="F1895" s="1"/>
      <c r="G1895" s="1"/>
      <c r="H1895" s="19"/>
      <c r="I1895" s="1"/>
      <c r="J1895" s="1"/>
      <c r="K1895" s="19"/>
      <c r="L1895" s="1"/>
      <c r="M1895" s="9"/>
      <c r="N1895" s="1"/>
      <c r="O1895" s="1"/>
      <c r="P1895" s="1"/>
      <c r="Q1895" s="1"/>
      <c r="R1895" s="1"/>
    </row>
    <row r="1896" spans="2:18">
      <c r="B1896" s="1"/>
      <c r="C1896" s="9"/>
      <c r="D1896" s="9"/>
      <c r="E1896" s="9"/>
      <c r="F1896" s="1"/>
      <c r="G1896" s="1"/>
      <c r="H1896" s="19"/>
      <c r="I1896" s="1"/>
      <c r="J1896" s="1"/>
      <c r="K1896" s="19"/>
      <c r="L1896" s="1"/>
      <c r="M1896" s="9"/>
      <c r="N1896" s="1"/>
      <c r="O1896" s="1"/>
      <c r="P1896" s="1"/>
      <c r="Q1896" s="1"/>
      <c r="R1896" s="1"/>
    </row>
    <row r="1897" spans="2:18">
      <c r="B1897" s="1"/>
      <c r="C1897" s="9"/>
      <c r="D1897" s="9"/>
      <c r="E1897" s="9"/>
      <c r="F1897" s="1"/>
      <c r="G1897" s="1"/>
      <c r="H1897" s="19"/>
      <c r="I1897" s="1"/>
      <c r="J1897" s="1"/>
      <c r="K1897" s="19"/>
      <c r="L1897" s="1"/>
      <c r="M1897" s="9"/>
      <c r="N1897" s="1"/>
      <c r="O1897" s="1"/>
      <c r="P1897" s="1"/>
      <c r="Q1897" s="1"/>
      <c r="R1897" s="1"/>
    </row>
    <row r="1898" spans="2:18">
      <c r="B1898" s="1"/>
      <c r="C1898" s="9"/>
      <c r="D1898" s="9"/>
      <c r="E1898" s="9"/>
      <c r="F1898" s="1"/>
      <c r="G1898" s="1"/>
      <c r="H1898" s="19"/>
      <c r="I1898" s="1"/>
      <c r="J1898" s="1"/>
      <c r="K1898" s="19"/>
      <c r="L1898" s="1"/>
      <c r="M1898" s="9"/>
      <c r="N1898" s="1"/>
      <c r="O1898" s="1"/>
      <c r="P1898" s="1"/>
      <c r="Q1898" s="1"/>
      <c r="R1898" s="1"/>
    </row>
    <row r="1899" spans="2:18">
      <c r="B1899" s="1"/>
      <c r="C1899" s="9"/>
      <c r="D1899" s="9"/>
      <c r="E1899" s="9"/>
      <c r="F1899" s="1"/>
      <c r="G1899" s="1"/>
      <c r="H1899" s="19"/>
      <c r="I1899" s="1"/>
      <c r="J1899" s="1"/>
      <c r="K1899" s="19"/>
      <c r="L1899" s="1"/>
      <c r="M1899" s="9"/>
      <c r="N1899" s="1"/>
      <c r="O1899" s="1"/>
      <c r="P1899" s="1"/>
      <c r="Q1899" s="1"/>
      <c r="R1899" s="1"/>
    </row>
    <row r="1900" spans="2:18">
      <c r="B1900" s="1"/>
      <c r="C1900" s="9"/>
      <c r="D1900" s="9"/>
      <c r="E1900" s="9"/>
      <c r="F1900" s="1"/>
      <c r="G1900" s="1"/>
      <c r="H1900" s="19"/>
      <c r="I1900" s="1"/>
      <c r="J1900" s="1"/>
      <c r="K1900" s="19"/>
      <c r="L1900" s="1"/>
      <c r="M1900" s="9"/>
      <c r="N1900" s="1"/>
      <c r="O1900" s="1"/>
      <c r="P1900" s="1"/>
      <c r="Q1900" s="1"/>
      <c r="R1900" s="1"/>
    </row>
    <row r="1901" spans="2:18">
      <c r="B1901" s="1"/>
      <c r="C1901" s="9"/>
      <c r="D1901" s="9"/>
      <c r="E1901" s="9"/>
      <c r="F1901" s="1"/>
      <c r="G1901" s="1"/>
      <c r="H1901" s="19"/>
      <c r="I1901" s="1"/>
      <c r="J1901" s="1"/>
      <c r="K1901" s="19"/>
      <c r="L1901" s="1"/>
      <c r="M1901" s="9"/>
      <c r="N1901" s="1"/>
      <c r="O1901" s="1"/>
      <c r="P1901" s="1"/>
      <c r="Q1901" s="1"/>
      <c r="R1901" s="1"/>
    </row>
    <row r="1902" spans="2:18">
      <c r="B1902" s="1"/>
      <c r="C1902" s="9"/>
      <c r="D1902" s="9"/>
      <c r="E1902" s="9"/>
      <c r="F1902" s="1"/>
      <c r="G1902" s="1"/>
      <c r="H1902" s="19"/>
      <c r="I1902" s="1"/>
      <c r="J1902" s="1"/>
      <c r="K1902" s="19"/>
      <c r="L1902" s="1"/>
      <c r="M1902" s="9"/>
      <c r="N1902" s="1"/>
      <c r="O1902" s="1"/>
      <c r="P1902" s="1"/>
      <c r="Q1902" s="1"/>
      <c r="R1902" s="1"/>
    </row>
    <row r="1903" spans="2:18">
      <c r="B1903" s="1"/>
      <c r="C1903" s="9"/>
      <c r="D1903" s="9"/>
      <c r="E1903" s="9"/>
      <c r="F1903" s="1"/>
      <c r="G1903" s="1"/>
      <c r="H1903" s="19"/>
      <c r="I1903" s="1"/>
      <c r="J1903" s="1"/>
      <c r="K1903" s="19"/>
      <c r="L1903" s="1"/>
      <c r="M1903" s="9"/>
      <c r="N1903" s="1"/>
      <c r="O1903" s="1"/>
      <c r="P1903" s="1"/>
      <c r="Q1903" s="1"/>
      <c r="R1903" s="1"/>
    </row>
    <row r="1904" spans="2:18">
      <c r="B1904" s="1"/>
      <c r="C1904" s="9"/>
      <c r="D1904" s="9"/>
      <c r="E1904" s="9"/>
      <c r="F1904" s="1"/>
      <c r="G1904" s="1"/>
      <c r="H1904" s="19"/>
      <c r="I1904" s="1"/>
      <c r="J1904" s="1"/>
      <c r="K1904" s="19"/>
      <c r="L1904" s="1"/>
      <c r="M1904" s="9"/>
      <c r="N1904" s="1"/>
      <c r="O1904" s="1"/>
      <c r="P1904" s="1"/>
      <c r="Q1904" s="1"/>
      <c r="R1904" s="1"/>
    </row>
    <row r="1905" spans="2:18">
      <c r="B1905" s="1"/>
      <c r="C1905" s="9"/>
      <c r="D1905" s="9"/>
      <c r="E1905" s="9"/>
      <c r="F1905" s="1"/>
      <c r="G1905" s="1"/>
      <c r="H1905" s="19"/>
      <c r="I1905" s="1"/>
      <c r="J1905" s="1"/>
      <c r="K1905" s="19"/>
      <c r="L1905" s="1"/>
      <c r="M1905" s="9"/>
      <c r="N1905" s="1"/>
      <c r="O1905" s="1"/>
      <c r="P1905" s="1"/>
      <c r="Q1905" s="1"/>
      <c r="R1905" s="1"/>
    </row>
    <row r="1906" spans="2:18">
      <c r="B1906" s="1"/>
      <c r="C1906" s="9"/>
      <c r="D1906" s="9"/>
      <c r="E1906" s="9"/>
      <c r="F1906" s="1"/>
      <c r="G1906" s="1"/>
      <c r="H1906" s="19"/>
      <c r="I1906" s="1"/>
      <c r="J1906" s="1"/>
      <c r="K1906" s="19"/>
      <c r="L1906" s="1"/>
      <c r="M1906" s="9"/>
      <c r="N1906" s="1"/>
      <c r="O1906" s="1"/>
      <c r="P1906" s="1"/>
      <c r="Q1906" s="1"/>
      <c r="R1906" s="1"/>
    </row>
    <row r="1907" spans="2:18">
      <c r="B1907" s="1"/>
      <c r="C1907" s="9"/>
      <c r="D1907" s="9"/>
      <c r="E1907" s="9"/>
      <c r="F1907" s="1"/>
      <c r="G1907" s="1"/>
      <c r="H1907" s="19"/>
      <c r="I1907" s="1"/>
      <c r="J1907" s="1"/>
      <c r="K1907" s="19"/>
      <c r="L1907" s="1"/>
      <c r="M1907" s="9"/>
      <c r="N1907" s="1"/>
      <c r="O1907" s="1"/>
      <c r="P1907" s="1"/>
      <c r="Q1907" s="1"/>
      <c r="R1907" s="1"/>
    </row>
    <row r="1908" spans="2:18">
      <c r="B1908" s="1"/>
      <c r="C1908" s="9"/>
      <c r="D1908" s="9"/>
      <c r="E1908" s="9"/>
      <c r="F1908" s="1"/>
      <c r="G1908" s="1"/>
      <c r="H1908" s="19"/>
      <c r="I1908" s="1"/>
      <c r="J1908" s="1"/>
      <c r="K1908" s="19"/>
      <c r="L1908" s="1"/>
      <c r="M1908" s="9"/>
      <c r="N1908" s="1"/>
      <c r="O1908" s="1"/>
      <c r="P1908" s="1"/>
      <c r="Q1908" s="1"/>
      <c r="R1908" s="1"/>
    </row>
    <row r="1909" spans="2:18">
      <c r="B1909" s="1"/>
      <c r="C1909" s="9"/>
      <c r="D1909" s="9"/>
      <c r="E1909" s="9"/>
      <c r="F1909" s="1"/>
      <c r="G1909" s="1"/>
      <c r="H1909" s="19"/>
      <c r="I1909" s="1"/>
      <c r="J1909" s="1"/>
      <c r="K1909" s="19"/>
      <c r="L1909" s="1"/>
      <c r="M1909" s="9"/>
      <c r="N1909" s="1"/>
      <c r="O1909" s="1"/>
      <c r="P1909" s="1"/>
      <c r="Q1909" s="1"/>
      <c r="R1909" s="1"/>
    </row>
    <row r="1910" spans="2:18">
      <c r="B1910" s="1"/>
      <c r="C1910" s="9"/>
      <c r="D1910" s="9"/>
      <c r="E1910" s="9"/>
      <c r="F1910" s="1"/>
      <c r="G1910" s="1"/>
      <c r="H1910" s="19"/>
      <c r="I1910" s="1"/>
      <c r="J1910" s="1"/>
      <c r="K1910" s="19"/>
      <c r="L1910" s="1"/>
      <c r="M1910" s="9"/>
      <c r="N1910" s="1"/>
      <c r="O1910" s="1"/>
      <c r="P1910" s="1"/>
      <c r="Q1910" s="1"/>
      <c r="R1910" s="1"/>
    </row>
    <row r="1911" spans="2:18">
      <c r="B1911" s="1"/>
      <c r="C1911" s="9"/>
      <c r="D1911" s="9"/>
      <c r="E1911" s="9"/>
      <c r="F1911" s="1"/>
      <c r="G1911" s="1"/>
      <c r="H1911" s="19"/>
      <c r="I1911" s="1"/>
      <c r="J1911" s="1"/>
      <c r="K1911" s="19"/>
      <c r="L1911" s="1"/>
      <c r="M1911" s="9"/>
      <c r="N1911" s="1"/>
      <c r="O1911" s="1"/>
      <c r="P1911" s="1"/>
      <c r="Q1911" s="1"/>
      <c r="R1911" s="1"/>
    </row>
    <row r="1912" spans="2:18">
      <c r="B1912" s="1"/>
      <c r="C1912" s="9"/>
      <c r="D1912" s="9"/>
      <c r="E1912" s="9"/>
      <c r="F1912" s="1"/>
      <c r="G1912" s="1"/>
      <c r="H1912" s="19"/>
      <c r="I1912" s="1"/>
      <c r="J1912" s="1"/>
      <c r="K1912" s="19"/>
      <c r="L1912" s="1"/>
      <c r="M1912" s="9"/>
      <c r="N1912" s="1"/>
      <c r="O1912" s="1"/>
      <c r="P1912" s="1"/>
      <c r="Q1912" s="1"/>
      <c r="R1912" s="1"/>
    </row>
    <row r="1913" spans="2:18">
      <c r="B1913" s="1"/>
      <c r="C1913" s="9"/>
      <c r="D1913" s="9"/>
      <c r="E1913" s="9"/>
      <c r="F1913" s="1"/>
      <c r="G1913" s="1"/>
      <c r="H1913" s="19"/>
      <c r="I1913" s="1"/>
      <c r="J1913" s="1"/>
      <c r="K1913" s="19"/>
      <c r="L1913" s="1"/>
      <c r="M1913" s="9"/>
      <c r="N1913" s="1"/>
      <c r="O1913" s="1"/>
      <c r="P1913" s="1"/>
      <c r="Q1913" s="1"/>
      <c r="R1913" s="1"/>
    </row>
    <row r="1914" spans="2:18">
      <c r="B1914" s="1"/>
      <c r="C1914" s="9"/>
      <c r="D1914" s="9"/>
      <c r="E1914" s="9"/>
      <c r="F1914" s="1"/>
      <c r="G1914" s="1"/>
      <c r="H1914" s="19"/>
      <c r="I1914" s="1"/>
      <c r="J1914" s="1"/>
      <c r="K1914" s="19"/>
      <c r="L1914" s="1"/>
      <c r="M1914" s="9"/>
      <c r="N1914" s="1"/>
      <c r="O1914" s="1"/>
      <c r="P1914" s="1"/>
      <c r="Q1914" s="1"/>
      <c r="R1914" s="1"/>
    </row>
    <row r="1915" spans="2:18">
      <c r="B1915" s="1"/>
      <c r="C1915" s="9"/>
      <c r="D1915" s="9"/>
      <c r="E1915" s="9"/>
      <c r="F1915" s="1"/>
      <c r="G1915" s="1"/>
      <c r="H1915" s="19"/>
      <c r="I1915" s="1"/>
      <c r="J1915" s="1"/>
      <c r="K1915" s="19"/>
      <c r="L1915" s="1"/>
      <c r="M1915" s="9"/>
      <c r="N1915" s="1"/>
      <c r="O1915" s="1"/>
      <c r="P1915" s="1"/>
      <c r="Q1915" s="1"/>
      <c r="R1915" s="1"/>
    </row>
    <row r="1916" spans="2:18">
      <c r="B1916" s="1"/>
      <c r="C1916" s="9"/>
      <c r="D1916" s="9"/>
      <c r="E1916" s="9"/>
      <c r="F1916" s="1"/>
      <c r="G1916" s="1"/>
      <c r="H1916" s="19"/>
      <c r="I1916" s="1"/>
      <c r="J1916" s="1"/>
      <c r="K1916" s="19"/>
      <c r="L1916" s="1"/>
      <c r="M1916" s="9"/>
      <c r="N1916" s="1"/>
      <c r="O1916" s="1"/>
      <c r="P1916" s="1"/>
      <c r="Q1916" s="1"/>
      <c r="R1916" s="1"/>
    </row>
    <row r="1917" spans="2:18">
      <c r="B1917" s="1"/>
      <c r="C1917" s="9"/>
      <c r="D1917" s="9"/>
      <c r="E1917" s="9"/>
      <c r="F1917" s="1"/>
      <c r="G1917" s="1"/>
      <c r="H1917" s="19"/>
      <c r="I1917" s="1"/>
      <c r="J1917" s="1"/>
      <c r="K1917" s="19"/>
      <c r="L1917" s="1"/>
      <c r="M1917" s="9"/>
      <c r="N1917" s="1"/>
      <c r="O1917" s="1"/>
      <c r="P1917" s="1"/>
      <c r="Q1917" s="1"/>
      <c r="R1917" s="1"/>
    </row>
    <row r="1918" spans="2:18">
      <c r="B1918" s="1"/>
      <c r="C1918" s="9"/>
      <c r="D1918" s="9"/>
      <c r="E1918" s="9"/>
      <c r="F1918" s="1"/>
      <c r="G1918" s="1"/>
      <c r="H1918" s="19"/>
      <c r="I1918" s="1"/>
      <c r="J1918" s="1"/>
      <c r="K1918" s="19"/>
      <c r="L1918" s="1"/>
      <c r="M1918" s="9"/>
      <c r="N1918" s="1"/>
      <c r="O1918" s="1"/>
      <c r="P1918" s="1"/>
      <c r="Q1918" s="1"/>
      <c r="R1918" s="1"/>
    </row>
    <row r="1919" spans="2:18">
      <c r="B1919" s="1"/>
      <c r="C1919" s="9"/>
      <c r="D1919" s="9"/>
      <c r="E1919" s="9"/>
      <c r="F1919" s="1"/>
      <c r="G1919" s="1"/>
      <c r="H1919" s="19"/>
      <c r="I1919" s="1"/>
      <c r="J1919" s="1"/>
      <c r="K1919" s="19"/>
      <c r="L1919" s="1"/>
      <c r="M1919" s="9"/>
      <c r="N1919" s="1"/>
      <c r="O1919" s="1"/>
      <c r="P1919" s="1"/>
      <c r="Q1919" s="1"/>
      <c r="R1919" s="1"/>
    </row>
    <row r="1920" spans="2:18">
      <c r="B1920" s="1"/>
      <c r="C1920" s="9"/>
      <c r="D1920" s="9"/>
      <c r="E1920" s="9"/>
      <c r="F1920" s="1"/>
      <c r="G1920" s="1"/>
      <c r="H1920" s="19"/>
      <c r="I1920" s="1"/>
      <c r="J1920" s="1"/>
      <c r="K1920" s="19"/>
      <c r="L1920" s="1"/>
      <c r="M1920" s="9"/>
      <c r="N1920" s="1"/>
      <c r="O1920" s="1"/>
      <c r="P1920" s="1"/>
      <c r="Q1920" s="1"/>
      <c r="R1920" s="1"/>
    </row>
    <row r="1921" spans="2:18">
      <c r="B1921" s="1"/>
      <c r="C1921" s="9"/>
      <c r="D1921" s="9"/>
      <c r="E1921" s="9"/>
      <c r="F1921" s="1"/>
      <c r="G1921" s="1"/>
      <c r="H1921" s="19"/>
      <c r="I1921" s="1"/>
      <c r="J1921" s="1"/>
      <c r="K1921" s="19"/>
      <c r="L1921" s="1"/>
      <c r="M1921" s="9"/>
      <c r="N1921" s="1"/>
      <c r="O1921" s="1"/>
      <c r="P1921" s="1"/>
      <c r="Q1921" s="1"/>
      <c r="R1921" s="1"/>
    </row>
    <row r="1922" spans="2:18">
      <c r="B1922" s="1"/>
      <c r="C1922" s="9"/>
      <c r="D1922" s="9"/>
      <c r="E1922" s="9"/>
      <c r="F1922" s="1"/>
      <c r="G1922" s="1"/>
      <c r="H1922" s="19"/>
      <c r="I1922" s="1"/>
      <c r="J1922" s="1"/>
      <c r="K1922" s="19"/>
      <c r="L1922" s="1"/>
      <c r="M1922" s="9"/>
      <c r="N1922" s="1"/>
      <c r="O1922" s="1"/>
      <c r="P1922" s="1"/>
      <c r="Q1922" s="1"/>
      <c r="R1922" s="1"/>
    </row>
    <row r="1923" spans="2:18">
      <c r="B1923" s="1"/>
      <c r="C1923" s="9"/>
      <c r="D1923" s="9"/>
      <c r="E1923" s="9"/>
      <c r="F1923" s="1"/>
      <c r="G1923" s="1"/>
      <c r="H1923" s="19"/>
      <c r="I1923" s="1"/>
      <c r="J1923" s="1"/>
      <c r="K1923" s="19"/>
      <c r="L1923" s="1"/>
      <c r="M1923" s="9"/>
      <c r="N1923" s="1"/>
      <c r="O1923" s="1"/>
      <c r="P1923" s="1"/>
      <c r="Q1923" s="1"/>
      <c r="R1923" s="1"/>
    </row>
    <row r="1924" spans="2:18">
      <c r="B1924" s="1"/>
      <c r="C1924" s="9"/>
      <c r="D1924" s="9"/>
      <c r="E1924" s="9"/>
      <c r="F1924" s="1"/>
      <c r="G1924" s="1"/>
      <c r="H1924" s="19"/>
      <c r="I1924" s="1"/>
      <c r="J1924" s="1"/>
      <c r="K1924" s="19"/>
      <c r="L1924" s="1"/>
      <c r="M1924" s="9"/>
      <c r="N1924" s="1"/>
      <c r="O1924" s="1"/>
      <c r="P1924" s="1"/>
      <c r="Q1924" s="1"/>
      <c r="R1924" s="1"/>
    </row>
    <row r="1925" spans="2:18">
      <c r="B1925" s="1"/>
      <c r="C1925" s="9"/>
      <c r="D1925" s="9"/>
      <c r="E1925" s="9"/>
      <c r="F1925" s="1"/>
      <c r="G1925" s="1"/>
      <c r="H1925" s="19"/>
      <c r="I1925" s="1"/>
      <c r="J1925" s="1"/>
      <c r="K1925" s="19"/>
      <c r="L1925" s="1"/>
      <c r="M1925" s="9"/>
      <c r="N1925" s="1"/>
      <c r="O1925" s="1"/>
      <c r="P1925" s="1"/>
      <c r="Q1925" s="1"/>
      <c r="R1925" s="1"/>
    </row>
    <row r="1926" spans="2:18">
      <c r="B1926" s="1"/>
      <c r="C1926" s="9"/>
      <c r="D1926" s="9"/>
      <c r="E1926" s="9"/>
      <c r="F1926" s="1"/>
      <c r="G1926" s="1"/>
      <c r="H1926" s="19"/>
      <c r="I1926" s="1"/>
      <c r="J1926" s="1"/>
      <c r="K1926" s="19"/>
      <c r="L1926" s="1"/>
      <c r="M1926" s="9"/>
      <c r="N1926" s="1"/>
      <c r="O1926" s="1"/>
      <c r="P1926" s="1"/>
      <c r="Q1926" s="1"/>
      <c r="R1926" s="1"/>
    </row>
    <row r="1927" spans="2:18">
      <c r="B1927" s="1"/>
      <c r="C1927" s="9"/>
      <c r="D1927" s="9"/>
      <c r="E1927" s="9"/>
      <c r="F1927" s="1"/>
      <c r="G1927" s="1"/>
      <c r="H1927" s="19"/>
      <c r="I1927" s="1"/>
      <c r="J1927" s="1"/>
      <c r="K1927" s="19"/>
      <c r="L1927" s="1"/>
      <c r="M1927" s="9"/>
      <c r="N1927" s="1"/>
      <c r="O1927" s="1"/>
      <c r="P1927" s="1"/>
      <c r="Q1927" s="1"/>
      <c r="R1927" s="1"/>
    </row>
    <row r="1928" spans="2:18">
      <c r="B1928" s="1"/>
      <c r="C1928" s="9"/>
      <c r="D1928" s="9"/>
      <c r="E1928" s="9"/>
      <c r="F1928" s="1"/>
      <c r="G1928" s="1"/>
      <c r="H1928" s="19"/>
      <c r="I1928" s="1"/>
      <c r="J1928" s="1"/>
      <c r="K1928" s="19"/>
      <c r="L1928" s="1"/>
      <c r="M1928" s="9"/>
      <c r="N1928" s="1"/>
      <c r="O1928" s="1"/>
      <c r="P1928" s="1"/>
      <c r="Q1928" s="1"/>
      <c r="R1928" s="1"/>
    </row>
    <row r="1929" spans="2:18">
      <c r="B1929" s="1"/>
      <c r="C1929" s="9"/>
      <c r="D1929" s="9"/>
      <c r="E1929" s="9"/>
      <c r="F1929" s="1"/>
      <c r="G1929" s="1"/>
      <c r="H1929" s="19"/>
      <c r="I1929" s="1"/>
      <c r="J1929" s="1"/>
      <c r="K1929" s="19"/>
      <c r="L1929" s="1"/>
      <c r="M1929" s="9"/>
      <c r="N1929" s="1"/>
      <c r="O1929" s="1"/>
      <c r="P1929" s="1"/>
      <c r="Q1929" s="1"/>
      <c r="R1929" s="1"/>
    </row>
    <row r="1930" spans="2:18">
      <c r="B1930" s="1"/>
      <c r="C1930" s="9"/>
      <c r="D1930" s="9"/>
      <c r="E1930" s="9"/>
      <c r="F1930" s="1"/>
      <c r="G1930" s="1"/>
      <c r="H1930" s="19"/>
      <c r="I1930" s="1"/>
      <c r="J1930" s="1"/>
      <c r="K1930" s="19"/>
      <c r="L1930" s="1"/>
      <c r="M1930" s="9"/>
      <c r="N1930" s="1"/>
      <c r="O1930" s="1"/>
      <c r="P1930" s="1"/>
      <c r="Q1930" s="1"/>
      <c r="R1930" s="1"/>
    </row>
    <row r="1931" spans="2:18">
      <c r="B1931" s="1"/>
      <c r="C1931" s="9"/>
      <c r="D1931" s="9"/>
      <c r="E1931" s="9"/>
      <c r="F1931" s="1"/>
      <c r="G1931" s="1"/>
      <c r="H1931" s="19"/>
      <c r="I1931" s="1"/>
      <c r="J1931" s="1"/>
      <c r="K1931" s="19"/>
      <c r="L1931" s="1"/>
      <c r="M1931" s="9"/>
      <c r="N1931" s="1"/>
      <c r="O1931" s="1"/>
      <c r="P1931" s="1"/>
      <c r="Q1931" s="1"/>
      <c r="R1931" s="1"/>
    </row>
    <row r="1932" spans="2:18">
      <c r="B1932" s="1"/>
      <c r="C1932" s="9"/>
      <c r="D1932" s="9"/>
      <c r="E1932" s="9"/>
      <c r="F1932" s="1"/>
      <c r="G1932" s="1"/>
      <c r="H1932" s="19"/>
      <c r="I1932" s="1"/>
      <c r="J1932" s="1"/>
      <c r="K1932" s="19"/>
      <c r="L1932" s="1"/>
      <c r="M1932" s="9"/>
      <c r="N1932" s="1"/>
      <c r="O1932" s="1"/>
      <c r="P1932" s="1"/>
      <c r="Q1932" s="1"/>
      <c r="R1932" s="1"/>
    </row>
    <row r="1933" spans="2:18">
      <c r="B1933" s="1"/>
      <c r="C1933" s="9"/>
      <c r="D1933" s="9"/>
      <c r="E1933" s="9"/>
      <c r="F1933" s="1"/>
      <c r="G1933" s="1"/>
      <c r="H1933" s="19"/>
      <c r="I1933" s="1"/>
      <c r="J1933" s="1"/>
      <c r="K1933" s="19"/>
      <c r="L1933" s="1"/>
      <c r="M1933" s="9"/>
      <c r="N1933" s="1"/>
      <c r="O1933" s="1"/>
      <c r="P1933" s="1"/>
      <c r="Q1933" s="1"/>
      <c r="R1933" s="1"/>
    </row>
    <row r="1934" spans="2:18">
      <c r="B1934" s="1"/>
      <c r="C1934" s="9"/>
      <c r="D1934" s="9"/>
      <c r="E1934" s="9"/>
      <c r="F1934" s="1"/>
      <c r="G1934" s="1"/>
      <c r="H1934" s="19"/>
      <c r="I1934" s="1"/>
      <c r="J1934" s="1"/>
      <c r="K1934" s="19"/>
      <c r="L1934" s="1"/>
      <c r="M1934" s="9"/>
      <c r="N1934" s="1"/>
      <c r="O1934" s="1"/>
      <c r="P1934" s="1"/>
      <c r="Q1934" s="1"/>
      <c r="R1934" s="1"/>
    </row>
    <row r="1935" spans="2:18">
      <c r="B1935" s="1"/>
      <c r="C1935" s="9"/>
      <c r="D1935" s="9"/>
      <c r="E1935" s="9"/>
      <c r="F1935" s="1"/>
      <c r="G1935" s="1"/>
      <c r="H1935" s="19"/>
      <c r="I1935" s="1"/>
      <c r="J1935" s="1"/>
      <c r="K1935" s="19"/>
      <c r="L1935" s="1"/>
      <c r="M1935" s="9"/>
      <c r="N1935" s="1"/>
      <c r="O1935" s="1"/>
      <c r="P1935" s="1"/>
      <c r="Q1935" s="1"/>
      <c r="R1935" s="1"/>
    </row>
    <row r="1936" spans="2:18">
      <c r="B1936" s="1"/>
      <c r="C1936" s="9"/>
      <c r="D1936" s="9"/>
      <c r="E1936" s="9"/>
      <c r="F1936" s="1"/>
      <c r="G1936" s="1"/>
      <c r="H1936" s="19"/>
      <c r="I1936" s="1"/>
      <c r="J1936" s="1"/>
      <c r="K1936" s="19"/>
      <c r="L1936" s="1"/>
      <c r="M1936" s="9"/>
      <c r="N1936" s="1"/>
      <c r="O1936" s="1"/>
      <c r="P1936" s="1"/>
      <c r="Q1936" s="1"/>
      <c r="R1936" s="1"/>
    </row>
    <row r="1937" spans="2:18">
      <c r="B1937" s="1"/>
      <c r="C1937" s="9"/>
      <c r="D1937" s="9"/>
      <c r="E1937" s="9"/>
      <c r="F1937" s="1"/>
      <c r="G1937" s="1"/>
      <c r="H1937" s="19"/>
      <c r="I1937" s="1"/>
      <c r="J1937" s="1"/>
      <c r="K1937" s="19"/>
      <c r="L1937" s="1"/>
      <c r="M1937" s="9"/>
      <c r="N1937" s="1"/>
      <c r="O1937" s="1"/>
      <c r="P1937" s="1"/>
      <c r="Q1937" s="1"/>
      <c r="R1937" s="1"/>
    </row>
    <row r="1938" spans="2:18">
      <c r="B1938" s="1"/>
      <c r="C1938" s="9"/>
      <c r="D1938" s="9"/>
      <c r="E1938" s="9"/>
      <c r="F1938" s="1"/>
      <c r="G1938" s="1"/>
      <c r="H1938" s="19"/>
      <c r="I1938" s="1"/>
      <c r="J1938" s="1"/>
      <c r="K1938" s="19"/>
      <c r="L1938" s="1"/>
      <c r="M1938" s="9"/>
      <c r="N1938" s="1"/>
      <c r="O1938" s="1"/>
      <c r="P1938" s="1"/>
      <c r="Q1938" s="1"/>
      <c r="R1938" s="1"/>
    </row>
    <row r="1939" spans="2:18">
      <c r="B1939" s="1"/>
      <c r="C1939" s="9"/>
      <c r="D1939" s="9"/>
      <c r="E1939" s="9"/>
      <c r="F1939" s="1"/>
      <c r="G1939" s="1"/>
      <c r="H1939" s="19"/>
      <c r="I1939" s="1"/>
      <c r="J1939" s="1"/>
      <c r="K1939" s="19"/>
      <c r="L1939" s="1"/>
      <c r="M1939" s="9"/>
      <c r="N1939" s="1"/>
      <c r="O1939" s="1"/>
      <c r="P1939" s="1"/>
      <c r="Q1939" s="1"/>
      <c r="R1939" s="1"/>
    </row>
    <row r="1940" spans="2:18">
      <c r="B1940" s="1"/>
      <c r="C1940" s="9"/>
      <c r="D1940" s="9"/>
      <c r="E1940" s="9"/>
      <c r="F1940" s="1"/>
      <c r="G1940" s="1"/>
      <c r="H1940" s="19"/>
      <c r="I1940" s="1"/>
      <c r="J1940" s="1"/>
      <c r="K1940" s="19"/>
      <c r="L1940" s="1"/>
      <c r="M1940" s="9"/>
      <c r="N1940" s="1"/>
      <c r="O1940" s="1"/>
      <c r="P1940" s="1"/>
      <c r="Q1940" s="1"/>
      <c r="R1940" s="1"/>
    </row>
    <row r="1941" spans="2:18">
      <c r="B1941" s="1"/>
      <c r="C1941" s="9"/>
      <c r="D1941" s="9"/>
      <c r="E1941" s="9"/>
      <c r="F1941" s="1"/>
      <c r="G1941" s="1"/>
      <c r="H1941" s="19"/>
      <c r="I1941" s="1"/>
      <c r="J1941" s="1"/>
      <c r="K1941" s="19"/>
      <c r="L1941" s="1"/>
      <c r="M1941" s="9"/>
      <c r="N1941" s="1"/>
      <c r="O1941" s="1"/>
      <c r="P1941" s="1"/>
      <c r="Q1941" s="1"/>
      <c r="R1941" s="1"/>
    </row>
    <row r="1942" spans="2:18">
      <c r="B1942" s="1"/>
      <c r="C1942" s="9"/>
      <c r="D1942" s="9"/>
      <c r="E1942" s="9"/>
      <c r="F1942" s="1"/>
      <c r="G1942" s="1"/>
      <c r="H1942" s="19"/>
      <c r="I1942" s="1"/>
      <c r="J1942" s="1"/>
      <c r="K1942" s="19"/>
      <c r="L1942" s="1"/>
      <c r="M1942" s="9"/>
      <c r="N1942" s="1"/>
      <c r="O1942" s="1"/>
      <c r="P1942" s="1"/>
      <c r="Q1942" s="1"/>
      <c r="R1942" s="1"/>
    </row>
    <row r="1943" spans="2:18">
      <c r="B1943" s="1"/>
      <c r="C1943" s="9"/>
      <c r="D1943" s="9"/>
      <c r="E1943" s="9"/>
      <c r="F1943" s="1"/>
      <c r="G1943" s="1"/>
      <c r="H1943" s="19"/>
      <c r="I1943" s="1"/>
      <c r="J1943" s="1"/>
      <c r="K1943" s="19"/>
      <c r="L1943" s="1"/>
      <c r="M1943" s="9"/>
      <c r="N1943" s="1"/>
      <c r="O1943" s="1"/>
      <c r="P1943" s="1"/>
      <c r="Q1943" s="1"/>
      <c r="R1943" s="1"/>
    </row>
    <row r="1944" spans="2:18">
      <c r="B1944" s="1"/>
      <c r="C1944" s="9"/>
      <c r="D1944" s="9"/>
      <c r="E1944" s="9"/>
      <c r="F1944" s="1"/>
      <c r="G1944" s="1"/>
      <c r="H1944" s="19"/>
      <c r="I1944" s="1"/>
      <c r="J1944" s="1"/>
      <c r="K1944" s="19"/>
      <c r="L1944" s="1"/>
      <c r="M1944" s="9"/>
      <c r="N1944" s="1"/>
      <c r="O1944" s="1"/>
      <c r="P1944" s="1"/>
      <c r="Q1944" s="1"/>
      <c r="R1944" s="1"/>
    </row>
    <row r="1945" spans="2:18">
      <c r="B1945" s="1"/>
      <c r="C1945" s="9"/>
      <c r="D1945" s="9"/>
      <c r="E1945" s="9"/>
      <c r="F1945" s="1"/>
      <c r="G1945" s="1"/>
      <c r="H1945" s="19"/>
      <c r="I1945" s="1"/>
      <c r="J1945" s="1"/>
      <c r="K1945" s="19"/>
      <c r="L1945" s="1"/>
      <c r="M1945" s="9"/>
      <c r="N1945" s="1"/>
      <c r="O1945" s="1"/>
      <c r="P1945" s="1"/>
      <c r="Q1945" s="1"/>
      <c r="R1945" s="1"/>
    </row>
    <row r="1946" spans="2:18">
      <c r="B1946" s="1"/>
      <c r="C1946" s="9"/>
      <c r="D1946" s="9"/>
      <c r="E1946" s="9"/>
      <c r="F1946" s="1"/>
      <c r="G1946" s="1"/>
      <c r="H1946" s="19"/>
      <c r="I1946" s="1"/>
      <c r="J1946" s="1"/>
      <c r="K1946" s="19"/>
      <c r="L1946" s="1"/>
      <c r="M1946" s="9"/>
      <c r="N1946" s="1"/>
      <c r="O1946" s="1"/>
      <c r="P1946" s="1"/>
      <c r="Q1946" s="1"/>
      <c r="R1946" s="1"/>
    </row>
    <row r="1947" spans="2:18">
      <c r="B1947" s="1"/>
      <c r="C1947" s="9"/>
      <c r="D1947" s="9"/>
      <c r="E1947" s="9"/>
      <c r="F1947" s="1"/>
      <c r="G1947" s="1"/>
      <c r="H1947" s="19"/>
      <c r="I1947" s="1"/>
      <c r="J1947" s="1"/>
      <c r="K1947" s="19"/>
      <c r="L1947" s="1"/>
      <c r="M1947" s="9"/>
      <c r="N1947" s="1"/>
      <c r="O1947" s="1"/>
      <c r="P1947" s="1"/>
      <c r="Q1947" s="1"/>
      <c r="R1947" s="1"/>
    </row>
    <row r="1948" spans="2:18">
      <c r="B1948" s="1"/>
      <c r="C1948" s="9"/>
      <c r="D1948" s="9"/>
      <c r="E1948" s="9"/>
      <c r="F1948" s="1"/>
      <c r="G1948" s="1"/>
      <c r="H1948" s="19"/>
      <c r="I1948" s="1"/>
      <c r="J1948" s="1"/>
      <c r="K1948" s="19"/>
      <c r="L1948" s="1"/>
      <c r="M1948" s="9"/>
      <c r="N1948" s="1"/>
      <c r="O1948" s="1"/>
      <c r="P1948" s="1"/>
      <c r="Q1948" s="1"/>
      <c r="R1948" s="1"/>
    </row>
    <row r="1949" spans="2:18">
      <c r="B1949" s="1"/>
      <c r="C1949" s="9"/>
      <c r="D1949" s="9"/>
      <c r="E1949" s="9"/>
      <c r="F1949" s="1"/>
      <c r="G1949" s="1"/>
      <c r="H1949" s="19"/>
      <c r="I1949" s="1"/>
      <c r="J1949" s="1"/>
      <c r="K1949" s="19"/>
      <c r="L1949" s="1"/>
      <c r="M1949" s="9"/>
      <c r="N1949" s="1"/>
      <c r="O1949" s="1"/>
      <c r="P1949" s="1"/>
      <c r="Q1949" s="1"/>
      <c r="R1949" s="1"/>
    </row>
    <row r="1950" spans="2:18">
      <c r="B1950" s="1"/>
      <c r="C1950" s="9"/>
      <c r="D1950" s="9"/>
      <c r="E1950" s="9"/>
      <c r="F1950" s="1"/>
      <c r="G1950" s="1"/>
      <c r="H1950" s="19"/>
      <c r="I1950" s="1"/>
      <c r="J1950" s="1"/>
      <c r="K1950" s="19"/>
      <c r="L1950" s="1"/>
      <c r="M1950" s="9"/>
      <c r="N1950" s="1"/>
      <c r="O1950" s="1"/>
      <c r="P1950" s="1"/>
      <c r="Q1950" s="1"/>
      <c r="R1950" s="1"/>
    </row>
    <row r="1951" spans="2:18">
      <c r="B1951" s="1"/>
      <c r="C1951" s="9"/>
      <c r="D1951" s="9"/>
      <c r="E1951" s="9"/>
      <c r="F1951" s="1"/>
      <c r="G1951" s="1"/>
      <c r="H1951" s="19"/>
      <c r="I1951" s="1"/>
      <c r="J1951" s="1"/>
      <c r="K1951" s="19"/>
      <c r="L1951" s="1"/>
      <c r="M1951" s="9"/>
      <c r="N1951" s="1"/>
      <c r="O1951" s="1"/>
      <c r="P1951" s="1"/>
      <c r="Q1951" s="1"/>
      <c r="R1951" s="1"/>
    </row>
    <row r="1952" spans="2:18">
      <c r="B1952" s="1"/>
      <c r="C1952" s="9"/>
      <c r="D1952" s="9"/>
      <c r="E1952" s="9"/>
      <c r="F1952" s="1"/>
      <c r="G1952" s="1"/>
      <c r="H1952" s="19"/>
      <c r="I1952" s="1"/>
      <c r="J1952" s="1"/>
      <c r="K1952" s="19"/>
      <c r="L1952" s="1"/>
      <c r="M1952" s="9"/>
      <c r="N1952" s="1"/>
      <c r="O1952" s="1"/>
      <c r="P1952" s="1"/>
      <c r="Q1952" s="1"/>
      <c r="R1952" s="1"/>
    </row>
    <row r="1953" spans="2:18">
      <c r="B1953" s="1"/>
      <c r="C1953" s="9"/>
      <c r="D1953" s="9"/>
      <c r="E1953" s="9"/>
      <c r="F1953" s="1"/>
      <c r="G1953" s="1"/>
      <c r="H1953" s="19"/>
      <c r="I1953" s="1"/>
      <c r="J1953" s="1"/>
      <c r="K1953" s="19"/>
      <c r="L1953" s="1"/>
      <c r="M1953" s="9"/>
      <c r="N1953" s="1"/>
      <c r="O1953" s="1"/>
      <c r="P1953" s="1"/>
      <c r="Q1953" s="1"/>
      <c r="R1953" s="1"/>
    </row>
    <row r="1954" spans="2:18">
      <c r="B1954" s="1"/>
      <c r="C1954" s="9"/>
      <c r="D1954" s="9"/>
      <c r="E1954" s="9"/>
      <c r="F1954" s="1"/>
      <c r="G1954" s="1"/>
      <c r="H1954" s="19"/>
      <c r="I1954" s="1"/>
      <c r="J1954" s="1"/>
      <c r="K1954" s="19"/>
      <c r="L1954" s="1"/>
      <c r="M1954" s="9"/>
      <c r="N1954" s="1"/>
      <c r="O1954" s="1"/>
      <c r="P1954" s="1"/>
      <c r="Q1954" s="1"/>
      <c r="R1954" s="1"/>
    </row>
    <row r="1955" spans="2:18">
      <c r="B1955" s="1"/>
      <c r="C1955" s="9"/>
      <c r="D1955" s="9"/>
      <c r="E1955" s="9"/>
      <c r="F1955" s="1"/>
      <c r="G1955" s="1"/>
      <c r="H1955" s="19"/>
      <c r="I1955" s="1"/>
      <c r="J1955" s="1"/>
      <c r="K1955" s="19"/>
      <c r="L1955" s="1"/>
      <c r="M1955" s="9"/>
      <c r="N1955" s="1"/>
      <c r="O1955" s="1"/>
      <c r="P1955" s="1"/>
      <c r="Q1955" s="1"/>
      <c r="R1955" s="1"/>
    </row>
    <row r="1956" spans="2:18">
      <c r="B1956" s="1"/>
      <c r="C1956" s="9"/>
      <c r="D1956" s="9"/>
      <c r="E1956" s="9"/>
      <c r="F1956" s="1"/>
      <c r="G1956" s="1"/>
      <c r="H1956" s="19"/>
      <c r="I1956" s="1"/>
      <c r="J1956" s="1"/>
      <c r="K1956" s="19"/>
      <c r="L1956" s="1"/>
      <c r="M1956" s="9"/>
      <c r="N1956" s="1"/>
      <c r="O1956" s="1"/>
      <c r="P1956" s="1"/>
      <c r="Q1956" s="1"/>
      <c r="R1956" s="1"/>
    </row>
    <row r="1957" spans="2:18">
      <c r="B1957" s="1"/>
      <c r="C1957" s="9"/>
      <c r="D1957" s="9"/>
      <c r="E1957" s="9"/>
      <c r="F1957" s="1"/>
      <c r="G1957" s="1"/>
      <c r="H1957" s="19"/>
      <c r="I1957" s="1"/>
      <c r="J1957" s="1"/>
      <c r="K1957" s="19"/>
      <c r="L1957" s="1"/>
      <c r="M1957" s="9"/>
      <c r="N1957" s="1"/>
      <c r="O1957" s="1"/>
      <c r="P1957" s="1"/>
      <c r="Q1957" s="1"/>
      <c r="R1957" s="1"/>
    </row>
    <row r="1958" spans="2:18">
      <c r="B1958" s="1"/>
      <c r="C1958" s="9"/>
      <c r="D1958" s="9"/>
      <c r="E1958" s="9"/>
      <c r="F1958" s="1"/>
      <c r="G1958" s="1"/>
      <c r="H1958" s="19"/>
      <c r="I1958" s="1"/>
      <c r="J1958" s="1"/>
      <c r="K1958" s="19"/>
      <c r="L1958" s="1"/>
      <c r="M1958" s="9"/>
      <c r="N1958" s="1"/>
      <c r="O1958" s="1"/>
      <c r="P1958" s="1"/>
      <c r="Q1958" s="1"/>
      <c r="R1958" s="1"/>
    </row>
    <row r="1959" spans="2:18">
      <c r="B1959" s="1"/>
      <c r="C1959" s="9"/>
      <c r="D1959" s="9"/>
      <c r="E1959" s="9"/>
      <c r="F1959" s="1"/>
      <c r="G1959" s="1"/>
      <c r="H1959" s="19"/>
      <c r="I1959" s="1"/>
      <c r="J1959" s="1"/>
      <c r="K1959" s="19"/>
      <c r="L1959" s="1"/>
      <c r="M1959" s="9"/>
      <c r="N1959" s="1"/>
      <c r="O1959" s="1"/>
      <c r="P1959" s="1"/>
      <c r="Q1959" s="1"/>
      <c r="R1959" s="1"/>
    </row>
    <row r="1960" spans="2:18">
      <c r="B1960" s="1"/>
      <c r="C1960" s="9"/>
      <c r="D1960" s="9"/>
      <c r="E1960" s="9"/>
      <c r="F1960" s="1"/>
      <c r="G1960" s="1"/>
      <c r="H1960" s="19"/>
      <c r="I1960" s="1"/>
      <c r="J1960" s="1"/>
      <c r="K1960" s="19"/>
      <c r="L1960" s="1"/>
      <c r="M1960" s="9"/>
      <c r="N1960" s="1"/>
      <c r="O1960" s="1"/>
      <c r="P1960" s="1"/>
      <c r="Q1960" s="1"/>
      <c r="R1960" s="1"/>
    </row>
    <row r="1961" spans="2:18">
      <c r="B1961" s="1"/>
      <c r="C1961" s="9"/>
      <c r="D1961" s="9"/>
      <c r="E1961" s="9"/>
      <c r="F1961" s="1"/>
      <c r="G1961" s="1"/>
      <c r="H1961" s="19"/>
      <c r="I1961" s="1"/>
      <c r="J1961" s="1"/>
      <c r="K1961" s="19"/>
      <c r="L1961" s="1"/>
      <c r="M1961" s="9"/>
      <c r="N1961" s="1"/>
      <c r="O1961" s="1"/>
      <c r="P1961" s="1"/>
      <c r="Q1961" s="1"/>
      <c r="R1961" s="1"/>
    </row>
    <row r="1962" spans="2:18">
      <c r="B1962" s="1"/>
      <c r="C1962" s="9"/>
      <c r="D1962" s="9"/>
      <c r="E1962" s="9"/>
      <c r="F1962" s="1"/>
      <c r="G1962" s="1"/>
      <c r="H1962" s="19"/>
      <c r="I1962" s="1"/>
      <c r="J1962" s="1"/>
      <c r="K1962" s="19"/>
      <c r="L1962" s="1"/>
      <c r="M1962" s="9"/>
      <c r="N1962" s="1"/>
      <c r="O1962" s="1"/>
      <c r="P1962" s="1"/>
      <c r="Q1962" s="1"/>
      <c r="R1962" s="1"/>
    </row>
    <row r="1963" spans="2:18">
      <c r="B1963" s="1"/>
      <c r="C1963" s="9"/>
      <c r="D1963" s="9"/>
      <c r="E1963" s="9"/>
      <c r="F1963" s="1"/>
      <c r="G1963" s="1"/>
      <c r="H1963" s="19"/>
      <c r="I1963" s="1"/>
      <c r="J1963" s="1"/>
      <c r="K1963" s="19"/>
      <c r="L1963" s="1"/>
      <c r="M1963" s="9"/>
      <c r="N1963" s="1"/>
      <c r="O1963" s="1"/>
      <c r="P1963" s="1"/>
      <c r="Q1963" s="1"/>
      <c r="R1963" s="1"/>
    </row>
    <row r="1964" spans="2:18">
      <c r="B1964" s="1"/>
      <c r="C1964" s="9"/>
      <c r="D1964" s="9"/>
      <c r="E1964" s="9"/>
      <c r="F1964" s="1"/>
      <c r="G1964" s="1"/>
      <c r="H1964" s="19"/>
      <c r="I1964" s="1"/>
      <c r="J1964" s="1"/>
      <c r="K1964" s="19"/>
      <c r="L1964" s="1"/>
      <c r="M1964" s="9"/>
      <c r="N1964" s="1"/>
      <c r="O1964" s="1"/>
      <c r="P1964" s="1"/>
      <c r="Q1964" s="1"/>
      <c r="R1964" s="1"/>
    </row>
    <row r="1965" spans="2:18">
      <c r="B1965" s="1"/>
      <c r="C1965" s="9"/>
      <c r="D1965" s="9"/>
      <c r="E1965" s="9"/>
      <c r="F1965" s="1"/>
      <c r="G1965" s="1"/>
      <c r="H1965" s="19"/>
      <c r="I1965" s="1"/>
      <c r="J1965" s="1"/>
      <c r="K1965" s="19"/>
      <c r="L1965" s="1"/>
      <c r="M1965" s="9"/>
      <c r="N1965" s="1"/>
      <c r="O1965" s="1"/>
      <c r="P1965" s="1"/>
      <c r="Q1965" s="1"/>
      <c r="R1965" s="1"/>
    </row>
    <row r="1966" spans="2:18">
      <c r="B1966" s="1"/>
      <c r="C1966" s="9"/>
      <c r="D1966" s="9"/>
      <c r="E1966" s="9"/>
      <c r="F1966" s="1"/>
      <c r="G1966" s="1"/>
      <c r="H1966" s="19"/>
      <c r="I1966" s="1"/>
      <c r="J1966" s="1"/>
      <c r="K1966" s="19"/>
      <c r="L1966" s="1"/>
      <c r="M1966" s="9"/>
      <c r="N1966" s="1"/>
      <c r="O1966" s="1"/>
      <c r="P1966" s="1"/>
      <c r="Q1966" s="1"/>
      <c r="R1966" s="1"/>
    </row>
    <row r="1967" spans="2:18">
      <c r="B1967" s="1"/>
      <c r="C1967" s="9"/>
      <c r="D1967" s="9"/>
      <c r="E1967" s="9"/>
      <c r="F1967" s="1"/>
      <c r="G1967" s="1"/>
      <c r="H1967" s="19"/>
      <c r="I1967" s="1"/>
      <c r="J1967" s="1"/>
      <c r="K1967" s="19"/>
      <c r="L1967" s="1"/>
      <c r="M1967" s="9"/>
      <c r="N1967" s="1"/>
      <c r="O1967" s="1"/>
      <c r="P1967" s="1"/>
      <c r="Q1967" s="1"/>
      <c r="R1967" s="1"/>
    </row>
    <row r="1968" spans="2:18">
      <c r="B1968" s="1"/>
      <c r="C1968" s="9"/>
      <c r="D1968" s="9"/>
      <c r="E1968" s="9"/>
      <c r="F1968" s="1"/>
      <c r="G1968" s="1"/>
      <c r="H1968" s="19"/>
      <c r="I1968" s="1"/>
      <c r="J1968" s="1"/>
      <c r="K1968" s="19"/>
      <c r="L1968" s="1"/>
      <c r="M1968" s="9"/>
      <c r="N1968" s="1"/>
      <c r="O1968" s="1"/>
      <c r="P1968" s="1"/>
      <c r="Q1968" s="1"/>
      <c r="R1968" s="1"/>
    </row>
    <row r="1969" spans="2:18">
      <c r="B1969" s="1"/>
      <c r="C1969" s="9"/>
      <c r="D1969" s="9"/>
      <c r="E1969" s="9"/>
      <c r="F1969" s="1"/>
      <c r="G1969" s="1"/>
      <c r="H1969" s="19"/>
      <c r="I1969" s="1"/>
      <c r="J1969" s="1"/>
      <c r="K1969" s="19"/>
      <c r="L1969" s="1"/>
      <c r="M1969" s="9"/>
      <c r="N1969" s="1"/>
      <c r="O1969" s="1"/>
      <c r="P1969" s="1"/>
      <c r="Q1969" s="1"/>
      <c r="R1969" s="1"/>
    </row>
    <row r="1970" spans="2:18">
      <c r="B1970" s="1"/>
      <c r="C1970" s="9"/>
      <c r="D1970" s="9"/>
      <c r="E1970" s="9"/>
      <c r="F1970" s="1"/>
      <c r="G1970" s="1"/>
      <c r="H1970" s="19"/>
      <c r="I1970" s="1"/>
      <c r="J1970" s="1"/>
      <c r="K1970" s="19"/>
      <c r="L1970" s="1"/>
      <c r="M1970" s="9"/>
      <c r="N1970" s="1"/>
      <c r="O1970" s="1"/>
      <c r="P1970" s="1"/>
      <c r="Q1970" s="1"/>
      <c r="R1970" s="1"/>
    </row>
    <row r="1971" spans="2:18">
      <c r="B1971" s="1"/>
      <c r="C1971" s="9"/>
      <c r="D1971" s="9"/>
      <c r="E1971" s="9"/>
      <c r="F1971" s="1"/>
      <c r="G1971" s="1"/>
      <c r="H1971" s="19"/>
      <c r="I1971" s="1"/>
      <c r="J1971" s="1"/>
      <c r="K1971" s="19"/>
      <c r="L1971" s="1"/>
      <c r="M1971" s="9"/>
      <c r="N1971" s="1"/>
      <c r="O1971" s="1"/>
      <c r="P1971" s="1"/>
      <c r="Q1971" s="1"/>
      <c r="R1971" s="1"/>
    </row>
    <row r="1972" spans="2:18">
      <c r="B1972" s="1"/>
      <c r="C1972" s="9"/>
      <c r="D1972" s="9"/>
      <c r="E1972" s="9"/>
      <c r="F1972" s="1"/>
      <c r="G1972" s="1"/>
      <c r="H1972" s="19"/>
      <c r="I1972" s="1"/>
      <c r="J1972" s="1"/>
      <c r="K1972" s="19"/>
      <c r="L1972" s="1"/>
      <c r="M1972" s="9"/>
      <c r="N1972" s="1"/>
      <c r="O1972" s="1"/>
      <c r="P1972" s="1"/>
      <c r="Q1972" s="1"/>
      <c r="R1972" s="1"/>
    </row>
    <row r="1973" spans="2:18">
      <c r="B1973" s="1"/>
      <c r="C1973" s="9"/>
      <c r="D1973" s="9"/>
      <c r="E1973" s="9"/>
      <c r="F1973" s="1"/>
      <c r="G1973" s="1"/>
      <c r="H1973" s="19"/>
      <c r="I1973" s="1"/>
      <c r="J1973" s="1"/>
      <c r="K1973" s="19"/>
      <c r="L1973" s="1"/>
      <c r="M1973" s="9"/>
      <c r="N1973" s="1"/>
      <c r="O1973" s="1"/>
      <c r="P1973" s="1"/>
      <c r="Q1973" s="1"/>
      <c r="R1973" s="1"/>
    </row>
    <row r="1974" spans="2:18">
      <c r="B1974" s="1"/>
      <c r="C1974" s="9"/>
      <c r="D1974" s="9"/>
      <c r="E1974" s="9"/>
      <c r="F1974" s="1"/>
      <c r="G1974" s="1"/>
      <c r="H1974" s="19"/>
      <c r="I1974" s="1"/>
      <c r="J1974" s="1"/>
      <c r="K1974" s="19"/>
      <c r="L1974" s="1"/>
      <c r="M1974" s="9"/>
      <c r="N1974" s="1"/>
      <c r="O1974" s="1"/>
      <c r="P1974" s="1"/>
      <c r="Q1974" s="1"/>
      <c r="R1974" s="1"/>
    </row>
    <row r="1975" spans="2:18">
      <c r="B1975" s="1"/>
      <c r="C1975" s="9"/>
      <c r="D1975" s="9"/>
      <c r="E1975" s="9"/>
      <c r="F1975" s="1"/>
      <c r="G1975" s="1"/>
      <c r="H1975" s="19"/>
      <c r="I1975" s="1"/>
      <c r="J1975" s="1"/>
      <c r="K1975" s="19"/>
      <c r="L1975" s="1"/>
      <c r="M1975" s="9"/>
      <c r="N1975" s="1"/>
      <c r="O1975" s="1"/>
      <c r="P1975" s="1"/>
      <c r="Q1975" s="1"/>
      <c r="R1975" s="1"/>
    </row>
    <row r="1976" spans="2:18">
      <c r="B1976" s="1"/>
      <c r="C1976" s="9"/>
      <c r="D1976" s="9"/>
      <c r="E1976" s="9"/>
      <c r="F1976" s="1"/>
      <c r="G1976" s="1"/>
      <c r="H1976" s="19"/>
      <c r="I1976" s="1"/>
      <c r="J1976" s="1"/>
      <c r="K1976" s="19"/>
      <c r="L1976" s="1"/>
      <c r="M1976" s="9"/>
      <c r="N1976" s="1"/>
      <c r="O1976" s="1"/>
      <c r="P1976" s="1"/>
      <c r="Q1976" s="1"/>
      <c r="R1976" s="1"/>
    </row>
    <row r="1977" spans="2:18">
      <c r="B1977" s="1"/>
      <c r="C1977" s="9"/>
      <c r="D1977" s="9"/>
      <c r="E1977" s="9"/>
      <c r="F1977" s="1"/>
      <c r="G1977" s="1"/>
      <c r="H1977" s="19"/>
      <c r="I1977" s="1"/>
      <c r="J1977" s="1"/>
      <c r="K1977" s="19"/>
      <c r="L1977" s="1"/>
      <c r="M1977" s="9"/>
      <c r="N1977" s="1"/>
      <c r="O1977" s="1"/>
      <c r="P1977" s="1"/>
      <c r="Q1977" s="1"/>
      <c r="R1977" s="1"/>
    </row>
    <row r="1978" spans="2:18">
      <c r="B1978" s="1"/>
      <c r="C1978" s="9"/>
      <c r="D1978" s="9"/>
      <c r="E1978" s="9"/>
      <c r="F1978" s="1"/>
      <c r="G1978" s="1"/>
      <c r="H1978" s="19"/>
      <c r="I1978" s="1"/>
      <c r="J1978" s="1"/>
      <c r="K1978" s="19"/>
      <c r="L1978" s="1"/>
      <c r="M1978" s="9"/>
      <c r="N1978" s="1"/>
      <c r="O1978" s="1"/>
      <c r="P1978" s="1"/>
      <c r="Q1978" s="1"/>
      <c r="R1978" s="1"/>
    </row>
    <row r="1979" spans="2:18">
      <c r="B1979" s="1"/>
      <c r="C1979" s="9"/>
      <c r="D1979" s="9"/>
      <c r="E1979" s="9"/>
      <c r="F1979" s="1"/>
      <c r="G1979" s="1"/>
      <c r="H1979" s="19"/>
      <c r="I1979" s="1"/>
      <c r="J1979" s="1"/>
      <c r="K1979" s="19"/>
      <c r="L1979" s="1"/>
      <c r="M1979" s="9"/>
      <c r="N1979" s="1"/>
      <c r="O1979" s="1"/>
      <c r="P1979" s="1"/>
      <c r="Q1979" s="1"/>
      <c r="R1979" s="1"/>
    </row>
    <row r="1980" spans="2:18">
      <c r="B1980" s="1"/>
      <c r="C1980" s="9"/>
      <c r="D1980" s="9"/>
      <c r="E1980" s="9"/>
      <c r="F1980" s="1"/>
      <c r="G1980" s="1"/>
      <c r="H1980" s="19"/>
      <c r="I1980" s="1"/>
      <c r="J1980" s="1"/>
      <c r="K1980" s="19"/>
      <c r="L1980" s="1"/>
      <c r="M1980" s="9"/>
      <c r="N1980" s="1"/>
      <c r="O1980" s="1"/>
      <c r="P1980" s="1"/>
      <c r="Q1980" s="1"/>
      <c r="R1980" s="1"/>
    </row>
    <row r="1981" spans="2:18">
      <c r="B1981" s="1"/>
      <c r="C1981" s="9"/>
      <c r="D1981" s="9"/>
      <c r="E1981" s="9"/>
      <c r="F1981" s="1"/>
      <c r="G1981" s="1"/>
      <c r="H1981" s="19"/>
      <c r="I1981" s="1"/>
      <c r="J1981" s="1"/>
      <c r="K1981" s="19"/>
      <c r="L1981" s="1"/>
      <c r="M1981" s="9"/>
      <c r="N1981" s="1"/>
      <c r="O1981" s="1"/>
      <c r="P1981" s="1"/>
      <c r="Q1981" s="1"/>
      <c r="R1981" s="1"/>
    </row>
    <row r="1982" spans="2:18">
      <c r="B1982" s="1"/>
      <c r="C1982" s="9"/>
      <c r="D1982" s="9"/>
      <c r="E1982" s="9"/>
      <c r="F1982" s="1"/>
      <c r="G1982" s="1"/>
      <c r="H1982" s="19"/>
      <c r="I1982" s="1"/>
      <c r="J1982" s="1"/>
      <c r="K1982" s="19"/>
      <c r="L1982" s="1"/>
      <c r="M1982" s="9"/>
      <c r="N1982" s="1"/>
      <c r="O1982" s="1"/>
      <c r="P1982" s="1"/>
      <c r="Q1982" s="1"/>
      <c r="R1982" s="1"/>
    </row>
    <row r="1983" spans="2:18">
      <c r="B1983" s="1"/>
      <c r="C1983" s="9"/>
      <c r="D1983" s="9"/>
      <c r="E1983" s="9"/>
      <c r="F1983" s="1"/>
      <c r="G1983" s="1"/>
      <c r="H1983" s="19"/>
      <c r="I1983" s="1"/>
      <c r="J1983" s="1"/>
      <c r="K1983" s="19"/>
      <c r="L1983" s="1"/>
      <c r="M1983" s="9"/>
      <c r="N1983" s="1"/>
      <c r="O1983" s="1"/>
      <c r="P1983" s="1"/>
      <c r="Q1983" s="1"/>
      <c r="R1983" s="1"/>
    </row>
    <row r="1984" spans="2:18">
      <c r="B1984" s="1"/>
      <c r="C1984" s="9"/>
      <c r="D1984" s="9"/>
      <c r="E1984" s="9"/>
      <c r="F1984" s="1"/>
      <c r="G1984" s="1"/>
      <c r="H1984" s="19"/>
      <c r="I1984" s="1"/>
      <c r="J1984" s="1"/>
      <c r="K1984" s="19"/>
      <c r="L1984" s="1"/>
      <c r="M1984" s="9"/>
      <c r="N1984" s="1"/>
      <c r="O1984" s="1"/>
      <c r="P1984" s="1"/>
      <c r="Q1984" s="1"/>
      <c r="R1984" s="1"/>
    </row>
    <row r="1985" spans="2:18">
      <c r="B1985" s="1"/>
      <c r="C1985" s="9"/>
      <c r="D1985" s="9"/>
      <c r="E1985" s="9"/>
      <c r="F1985" s="1"/>
      <c r="G1985" s="1"/>
      <c r="H1985" s="19"/>
      <c r="I1985" s="1"/>
      <c r="J1985" s="1"/>
      <c r="K1985" s="19"/>
      <c r="L1985" s="1"/>
      <c r="M1985" s="9"/>
      <c r="N1985" s="1"/>
      <c r="O1985" s="1"/>
      <c r="P1985" s="1"/>
      <c r="Q1985" s="1"/>
      <c r="R1985" s="1"/>
    </row>
    <row r="1986" spans="2:18">
      <c r="B1986" s="1"/>
      <c r="C1986" s="9"/>
      <c r="D1986" s="9"/>
      <c r="E1986" s="9"/>
      <c r="F1986" s="1"/>
      <c r="G1986" s="1"/>
      <c r="H1986" s="19"/>
      <c r="I1986" s="1"/>
      <c r="J1986" s="1"/>
      <c r="K1986" s="19"/>
      <c r="L1986" s="1"/>
      <c r="M1986" s="9"/>
      <c r="N1986" s="1"/>
      <c r="O1986" s="1"/>
      <c r="P1986" s="1"/>
      <c r="Q1986" s="1"/>
      <c r="R1986" s="1"/>
    </row>
    <row r="1987" spans="2:18">
      <c r="B1987" s="1"/>
      <c r="C1987" s="9"/>
      <c r="D1987" s="9"/>
      <c r="E1987" s="9"/>
      <c r="F1987" s="1"/>
      <c r="G1987" s="1"/>
      <c r="H1987" s="19"/>
      <c r="I1987" s="1"/>
      <c r="J1987" s="1"/>
      <c r="K1987" s="19"/>
      <c r="L1987" s="1"/>
      <c r="M1987" s="9"/>
      <c r="N1987" s="1"/>
      <c r="O1987" s="1"/>
      <c r="P1987" s="1"/>
      <c r="Q1987" s="1"/>
      <c r="R1987" s="1"/>
    </row>
    <row r="1988" spans="2:18">
      <c r="B1988" s="1"/>
      <c r="C1988" s="9"/>
      <c r="D1988" s="9"/>
      <c r="E1988" s="9"/>
      <c r="F1988" s="1"/>
      <c r="G1988" s="1"/>
      <c r="H1988" s="19"/>
      <c r="I1988" s="1"/>
      <c r="J1988" s="1"/>
      <c r="K1988" s="19"/>
      <c r="L1988" s="1"/>
      <c r="M1988" s="9"/>
      <c r="N1988" s="1"/>
      <c r="O1988" s="1"/>
      <c r="P1988" s="1"/>
      <c r="Q1988" s="1"/>
      <c r="R1988" s="1"/>
    </row>
    <row r="1989" spans="2:18">
      <c r="B1989" s="1"/>
      <c r="C1989" s="9"/>
      <c r="D1989" s="9"/>
      <c r="E1989" s="9"/>
      <c r="F1989" s="1"/>
      <c r="G1989" s="1"/>
      <c r="H1989" s="19"/>
      <c r="I1989" s="1"/>
      <c r="J1989" s="1"/>
      <c r="K1989" s="19"/>
      <c r="L1989" s="1"/>
      <c r="M1989" s="9"/>
      <c r="N1989" s="1"/>
      <c r="O1989" s="1"/>
      <c r="P1989" s="1"/>
      <c r="Q1989" s="1"/>
      <c r="R1989" s="1"/>
    </row>
    <row r="1990" spans="2:18">
      <c r="B1990" s="1"/>
      <c r="C1990" s="9"/>
      <c r="D1990" s="9"/>
      <c r="E1990" s="9"/>
      <c r="F1990" s="1"/>
      <c r="G1990" s="1"/>
      <c r="H1990" s="19"/>
      <c r="I1990" s="1"/>
      <c r="J1990" s="1"/>
      <c r="K1990" s="19"/>
      <c r="L1990" s="1"/>
      <c r="M1990" s="9"/>
      <c r="N1990" s="1"/>
      <c r="O1990" s="1"/>
      <c r="P1990" s="1"/>
      <c r="Q1990" s="1"/>
      <c r="R1990" s="1"/>
    </row>
    <row r="1991" spans="2:18">
      <c r="B1991" s="1"/>
      <c r="C1991" s="9"/>
      <c r="D1991" s="9"/>
      <c r="E1991" s="9"/>
      <c r="F1991" s="1"/>
      <c r="G1991" s="1"/>
      <c r="H1991" s="19"/>
      <c r="I1991" s="1"/>
      <c r="J1991" s="1"/>
      <c r="K1991" s="19"/>
      <c r="L1991" s="1"/>
      <c r="M1991" s="9"/>
      <c r="N1991" s="1"/>
      <c r="O1991" s="1"/>
      <c r="P1991" s="1"/>
      <c r="Q1991" s="1"/>
      <c r="R1991" s="1"/>
    </row>
    <row r="1992" spans="2:18">
      <c r="B1992" s="1"/>
      <c r="C1992" s="9"/>
      <c r="D1992" s="9"/>
      <c r="E1992" s="9"/>
      <c r="F1992" s="1"/>
      <c r="G1992" s="1"/>
      <c r="H1992" s="19"/>
      <c r="I1992" s="1"/>
      <c r="J1992" s="1"/>
      <c r="K1992" s="19"/>
      <c r="L1992" s="1"/>
      <c r="M1992" s="9"/>
      <c r="N1992" s="1"/>
      <c r="O1992" s="1"/>
      <c r="P1992" s="1"/>
      <c r="Q1992" s="1"/>
      <c r="R1992" s="1"/>
    </row>
    <row r="1993" spans="2:18">
      <c r="B1993" s="1"/>
      <c r="C1993" s="9"/>
      <c r="D1993" s="9"/>
      <c r="E1993" s="9"/>
      <c r="F1993" s="1"/>
      <c r="G1993" s="1"/>
      <c r="H1993" s="19"/>
      <c r="I1993" s="1"/>
      <c r="J1993" s="1"/>
      <c r="K1993" s="19"/>
      <c r="L1993" s="1"/>
      <c r="M1993" s="9"/>
      <c r="N1993" s="1"/>
      <c r="O1993" s="1"/>
      <c r="P1993" s="1"/>
      <c r="Q1993" s="1"/>
      <c r="R1993" s="1"/>
    </row>
    <row r="1994" spans="2:18">
      <c r="B1994" s="1"/>
      <c r="C1994" s="9"/>
      <c r="D1994" s="9"/>
      <c r="E1994" s="9"/>
      <c r="F1994" s="1"/>
      <c r="G1994" s="1"/>
      <c r="H1994" s="19"/>
      <c r="I1994" s="1"/>
      <c r="J1994" s="1"/>
      <c r="K1994" s="19"/>
      <c r="L1994" s="1"/>
      <c r="M1994" s="9"/>
      <c r="N1994" s="1"/>
      <c r="O1994" s="1"/>
      <c r="P1994" s="1"/>
      <c r="Q1994" s="1"/>
      <c r="R1994" s="1"/>
    </row>
    <row r="1995" spans="2:18">
      <c r="B1995" s="1"/>
      <c r="C1995" s="9"/>
      <c r="D1995" s="9"/>
      <c r="E1995" s="9"/>
      <c r="F1995" s="1"/>
      <c r="G1995" s="1"/>
      <c r="H1995" s="19"/>
      <c r="I1995" s="1"/>
      <c r="J1995" s="1"/>
      <c r="K1995" s="19"/>
      <c r="L1995" s="1"/>
      <c r="M1995" s="9"/>
      <c r="N1995" s="1"/>
      <c r="O1995" s="1"/>
      <c r="P1995" s="1"/>
      <c r="Q1995" s="1"/>
      <c r="R1995" s="1"/>
    </row>
    <row r="1996" spans="2:18">
      <c r="B1996" s="1"/>
      <c r="C1996" s="9"/>
      <c r="D1996" s="9"/>
      <c r="E1996" s="9"/>
      <c r="F1996" s="1"/>
      <c r="G1996" s="1"/>
      <c r="H1996" s="19"/>
      <c r="I1996" s="1"/>
      <c r="J1996" s="1"/>
      <c r="K1996" s="19"/>
      <c r="L1996" s="1"/>
      <c r="M1996" s="9"/>
      <c r="N1996" s="1"/>
      <c r="O1996" s="1"/>
      <c r="P1996" s="1"/>
      <c r="Q1996" s="1"/>
      <c r="R1996" s="1"/>
    </row>
    <row r="1997" spans="2:18">
      <c r="B1997" s="1"/>
      <c r="C1997" s="9"/>
      <c r="D1997" s="9"/>
      <c r="E1997" s="9"/>
      <c r="F1997" s="1"/>
      <c r="G1997" s="1"/>
      <c r="H1997" s="19"/>
      <c r="I1997" s="1"/>
      <c r="J1997" s="1"/>
      <c r="K1997" s="19"/>
      <c r="L1997" s="1"/>
      <c r="M1997" s="9"/>
      <c r="N1997" s="1"/>
      <c r="O1997" s="1"/>
      <c r="P1997" s="1"/>
      <c r="Q1997" s="1"/>
      <c r="R1997" s="1"/>
    </row>
    <row r="1998" spans="2:18">
      <c r="B1998" s="1"/>
      <c r="C1998" s="9"/>
      <c r="D1998" s="9"/>
      <c r="E1998" s="9"/>
      <c r="F1998" s="1"/>
      <c r="G1998" s="1"/>
      <c r="H1998" s="19"/>
      <c r="I1998" s="1"/>
      <c r="J1998" s="1"/>
      <c r="K1998" s="19"/>
      <c r="L1998" s="1"/>
      <c r="M1998" s="9"/>
      <c r="N1998" s="1"/>
      <c r="O1998" s="1"/>
      <c r="P1998" s="1"/>
      <c r="Q1998" s="1"/>
      <c r="R1998" s="1"/>
    </row>
    <row r="1999" spans="2:18">
      <c r="B1999" s="1"/>
      <c r="C1999" s="9"/>
      <c r="D1999" s="9"/>
      <c r="E1999" s="9"/>
      <c r="F1999" s="1"/>
      <c r="G1999" s="1"/>
      <c r="H1999" s="19"/>
      <c r="I1999" s="1"/>
      <c r="J1999" s="1"/>
      <c r="K1999" s="19"/>
      <c r="L1999" s="1"/>
      <c r="M1999" s="9"/>
      <c r="N1999" s="1"/>
      <c r="O1999" s="1"/>
      <c r="P1999" s="1"/>
      <c r="Q1999" s="1"/>
      <c r="R1999" s="1"/>
    </row>
    <row r="2000" spans="2:18">
      <c r="B2000" s="1"/>
      <c r="C2000" s="9"/>
      <c r="D2000" s="9"/>
      <c r="E2000" s="9"/>
      <c r="F2000" s="1"/>
      <c r="G2000" s="1"/>
      <c r="H2000" s="19"/>
      <c r="I2000" s="1"/>
      <c r="J2000" s="1"/>
      <c r="K2000" s="19"/>
      <c r="L2000" s="1"/>
      <c r="M2000" s="9"/>
      <c r="N2000" s="1"/>
      <c r="O2000" s="1"/>
      <c r="P2000" s="1"/>
      <c r="Q2000" s="1"/>
      <c r="R2000" s="1"/>
    </row>
    <row r="2001" spans="2:18">
      <c r="B2001" s="1"/>
      <c r="C2001" s="9"/>
      <c r="D2001" s="9"/>
      <c r="E2001" s="9"/>
      <c r="F2001" s="1"/>
      <c r="G2001" s="1"/>
      <c r="H2001" s="19"/>
      <c r="I2001" s="1"/>
      <c r="J2001" s="1"/>
      <c r="K2001" s="19"/>
      <c r="L2001" s="1"/>
      <c r="M2001" s="9"/>
      <c r="N2001" s="1"/>
      <c r="O2001" s="1"/>
      <c r="P2001" s="1"/>
      <c r="Q2001" s="1"/>
      <c r="R2001" s="1"/>
    </row>
    <row r="2002" spans="2:18">
      <c r="B2002" s="1"/>
      <c r="C2002" s="9"/>
      <c r="D2002" s="9"/>
      <c r="E2002" s="9"/>
      <c r="F2002" s="1"/>
      <c r="G2002" s="1"/>
      <c r="H2002" s="19"/>
      <c r="I2002" s="1"/>
      <c r="J2002" s="1"/>
      <c r="K2002" s="19"/>
      <c r="L2002" s="1"/>
      <c r="M2002" s="9"/>
      <c r="N2002" s="1"/>
      <c r="O2002" s="1"/>
      <c r="P2002" s="1"/>
      <c r="Q2002" s="1"/>
      <c r="R2002" s="1"/>
    </row>
    <row r="2003" spans="2:18">
      <c r="B2003" s="1"/>
      <c r="C2003" s="9"/>
      <c r="D2003" s="9"/>
      <c r="E2003" s="9"/>
      <c r="F2003" s="1"/>
      <c r="G2003" s="1"/>
      <c r="H2003" s="19"/>
      <c r="I2003" s="1"/>
      <c r="J2003" s="1"/>
      <c r="K2003" s="19"/>
      <c r="L2003" s="1"/>
      <c r="M2003" s="9"/>
      <c r="N2003" s="1"/>
      <c r="O2003" s="1"/>
      <c r="P2003" s="1"/>
      <c r="Q2003" s="1"/>
      <c r="R2003" s="1"/>
    </row>
    <row r="2004" spans="2:18">
      <c r="B2004" s="1"/>
      <c r="C2004" s="9"/>
      <c r="D2004" s="9"/>
      <c r="E2004" s="9"/>
      <c r="F2004" s="1"/>
      <c r="G2004" s="1"/>
      <c r="H2004" s="19"/>
      <c r="I2004" s="1"/>
      <c r="J2004" s="1"/>
      <c r="K2004" s="19"/>
      <c r="L2004" s="1"/>
      <c r="M2004" s="9"/>
      <c r="N2004" s="1"/>
      <c r="O2004" s="1"/>
      <c r="P2004" s="1"/>
      <c r="Q2004" s="1"/>
      <c r="R2004" s="1"/>
    </row>
    <row r="2005" spans="2:18">
      <c r="B2005" s="1"/>
      <c r="C2005" s="9"/>
      <c r="D2005" s="9"/>
      <c r="E2005" s="9"/>
      <c r="F2005" s="1"/>
      <c r="G2005" s="1"/>
      <c r="H2005" s="19"/>
      <c r="I2005" s="1"/>
      <c r="J2005" s="1"/>
      <c r="K2005" s="19"/>
      <c r="L2005" s="1"/>
      <c r="M2005" s="9"/>
      <c r="N2005" s="1"/>
      <c r="O2005" s="1"/>
      <c r="P2005" s="1"/>
      <c r="Q2005" s="1"/>
      <c r="R2005" s="1"/>
    </row>
    <row r="2006" spans="2:18">
      <c r="B2006" s="1"/>
      <c r="C2006" s="9"/>
      <c r="D2006" s="9"/>
      <c r="E2006" s="9"/>
      <c r="F2006" s="1"/>
      <c r="G2006" s="1"/>
      <c r="H2006" s="19"/>
      <c r="I2006" s="1"/>
      <c r="J2006" s="1"/>
      <c r="K2006" s="19"/>
      <c r="L2006" s="1"/>
      <c r="M2006" s="9"/>
      <c r="N2006" s="1"/>
      <c r="O2006" s="1"/>
      <c r="P2006" s="1"/>
      <c r="Q2006" s="1"/>
      <c r="R2006" s="1"/>
    </row>
    <row r="2007" spans="2:18">
      <c r="B2007" s="1"/>
      <c r="C2007" s="9"/>
      <c r="D2007" s="9"/>
      <c r="E2007" s="9"/>
      <c r="F2007" s="1"/>
      <c r="G2007" s="1"/>
      <c r="H2007" s="19"/>
      <c r="I2007" s="1"/>
      <c r="J2007" s="1"/>
      <c r="K2007" s="19"/>
      <c r="L2007" s="1"/>
      <c r="M2007" s="9"/>
      <c r="N2007" s="1"/>
      <c r="O2007" s="1"/>
      <c r="P2007" s="1"/>
      <c r="Q2007" s="1"/>
      <c r="R2007" s="1"/>
    </row>
    <row r="2008" spans="2:18">
      <c r="B2008" s="1"/>
      <c r="C2008" s="9"/>
      <c r="D2008" s="9"/>
      <c r="E2008" s="9"/>
      <c r="F2008" s="1"/>
      <c r="G2008" s="1"/>
      <c r="H2008" s="19"/>
      <c r="I2008" s="1"/>
      <c r="J2008" s="1"/>
      <c r="K2008" s="19"/>
      <c r="L2008" s="1"/>
      <c r="M2008" s="9"/>
      <c r="N2008" s="1"/>
      <c r="O2008" s="1"/>
      <c r="P2008" s="1"/>
      <c r="Q2008" s="1"/>
      <c r="R2008" s="1"/>
    </row>
    <row r="2009" spans="2:18">
      <c r="B2009" s="1"/>
      <c r="C2009" s="9"/>
      <c r="D2009" s="9"/>
      <c r="E2009" s="9"/>
      <c r="F2009" s="1"/>
      <c r="G2009" s="1"/>
      <c r="H2009" s="19"/>
      <c r="I2009" s="1"/>
      <c r="J2009" s="1"/>
      <c r="K2009" s="19"/>
      <c r="L2009" s="1"/>
      <c r="M2009" s="9"/>
      <c r="N2009" s="1"/>
      <c r="O2009" s="1"/>
      <c r="P2009" s="1"/>
      <c r="Q2009" s="1"/>
      <c r="R2009" s="1"/>
    </row>
    <row r="2010" spans="2:18">
      <c r="B2010" s="1"/>
      <c r="C2010" s="9"/>
      <c r="D2010" s="9"/>
      <c r="E2010" s="9"/>
      <c r="F2010" s="1"/>
      <c r="G2010" s="1"/>
      <c r="H2010" s="19"/>
      <c r="I2010" s="1"/>
      <c r="J2010" s="1"/>
      <c r="K2010" s="19"/>
      <c r="L2010" s="1"/>
      <c r="M2010" s="9"/>
      <c r="N2010" s="1"/>
      <c r="O2010" s="1"/>
      <c r="P2010" s="1"/>
      <c r="Q2010" s="1"/>
      <c r="R2010" s="1"/>
    </row>
    <row r="2011" spans="2:18">
      <c r="B2011" s="1"/>
      <c r="C2011" s="9"/>
      <c r="D2011" s="9"/>
      <c r="E2011" s="9"/>
      <c r="F2011" s="1"/>
      <c r="G2011" s="1"/>
      <c r="H2011" s="19"/>
      <c r="I2011" s="1"/>
      <c r="J2011" s="1"/>
      <c r="K2011" s="19"/>
      <c r="L2011" s="1"/>
      <c r="M2011" s="9"/>
      <c r="N2011" s="1"/>
      <c r="O2011" s="1"/>
      <c r="P2011" s="1"/>
      <c r="Q2011" s="1"/>
      <c r="R2011" s="1"/>
    </row>
    <row r="2012" spans="2:18">
      <c r="B2012" s="1"/>
      <c r="C2012" s="9"/>
      <c r="D2012" s="9"/>
      <c r="E2012" s="9"/>
      <c r="F2012" s="1"/>
      <c r="G2012" s="1"/>
      <c r="H2012" s="19"/>
      <c r="I2012" s="1"/>
      <c r="J2012" s="1"/>
      <c r="K2012" s="19"/>
      <c r="L2012" s="1"/>
      <c r="M2012" s="9"/>
      <c r="N2012" s="1"/>
      <c r="O2012" s="1"/>
      <c r="P2012" s="1"/>
      <c r="Q2012" s="1"/>
      <c r="R2012" s="1"/>
    </row>
    <row r="2013" spans="2:18">
      <c r="B2013" s="1"/>
      <c r="C2013" s="9"/>
      <c r="D2013" s="9"/>
      <c r="E2013" s="9"/>
      <c r="F2013" s="1"/>
      <c r="G2013" s="1"/>
      <c r="H2013" s="19"/>
      <c r="I2013" s="1"/>
      <c r="J2013" s="1"/>
      <c r="K2013" s="19"/>
      <c r="L2013" s="1"/>
      <c r="M2013" s="9"/>
      <c r="N2013" s="1"/>
      <c r="O2013" s="1"/>
      <c r="P2013" s="1"/>
      <c r="Q2013" s="1"/>
      <c r="R2013" s="1"/>
    </row>
    <row r="2014" spans="2:18">
      <c r="B2014" s="1"/>
      <c r="C2014" s="9"/>
      <c r="D2014" s="9"/>
      <c r="E2014" s="9"/>
      <c r="F2014" s="1"/>
      <c r="G2014" s="1"/>
      <c r="H2014" s="19"/>
      <c r="I2014" s="1"/>
      <c r="J2014" s="1"/>
      <c r="K2014" s="19"/>
      <c r="L2014" s="1"/>
      <c r="M2014" s="9"/>
      <c r="N2014" s="1"/>
      <c r="O2014" s="1"/>
      <c r="P2014" s="1"/>
      <c r="Q2014" s="1"/>
      <c r="R2014" s="1"/>
    </row>
    <row r="2015" spans="2:18">
      <c r="B2015" s="1"/>
      <c r="C2015" s="9"/>
      <c r="D2015" s="9"/>
      <c r="E2015" s="9"/>
      <c r="F2015" s="1"/>
      <c r="G2015" s="1"/>
      <c r="H2015" s="19"/>
      <c r="I2015" s="1"/>
      <c r="J2015" s="1"/>
      <c r="K2015" s="19"/>
      <c r="L2015" s="1"/>
      <c r="M2015" s="9"/>
      <c r="N2015" s="1"/>
      <c r="O2015" s="1"/>
      <c r="P2015" s="1"/>
      <c r="Q2015" s="1"/>
      <c r="R2015" s="1"/>
    </row>
    <row r="2016" spans="2:18">
      <c r="B2016" s="1"/>
      <c r="C2016" s="9"/>
      <c r="D2016" s="9"/>
      <c r="E2016" s="9"/>
      <c r="F2016" s="1"/>
      <c r="G2016" s="1"/>
      <c r="H2016" s="19"/>
      <c r="I2016" s="1"/>
      <c r="J2016" s="1"/>
      <c r="K2016" s="19"/>
      <c r="L2016" s="1"/>
      <c r="M2016" s="9"/>
      <c r="N2016" s="1"/>
      <c r="O2016" s="1"/>
      <c r="P2016" s="1"/>
      <c r="Q2016" s="1"/>
      <c r="R2016" s="1"/>
    </row>
    <row r="2017" spans="2:18">
      <c r="B2017" s="1"/>
      <c r="C2017" s="9"/>
      <c r="D2017" s="9"/>
      <c r="E2017" s="9"/>
      <c r="F2017" s="1"/>
      <c r="G2017" s="1"/>
      <c r="H2017" s="19"/>
      <c r="I2017" s="1"/>
      <c r="J2017" s="1"/>
      <c r="K2017" s="19"/>
      <c r="L2017" s="1"/>
      <c r="M2017" s="9"/>
      <c r="N2017" s="1"/>
      <c r="O2017" s="1"/>
      <c r="P2017" s="1"/>
      <c r="Q2017" s="1"/>
      <c r="R2017" s="1"/>
    </row>
    <row r="2018" spans="2:18">
      <c r="B2018" s="1"/>
      <c r="C2018" s="9"/>
      <c r="D2018" s="9"/>
      <c r="E2018" s="9"/>
      <c r="F2018" s="1"/>
      <c r="G2018" s="1"/>
      <c r="H2018" s="19"/>
      <c r="I2018" s="1"/>
      <c r="J2018" s="1"/>
      <c r="K2018" s="19"/>
      <c r="L2018" s="1"/>
      <c r="M2018" s="9"/>
      <c r="N2018" s="1"/>
      <c r="O2018" s="1"/>
      <c r="P2018" s="1"/>
      <c r="Q2018" s="1"/>
      <c r="R2018" s="1"/>
    </row>
    <row r="2019" spans="2:18">
      <c r="B2019" s="1"/>
      <c r="C2019" s="9"/>
      <c r="D2019" s="9"/>
      <c r="E2019" s="9"/>
      <c r="F2019" s="1"/>
      <c r="G2019" s="1"/>
      <c r="H2019" s="19"/>
      <c r="I2019" s="1"/>
      <c r="J2019" s="1"/>
      <c r="K2019" s="19"/>
      <c r="L2019" s="1"/>
      <c r="M2019" s="9"/>
      <c r="N2019" s="1"/>
      <c r="O2019" s="1"/>
      <c r="P2019" s="1"/>
      <c r="Q2019" s="1"/>
      <c r="R2019" s="1"/>
    </row>
    <row r="2020" spans="2:18">
      <c r="B2020" s="1"/>
      <c r="C2020" s="9"/>
      <c r="D2020" s="9"/>
      <c r="E2020" s="9"/>
      <c r="F2020" s="1"/>
      <c r="G2020" s="1"/>
      <c r="H2020" s="19"/>
      <c r="I2020" s="1"/>
      <c r="J2020" s="1"/>
      <c r="K2020" s="19"/>
      <c r="L2020" s="1"/>
      <c r="M2020" s="9"/>
      <c r="N2020" s="1"/>
      <c r="O2020" s="1"/>
      <c r="P2020" s="1"/>
      <c r="Q2020" s="1"/>
      <c r="R2020" s="1"/>
    </row>
    <row r="2021" spans="2:18">
      <c r="B2021" s="1"/>
      <c r="C2021" s="9"/>
      <c r="D2021" s="9"/>
      <c r="E2021" s="9"/>
      <c r="F2021" s="1"/>
      <c r="G2021" s="1"/>
      <c r="H2021" s="19"/>
      <c r="I2021" s="1"/>
      <c r="J2021" s="1"/>
      <c r="K2021" s="19"/>
      <c r="L2021" s="1"/>
      <c r="M2021" s="9"/>
      <c r="N2021" s="1"/>
      <c r="O2021" s="1"/>
      <c r="P2021" s="1"/>
      <c r="Q2021" s="1"/>
      <c r="R2021" s="1"/>
    </row>
    <row r="2022" spans="2:18">
      <c r="B2022" s="1"/>
      <c r="C2022" s="9"/>
      <c r="D2022" s="9"/>
      <c r="E2022" s="9"/>
      <c r="F2022" s="1"/>
      <c r="G2022" s="1"/>
      <c r="H2022" s="19"/>
      <c r="I2022" s="1"/>
      <c r="J2022" s="1"/>
      <c r="K2022" s="19"/>
      <c r="L2022" s="1"/>
      <c r="M2022" s="9"/>
      <c r="N2022" s="1"/>
      <c r="O2022" s="1"/>
      <c r="P2022" s="1"/>
      <c r="Q2022" s="1"/>
      <c r="R2022" s="1"/>
    </row>
    <row r="2023" spans="2:18">
      <c r="B2023" s="1"/>
      <c r="C2023" s="9"/>
      <c r="D2023" s="9"/>
      <c r="E2023" s="9"/>
      <c r="F2023" s="1"/>
      <c r="G2023" s="1"/>
      <c r="H2023" s="19"/>
      <c r="I2023" s="1"/>
      <c r="J2023" s="1"/>
      <c r="K2023" s="19"/>
      <c r="L2023" s="1"/>
      <c r="M2023" s="9"/>
      <c r="N2023" s="1"/>
      <c r="O2023" s="1"/>
      <c r="P2023" s="1"/>
      <c r="Q2023" s="1"/>
      <c r="R2023" s="1"/>
    </row>
    <row r="2024" spans="2:18">
      <c r="B2024" s="1"/>
      <c r="C2024" s="9"/>
      <c r="D2024" s="9"/>
      <c r="E2024" s="9"/>
      <c r="F2024" s="1"/>
      <c r="G2024" s="1"/>
      <c r="H2024" s="19"/>
      <c r="I2024" s="1"/>
      <c r="J2024" s="1"/>
      <c r="K2024" s="19"/>
      <c r="L2024" s="1"/>
      <c r="M2024" s="9"/>
      <c r="N2024" s="1"/>
      <c r="O2024" s="1"/>
      <c r="P2024" s="1"/>
      <c r="Q2024" s="1"/>
      <c r="R2024" s="1"/>
    </row>
    <row r="2025" spans="2:18">
      <c r="B2025" s="1"/>
      <c r="C2025" s="9"/>
      <c r="D2025" s="9"/>
      <c r="E2025" s="9"/>
      <c r="F2025" s="1"/>
      <c r="G2025" s="1"/>
      <c r="H2025" s="19"/>
      <c r="I2025" s="1"/>
      <c r="J2025" s="1"/>
      <c r="K2025" s="19"/>
      <c r="L2025" s="1"/>
      <c r="M2025" s="9"/>
      <c r="N2025" s="1"/>
      <c r="O2025" s="1"/>
      <c r="P2025" s="1"/>
      <c r="Q2025" s="1"/>
      <c r="R2025" s="1"/>
    </row>
    <row r="2026" spans="2:18">
      <c r="B2026" s="1"/>
      <c r="C2026" s="9"/>
      <c r="D2026" s="9"/>
      <c r="E2026" s="9"/>
      <c r="F2026" s="1"/>
      <c r="G2026" s="1"/>
      <c r="H2026" s="19"/>
      <c r="I2026" s="1"/>
      <c r="J2026" s="1"/>
      <c r="K2026" s="19"/>
      <c r="L2026" s="1"/>
      <c r="M2026" s="9"/>
      <c r="N2026" s="1"/>
      <c r="O2026" s="1"/>
      <c r="P2026" s="1"/>
      <c r="Q2026" s="1"/>
      <c r="R2026" s="1"/>
    </row>
    <row r="2027" spans="2:18">
      <c r="B2027" s="1"/>
      <c r="C2027" s="9"/>
      <c r="D2027" s="9"/>
      <c r="E2027" s="9"/>
      <c r="F2027" s="1"/>
      <c r="G2027" s="1"/>
      <c r="H2027" s="19"/>
      <c r="I2027" s="1"/>
      <c r="J2027" s="1"/>
      <c r="K2027" s="19"/>
      <c r="L2027" s="1"/>
      <c r="M2027" s="9"/>
      <c r="N2027" s="1"/>
      <c r="O2027" s="1"/>
      <c r="P2027" s="1"/>
      <c r="Q2027" s="1"/>
      <c r="R2027" s="1"/>
    </row>
    <row r="2028" spans="2:18">
      <c r="B2028" s="1"/>
      <c r="C2028" s="9"/>
      <c r="D2028" s="9"/>
      <c r="E2028" s="9"/>
      <c r="F2028" s="1"/>
      <c r="G2028" s="1"/>
      <c r="H2028" s="19"/>
      <c r="I2028" s="1"/>
      <c r="J2028" s="1"/>
      <c r="K2028" s="19"/>
      <c r="L2028" s="1"/>
      <c r="M2028" s="9"/>
      <c r="N2028" s="1"/>
      <c r="O2028" s="1"/>
      <c r="P2028" s="1"/>
      <c r="Q2028" s="1"/>
      <c r="R2028" s="1"/>
    </row>
    <row r="2029" spans="2:18">
      <c r="B2029" s="1"/>
      <c r="C2029" s="9"/>
      <c r="D2029" s="9"/>
      <c r="E2029" s="9"/>
      <c r="F2029" s="1"/>
      <c r="G2029" s="1"/>
      <c r="H2029" s="19"/>
      <c r="I2029" s="1"/>
      <c r="J2029" s="1"/>
      <c r="K2029" s="19"/>
      <c r="L2029" s="1"/>
      <c r="M2029" s="9"/>
      <c r="N2029" s="1"/>
      <c r="O2029" s="1"/>
      <c r="P2029" s="1"/>
      <c r="Q2029" s="1"/>
      <c r="R2029" s="1"/>
    </row>
    <row r="2030" spans="2:18">
      <c r="B2030" s="1"/>
      <c r="C2030" s="9"/>
      <c r="D2030" s="9"/>
      <c r="E2030" s="9"/>
      <c r="F2030" s="1"/>
      <c r="G2030" s="1"/>
      <c r="H2030" s="19"/>
      <c r="I2030" s="1"/>
      <c r="J2030" s="1"/>
      <c r="K2030" s="19"/>
      <c r="L2030" s="1"/>
      <c r="M2030" s="9"/>
      <c r="N2030" s="1"/>
      <c r="O2030" s="1"/>
      <c r="P2030" s="1"/>
      <c r="Q2030" s="1"/>
      <c r="R2030" s="1"/>
    </row>
    <row r="2031" spans="2:18">
      <c r="B2031" s="1"/>
      <c r="C2031" s="9"/>
      <c r="D2031" s="9"/>
      <c r="E2031" s="9"/>
      <c r="F2031" s="1"/>
      <c r="G2031" s="1"/>
      <c r="H2031" s="19"/>
      <c r="I2031" s="1"/>
      <c r="J2031" s="1"/>
      <c r="K2031" s="19"/>
      <c r="L2031" s="1"/>
      <c r="M2031" s="9"/>
      <c r="N2031" s="1"/>
      <c r="O2031" s="1"/>
      <c r="P2031" s="1"/>
      <c r="Q2031" s="1"/>
      <c r="R2031" s="1"/>
    </row>
    <row r="2032" spans="2:18">
      <c r="B2032" s="1"/>
      <c r="C2032" s="9"/>
      <c r="D2032" s="9"/>
      <c r="E2032" s="9"/>
      <c r="F2032" s="1"/>
      <c r="G2032" s="1"/>
      <c r="H2032" s="19"/>
      <c r="I2032" s="1"/>
      <c r="J2032" s="1"/>
      <c r="K2032" s="19"/>
      <c r="L2032" s="1"/>
      <c r="M2032" s="9"/>
      <c r="N2032" s="1"/>
      <c r="O2032" s="1"/>
      <c r="P2032" s="1"/>
      <c r="Q2032" s="1"/>
      <c r="R2032" s="1"/>
    </row>
    <row r="2033" spans="2:18">
      <c r="B2033" s="1"/>
      <c r="C2033" s="9"/>
      <c r="D2033" s="9"/>
      <c r="E2033" s="9"/>
      <c r="F2033" s="1"/>
      <c r="G2033" s="1"/>
      <c r="H2033" s="19"/>
      <c r="I2033" s="1"/>
      <c r="J2033" s="1"/>
      <c r="K2033" s="19"/>
      <c r="L2033" s="1"/>
      <c r="M2033" s="9"/>
      <c r="N2033" s="1"/>
      <c r="O2033" s="1"/>
      <c r="P2033" s="1"/>
      <c r="Q2033" s="1"/>
      <c r="R2033" s="1"/>
    </row>
    <row r="2034" spans="2:18">
      <c r="B2034" s="1"/>
      <c r="C2034" s="9"/>
      <c r="D2034" s="9"/>
      <c r="E2034" s="9"/>
      <c r="F2034" s="1"/>
      <c r="G2034" s="1"/>
      <c r="H2034" s="19"/>
      <c r="I2034" s="1"/>
      <c r="J2034" s="1"/>
      <c r="K2034" s="19"/>
      <c r="L2034" s="1"/>
      <c r="M2034" s="9"/>
      <c r="N2034" s="1"/>
      <c r="O2034" s="1"/>
      <c r="P2034" s="1"/>
      <c r="Q2034" s="1"/>
      <c r="R2034" s="1"/>
    </row>
    <row r="2035" spans="2:18">
      <c r="B2035" s="1"/>
      <c r="C2035" s="9"/>
      <c r="D2035" s="9"/>
      <c r="E2035" s="9"/>
      <c r="F2035" s="1"/>
      <c r="G2035" s="1"/>
      <c r="H2035" s="19"/>
      <c r="I2035" s="1"/>
      <c r="J2035" s="1"/>
      <c r="K2035" s="19"/>
      <c r="L2035" s="1"/>
      <c r="M2035" s="9"/>
      <c r="N2035" s="1"/>
      <c r="O2035" s="1"/>
      <c r="P2035" s="1"/>
      <c r="Q2035" s="1"/>
      <c r="R2035" s="1"/>
    </row>
    <row r="2036" spans="2:18">
      <c r="B2036" s="1"/>
      <c r="C2036" s="9"/>
      <c r="D2036" s="9"/>
      <c r="E2036" s="9"/>
      <c r="F2036" s="1"/>
      <c r="G2036" s="1"/>
      <c r="H2036" s="19"/>
      <c r="I2036" s="1"/>
      <c r="J2036" s="1"/>
      <c r="K2036" s="19"/>
      <c r="L2036" s="1"/>
      <c r="M2036" s="9"/>
      <c r="N2036" s="1"/>
      <c r="O2036" s="1"/>
      <c r="P2036" s="1"/>
      <c r="Q2036" s="1"/>
      <c r="R2036" s="1"/>
    </row>
    <row r="2037" spans="2:18">
      <c r="B2037" s="1"/>
      <c r="C2037" s="9"/>
      <c r="D2037" s="9"/>
      <c r="E2037" s="9"/>
      <c r="F2037" s="1"/>
      <c r="G2037" s="1"/>
      <c r="H2037" s="19"/>
      <c r="I2037" s="1"/>
      <c r="J2037" s="1"/>
      <c r="K2037" s="19"/>
      <c r="L2037" s="1"/>
      <c r="M2037" s="9"/>
      <c r="N2037" s="1"/>
      <c r="O2037" s="1"/>
      <c r="P2037" s="1"/>
      <c r="Q2037" s="1"/>
      <c r="R2037" s="1"/>
    </row>
    <row r="2038" spans="2:18">
      <c r="B2038" s="1"/>
      <c r="C2038" s="9"/>
      <c r="D2038" s="9"/>
      <c r="E2038" s="9"/>
      <c r="F2038" s="1"/>
      <c r="G2038" s="1"/>
      <c r="H2038" s="19"/>
      <c r="I2038" s="1"/>
      <c r="J2038" s="1"/>
      <c r="K2038" s="19"/>
      <c r="L2038" s="1"/>
      <c r="M2038" s="9"/>
      <c r="N2038" s="1"/>
      <c r="O2038" s="1"/>
      <c r="P2038" s="1"/>
      <c r="Q2038" s="1"/>
      <c r="R2038" s="1"/>
    </row>
    <row r="2039" spans="2:18">
      <c r="B2039" s="1"/>
      <c r="C2039" s="9"/>
      <c r="D2039" s="9"/>
      <c r="E2039" s="9"/>
      <c r="F2039" s="1"/>
      <c r="G2039" s="1"/>
      <c r="H2039" s="19"/>
      <c r="I2039" s="1"/>
      <c r="J2039" s="1"/>
      <c r="K2039" s="19"/>
      <c r="L2039" s="1"/>
      <c r="M2039" s="9"/>
      <c r="N2039" s="1"/>
      <c r="O2039" s="1"/>
      <c r="P2039" s="1"/>
      <c r="Q2039" s="1"/>
      <c r="R2039" s="1"/>
    </row>
    <row r="2040" spans="2:18">
      <c r="B2040" s="1"/>
      <c r="C2040" s="9"/>
      <c r="D2040" s="9"/>
      <c r="E2040" s="9"/>
      <c r="F2040" s="1"/>
      <c r="G2040" s="1"/>
      <c r="H2040" s="19"/>
      <c r="I2040" s="1"/>
      <c r="J2040" s="1"/>
      <c r="K2040" s="19"/>
      <c r="L2040" s="1"/>
      <c r="M2040" s="9"/>
      <c r="N2040" s="1"/>
      <c r="O2040" s="1"/>
      <c r="P2040" s="1"/>
      <c r="Q2040" s="1"/>
      <c r="R2040" s="1"/>
    </row>
    <row r="2041" spans="2:18">
      <c r="B2041" s="1"/>
      <c r="C2041" s="9"/>
      <c r="D2041" s="9"/>
      <c r="E2041" s="9"/>
      <c r="F2041" s="1"/>
      <c r="G2041" s="1"/>
      <c r="H2041" s="19"/>
      <c r="I2041" s="1"/>
      <c r="J2041" s="1"/>
      <c r="K2041" s="19"/>
      <c r="L2041" s="1"/>
      <c r="M2041" s="9"/>
      <c r="N2041" s="1"/>
      <c r="O2041" s="1"/>
      <c r="P2041" s="1"/>
      <c r="Q2041" s="1"/>
      <c r="R2041" s="1"/>
    </row>
    <row r="2042" spans="2:18">
      <c r="B2042" s="1"/>
      <c r="C2042" s="9"/>
      <c r="D2042" s="9"/>
      <c r="E2042" s="9"/>
      <c r="F2042" s="1"/>
      <c r="G2042" s="1"/>
      <c r="H2042" s="19"/>
      <c r="I2042" s="1"/>
      <c r="J2042" s="1"/>
      <c r="K2042" s="19"/>
      <c r="L2042" s="1"/>
      <c r="M2042" s="9"/>
      <c r="N2042" s="1"/>
      <c r="O2042" s="1"/>
      <c r="P2042" s="1"/>
      <c r="Q2042" s="1"/>
      <c r="R2042" s="1"/>
    </row>
    <row r="2043" spans="2:18">
      <c r="B2043" s="1"/>
      <c r="C2043" s="9"/>
      <c r="D2043" s="9"/>
      <c r="E2043" s="9"/>
      <c r="F2043" s="1"/>
      <c r="G2043" s="1"/>
      <c r="H2043" s="19"/>
      <c r="I2043" s="1"/>
      <c r="J2043" s="1"/>
      <c r="K2043" s="19"/>
      <c r="L2043" s="1"/>
      <c r="M2043" s="9"/>
      <c r="N2043" s="1"/>
      <c r="O2043" s="1"/>
      <c r="P2043" s="1"/>
      <c r="Q2043" s="1"/>
      <c r="R2043" s="1"/>
    </row>
    <row r="2044" spans="2:18">
      <c r="B2044" s="1"/>
      <c r="C2044" s="9"/>
      <c r="D2044" s="9"/>
      <c r="E2044" s="9"/>
      <c r="F2044" s="1"/>
      <c r="G2044" s="1"/>
      <c r="H2044" s="19"/>
      <c r="I2044" s="1"/>
      <c r="J2044" s="1"/>
      <c r="K2044" s="19"/>
      <c r="L2044" s="1"/>
      <c r="M2044" s="9"/>
      <c r="N2044" s="1"/>
      <c r="O2044" s="1"/>
      <c r="P2044" s="1"/>
      <c r="Q2044" s="1"/>
      <c r="R2044" s="1"/>
    </row>
    <row r="2045" spans="2:18">
      <c r="B2045" s="1"/>
      <c r="C2045" s="9"/>
      <c r="D2045" s="9"/>
      <c r="E2045" s="9"/>
      <c r="F2045" s="1"/>
      <c r="G2045" s="1"/>
      <c r="H2045" s="19"/>
      <c r="I2045" s="1"/>
      <c r="J2045" s="1"/>
      <c r="K2045" s="19"/>
      <c r="L2045" s="1"/>
      <c r="M2045" s="9"/>
      <c r="N2045" s="1"/>
      <c r="O2045" s="1"/>
      <c r="P2045" s="1"/>
      <c r="Q2045" s="1"/>
      <c r="R2045" s="1"/>
    </row>
    <row r="2046" spans="2:18">
      <c r="B2046" s="1"/>
      <c r="C2046" s="9"/>
      <c r="D2046" s="9"/>
      <c r="E2046" s="9"/>
      <c r="F2046" s="1"/>
      <c r="G2046" s="1"/>
      <c r="H2046" s="19"/>
      <c r="I2046" s="1"/>
      <c r="J2046" s="1"/>
      <c r="K2046" s="19"/>
      <c r="L2046" s="1"/>
      <c r="M2046" s="9"/>
      <c r="N2046" s="1"/>
      <c r="O2046" s="1"/>
      <c r="P2046" s="1"/>
      <c r="Q2046" s="1"/>
      <c r="R2046" s="1"/>
    </row>
    <row r="2047" spans="2:18">
      <c r="B2047" s="1"/>
      <c r="C2047" s="9"/>
      <c r="D2047" s="9"/>
      <c r="E2047" s="9"/>
      <c r="F2047" s="1"/>
      <c r="G2047" s="1"/>
      <c r="H2047" s="19"/>
      <c r="I2047" s="1"/>
      <c r="J2047" s="1"/>
      <c r="K2047" s="19"/>
      <c r="L2047" s="1"/>
      <c r="M2047" s="9"/>
      <c r="N2047" s="1"/>
      <c r="O2047" s="1"/>
      <c r="P2047" s="1"/>
      <c r="Q2047" s="1"/>
      <c r="R2047" s="1"/>
    </row>
    <row r="2048" spans="2:18">
      <c r="B2048" s="1"/>
      <c r="C2048" s="9"/>
      <c r="D2048" s="9"/>
      <c r="E2048" s="9"/>
      <c r="F2048" s="1"/>
      <c r="G2048" s="1"/>
      <c r="H2048" s="19"/>
      <c r="I2048" s="1"/>
      <c r="J2048" s="1"/>
      <c r="K2048" s="19"/>
      <c r="L2048" s="1"/>
      <c r="M2048" s="9"/>
      <c r="N2048" s="1"/>
      <c r="O2048" s="1"/>
      <c r="P2048" s="1"/>
      <c r="Q2048" s="1"/>
      <c r="R2048" s="1"/>
    </row>
    <row r="2049" spans="2:18">
      <c r="B2049" s="1"/>
      <c r="C2049" s="9"/>
      <c r="D2049" s="9"/>
      <c r="E2049" s="9"/>
      <c r="F2049" s="1"/>
      <c r="G2049" s="1"/>
      <c r="H2049" s="19"/>
      <c r="I2049" s="1"/>
      <c r="J2049" s="1"/>
      <c r="K2049" s="19"/>
      <c r="L2049" s="1"/>
      <c r="M2049" s="9"/>
      <c r="N2049" s="1"/>
      <c r="O2049" s="1"/>
      <c r="P2049" s="1"/>
      <c r="Q2049" s="1"/>
      <c r="R2049" s="1"/>
    </row>
    <row r="2050" spans="2:18">
      <c r="B2050" s="1"/>
      <c r="C2050" s="9"/>
      <c r="D2050" s="9"/>
      <c r="E2050" s="9"/>
      <c r="F2050" s="1"/>
      <c r="G2050" s="1"/>
      <c r="H2050" s="19"/>
      <c r="I2050" s="1"/>
      <c r="J2050" s="1"/>
      <c r="K2050" s="19"/>
      <c r="L2050" s="1"/>
      <c r="M2050" s="9"/>
      <c r="N2050" s="1"/>
      <c r="O2050" s="1"/>
      <c r="P2050" s="1"/>
      <c r="Q2050" s="1"/>
      <c r="R2050" s="1"/>
    </row>
    <row r="2051" spans="2:18">
      <c r="B2051" s="1"/>
      <c r="C2051" s="9"/>
      <c r="D2051" s="9"/>
      <c r="E2051" s="9"/>
      <c r="F2051" s="1"/>
      <c r="G2051" s="1"/>
      <c r="H2051" s="19"/>
      <c r="I2051" s="1"/>
      <c r="J2051" s="1"/>
      <c r="K2051" s="19"/>
      <c r="L2051" s="1"/>
      <c r="M2051" s="9"/>
      <c r="N2051" s="1"/>
      <c r="O2051" s="1"/>
      <c r="P2051" s="1"/>
      <c r="Q2051" s="1"/>
      <c r="R2051" s="1"/>
    </row>
    <row r="2052" spans="2:18">
      <c r="B2052" s="1"/>
      <c r="C2052" s="9"/>
      <c r="D2052" s="9"/>
      <c r="E2052" s="9"/>
      <c r="F2052" s="1"/>
      <c r="G2052" s="1"/>
      <c r="H2052" s="19"/>
      <c r="I2052" s="1"/>
      <c r="J2052" s="1"/>
      <c r="K2052" s="19"/>
      <c r="L2052" s="1"/>
      <c r="M2052" s="9"/>
      <c r="N2052" s="1"/>
      <c r="O2052" s="1"/>
      <c r="P2052" s="1"/>
      <c r="Q2052" s="1"/>
      <c r="R2052" s="1"/>
    </row>
    <row r="2053" spans="2:18">
      <c r="B2053" s="1"/>
      <c r="C2053" s="9"/>
      <c r="D2053" s="9"/>
      <c r="E2053" s="9"/>
      <c r="F2053" s="1"/>
      <c r="G2053" s="1"/>
      <c r="H2053" s="19"/>
      <c r="I2053" s="1"/>
      <c r="J2053" s="1"/>
      <c r="K2053" s="19"/>
      <c r="L2053" s="1"/>
      <c r="M2053" s="9"/>
      <c r="N2053" s="1"/>
      <c r="O2053" s="1"/>
      <c r="P2053" s="1"/>
      <c r="Q2053" s="1"/>
      <c r="R2053" s="1"/>
    </row>
    <row r="2054" spans="2:18">
      <c r="B2054" s="1"/>
      <c r="C2054" s="9"/>
      <c r="D2054" s="9"/>
      <c r="E2054" s="9"/>
      <c r="F2054" s="1"/>
      <c r="G2054" s="1"/>
      <c r="H2054" s="19"/>
      <c r="I2054" s="1"/>
      <c r="J2054" s="1"/>
      <c r="K2054" s="19"/>
      <c r="L2054" s="1"/>
      <c r="M2054" s="9"/>
      <c r="N2054" s="1"/>
      <c r="O2054" s="1"/>
      <c r="P2054" s="1"/>
      <c r="Q2054" s="1"/>
      <c r="R2054" s="1"/>
    </row>
    <row r="2055" spans="2:18">
      <c r="B2055" s="1"/>
      <c r="C2055" s="9"/>
      <c r="D2055" s="9"/>
      <c r="E2055" s="9"/>
      <c r="F2055" s="1"/>
      <c r="G2055" s="1"/>
      <c r="H2055" s="19"/>
      <c r="I2055" s="1"/>
      <c r="J2055" s="1"/>
      <c r="K2055" s="19"/>
      <c r="L2055" s="1"/>
      <c r="M2055" s="9"/>
      <c r="N2055" s="1"/>
      <c r="O2055" s="1"/>
      <c r="P2055" s="1"/>
      <c r="Q2055" s="1"/>
      <c r="R2055" s="1"/>
    </row>
    <row r="2056" spans="2:18">
      <c r="B2056" s="1"/>
      <c r="C2056" s="9"/>
      <c r="D2056" s="9"/>
      <c r="E2056" s="9"/>
      <c r="F2056" s="1"/>
      <c r="G2056" s="1"/>
      <c r="H2056" s="19"/>
      <c r="I2056" s="1"/>
      <c r="J2056" s="1"/>
      <c r="K2056" s="19"/>
      <c r="L2056" s="1"/>
      <c r="M2056" s="9"/>
      <c r="N2056" s="1"/>
      <c r="O2056" s="1"/>
      <c r="P2056" s="1"/>
      <c r="Q2056" s="1"/>
      <c r="R2056" s="1"/>
    </row>
    <row r="2057" spans="2:18">
      <c r="B2057" s="1"/>
      <c r="C2057" s="9"/>
      <c r="D2057" s="9"/>
      <c r="E2057" s="9"/>
      <c r="F2057" s="1"/>
      <c r="G2057" s="1"/>
      <c r="H2057" s="19"/>
      <c r="I2057" s="1"/>
      <c r="J2057" s="1"/>
      <c r="K2057" s="19"/>
      <c r="L2057" s="1"/>
      <c r="M2057" s="9"/>
      <c r="N2057" s="1"/>
      <c r="O2057" s="1"/>
      <c r="P2057" s="1"/>
      <c r="Q2057" s="1"/>
      <c r="R2057" s="1"/>
    </row>
    <row r="2058" spans="2:18">
      <c r="B2058" s="1"/>
      <c r="C2058" s="9"/>
      <c r="D2058" s="9"/>
      <c r="E2058" s="9"/>
      <c r="F2058" s="1"/>
      <c r="G2058" s="1"/>
      <c r="H2058" s="19"/>
      <c r="I2058" s="1"/>
      <c r="J2058" s="1"/>
      <c r="K2058" s="19"/>
      <c r="L2058" s="1"/>
      <c r="M2058" s="9"/>
      <c r="N2058" s="1"/>
      <c r="O2058" s="1"/>
      <c r="P2058" s="1"/>
      <c r="Q2058" s="1"/>
      <c r="R2058" s="1"/>
    </row>
    <row r="2059" spans="2:18">
      <c r="B2059" s="1"/>
      <c r="C2059" s="9"/>
      <c r="D2059" s="9"/>
      <c r="E2059" s="9"/>
      <c r="F2059" s="1"/>
      <c r="G2059" s="1"/>
      <c r="H2059" s="19"/>
      <c r="I2059" s="1"/>
      <c r="J2059" s="1"/>
      <c r="K2059" s="19"/>
      <c r="L2059" s="1"/>
      <c r="M2059" s="9"/>
      <c r="N2059" s="1"/>
      <c r="O2059" s="1"/>
      <c r="P2059" s="1"/>
      <c r="Q2059" s="1"/>
      <c r="R2059" s="1"/>
    </row>
    <row r="2060" spans="2:18">
      <c r="B2060" s="1"/>
      <c r="C2060" s="9"/>
      <c r="D2060" s="9"/>
      <c r="E2060" s="9"/>
      <c r="F2060" s="1"/>
      <c r="G2060" s="1"/>
      <c r="H2060" s="19"/>
      <c r="I2060" s="1"/>
      <c r="J2060" s="1"/>
      <c r="K2060" s="19"/>
      <c r="L2060" s="1"/>
      <c r="M2060" s="9"/>
      <c r="N2060" s="1"/>
      <c r="O2060" s="1"/>
      <c r="P2060" s="1"/>
      <c r="Q2060" s="1"/>
      <c r="R2060" s="1"/>
    </row>
    <row r="2061" spans="2:18">
      <c r="B2061" s="1"/>
      <c r="C2061" s="9"/>
      <c r="D2061" s="9"/>
      <c r="E2061" s="9"/>
      <c r="F2061" s="1"/>
      <c r="G2061" s="1"/>
      <c r="H2061" s="19"/>
      <c r="I2061" s="1"/>
      <c r="J2061" s="1"/>
      <c r="K2061" s="19"/>
      <c r="L2061" s="1"/>
      <c r="M2061" s="9"/>
      <c r="N2061" s="1"/>
      <c r="O2061" s="1"/>
      <c r="P2061" s="1"/>
      <c r="Q2061" s="1"/>
      <c r="R2061" s="1"/>
    </row>
    <row r="2062" spans="2:18">
      <c r="B2062" s="1"/>
      <c r="C2062" s="9"/>
      <c r="D2062" s="9"/>
      <c r="E2062" s="9"/>
      <c r="F2062" s="1"/>
      <c r="G2062" s="1"/>
      <c r="H2062" s="19"/>
      <c r="I2062" s="1"/>
      <c r="J2062" s="1"/>
      <c r="K2062" s="19"/>
      <c r="L2062" s="1"/>
      <c r="M2062" s="9"/>
      <c r="N2062" s="1"/>
      <c r="O2062" s="1"/>
      <c r="P2062" s="1"/>
      <c r="Q2062" s="1"/>
      <c r="R2062" s="1"/>
    </row>
    <row r="2063" spans="2:18">
      <c r="B2063" s="1"/>
      <c r="C2063" s="9"/>
      <c r="D2063" s="9"/>
      <c r="E2063" s="9"/>
      <c r="F2063" s="1"/>
      <c r="G2063" s="1"/>
      <c r="H2063" s="19"/>
      <c r="I2063" s="1"/>
      <c r="J2063" s="1"/>
      <c r="K2063" s="19"/>
      <c r="L2063" s="1"/>
      <c r="M2063" s="9"/>
      <c r="N2063" s="1"/>
      <c r="O2063" s="1"/>
      <c r="P2063" s="1"/>
      <c r="Q2063" s="1"/>
      <c r="R2063" s="1"/>
    </row>
    <row r="2064" spans="2:18">
      <c r="B2064" s="1"/>
      <c r="C2064" s="9"/>
      <c r="D2064" s="9"/>
      <c r="E2064" s="9"/>
      <c r="F2064" s="1"/>
      <c r="G2064" s="1"/>
      <c r="H2064" s="19"/>
      <c r="I2064" s="1"/>
      <c r="J2064" s="1"/>
      <c r="K2064" s="19"/>
      <c r="L2064" s="1"/>
      <c r="M2064" s="9"/>
      <c r="N2064" s="1"/>
      <c r="O2064" s="1"/>
      <c r="P2064" s="1"/>
      <c r="Q2064" s="1"/>
      <c r="R2064" s="1"/>
    </row>
    <row r="2065" spans="2:18">
      <c r="B2065" s="1"/>
      <c r="C2065" s="9"/>
      <c r="D2065" s="9"/>
      <c r="E2065" s="9"/>
      <c r="F2065" s="1"/>
      <c r="G2065" s="1"/>
      <c r="H2065" s="19"/>
      <c r="I2065" s="1"/>
      <c r="J2065" s="1"/>
      <c r="K2065" s="19"/>
      <c r="L2065" s="1"/>
      <c r="M2065" s="9"/>
      <c r="N2065" s="1"/>
      <c r="O2065" s="1"/>
      <c r="P2065" s="1"/>
      <c r="Q2065" s="1"/>
      <c r="R2065" s="1"/>
    </row>
    <row r="2066" spans="2:18">
      <c r="B2066" s="1"/>
      <c r="C2066" s="9"/>
      <c r="D2066" s="9"/>
      <c r="E2066" s="9"/>
      <c r="F2066" s="1"/>
      <c r="G2066" s="1"/>
      <c r="H2066" s="19"/>
      <c r="I2066" s="1"/>
      <c r="J2066" s="1"/>
      <c r="K2066" s="19"/>
      <c r="L2066" s="1"/>
      <c r="M2066" s="9"/>
      <c r="N2066" s="1"/>
      <c r="O2066" s="1"/>
      <c r="P2066" s="1"/>
      <c r="Q2066" s="1"/>
      <c r="R2066" s="1"/>
    </row>
    <row r="2067" spans="2:18">
      <c r="B2067" s="1"/>
      <c r="C2067" s="9"/>
      <c r="D2067" s="9"/>
      <c r="E2067" s="9"/>
      <c r="F2067" s="1"/>
      <c r="G2067" s="1"/>
      <c r="H2067" s="19"/>
      <c r="I2067" s="1"/>
      <c r="J2067" s="1"/>
      <c r="K2067" s="19"/>
      <c r="L2067" s="1"/>
      <c r="M2067" s="9"/>
      <c r="N2067" s="1"/>
      <c r="O2067" s="1"/>
      <c r="P2067" s="1"/>
      <c r="Q2067" s="1"/>
      <c r="R2067" s="1"/>
    </row>
    <row r="2068" spans="2:18">
      <c r="B2068" s="1"/>
      <c r="C2068" s="9"/>
      <c r="D2068" s="9"/>
      <c r="E2068" s="9"/>
      <c r="F2068" s="1"/>
      <c r="G2068" s="1"/>
      <c r="H2068" s="19"/>
      <c r="I2068" s="1"/>
      <c r="J2068" s="1"/>
      <c r="K2068" s="19"/>
      <c r="L2068" s="1"/>
      <c r="M2068" s="9"/>
      <c r="N2068" s="1"/>
      <c r="O2068" s="1"/>
      <c r="P2068" s="1"/>
      <c r="Q2068" s="1"/>
      <c r="R2068" s="1"/>
    </row>
    <row r="2069" spans="2:18">
      <c r="B2069" s="1"/>
      <c r="C2069" s="9"/>
      <c r="D2069" s="9"/>
      <c r="E2069" s="9"/>
      <c r="F2069" s="1"/>
      <c r="G2069" s="1"/>
      <c r="H2069" s="19"/>
      <c r="I2069" s="1"/>
      <c r="J2069" s="1"/>
      <c r="K2069" s="19"/>
      <c r="L2069" s="1"/>
      <c r="M2069" s="9"/>
      <c r="N2069" s="1"/>
      <c r="O2069" s="1"/>
      <c r="P2069" s="1"/>
      <c r="Q2069" s="1"/>
      <c r="R2069" s="1"/>
    </row>
    <row r="2070" spans="2:18">
      <c r="B2070" s="1"/>
      <c r="C2070" s="9"/>
      <c r="D2070" s="9"/>
      <c r="E2070" s="9"/>
      <c r="F2070" s="1"/>
      <c r="G2070" s="1"/>
      <c r="H2070" s="19"/>
      <c r="I2070" s="1"/>
      <c r="J2070" s="1"/>
      <c r="K2070" s="19"/>
      <c r="L2070" s="1"/>
      <c r="M2070" s="9"/>
      <c r="N2070" s="1"/>
      <c r="O2070" s="1"/>
      <c r="P2070" s="1"/>
      <c r="Q2070" s="1"/>
      <c r="R2070" s="1"/>
    </row>
    <row r="2071" spans="2:18">
      <c r="B2071" s="1"/>
      <c r="C2071" s="9"/>
      <c r="D2071" s="9"/>
      <c r="E2071" s="9"/>
      <c r="F2071" s="1"/>
      <c r="G2071" s="1"/>
      <c r="H2071" s="19"/>
      <c r="I2071" s="1"/>
      <c r="J2071" s="1"/>
      <c r="K2071" s="19"/>
      <c r="L2071" s="1"/>
      <c r="M2071" s="9"/>
      <c r="N2071" s="1"/>
      <c r="O2071" s="1"/>
      <c r="P2071" s="1"/>
      <c r="Q2071" s="1"/>
      <c r="R2071" s="1"/>
    </row>
    <row r="2072" spans="2:18">
      <c r="B2072" s="1"/>
      <c r="C2072" s="9"/>
      <c r="D2072" s="9"/>
      <c r="E2072" s="9"/>
      <c r="F2072" s="1"/>
      <c r="G2072" s="1"/>
      <c r="H2072" s="19"/>
      <c r="I2072" s="1"/>
      <c r="J2072" s="1"/>
      <c r="K2072" s="19"/>
      <c r="L2072" s="1"/>
      <c r="M2072" s="9"/>
      <c r="N2072" s="1"/>
      <c r="O2072" s="1"/>
      <c r="P2072" s="1"/>
      <c r="Q2072" s="1"/>
      <c r="R2072" s="1"/>
    </row>
    <row r="2073" spans="2:18">
      <c r="B2073" s="1"/>
      <c r="C2073" s="9"/>
      <c r="D2073" s="9"/>
      <c r="E2073" s="9"/>
      <c r="F2073" s="1"/>
      <c r="G2073" s="1"/>
      <c r="H2073" s="19"/>
      <c r="I2073" s="1"/>
      <c r="J2073" s="1"/>
      <c r="K2073" s="19"/>
      <c r="L2073" s="1"/>
      <c r="M2073" s="9"/>
      <c r="N2073" s="1"/>
      <c r="O2073" s="1"/>
      <c r="P2073" s="1"/>
      <c r="Q2073" s="1"/>
      <c r="R2073" s="1"/>
    </row>
    <row r="2074" spans="2:18">
      <c r="B2074" s="1"/>
      <c r="C2074" s="9"/>
      <c r="D2074" s="9"/>
      <c r="E2074" s="9"/>
      <c r="F2074" s="1"/>
      <c r="G2074" s="1"/>
      <c r="H2074" s="19"/>
      <c r="I2074" s="1"/>
      <c r="J2074" s="1"/>
      <c r="K2074" s="19"/>
      <c r="L2074" s="1"/>
      <c r="M2074" s="9"/>
      <c r="N2074" s="1"/>
      <c r="O2074" s="1"/>
      <c r="P2074" s="1"/>
      <c r="Q2074" s="1"/>
      <c r="R2074" s="1"/>
    </row>
    <row r="2075" spans="2:18">
      <c r="B2075" s="1"/>
      <c r="C2075" s="9"/>
      <c r="D2075" s="9"/>
      <c r="E2075" s="9"/>
      <c r="F2075" s="1"/>
      <c r="G2075" s="1"/>
      <c r="H2075" s="19"/>
      <c r="I2075" s="1"/>
      <c r="J2075" s="1"/>
      <c r="K2075" s="19"/>
      <c r="L2075" s="1"/>
      <c r="M2075" s="9"/>
      <c r="N2075" s="1"/>
      <c r="O2075" s="1"/>
      <c r="P2075" s="1"/>
      <c r="Q2075" s="1"/>
      <c r="R2075" s="1"/>
    </row>
    <row r="2076" spans="2:18">
      <c r="B2076" s="1"/>
      <c r="C2076" s="9"/>
      <c r="D2076" s="9"/>
      <c r="E2076" s="9"/>
      <c r="F2076" s="1"/>
      <c r="G2076" s="1"/>
      <c r="H2076" s="19"/>
      <c r="I2076" s="1"/>
      <c r="J2076" s="1"/>
      <c r="K2076" s="19"/>
      <c r="L2076" s="1"/>
      <c r="M2076" s="9"/>
      <c r="N2076" s="1"/>
      <c r="O2076" s="1"/>
      <c r="P2076" s="1"/>
      <c r="Q2076" s="1"/>
      <c r="R2076" s="1"/>
    </row>
    <row r="2077" spans="2:18">
      <c r="B2077" s="1"/>
      <c r="C2077" s="9"/>
      <c r="D2077" s="9"/>
      <c r="E2077" s="9"/>
      <c r="F2077" s="1"/>
      <c r="G2077" s="1"/>
      <c r="H2077" s="19"/>
      <c r="I2077" s="1"/>
      <c r="J2077" s="1"/>
      <c r="K2077" s="19"/>
      <c r="L2077" s="1"/>
      <c r="M2077" s="9"/>
      <c r="N2077" s="1"/>
      <c r="O2077" s="1"/>
      <c r="P2077" s="1"/>
      <c r="Q2077" s="1"/>
      <c r="R2077" s="1"/>
    </row>
    <row r="2078" spans="2:18">
      <c r="B2078" s="1"/>
      <c r="C2078" s="9"/>
      <c r="D2078" s="9"/>
      <c r="E2078" s="9"/>
      <c r="F2078" s="1"/>
      <c r="G2078" s="1"/>
      <c r="H2078" s="19"/>
      <c r="I2078" s="1"/>
      <c r="J2078" s="1"/>
      <c r="K2078" s="19"/>
      <c r="L2078" s="1"/>
      <c r="M2078" s="9"/>
      <c r="N2078" s="1"/>
      <c r="O2078" s="1"/>
      <c r="P2078" s="1"/>
      <c r="Q2078" s="1"/>
      <c r="R2078" s="1"/>
    </row>
    <row r="2079" spans="2:18">
      <c r="B2079" s="1"/>
      <c r="C2079" s="9"/>
      <c r="D2079" s="9"/>
      <c r="E2079" s="9"/>
      <c r="F2079" s="1"/>
      <c r="G2079" s="1"/>
      <c r="H2079" s="19"/>
      <c r="I2079" s="1"/>
      <c r="J2079" s="1"/>
      <c r="K2079" s="19"/>
      <c r="L2079" s="1"/>
      <c r="M2079" s="9"/>
      <c r="N2079" s="1"/>
      <c r="O2079" s="1"/>
      <c r="P2079" s="1"/>
      <c r="Q2079" s="1"/>
      <c r="R2079" s="1"/>
    </row>
    <row r="2080" spans="2:18">
      <c r="B2080" s="1"/>
      <c r="C2080" s="9"/>
      <c r="D2080" s="9"/>
      <c r="E2080" s="9"/>
      <c r="F2080" s="1"/>
      <c r="G2080" s="1"/>
      <c r="H2080" s="19"/>
      <c r="I2080" s="1"/>
      <c r="J2080" s="1"/>
      <c r="K2080" s="19"/>
      <c r="L2080" s="1"/>
      <c r="M2080" s="9"/>
      <c r="N2080" s="1"/>
      <c r="O2080" s="1"/>
      <c r="P2080" s="1"/>
      <c r="Q2080" s="1"/>
      <c r="R2080" s="1"/>
    </row>
    <row r="2081" spans="2:18">
      <c r="B2081" s="1"/>
      <c r="C2081" s="9"/>
      <c r="D2081" s="9"/>
      <c r="E2081" s="9"/>
      <c r="F2081" s="1"/>
      <c r="G2081" s="1"/>
      <c r="H2081" s="19"/>
      <c r="I2081" s="1"/>
      <c r="J2081" s="1"/>
      <c r="K2081" s="19"/>
      <c r="L2081" s="1"/>
      <c r="M2081" s="9"/>
      <c r="N2081" s="1"/>
      <c r="O2081" s="1"/>
      <c r="P2081" s="1"/>
      <c r="Q2081" s="1"/>
      <c r="R2081" s="1"/>
    </row>
    <row r="2082" spans="2:18">
      <c r="B2082" s="1"/>
      <c r="C2082" s="9"/>
      <c r="D2082" s="9"/>
      <c r="E2082" s="9"/>
      <c r="F2082" s="1"/>
      <c r="G2082" s="1"/>
      <c r="H2082" s="19"/>
      <c r="I2082" s="1"/>
      <c r="J2082" s="1"/>
      <c r="K2082" s="19"/>
      <c r="L2082" s="1"/>
      <c r="M2082" s="9"/>
      <c r="N2082" s="1"/>
      <c r="O2082" s="1"/>
      <c r="P2082" s="1"/>
      <c r="Q2082" s="1"/>
      <c r="R2082" s="1"/>
    </row>
    <row r="2083" spans="2:18">
      <c r="B2083" s="1"/>
      <c r="C2083" s="9"/>
      <c r="D2083" s="9"/>
      <c r="E2083" s="9"/>
      <c r="F2083" s="1"/>
      <c r="G2083" s="1"/>
      <c r="H2083" s="19"/>
      <c r="I2083" s="1"/>
      <c r="J2083" s="1"/>
      <c r="K2083" s="19"/>
      <c r="L2083" s="1"/>
      <c r="M2083" s="9"/>
      <c r="N2083" s="1"/>
      <c r="O2083" s="1"/>
      <c r="P2083" s="1"/>
      <c r="Q2083" s="1"/>
      <c r="R2083" s="1"/>
    </row>
    <row r="2084" spans="2:18">
      <c r="B2084" s="1"/>
      <c r="C2084" s="9"/>
      <c r="D2084" s="9"/>
      <c r="E2084" s="9"/>
      <c r="F2084" s="1"/>
      <c r="G2084" s="1"/>
      <c r="H2084" s="19"/>
      <c r="I2084" s="1"/>
      <c r="J2084" s="1"/>
      <c r="K2084" s="19"/>
      <c r="L2084" s="1"/>
      <c r="M2084" s="9"/>
      <c r="N2084" s="1"/>
      <c r="O2084" s="1"/>
      <c r="P2084" s="1"/>
      <c r="Q2084" s="1"/>
      <c r="R2084" s="1"/>
    </row>
    <row r="2085" spans="2:18">
      <c r="B2085" s="1"/>
      <c r="C2085" s="9"/>
      <c r="D2085" s="9"/>
      <c r="E2085" s="9"/>
      <c r="F2085" s="1"/>
      <c r="G2085" s="1"/>
      <c r="H2085" s="19"/>
      <c r="I2085" s="1"/>
      <c r="J2085" s="1"/>
      <c r="K2085" s="19"/>
      <c r="L2085" s="1"/>
      <c r="M2085" s="9"/>
      <c r="N2085" s="1"/>
      <c r="O2085" s="1"/>
      <c r="P2085" s="1"/>
      <c r="Q2085" s="1"/>
      <c r="R2085" s="1"/>
    </row>
    <row r="2086" spans="2:18">
      <c r="B2086" s="1"/>
      <c r="C2086" s="9"/>
      <c r="D2086" s="9"/>
      <c r="E2086" s="9"/>
      <c r="F2086" s="1"/>
      <c r="G2086" s="1"/>
      <c r="H2086" s="19"/>
      <c r="I2086" s="1"/>
      <c r="J2086" s="1"/>
      <c r="K2086" s="19"/>
      <c r="L2086" s="1"/>
      <c r="M2086" s="9"/>
      <c r="N2086" s="1"/>
      <c r="O2086" s="1"/>
      <c r="P2086" s="1"/>
      <c r="Q2086" s="1"/>
      <c r="R2086" s="1"/>
    </row>
    <row r="2087" spans="2:18">
      <c r="B2087" s="1"/>
      <c r="C2087" s="9"/>
      <c r="D2087" s="9"/>
      <c r="E2087" s="9"/>
      <c r="F2087" s="1"/>
      <c r="G2087" s="1"/>
      <c r="H2087" s="19"/>
      <c r="I2087" s="1"/>
      <c r="J2087" s="1"/>
      <c r="K2087" s="19"/>
      <c r="L2087" s="1"/>
      <c r="M2087" s="9"/>
      <c r="N2087" s="1"/>
      <c r="O2087" s="1"/>
      <c r="P2087" s="1"/>
      <c r="Q2087" s="1"/>
      <c r="R2087" s="1"/>
    </row>
    <row r="2088" spans="2:18">
      <c r="B2088" s="1"/>
      <c r="C2088" s="9"/>
      <c r="D2088" s="9"/>
      <c r="E2088" s="9"/>
      <c r="F2088" s="1"/>
      <c r="G2088" s="1"/>
      <c r="H2088" s="19"/>
      <c r="I2088" s="1"/>
      <c r="J2088" s="1"/>
      <c r="K2088" s="19"/>
      <c r="L2088" s="1"/>
      <c r="M2088" s="9"/>
      <c r="N2088" s="1"/>
      <c r="O2088" s="1"/>
      <c r="P2088" s="1"/>
      <c r="Q2088" s="1"/>
      <c r="R2088" s="1"/>
    </row>
    <row r="2089" spans="2:18">
      <c r="B2089" s="1"/>
      <c r="C2089" s="9"/>
      <c r="D2089" s="9"/>
      <c r="E2089" s="9"/>
      <c r="F2089" s="1"/>
      <c r="G2089" s="1"/>
      <c r="H2089" s="19"/>
      <c r="I2089" s="1"/>
      <c r="J2089" s="1"/>
      <c r="K2089" s="19"/>
      <c r="L2089" s="1"/>
      <c r="M2089" s="9"/>
      <c r="N2089" s="1"/>
      <c r="O2089" s="1"/>
      <c r="P2089" s="1"/>
      <c r="Q2089" s="1"/>
      <c r="R2089" s="1"/>
    </row>
    <row r="2090" spans="2:18">
      <c r="B2090" s="1"/>
      <c r="C2090" s="9"/>
      <c r="D2090" s="9"/>
      <c r="E2090" s="9"/>
      <c r="F2090" s="1"/>
      <c r="G2090" s="1"/>
      <c r="H2090" s="19"/>
      <c r="I2090" s="1"/>
      <c r="J2090" s="1"/>
      <c r="K2090" s="19"/>
      <c r="L2090" s="1"/>
      <c r="M2090" s="9"/>
      <c r="N2090" s="1"/>
      <c r="O2090" s="1"/>
      <c r="P2090" s="1"/>
      <c r="Q2090" s="1"/>
      <c r="R2090" s="1"/>
    </row>
    <row r="2091" spans="2:18">
      <c r="B2091" s="1"/>
      <c r="C2091" s="9"/>
      <c r="D2091" s="9"/>
      <c r="E2091" s="9"/>
      <c r="F2091" s="1"/>
      <c r="G2091" s="1"/>
      <c r="H2091" s="19"/>
      <c r="I2091" s="1"/>
      <c r="J2091" s="1"/>
      <c r="K2091" s="19"/>
      <c r="L2091" s="1"/>
      <c r="M2091" s="9"/>
      <c r="N2091" s="1"/>
      <c r="O2091" s="1"/>
      <c r="P2091" s="1"/>
      <c r="Q2091" s="1"/>
      <c r="R2091" s="1"/>
    </row>
    <row r="2092" spans="2:18">
      <c r="B2092" s="1"/>
      <c r="C2092" s="9"/>
      <c r="D2092" s="9"/>
      <c r="E2092" s="9"/>
      <c r="F2092" s="1"/>
      <c r="G2092" s="1"/>
      <c r="H2092" s="19"/>
      <c r="I2092" s="1"/>
      <c r="J2092" s="1"/>
      <c r="K2092" s="19"/>
      <c r="L2092" s="1"/>
      <c r="M2092" s="9"/>
      <c r="N2092" s="1"/>
      <c r="O2092" s="1"/>
      <c r="P2092" s="1"/>
      <c r="Q2092" s="1"/>
      <c r="R2092" s="1"/>
    </row>
    <row r="2093" spans="2:18">
      <c r="B2093" s="1"/>
      <c r="C2093" s="9"/>
      <c r="D2093" s="9"/>
      <c r="E2093" s="9"/>
      <c r="F2093" s="1"/>
      <c r="G2093" s="1"/>
      <c r="H2093" s="19"/>
      <c r="I2093" s="1"/>
      <c r="J2093" s="1"/>
      <c r="K2093" s="19"/>
      <c r="L2093" s="1"/>
      <c r="M2093" s="9"/>
      <c r="N2093" s="1"/>
      <c r="O2093" s="1"/>
      <c r="P2093" s="1"/>
      <c r="Q2093" s="1"/>
      <c r="R2093" s="1"/>
    </row>
    <row r="2094" spans="2:18">
      <c r="B2094" s="1"/>
      <c r="C2094" s="9"/>
      <c r="D2094" s="9"/>
      <c r="E2094" s="9"/>
      <c r="F2094" s="1"/>
      <c r="G2094" s="1"/>
      <c r="H2094" s="19"/>
      <c r="I2094" s="1"/>
      <c r="J2094" s="1"/>
      <c r="K2094" s="19"/>
      <c r="L2094" s="1"/>
      <c r="M2094" s="9"/>
      <c r="N2094" s="1"/>
      <c r="O2094" s="1"/>
      <c r="P2094" s="1"/>
      <c r="Q2094" s="1"/>
      <c r="R2094" s="1"/>
    </row>
    <row r="2095" spans="2:18">
      <c r="B2095" s="1"/>
      <c r="C2095" s="9"/>
      <c r="D2095" s="9"/>
      <c r="E2095" s="9"/>
      <c r="F2095" s="1"/>
      <c r="G2095" s="1"/>
      <c r="H2095" s="19"/>
      <c r="I2095" s="1"/>
      <c r="J2095" s="1"/>
      <c r="K2095" s="19"/>
      <c r="L2095" s="1"/>
      <c r="M2095" s="9"/>
      <c r="N2095" s="1"/>
      <c r="O2095" s="1"/>
      <c r="P2095" s="1"/>
      <c r="Q2095" s="1"/>
      <c r="R2095" s="1"/>
    </row>
    <row r="2096" spans="2:18">
      <c r="B2096" s="1"/>
      <c r="C2096" s="9"/>
      <c r="D2096" s="9"/>
      <c r="E2096" s="9"/>
      <c r="F2096" s="1"/>
      <c r="G2096" s="1"/>
      <c r="H2096" s="19"/>
      <c r="I2096" s="1"/>
      <c r="J2096" s="1"/>
      <c r="K2096" s="19"/>
      <c r="L2096" s="1"/>
      <c r="M2096" s="9"/>
      <c r="N2096" s="1"/>
      <c r="O2096" s="1"/>
      <c r="P2096" s="1"/>
      <c r="Q2096" s="1"/>
      <c r="R2096" s="1"/>
    </row>
    <row r="2097" spans="2:18">
      <c r="B2097" s="1"/>
      <c r="C2097" s="9"/>
      <c r="D2097" s="9"/>
      <c r="E2097" s="9"/>
      <c r="F2097" s="1"/>
      <c r="G2097" s="1"/>
      <c r="H2097" s="19"/>
      <c r="I2097" s="1"/>
      <c r="J2097" s="1"/>
      <c r="K2097" s="19"/>
      <c r="L2097" s="1"/>
      <c r="M2097" s="9"/>
      <c r="N2097" s="1"/>
      <c r="O2097" s="1"/>
      <c r="P2097" s="1"/>
      <c r="Q2097" s="1"/>
      <c r="R2097" s="1"/>
    </row>
    <row r="2098" spans="2:18">
      <c r="B2098" s="1"/>
      <c r="C2098" s="9"/>
      <c r="D2098" s="9"/>
      <c r="E2098" s="9"/>
      <c r="F2098" s="1"/>
      <c r="G2098" s="1"/>
      <c r="H2098" s="19"/>
      <c r="I2098" s="1"/>
      <c r="J2098" s="1"/>
      <c r="K2098" s="19"/>
      <c r="L2098" s="1"/>
      <c r="M2098" s="9"/>
      <c r="N2098" s="1"/>
      <c r="O2098" s="1"/>
      <c r="P2098" s="1"/>
      <c r="Q2098" s="1"/>
      <c r="R2098" s="1"/>
    </row>
    <row r="2099" spans="2:18">
      <c r="B2099" s="1"/>
      <c r="C2099" s="9"/>
      <c r="D2099" s="9"/>
      <c r="E2099" s="9"/>
      <c r="F2099" s="1"/>
      <c r="G2099" s="1"/>
      <c r="H2099" s="19"/>
      <c r="I2099" s="1"/>
      <c r="J2099" s="1"/>
      <c r="K2099" s="19"/>
      <c r="L2099" s="1"/>
      <c r="M2099" s="9"/>
      <c r="N2099" s="1"/>
      <c r="O2099" s="1"/>
      <c r="P2099" s="1"/>
      <c r="Q2099" s="1"/>
      <c r="R2099" s="1"/>
    </row>
    <row r="2100" spans="2:18">
      <c r="B2100" s="1"/>
      <c r="C2100" s="9"/>
      <c r="D2100" s="9"/>
      <c r="E2100" s="9"/>
      <c r="F2100" s="1"/>
      <c r="G2100" s="1"/>
      <c r="H2100" s="19"/>
      <c r="I2100" s="1"/>
      <c r="J2100" s="1"/>
      <c r="K2100" s="19"/>
      <c r="L2100" s="1"/>
      <c r="M2100" s="9"/>
      <c r="N2100" s="1"/>
      <c r="O2100" s="1"/>
      <c r="P2100" s="1"/>
      <c r="Q2100" s="1"/>
      <c r="R2100" s="1"/>
    </row>
    <row r="2101" spans="2:18">
      <c r="B2101" s="1"/>
      <c r="C2101" s="9"/>
      <c r="D2101" s="9"/>
      <c r="E2101" s="9"/>
      <c r="F2101" s="1"/>
      <c r="G2101" s="1"/>
      <c r="H2101" s="19"/>
      <c r="I2101" s="1"/>
      <c r="J2101" s="1"/>
      <c r="K2101" s="19"/>
      <c r="L2101" s="1"/>
      <c r="M2101" s="9"/>
      <c r="N2101" s="1"/>
      <c r="O2101" s="1"/>
      <c r="P2101" s="1"/>
      <c r="Q2101" s="1"/>
      <c r="R2101" s="1"/>
    </row>
    <row r="2102" spans="2:18">
      <c r="B2102" s="1"/>
      <c r="C2102" s="9"/>
      <c r="D2102" s="9"/>
      <c r="E2102" s="9"/>
      <c r="F2102" s="1"/>
      <c r="G2102" s="1"/>
      <c r="H2102" s="19"/>
      <c r="I2102" s="1"/>
      <c r="J2102" s="1"/>
      <c r="K2102" s="19"/>
      <c r="L2102" s="1"/>
      <c r="M2102" s="9"/>
      <c r="N2102" s="1"/>
      <c r="O2102" s="1"/>
      <c r="P2102" s="1"/>
      <c r="Q2102" s="1"/>
      <c r="R2102" s="1"/>
    </row>
    <row r="2103" spans="2:18">
      <c r="B2103" s="1"/>
      <c r="C2103" s="9"/>
      <c r="D2103" s="9"/>
      <c r="E2103" s="9"/>
      <c r="F2103" s="1"/>
      <c r="G2103" s="1"/>
      <c r="H2103" s="19"/>
      <c r="I2103" s="1"/>
      <c r="J2103" s="1"/>
      <c r="K2103" s="19"/>
      <c r="L2103" s="1"/>
      <c r="M2103" s="9"/>
      <c r="N2103" s="1"/>
      <c r="O2103" s="1"/>
      <c r="P2103" s="1"/>
      <c r="Q2103" s="1"/>
      <c r="R2103" s="1"/>
    </row>
    <row r="2104" spans="2:18">
      <c r="B2104" s="1"/>
      <c r="C2104" s="9"/>
      <c r="D2104" s="9"/>
      <c r="E2104" s="9"/>
      <c r="F2104" s="1"/>
      <c r="G2104" s="1"/>
      <c r="H2104" s="19"/>
      <c r="I2104" s="1"/>
      <c r="J2104" s="1"/>
      <c r="K2104" s="19"/>
      <c r="L2104" s="1"/>
      <c r="M2104" s="9"/>
      <c r="N2104" s="1"/>
      <c r="O2104" s="1"/>
      <c r="P2104" s="1"/>
      <c r="Q2104" s="1"/>
      <c r="R2104" s="1"/>
    </row>
    <row r="2105" spans="2:18">
      <c r="B2105" s="1"/>
      <c r="C2105" s="9"/>
      <c r="D2105" s="9"/>
      <c r="E2105" s="9"/>
      <c r="F2105" s="1"/>
      <c r="G2105" s="1"/>
      <c r="H2105" s="19"/>
      <c r="I2105" s="1"/>
      <c r="J2105" s="1"/>
      <c r="K2105" s="19"/>
      <c r="L2105" s="1"/>
      <c r="M2105" s="9"/>
      <c r="N2105" s="1"/>
      <c r="O2105" s="1"/>
      <c r="P2105" s="1"/>
      <c r="Q2105" s="1"/>
      <c r="R2105" s="1"/>
    </row>
    <row r="2106" spans="2:18">
      <c r="B2106" s="1"/>
      <c r="C2106" s="9"/>
      <c r="D2106" s="9"/>
      <c r="E2106" s="9"/>
      <c r="F2106" s="1"/>
      <c r="G2106" s="1"/>
      <c r="H2106" s="19"/>
      <c r="I2106" s="1"/>
      <c r="J2106" s="1"/>
      <c r="K2106" s="19"/>
      <c r="L2106" s="1"/>
      <c r="M2106" s="9"/>
      <c r="N2106" s="1"/>
      <c r="O2106" s="1"/>
      <c r="P2106" s="1"/>
      <c r="Q2106" s="1"/>
      <c r="R2106" s="1"/>
    </row>
    <row r="2107" spans="2:18">
      <c r="B2107" s="1"/>
      <c r="C2107" s="9"/>
      <c r="D2107" s="9"/>
      <c r="E2107" s="9"/>
      <c r="F2107" s="1"/>
      <c r="G2107" s="1"/>
      <c r="H2107" s="19"/>
      <c r="I2107" s="1"/>
      <c r="J2107" s="1"/>
      <c r="K2107" s="19"/>
      <c r="L2107" s="1"/>
      <c r="M2107" s="9"/>
      <c r="N2107" s="1"/>
      <c r="O2107" s="1"/>
      <c r="P2107" s="1"/>
      <c r="Q2107" s="1"/>
      <c r="R2107" s="1"/>
    </row>
    <row r="2108" spans="2:18">
      <c r="B2108" s="1"/>
      <c r="C2108" s="9"/>
      <c r="D2108" s="9"/>
      <c r="E2108" s="9"/>
      <c r="F2108" s="1"/>
      <c r="G2108" s="1"/>
      <c r="H2108" s="19"/>
      <c r="I2108" s="1"/>
      <c r="J2108" s="1"/>
      <c r="K2108" s="19"/>
      <c r="L2108" s="1"/>
      <c r="M2108" s="9"/>
      <c r="N2108" s="1"/>
      <c r="O2108" s="1"/>
      <c r="P2108" s="1"/>
      <c r="Q2108" s="1"/>
      <c r="R2108" s="1"/>
    </row>
    <row r="2109" spans="2:18">
      <c r="B2109" s="1"/>
      <c r="C2109" s="9"/>
      <c r="D2109" s="9"/>
      <c r="E2109" s="9"/>
      <c r="F2109" s="1"/>
      <c r="G2109" s="1"/>
      <c r="H2109" s="19"/>
      <c r="I2109" s="1"/>
      <c r="J2109" s="1"/>
      <c r="K2109" s="19"/>
      <c r="L2109" s="1"/>
      <c r="M2109" s="9"/>
      <c r="N2109" s="1"/>
      <c r="O2109" s="1"/>
      <c r="P2109" s="1"/>
      <c r="Q2109" s="1"/>
      <c r="R2109" s="1"/>
    </row>
    <row r="2110" spans="2:18">
      <c r="B2110" s="1"/>
      <c r="C2110" s="9"/>
      <c r="D2110" s="9"/>
      <c r="E2110" s="9"/>
      <c r="F2110" s="1"/>
      <c r="G2110" s="1"/>
      <c r="H2110" s="19"/>
      <c r="I2110" s="1"/>
      <c r="J2110" s="1"/>
      <c r="K2110" s="19"/>
      <c r="L2110" s="1"/>
      <c r="M2110" s="9"/>
      <c r="N2110" s="1"/>
      <c r="O2110" s="1"/>
      <c r="P2110" s="1"/>
      <c r="Q2110" s="1"/>
      <c r="R2110" s="1"/>
    </row>
    <row r="2111" spans="2:18">
      <c r="B2111" s="1"/>
      <c r="C2111" s="9"/>
      <c r="D2111" s="9"/>
      <c r="E2111" s="9"/>
      <c r="F2111" s="1"/>
      <c r="G2111" s="1"/>
      <c r="H2111" s="19"/>
      <c r="I2111" s="1"/>
      <c r="J2111" s="1"/>
      <c r="K2111" s="19"/>
      <c r="L2111" s="1"/>
      <c r="M2111" s="9"/>
      <c r="N2111" s="1"/>
      <c r="O2111" s="1"/>
      <c r="P2111" s="1"/>
      <c r="Q2111" s="1"/>
      <c r="R2111" s="1"/>
    </row>
    <row r="2112" spans="2:18">
      <c r="B2112" s="1"/>
      <c r="C2112" s="9"/>
      <c r="D2112" s="9"/>
      <c r="E2112" s="9"/>
      <c r="F2112" s="1"/>
      <c r="G2112" s="1"/>
      <c r="H2112" s="19"/>
      <c r="I2112" s="1"/>
      <c r="J2112" s="1"/>
      <c r="K2112" s="19"/>
      <c r="L2112" s="1"/>
      <c r="M2112" s="9"/>
      <c r="N2112" s="1"/>
      <c r="O2112" s="1"/>
      <c r="P2112" s="1"/>
      <c r="Q2112" s="1"/>
      <c r="R2112" s="1"/>
    </row>
    <row r="2113" spans="2:18">
      <c r="B2113" s="1"/>
      <c r="C2113" s="9"/>
      <c r="D2113" s="9"/>
      <c r="E2113" s="9"/>
      <c r="F2113" s="1"/>
      <c r="G2113" s="1"/>
      <c r="H2113" s="19"/>
      <c r="I2113" s="1"/>
      <c r="J2113" s="1"/>
      <c r="K2113" s="19"/>
      <c r="L2113" s="1"/>
      <c r="M2113" s="9"/>
      <c r="N2113" s="1"/>
      <c r="O2113" s="1"/>
      <c r="P2113" s="1"/>
      <c r="Q2113" s="1"/>
      <c r="R2113" s="1"/>
    </row>
    <row r="2114" spans="2:18">
      <c r="B2114" s="1"/>
      <c r="C2114" s="9"/>
      <c r="D2114" s="9"/>
      <c r="E2114" s="9"/>
      <c r="F2114" s="1"/>
      <c r="G2114" s="1"/>
      <c r="H2114" s="19"/>
      <c r="I2114" s="1"/>
      <c r="J2114" s="1"/>
      <c r="K2114" s="19"/>
      <c r="L2114" s="1"/>
      <c r="M2114" s="9"/>
      <c r="N2114" s="1"/>
      <c r="O2114" s="1"/>
      <c r="P2114" s="1"/>
      <c r="Q2114" s="1"/>
      <c r="R2114" s="1"/>
    </row>
    <row r="2115" spans="2:18">
      <c r="B2115" s="1"/>
      <c r="C2115" s="9"/>
      <c r="D2115" s="9"/>
      <c r="E2115" s="9"/>
      <c r="F2115" s="1"/>
      <c r="G2115" s="1"/>
      <c r="H2115" s="19"/>
      <c r="I2115" s="1"/>
      <c r="J2115" s="1"/>
      <c r="K2115" s="19"/>
      <c r="L2115" s="1"/>
      <c r="M2115" s="9"/>
      <c r="N2115" s="1"/>
      <c r="O2115" s="1"/>
      <c r="P2115" s="1"/>
      <c r="Q2115" s="1"/>
      <c r="R2115" s="1"/>
    </row>
    <row r="2116" spans="2:18">
      <c r="B2116" s="1"/>
      <c r="C2116" s="9"/>
      <c r="D2116" s="9"/>
      <c r="E2116" s="9"/>
      <c r="F2116" s="1"/>
      <c r="G2116" s="1"/>
      <c r="H2116" s="19"/>
      <c r="I2116" s="1"/>
      <c r="J2116" s="1"/>
      <c r="K2116" s="19"/>
      <c r="L2116" s="1"/>
      <c r="M2116" s="9"/>
      <c r="N2116" s="1"/>
      <c r="O2116" s="1"/>
      <c r="P2116" s="1"/>
      <c r="Q2116" s="1"/>
      <c r="R2116" s="1"/>
    </row>
    <row r="2117" spans="2:18">
      <c r="B2117" s="1"/>
      <c r="C2117" s="9"/>
      <c r="D2117" s="9"/>
      <c r="E2117" s="9"/>
      <c r="F2117" s="1"/>
      <c r="G2117" s="1"/>
      <c r="H2117" s="19"/>
      <c r="I2117" s="1"/>
      <c r="J2117" s="1"/>
      <c r="K2117" s="19"/>
      <c r="L2117" s="1"/>
      <c r="M2117" s="9"/>
      <c r="N2117" s="1"/>
      <c r="O2117" s="1"/>
      <c r="P2117" s="1"/>
      <c r="Q2117" s="1"/>
      <c r="R2117" s="1"/>
    </row>
    <row r="2118" spans="2:18">
      <c r="B2118" s="1"/>
      <c r="C2118" s="9"/>
      <c r="D2118" s="9"/>
      <c r="E2118" s="9"/>
      <c r="F2118" s="1"/>
      <c r="G2118" s="1"/>
      <c r="H2118" s="19"/>
      <c r="I2118" s="1"/>
      <c r="J2118" s="1"/>
      <c r="K2118" s="19"/>
      <c r="L2118" s="1"/>
      <c r="M2118" s="9"/>
      <c r="N2118" s="1"/>
      <c r="O2118" s="1"/>
      <c r="P2118" s="1"/>
      <c r="Q2118" s="1"/>
      <c r="R2118" s="1"/>
    </row>
    <row r="2119" spans="2:18">
      <c r="B2119" s="1"/>
      <c r="C2119" s="9"/>
      <c r="D2119" s="9"/>
      <c r="E2119" s="9"/>
      <c r="F2119" s="1"/>
      <c r="G2119" s="1"/>
      <c r="H2119" s="19"/>
      <c r="I2119" s="1"/>
      <c r="J2119" s="1"/>
      <c r="K2119" s="19"/>
      <c r="L2119" s="1"/>
      <c r="M2119" s="9"/>
      <c r="N2119" s="1"/>
      <c r="O2119" s="1"/>
      <c r="P2119" s="1"/>
      <c r="Q2119" s="1"/>
      <c r="R2119" s="1"/>
    </row>
    <row r="2120" spans="2:18">
      <c r="B2120" s="1"/>
      <c r="C2120" s="9"/>
      <c r="D2120" s="9"/>
      <c r="E2120" s="9"/>
      <c r="F2120" s="1"/>
      <c r="G2120" s="1"/>
      <c r="H2120" s="19"/>
      <c r="I2120" s="1"/>
      <c r="J2120" s="1"/>
      <c r="K2120" s="19"/>
      <c r="L2120" s="1"/>
      <c r="M2120" s="9"/>
      <c r="N2120" s="1"/>
      <c r="O2120" s="1"/>
      <c r="P2120" s="1"/>
      <c r="Q2120" s="1"/>
      <c r="R2120" s="1"/>
    </row>
    <row r="2121" spans="2:18">
      <c r="B2121" s="1"/>
      <c r="C2121" s="9"/>
      <c r="D2121" s="9"/>
      <c r="E2121" s="9"/>
      <c r="F2121" s="1"/>
      <c r="G2121" s="1"/>
      <c r="H2121" s="19"/>
      <c r="I2121" s="1"/>
      <c r="J2121" s="1"/>
      <c r="K2121" s="19"/>
      <c r="L2121" s="1"/>
      <c r="M2121" s="9"/>
      <c r="N2121" s="1"/>
      <c r="O2121" s="1"/>
      <c r="P2121" s="1"/>
      <c r="Q2121" s="1"/>
      <c r="R2121" s="1"/>
    </row>
    <row r="2122" spans="2:18">
      <c r="B2122" s="1"/>
      <c r="C2122" s="9"/>
      <c r="D2122" s="9"/>
      <c r="E2122" s="9"/>
      <c r="F2122" s="1"/>
      <c r="G2122" s="1"/>
      <c r="H2122" s="19"/>
      <c r="I2122" s="1"/>
      <c r="J2122" s="1"/>
      <c r="K2122" s="19"/>
      <c r="L2122" s="1"/>
      <c r="M2122" s="9"/>
      <c r="N2122" s="1"/>
      <c r="O2122" s="1"/>
      <c r="P2122" s="1"/>
      <c r="Q2122" s="1"/>
      <c r="R2122" s="1"/>
    </row>
    <row r="2123" spans="2:18">
      <c r="B2123" s="1"/>
      <c r="C2123" s="9"/>
      <c r="D2123" s="9"/>
      <c r="E2123" s="9"/>
      <c r="F2123" s="1"/>
      <c r="G2123" s="1"/>
      <c r="H2123" s="19"/>
      <c r="I2123" s="1"/>
      <c r="J2123" s="1"/>
      <c r="K2123" s="19"/>
      <c r="L2123" s="1"/>
      <c r="M2123" s="9"/>
      <c r="N2123" s="1"/>
      <c r="O2123" s="1"/>
      <c r="P2123" s="1"/>
      <c r="Q2123" s="1"/>
      <c r="R2123" s="1"/>
    </row>
    <row r="2124" spans="2:18">
      <c r="B2124" s="1"/>
      <c r="C2124" s="9"/>
      <c r="D2124" s="9"/>
      <c r="E2124" s="9"/>
      <c r="F2124" s="1"/>
      <c r="G2124" s="1"/>
      <c r="H2124" s="19"/>
      <c r="I2124" s="1"/>
      <c r="J2124" s="1"/>
      <c r="K2124" s="19"/>
      <c r="L2124" s="1"/>
      <c r="M2124" s="9"/>
      <c r="N2124" s="1"/>
      <c r="O2124" s="1"/>
      <c r="P2124" s="1"/>
      <c r="Q2124" s="1"/>
      <c r="R2124" s="1"/>
    </row>
    <row r="2125" spans="2:18">
      <c r="B2125" s="1"/>
      <c r="C2125" s="9"/>
      <c r="D2125" s="9"/>
      <c r="E2125" s="9"/>
      <c r="F2125" s="1"/>
      <c r="G2125" s="1"/>
      <c r="H2125" s="19"/>
      <c r="I2125" s="1"/>
      <c r="J2125" s="1"/>
      <c r="K2125" s="19"/>
      <c r="L2125" s="1"/>
      <c r="M2125" s="9"/>
      <c r="N2125" s="1"/>
      <c r="O2125" s="1"/>
      <c r="P2125" s="1"/>
      <c r="Q2125" s="1"/>
      <c r="R2125" s="1"/>
    </row>
    <row r="2126" spans="2:18">
      <c r="B2126" s="1"/>
      <c r="C2126" s="9"/>
      <c r="D2126" s="9"/>
      <c r="E2126" s="9"/>
      <c r="F2126" s="1"/>
      <c r="G2126" s="1"/>
      <c r="H2126" s="19"/>
      <c r="I2126" s="1"/>
      <c r="J2126" s="1"/>
      <c r="K2126" s="19"/>
      <c r="L2126" s="1"/>
      <c r="M2126" s="9"/>
      <c r="N2126" s="1"/>
      <c r="O2126" s="1"/>
      <c r="P2126" s="1"/>
      <c r="Q2126" s="1"/>
      <c r="R2126" s="1"/>
    </row>
    <row r="2127" spans="2:18">
      <c r="B2127" s="1"/>
      <c r="C2127" s="9"/>
      <c r="D2127" s="9"/>
      <c r="E2127" s="9"/>
      <c r="F2127" s="1"/>
      <c r="G2127" s="1"/>
      <c r="H2127" s="19"/>
      <c r="I2127" s="1"/>
      <c r="J2127" s="1"/>
      <c r="K2127" s="19"/>
      <c r="L2127" s="1"/>
      <c r="M2127" s="9"/>
      <c r="N2127" s="1"/>
      <c r="O2127" s="1"/>
      <c r="P2127" s="1"/>
      <c r="Q2127" s="1"/>
      <c r="R2127" s="1"/>
    </row>
    <row r="2128" spans="2:18">
      <c r="B2128" s="1"/>
      <c r="C2128" s="9"/>
      <c r="D2128" s="9"/>
      <c r="E2128" s="9"/>
      <c r="F2128" s="1"/>
      <c r="G2128" s="1"/>
      <c r="H2128" s="19"/>
      <c r="I2128" s="1"/>
      <c r="J2128" s="1"/>
      <c r="K2128" s="19"/>
      <c r="L2128" s="1"/>
      <c r="M2128" s="9"/>
      <c r="N2128" s="1"/>
      <c r="O2128" s="1"/>
      <c r="P2128" s="1"/>
      <c r="Q2128" s="1"/>
      <c r="R2128" s="1"/>
    </row>
    <row r="2129" spans="2:18">
      <c r="B2129" s="1"/>
      <c r="C2129" s="9"/>
      <c r="D2129" s="9"/>
      <c r="E2129" s="9"/>
      <c r="F2129" s="1"/>
      <c r="G2129" s="1"/>
      <c r="H2129" s="19"/>
      <c r="I2129" s="1"/>
      <c r="J2129" s="1"/>
      <c r="K2129" s="19"/>
      <c r="L2129" s="1"/>
      <c r="M2129" s="9"/>
      <c r="N2129" s="1"/>
      <c r="O2129" s="1"/>
      <c r="P2129" s="1"/>
      <c r="Q2129" s="1"/>
      <c r="R2129" s="1"/>
    </row>
    <row r="2130" spans="2:18">
      <c r="B2130" s="1"/>
      <c r="C2130" s="9"/>
      <c r="D2130" s="9"/>
      <c r="E2130" s="9"/>
      <c r="F2130" s="1"/>
      <c r="G2130" s="1"/>
      <c r="H2130" s="19"/>
      <c r="I2130" s="1"/>
      <c r="J2130" s="1"/>
      <c r="K2130" s="19"/>
      <c r="L2130" s="1"/>
      <c r="M2130" s="9"/>
      <c r="N2130" s="1"/>
      <c r="O2130" s="1"/>
      <c r="P2130" s="1"/>
      <c r="Q2130" s="1"/>
      <c r="R2130" s="1"/>
    </row>
    <row r="2131" spans="2:18">
      <c r="B2131" s="1"/>
      <c r="C2131" s="9"/>
      <c r="D2131" s="9"/>
      <c r="E2131" s="9"/>
      <c r="F2131" s="1"/>
      <c r="G2131" s="1"/>
      <c r="H2131" s="19"/>
      <c r="I2131" s="1"/>
      <c r="J2131" s="1"/>
      <c r="K2131" s="19"/>
      <c r="L2131" s="1"/>
      <c r="M2131" s="9"/>
      <c r="N2131" s="1"/>
      <c r="O2131" s="1"/>
      <c r="P2131" s="1"/>
      <c r="Q2131" s="1"/>
      <c r="R2131" s="1"/>
    </row>
    <row r="2132" spans="2:18">
      <c r="B2132" s="1"/>
      <c r="C2132" s="9"/>
      <c r="D2132" s="9"/>
      <c r="E2132" s="9"/>
      <c r="F2132" s="1"/>
      <c r="G2132" s="1"/>
      <c r="H2132" s="19"/>
      <c r="I2132" s="1"/>
      <c r="J2132" s="1"/>
      <c r="K2132" s="19"/>
      <c r="L2132" s="1"/>
      <c r="M2132" s="9"/>
      <c r="N2132" s="1"/>
      <c r="O2132" s="1"/>
      <c r="P2132" s="1"/>
      <c r="Q2132" s="1"/>
      <c r="R2132" s="1"/>
    </row>
    <row r="2133" spans="2:18">
      <c r="B2133" s="1"/>
      <c r="C2133" s="9"/>
      <c r="D2133" s="9"/>
      <c r="E2133" s="9"/>
      <c r="F2133" s="1"/>
      <c r="G2133" s="1"/>
      <c r="H2133" s="19"/>
      <c r="I2133" s="1"/>
      <c r="J2133" s="1"/>
      <c r="K2133" s="19"/>
      <c r="L2133" s="1"/>
      <c r="M2133" s="9"/>
      <c r="N2133" s="1"/>
      <c r="O2133" s="1"/>
      <c r="P2133" s="1"/>
      <c r="Q2133" s="1"/>
      <c r="R2133" s="1"/>
    </row>
    <row r="2134" spans="2:18">
      <c r="B2134" s="1"/>
      <c r="C2134" s="9"/>
      <c r="D2134" s="9"/>
      <c r="E2134" s="9"/>
      <c r="F2134" s="1"/>
      <c r="G2134" s="1"/>
      <c r="H2134" s="19"/>
      <c r="I2134" s="1"/>
      <c r="J2134" s="1"/>
      <c r="K2134" s="19"/>
      <c r="L2134" s="1"/>
      <c r="M2134" s="9"/>
      <c r="N2134" s="1"/>
      <c r="O2134" s="1"/>
      <c r="P2134" s="1"/>
      <c r="Q2134" s="1"/>
      <c r="R2134" s="1"/>
    </row>
    <row r="2135" spans="2:18">
      <c r="B2135" s="1"/>
      <c r="C2135" s="9"/>
      <c r="D2135" s="9"/>
      <c r="E2135" s="9"/>
      <c r="F2135" s="1"/>
      <c r="G2135" s="1"/>
      <c r="H2135" s="19"/>
      <c r="I2135" s="1"/>
      <c r="J2135" s="1"/>
      <c r="K2135" s="19"/>
      <c r="L2135" s="1"/>
      <c r="M2135" s="9"/>
      <c r="N2135" s="1"/>
      <c r="O2135" s="1"/>
      <c r="P2135" s="1"/>
      <c r="Q2135" s="1"/>
      <c r="R2135" s="1"/>
    </row>
    <row r="2136" spans="2:18">
      <c r="B2136" s="1"/>
      <c r="C2136" s="9"/>
      <c r="D2136" s="9"/>
      <c r="E2136" s="9"/>
      <c r="F2136" s="1"/>
      <c r="G2136" s="1"/>
      <c r="H2136" s="19"/>
      <c r="I2136" s="1"/>
      <c r="J2136" s="1"/>
      <c r="K2136" s="19"/>
      <c r="L2136" s="1"/>
      <c r="M2136" s="9"/>
      <c r="N2136" s="1"/>
      <c r="O2136" s="1"/>
      <c r="P2136" s="1"/>
      <c r="Q2136" s="1"/>
      <c r="R2136" s="1"/>
    </row>
    <row r="2137" spans="2:18">
      <c r="B2137" s="1"/>
      <c r="C2137" s="9"/>
      <c r="D2137" s="9"/>
      <c r="E2137" s="9"/>
      <c r="F2137" s="1"/>
      <c r="G2137" s="1"/>
      <c r="H2137" s="19"/>
      <c r="I2137" s="1"/>
      <c r="J2137" s="1"/>
      <c r="K2137" s="19"/>
      <c r="L2137" s="1"/>
      <c r="M2137" s="9"/>
      <c r="N2137" s="1"/>
      <c r="O2137" s="1"/>
      <c r="P2137" s="1"/>
      <c r="Q2137" s="1"/>
      <c r="R2137" s="1"/>
    </row>
    <row r="2138" spans="2:18">
      <c r="B2138" s="1"/>
      <c r="C2138" s="9"/>
      <c r="D2138" s="9"/>
      <c r="E2138" s="9"/>
      <c r="F2138" s="1"/>
      <c r="G2138" s="1"/>
      <c r="H2138" s="19"/>
      <c r="I2138" s="1"/>
      <c r="J2138" s="1"/>
      <c r="K2138" s="19"/>
      <c r="L2138" s="1"/>
      <c r="M2138" s="9"/>
      <c r="N2138" s="1"/>
      <c r="O2138" s="1"/>
      <c r="P2138" s="1"/>
      <c r="Q2138" s="1"/>
      <c r="R2138" s="1"/>
    </row>
    <row r="2139" spans="2:18">
      <c r="B2139" s="1"/>
      <c r="C2139" s="9"/>
      <c r="D2139" s="9"/>
      <c r="E2139" s="9"/>
      <c r="F2139" s="1"/>
      <c r="G2139" s="1"/>
      <c r="H2139" s="19"/>
      <c r="I2139" s="1"/>
      <c r="J2139" s="1"/>
      <c r="K2139" s="19"/>
      <c r="L2139" s="1"/>
      <c r="M2139" s="9"/>
      <c r="N2139" s="1"/>
      <c r="O2139" s="1"/>
      <c r="P2139" s="1"/>
      <c r="Q2139" s="1"/>
      <c r="R2139" s="1"/>
    </row>
    <row r="2140" spans="2:18">
      <c r="B2140" s="1"/>
      <c r="C2140" s="9"/>
      <c r="D2140" s="9"/>
      <c r="E2140" s="9"/>
      <c r="F2140" s="1"/>
      <c r="G2140" s="1"/>
      <c r="H2140" s="19"/>
      <c r="I2140" s="1"/>
      <c r="J2140" s="1"/>
      <c r="K2140" s="19"/>
      <c r="L2140" s="1"/>
      <c r="M2140" s="9"/>
      <c r="N2140" s="1"/>
      <c r="O2140" s="1"/>
      <c r="P2140" s="1"/>
      <c r="Q2140" s="1"/>
      <c r="R2140" s="1"/>
    </row>
    <row r="2141" spans="2:18">
      <c r="B2141" s="1"/>
      <c r="C2141" s="9"/>
      <c r="D2141" s="9"/>
      <c r="E2141" s="9"/>
      <c r="F2141" s="1"/>
      <c r="G2141" s="1"/>
      <c r="H2141" s="19"/>
      <c r="I2141" s="1"/>
      <c r="J2141" s="1"/>
      <c r="K2141" s="19"/>
      <c r="L2141" s="1"/>
      <c r="M2141" s="9"/>
      <c r="N2141" s="1"/>
      <c r="O2141" s="1"/>
      <c r="P2141" s="1"/>
      <c r="Q2141" s="1"/>
      <c r="R2141" s="1"/>
    </row>
    <row r="2142" spans="2:18">
      <c r="B2142" s="1"/>
      <c r="C2142" s="9"/>
      <c r="D2142" s="9"/>
      <c r="E2142" s="9"/>
      <c r="F2142" s="1"/>
      <c r="G2142" s="1"/>
      <c r="H2142" s="19"/>
      <c r="I2142" s="1"/>
      <c r="J2142" s="1"/>
      <c r="K2142" s="19"/>
      <c r="L2142" s="1"/>
      <c r="M2142" s="9"/>
      <c r="N2142" s="1"/>
      <c r="O2142" s="1"/>
      <c r="P2142" s="1"/>
      <c r="Q2142" s="1"/>
      <c r="R2142" s="1"/>
    </row>
    <row r="2143" spans="2:18">
      <c r="B2143" s="1"/>
      <c r="C2143" s="9"/>
      <c r="D2143" s="9"/>
      <c r="E2143" s="9"/>
      <c r="F2143" s="1"/>
      <c r="G2143" s="1"/>
      <c r="H2143" s="19"/>
      <c r="I2143" s="1"/>
      <c r="J2143" s="1"/>
      <c r="K2143" s="19"/>
      <c r="L2143" s="1"/>
      <c r="M2143" s="9"/>
      <c r="N2143" s="1"/>
      <c r="O2143" s="1"/>
      <c r="P2143" s="1"/>
      <c r="Q2143" s="1"/>
      <c r="R2143" s="1"/>
    </row>
    <row r="2144" spans="2:18">
      <c r="B2144" s="1"/>
      <c r="C2144" s="9"/>
      <c r="D2144" s="9"/>
      <c r="E2144" s="9"/>
      <c r="F2144" s="1"/>
      <c r="G2144" s="1"/>
      <c r="H2144" s="19"/>
      <c r="I2144" s="1"/>
      <c r="J2144" s="1"/>
      <c r="K2144" s="19"/>
      <c r="L2144" s="1"/>
      <c r="M2144" s="9"/>
      <c r="N2144" s="1"/>
      <c r="O2144" s="1"/>
      <c r="P2144" s="1"/>
      <c r="Q2144" s="1"/>
      <c r="R2144" s="1"/>
    </row>
    <row r="2145" spans="2:18">
      <c r="B2145" s="1"/>
      <c r="C2145" s="9"/>
      <c r="D2145" s="9"/>
      <c r="E2145" s="9"/>
      <c r="F2145" s="1"/>
      <c r="G2145" s="1"/>
      <c r="H2145" s="19"/>
      <c r="I2145" s="1"/>
      <c r="J2145" s="1"/>
      <c r="K2145" s="19"/>
      <c r="L2145" s="1"/>
      <c r="M2145" s="9"/>
      <c r="N2145" s="1"/>
      <c r="O2145" s="1"/>
      <c r="P2145" s="1"/>
      <c r="Q2145" s="1"/>
      <c r="R2145" s="1"/>
    </row>
    <row r="2146" spans="2:18">
      <c r="B2146" s="1"/>
      <c r="C2146" s="9"/>
      <c r="D2146" s="9"/>
      <c r="E2146" s="9"/>
      <c r="F2146" s="1"/>
      <c r="G2146" s="1"/>
      <c r="H2146" s="19"/>
      <c r="I2146" s="1"/>
      <c r="J2146" s="1"/>
      <c r="K2146" s="19"/>
      <c r="L2146" s="1"/>
      <c r="M2146" s="9"/>
      <c r="N2146" s="1"/>
      <c r="O2146" s="1"/>
      <c r="P2146" s="1"/>
      <c r="Q2146" s="1"/>
      <c r="R2146" s="1"/>
    </row>
    <row r="2147" spans="2:18">
      <c r="B2147" s="1"/>
      <c r="C2147" s="9"/>
      <c r="D2147" s="9"/>
      <c r="E2147" s="9"/>
      <c r="F2147" s="1"/>
      <c r="G2147" s="1"/>
      <c r="H2147" s="19"/>
      <c r="I2147" s="1"/>
      <c r="J2147" s="1"/>
      <c r="K2147" s="19"/>
      <c r="L2147" s="1"/>
      <c r="M2147" s="9"/>
      <c r="N2147" s="1"/>
      <c r="O2147" s="1"/>
      <c r="P2147" s="1"/>
      <c r="Q2147" s="1"/>
      <c r="R2147" s="1"/>
    </row>
    <row r="2148" spans="2:18">
      <c r="B2148" s="1"/>
      <c r="C2148" s="9"/>
      <c r="D2148" s="9"/>
      <c r="E2148" s="9"/>
      <c r="F2148" s="1"/>
      <c r="G2148" s="1"/>
      <c r="H2148" s="19"/>
      <c r="I2148" s="1"/>
      <c r="J2148" s="1"/>
      <c r="K2148" s="19"/>
      <c r="L2148" s="1"/>
      <c r="M2148" s="9"/>
      <c r="N2148" s="1"/>
      <c r="O2148" s="1"/>
      <c r="P2148" s="1"/>
      <c r="Q2148" s="1"/>
      <c r="R2148" s="1"/>
    </row>
    <row r="2149" spans="2:18">
      <c r="B2149" s="1"/>
      <c r="C2149" s="9"/>
      <c r="D2149" s="9"/>
      <c r="E2149" s="9"/>
      <c r="F2149" s="1"/>
      <c r="G2149" s="1"/>
      <c r="H2149" s="19"/>
      <c r="I2149" s="1"/>
      <c r="J2149" s="1"/>
      <c r="K2149" s="19"/>
      <c r="L2149" s="1"/>
      <c r="M2149" s="9"/>
      <c r="N2149" s="1"/>
      <c r="O2149" s="1"/>
      <c r="P2149" s="1"/>
      <c r="Q2149" s="1"/>
      <c r="R2149" s="1"/>
    </row>
    <row r="2150" spans="2:18">
      <c r="B2150" s="1"/>
      <c r="C2150" s="9"/>
      <c r="D2150" s="9"/>
      <c r="E2150" s="9"/>
      <c r="F2150" s="1"/>
      <c r="G2150" s="1"/>
      <c r="H2150" s="19"/>
      <c r="I2150" s="1"/>
      <c r="J2150" s="1"/>
      <c r="K2150" s="19"/>
      <c r="L2150" s="1"/>
      <c r="M2150" s="9"/>
      <c r="N2150" s="1"/>
      <c r="O2150" s="1"/>
      <c r="P2150" s="1"/>
      <c r="Q2150" s="1"/>
      <c r="R2150" s="1"/>
    </row>
    <row r="2151" spans="2:18">
      <c r="B2151" s="1"/>
      <c r="C2151" s="9"/>
      <c r="D2151" s="9"/>
      <c r="E2151" s="9"/>
      <c r="F2151" s="1"/>
      <c r="G2151" s="1"/>
      <c r="H2151" s="19"/>
      <c r="I2151" s="1"/>
      <c r="J2151" s="1"/>
      <c r="K2151" s="19"/>
      <c r="L2151" s="1"/>
      <c r="M2151" s="9"/>
      <c r="N2151" s="1"/>
      <c r="O2151" s="1"/>
      <c r="P2151" s="1"/>
      <c r="Q2151" s="1"/>
      <c r="R2151" s="1"/>
    </row>
    <row r="2152" spans="2:18">
      <c r="B2152" s="1"/>
      <c r="C2152" s="9"/>
      <c r="D2152" s="9"/>
      <c r="E2152" s="9"/>
      <c r="F2152" s="1"/>
      <c r="G2152" s="1"/>
      <c r="H2152" s="19"/>
      <c r="I2152" s="1"/>
      <c r="J2152" s="1"/>
      <c r="K2152" s="19"/>
      <c r="L2152" s="1"/>
      <c r="M2152" s="9"/>
      <c r="N2152" s="1"/>
      <c r="O2152" s="1"/>
      <c r="P2152" s="1"/>
      <c r="Q2152" s="1"/>
      <c r="R2152" s="1"/>
    </row>
    <row r="2153" spans="2:18">
      <c r="B2153" s="1"/>
      <c r="C2153" s="9"/>
      <c r="D2153" s="9"/>
      <c r="E2153" s="9"/>
      <c r="F2153" s="1"/>
      <c r="G2153" s="1"/>
      <c r="H2153" s="19"/>
      <c r="I2153" s="1"/>
      <c r="J2153" s="1"/>
      <c r="K2153" s="19"/>
      <c r="L2153" s="1"/>
      <c r="M2153" s="9"/>
      <c r="N2153" s="1"/>
      <c r="O2153" s="1"/>
      <c r="P2153" s="1"/>
      <c r="Q2153" s="1"/>
      <c r="R2153" s="1"/>
    </row>
    <row r="2154" spans="2:18">
      <c r="B2154" s="1"/>
      <c r="C2154" s="9"/>
      <c r="D2154" s="9"/>
      <c r="E2154" s="9"/>
      <c r="F2154" s="1"/>
      <c r="G2154" s="1"/>
      <c r="H2154" s="19"/>
      <c r="I2154" s="1"/>
      <c r="J2154" s="1"/>
      <c r="K2154" s="19"/>
      <c r="L2154" s="1"/>
      <c r="M2154" s="9"/>
      <c r="N2154" s="1"/>
      <c r="O2154" s="1"/>
      <c r="P2154" s="1"/>
      <c r="Q2154" s="1"/>
      <c r="R2154" s="1"/>
    </row>
    <row r="2155" spans="2:18">
      <c r="B2155" s="1"/>
      <c r="C2155" s="9"/>
      <c r="D2155" s="9"/>
      <c r="E2155" s="9"/>
      <c r="F2155" s="1"/>
      <c r="G2155" s="1"/>
      <c r="H2155" s="19"/>
      <c r="I2155" s="1"/>
      <c r="J2155" s="1"/>
      <c r="K2155" s="19"/>
      <c r="L2155" s="1"/>
      <c r="M2155" s="9"/>
      <c r="N2155" s="1"/>
      <c r="O2155" s="1"/>
      <c r="P2155" s="1"/>
      <c r="Q2155" s="1"/>
      <c r="R2155" s="1"/>
    </row>
    <row r="2156" spans="2:18">
      <c r="B2156" s="1"/>
      <c r="C2156" s="9"/>
      <c r="D2156" s="9"/>
      <c r="E2156" s="9"/>
      <c r="F2156" s="1"/>
      <c r="G2156" s="1"/>
      <c r="H2156" s="19"/>
      <c r="I2156" s="1"/>
      <c r="J2156" s="1"/>
      <c r="K2156" s="19"/>
      <c r="L2156" s="1"/>
      <c r="M2156" s="9"/>
      <c r="N2156" s="1"/>
      <c r="O2156" s="1"/>
      <c r="P2156" s="1"/>
      <c r="Q2156" s="1"/>
      <c r="R2156" s="1"/>
    </row>
    <row r="2157" spans="2:18">
      <c r="B2157" s="1"/>
      <c r="C2157" s="9"/>
      <c r="D2157" s="9"/>
      <c r="E2157" s="9"/>
      <c r="F2157" s="1"/>
      <c r="G2157" s="1"/>
      <c r="H2157" s="19"/>
      <c r="I2157" s="1"/>
      <c r="J2157" s="1"/>
      <c r="K2157" s="19"/>
      <c r="L2157" s="1"/>
      <c r="M2157" s="9"/>
      <c r="N2157" s="1"/>
      <c r="O2157" s="1"/>
      <c r="P2157" s="1"/>
      <c r="Q2157" s="1"/>
      <c r="R2157" s="1"/>
    </row>
    <row r="2158" spans="2:18">
      <c r="B2158" s="1"/>
      <c r="C2158" s="9"/>
      <c r="D2158" s="9"/>
      <c r="E2158" s="9"/>
      <c r="F2158" s="1"/>
      <c r="G2158" s="1"/>
      <c r="H2158" s="19"/>
      <c r="I2158" s="1"/>
      <c r="J2158" s="1"/>
      <c r="K2158" s="19"/>
      <c r="L2158" s="1"/>
      <c r="M2158" s="9"/>
      <c r="N2158" s="1"/>
      <c r="O2158" s="1"/>
      <c r="P2158" s="1"/>
      <c r="Q2158" s="1"/>
      <c r="R2158" s="1"/>
    </row>
    <row r="2159" spans="2:18">
      <c r="B2159" s="1"/>
      <c r="C2159" s="9"/>
      <c r="D2159" s="9"/>
      <c r="E2159" s="9"/>
      <c r="F2159" s="1"/>
      <c r="G2159" s="1"/>
      <c r="H2159" s="19"/>
      <c r="I2159" s="1"/>
      <c r="J2159" s="1"/>
      <c r="K2159" s="19"/>
      <c r="L2159" s="1"/>
      <c r="M2159" s="9"/>
      <c r="N2159" s="1"/>
      <c r="O2159" s="1"/>
      <c r="P2159" s="1"/>
      <c r="Q2159" s="1"/>
      <c r="R2159" s="1"/>
    </row>
    <row r="2160" spans="2:18">
      <c r="B2160" s="1"/>
      <c r="C2160" s="9"/>
      <c r="D2160" s="9"/>
      <c r="E2160" s="9"/>
      <c r="F2160" s="1"/>
      <c r="G2160" s="1"/>
      <c r="H2160" s="19"/>
      <c r="I2160" s="1"/>
      <c r="J2160" s="1"/>
      <c r="K2160" s="19"/>
      <c r="L2160" s="1"/>
      <c r="M2160" s="9"/>
      <c r="N2160" s="1"/>
      <c r="O2160" s="1"/>
      <c r="P2160" s="1"/>
      <c r="Q2160" s="1"/>
      <c r="R2160" s="1"/>
    </row>
    <row r="2161" spans="2:18">
      <c r="B2161" s="1"/>
      <c r="C2161" s="9"/>
      <c r="D2161" s="9"/>
      <c r="E2161" s="9"/>
      <c r="F2161" s="1"/>
      <c r="G2161" s="1"/>
      <c r="H2161" s="19"/>
      <c r="I2161" s="1"/>
      <c r="J2161" s="1"/>
      <c r="K2161" s="19"/>
      <c r="L2161" s="1"/>
      <c r="M2161" s="9"/>
      <c r="N2161" s="1"/>
      <c r="O2161" s="1"/>
      <c r="P2161" s="1"/>
      <c r="Q2161" s="1"/>
      <c r="R2161" s="1"/>
    </row>
    <row r="2162" spans="2:18">
      <c r="B2162" s="1"/>
      <c r="C2162" s="9"/>
      <c r="D2162" s="9"/>
      <c r="E2162" s="9"/>
      <c r="F2162" s="1"/>
      <c r="G2162" s="1"/>
      <c r="H2162" s="19"/>
      <c r="I2162" s="1"/>
      <c r="J2162" s="1"/>
      <c r="K2162" s="19"/>
      <c r="L2162" s="1"/>
      <c r="M2162" s="9"/>
      <c r="N2162" s="1"/>
      <c r="O2162" s="1"/>
      <c r="P2162" s="1"/>
      <c r="Q2162" s="1"/>
      <c r="R2162" s="1"/>
    </row>
    <row r="2163" spans="2:18">
      <c r="B2163" s="1"/>
      <c r="C2163" s="9"/>
      <c r="D2163" s="9"/>
      <c r="E2163" s="9"/>
      <c r="F2163" s="1"/>
      <c r="G2163" s="1"/>
      <c r="H2163" s="19"/>
      <c r="I2163" s="1"/>
      <c r="J2163" s="1"/>
      <c r="K2163" s="19"/>
      <c r="L2163" s="1"/>
      <c r="M2163" s="9"/>
      <c r="N2163" s="1"/>
      <c r="O2163" s="1"/>
      <c r="P2163" s="1"/>
      <c r="Q2163" s="1"/>
      <c r="R2163" s="1"/>
    </row>
    <row r="2164" spans="2:18">
      <c r="B2164" s="1"/>
      <c r="C2164" s="9"/>
      <c r="D2164" s="9"/>
      <c r="E2164" s="9"/>
      <c r="F2164" s="1"/>
      <c r="G2164" s="1"/>
      <c r="H2164" s="19"/>
      <c r="I2164" s="1"/>
      <c r="J2164" s="1"/>
      <c r="K2164" s="19"/>
      <c r="L2164" s="1"/>
      <c r="M2164" s="9"/>
      <c r="N2164" s="1"/>
      <c r="O2164" s="1"/>
      <c r="P2164" s="1"/>
      <c r="Q2164" s="1"/>
      <c r="R2164" s="1"/>
    </row>
    <row r="2165" spans="2:18">
      <c r="B2165" s="1"/>
      <c r="C2165" s="9"/>
      <c r="D2165" s="9"/>
      <c r="E2165" s="9"/>
      <c r="F2165" s="1"/>
      <c r="G2165" s="1"/>
      <c r="H2165" s="19"/>
      <c r="I2165" s="1"/>
      <c r="J2165" s="1"/>
      <c r="K2165" s="19"/>
      <c r="L2165" s="1"/>
      <c r="M2165" s="9"/>
      <c r="N2165" s="1"/>
      <c r="O2165" s="1"/>
      <c r="P2165" s="1"/>
      <c r="Q2165" s="1"/>
      <c r="R2165" s="1"/>
    </row>
    <row r="2166" spans="2:18">
      <c r="B2166" s="1"/>
      <c r="C2166" s="9"/>
      <c r="D2166" s="9"/>
      <c r="E2166" s="9"/>
      <c r="F2166" s="1"/>
      <c r="G2166" s="1"/>
      <c r="H2166" s="19"/>
      <c r="I2166" s="1"/>
      <c r="J2166" s="1"/>
      <c r="K2166" s="19"/>
      <c r="L2166" s="1"/>
      <c r="M2166" s="9"/>
      <c r="N2166" s="1"/>
      <c r="O2166" s="1"/>
      <c r="P2166" s="1"/>
      <c r="Q2166" s="1"/>
      <c r="R2166" s="1"/>
    </row>
    <row r="2167" spans="2:18">
      <c r="B2167" s="1"/>
      <c r="C2167" s="9"/>
      <c r="D2167" s="9"/>
      <c r="E2167" s="9"/>
      <c r="F2167" s="1"/>
      <c r="G2167" s="1"/>
      <c r="H2167" s="19"/>
      <c r="I2167" s="1"/>
      <c r="J2167" s="1"/>
      <c r="K2167" s="19"/>
      <c r="L2167" s="1"/>
      <c r="M2167" s="9"/>
      <c r="N2167" s="1"/>
      <c r="O2167" s="1"/>
      <c r="P2167" s="1"/>
      <c r="Q2167" s="1"/>
      <c r="R2167" s="1"/>
    </row>
    <row r="2168" spans="2:18">
      <c r="B2168" s="1"/>
      <c r="C2168" s="9"/>
      <c r="D2168" s="9"/>
      <c r="E2168" s="9"/>
      <c r="F2168" s="1"/>
      <c r="G2168" s="1"/>
      <c r="H2168" s="19"/>
      <c r="I2168" s="1"/>
      <c r="J2168" s="1"/>
      <c r="K2168" s="19"/>
      <c r="L2168" s="1"/>
      <c r="M2168" s="9"/>
      <c r="N2168" s="1"/>
      <c r="O2168" s="1"/>
      <c r="P2168" s="1"/>
      <c r="Q2168" s="1"/>
      <c r="R2168" s="1"/>
    </row>
    <row r="2169" spans="2:18">
      <c r="B2169" s="1"/>
      <c r="C2169" s="9"/>
      <c r="D2169" s="9"/>
      <c r="E2169" s="9"/>
      <c r="F2169" s="1"/>
      <c r="G2169" s="1"/>
      <c r="H2169" s="19"/>
      <c r="I2169" s="1"/>
      <c r="J2169" s="1"/>
      <c r="K2169" s="19"/>
      <c r="L2169" s="1"/>
      <c r="M2169" s="9"/>
      <c r="N2169" s="1"/>
      <c r="O2169" s="1"/>
      <c r="P2169" s="1"/>
      <c r="Q2169" s="1"/>
      <c r="R2169" s="1"/>
    </row>
    <row r="2170" spans="2:18">
      <c r="B2170" s="1"/>
      <c r="C2170" s="9"/>
      <c r="D2170" s="9"/>
      <c r="E2170" s="9"/>
      <c r="F2170" s="1"/>
      <c r="G2170" s="1"/>
      <c r="H2170" s="19"/>
      <c r="I2170" s="1"/>
      <c r="J2170" s="1"/>
      <c r="K2170" s="19"/>
      <c r="L2170" s="1"/>
      <c r="M2170" s="9"/>
      <c r="N2170" s="1"/>
      <c r="O2170" s="1"/>
      <c r="P2170" s="1"/>
      <c r="Q2170" s="1"/>
      <c r="R2170" s="1"/>
    </row>
    <row r="2171" spans="2:18">
      <c r="B2171" s="1"/>
      <c r="C2171" s="9"/>
      <c r="D2171" s="9"/>
      <c r="E2171" s="9"/>
      <c r="F2171" s="1"/>
      <c r="G2171" s="1"/>
      <c r="H2171" s="19"/>
      <c r="I2171" s="1"/>
      <c r="J2171" s="1"/>
      <c r="K2171" s="19"/>
      <c r="L2171" s="1"/>
      <c r="M2171" s="9"/>
      <c r="N2171" s="1"/>
      <c r="O2171" s="1"/>
      <c r="P2171" s="1"/>
      <c r="Q2171" s="1"/>
      <c r="R2171" s="1"/>
    </row>
    <row r="2172" spans="2:18">
      <c r="B2172" s="1"/>
      <c r="C2172" s="9"/>
      <c r="D2172" s="9"/>
      <c r="E2172" s="9"/>
      <c r="F2172" s="1"/>
      <c r="G2172" s="1"/>
      <c r="H2172" s="19"/>
      <c r="I2172" s="1"/>
      <c r="J2172" s="1"/>
      <c r="K2172" s="19"/>
      <c r="L2172" s="1"/>
      <c r="M2172" s="9"/>
      <c r="N2172" s="1"/>
      <c r="O2172" s="1"/>
      <c r="P2172" s="1"/>
      <c r="Q2172" s="1"/>
      <c r="R2172" s="1"/>
    </row>
    <row r="2173" spans="2:18">
      <c r="B2173" s="1"/>
      <c r="C2173" s="9"/>
      <c r="D2173" s="9"/>
      <c r="E2173" s="9"/>
      <c r="F2173" s="1"/>
      <c r="G2173" s="1"/>
      <c r="H2173" s="19"/>
      <c r="I2173" s="1"/>
      <c r="J2173" s="1"/>
      <c r="K2173" s="19"/>
      <c r="L2173" s="1"/>
      <c r="M2173" s="9"/>
      <c r="N2173" s="1"/>
      <c r="O2173" s="1"/>
      <c r="P2173" s="1"/>
      <c r="Q2173" s="1"/>
      <c r="R2173" s="1"/>
    </row>
    <row r="2174" spans="2:18">
      <c r="B2174" s="1"/>
      <c r="C2174" s="9"/>
      <c r="D2174" s="9"/>
      <c r="E2174" s="9"/>
      <c r="F2174" s="1"/>
      <c r="G2174" s="1"/>
      <c r="H2174" s="19"/>
      <c r="I2174" s="1"/>
      <c r="J2174" s="1"/>
      <c r="K2174" s="19"/>
      <c r="L2174" s="1"/>
      <c r="M2174" s="9"/>
      <c r="N2174" s="1"/>
      <c r="O2174" s="1"/>
      <c r="P2174" s="1"/>
      <c r="Q2174" s="1"/>
      <c r="R2174" s="1"/>
    </row>
    <row r="2175" spans="2:18">
      <c r="B2175" s="1"/>
      <c r="C2175" s="9"/>
      <c r="D2175" s="9"/>
      <c r="E2175" s="9"/>
      <c r="F2175" s="1"/>
      <c r="G2175" s="1"/>
      <c r="H2175" s="19"/>
      <c r="I2175" s="1"/>
      <c r="J2175" s="1"/>
      <c r="K2175" s="19"/>
      <c r="L2175" s="1"/>
      <c r="M2175" s="9"/>
      <c r="N2175" s="1"/>
      <c r="O2175" s="1"/>
      <c r="P2175" s="1"/>
      <c r="Q2175" s="1"/>
      <c r="R2175" s="1"/>
    </row>
    <row r="2176" spans="2:18">
      <c r="B2176" s="1"/>
      <c r="C2176" s="9"/>
      <c r="D2176" s="9"/>
      <c r="E2176" s="9"/>
      <c r="F2176" s="1"/>
      <c r="G2176" s="1"/>
      <c r="H2176" s="19"/>
      <c r="I2176" s="1"/>
      <c r="J2176" s="1"/>
      <c r="K2176" s="19"/>
      <c r="L2176" s="1"/>
      <c r="M2176" s="9"/>
      <c r="N2176" s="1"/>
      <c r="O2176" s="1"/>
      <c r="P2176" s="1"/>
      <c r="Q2176" s="1"/>
      <c r="R2176" s="1"/>
    </row>
    <row r="2177" spans="2:18">
      <c r="B2177" s="1"/>
      <c r="C2177" s="9"/>
      <c r="D2177" s="9"/>
      <c r="E2177" s="9"/>
      <c r="F2177" s="1"/>
      <c r="G2177" s="1"/>
      <c r="H2177" s="19"/>
      <c r="I2177" s="1"/>
      <c r="J2177" s="1"/>
      <c r="K2177" s="19"/>
      <c r="L2177" s="1"/>
      <c r="M2177" s="9"/>
      <c r="N2177" s="1"/>
      <c r="O2177" s="1"/>
      <c r="P2177" s="1"/>
      <c r="Q2177" s="1"/>
      <c r="R2177" s="1"/>
    </row>
    <row r="2178" spans="2:18">
      <c r="B2178" s="1"/>
      <c r="C2178" s="9"/>
      <c r="D2178" s="9"/>
      <c r="E2178" s="9"/>
      <c r="F2178" s="1"/>
      <c r="G2178" s="1"/>
      <c r="H2178" s="19"/>
      <c r="I2178" s="1"/>
      <c r="J2178" s="1"/>
      <c r="K2178" s="19"/>
      <c r="L2178" s="1"/>
      <c r="M2178" s="9"/>
      <c r="N2178" s="1"/>
      <c r="O2178" s="1"/>
      <c r="P2178" s="1"/>
      <c r="Q2178" s="1"/>
      <c r="R2178" s="1"/>
    </row>
    <row r="2179" spans="2:18">
      <c r="B2179" s="1"/>
      <c r="C2179" s="9"/>
      <c r="D2179" s="9"/>
      <c r="E2179" s="9"/>
      <c r="F2179" s="1"/>
      <c r="G2179" s="1"/>
      <c r="H2179" s="19"/>
      <c r="I2179" s="1"/>
      <c r="J2179" s="1"/>
      <c r="K2179" s="19"/>
      <c r="L2179" s="1"/>
      <c r="M2179" s="9"/>
      <c r="N2179" s="1"/>
      <c r="O2179" s="1"/>
      <c r="P2179" s="1"/>
      <c r="Q2179" s="1"/>
      <c r="R2179" s="1"/>
    </row>
    <row r="2180" spans="2:18">
      <c r="B2180" s="1"/>
      <c r="C2180" s="9"/>
      <c r="D2180" s="9"/>
      <c r="E2180" s="9"/>
      <c r="F2180" s="1"/>
      <c r="G2180" s="1"/>
      <c r="H2180" s="19"/>
      <c r="I2180" s="1"/>
      <c r="J2180" s="1"/>
      <c r="K2180" s="19"/>
      <c r="L2180" s="1"/>
      <c r="M2180" s="9"/>
      <c r="N2180" s="1"/>
      <c r="O2180" s="1"/>
      <c r="P2180" s="1"/>
      <c r="Q2180" s="1"/>
      <c r="R2180" s="1"/>
    </row>
    <row r="2181" spans="2:18">
      <c r="B2181" s="1"/>
      <c r="C2181" s="9"/>
      <c r="D2181" s="9"/>
      <c r="E2181" s="9"/>
      <c r="F2181" s="1"/>
      <c r="G2181" s="1"/>
      <c r="H2181" s="19"/>
      <c r="I2181" s="1"/>
      <c r="J2181" s="1"/>
      <c r="K2181" s="19"/>
      <c r="L2181" s="1"/>
      <c r="M2181" s="9"/>
      <c r="N2181" s="1"/>
      <c r="O2181" s="1"/>
      <c r="P2181" s="1"/>
      <c r="Q2181" s="1"/>
      <c r="R2181" s="1"/>
    </row>
    <row r="2182" spans="2:18">
      <c r="B2182" s="1"/>
      <c r="C2182" s="9"/>
      <c r="D2182" s="9"/>
      <c r="E2182" s="9"/>
      <c r="F2182" s="1"/>
      <c r="G2182" s="1"/>
      <c r="H2182" s="19"/>
      <c r="I2182" s="1"/>
      <c r="J2182" s="1"/>
      <c r="K2182" s="19"/>
      <c r="L2182" s="1"/>
      <c r="M2182" s="9"/>
      <c r="N2182" s="1"/>
      <c r="O2182" s="1"/>
      <c r="P2182" s="1"/>
      <c r="Q2182" s="1"/>
      <c r="R2182" s="1"/>
    </row>
    <row r="2183" spans="2:18">
      <c r="B2183" s="1"/>
      <c r="C2183" s="9"/>
      <c r="D2183" s="9"/>
      <c r="E2183" s="9"/>
      <c r="F2183" s="1"/>
      <c r="G2183" s="1"/>
      <c r="H2183" s="19"/>
      <c r="I2183" s="1"/>
      <c r="J2183" s="1"/>
      <c r="K2183" s="19"/>
      <c r="L2183" s="1"/>
      <c r="M2183" s="9"/>
      <c r="N2183" s="1"/>
      <c r="O2183" s="1"/>
      <c r="P2183" s="1"/>
      <c r="Q2183" s="1"/>
      <c r="R2183" s="1"/>
    </row>
    <row r="2184" spans="2:18">
      <c r="B2184" s="1"/>
      <c r="C2184" s="9"/>
      <c r="D2184" s="9"/>
      <c r="E2184" s="9"/>
      <c r="F2184" s="1"/>
      <c r="G2184" s="1"/>
      <c r="H2184" s="19"/>
      <c r="I2184" s="1"/>
      <c r="J2184" s="1"/>
      <c r="K2184" s="19"/>
      <c r="L2184" s="1"/>
      <c r="M2184" s="9"/>
      <c r="N2184" s="1"/>
      <c r="O2184" s="1"/>
      <c r="P2184" s="1"/>
      <c r="Q2184" s="1"/>
      <c r="R2184" s="1"/>
    </row>
    <row r="2185" spans="2:18">
      <c r="B2185" s="1"/>
      <c r="C2185" s="9"/>
      <c r="D2185" s="9"/>
      <c r="E2185" s="9"/>
      <c r="F2185" s="1"/>
      <c r="G2185" s="1"/>
      <c r="H2185" s="19"/>
      <c r="I2185" s="1"/>
      <c r="J2185" s="1"/>
      <c r="K2185" s="19"/>
      <c r="L2185" s="1"/>
      <c r="M2185" s="9"/>
      <c r="N2185" s="1"/>
      <c r="O2185" s="1"/>
      <c r="P2185" s="1"/>
      <c r="Q2185" s="1"/>
      <c r="R2185" s="1"/>
    </row>
    <row r="2186" spans="2:18">
      <c r="B2186" s="1"/>
      <c r="C2186" s="9"/>
      <c r="D2186" s="9"/>
      <c r="E2186" s="9"/>
      <c r="F2186" s="1"/>
      <c r="G2186" s="1"/>
      <c r="H2186" s="19"/>
      <c r="I2186" s="1"/>
      <c r="J2186" s="1"/>
      <c r="K2186" s="19"/>
      <c r="L2186" s="1"/>
      <c r="M2186" s="9"/>
      <c r="N2186" s="1"/>
      <c r="O2186" s="1"/>
      <c r="P2186" s="1"/>
      <c r="Q2186" s="1"/>
      <c r="R2186" s="1"/>
    </row>
    <row r="2187" spans="2:18">
      <c r="B2187" s="1"/>
      <c r="C2187" s="9"/>
      <c r="D2187" s="9"/>
      <c r="E2187" s="9"/>
      <c r="F2187" s="1"/>
      <c r="G2187" s="1"/>
      <c r="H2187" s="19"/>
      <c r="I2187" s="1"/>
      <c r="J2187" s="1"/>
      <c r="K2187" s="19"/>
      <c r="L2187" s="1"/>
      <c r="M2187" s="9"/>
      <c r="N2187" s="1"/>
      <c r="O2187" s="1"/>
      <c r="P2187" s="1"/>
      <c r="Q2187" s="1"/>
      <c r="R2187" s="1"/>
    </row>
    <row r="2188" spans="2:18">
      <c r="B2188" s="1"/>
      <c r="C2188" s="9"/>
      <c r="D2188" s="9"/>
      <c r="E2188" s="9"/>
      <c r="F2188" s="1"/>
      <c r="G2188" s="1"/>
      <c r="H2188" s="19"/>
      <c r="I2188" s="1"/>
      <c r="J2188" s="1"/>
      <c r="K2188" s="19"/>
      <c r="L2188" s="1"/>
      <c r="M2188" s="9"/>
      <c r="N2188" s="1"/>
      <c r="O2188" s="1"/>
      <c r="P2188" s="1"/>
      <c r="Q2188" s="1"/>
      <c r="R2188" s="1"/>
    </row>
    <row r="2189" spans="2:18">
      <c r="B2189" s="1"/>
      <c r="C2189" s="9"/>
      <c r="D2189" s="9"/>
      <c r="E2189" s="9"/>
      <c r="F2189" s="1"/>
      <c r="G2189" s="1"/>
      <c r="H2189" s="19"/>
      <c r="I2189" s="1"/>
      <c r="J2189" s="1"/>
      <c r="K2189" s="19"/>
      <c r="L2189" s="1"/>
      <c r="M2189" s="9"/>
      <c r="N2189" s="1"/>
      <c r="O2189" s="1"/>
      <c r="P2189" s="1"/>
      <c r="Q2189" s="1"/>
      <c r="R2189" s="1"/>
    </row>
    <row r="2190" spans="2:18">
      <c r="B2190" s="1"/>
      <c r="C2190" s="9"/>
      <c r="D2190" s="9"/>
      <c r="E2190" s="9"/>
      <c r="F2190" s="1"/>
      <c r="G2190" s="1"/>
      <c r="H2190" s="19"/>
      <c r="I2190" s="1"/>
      <c r="J2190" s="1"/>
      <c r="K2190" s="19"/>
      <c r="L2190" s="1"/>
      <c r="M2190" s="9"/>
      <c r="N2190" s="1"/>
      <c r="O2190" s="1"/>
      <c r="P2190" s="1"/>
      <c r="Q2190" s="1"/>
      <c r="R2190" s="1"/>
    </row>
    <row r="2191" spans="2:18">
      <c r="B2191" s="1"/>
      <c r="C2191" s="9"/>
      <c r="D2191" s="9"/>
      <c r="E2191" s="9"/>
      <c r="F2191" s="1"/>
      <c r="G2191" s="1"/>
      <c r="H2191" s="19"/>
      <c r="I2191" s="1"/>
      <c r="J2191" s="1"/>
      <c r="K2191" s="19"/>
      <c r="L2191" s="1"/>
      <c r="M2191" s="9"/>
      <c r="N2191" s="1"/>
      <c r="O2191" s="1"/>
      <c r="P2191" s="1"/>
      <c r="Q2191" s="1"/>
      <c r="R2191" s="1"/>
    </row>
    <row r="2192" spans="2:18">
      <c r="B2192" s="1"/>
      <c r="C2192" s="9"/>
      <c r="D2192" s="9"/>
      <c r="E2192" s="9"/>
      <c r="F2192" s="1"/>
      <c r="G2192" s="1"/>
      <c r="H2192" s="19"/>
      <c r="I2192" s="1"/>
      <c r="J2192" s="1"/>
      <c r="K2192" s="19"/>
      <c r="L2192" s="1"/>
      <c r="M2192" s="9"/>
      <c r="N2192" s="1"/>
      <c r="O2192" s="1"/>
      <c r="P2192" s="1"/>
      <c r="Q2192" s="1"/>
      <c r="R2192" s="1"/>
    </row>
    <row r="2193" spans="2:18">
      <c r="B2193" s="1"/>
      <c r="C2193" s="9"/>
      <c r="D2193" s="9"/>
      <c r="E2193" s="9"/>
      <c r="F2193" s="1"/>
      <c r="G2193" s="1"/>
      <c r="H2193" s="19"/>
      <c r="I2193" s="1"/>
      <c r="J2193" s="1"/>
      <c r="K2193" s="19"/>
      <c r="L2193" s="1"/>
      <c r="M2193" s="9"/>
      <c r="N2193" s="1"/>
      <c r="O2193" s="1"/>
      <c r="P2193" s="1"/>
      <c r="Q2193" s="1"/>
      <c r="R2193" s="1"/>
    </row>
    <row r="2194" spans="2:18">
      <c r="B2194" s="1"/>
      <c r="C2194" s="9"/>
      <c r="D2194" s="9"/>
      <c r="E2194" s="9"/>
      <c r="F2194" s="1"/>
      <c r="G2194" s="1"/>
      <c r="H2194" s="19"/>
      <c r="I2194" s="1"/>
      <c r="J2194" s="1"/>
      <c r="K2194" s="19"/>
      <c r="L2194" s="1"/>
      <c r="M2194" s="9"/>
      <c r="N2194" s="1"/>
      <c r="O2194" s="1"/>
      <c r="P2194" s="1"/>
      <c r="Q2194" s="1"/>
      <c r="R2194" s="1"/>
    </row>
    <row r="2195" spans="2:18">
      <c r="B2195" s="1"/>
      <c r="C2195" s="9"/>
      <c r="D2195" s="9"/>
      <c r="E2195" s="9"/>
      <c r="F2195" s="1"/>
      <c r="G2195" s="1"/>
      <c r="H2195" s="19"/>
      <c r="I2195" s="1"/>
      <c r="J2195" s="1"/>
      <c r="K2195" s="19"/>
      <c r="L2195" s="1"/>
      <c r="M2195" s="9"/>
      <c r="N2195" s="1"/>
      <c r="O2195" s="1"/>
      <c r="P2195" s="1"/>
      <c r="Q2195" s="1"/>
      <c r="R2195" s="1"/>
    </row>
    <row r="2196" spans="2:18">
      <c r="B2196" s="1"/>
      <c r="C2196" s="9"/>
      <c r="D2196" s="9"/>
      <c r="E2196" s="9"/>
      <c r="F2196" s="1"/>
      <c r="G2196" s="1"/>
      <c r="H2196" s="19"/>
      <c r="I2196" s="1"/>
      <c r="J2196" s="1"/>
      <c r="K2196" s="19"/>
      <c r="L2196" s="1"/>
      <c r="M2196" s="9"/>
      <c r="N2196" s="1"/>
      <c r="O2196" s="1"/>
      <c r="P2196" s="1"/>
      <c r="Q2196" s="1"/>
      <c r="R2196" s="1"/>
    </row>
    <row r="2197" spans="2:18">
      <c r="B2197" s="1"/>
      <c r="C2197" s="9"/>
      <c r="D2197" s="9"/>
      <c r="E2197" s="9"/>
      <c r="F2197" s="1"/>
      <c r="G2197" s="1"/>
      <c r="H2197" s="19"/>
      <c r="I2197" s="1"/>
      <c r="J2197" s="1"/>
      <c r="K2197" s="19"/>
      <c r="L2197" s="1"/>
      <c r="M2197" s="9"/>
      <c r="N2197" s="1"/>
      <c r="O2197" s="1"/>
      <c r="P2197" s="1"/>
      <c r="Q2197" s="1"/>
      <c r="R2197" s="1"/>
    </row>
    <row r="2198" spans="2:18">
      <c r="B2198" s="1"/>
      <c r="C2198" s="9"/>
      <c r="D2198" s="9"/>
      <c r="E2198" s="9"/>
      <c r="F2198" s="1"/>
      <c r="G2198" s="1"/>
      <c r="H2198" s="19"/>
      <c r="I2198" s="1"/>
      <c r="J2198" s="1"/>
      <c r="K2198" s="19"/>
      <c r="L2198" s="1"/>
      <c r="M2198" s="9"/>
      <c r="N2198" s="1"/>
      <c r="O2198" s="1"/>
      <c r="P2198" s="1"/>
      <c r="Q2198" s="1"/>
      <c r="R2198" s="1"/>
    </row>
    <row r="2199" spans="2:18">
      <c r="B2199" s="1"/>
      <c r="C2199" s="9"/>
      <c r="D2199" s="9"/>
      <c r="E2199" s="9"/>
      <c r="F2199" s="1"/>
      <c r="G2199" s="1"/>
      <c r="H2199" s="19"/>
      <c r="I2199" s="1"/>
      <c r="J2199" s="1"/>
      <c r="K2199" s="19"/>
      <c r="L2199" s="1"/>
      <c r="M2199" s="9"/>
      <c r="N2199" s="1"/>
      <c r="O2199" s="1"/>
      <c r="P2199" s="1"/>
      <c r="Q2199" s="1"/>
      <c r="R2199" s="1"/>
    </row>
    <row r="2200" spans="2:18">
      <c r="B2200" s="1"/>
      <c r="C2200" s="9"/>
      <c r="D2200" s="9"/>
      <c r="E2200" s="9"/>
      <c r="F2200" s="1"/>
      <c r="G2200" s="1"/>
      <c r="H2200" s="19"/>
      <c r="I2200" s="1"/>
      <c r="J2200" s="1"/>
      <c r="K2200" s="19"/>
      <c r="L2200" s="1"/>
      <c r="M2200" s="9"/>
      <c r="N2200" s="1"/>
      <c r="O2200" s="1"/>
      <c r="P2200" s="1"/>
      <c r="Q2200" s="1"/>
      <c r="R2200" s="1"/>
    </row>
  </sheetData>
  <sheetProtection selectLockedCells="1"/>
  <protectedRanges>
    <protectedRange sqref="F25:G25" name="Plage2" securityDescriptor="O:WDG:WDD:(A;;CC;;;WD)"/>
  </protectedRanges>
  <mergeCells count="20">
    <mergeCell ref="G5:H5"/>
    <mergeCell ref="M37:O37"/>
    <mergeCell ref="N38:O38"/>
    <mergeCell ref="F37:K37"/>
    <mergeCell ref="F26:G26"/>
    <mergeCell ref="Q38:R38"/>
    <mergeCell ref="F54:K54"/>
    <mergeCell ref="M54:O54"/>
    <mergeCell ref="Q55:R55"/>
    <mergeCell ref="G38:H38"/>
    <mergeCell ref="J38:K38"/>
    <mergeCell ref="G55:H55"/>
    <mergeCell ref="J55:K55"/>
    <mergeCell ref="N55:O55"/>
    <mergeCell ref="Q10:R10"/>
    <mergeCell ref="M9:O9"/>
    <mergeCell ref="N10:O10"/>
    <mergeCell ref="F9:K9"/>
    <mergeCell ref="J10:K10"/>
    <mergeCell ref="G10:H10"/>
  </mergeCells>
  <phoneticPr fontId="11" type="noConversion"/>
  <dataValidations count="7">
    <dataValidation type="list" allowBlank="1" showInputMessage="1" showErrorMessage="1" sqref="F25">
      <formula1>country_type</formula1>
    </dataValidation>
    <dataValidation type="list" allowBlank="1" showInputMessage="1" showErrorMessage="1" sqref="E21:E22">
      <formula1>YES_NO</formula1>
    </dataValidation>
    <dataValidation type="list" allowBlank="1" showInputMessage="1" showErrorMessage="1" sqref="H12:H22 K12:K22">
      <formula1>Rate</formula1>
    </dataValidation>
    <dataValidation type="list" allowBlank="1" showInputMessage="1" showErrorMessage="1" sqref="B18:B20">
      <formula1>Livestocks</formula1>
    </dataValidation>
    <dataValidation type="whole" operator="greaterThanOrEqual" allowBlank="1" showInputMessage="1" showErrorMessage="1" sqref="F12:G22 J72:J73 F72:G73 J12:J22">
      <formula1>0</formula1>
    </dataValidation>
    <dataValidation type="decimal" allowBlank="1" showInputMessage="1" showErrorMessage="1" sqref="F84:G99 J84:J99">
      <formula1>0</formula1>
      <formula2>1</formula2>
    </dataValidation>
    <dataValidation type="decimal" operator="greaterThanOrEqual" allowBlank="1" showInputMessage="1" showErrorMessage="1" sqref="AD12:AE20 V12:AA20">
      <formula1>0</formula1>
    </dataValidation>
  </dataValidations>
  <hyperlinks>
    <hyperlink ref="G5" location="Description!A1" display="Back to Description"/>
  </hyperlinks>
  <pageMargins left="0.36" right="0.33" top="0.984251969" bottom="0.984251969" header="0.4921259845" footer="0.4921259845"/>
  <pageSetup paperSize="9" scale="49" orientation="portrait" horizontalDpi="1200" verticalDpi="1200" r:id="rId1"/>
  <headerFooter alignWithMargins="0">
    <oddHeader>Page &amp;P&amp;R&amp;A</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pageSetUpPr fitToPage="1"/>
  </sheetPr>
  <dimension ref="A1:AI463"/>
  <sheetViews>
    <sheetView zoomScale="90" zoomScaleNormal="90" workbookViewId="0">
      <pane ySplit="5" topLeftCell="A26" activePane="bottomLeft" state="frozen"/>
      <selection activeCell="O43" sqref="O43"/>
      <selection pane="bottomLeft" activeCell="AE45" sqref="AE45"/>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9.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1.7109375" style="244" customWidth="1"/>
    <col min="22" max="22" width="3.42578125" style="244" customWidth="1"/>
    <col min="23" max="23" width="6.7109375" style="244" customWidth="1"/>
    <col min="24" max="24" width="3.85546875" style="244" customWidth="1"/>
    <col min="25" max="26" width="10.5703125" style="244" customWidth="1"/>
    <col min="27" max="27" width="12.7109375" style="232" customWidth="1"/>
    <col min="28" max="28" width="2.28515625" style="232" customWidth="1"/>
    <col min="29" max="29" width="10.7109375" style="232" customWidth="1"/>
    <col min="30" max="30" width="1.7109375" style="232" customWidth="1"/>
    <col min="31" max="31" width="9.140625" style="232" customWidth="1"/>
    <col min="32" max="32" width="2.85546875" style="232" customWidth="1"/>
    <col min="33" max="33" width="10" style="232" customWidth="1"/>
    <col min="34" max="34" width="3.28515625" style="232" customWidth="1"/>
    <col min="35" max="36" width="9.5703125" style="232" customWidth="1"/>
    <col min="37" max="16384" width="14.140625" style="232"/>
  </cols>
  <sheetData>
    <row r="1" spans="1:35"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row>
    <row r="2" spans="1:35"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row>
    <row r="3" spans="1:35"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row>
    <row r="4" spans="1:35"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row>
    <row r="5" spans="1:35"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row>
    <row r="6" spans="1:35" s="1715" customFormat="1">
      <c r="B6" s="1797"/>
      <c r="I6" s="1717"/>
      <c r="J6" s="1717"/>
      <c r="K6" s="1717"/>
      <c r="L6" s="1717"/>
      <c r="M6" s="1717"/>
      <c r="N6" s="1717"/>
      <c r="O6" s="1717"/>
      <c r="P6" s="1717"/>
      <c r="Q6" s="1717"/>
      <c r="R6" s="1717"/>
      <c r="S6" s="1717"/>
      <c r="T6" s="1717"/>
      <c r="U6" s="1717"/>
      <c r="V6" s="1717"/>
      <c r="W6" s="1717"/>
      <c r="X6" s="1717"/>
      <c r="Y6" s="1717"/>
      <c r="Z6" s="1717"/>
    </row>
    <row r="7" spans="1:35" s="1715" customFormat="1" ht="15.75">
      <c r="B7" s="2520" t="str">
        <f>HLOOKUP(select,translations!$A$209:$H$250,2,)</f>
        <v>5.1. Forest degradation and management</v>
      </c>
      <c r="C7" s="2520"/>
      <c r="D7" s="2521"/>
      <c r="E7" s="2521"/>
      <c r="F7" s="2521"/>
      <c r="G7" s="2521"/>
      <c r="H7" s="2521"/>
      <c r="I7" s="2521"/>
      <c r="J7" s="2521"/>
      <c r="K7" s="2521"/>
      <c r="L7" s="2521"/>
      <c r="M7" s="2521"/>
      <c r="N7" s="2521"/>
      <c r="O7" s="2521"/>
      <c r="P7" s="2521"/>
      <c r="Q7" s="2521"/>
      <c r="R7" s="2521"/>
      <c r="S7" s="2521"/>
      <c r="T7" s="2521"/>
      <c r="U7" s="2521"/>
      <c r="V7" s="2521"/>
      <c r="W7" s="2521"/>
      <c r="X7" s="2521"/>
      <c r="Y7" s="2521"/>
      <c r="Z7" s="2521"/>
      <c r="AA7" s="2521"/>
    </row>
    <row r="8" spans="1:35" s="1715" customFormat="1">
      <c r="B8" s="2203"/>
      <c r="C8" s="2659" t="str">
        <f>HLOOKUP(select,translations!$A$20:$H$70,3,)</f>
        <v>AEZ map</v>
      </c>
      <c r="D8" s="2203"/>
      <c r="E8" s="2203"/>
      <c r="F8" s="1981" t="str">
        <f>CONCATENATE(HLOOKUP(select,translations!$A$20:$H$45,21,),IF(Nlang=1,forest1,VLOOKUP(forest1,'Name translation'!$A$30:$H$45,Nlang+1,)))</f>
        <v>Zone 1 = Please specify the climate</v>
      </c>
      <c r="G8" s="1981"/>
      <c r="H8" s="1981"/>
      <c r="I8" s="2203"/>
      <c r="J8" s="2203"/>
      <c r="K8" s="2203"/>
      <c r="L8" s="1981" t="str">
        <f>CONCATENATE(HLOOKUP(select,translations!$A$20:$H$45,22,),IF(Nlang=1,forest2,VLOOKUP(forest2,'Name translation'!$A$30:$H$45,Nlang+1,)))</f>
        <v>Zone 2 = Please specify the climate</v>
      </c>
      <c r="M8" s="1981"/>
      <c r="N8" s="1981"/>
      <c r="O8" s="1981"/>
      <c r="P8" s="2203"/>
      <c r="Q8" s="1981"/>
      <c r="R8" s="1981" t="str">
        <f>CONCATENATE(HLOOKUP(select,translations!$A$20:$H$45,23,),IF(Nlang=1,forest3,VLOOKUP(forest3,'Name translation'!$A$30:$H$45,Nlang+1,)))</f>
        <v>Zone 3 = Please specify the climate</v>
      </c>
      <c r="S8" s="1981"/>
      <c r="T8" s="1981"/>
      <c r="U8" s="1981"/>
      <c r="V8" s="2203"/>
      <c r="W8" s="2598" t="str">
        <f>CONCATENATE(HLOOKUP(select,translations!$A$20:$H$45,24,),IF(Nlang=1,forest4,VLOOKUP(forest4,'Name translation'!$A$30:$H$45,Nlang+1,)))</f>
        <v>Zone 4 = Please specify the climate</v>
      </c>
      <c r="X8" s="1982"/>
      <c r="Y8" s="1981"/>
      <c r="Z8" s="1981"/>
      <c r="AA8" s="1981"/>
    </row>
    <row r="9" spans="1:35" s="1715" customFormat="1">
      <c r="B9" s="1803"/>
      <c r="C9" s="1803"/>
      <c r="D9" s="1714"/>
      <c r="AC9" s="1937" t="str">
        <f>'2.LUC'!V9</f>
        <v xml:space="preserve"> </v>
      </c>
      <c r="AD9" s="1937"/>
    </row>
    <row r="10" spans="1:35" s="1937" customFormat="1" ht="15.6" customHeight="1">
      <c r="B10" s="1804" t="str">
        <f>'2.LUC'!B10</f>
        <v>Type of vegetation</v>
      </c>
      <c r="C10" s="2831"/>
      <c r="D10" s="2089"/>
      <c r="E10" s="1756">
        <f>2+3</f>
        <v>5</v>
      </c>
      <c r="F10" s="1756" t="str">
        <f>HLOOKUP(select,translations!$A$209:$H$250,3,)</f>
        <v>Degradation level of the vegetation</v>
      </c>
      <c r="G10" s="1756"/>
      <c r="H10" s="1730"/>
      <c r="I10" s="1730"/>
      <c r="J10" s="1730"/>
      <c r="K10" s="1993"/>
      <c r="L10" s="2000" t="str">
        <f>HLOOKUP(select,translations!$A$209:$H$250,6,)</f>
        <v>Fire occurrence and severity</v>
      </c>
      <c r="M10" s="2000"/>
      <c r="N10" s="1731"/>
      <c r="O10" s="1731"/>
      <c r="P10" s="1731"/>
      <c r="Q10" s="1731"/>
      <c r="R10" s="2002"/>
      <c r="S10" s="1730"/>
      <c r="T10" s="1731" t="str">
        <f>'4.Grassland'!AA10</f>
        <v>Area (ha)</v>
      </c>
      <c r="U10" s="2660"/>
      <c r="V10" s="2660"/>
      <c r="W10" s="2660"/>
      <c r="X10" s="1994"/>
      <c r="Y10" s="3716" t="str">
        <f>'4.Grassland'!AF10</f>
        <v>Total Emissions</v>
      </c>
      <c r="Z10" s="3716"/>
      <c r="AA10" s="2074" t="str">
        <f>'4.Grassland'!AH10</f>
        <v>Balance</v>
      </c>
      <c r="AE10" s="1937" t="str">
        <f>IF(Nlang=1,"",F10)</f>
        <v/>
      </c>
    </row>
    <row r="11" spans="1:35" s="1959" customFormat="1">
      <c r="B11" s="1757" t="str">
        <f>HLOOKUP(select,translations!$A$209:$H$250,5,)</f>
        <v>that will be degraded</v>
      </c>
      <c r="C11" s="2832"/>
      <c r="D11" s="2089"/>
      <c r="E11" s="2089"/>
      <c r="F11" s="1869" t="str">
        <f>'4.Grassland'!D10</f>
        <v>Initial State</v>
      </c>
      <c r="G11" s="1869"/>
      <c r="H11" s="3024" t="str">
        <f>HLOOKUP(select,translations!$A$209:$H$250,4,)</f>
        <v>At the end</v>
      </c>
      <c r="I11" s="3025"/>
      <c r="J11" s="3026"/>
      <c r="K11" s="1993"/>
      <c r="L11" s="2583" t="str">
        <f>'4.Grassland'!AB11</f>
        <v>Without</v>
      </c>
      <c r="M11" s="1999" t="str">
        <f>HLOOKUP(select,translations!$A$209:$H$250,9,)</f>
        <v>Periodicity</v>
      </c>
      <c r="N11" s="1999" t="str">
        <f>HLOOKUP(select,translations!$A$209:$H$250,10,)</f>
        <v>Impact</v>
      </c>
      <c r="O11" s="1868"/>
      <c r="P11" s="1745" t="str">
        <f>'4.Grassland'!AD11</f>
        <v>With</v>
      </c>
      <c r="Q11" s="1999" t="str">
        <f>M11</f>
        <v>Periodicity</v>
      </c>
      <c r="R11" s="2079" t="str">
        <f>N11</f>
        <v>Impact</v>
      </c>
      <c r="S11" s="1746"/>
      <c r="T11" s="1869" t="str">
        <f>'4.Grassland'!AA11</f>
        <v>Start</v>
      </c>
      <c r="U11" s="1867" t="str">
        <f>L11</f>
        <v>Without</v>
      </c>
      <c r="V11" s="1867"/>
      <c r="W11" s="1867" t="str">
        <f>P11</f>
        <v>With</v>
      </c>
      <c r="X11" s="1867"/>
      <c r="Y11" s="3836" t="str">
        <f>'4.Grassland'!AF11</f>
        <v>(tCO2-eq)</v>
      </c>
      <c r="Z11" s="3836"/>
      <c r="AA11" s="1746"/>
      <c r="AE11" s="1937" t="str">
        <f>IF(Nlang=1,"",F11)</f>
        <v/>
      </c>
      <c r="AG11" s="1937" t="str">
        <f>IF(Nlang=1,"",H11)</f>
        <v/>
      </c>
    </row>
    <row r="12" spans="1:35" s="1955" customFormat="1">
      <c r="B12" s="1956"/>
      <c r="C12" s="1940"/>
      <c r="D12" s="1940"/>
      <c r="E12" s="1940"/>
      <c r="F12" s="1956"/>
      <c r="G12" s="1956"/>
      <c r="H12" s="1956" t="str">
        <f>'4.Grassland'!J11</f>
        <v>Without project</v>
      </c>
      <c r="I12" s="1956"/>
      <c r="J12" s="1956" t="str">
        <f>'4.Grassland'!N11</f>
        <v>With project</v>
      </c>
      <c r="K12" s="2001"/>
      <c r="L12" s="2079" t="str">
        <f>'4.Grassland'!R12</f>
        <v>(y/n)</v>
      </c>
      <c r="M12" s="2079" t="str">
        <f>'4.Grassland'!S12</f>
        <v>(year)</v>
      </c>
      <c r="N12" s="1968" t="str">
        <f>HLOOKUP(select,translations!$A$209:$H$250,8,)</f>
        <v>(% burnt)</v>
      </c>
      <c r="O12" s="1869"/>
      <c r="P12" s="2079" t="str">
        <f>L12</f>
        <v>(y/n)</v>
      </c>
      <c r="Q12" s="2079" t="str">
        <f>M12</f>
        <v>(year)</v>
      </c>
      <c r="R12" s="1968" t="str">
        <f>N12</f>
        <v>(% burnt)</v>
      </c>
      <c r="S12" s="1968"/>
      <c r="T12" s="1755"/>
      <c r="U12" s="1812"/>
      <c r="V12" s="2248" t="s">
        <v>91</v>
      </c>
      <c r="W12" s="1812"/>
      <c r="X12" s="2248" t="s">
        <v>91</v>
      </c>
      <c r="Y12" s="2617" t="str">
        <f>U11</f>
        <v>Without</v>
      </c>
      <c r="Z12" s="2617" t="str">
        <f>W11</f>
        <v>With</v>
      </c>
      <c r="AA12" s="1954"/>
      <c r="AB12" s="1972"/>
      <c r="AG12" s="3620" t="str">
        <f>IF(Nlang=1,"",H12)</f>
        <v/>
      </c>
      <c r="AI12" s="3620" t="str">
        <f>IF(Nlang=1,"",J12)</f>
        <v/>
      </c>
    </row>
    <row r="13" spans="1:35" s="1955" customFormat="1">
      <c r="B13" s="3875" t="s">
        <v>1490</v>
      </c>
      <c r="C13" s="3875"/>
      <c r="D13" s="3875"/>
      <c r="E13" s="2090"/>
      <c r="F13" s="1728" t="s">
        <v>209</v>
      </c>
      <c r="G13" s="1956"/>
      <c r="H13" s="1728" t="s">
        <v>209</v>
      </c>
      <c r="I13" s="1961"/>
      <c r="J13" s="2600" t="s">
        <v>209</v>
      </c>
      <c r="K13" s="1954"/>
      <c r="L13" s="3127" t="s">
        <v>354</v>
      </c>
      <c r="M13" s="2091">
        <v>1</v>
      </c>
      <c r="N13" s="2092">
        <v>1</v>
      </c>
      <c r="O13" s="1954"/>
      <c r="P13" s="3127" t="s">
        <v>354</v>
      </c>
      <c r="Q13" s="2091">
        <v>1</v>
      </c>
      <c r="R13" s="2092">
        <v>1</v>
      </c>
      <c r="S13" s="1968"/>
      <c r="T13" s="2088"/>
      <c r="U13" s="1954">
        <f t="shared" ref="U13:U18" si="0">T13</f>
        <v>0</v>
      </c>
      <c r="V13" s="2113" t="s">
        <v>1498</v>
      </c>
      <c r="W13" s="1954">
        <f t="shared" ref="W13:W18" si="1">T13</f>
        <v>0</v>
      </c>
      <c r="X13" s="2113" t="s">
        <v>1498</v>
      </c>
      <c r="Y13" s="1812">
        <f>'Forest Degradation'!N44</f>
        <v>0</v>
      </c>
      <c r="Z13" s="1812">
        <f>'Forest Degradation'!O44</f>
        <v>0</v>
      </c>
      <c r="AA13" s="1954">
        <f>'Forest Degradation'!P44</f>
        <v>0</v>
      </c>
      <c r="AB13" s="1972"/>
      <c r="AC13" s="2653" t="str">
        <f>IF(Nlang=1,"",VLOOKUP(B13,'Name translation'!$A$46:$H$55,Nlang+1,))</f>
        <v/>
      </c>
      <c r="AE13" s="2653" t="str">
        <f>IF(Nlang=1,"",VLOOKUP(F13,'Name translation'!$A$128:$H$134,Nlang+1,))</f>
        <v/>
      </c>
      <c r="AG13" s="2653" t="str">
        <f>IF(Nlang=1,"",VLOOKUP(H13,'Name translation'!$A$128:$H$134,Nlang+1,))</f>
        <v/>
      </c>
      <c r="AI13" s="2653" t="str">
        <f>IF(Nlang=1,"",VLOOKUP(J13,'Name translation'!$A$128:$H$134,Nlang+1,))</f>
        <v/>
      </c>
    </row>
    <row r="14" spans="1:35" s="1955" customFormat="1">
      <c r="B14" s="3875" t="s">
        <v>1490</v>
      </c>
      <c r="C14" s="3875"/>
      <c r="D14" s="3875"/>
      <c r="E14" s="2090"/>
      <c r="F14" s="1728" t="s">
        <v>209</v>
      </c>
      <c r="G14" s="1956"/>
      <c r="H14" s="1728" t="s">
        <v>209</v>
      </c>
      <c r="I14" s="1961"/>
      <c r="J14" s="2600" t="s">
        <v>209</v>
      </c>
      <c r="K14" s="1954"/>
      <c r="L14" s="3127" t="s">
        <v>354</v>
      </c>
      <c r="M14" s="2091">
        <v>1</v>
      </c>
      <c r="N14" s="2092">
        <v>1</v>
      </c>
      <c r="O14" s="1954"/>
      <c r="P14" s="3127" t="s">
        <v>354</v>
      </c>
      <c r="Q14" s="2091">
        <v>1</v>
      </c>
      <c r="R14" s="2092">
        <v>1</v>
      </c>
      <c r="S14" s="1968"/>
      <c r="T14" s="2084"/>
      <c r="U14" s="1954">
        <f t="shared" si="0"/>
        <v>0</v>
      </c>
      <c r="V14" s="2113" t="s">
        <v>1498</v>
      </c>
      <c r="W14" s="1954">
        <f t="shared" si="1"/>
        <v>0</v>
      </c>
      <c r="X14" s="2113" t="s">
        <v>1498</v>
      </c>
      <c r="Y14" s="1812">
        <f>'Forest Degradation'!N45</f>
        <v>0</v>
      </c>
      <c r="Z14" s="1812">
        <f>'Forest Degradation'!O45</f>
        <v>0</v>
      </c>
      <c r="AA14" s="1954">
        <f>'Forest Degradation'!P45</f>
        <v>0</v>
      </c>
      <c r="AB14" s="1972"/>
      <c r="AC14" s="2653" t="str">
        <f>IF(Nlang=1,"",VLOOKUP(B14,'Name translation'!$A$46:$H$55,Nlang+1,))</f>
        <v/>
      </c>
      <c r="AE14" s="2653" t="str">
        <f>IF(Nlang=1,"",VLOOKUP(F14,'Name translation'!$A$128:$H$134,Nlang+1,))</f>
        <v/>
      </c>
      <c r="AG14" s="2653" t="str">
        <f>IF(Nlang=1,"",VLOOKUP(H14,'Name translation'!$A$128:$H$134,Nlang+1,))</f>
        <v/>
      </c>
      <c r="AI14" s="2653" t="str">
        <f>IF(Nlang=1,"",VLOOKUP(J14,'Name translation'!$A$128:$H$134,Nlang+1,))</f>
        <v/>
      </c>
    </row>
    <row r="15" spans="1:35" s="1959" customFormat="1">
      <c r="B15" s="3875" t="s">
        <v>1490</v>
      </c>
      <c r="C15" s="3875"/>
      <c r="D15" s="3875"/>
      <c r="E15" s="2090"/>
      <c r="F15" s="1728" t="s">
        <v>209</v>
      </c>
      <c r="G15" s="1956"/>
      <c r="H15" s="1728" t="s">
        <v>209</v>
      </c>
      <c r="I15" s="1961"/>
      <c r="J15" s="2600" t="s">
        <v>209</v>
      </c>
      <c r="K15" s="1867"/>
      <c r="L15" s="3127" t="s">
        <v>354</v>
      </c>
      <c r="M15" s="2091">
        <v>1</v>
      </c>
      <c r="N15" s="2092">
        <v>1</v>
      </c>
      <c r="O15" s="1954"/>
      <c r="P15" s="3127" t="s">
        <v>354</v>
      </c>
      <c r="Q15" s="2091">
        <v>1</v>
      </c>
      <c r="R15" s="2092">
        <v>1</v>
      </c>
      <c r="S15" s="1970"/>
      <c r="T15" s="2084"/>
      <c r="U15" s="1954">
        <f t="shared" si="0"/>
        <v>0</v>
      </c>
      <c r="V15" s="2113" t="s">
        <v>1498</v>
      </c>
      <c r="W15" s="1954">
        <f t="shared" si="1"/>
        <v>0</v>
      </c>
      <c r="X15" s="2113" t="s">
        <v>1498</v>
      </c>
      <c r="Y15" s="1812">
        <f>'Forest Degradation'!N46</f>
        <v>0</v>
      </c>
      <c r="Z15" s="1812">
        <f>'Forest Degradation'!O46</f>
        <v>0</v>
      </c>
      <c r="AA15" s="1954">
        <f>'Forest Degradation'!P46</f>
        <v>0</v>
      </c>
      <c r="AB15" s="1972"/>
      <c r="AC15" s="2653" t="str">
        <f>IF(Nlang=1,"",VLOOKUP(B15,'Name translation'!$A$46:$H$55,Nlang+1,))</f>
        <v/>
      </c>
      <c r="AD15" s="1955"/>
      <c r="AE15" s="2653" t="str">
        <f>IF(Nlang=1,"",VLOOKUP(F15,'Name translation'!$A$128:$H$134,Nlang+1,))</f>
        <v/>
      </c>
      <c r="AF15" s="1955"/>
      <c r="AG15" s="2653" t="str">
        <f>IF(Nlang=1,"",VLOOKUP(H15,'Name translation'!$A$128:$H$134,Nlang+1,))</f>
        <v/>
      </c>
      <c r="AH15" s="1955"/>
      <c r="AI15" s="2653" t="str">
        <f>IF(Nlang=1,"",VLOOKUP(J15,'Name translation'!$A$128:$H$134,Nlang+1,))</f>
        <v/>
      </c>
    </row>
    <row r="16" spans="1:35" s="1955" customFormat="1">
      <c r="B16" s="3875" t="s">
        <v>1490</v>
      </c>
      <c r="C16" s="3875"/>
      <c r="D16" s="3875"/>
      <c r="E16" s="2086"/>
      <c r="F16" s="1728" t="s">
        <v>209</v>
      </c>
      <c r="G16" s="1869"/>
      <c r="H16" s="1728" t="s">
        <v>209</v>
      </c>
      <c r="I16" s="1961"/>
      <c r="J16" s="2600" t="s">
        <v>209</v>
      </c>
      <c r="K16" s="1954"/>
      <c r="L16" s="3127" t="s">
        <v>354</v>
      </c>
      <c r="M16" s="2091">
        <v>1</v>
      </c>
      <c r="N16" s="2092">
        <v>1</v>
      </c>
      <c r="O16" s="1954"/>
      <c r="P16" s="3127" t="s">
        <v>354</v>
      </c>
      <c r="Q16" s="2091">
        <v>1</v>
      </c>
      <c r="R16" s="2092">
        <v>1</v>
      </c>
      <c r="S16" s="1969"/>
      <c r="T16" s="2084"/>
      <c r="U16" s="1954">
        <f t="shared" si="0"/>
        <v>0</v>
      </c>
      <c r="V16" s="2113" t="s">
        <v>1498</v>
      </c>
      <c r="W16" s="1954">
        <f t="shared" si="1"/>
        <v>0</v>
      </c>
      <c r="X16" s="2113" t="s">
        <v>1498</v>
      </c>
      <c r="Y16" s="1812">
        <f>'Forest Degradation'!N47</f>
        <v>0</v>
      </c>
      <c r="Z16" s="1812">
        <f>'Forest Degradation'!O47</f>
        <v>0</v>
      </c>
      <c r="AA16" s="1954">
        <f>'Forest Degradation'!P47</f>
        <v>0</v>
      </c>
      <c r="AB16" s="1972"/>
      <c r="AC16" s="2653" t="str">
        <f>IF(Nlang=1,"",VLOOKUP(B16,'Name translation'!$A$46:$H$55,Nlang+1,))</f>
        <v/>
      </c>
      <c r="AE16" s="2653" t="str">
        <f>IF(Nlang=1,"",VLOOKUP(F16,'Name translation'!$A$128:$H$134,Nlang+1,))</f>
        <v/>
      </c>
      <c r="AG16" s="2653" t="str">
        <f>IF(Nlang=1,"",VLOOKUP(H16,'Name translation'!$A$128:$H$134,Nlang+1,))</f>
        <v/>
      </c>
      <c r="AI16" s="2653" t="str">
        <f>IF(Nlang=1,"",VLOOKUP(J16,'Name translation'!$A$128:$H$134,Nlang+1,))</f>
        <v/>
      </c>
    </row>
    <row r="17" spans="2:35" s="1955" customFormat="1">
      <c r="B17" s="3875" t="s">
        <v>1490</v>
      </c>
      <c r="C17" s="3875"/>
      <c r="D17" s="3875"/>
      <c r="E17" s="2090"/>
      <c r="F17" s="1728" t="s">
        <v>209</v>
      </c>
      <c r="G17" s="1956"/>
      <c r="H17" s="1728" t="s">
        <v>209</v>
      </c>
      <c r="I17" s="1961"/>
      <c r="J17" s="2600" t="s">
        <v>209</v>
      </c>
      <c r="K17" s="1954"/>
      <c r="L17" s="3127" t="s">
        <v>354</v>
      </c>
      <c r="M17" s="2091">
        <v>1</v>
      </c>
      <c r="N17" s="2092">
        <v>1</v>
      </c>
      <c r="O17" s="1954"/>
      <c r="P17" s="3127" t="s">
        <v>354</v>
      </c>
      <c r="Q17" s="2091">
        <v>1</v>
      </c>
      <c r="R17" s="2092">
        <v>1</v>
      </c>
      <c r="S17" s="1969"/>
      <c r="T17" s="2084"/>
      <c r="U17" s="1954">
        <f t="shared" si="0"/>
        <v>0</v>
      </c>
      <c r="V17" s="2113" t="s">
        <v>1498</v>
      </c>
      <c r="W17" s="1954">
        <f t="shared" si="1"/>
        <v>0</v>
      </c>
      <c r="X17" s="2113" t="s">
        <v>1498</v>
      </c>
      <c r="Y17" s="1812">
        <f>'Forest Degradation'!N48</f>
        <v>0</v>
      </c>
      <c r="Z17" s="1812">
        <f>'Forest Degradation'!O48</f>
        <v>0</v>
      </c>
      <c r="AA17" s="1954">
        <f>'Forest Degradation'!P48</f>
        <v>0</v>
      </c>
      <c r="AB17" s="1972"/>
      <c r="AC17" s="2653" t="str">
        <f>IF(Nlang=1,"",VLOOKUP(B17,'Name translation'!$A$46:$H$55,Nlang+1,))</f>
        <v/>
      </c>
      <c r="AE17" s="2653" t="str">
        <f>IF(Nlang=1,"",VLOOKUP(F17,'Name translation'!$A$128:$H$134,Nlang+1,))</f>
        <v/>
      </c>
      <c r="AG17" s="2653" t="str">
        <f>IF(Nlang=1,"",VLOOKUP(H17,'Name translation'!$A$128:$H$134,Nlang+1,))</f>
        <v/>
      </c>
      <c r="AI17" s="2653" t="str">
        <f>IF(Nlang=1,"",VLOOKUP(J17,'Name translation'!$A$128:$H$134,Nlang+1,))</f>
        <v/>
      </c>
    </row>
    <row r="18" spans="2:35" s="1704" customFormat="1">
      <c r="B18" s="3875" t="s">
        <v>1490</v>
      </c>
      <c r="C18" s="3875"/>
      <c r="D18" s="3875"/>
      <c r="E18" s="2090"/>
      <c r="F18" s="1728" t="s">
        <v>209</v>
      </c>
      <c r="G18" s="1956"/>
      <c r="H18" s="1728" t="s">
        <v>209</v>
      </c>
      <c r="I18" s="1961"/>
      <c r="J18" s="2600" t="s">
        <v>209</v>
      </c>
      <c r="K18" s="2076"/>
      <c r="L18" s="3127" t="s">
        <v>354</v>
      </c>
      <c r="M18" s="2091">
        <v>1</v>
      </c>
      <c r="N18" s="2092">
        <v>1</v>
      </c>
      <c r="O18" s="2076"/>
      <c r="P18" s="3127" t="s">
        <v>354</v>
      </c>
      <c r="Q18" s="2091">
        <v>1</v>
      </c>
      <c r="R18" s="2092">
        <v>1</v>
      </c>
      <c r="S18" s="2076"/>
      <c r="T18" s="2084"/>
      <c r="U18" s="1954">
        <f t="shared" si="0"/>
        <v>0</v>
      </c>
      <c r="V18" s="2113" t="s">
        <v>1498</v>
      </c>
      <c r="W18" s="1954">
        <f t="shared" si="1"/>
        <v>0</v>
      </c>
      <c r="X18" s="2113" t="s">
        <v>1498</v>
      </c>
      <c r="Y18" s="1812">
        <f>'Forest Degradation'!N49</f>
        <v>0</v>
      </c>
      <c r="Z18" s="1812">
        <f>'Forest Degradation'!O49</f>
        <v>0</v>
      </c>
      <c r="AA18" s="1954">
        <f>'Forest Degradation'!P49</f>
        <v>0</v>
      </c>
      <c r="AC18" s="2653" t="str">
        <f>IF(Nlang=1,"",VLOOKUP(B18,'Name translation'!$A$46:$H$55,Nlang+1,))</f>
        <v/>
      </c>
      <c r="AD18" s="1955"/>
      <c r="AE18" s="2653" t="str">
        <f>IF(Nlang=1,"",VLOOKUP(F18,'Name translation'!$A$128:$H$134,Nlang+1,))</f>
        <v/>
      </c>
      <c r="AF18" s="1955"/>
      <c r="AG18" s="2653" t="str">
        <f>IF(Nlang=1,"",VLOOKUP(H18,'Name translation'!$A$128:$H$134,Nlang+1,))</f>
        <v/>
      </c>
      <c r="AH18" s="1955"/>
      <c r="AI18" s="2653" t="str">
        <f>IF(Nlang=1,"",VLOOKUP(J18,'Name translation'!$A$128:$H$134,Nlang+1,))</f>
        <v/>
      </c>
    </row>
    <row r="19" spans="2:35" s="1704" customFormat="1">
      <c r="B19" s="3875" t="s">
        <v>1490</v>
      </c>
      <c r="C19" s="3875"/>
      <c r="D19" s="3875"/>
      <c r="E19" s="2090"/>
      <c r="F19" s="1728" t="s">
        <v>209</v>
      </c>
      <c r="G19" s="1956"/>
      <c r="H19" s="1728" t="s">
        <v>209</v>
      </c>
      <c r="I19" s="1961"/>
      <c r="J19" s="2600" t="s">
        <v>209</v>
      </c>
      <c r="K19" s="3159"/>
      <c r="L19" s="3158" t="s">
        <v>354</v>
      </c>
      <c r="M19" s="2091">
        <v>1</v>
      </c>
      <c r="N19" s="2092">
        <v>1</v>
      </c>
      <c r="O19" s="3159"/>
      <c r="P19" s="3158" t="s">
        <v>354</v>
      </c>
      <c r="Q19" s="2091">
        <v>1</v>
      </c>
      <c r="R19" s="2092">
        <v>1</v>
      </c>
      <c r="S19" s="3159"/>
      <c r="T19" s="3160"/>
      <c r="U19" s="1954">
        <f t="shared" ref="U19:U20" si="2">T19</f>
        <v>0</v>
      </c>
      <c r="V19" s="2113" t="s">
        <v>1498</v>
      </c>
      <c r="W19" s="1954">
        <f t="shared" ref="W19:W20" si="3">T19</f>
        <v>0</v>
      </c>
      <c r="X19" s="2113" t="s">
        <v>1498</v>
      </c>
      <c r="Y19" s="1812">
        <f>'Forest Degradation'!N50</f>
        <v>0</v>
      </c>
      <c r="Z19" s="1812">
        <f>'Forest Degradation'!O50</f>
        <v>0</v>
      </c>
      <c r="AA19" s="1954">
        <f>'Forest Degradation'!P50</f>
        <v>0</v>
      </c>
      <c r="AC19" s="2653"/>
      <c r="AD19" s="1955"/>
      <c r="AE19" s="2653"/>
      <c r="AF19" s="1955"/>
      <c r="AG19" s="2653"/>
      <c r="AH19" s="1955"/>
      <c r="AI19" s="2653"/>
    </row>
    <row r="20" spans="2:35" s="1704" customFormat="1">
      <c r="B20" s="3875" t="s">
        <v>1490</v>
      </c>
      <c r="C20" s="3875"/>
      <c r="D20" s="3875"/>
      <c r="E20" s="2090"/>
      <c r="F20" s="1728" t="s">
        <v>209</v>
      </c>
      <c r="G20" s="1956"/>
      <c r="H20" s="1728" t="s">
        <v>209</v>
      </c>
      <c r="I20" s="1961"/>
      <c r="J20" s="2600" t="s">
        <v>209</v>
      </c>
      <c r="K20" s="3159"/>
      <c r="L20" s="3158" t="s">
        <v>354</v>
      </c>
      <c r="M20" s="2091">
        <v>1</v>
      </c>
      <c r="N20" s="2092">
        <v>1</v>
      </c>
      <c r="O20" s="3159"/>
      <c r="P20" s="3158" t="s">
        <v>354</v>
      </c>
      <c r="Q20" s="2091">
        <v>1</v>
      </c>
      <c r="R20" s="2092">
        <v>1</v>
      </c>
      <c r="S20" s="3159"/>
      <c r="T20" s="3160"/>
      <c r="U20" s="1954">
        <f t="shared" si="2"/>
        <v>0</v>
      </c>
      <c r="V20" s="2113" t="s">
        <v>1498</v>
      </c>
      <c r="W20" s="1954">
        <f t="shared" si="3"/>
        <v>0</v>
      </c>
      <c r="X20" s="2113" t="s">
        <v>1498</v>
      </c>
      <c r="Y20" s="1812">
        <f>'Forest Degradation'!N51</f>
        <v>0</v>
      </c>
      <c r="Z20" s="1812">
        <f>'Forest Degradation'!O51</f>
        <v>0</v>
      </c>
      <c r="AA20" s="1954">
        <f>'Forest Degradation'!P51</f>
        <v>0</v>
      </c>
      <c r="AC20" s="2653"/>
      <c r="AD20" s="1955"/>
      <c r="AE20" s="2653"/>
      <c r="AF20" s="1955"/>
      <c r="AG20" s="2653"/>
      <c r="AH20" s="1955"/>
      <c r="AI20" s="2653"/>
    </row>
    <row r="21" spans="2:35" s="1704" customFormat="1">
      <c r="J21" s="2135" t="str">
        <f>'2.LUC'!G20</f>
        <v>* Note concerning dynamics of change : "D" corresponds to default/linear, "I" to immediate and "E" to exponential (Please refer to the guidelines)</v>
      </c>
      <c r="K21" s="2133"/>
      <c r="L21" s="2133"/>
      <c r="M21" s="2133"/>
      <c r="N21" s="2133"/>
      <c r="O21" s="2133"/>
      <c r="P21" s="2133"/>
      <c r="Q21" s="2133"/>
      <c r="R21" s="2133"/>
      <c r="S21" s="2133"/>
      <c r="T21" s="2133"/>
      <c r="U21" s="2133"/>
      <c r="V21" s="2133"/>
      <c r="W21" s="2134"/>
      <c r="X21" s="2134"/>
      <c r="Y21" s="2133"/>
      <c r="Z21" s="2170"/>
      <c r="AA21" s="2170"/>
    </row>
    <row r="22" spans="2:35" s="1704" customFormat="1"/>
    <row r="23" spans="2:35" s="1704" customFormat="1">
      <c r="R23" s="2664" t="str">
        <f>HLOOKUP(select,translations!$A$209:$H$250,7,)</f>
        <v>Total Forest Degradation and Management</v>
      </c>
      <c r="S23" s="1696"/>
      <c r="T23" s="1696"/>
      <c r="U23" s="1696"/>
      <c r="V23" s="1696"/>
      <c r="W23" s="1696"/>
      <c r="X23" s="1696"/>
      <c r="Y23" s="2173">
        <f>SUM(Y12:Y17)</f>
        <v>0</v>
      </c>
      <c r="Z23" s="2173">
        <f>SUM(Z12:Z17)</f>
        <v>0</v>
      </c>
      <c r="AA23" s="2173">
        <f>SUM(AA12:AA17)</f>
        <v>0</v>
      </c>
    </row>
    <row r="24" spans="2:35" s="1704" customFormat="1">
      <c r="E24" s="1709"/>
      <c r="F24" s="1709"/>
      <c r="I24" s="1709"/>
      <c r="J24" s="2093"/>
      <c r="K24" s="1709"/>
      <c r="L24" s="1709"/>
      <c r="M24" s="1709"/>
      <c r="N24" s="1971"/>
      <c r="O24" s="1971"/>
      <c r="P24" s="1709"/>
      <c r="Q24" s="1709"/>
    </row>
    <row r="25" spans="2:35" s="1704" customFormat="1">
      <c r="E25" s="1709"/>
      <c r="F25" s="1709"/>
      <c r="I25" s="1709"/>
      <c r="J25" s="1709"/>
      <c r="K25" s="1709"/>
      <c r="L25" s="1709"/>
      <c r="M25" s="1709"/>
      <c r="N25" s="1971"/>
      <c r="O25" s="1971"/>
      <c r="P25" s="1709"/>
      <c r="Q25" s="1709"/>
      <c r="R25" s="1709"/>
      <c r="S25" s="1709"/>
      <c r="T25" s="1709"/>
      <c r="U25" s="1709"/>
      <c r="V25" s="1709"/>
      <c r="W25" s="1709"/>
      <c r="X25" s="1709"/>
      <c r="Y25" s="1709"/>
      <c r="Z25" s="1709"/>
    </row>
    <row r="26" spans="2:35" s="1704" customFormat="1">
      <c r="E26" s="1709"/>
      <c r="F26" s="1709"/>
      <c r="I26" s="1709"/>
      <c r="J26" s="1709"/>
      <c r="K26" s="1709"/>
      <c r="L26" s="1709"/>
      <c r="M26" s="1709"/>
      <c r="N26" s="1971"/>
      <c r="O26" s="1971"/>
      <c r="P26" s="1709"/>
      <c r="Q26" s="1709"/>
      <c r="R26" s="1709"/>
      <c r="S26" s="1709"/>
      <c r="T26" s="1709"/>
      <c r="U26" s="1709"/>
      <c r="V26" s="1709"/>
      <c r="W26" s="1709"/>
      <c r="X26" s="1709"/>
      <c r="Y26" s="1709"/>
      <c r="Z26" s="1709"/>
    </row>
    <row r="27" spans="2:35" s="1704" customFormat="1">
      <c r="E27" s="1709"/>
      <c r="F27" s="1709"/>
      <c r="I27" s="1709"/>
      <c r="J27" s="1709"/>
      <c r="K27" s="1709"/>
      <c r="L27" s="1709"/>
      <c r="M27" s="1709"/>
      <c r="N27" s="1971"/>
      <c r="O27" s="1971"/>
      <c r="P27" s="1709"/>
      <c r="Q27" s="1709"/>
      <c r="R27" s="1709"/>
      <c r="S27" s="1709"/>
      <c r="T27" s="1709"/>
      <c r="U27" s="1709"/>
      <c r="V27" s="1709"/>
      <c r="W27" s="1709"/>
      <c r="X27" s="1709"/>
      <c r="Y27" s="1709"/>
      <c r="Z27" s="1709"/>
    </row>
    <row r="28" spans="2:35" s="1704" customFormat="1" ht="15.75">
      <c r="B28" s="2524" t="str">
        <f>HLOOKUP(select,translations!$A$521:$H$550,4,)</f>
        <v>5.2. Degradation and management of organic soils (peatlands)</v>
      </c>
      <c r="C28" s="2536"/>
      <c r="D28" s="2536"/>
      <c r="E28" s="2537"/>
      <c r="F28" s="2537"/>
      <c r="G28" s="2536"/>
      <c r="H28" s="2536"/>
      <c r="I28" s="2537"/>
      <c r="J28" s="2537"/>
      <c r="K28" s="2537"/>
      <c r="L28" s="2537"/>
      <c r="M28" s="2537"/>
      <c r="N28" s="2538"/>
      <c r="O28" s="2538"/>
      <c r="P28" s="2537"/>
      <c r="Q28" s="2537"/>
      <c r="R28" s="2537"/>
      <c r="S28" s="2537"/>
      <c r="T28" s="2537"/>
      <c r="U28" s="2537"/>
      <c r="V28" s="2537"/>
      <c r="W28" s="2537"/>
      <c r="X28" s="2537"/>
      <c r="Y28" s="2537"/>
      <c r="Z28" s="2537"/>
      <c r="AA28" s="2536"/>
    </row>
    <row r="29" spans="2:35" s="1704" customFormat="1">
      <c r="E29" s="1709"/>
      <c r="F29" s="1709"/>
      <c r="I29" s="1709"/>
      <c r="J29" s="1709"/>
      <c r="K29" s="1709"/>
      <c r="L29" s="1709"/>
      <c r="M29" s="1709"/>
      <c r="N29" s="1971"/>
      <c r="O29" s="1971"/>
      <c r="P29" s="1709"/>
      <c r="Q29" s="1709"/>
      <c r="R29" s="1709"/>
      <c r="S29" s="1709"/>
      <c r="T29" s="1709"/>
      <c r="U29" s="1709"/>
      <c r="V29" s="1709"/>
      <c r="W29" s="1709"/>
      <c r="X29" s="1709"/>
      <c r="Y29" s="1709"/>
      <c r="Z29" s="1709"/>
    </row>
    <row r="30" spans="2:35" s="1704" customFormat="1">
      <c r="B30" s="2181" t="str">
        <f>HLOOKUP(select,translations!$A$521:$H$550,5,)</f>
        <v>5.2.1. Drainage of organic soils</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334"/>
      <c r="AA30" s="2334"/>
    </row>
    <row r="31" spans="2:35" s="1704" customFormat="1">
      <c r="B31" s="1719"/>
      <c r="C31" s="1714"/>
      <c r="D31" s="1714"/>
      <c r="E31" s="1714"/>
      <c r="F31" s="1714"/>
      <c r="G31" s="1714"/>
      <c r="H31" s="1714"/>
      <c r="I31" s="1714"/>
      <c r="J31" s="1714"/>
      <c r="K31" s="1714"/>
      <c r="L31" s="1714"/>
      <c r="M31" s="1714"/>
      <c r="N31" s="1714"/>
      <c r="O31" s="1714"/>
      <c r="P31" s="1714"/>
      <c r="Q31" s="1714"/>
      <c r="R31" s="3115"/>
      <c r="S31" s="3115"/>
      <c r="T31" s="3115"/>
      <c r="U31" s="3115"/>
      <c r="V31" s="3115"/>
      <c r="W31" s="3115"/>
      <c r="X31" s="1714"/>
      <c r="Y31" s="1958"/>
      <c r="Z31" s="1958"/>
      <c r="AA31" s="1714"/>
    </row>
    <row r="32" spans="2:35" s="1704" customFormat="1" ht="12.75" customHeight="1">
      <c r="B32" s="2830" t="str">
        <f>B10</f>
        <v>Type of vegetation</v>
      </c>
      <c r="C32" s="2828"/>
      <c r="D32" s="2277"/>
      <c r="E32" s="2336"/>
      <c r="F32" s="2775" t="str">
        <f>HLOOKUP(select,translations!$A$209:$H$250,14,)</f>
        <v>Surfaces of drained organic soils (ha)</v>
      </c>
      <c r="G32" s="2274"/>
      <c r="H32" s="2123"/>
      <c r="I32" s="2123"/>
      <c r="J32" s="2123"/>
      <c r="K32" s="2337"/>
      <c r="L32" s="2338"/>
      <c r="M32" s="3028" t="str">
        <f>HLOOKUP(select,translations!$A$521:$H$550,6,)</f>
        <v>Percentage (area) of ditches</v>
      </c>
      <c r="N32" s="2338"/>
      <c r="O32" s="2338"/>
      <c r="P32" s="2338"/>
      <c r="Q32" s="2338"/>
      <c r="R32" s="3876" t="s">
        <v>8905</v>
      </c>
      <c r="S32" s="3876"/>
      <c r="T32" s="3876"/>
      <c r="U32" s="3876"/>
      <c r="V32" s="3876"/>
      <c r="W32" s="3116"/>
      <c r="X32" s="2338"/>
      <c r="Y32" s="3714" t="str">
        <f>Y10</f>
        <v>Total Emissions</v>
      </c>
      <c r="Z32" s="3714"/>
      <c r="AA32" s="2299" t="str">
        <f>AA10</f>
        <v>Balance</v>
      </c>
    </row>
    <row r="33" spans="2:29" s="1704" customFormat="1" ht="12.75" customHeight="1">
      <c r="B33" s="2830" t="str">
        <f>HLOOKUP(select,translations!$A$209:$H$250,13,)</f>
        <v>concerned by drainage</v>
      </c>
      <c r="C33" s="2828"/>
      <c r="D33" s="2336"/>
      <c r="E33" s="2336"/>
      <c r="F33" s="2277"/>
      <c r="G33" s="2274"/>
      <c r="H33" s="3023" t="str">
        <f>H11</f>
        <v>At the end</v>
      </c>
      <c r="I33" s="3023"/>
      <c r="J33" s="3023"/>
      <c r="K33" s="3164"/>
      <c r="L33" s="2338"/>
      <c r="M33" s="2338"/>
      <c r="N33" s="3041" t="str">
        <f>H33</f>
        <v>At the end</v>
      </c>
      <c r="O33" s="3027"/>
      <c r="P33" s="3027"/>
      <c r="Q33" s="2338"/>
      <c r="R33" s="3876"/>
      <c r="S33" s="3876"/>
      <c r="T33" s="3876"/>
      <c r="U33" s="3876"/>
      <c r="V33" s="3876"/>
      <c r="W33" s="2338"/>
      <c r="X33" s="2338"/>
      <c r="Y33" s="3712" t="str">
        <f>Y11</f>
        <v>(tCO2-eq)</v>
      </c>
      <c r="Z33" s="3712"/>
      <c r="AA33" s="2304"/>
    </row>
    <row r="34" spans="2:29" s="1704" customFormat="1">
      <c r="B34" s="2117"/>
      <c r="C34" s="2117"/>
      <c r="D34" s="2117"/>
      <c r="E34" s="2279"/>
      <c r="F34" s="2304" t="str">
        <f>T11</f>
        <v>Start</v>
      </c>
      <c r="G34" s="2117"/>
      <c r="H34" s="2648" t="str">
        <f>U11</f>
        <v>Without</v>
      </c>
      <c r="I34" s="2304" t="s">
        <v>91</v>
      </c>
      <c r="J34" s="2648" t="str">
        <f>W11</f>
        <v>With</v>
      </c>
      <c r="K34" s="2304" t="s">
        <v>91</v>
      </c>
      <c r="L34" s="2338"/>
      <c r="M34" s="2338" t="str">
        <f>F34</f>
        <v>Start</v>
      </c>
      <c r="N34" s="2338" t="str">
        <f>H34</f>
        <v>Without</v>
      </c>
      <c r="O34" s="2338"/>
      <c r="P34" s="2338" t="str">
        <f>J34</f>
        <v>With</v>
      </c>
      <c r="Q34" s="2338"/>
      <c r="R34" s="3876"/>
      <c r="S34" s="3876"/>
      <c r="T34" s="3876"/>
      <c r="U34" s="3876"/>
      <c r="V34" s="3876"/>
      <c r="W34" s="2338"/>
      <c r="X34" s="2338"/>
      <c r="Y34" s="2648" t="str">
        <f>Y12</f>
        <v>Without</v>
      </c>
      <c r="Z34" s="2648" t="str">
        <f>Z12</f>
        <v>With</v>
      </c>
      <c r="AA34" s="2304"/>
    </row>
    <row r="35" spans="2:29" s="1704" customFormat="1">
      <c r="B35" s="2827" t="str">
        <f>HLOOKUP(select,translations!$A$521:$H$523,2,)</f>
        <v>Forest</v>
      </c>
      <c r="C35" s="2117"/>
      <c r="D35" s="2117"/>
      <c r="E35" s="2279"/>
      <c r="F35" s="2926">
        <v>0</v>
      </c>
      <c r="G35" s="2117"/>
      <c r="H35" s="2926">
        <v>0</v>
      </c>
      <c r="I35" s="2113" t="s">
        <v>1498</v>
      </c>
      <c r="J35" s="2926">
        <v>0</v>
      </c>
      <c r="K35" s="2113" t="s">
        <v>1498</v>
      </c>
      <c r="L35" s="2338"/>
      <c r="M35" s="3032">
        <v>0.05</v>
      </c>
      <c r="N35" s="3032">
        <v>0.05</v>
      </c>
      <c r="O35" s="2338"/>
      <c r="P35" s="3032">
        <v>0.05</v>
      </c>
      <c r="Q35" s="2338"/>
      <c r="R35" s="3648"/>
      <c r="S35" s="3648"/>
      <c r="T35" s="3644">
        <v>0</v>
      </c>
      <c r="U35" s="3648"/>
      <c r="V35" s="3648"/>
      <c r="W35" s="2338"/>
      <c r="X35" s="2338"/>
      <c r="Y35" s="2156">
        <f>'Organic Soils NEW'!P12+'Organic Soils NEW'!P54+'Organic Soils NEW'!P87+'Organic Soils NEW'!P107</f>
        <v>0</v>
      </c>
      <c r="Z35" s="2156">
        <f>'Organic Soils NEW'!Q12+'Organic Soils NEW'!Q54+'Organic Soils NEW'!Q87+'Organic Soils NEW'!Q107</f>
        <v>0</v>
      </c>
      <c r="AA35" s="2156">
        <f>Z35-Y35</f>
        <v>0</v>
      </c>
    </row>
    <row r="36" spans="2:29" s="1704" customFormat="1">
      <c r="B36" s="2827" t="str">
        <f>HLOOKUP(select,translations!$A$521:$H$523,3,)</f>
        <v>Plantation</v>
      </c>
      <c r="C36" s="2117"/>
      <c r="D36" s="2117"/>
      <c r="E36" s="2279"/>
      <c r="F36" s="2071">
        <v>0</v>
      </c>
      <c r="G36" s="2117"/>
      <c r="H36" s="2071">
        <v>0</v>
      </c>
      <c r="I36" s="2113" t="s">
        <v>1498</v>
      </c>
      <c r="J36" s="2071">
        <v>0</v>
      </c>
      <c r="K36" s="2113" t="s">
        <v>1498</v>
      </c>
      <c r="L36" s="2279"/>
      <c r="M36" s="3032">
        <v>0.05</v>
      </c>
      <c r="N36" s="3032">
        <v>0.05</v>
      </c>
      <c r="O36" s="2279"/>
      <c r="P36" s="3032">
        <v>0.05</v>
      </c>
      <c r="Q36" s="2279"/>
      <c r="R36" s="2279"/>
      <c r="S36" s="2279"/>
      <c r="T36" s="3644">
        <v>0</v>
      </c>
      <c r="U36" s="2279"/>
      <c r="V36" s="2279"/>
      <c r="W36" s="2279"/>
      <c r="X36" s="2279"/>
      <c r="Y36" s="2156">
        <f>'Organic Soils NEW'!P13+'Organic Soils NEW'!P55+'Organic Soils NEW'!P88+'Organic Soils NEW'!P108</f>
        <v>0</v>
      </c>
      <c r="Z36" s="2156">
        <f>'Organic Soils NEW'!Q13+'Organic Soils NEW'!Q55+'Organic Soils NEW'!Q88+'Organic Soils NEW'!Q108</f>
        <v>0</v>
      </c>
      <c r="AA36" s="2156">
        <f t="shared" ref="AA36:AA38" si="4">Z36-Y36</f>
        <v>0</v>
      </c>
      <c r="AC36" s="3033"/>
    </row>
    <row r="37" spans="2:29" s="1704" customFormat="1">
      <c r="B37" s="2827" t="str">
        <f>HLOOKUP(select,translations!$A$209:$H$250,16,)</f>
        <v>Annual</v>
      </c>
      <c r="C37" s="2117"/>
      <c r="D37" s="2117"/>
      <c r="E37" s="2279"/>
      <c r="F37" s="2071">
        <v>0</v>
      </c>
      <c r="G37" s="2117"/>
      <c r="H37" s="2071">
        <v>0</v>
      </c>
      <c r="I37" s="2113" t="s">
        <v>1498</v>
      </c>
      <c r="J37" s="2071">
        <v>0</v>
      </c>
      <c r="K37" s="2113" t="s">
        <v>1498</v>
      </c>
      <c r="L37" s="2279"/>
      <c r="M37" s="3032">
        <v>0.05</v>
      </c>
      <c r="N37" s="3032">
        <v>0.05</v>
      </c>
      <c r="O37" s="2279"/>
      <c r="P37" s="3032">
        <v>0.05</v>
      </c>
      <c r="Q37" s="2279"/>
      <c r="R37" s="2279"/>
      <c r="S37" s="2279"/>
      <c r="T37" s="3644">
        <v>0</v>
      </c>
      <c r="U37" s="2279"/>
      <c r="V37" s="2279"/>
      <c r="W37" s="2279"/>
      <c r="X37" s="2279"/>
      <c r="Y37" s="2156">
        <f>'Organic Soils NEW'!P14+'Organic Soils NEW'!P56+'Organic Soils NEW'!P89+'Organic Soils NEW'!P109</f>
        <v>0</v>
      </c>
      <c r="Z37" s="2156">
        <f>'Organic Soils NEW'!Q14+'Organic Soils NEW'!Q56+'Organic Soils NEW'!Q89+'Organic Soils NEW'!Q109</f>
        <v>0</v>
      </c>
      <c r="AA37" s="2156">
        <f t="shared" si="4"/>
        <v>0</v>
      </c>
    </row>
    <row r="38" spans="2:29" s="1704" customFormat="1">
      <c r="B38" s="2827" t="str">
        <f>HLOOKUP(select,translations!$A$209:$H$250,17,)</f>
        <v>Perennial</v>
      </c>
      <c r="C38" s="2117"/>
      <c r="D38" s="2117"/>
      <c r="E38" s="2279"/>
      <c r="F38" s="2071">
        <v>0</v>
      </c>
      <c r="G38" s="2117"/>
      <c r="H38" s="2071">
        <v>0</v>
      </c>
      <c r="I38" s="2113" t="s">
        <v>1498</v>
      </c>
      <c r="J38" s="2071">
        <v>0</v>
      </c>
      <c r="K38" s="2113" t="s">
        <v>1498</v>
      </c>
      <c r="L38" s="2279"/>
      <c r="M38" s="3032">
        <v>0.05</v>
      </c>
      <c r="N38" s="3032">
        <v>0.05</v>
      </c>
      <c r="O38" s="2279"/>
      <c r="P38" s="3032">
        <v>0.05</v>
      </c>
      <c r="Q38" s="2279"/>
      <c r="R38" s="2279"/>
      <c r="S38" s="2279"/>
      <c r="T38" s="3644">
        <v>0</v>
      </c>
      <c r="U38" s="2279"/>
      <c r="V38" s="2279"/>
      <c r="W38" s="2279"/>
      <c r="X38" s="2279"/>
      <c r="Y38" s="2156">
        <f>'Organic Soils NEW'!P15+'Organic Soils NEW'!P57+'Organic Soils NEW'!P90+'Organic Soils NEW'!P110</f>
        <v>0</v>
      </c>
      <c r="Z38" s="2156">
        <f>'Organic Soils NEW'!Q15+'Organic Soils NEW'!Q57+'Organic Soils NEW'!Q90+'Organic Soils NEW'!Q110</f>
        <v>0</v>
      </c>
      <c r="AA38" s="2156">
        <f t="shared" si="4"/>
        <v>0</v>
      </c>
    </row>
    <row r="39" spans="2:29" s="1704" customFormat="1">
      <c r="B39" s="2827" t="str">
        <f>HLOOKUP(select,translations!$A$209:$H$250,18,)</f>
        <v>Grassland</v>
      </c>
      <c r="C39" s="2117"/>
      <c r="D39" s="2117"/>
      <c r="E39" s="2279"/>
      <c r="F39" s="2071">
        <v>0</v>
      </c>
      <c r="G39" s="2117"/>
      <c r="H39" s="2071">
        <v>0</v>
      </c>
      <c r="I39" s="2113" t="s">
        <v>1498</v>
      </c>
      <c r="J39" s="2071">
        <v>0</v>
      </c>
      <c r="K39" s="2113" t="s">
        <v>1498</v>
      </c>
      <c r="L39" s="2279"/>
      <c r="M39" s="3032">
        <v>0.05</v>
      </c>
      <c r="N39" s="3032">
        <v>0.05</v>
      </c>
      <c r="O39" s="2279"/>
      <c r="P39" s="3032">
        <v>0.05</v>
      </c>
      <c r="Q39" s="2279"/>
      <c r="R39" s="2279"/>
      <c r="S39" s="2279"/>
      <c r="T39" s="3644">
        <v>0</v>
      </c>
      <c r="U39" s="2279"/>
      <c r="V39" s="2279"/>
      <c r="W39" s="2279"/>
      <c r="X39" s="2279"/>
      <c r="Y39" s="2156">
        <f>'Organic Soils NEW'!P16+'Organic Soils NEW'!P58+'Organic Soils NEW'!P91+'Organic Soils NEW'!P111</f>
        <v>0</v>
      </c>
      <c r="Z39" s="2156">
        <f>'Organic Soils NEW'!Q16+'Organic Soils NEW'!Q58+'Organic Soils NEW'!Q91+'Organic Soils NEW'!Q111</f>
        <v>0</v>
      </c>
      <c r="AA39" s="2156">
        <f>Z39-Y39</f>
        <v>0</v>
      </c>
    </row>
    <row r="40" spans="2:29" s="1704" customFormat="1">
      <c r="I40" s="2135" t="str">
        <f>J21</f>
        <v>* Note concerning dynamics of change : "D" corresponds to default/linear, "I" to immediate and "E" to exponential (Please refer to the guidelines)</v>
      </c>
      <c r="J40" s="2133"/>
      <c r="K40" s="2133"/>
      <c r="L40" s="2133"/>
      <c r="M40" s="2133"/>
      <c r="N40" s="2133"/>
      <c r="O40" s="2133"/>
      <c r="P40" s="2133"/>
      <c r="Q40" s="2133"/>
      <c r="R40" s="2133"/>
      <c r="S40" s="2133"/>
      <c r="T40" s="2133"/>
      <c r="U40" s="2133"/>
      <c r="V40" s="2134"/>
      <c r="W40" s="2134"/>
      <c r="X40" s="2133"/>
      <c r="Y40" s="2170"/>
      <c r="Z40" s="2170"/>
      <c r="AA40" s="2249"/>
    </row>
    <row r="41" spans="2:29" s="1704" customFormat="1">
      <c r="E41" s="1709"/>
      <c r="F41" s="1709"/>
      <c r="I41" s="1709"/>
      <c r="J41" s="1709"/>
      <c r="K41" s="1709"/>
      <c r="L41" s="1709"/>
      <c r="M41" s="1709"/>
      <c r="N41" s="1709"/>
      <c r="O41" s="1709"/>
      <c r="P41" s="1709"/>
      <c r="Q41" s="1709"/>
      <c r="R41" s="1709"/>
      <c r="S41" s="1709"/>
      <c r="T41" s="1709"/>
      <c r="U41" s="1709"/>
      <c r="V41" s="1709"/>
      <c r="W41" s="1709"/>
      <c r="X41" s="1709"/>
      <c r="Y41" s="1709"/>
      <c r="Z41" s="1709"/>
    </row>
    <row r="42" spans="2:29" s="1704" customFormat="1">
      <c r="E42" s="1709"/>
      <c r="F42" s="1709"/>
      <c r="I42" s="1709"/>
      <c r="J42" s="1709"/>
      <c r="K42" s="1709"/>
      <c r="L42" s="1709"/>
      <c r="M42" s="1709"/>
      <c r="N42" s="1709"/>
      <c r="O42" s="1709"/>
      <c r="P42" s="1709"/>
      <c r="Q42" s="1709"/>
      <c r="R42" s="2603" t="str">
        <f>HLOOKUP(select,translations!$A$209:$H$250,19,)</f>
        <v>Total for Drainage</v>
      </c>
      <c r="S42" s="1854"/>
      <c r="T42" s="1854"/>
      <c r="U42" s="1854"/>
      <c r="V42" s="1854"/>
      <c r="W42" s="1854"/>
      <c r="X42" s="1854"/>
      <c r="Y42" s="1850">
        <f>SUM(Y35:Y39)</f>
        <v>0</v>
      </c>
      <c r="Z42" s="1850">
        <f t="shared" ref="Z42:AA42" si="5">SUM(Z35:Z39)</f>
        <v>0</v>
      </c>
      <c r="AA42" s="1850">
        <f t="shared" si="5"/>
        <v>0</v>
      </c>
    </row>
    <row r="43" spans="2:29" s="1704" customFormat="1">
      <c r="E43" s="1709"/>
      <c r="F43" s="1709"/>
      <c r="I43" s="1709"/>
      <c r="J43" s="1709"/>
      <c r="K43" s="1709"/>
      <c r="L43" s="1709"/>
      <c r="M43" s="1709"/>
      <c r="N43" s="1709"/>
      <c r="O43" s="1709"/>
      <c r="P43" s="1709"/>
      <c r="Q43" s="1709"/>
      <c r="R43" s="1709"/>
      <c r="S43" s="1709"/>
      <c r="T43" s="1709"/>
      <c r="U43" s="1709"/>
      <c r="V43" s="1709"/>
      <c r="W43" s="1709"/>
      <c r="X43" s="1709"/>
      <c r="Y43" s="1709"/>
      <c r="Z43" s="1709"/>
      <c r="AA43" s="1709"/>
      <c r="AB43" s="1709"/>
    </row>
    <row r="44" spans="2:29" s="1704" customFormat="1">
      <c r="B44" s="2181" t="str">
        <f>HLOOKUP(select,translations!$A$209:$H$250,20,)</f>
        <v>5.2.2. Active peat extraction</v>
      </c>
      <c r="C44" s="2182"/>
      <c r="D44" s="2182"/>
      <c r="E44" s="2182"/>
      <c r="F44" s="2182"/>
      <c r="G44" s="2182"/>
      <c r="H44" s="2182"/>
      <c r="I44" s="2182"/>
      <c r="J44" s="2182"/>
      <c r="K44" s="2182"/>
      <c r="L44" s="2182"/>
      <c r="M44" s="2182"/>
      <c r="N44" s="2182"/>
      <c r="O44" s="2182"/>
      <c r="P44" s="2182"/>
      <c r="Q44" s="2182"/>
      <c r="R44" s="2182"/>
      <c r="S44" s="2182"/>
      <c r="T44" s="2182"/>
      <c r="U44" s="2182"/>
      <c r="V44" s="2182"/>
      <c r="W44" s="2182"/>
      <c r="X44" s="2182"/>
      <c r="Y44" s="2182"/>
      <c r="Z44" s="2334"/>
      <c r="AA44" s="2334"/>
    </row>
    <row r="45" spans="2:29" s="1704" customFormat="1">
      <c r="B45" s="1719"/>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958"/>
      <c r="Z45" s="1958"/>
      <c r="AA45" s="1714"/>
    </row>
    <row r="46" spans="2:29" s="1704" customFormat="1">
      <c r="B46" s="2830" t="str">
        <f>HLOOKUP(select,translations!$A$209:$H$250,21,)</f>
        <v>Type of peat</v>
      </c>
      <c r="C46" s="2828"/>
      <c r="D46" s="2277"/>
      <c r="E46" s="2336"/>
      <c r="F46" s="2775" t="str">
        <f>HLOOKUP(select,translations!$A$521:$H$550,7,)</f>
        <v>Surfaces where peat is extracted</v>
      </c>
      <c r="G46" s="2277"/>
      <c r="H46" s="2280"/>
      <c r="I46" s="2280"/>
      <c r="J46" s="2280"/>
      <c r="K46" s="2357"/>
      <c r="L46" s="2829"/>
      <c r="M46" s="2356" t="str">
        <f>HLOOKUP(select,translations!$A$521:$H$550,8,)</f>
        <v>Height of extraction (cm)</v>
      </c>
      <c r="N46" s="2829"/>
      <c r="O46" s="2829"/>
      <c r="P46" s="2829"/>
      <c r="Q46" s="2829"/>
      <c r="R46" s="2356" t="str">
        <f>HLOOKUP(select,translations!$A$521:$H$550,9,)</f>
        <v>Quantity of peat produced (t/yr)</v>
      </c>
      <c r="S46" s="2829"/>
      <c r="T46" s="2829"/>
      <c r="U46" s="2829"/>
      <c r="V46" s="2829"/>
      <c r="W46" s="2338"/>
      <c r="X46" s="2338"/>
      <c r="Y46" s="3714" t="str">
        <f>Y32</f>
        <v>Total Emissions</v>
      </c>
      <c r="Z46" s="3714"/>
      <c r="AA46" s="2299" t="str">
        <f>AA32</f>
        <v>Balance</v>
      </c>
    </row>
    <row r="47" spans="2:29" s="1704" customFormat="1">
      <c r="B47" s="2305"/>
      <c r="C47" s="2335"/>
      <c r="D47" s="2339"/>
      <c r="E47" s="2339"/>
      <c r="F47" s="2274"/>
      <c r="G47" s="2274"/>
      <c r="H47" s="3023" t="str">
        <f>H33</f>
        <v>At the end</v>
      </c>
      <c r="I47" s="3023"/>
      <c r="J47" s="3023"/>
      <c r="K47" s="3164"/>
      <c r="L47" s="2338"/>
      <c r="M47" s="2338"/>
      <c r="N47" s="3041" t="str">
        <f>N33</f>
        <v>At the end</v>
      </c>
      <c r="O47" s="3027"/>
      <c r="P47" s="3027"/>
      <c r="Q47" s="2338"/>
      <c r="R47" s="2338"/>
      <c r="S47" s="2338"/>
      <c r="T47" s="3027" t="str">
        <f>N47</f>
        <v>At the end</v>
      </c>
      <c r="U47" s="3027"/>
      <c r="V47" s="2338"/>
      <c r="W47" s="2338"/>
      <c r="X47" s="2338"/>
      <c r="Y47" s="3712" t="str">
        <f>Y33</f>
        <v>(tCO2-eq)</v>
      </c>
      <c r="Z47" s="3712"/>
      <c r="AA47" s="2304"/>
    </row>
    <row r="48" spans="2:29" s="1704" customFormat="1">
      <c r="B48" s="2117"/>
      <c r="C48" s="2117"/>
      <c r="D48" s="2117"/>
      <c r="E48" s="2279"/>
      <c r="F48" s="2304" t="str">
        <f>F34</f>
        <v>Start</v>
      </c>
      <c r="G48" s="2117"/>
      <c r="H48" s="2304" t="str">
        <f>H34</f>
        <v>Without</v>
      </c>
      <c r="I48" s="2304" t="s">
        <v>91</v>
      </c>
      <c r="J48" s="2304" t="str">
        <f>J34</f>
        <v>With</v>
      </c>
      <c r="K48" s="2304" t="s">
        <v>91</v>
      </c>
      <c r="L48" s="2338"/>
      <c r="M48" s="2355" t="str">
        <f>M34</f>
        <v>Start</v>
      </c>
      <c r="N48" s="2338" t="str">
        <f>N34</f>
        <v>Without</v>
      </c>
      <c r="O48" s="2338"/>
      <c r="P48" s="2338" t="str">
        <f>P34</f>
        <v>With</v>
      </c>
      <c r="Q48" s="2338"/>
      <c r="R48" s="2355" t="str">
        <f>M48</f>
        <v>Start</v>
      </c>
      <c r="S48" s="2355"/>
      <c r="T48" s="2355" t="str">
        <f>N48</f>
        <v>Without</v>
      </c>
      <c r="U48" s="2355" t="str">
        <f>P48</f>
        <v>With</v>
      </c>
      <c r="V48" s="2338"/>
      <c r="W48" s="2338"/>
      <c r="X48" s="2338"/>
      <c r="Y48" s="2648" t="str">
        <f>Y34</f>
        <v>Without</v>
      </c>
      <c r="Z48" s="2648" t="str">
        <f>Z34</f>
        <v>With</v>
      </c>
      <c r="AA48" s="2304"/>
    </row>
    <row r="49" spans="2:27" s="1704" customFormat="1">
      <c r="B49" s="2827" t="str">
        <f>HLOOKUP(select,translations!$A$209:$H$250,22,)</f>
        <v>Nutrient-poor peat</v>
      </c>
      <c r="C49" s="2117"/>
      <c r="D49" s="2117"/>
      <c r="E49" s="2279"/>
      <c r="F49" s="2071">
        <v>0</v>
      </c>
      <c r="G49" s="2117"/>
      <c r="H49" s="2071">
        <v>0</v>
      </c>
      <c r="I49" s="2113" t="s">
        <v>1498</v>
      </c>
      <c r="J49" s="2071">
        <v>0</v>
      </c>
      <c r="K49" s="2113" t="s">
        <v>1498</v>
      </c>
      <c r="L49" s="2279"/>
      <c r="M49" s="2113">
        <v>50</v>
      </c>
      <c r="N49" s="2113">
        <v>50</v>
      </c>
      <c r="O49" s="2279"/>
      <c r="P49" s="2113">
        <v>50</v>
      </c>
      <c r="Q49" s="2279"/>
      <c r="R49" s="3174">
        <f>'Organic Soils NEW'!F31</f>
        <v>0</v>
      </c>
      <c r="S49" s="2279"/>
      <c r="T49" s="3174">
        <f>'Organic Soils NEW'!G31</f>
        <v>0</v>
      </c>
      <c r="U49" s="3174">
        <f>'Organic Soils NEW'!I31</f>
        <v>0</v>
      </c>
      <c r="V49" s="2279"/>
      <c r="W49" s="2279"/>
      <c r="X49" s="2279"/>
      <c r="Y49" s="2156">
        <f>'Organic Soils NEW'!P23+'Organic Soils NEW'!P40+'Organic Soils NEW'!P78+'Organic Soils NEW'!P118+'Organic Soils NEW'!P31</f>
        <v>0</v>
      </c>
      <c r="Z49" s="2156">
        <f>'Organic Soils NEW'!Q23+'Organic Soils NEW'!Q40+'Organic Soils NEW'!Q78+'Organic Soils NEW'!Q118+'Organic Soils NEW'!Q31</f>
        <v>0</v>
      </c>
      <c r="AA49" s="2156">
        <f>Z49-Y49</f>
        <v>0</v>
      </c>
    </row>
    <row r="50" spans="2:27" s="1704" customFormat="1">
      <c r="B50" s="2827" t="str">
        <f>HLOOKUP(select,translations!$A$209:$H$250,23,)</f>
        <v>Nutrient Rich</v>
      </c>
      <c r="C50" s="2117"/>
      <c r="D50" s="2117"/>
      <c r="E50" s="2279"/>
      <c r="F50" s="2071">
        <v>0</v>
      </c>
      <c r="G50" s="2117"/>
      <c r="H50" s="2071">
        <v>0</v>
      </c>
      <c r="I50" s="2113" t="s">
        <v>1498</v>
      </c>
      <c r="J50" s="2071">
        <v>0</v>
      </c>
      <c r="K50" s="2113" t="s">
        <v>1498</v>
      </c>
      <c r="L50" s="2279"/>
      <c r="M50" s="2113">
        <v>50</v>
      </c>
      <c r="N50" s="2113">
        <v>50</v>
      </c>
      <c r="O50" s="2279"/>
      <c r="P50" s="2113">
        <v>50</v>
      </c>
      <c r="Q50" s="2279"/>
      <c r="R50" s="3174">
        <f>'Organic Soils NEW'!F32</f>
        <v>0</v>
      </c>
      <c r="S50" s="2279"/>
      <c r="T50" s="3174">
        <f>'Organic Soils NEW'!G32</f>
        <v>0</v>
      </c>
      <c r="U50" s="3174">
        <f>'Organic Soils NEW'!I32</f>
        <v>0</v>
      </c>
      <c r="V50" s="2279"/>
      <c r="W50" s="2279"/>
      <c r="X50" s="2279"/>
      <c r="Y50" s="2156">
        <f>'Organic Soils NEW'!P24+'Organic Soils NEW'!P41+'Organic Soils NEW'!P79+'Organic Soils NEW'!P119+'Organic Soils NEW'!P32</f>
        <v>0</v>
      </c>
      <c r="Z50" s="2156">
        <f>'Organic Soils NEW'!Q24+'Organic Soils NEW'!Q41+'Organic Soils NEW'!Q79+'Organic Soils NEW'!Q119+'Organic Soils NEW'!Q32</f>
        <v>0</v>
      </c>
      <c r="AA50" s="2156">
        <f>Z50-Y50</f>
        <v>0</v>
      </c>
    </row>
    <row r="51" spans="2:27" s="1704" customFormat="1">
      <c r="I51" s="2135" t="str">
        <f>I40</f>
        <v>* Note concerning dynamics of change : "D" corresponds to default/linear, "I" to immediate and "E" to exponential (Please refer to the guidelines)</v>
      </c>
      <c r="J51" s="2133"/>
      <c r="K51" s="2133"/>
      <c r="L51" s="2133"/>
      <c r="M51" s="2133"/>
      <c r="N51" s="2133"/>
      <c r="O51" s="2133"/>
      <c r="P51" s="2133"/>
      <c r="Q51" s="2133"/>
      <c r="R51" s="2133"/>
      <c r="S51" s="2133"/>
      <c r="T51" s="2133"/>
      <c r="U51" s="3175"/>
      <c r="V51" s="2134"/>
      <c r="W51" s="2134"/>
      <c r="X51" s="2133"/>
      <c r="Y51" s="2170"/>
      <c r="Z51" s="2170"/>
      <c r="AA51" s="2249"/>
    </row>
    <row r="52" spans="2:27" s="1704" customFormat="1">
      <c r="E52" s="1709"/>
      <c r="F52" s="1709"/>
      <c r="I52" s="1709"/>
      <c r="J52" s="1709"/>
      <c r="K52" s="1709"/>
      <c r="L52" s="1709"/>
      <c r="M52" s="1709"/>
      <c r="N52" s="1709"/>
      <c r="O52" s="1709"/>
      <c r="P52" s="1709"/>
      <c r="Q52" s="1709"/>
      <c r="R52" s="1709"/>
      <c r="S52" s="1709"/>
      <c r="T52" s="1709"/>
      <c r="U52" s="1709"/>
      <c r="V52" s="1709"/>
      <c r="W52" s="1709"/>
      <c r="X52" s="1709"/>
      <c r="Y52" s="1709"/>
      <c r="Z52" s="1709"/>
    </row>
    <row r="53" spans="2:27" s="1704" customFormat="1">
      <c r="E53" s="1709"/>
      <c r="F53" s="1709"/>
      <c r="I53" s="1709"/>
      <c r="J53" s="1709"/>
      <c r="K53" s="1709"/>
      <c r="L53" s="1709"/>
      <c r="M53" s="1709"/>
      <c r="N53" s="1709"/>
      <c r="O53" s="1709"/>
      <c r="P53" s="1709"/>
      <c r="Q53" s="1709"/>
      <c r="R53" s="2603" t="str">
        <f>HLOOKUP(select,translations!$A$209:$H$250,24,)</f>
        <v>Total for Extraction</v>
      </c>
      <c r="S53" s="1854"/>
      <c r="T53" s="1854"/>
      <c r="U53" s="1854"/>
      <c r="V53" s="1854"/>
      <c r="W53" s="1854"/>
      <c r="X53" s="1854"/>
      <c r="Y53" s="1850">
        <f>SUM(Y49:Y50)</f>
        <v>0</v>
      </c>
      <c r="Z53" s="1850">
        <f>SUM(Z49:Z50)</f>
        <v>0</v>
      </c>
      <c r="AA53" s="1850">
        <f>SUM(AA49:AA50)</f>
        <v>0</v>
      </c>
    </row>
    <row r="54" spans="2:27" s="1704" customFormat="1">
      <c r="E54" s="1709"/>
      <c r="F54" s="1709"/>
      <c r="I54" s="1709"/>
      <c r="J54" s="1709"/>
      <c r="K54" s="1709"/>
      <c r="L54" s="1709"/>
      <c r="M54" s="1709"/>
      <c r="N54" s="1709"/>
      <c r="O54" s="1709"/>
      <c r="P54" s="1709"/>
      <c r="Q54" s="1709"/>
      <c r="R54" s="1709"/>
      <c r="S54" s="1709"/>
      <c r="T54" s="1709"/>
      <c r="U54" s="1709"/>
      <c r="V54" s="1709"/>
      <c r="W54" s="1709"/>
      <c r="X54" s="1709"/>
      <c r="Y54" s="1709"/>
      <c r="Z54" s="1709"/>
    </row>
    <row r="55" spans="2:27" s="1704" customFormat="1">
      <c r="B55" s="2181" t="str">
        <f>HLOOKUP(select,translations!$A$521:$H$550,10,)</f>
        <v>5.2.3. Rewetting of organic soils (peatlands)</v>
      </c>
      <c r="C55" s="2182"/>
      <c r="D55" s="2182"/>
      <c r="E55" s="2182"/>
      <c r="F55" s="2182"/>
      <c r="G55" s="2182"/>
      <c r="H55" s="2182"/>
      <c r="I55" s="2182"/>
      <c r="J55" s="2182"/>
      <c r="K55" s="2182"/>
      <c r="L55" s="2182"/>
      <c r="M55" s="2182"/>
      <c r="N55" s="2182"/>
      <c r="O55" s="2182"/>
      <c r="P55" s="2182"/>
      <c r="Q55" s="2182"/>
      <c r="R55" s="2182"/>
      <c r="S55" s="2182"/>
      <c r="T55" s="2182"/>
      <c r="U55" s="2182"/>
      <c r="V55" s="2182"/>
      <c r="W55" s="2182"/>
      <c r="X55" s="2182"/>
      <c r="Y55" s="2182"/>
      <c r="Z55" s="2334"/>
      <c r="AA55" s="2334"/>
    </row>
    <row r="56" spans="2:27" s="1704" customFormat="1">
      <c r="B56" s="1719"/>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958"/>
      <c r="Z56" s="1958"/>
      <c r="AA56" s="1714"/>
    </row>
    <row r="57" spans="2:27" s="1704" customFormat="1" ht="12.75" customHeight="1">
      <c r="B57" s="2830" t="str">
        <f>HLOOKUP(select,translations!$A$209:$H$250,21,)</f>
        <v>Type of peat</v>
      </c>
      <c r="C57" s="2828"/>
      <c r="D57" s="2277"/>
      <c r="E57" s="2336"/>
      <c r="F57" s="2775" t="str">
        <f>HLOOKUP(select,translations!$A$521:$H$550,16,)</f>
        <v>Surfaces of rewetted organic soils (ha)</v>
      </c>
      <c r="G57" s="2277"/>
      <c r="H57" s="2280"/>
      <c r="I57" s="2280"/>
      <c r="J57" s="2280"/>
      <c r="K57" s="2357"/>
      <c r="L57" s="2829"/>
      <c r="M57" s="3022"/>
      <c r="N57" s="2829"/>
      <c r="O57" s="2829"/>
      <c r="P57" s="2829"/>
      <c r="Q57" s="2829"/>
      <c r="R57" s="3876" t="s">
        <v>8905</v>
      </c>
      <c r="S57" s="3876"/>
      <c r="T57" s="3876"/>
      <c r="U57" s="3876"/>
      <c r="V57" s="3876"/>
      <c r="W57" s="2338"/>
      <c r="X57" s="2338"/>
      <c r="Y57" s="3714" t="str">
        <f>Y46</f>
        <v>Total Emissions</v>
      </c>
      <c r="Z57" s="3714"/>
      <c r="AA57" s="3085" t="str">
        <f>AA46</f>
        <v>Balance</v>
      </c>
    </row>
    <row r="58" spans="2:27" s="1704" customFormat="1">
      <c r="B58" s="2305"/>
      <c r="C58" s="2335"/>
      <c r="D58" s="2339"/>
      <c r="E58" s="2339"/>
      <c r="F58" s="2274"/>
      <c r="G58" s="2274"/>
      <c r="H58" s="2123" t="str">
        <f>H47</f>
        <v>At the end</v>
      </c>
      <c r="I58" s="2123"/>
      <c r="J58" s="2123"/>
      <c r="K58" s="3142"/>
      <c r="L58" s="2338"/>
      <c r="M58" s="2338"/>
      <c r="N58" s="2338"/>
      <c r="O58" s="2338"/>
      <c r="P58" s="2338"/>
      <c r="Q58" s="2338"/>
      <c r="R58" s="3876"/>
      <c r="S58" s="3876"/>
      <c r="T58" s="3876"/>
      <c r="U58" s="3876"/>
      <c r="V58" s="3876"/>
      <c r="W58" s="2338"/>
      <c r="X58" s="2338"/>
      <c r="Y58" s="3712" t="str">
        <f>Y47</f>
        <v>(tCO2-eq)</v>
      </c>
      <c r="Z58" s="3712"/>
      <c r="AA58" s="2331"/>
    </row>
    <row r="59" spans="2:27" s="1704" customFormat="1">
      <c r="B59" s="2117"/>
      <c r="C59" s="2117"/>
      <c r="D59" s="2117"/>
      <c r="E59" s="2279"/>
      <c r="F59" s="2331" t="str">
        <f>F48</f>
        <v>Start</v>
      </c>
      <c r="G59" s="2117"/>
      <c r="H59" s="2870" t="str">
        <f>H48</f>
        <v>Without</v>
      </c>
      <c r="I59" s="2870" t="s">
        <v>91</v>
      </c>
      <c r="J59" s="2870" t="str">
        <f>J48</f>
        <v>With</v>
      </c>
      <c r="K59" s="2870" t="s">
        <v>91</v>
      </c>
      <c r="L59" s="2338"/>
      <c r="M59" s="2338"/>
      <c r="N59" s="2338"/>
      <c r="O59" s="2338"/>
      <c r="P59" s="2338"/>
      <c r="Q59" s="2338"/>
      <c r="R59" s="3876"/>
      <c r="S59" s="3876"/>
      <c r="T59" s="3876"/>
      <c r="U59" s="3876"/>
      <c r="V59" s="3876"/>
      <c r="W59" s="2338"/>
      <c r="X59" s="2338"/>
      <c r="Y59" s="2648" t="str">
        <f>Y48</f>
        <v>Without</v>
      </c>
      <c r="Z59" s="2648" t="str">
        <f>Z48</f>
        <v>With</v>
      </c>
      <c r="AA59" s="2331"/>
    </row>
    <row r="60" spans="2:27" s="1704" customFormat="1">
      <c r="B60" s="2827" t="str">
        <f>HLOOKUP(select,translations!$A$209:$H$250,22,)</f>
        <v>Nutrient-poor peat</v>
      </c>
      <c r="C60" s="2117"/>
      <c r="D60" s="2117"/>
      <c r="E60" s="2279"/>
      <c r="F60" s="3079">
        <v>0</v>
      </c>
      <c r="G60" s="2117"/>
      <c r="H60" s="3079">
        <v>0</v>
      </c>
      <c r="I60" s="2113" t="s">
        <v>1498</v>
      </c>
      <c r="J60" s="3079">
        <v>0</v>
      </c>
      <c r="K60" s="2113" t="s">
        <v>1498</v>
      </c>
      <c r="L60" s="2279"/>
      <c r="M60" s="2279"/>
      <c r="N60" s="2279"/>
      <c r="O60" s="2279"/>
      <c r="P60" s="2279"/>
      <c r="Q60" s="2279"/>
      <c r="R60" s="2279"/>
      <c r="S60" s="2279"/>
      <c r="T60" s="3644">
        <v>0</v>
      </c>
      <c r="U60" s="2279"/>
      <c r="V60" s="2279"/>
      <c r="W60" s="2279"/>
      <c r="X60" s="2279"/>
      <c r="Y60" s="2156">
        <f>'Organic Soils NEW'!P128+'Organic Soils NEW'!P136+'Organic Soils NEW'!P144+'Organic Soils NEW'!P152</f>
        <v>0</v>
      </c>
      <c r="Z60" s="2156">
        <f>'Organic Soils NEW'!Q128+'Organic Soils NEW'!Q136+'Organic Soils NEW'!Q144+'Organic Soils NEW'!Q152</f>
        <v>0</v>
      </c>
      <c r="AA60" s="2156">
        <f>Z60-Y60</f>
        <v>0</v>
      </c>
    </row>
    <row r="61" spans="2:27" s="1704" customFormat="1">
      <c r="B61" s="2827" t="str">
        <f>HLOOKUP(select,translations!$A$209:$H$250,23,)</f>
        <v>Nutrient Rich</v>
      </c>
      <c r="C61" s="2117"/>
      <c r="D61" s="2117"/>
      <c r="E61" s="2279"/>
      <c r="F61" s="3079">
        <v>0</v>
      </c>
      <c r="G61" s="2117"/>
      <c r="H61" s="3079">
        <v>0</v>
      </c>
      <c r="I61" s="2113" t="s">
        <v>1498</v>
      </c>
      <c r="J61" s="3079">
        <v>0</v>
      </c>
      <c r="K61" s="2113" t="s">
        <v>1498</v>
      </c>
      <c r="L61" s="2279"/>
      <c r="M61" s="2279"/>
      <c r="N61" s="2279"/>
      <c r="O61" s="2279"/>
      <c r="P61" s="2279"/>
      <c r="Q61" s="2279"/>
      <c r="R61" s="2279"/>
      <c r="S61" s="2279"/>
      <c r="T61" s="3644">
        <v>0</v>
      </c>
      <c r="U61" s="2279"/>
      <c r="V61" s="2279"/>
      <c r="W61" s="2279"/>
      <c r="X61" s="2279"/>
      <c r="Y61" s="2156">
        <f>'Organic Soils NEW'!P129+'Organic Soils NEW'!P137+'Organic Soils NEW'!P145+'Organic Soils NEW'!P153</f>
        <v>0</v>
      </c>
      <c r="Z61" s="2156">
        <f>'Organic Soils NEW'!Q129+'Organic Soils NEW'!Q137+'Organic Soils NEW'!Q145+'Organic Soils NEW'!Q153</f>
        <v>0</v>
      </c>
      <c r="AA61" s="2156">
        <f>Z61-Y61</f>
        <v>0</v>
      </c>
    </row>
    <row r="62" spans="2:27" s="1704" customFormat="1">
      <c r="I62" s="2135" t="str">
        <f>I51</f>
        <v>* Note concerning dynamics of change : "D" corresponds to default/linear, "I" to immediate and "E" to exponential (Please refer to the guidelines)</v>
      </c>
      <c r="J62" s="2133"/>
      <c r="K62" s="2133"/>
      <c r="L62" s="2133"/>
      <c r="M62" s="2133"/>
      <c r="N62" s="2133"/>
      <c r="O62" s="2133"/>
      <c r="P62" s="2133"/>
      <c r="Q62" s="2133"/>
      <c r="R62" s="2133"/>
      <c r="S62" s="2133"/>
      <c r="T62" s="2133"/>
      <c r="U62" s="2133"/>
      <c r="V62" s="2134"/>
      <c r="W62" s="2134"/>
      <c r="X62" s="2133"/>
      <c r="Y62" s="2170"/>
      <c r="Z62" s="2170"/>
      <c r="AA62" s="2249"/>
    </row>
    <row r="63" spans="2:27" s="1704" customFormat="1">
      <c r="E63" s="1709"/>
      <c r="F63" s="1709"/>
      <c r="I63" s="1709"/>
      <c r="J63" s="1709"/>
      <c r="K63" s="1709"/>
      <c r="L63" s="1709"/>
      <c r="M63" s="1709"/>
      <c r="N63" s="1709"/>
      <c r="O63" s="1709"/>
      <c r="P63" s="1709"/>
      <c r="Q63" s="1709"/>
      <c r="R63" s="1709"/>
      <c r="S63" s="1709"/>
      <c r="T63" s="1709"/>
      <c r="U63" s="1709"/>
      <c r="V63" s="1709"/>
      <c r="W63" s="1709"/>
      <c r="X63" s="1709"/>
      <c r="Y63" s="1709"/>
      <c r="Z63" s="1709"/>
    </row>
    <row r="64" spans="2:27" s="1704" customFormat="1">
      <c r="E64" s="1709"/>
      <c r="F64" s="1709"/>
      <c r="I64" s="1709"/>
      <c r="J64" s="1709"/>
      <c r="K64" s="1709"/>
      <c r="L64" s="1709"/>
      <c r="M64" s="1709"/>
      <c r="N64" s="1709"/>
      <c r="O64" s="1709"/>
      <c r="P64" s="1709"/>
      <c r="Q64" s="1709"/>
      <c r="R64" s="2603" t="str">
        <f>HLOOKUP(select,translations!$A$521:$H$550,19,)</f>
        <v>Total for Rewetting</v>
      </c>
      <c r="S64" s="1854"/>
      <c r="T64" s="1854"/>
      <c r="U64" s="1854"/>
      <c r="V64" s="1854"/>
      <c r="W64" s="1854"/>
      <c r="X64" s="1854"/>
      <c r="Y64" s="1850">
        <f>SUM(Y60:Y61)</f>
        <v>0</v>
      </c>
      <c r="Z64" s="1850">
        <f>SUM(Z60:Z61)</f>
        <v>0</v>
      </c>
      <c r="AA64" s="1850">
        <f>SUM(AA60:AA61)</f>
        <v>0</v>
      </c>
    </row>
    <row r="65" spans="2:27" s="1704" customFormat="1">
      <c r="E65" s="1709"/>
      <c r="F65" s="1709"/>
      <c r="I65" s="1709"/>
      <c r="J65" s="1709"/>
      <c r="K65" s="1709"/>
      <c r="L65" s="1709"/>
      <c r="M65" s="1709"/>
      <c r="N65" s="1709"/>
      <c r="O65" s="1709"/>
      <c r="P65" s="1709"/>
      <c r="Q65" s="1709"/>
      <c r="R65" s="1709"/>
      <c r="S65" s="1709"/>
      <c r="T65" s="1709"/>
      <c r="U65" s="1709"/>
      <c r="V65" s="1709"/>
      <c r="W65" s="1709"/>
      <c r="X65" s="1709"/>
      <c r="Y65" s="1709"/>
      <c r="Z65" s="1709"/>
    </row>
    <row r="66" spans="2:27" s="1704" customFormat="1">
      <c r="B66" s="3554" t="str">
        <f>HLOOKUP(select,translations!$A$521:$H$550,17,)</f>
        <v>5.2.4. Emissions from fire of organic soils (peatlands)</v>
      </c>
      <c r="C66" s="2182"/>
      <c r="D66" s="2182"/>
      <c r="E66" s="2182"/>
      <c r="F66" s="2182"/>
      <c r="G66" s="2182"/>
      <c r="H66" s="2182"/>
      <c r="I66" s="2182"/>
      <c r="J66" s="2182"/>
      <c r="K66" s="2182"/>
      <c r="L66" s="2182"/>
      <c r="M66" s="2182"/>
      <c r="N66" s="2182"/>
      <c r="O66" s="2182"/>
      <c r="P66" s="2182"/>
      <c r="Q66" s="2182"/>
      <c r="R66" s="2182"/>
      <c r="S66" s="2182"/>
      <c r="T66" s="2182"/>
      <c r="U66" s="2182"/>
      <c r="V66" s="2182"/>
      <c r="W66" s="2182"/>
      <c r="X66" s="2182"/>
      <c r="Y66" s="2182"/>
      <c r="Z66" s="2334"/>
      <c r="AA66" s="2334"/>
    </row>
    <row r="67" spans="2:27" s="1704" customFormat="1">
      <c r="E67" s="1709"/>
      <c r="F67" s="1709"/>
      <c r="I67" s="1709"/>
      <c r="J67" s="1709"/>
      <c r="K67" s="1709"/>
      <c r="L67" s="1709"/>
      <c r="M67" s="1709"/>
      <c r="N67" s="1709"/>
      <c r="O67" s="1709"/>
      <c r="P67" s="1709"/>
      <c r="Q67" s="1709"/>
      <c r="R67" s="1709"/>
      <c r="S67" s="1709"/>
      <c r="T67" s="1709"/>
      <c r="U67" s="1709"/>
      <c r="V67" s="1709"/>
      <c r="W67" s="1709"/>
      <c r="X67" s="1709"/>
      <c r="Y67" s="1709"/>
      <c r="Z67" s="1709"/>
    </row>
    <row r="68" spans="2:27" s="1704" customFormat="1">
      <c r="B68" s="2775" t="str">
        <f>HLOOKUP(select,translations!$A$521:$H$550,11,)</f>
        <v>Fire Type</v>
      </c>
      <c r="C68" s="2139"/>
      <c r="D68" s="2139"/>
      <c r="E68" s="3090"/>
      <c r="F68" s="3034" t="str">
        <f>HLOOKUP(select,translations!$A$521:$H$550,12,)</f>
        <v>Area burnt (ha)</v>
      </c>
      <c r="G68" s="2869"/>
      <c r="H68" s="2869"/>
      <c r="I68" s="3089"/>
      <c r="J68" s="3089"/>
      <c r="K68" s="3089"/>
      <c r="L68" s="3093"/>
      <c r="M68" s="3034" t="str">
        <f>L10</f>
        <v>Fire occurrence and severity</v>
      </c>
      <c r="N68" s="3073"/>
      <c r="O68" s="3073"/>
      <c r="P68" s="3073"/>
      <c r="Q68" s="3073"/>
      <c r="R68" s="3073"/>
      <c r="S68" s="3073"/>
      <c r="T68" s="2835"/>
      <c r="U68" s="2835"/>
      <c r="V68" s="2297"/>
      <c r="W68" s="2297"/>
      <c r="X68" s="3093"/>
      <c r="Y68" s="3715" t="str">
        <f>Y57</f>
        <v>Total Emissions</v>
      </c>
      <c r="Z68" s="3715"/>
      <c r="AA68" s="2139" t="str">
        <f>AA57</f>
        <v>Balance</v>
      </c>
    </row>
    <row r="69" spans="2:27" s="1704" customFormat="1">
      <c r="B69" s="2138"/>
      <c r="C69" s="2138"/>
      <c r="D69" s="2138"/>
      <c r="E69" s="3093"/>
      <c r="F69" s="3093" t="str">
        <f>F59</f>
        <v>Start</v>
      </c>
      <c r="G69" s="3093"/>
      <c r="H69" s="3093" t="str">
        <f>H59</f>
        <v>Without</v>
      </c>
      <c r="I69" s="3093" t="str">
        <f>I59</f>
        <v>*</v>
      </c>
      <c r="J69" s="3093" t="str">
        <f>J59</f>
        <v>With</v>
      </c>
      <c r="K69" s="3093" t="str">
        <f>K59</f>
        <v>*</v>
      </c>
      <c r="L69" s="3093"/>
      <c r="M69" s="2297" t="str">
        <f t="shared" ref="M69" si="6">L11</f>
        <v>Without</v>
      </c>
      <c r="N69" s="2297"/>
      <c r="O69" s="2297"/>
      <c r="P69" s="2297"/>
      <c r="Q69" s="2297" t="str">
        <f>P11</f>
        <v>With</v>
      </c>
      <c r="R69" s="2138"/>
      <c r="S69" s="2297"/>
      <c r="T69" s="2138"/>
      <c r="U69" s="2138"/>
      <c r="V69" s="2297"/>
      <c r="W69" s="2297"/>
      <c r="X69" s="3093"/>
      <c r="Y69" s="3711" t="str">
        <f>Y58</f>
        <v>(tCO2-eq)</v>
      </c>
      <c r="Z69" s="3711"/>
      <c r="AA69" s="2138"/>
    </row>
    <row r="70" spans="2:27" s="1704" customFormat="1">
      <c r="B70" s="2138"/>
      <c r="C70" s="2138"/>
      <c r="D70" s="2138"/>
      <c r="E70" s="2138"/>
      <c r="F70" s="2138"/>
      <c r="G70" s="2138"/>
      <c r="H70" s="2138"/>
      <c r="I70" s="2138"/>
      <c r="J70" s="2138"/>
      <c r="K70" s="2138"/>
      <c r="L70" s="3093"/>
      <c r="M70" s="2297" t="str">
        <f>M11</f>
        <v>Periodicity</v>
      </c>
      <c r="N70" s="3241" t="str">
        <f>N11</f>
        <v>Impact</v>
      </c>
      <c r="O70" s="2297"/>
      <c r="P70" s="2297"/>
      <c r="Q70" s="2297" t="str">
        <f>Q11</f>
        <v>Periodicity</v>
      </c>
      <c r="R70" s="3241" t="str">
        <f>R11</f>
        <v>Impact</v>
      </c>
      <c r="S70" s="2297"/>
      <c r="T70" s="2138"/>
      <c r="U70" s="2138"/>
      <c r="V70" s="2297"/>
      <c r="W70" s="2297"/>
      <c r="X70" s="3093"/>
      <c r="Y70" s="2296" t="str">
        <f>Y59</f>
        <v>Without</v>
      </c>
      <c r="Z70" s="2296" t="str">
        <f>Z59</f>
        <v>With</v>
      </c>
      <c r="AA70" s="2296"/>
    </row>
    <row r="71" spans="2:27" s="1704" customFormat="1">
      <c r="B71" s="2138"/>
      <c r="C71" s="2138"/>
      <c r="D71" s="2138"/>
      <c r="E71" s="2138"/>
      <c r="F71" s="2138"/>
      <c r="G71" s="2138"/>
      <c r="H71" s="2138"/>
      <c r="I71" s="2138"/>
      <c r="J71" s="2138"/>
      <c r="K71" s="2138"/>
      <c r="L71" s="3093"/>
      <c r="M71" s="2297" t="str">
        <f>M12</f>
        <v>(year)</v>
      </c>
      <c r="N71" s="3241" t="str">
        <f>N12</f>
        <v>(% burnt)</v>
      </c>
      <c r="O71" s="2297"/>
      <c r="P71" s="2297"/>
      <c r="Q71" s="2297" t="str">
        <f>Q12</f>
        <v>(year)</v>
      </c>
      <c r="R71" s="3241" t="str">
        <f>R12</f>
        <v>(% burnt)</v>
      </c>
      <c r="S71" s="2297"/>
      <c r="T71" s="2297"/>
      <c r="U71" s="2297"/>
      <c r="V71" s="2297"/>
      <c r="W71" s="2297"/>
      <c r="X71" s="3093"/>
      <c r="Y71" s="2296"/>
      <c r="Z71" s="2296"/>
      <c r="AA71" s="2296"/>
    </row>
    <row r="72" spans="2:27" s="1704" customFormat="1">
      <c r="B72" s="2297" t="str">
        <f>HLOOKUP(select,translations!$A$521:$H$550,13,)</f>
        <v>Wildfire (drained peat)</v>
      </c>
      <c r="C72" s="2138"/>
      <c r="D72" s="2138"/>
      <c r="E72" s="3093"/>
      <c r="F72" s="3088">
        <v>0</v>
      </c>
      <c r="G72" s="2138"/>
      <c r="H72" s="3088">
        <v>0</v>
      </c>
      <c r="I72" s="2113" t="s">
        <v>1498</v>
      </c>
      <c r="J72" s="3088">
        <v>0</v>
      </c>
      <c r="K72" s="2113" t="s">
        <v>1498</v>
      </c>
      <c r="L72" s="3093"/>
      <c r="M72" s="3088">
        <v>1</v>
      </c>
      <c r="N72" s="2092">
        <v>1</v>
      </c>
      <c r="O72" s="2297"/>
      <c r="P72" s="2297"/>
      <c r="Q72" s="3088">
        <v>1</v>
      </c>
      <c r="R72" s="2092">
        <v>1</v>
      </c>
      <c r="S72" s="2297"/>
      <c r="T72" s="2297"/>
      <c r="U72" s="2297"/>
      <c r="V72" s="2297"/>
      <c r="W72" s="2297"/>
      <c r="X72" s="3093"/>
      <c r="Y72" s="2296">
        <f>'Organic Soils NEW'!P160+'Organic Soils NEW'!P168+'Organic Soils NEW'!P176</f>
        <v>0</v>
      </c>
      <c r="Z72" s="2296">
        <f>'Organic Soils NEW'!Q160+'Organic Soils NEW'!Q168+'Organic Soils NEW'!Q176</f>
        <v>0</v>
      </c>
      <c r="AA72" s="2296">
        <f>Z72-Y72</f>
        <v>0</v>
      </c>
    </row>
    <row r="73" spans="2:27" s="1704" customFormat="1">
      <c r="B73" s="2297" t="str">
        <f>HLOOKUP(select,translations!$A$521:$H$550,14,)</f>
        <v>Wildfire (undrained peat)</v>
      </c>
      <c r="C73" s="2138"/>
      <c r="D73" s="2138"/>
      <c r="E73" s="3093"/>
      <c r="F73" s="3088">
        <v>0</v>
      </c>
      <c r="G73" s="2138"/>
      <c r="H73" s="3088">
        <v>0</v>
      </c>
      <c r="I73" s="2113" t="s">
        <v>1498</v>
      </c>
      <c r="J73" s="3088">
        <v>0</v>
      </c>
      <c r="K73" s="2113" t="s">
        <v>1498</v>
      </c>
      <c r="L73" s="3093"/>
      <c r="M73" s="3088">
        <v>1</v>
      </c>
      <c r="N73" s="2092">
        <v>1</v>
      </c>
      <c r="O73" s="2297"/>
      <c r="P73" s="2297"/>
      <c r="Q73" s="3088">
        <v>1</v>
      </c>
      <c r="R73" s="2092">
        <v>1</v>
      </c>
      <c r="S73" s="2297"/>
      <c r="T73" s="2297"/>
      <c r="U73" s="2297"/>
      <c r="V73" s="3093"/>
      <c r="W73" s="3093"/>
      <c r="X73" s="3093"/>
      <c r="Y73" s="2296">
        <f>'Organic Soils NEW'!P161+'Organic Soils NEW'!P169+'Organic Soils NEW'!P177</f>
        <v>0</v>
      </c>
      <c r="Z73" s="2296">
        <f>'Organic Soils NEW'!Q161+'Organic Soils NEW'!Q169+'Organic Soils NEW'!Q177</f>
        <v>0</v>
      </c>
      <c r="AA73" s="2296">
        <f t="shared" ref="AA73:AA74" si="7">Z73-Y73</f>
        <v>0</v>
      </c>
    </row>
    <row r="74" spans="2:27" s="1704" customFormat="1">
      <c r="B74" s="2297" t="str">
        <f>HLOOKUP(select,translations!$A$521:$H$550,15,)</f>
        <v>Prescribed fire</v>
      </c>
      <c r="C74" s="2138"/>
      <c r="D74" s="2138"/>
      <c r="E74" s="3093"/>
      <c r="F74" s="3088">
        <v>0</v>
      </c>
      <c r="G74" s="2138"/>
      <c r="H74" s="3088">
        <v>0</v>
      </c>
      <c r="I74" s="2113" t="s">
        <v>1498</v>
      </c>
      <c r="J74" s="3088">
        <v>0</v>
      </c>
      <c r="K74" s="2113" t="s">
        <v>1498</v>
      </c>
      <c r="L74" s="3093"/>
      <c r="M74" s="3088">
        <v>1</v>
      </c>
      <c r="N74" s="2092">
        <v>1</v>
      </c>
      <c r="O74" s="2297"/>
      <c r="P74" s="2297"/>
      <c r="Q74" s="3088">
        <v>1</v>
      </c>
      <c r="R74" s="2092">
        <v>1</v>
      </c>
      <c r="S74" s="2297"/>
      <c r="T74" s="2297"/>
      <c r="U74" s="2297"/>
      <c r="V74" s="3093"/>
      <c r="W74" s="3093"/>
      <c r="X74" s="3093"/>
      <c r="Y74" s="2296">
        <f>'Organic Soils NEW'!P162+'Organic Soils NEW'!P170+'Organic Soils NEW'!P178</f>
        <v>0</v>
      </c>
      <c r="Z74" s="2296">
        <f>'Organic Soils NEW'!Q162+'Organic Soils NEW'!Q170+'Organic Soils NEW'!Q178</f>
        <v>0</v>
      </c>
      <c r="AA74" s="2296">
        <f t="shared" si="7"/>
        <v>0</v>
      </c>
    </row>
    <row r="75" spans="2:27" s="1704" customFormat="1">
      <c r="E75" s="1709"/>
      <c r="F75" s="1709"/>
      <c r="I75" s="2135" t="str">
        <f>I62</f>
        <v>* Note concerning dynamics of change : "D" corresponds to default/linear, "I" to immediate and "E" to exponential (Please refer to the guidelines)</v>
      </c>
      <c r="J75" s="2133"/>
      <c r="K75" s="2133"/>
      <c r="L75" s="2133"/>
      <c r="M75" s="2133"/>
      <c r="N75" s="2133"/>
      <c r="O75" s="2133"/>
      <c r="P75" s="2133"/>
      <c r="Q75" s="2133"/>
      <c r="R75" s="2133"/>
      <c r="S75" s="2133"/>
      <c r="T75" s="2133"/>
      <c r="U75" s="2133"/>
      <c r="V75" s="2134"/>
      <c r="W75" s="2134"/>
      <c r="X75" s="2133"/>
      <c r="Y75" s="2170"/>
      <c r="Z75" s="2170"/>
      <c r="AA75" s="2249"/>
    </row>
    <row r="76" spans="2:27" s="1704" customFormat="1">
      <c r="E76" s="1709"/>
      <c r="F76" s="1709"/>
      <c r="I76" s="1709"/>
      <c r="J76" s="1709"/>
      <c r="K76" s="1709"/>
      <c r="L76" s="1709"/>
      <c r="M76" s="1709"/>
      <c r="N76" s="1709"/>
      <c r="O76" s="1709"/>
      <c r="P76" s="1709"/>
      <c r="Q76" s="1709"/>
      <c r="R76" s="1709"/>
      <c r="S76" s="1709"/>
      <c r="T76" s="1709"/>
      <c r="U76" s="1709"/>
      <c r="V76" s="1709"/>
      <c r="W76" s="1709"/>
      <c r="X76" s="1709"/>
      <c r="Y76" s="1709"/>
      <c r="Z76" s="1709"/>
    </row>
    <row r="77" spans="2:27" s="1704" customFormat="1">
      <c r="E77" s="1709"/>
      <c r="F77" s="1709"/>
      <c r="I77" s="1709"/>
      <c r="J77" s="1709"/>
      <c r="K77" s="1709"/>
      <c r="L77" s="1709"/>
      <c r="M77" s="1709"/>
      <c r="N77" s="1709"/>
      <c r="O77" s="1709"/>
      <c r="P77" s="1709"/>
      <c r="Q77" s="1709"/>
      <c r="R77" s="2603" t="str">
        <f>HLOOKUP(select,translations!$A$521:$H$550,18,)</f>
        <v>Total for Fire</v>
      </c>
      <c r="S77" s="1854"/>
      <c r="T77" s="1854"/>
      <c r="U77" s="1854"/>
      <c r="V77" s="1854"/>
      <c r="W77" s="1854"/>
      <c r="X77" s="1854"/>
      <c r="Y77" s="1850">
        <f>SUM(Y72:Y74)</f>
        <v>0</v>
      </c>
      <c r="Z77" s="1850">
        <f t="shared" ref="Z77:AA77" si="8">SUM(Z72:Z74)</f>
        <v>0</v>
      </c>
      <c r="AA77" s="1850">
        <f t="shared" si="8"/>
        <v>0</v>
      </c>
    </row>
    <row r="78" spans="2:27" s="1704" customFormat="1">
      <c r="E78" s="1709"/>
      <c r="F78" s="1709"/>
      <c r="I78" s="1709"/>
      <c r="J78" s="1709"/>
      <c r="K78" s="1709"/>
      <c r="L78" s="1709"/>
      <c r="M78" s="1709"/>
      <c r="N78" s="1709"/>
      <c r="O78" s="1709"/>
      <c r="P78" s="1709"/>
      <c r="Q78" s="1709"/>
      <c r="R78" s="1709"/>
      <c r="S78" s="1709"/>
      <c r="T78" s="1709"/>
      <c r="U78" s="1709"/>
      <c r="V78" s="1709"/>
      <c r="W78" s="1709"/>
      <c r="X78" s="1709"/>
      <c r="Y78" s="1709"/>
      <c r="Z78" s="1709"/>
    </row>
    <row r="79" spans="2:27" s="1704" customFormat="1">
      <c r="E79" s="1709"/>
      <c r="F79" s="1709"/>
      <c r="I79" s="1709"/>
      <c r="J79" s="1709"/>
      <c r="K79" s="1709"/>
      <c r="L79" s="1709"/>
      <c r="M79" s="1709"/>
      <c r="N79" s="1709"/>
      <c r="O79" s="1709"/>
      <c r="P79" s="1709"/>
      <c r="Q79" s="1709"/>
      <c r="R79" s="1709"/>
      <c r="S79" s="1709"/>
      <c r="T79" s="1709"/>
      <c r="U79" s="1709"/>
      <c r="V79" s="1709"/>
      <c r="W79" s="1709"/>
      <c r="X79" s="1709"/>
      <c r="Y79" s="1709"/>
      <c r="Z79" s="1709"/>
    </row>
    <row r="80" spans="2:27" s="1704" customFormat="1">
      <c r="E80" s="1709"/>
      <c r="F80" s="1709"/>
      <c r="I80" s="1709"/>
      <c r="J80" s="1709"/>
      <c r="K80" s="1709"/>
      <c r="L80" s="1709"/>
      <c r="M80" s="1709"/>
      <c r="N80" s="1709"/>
      <c r="O80" s="1709"/>
      <c r="P80" s="1709"/>
      <c r="Q80" s="1709"/>
      <c r="R80" s="1709"/>
      <c r="S80" s="1709"/>
      <c r="T80" s="1709"/>
      <c r="U80" s="1709"/>
      <c r="V80" s="1709"/>
      <c r="W80" s="1709"/>
      <c r="X80" s="1709"/>
      <c r="Y80" s="1709"/>
      <c r="Z80" s="1709"/>
    </row>
    <row r="81" spans="2:27" s="1704" customFormat="1">
      <c r="E81" s="1709"/>
      <c r="F81" s="1709"/>
      <c r="I81" s="1709"/>
      <c r="J81" s="1709"/>
      <c r="K81" s="1709"/>
      <c r="L81" s="1709"/>
      <c r="M81" s="1709"/>
      <c r="N81" s="1709"/>
      <c r="O81" s="1709"/>
      <c r="P81" s="1709"/>
      <c r="Q81" s="1709"/>
      <c r="R81" s="1709"/>
      <c r="S81" s="1709"/>
      <c r="T81" s="1709"/>
      <c r="U81" s="1709"/>
      <c r="V81" s="1709"/>
      <c r="W81" s="1709"/>
      <c r="X81" s="1709"/>
      <c r="Y81" s="1709"/>
      <c r="Z81" s="1709"/>
    </row>
    <row r="82" spans="2:27" s="1704" customFormat="1" ht="15.75">
      <c r="B82" s="3368"/>
      <c r="E82" s="1709"/>
      <c r="F82" s="1709"/>
      <c r="I82" s="1709"/>
      <c r="J82" s="1709"/>
      <c r="K82" s="1709"/>
      <c r="L82" s="1709"/>
      <c r="M82" s="1709"/>
      <c r="N82" s="1709"/>
      <c r="O82" s="1709"/>
      <c r="P82" s="1709"/>
      <c r="Q82" s="1709"/>
      <c r="R82" s="1709"/>
      <c r="S82" s="1709"/>
      <c r="T82" s="1709"/>
      <c r="U82" s="1709"/>
      <c r="V82" s="1709"/>
      <c r="W82" s="1709"/>
      <c r="X82" s="1709"/>
      <c r="Y82" s="1709"/>
      <c r="Z82" s="1709"/>
    </row>
    <row r="83" spans="2:27" s="1704" customFormat="1"/>
    <row r="84" spans="2:27" s="1704" customFormat="1">
      <c r="B84" s="3369"/>
      <c r="E84" s="1709"/>
      <c r="F84" s="1709"/>
      <c r="I84" s="1709"/>
      <c r="J84" s="1709"/>
      <c r="K84" s="1709"/>
      <c r="L84" s="1709"/>
      <c r="M84" s="1709"/>
      <c r="N84" s="1709"/>
      <c r="O84" s="1709"/>
      <c r="P84" s="1709"/>
      <c r="Q84" s="1709"/>
      <c r="R84" s="1709"/>
      <c r="S84" s="1709"/>
      <c r="T84" s="1709"/>
      <c r="U84" s="1709"/>
      <c r="V84" s="1709"/>
      <c r="W84" s="1709"/>
      <c r="X84" s="1709"/>
      <c r="Y84" s="1709"/>
      <c r="Z84" s="1709"/>
    </row>
    <row r="85" spans="2:27" s="1704" customFormat="1">
      <c r="E85" s="1709"/>
      <c r="F85" s="1709"/>
      <c r="I85" s="1709"/>
      <c r="J85" s="1709"/>
      <c r="K85" s="1709"/>
      <c r="L85" s="1709"/>
      <c r="M85" s="1709"/>
      <c r="N85" s="1709"/>
      <c r="O85" s="1709"/>
      <c r="P85" s="1709"/>
      <c r="Q85" s="1709"/>
      <c r="R85" s="1709"/>
      <c r="S85" s="1709"/>
      <c r="T85" s="1709"/>
      <c r="U85" s="1709"/>
      <c r="V85" s="1709"/>
      <c r="W85" s="1709"/>
      <c r="X85" s="1709"/>
      <c r="Y85" s="1709"/>
      <c r="Z85" s="1709"/>
    </row>
    <row r="86" spans="2:27" s="1704" customFormat="1">
      <c r="P86" s="1709"/>
      <c r="Q86" s="1709"/>
      <c r="R86" s="1709"/>
      <c r="S86" s="1709"/>
      <c r="T86" s="1709"/>
      <c r="U86" s="1709"/>
      <c r="V86" s="1709"/>
      <c r="W86" s="1709"/>
      <c r="X86" s="1709"/>
      <c r="Y86" s="3873"/>
      <c r="Z86" s="3873"/>
      <c r="AA86" s="3318"/>
    </row>
    <row r="87" spans="2:27" s="1704" customFormat="1">
      <c r="E87" s="1709"/>
      <c r="F87" s="1709"/>
      <c r="I87" s="1709"/>
      <c r="J87" s="1709"/>
      <c r="K87" s="1709"/>
      <c r="L87" s="1709"/>
      <c r="M87" s="1709"/>
      <c r="N87" s="1709"/>
      <c r="O87" s="1709"/>
      <c r="P87" s="1709"/>
      <c r="Q87" s="1709"/>
      <c r="R87" s="1709"/>
      <c r="S87" s="1709"/>
      <c r="T87" s="1709"/>
      <c r="U87" s="1709"/>
      <c r="V87" s="1709"/>
      <c r="W87" s="1709"/>
      <c r="X87" s="1709"/>
      <c r="Y87" s="3874"/>
      <c r="Z87" s="3874"/>
      <c r="AA87" s="1709"/>
    </row>
    <row r="88" spans="2:27" s="1704" customFormat="1">
      <c r="E88" s="1709"/>
      <c r="F88" s="1709"/>
      <c r="I88" s="1709"/>
      <c r="J88" s="1709"/>
      <c r="K88" s="1709"/>
      <c r="L88" s="1709"/>
      <c r="M88" s="1709"/>
      <c r="N88" s="1709"/>
      <c r="O88" s="1709"/>
      <c r="P88" s="1709"/>
      <c r="Q88" s="1709"/>
      <c r="R88" s="1709"/>
      <c r="S88" s="1709"/>
      <c r="T88" s="1709"/>
      <c r="U88" s="1709"/>
      <c r="V88" s="1709"/>
      <c r="W88" s="1709"/>
      <c r="X88" s="1709"/>
      <c r="Y88" s="1971"/>
      <c r="Z88" s="1971"/>
      <c r="AA88" s="1709"/>
    </row>
    <row r="89" spans="2:27" s="1704" customFormat="1">
      <c r="E89" s="1709"/>
      <c r="F89" s="3288"/>
      <c r="H89" s="3288"/>
      <c r="I89" s="1709"/>
      <c r="J89" s="3288"/>
      <c r="K89" s="1709"/>
      <c r="L89" s="2833"/>
      <c r="M89" s="1709"/>
      <c r="N89" s="1709"/>
      <c r="O89" s="1709"/>
      <c r="P89" s="1709"/>
      <c r="Q89" s="1709"/>
      <c r="R89" s="1709"/>
      <c r="S89" s="1709"/>
      <c r="T89" s="1709"/>
      <c r="U89" s="1709"/>
      <c r="V89" s="1709"/>
      <c r="W89" s="1709"/>
      <c r="X89" s="1709"/>
      <c r="Y89" s="1971"/>
      <c r="Z89" s="1971"/>
      <c r="AA89" s="1971"/>
    </row>
    <row r="90" spans="2:27" s="1704" customFormat="1">
      <c r="E90" s="1709"/>
      <c r="F90" s="3288"/>
      <c r="H90" s="3288"/>
      <c r="I90" s="1709"/>
      <c r="J90" s="3288"/>
      <c r="K90" s="1709"/>
      <c r="L90" s="1709"/>
      <c r="M90" s="1709"/>
      <c r="N90" s="1709"/>
      <c r="O90" s="1709"/>
      <c r="P90" s="1709"/>
      <c r="Q90" s="1709"/>
      <c r="R90" s="1709"/>
      <c r="S90" s="1709"/>
      <c r="T90" s="1709"/>
      <c r="U90" s="1709"/>
      <c r="V90" s="1709"/>
      <c r="W90" s="1709"/>
      <c r="X90" s="1709"/>
      <c r="Y90" s="1971"/>
      <c r="Z90" s="1971"/>
      <c r="AA90" s="1971"/>
    </row>
    <row r="91" spans="2:27" s="1704" customFormat="1">
      <c r="E91" s="1709"/>
      <c r="F91" s="3288"/>
      <c r="H91" s="3288"/>
      <c r="I91" s="1709"/>
      <c r="J91" s="3288"/>
      <c r="K91" s="1709"/>
      <c r="L91" s="1709"/>
      <c r="M91" s="1709"/>
      <c r="N91" s="1709"/>
      <c r="O91" s="1709"/>
      <c r="P91" s="1709"/>
      <c r="Q91" s="1709"/>
      <c r="R91" s="1709"/>
      <c r="S91" s="1709"/>
      <c r="T91" s="1709"/>
      <c r="U91" s="1709"/>
      <c r="V91" s="1709"/>
      <c r="W91" s="1709"/>
      <c r="X91" s="1709"/>
      <c r="Y91" s="1971"/>
      <c r="Z91" s="1971"/>
      <c r="AA91" s="1971"/>
    </row>
    <row r="92" spans="2:27" s="1704" customFormat="1">
      <c r="AA92" s="1709"/>
    </row>
    <row r="93" spans="2:27" s="1704" customFormat="1">
      <c r="E93" s="1709"/>
      <c r="F93" s="1709"/>
      <c r="I93" s="1709"/>
      <c r="J93" s="1709"/>
      <c r="K93" s="1709"/>
      <c r="L93" s="1709"/>
      <c r="M93" s="1709"/>
      <c r="N93" s="1709"/>
      <c r="O93" s="1709"/>
      <c r="P93" s="1709"/>
      <c r="Q93" s="1709"/>
      <c r="R93" s="3371"/>
      <c r="S93" s="3318"/>
      <c r="T93" s="3318"/>
      <c r="U93" s="3318"/>
      <c r="V93" s="3318"/>
      <c r="W93" s="3318"/>
      <c r="X93" s="3318"/>
      <c r="Y93" s="3372"/>
      <c r="Z93" s="3372"/>
      <c r="AA93" s="3372"/>
    </row>
    <row r="94" spans="2:27" s="1704" customFormat="1">
      <c r="E94" s="1709"/>
      <c r="F94" s="1709"/>
      <c r="I94" s="1709"/>
      <c r="J94" s="1709"/>
      <c r="K94" s="1709"/>
      <c r="L94" s="1709"/>
      <c r="M94" s="1709"/>
      <c r="N94" s="1709"/>
      <c r="O94" s="1709"/>
      <c r="P94" s="1709"/>
      <c r="Q94" s="1709"/>
      <c r="R94" s="1709"/>
      <c r="S94" s="1709"/>
      <c r="T94" s="1709"/>
      <c r="U94" s="1709"/>
      <c r="V94" s="1709"/>
      <c r="W94" s="1709"/>
      <c r="X94" s="1709"/>
      <c r="Y94" s="1709"/>
      <c r="Z94" s="1709"/>
      <c r="AA94" s="1709"/>
    </row>
    <row r="95" spans="2:27" s="1704" customFormat="1">
      <c r="B95" s="3369"/>
      <c r="E95" s="1709"/>
      <c r="F95" s="1709"/>
      <c r="I95" s="1709"/>
      <c r="J95" s="1709"/>
      <c r="K95" s="1709"/>
      <c r="L95" s="1709"/>
      <c r="M95" s="1709"/>
      <c r="N95" s="1709"/>
      <c r="O95" s="1709"/>
      <c r="P95" s="1709"/>
      <c r="Q95" s="1709"/>
      <c r="R95" s="1709"/>
      <c r="S95" s="1709"/>
      <c r="T95" s="1709"/>
      <c r="U95" s="1709"/>
      <c r="V95" s="1709"/>
      <c r="W95" s="1709"/>
      <c r="X95" s="1709"/>
      <c r="Y95" s="1709"/>
      <c r="Z95" s="1709"/>
      <c r="AA95" s="1709"/>
    </row>
    <row r="96" spans="2:27" s="1704" customFormat="1">
      <c r="E96" s="1709"/>
      <c r="F96" s="1709"/>
      <c r="I96" s="1709"/>
      <c r="J96" s="1709"/>
      <c r="K96" s="1709"/>
      <c r="L96" s="1709"/>
      <c r="M96" s="1709"/>
      <c r="N96" s="1709"/>
      <c r="O96" s="1709"/>
      <c r="P96" s="1709"/>
      <c r="Q96" s="1709"/>
      <c r="R96" s="1709"/>
      <c r="S96" s="1709"/>
      <c r="T96" s="1709"/>
      <c r="U96" s="1709"/>
      <c r="V96" s="1709"/>
      <c r="W96" s="1709"/>
      <c r="X96" s="1709"/>
      <c r="Y96" s="1709"/>
      <c r="Z96" s="1709"/>
      <c r="AA96" s="1709"/>
    </row>
    <row r="97" spans="2:27" s="1704" customFormat="1">
      <c r="P97" s="1709"/>
      <c r="Q97" s="1709"/>
      <c r="R97" s="1709"/>
      <c r="S97" s="1709"/>
      <c r="T97" s="1709"/>
      <c r="U97" s="1709"/>
      <c r="V97" s="1709"/>
      <c r="W97" s="1709"/>
      <c r="X97" s="1709"/>
      <c r="Y97" s="3873"/>
      <c r="Z97" s="3873"/>
      <c r="AA97" s="3318"/>
    </row>
    <row r="98" spans="2:27" s="1704" customFormat="1">
      <c r="E98" s="1709"/>
      <c r="F98" s="1709"/>
      <c r="I98" s="1709"/>
      <c r="J98" s="1709"/>
      <c r="K98" s="1709"/>
      <c r="L98" s="1709"/>
      <c r="M98" s="1709"/>
      <c r="P98" s="1709"/>
      <c r="Q98" s="1709"/>
      <c r="R98" s="1709"/>
      <c r="S98" s="1709"/>
      <c r="T98" s="1709"/>
      <c r="U98" s="1709"/>
      <c r="V98" s="1709"/>
      <c r="W98" s="1709"/>
      <c r="X98" s="1709"/>
      <c r="Y98" s="3874"/>
      <c r="Z98" s="3874"/>
      <c r="AA98" s="1709"/>
    </row>
    <row r="99" spans="2:27" s="1704" customFormat="1">
      <c r="E99" s="1709"/>
      <c r="F99" s="1709"/>
      <c r="I99" s="1709"/>
      <c r="J99" s="1709"/>
      <c r="K99" s="1709"/>
      <c r="L99" s="1709"/>
      <c r="M99" s="1709"/>
      <c r="P99" s="1709"/>
      <c r="Q99" s="1709"/>
      <c r="R99" s="1709"/>
      <c r="S99" s="1709"/>
      <c r="T99" s="1709"/>
      <c r="U99" s="1709"/>
      <c r="V99" s="1709"/>
      <c r="W99" s="1709"/>
      <c r="X99" s="1709"/>
      <c r="Y99" s="1971"/>
      <c r="Z99" s="1971"/>
      <c r="AA99" s="1709"/>
    </row>
    <row r="100" spans="2:27" s="1704" customFormat="1">
      <c r="E100" s="1709"/>
      <c r="F100" s="3288"/>
      <c r="H100" s="3288"/>
      <c r="I100" s="3288"/>
      <c r="J100" s="3288"/>
      <c r="K100" s="3288"/>
      <c r="L100" s="1709"/>
      <c r="M100" s="3373"/>
      <c r="P100" s="3373"/>
      <c r="Q100" s="3373"/>
      <c r="R100" s="1709"/>
      <c r="S100" s="1709"/>
      <c r="T100" s="1709"/>
      <c r="U100" s="1709"/>
      <c r="V100" s="1709"/>
      <c r="W100" s="1709"/>
      <c r="X100" s="1709"/>
      <c r="Y100" s="1971"/>
      <c r="Z100" s="1971"/>
      <c r="AA100" s="1971"/>
    </row>
    <row r="101" spans="2:27" s="1704" customFormat="1">
      <c r="E101" s="1709"/>
      <c r="F101" s="3288"/>
      <c r="H101" s="3288"/>
      <c r="I101" s="3288"/>
      <c r="J101" s="3288"/>
      <c r="K101" s="3288"/>
      <c r="L101" s="1709"/>
      <c r="M101" s="3373"/>
      <c r="P101" s="3373"/>
      <c r="Q101" s="3373"/>
      <c r="R101" s="1709"/>
      <c r="S101" s="1709"/>
      <c r="T101" s="1709"/>
      <c r="U101" s="1709"/>
      <c r="V101" s="1709"/>
      <c r="W101" s="1709"/>
      <c r="X101" s="1709"/>
      <c r="Y101" s="1971"/>
      <c r="Z101" s="1971"/>
      <c r="AA101" s="1971"/>
    </row>
    <row r="102" spans="2:27" s="1704" customFormat="1">
      <c r="E102" s="1709"/>
      <c r="F102" s="3288"/>
      <c r="H102" s="3288"/>
      <c r="I102" s="3288"/>
      <c r="J102" s="3288"/>
      <c r="K102" s="3288"/>
      <c r="L102" s="1709"/>
      <c r="M102" s="3373"/>
      <c r="P102" s="3373"/>
      <c r="Q102" s="3373"/>
      <c r="R102" s="1709"/>
      <c r="S102" s="1709"/>
      <c r="T102" s="1709"/>
      <c r="U102" s="1709"/>
      <c r="V102" s="1709"/>
      <c r="W102" s="1709"/>
      <c r="X102" s="1709"/>
      <c r="Y102" s="1971"/>
      <c r="Z102" s="1971"/>
      <c r="AA102" s="1971"/>
    </row>
    <row r="103" spans="2:27" s="1704" customFormat="1">
      <c r="E103" s="1709"/>
      <c r="F103" s="1709"/>
      <c r="I103" s="3374"/>
      <c r="J103" s="1709"/>
      <c r="K103" s="1709"/>
      <c r="L103" s="1709"/>
      <c r="M103" s="1709"/>
      <c r="N103" s="1709"/>
      <c r="O103" s="1709"/>
      <c r="P103" s="1709"/>
      <c r="Q103" s="1709"/>
      <c r="R103" s="1709"/>
      <c r="S103" s="1709"/>
      <c r="T103" s="1709"/>
      <c r="U103" s="1709"/>
      <c r="V103" s="1709"/>
      <c r="W103" s="1709"/>
      <c r="X103" s="1709"/>
      <c r="Y103" s="1709"/>
      <c r="Z103" s="1709"/>
      <c r="AA103" s="1709"/>
    </row>
    <row r="104" spans="2:27" s="1704" customFormat="1">
      <c r="E104" s="1709"/>
      <c r="F104" s="1709"/>
      <c r="I104" s="1709"/>
      <c r="J104" s="1709"/>
      <c r="K104" s="1709"/>
      <c r="L104" s="1709"/>
      <c r="M104" s="1709"/>
      <c r="N104" s="1709"/>
      <c r="O104" s="1709"/>
      <c r="P104" s="1709"/>
      <c r="Q104" s="1709"/>
      <c r="R104" s="1709"/>
      <c r="S104" s="1709"/>
      <c r="T104" s="1709"/>
      <c r="U104" s="1709"/>
      <c r="V104" s="1709"/>
      <c r="W104" s="1709"/>
      <c r="X104" s="1709"/>
      <c r="Y104" s="1709"/>
      <c r="Z104" s="1709"/>
      <c r="AA104" s="1709"/>
    </row>
    <row r="105" spans="2:27" s="1704" customFormat="1">
      <c r="R105" s="3371"/>
      <c r="Y105" s="3372"/>
      <c r="Z105" s="3372"/>
      <c r="AA105" s="3372"/>
    </row>
    <row r="106" spans="2:27" s="1704" customFormat="1">
      <c r="E106" s="1709"/>
      <c r="F106" s="1709"/>
      <c r="I106" s="1709"/>
      <c r="J106" s="1709"/>
      <c r="K106" s="1709"/>
      <c r="L106" s="1709"/>
      <c r="M106" s="1709"/>
      <c r="N106" s="1709"/>
      <c r="O106" s="1709"/>
      <c r="P106" s="1709"/>
      <c r="Q106" s="1709"/>
      <c r="R106" s="1709"/>
      <c r="S106" s="1709"/>
      <c r="T106" s="1709"/>
      <c r="U106" s="1709"/>
      <c r="V106" s="1709"/>
      <c r="W106" s="1709"/>
      <c r="X106" s="1709"/>
      <c r="Y106" s="1709"/>
      <c r="Z106" s="1709"/>
      <c r="AA106" s="1709"/>
    </row>
    <row r="107" spans="2:27" s="1704" customFormat="1">
      <c r="B107" s="3369"/>
      <c r="E107" s="1709"/>
      <c r="F107" s="1709"/>
      <c r="I107" s="1709"/>
      <c r="J107" s="1709"/>
      <c r="K107" s="1709"/>
      <c r="L107" s="1709"/>
      <c r="M107" s="1709"/>
      <c r="N107" s="1709"/>
      <c r="O107" s="1709"/>
      <c r="P107" s="1709"/>
      <c r="Q107" s="1709"/>
      <c r="R107" s="1709"/>
      <c r="S107" s="1709"/>
      <c r="T107" s="1709"/>
      <c r="U107" s="1709"/>
      <c r="V107" s="1709"/>
      <c r="W107" s="1709"/>
      <c r="X107" s="1709"/>
      <c r="Y107" s="1709"/>
      <c r="Z107" s="1709"/>
      <c r="AA107" s="1709"/>
    </row>
    <row r="108" spans="2:27" s="1704" customFormat="1">
      <c r="AA108" s="1709"/>
    </row>
    <row r="109" spans="2:27" s="1704" customFormat="1">
      <c r="P109" s="1709"/>
      <c r="Q109" s="1709"/>
      <c r="R109" s="1709"/>
      <c r="S109" s="1709"/>
      <c r="T109" s="1709"/>
      <c r="U109" s="1709"/>
      <c r="V109" s="1709"/>
      <c r="W109" s="1709"/>
      <c r="X109" s="1709"/>
      <c r="Y109" s="3873"/>
      <c r="Z109" s="3873"/>
      <c r="AA109" s="3318"/>
    </row>
    <row r="110" spans="2:27" s="1704" customFormat="1">
      <c r="E110" s="1709"/>
      <c r="F110" s="1709"/>
      <c r="I110" s="1709"/>
      <c r="J110" s="1709"/>
      <c r="K110" s="1709"/>
      <c r="L110" s="1709"/>
      <c r="M110" s="1709"/>
      <c r="N110" s="1709"/>
      <c r="O110" s="1709"/>
      <c r="P110" s="1709"/>
      <c r="Q110" s="1709"/>
      <c r="R110" s="1709"/>
      <c r="S110" s="1709"/>
      <c r="T110" s="1709"/>
      <c r="U110" s="1709"/>
      <c r="V110" s="1709"/>
      <c r="W110" s="1709"/>
      <c r="X110" s="1709"/>
      <c r="Y110" s="3874"/>
      <c r="Z110" s="3874"/>
      <c r="AA110" s="1709"/>
    </row>
    <row r="111" spans="2:27" s="1704" customFormat="1">
      <c r="E111" s="1709"/>
      <c r="F111" s="1709"/>
      <c r="I111" s="1709"/>
      <c r="J111" s="1709"/>
      <c r="K111" s="1709"/>
      <c r="L111" s="1709"/>
      <c r="M111" s="1709"/>
      <c r="N111" s="1709"/>
      <c r="O111" s="1709"/>
      <c r="P111" s="1709"/>
      <c r="Q111" s="1709"/>
      <c r="R111" s="1709"/>
      <c r="S111" s="1709"/>
      <c r="T111" s="1709"/>
      <c r="U111" s="1709"/>
      <c r="V111" s="1709"/>
      <c r="W111" s="1709"/>
      <c r="X111" s="1709"/>
      <c r="Y111" s="1971"/>
      <c r="Z111" s="1971"/>
      <c r="AA111" s="1709"/>
    </row>
    <row r="112" spans="2:27" s="1704" customFormat="1">
      <c r="E112" s="1709"/>
      <c r="F112" s="3288"/>
      <c r="H112" s="3288"/>
      <c r="I112" s="3288"/>
      <c r="J112" s="3288"/>
      <c r="K112" s="3288"/>
      <c r="L112" s="1709"/>
      <c r="M112" s="1709"/>
      <c r="N112" s="1709"/>
      <c r="O112" s="1709"/>
      <c r="P112" s="3373"/>
      <c r="Q112" s="3373"/>
      <c r="R112" s="1709"/>
      <c r="S112" s="1709"/>
      <c r="T112" s="1709"/>
      <c r="U112" s="1709"/>
      <c r="V112" s="1709"/>
      <c r="W112" s="1709"/>
      <c r="X112" s="1709"/>
      <c r="Y112" s="1971"/>
      <c r="Z112" s="1971"/>
      <c r="AA112" s="1971"/>
    </row>
    <row r="113" spans="5:27" s="1704" customFormat="1">
      <c r="E113" s="1709"/>
      <c r="F113" s="3288"/>
      <c r="H113" s="3288"/>
      <c r="I113" s="3288"/>
      <c r="J113" s="3288"/>
      <c r="K113" s="3288"/>
      <c r="L113" s="1709"/>
      <c r="M113" s="1709"/>
      <c r="N113" s="1709"/>
      <c r="O113" s="1709"/>
      <c r="P113" s="3373"/>
      <c r="Q113" s="3373"/>
      <c r="R113" s="1709"/>
      <c r="S113" s="1709"/>
      <c r="T113" s="1709"/>
      <c r="U113" s="1709"/>
      <c r="V113" s="1709"/>
      <c r="W113" s="1709"/>
      <c r="X113" s="1709"/>
      <c r="Y113" s="1971"/>
      <c r="Z113" s="1971"/>
      <c r="AA113" s="1971"/>
    </row>
    <row r="114" spans="5:27" s="1704" customFormat="1">
      <c r="E114" s="1709"/>
      <c r="F114" s="3288"/>
      <c r="H114" s="3288"/>
      <c r="I114" s="3288"/>
      <c r="J114" s="3288"/>
      <c r="K114" s="3288"/>
      <c r="L114" s="1709"/>
      <c r="M114" s="1709"/>
      <c r="N114" s="1709"/>
      <c r="O114" s="1709"/>
      <c r="P114" s="3373"/>
      <c r="Q114" s="3373"/>
      <c r="R114" s="1709"/>
      <c r="S114" s="1709"/>
      <c r="T114" s="1709"/>
      <c r="U114" s="1709"/>
      <c r="V114" s="1709"/>
      <c r="W114" s="1709"/>
      <c r="X114" s="1709"/>
      <c r="Y114" s="1971"/>
      <c r="Z114" s="1971"/>
      <c r="AA114" s="1971"/>
    </row>
    <row r="115" spans="5:27" s="1704" customFormat="1">
      <c r="E115" s="1709"/>
      <c r="F115" s="1709"/>
      <c r="I115" s="3374"/>
      <c r="J115" s="1709"/>
      <c r="K115" s="1709"/>
      <c r="L115" s="1709"/>
      <c r="M115" s="1709"/>
      <c r="N115" s="1709"/>
      <c r="O115" s="1709"/>
      <c r="P115" s="1709"/>
      <c r="Q115" s="1709"/>
      <c r="R115" s="1709"/>
      <c r="S115" s="1709"/>
      <c r="T115" s="1709"/>
      <c r="U115" s="1709"/>
      <c r="V115" s="1709"/>
      <c r="W115" s="1709"/>
      <c r="X115" s="1709"/>
      <c r="Y115" s="1709"/>
      <c r="Z115" s="1709"/>
      <c r="AA115" s="1709"/>
    </row>
    <row r="116" spans="5:27" s="1704" customFormat="1">
      <c r="E116" s="1709"/>
      <c r="F116" s="1709"/>
      <c r="I116" s="1709"/>
      <c r="J116" s="1709"/>
      <c r="K116" s="1709"/>
      <c r="L116" s="1709"/>
      <c r="M116" s="1709"/>
      <c r="N116" s="1709"/>
      <c r="O116" s="1709"/>
      <c r="P116" s="1709"/>
      <c r="Q116" s="1709"/>
      <c r="R116" s="1709"/>
      <c r="S116" s="1709"/>
      <c r="T116" s="1709"/>
      <c r="U116" s="1709"/>
      <c r="V116" s="1709"/>
      <c r="W116" s="1709"/>
      <c r="X116" s="1709"/>
      <c r="Y116" s="1709"/>
      <c r="Z116" s="1709"/>
      <c r="AA116" s="1709"/>
    </row>
    <row r="117" spans="5:27" s="1704" customFormat="1">
      <c r="E117" s="1709"/>
      <c r="F117" s="1709"/>
      <c r="I117" s="1709"/>
      <c r="J117" s="1709"/>
      <c r="K117" s="1709"/>
      <c r="L117" s="1709"/>
      <c r="M117" s="1709"/>
      <c r="N117" s="1709"/>
      <c r="O117" s="1709"/>
      <c r="P117" s="1709"/>
      <c r="Q117" s="1709"/>
      <c r="R117" s="3371"/>
      <c r="Y117" s="3372"/>
      <c r="Z117" s="3372"/>
      <c r="AA117" s="3372"/>
    </row>
    <row r="118" spans="5:27" s="1704" customFormat="1">
      <c r="E118" s="1709"/>
      <c r="F118" s="1709"/>
      <c r="I118" s="1709"/>
      <c r="J118" s="1709"/>
      <c r="K118" s="1709"/>
      <c r="L118" s="1709"/>
      <c r="M118" s="1709"/>
      <c r="N118" s="1709"/>
      <c r="O118" s="1709"/>
      <c r="P118" s="1709"/>
      <c r="Q118" s="1709"/>
      <c r="R118" s="1709"/>
      <c r="S118" s="1709"/>
      <c r="T118" s="1709"/>
      <c r="U118" s="1709"/>
      <c r="V118" s="1709"/>
      <c r="W118" s="1709"/>
      <c r="X118" s="1709"/>
      <c r="Y118" s="1709"/>
      <c r="Z118" s="1709"/>
    </row>
    <row r="119" spans="5:27" s="1704" customFormat="1">
      <c r="E119" s="1709"/>
      <c r="F119" s="1709"/>
      <c r="I119" s="1709"/>
      <c r="J119" s="1709"/>
      <c r="K119" s="1709"/>
      <c r="L119" s="1709"/>
      <c r="M119" s="1709"/>
      <c r="N119" s="1709"/>
      <c r="O119" s="1709"/>
      <c r="P119" s="1709"/>
      <c r="Q119" s="1709"/>
      <c r="R119" s="1709"/>
      <c r="S119" s="1709"/>
      <c r="T119" s="1709"/>
      <c r="U119" s="1709"/>
      <c r="V119" s="1709"/>
      <c r="W119" s="1709"/>
      <c r="X119" s="1709"/>
      <c r="Y119" s="1709"/>
      <c r="Z119" s="1709"/>
    </row>
    <row r="120" spans="5:27" s="1704" customFormat="1">
      <c r="E120" s="1709"/>
      <c r="F120" s="1709"/>
      <c r="I120" s="1709"/>
      <c r="J120" s="1709"/>
      <c r="K120" s="1709"/>
      <c r="L120" s="1709"/>
      <c r="M120" s="1709"/>
      <c r="N120" s="1709"/>
      <c r="O120" s="1709"/>
      <c r="P120" s="1709"/>
      <c r="Q120" s="1709"/>
      <c r="R120" s="1709"/>
      <c r="S120" s="1709"/>
      <c r="T120" s="1709"/>
      <c r="U120" s="1709"/>
      <c r="V120" s="1709"/>
      <c r="W120" s="1709"/>
      <c r="X120" s="1709"/>
      <c r="Y120" s="1709"/>
      <c r="Z120" s="1709"/>
    </row>
    <row r="121" spans="5:27" s="1704" customFormat="1">
      <c r="E121" s="1709"/>
      <c r="F121" s="1709"/>
      <c r="I121" s="1709"/>
      <c r="J121" s="1709"/>
      <c r="K121" s="1709"/>
      <c r="L121" s="1709"/>
      <c r="M121" s="1709"/>
      <c r="N121" s="1709"/>
      <c r="O121" s="1709"/>
      <c r="P121" s="1709"/>
      <c r="Q121" s="1709"/>
      <c r="R121" s="1709"/>
      <c r="S121" s="1709"/>
      <c r="T121" s="1709"/>
      <c r="U121" s="1709"/>
      <c r="V121" s="1709"/>
      <c r="W121" s="1709"/>
      <c r="X121" s="1709"/>
      <c r="Y121" s="1709"/>
      <c r="Z121" s="1709"/>
    </row>
    <row r="122" spans="5:27" s="1704" customFormat="1">
      <c r="E122" s="1709"/>
      <c r="F122" s="1709"/>
      <c r="I122" s="1709"/>
      <c r="J122" s="1709"/>
      <c r="K122" s="1709"/>
      <c r="L122" s="1709"/>
      <c r="M122" s="1709"/>
      <c r="N122" s="1709"/>
      <c r="O122" s="1709"/>
      <c r="P122" s="1709"/>
      <c r="Q122" s="1709"/>
      <c r="R122" s="1709"/>
      <c r="S122" s="1709"/>
      <c r="T122" s="1709"/>
      <c r="U122" s="1709"/>
      <c r="V122" s="1709"/>
      <c r="W122" s="1709"/>
      <c r="X122" s="1709"/>
      <c r="Y122" s="1709"/>
      <c r="Z122" s="1709"/>
    </row>
    <row r="123" spans="5:27" s="1704" customFormat="1">
      <c r="E123" s="1709"/>
      <c r="F123" s="1709"/>
      <c r="I123" s="1709"/>
      <c r="J123" s="1709"/>
      <c r="K123" s="1709"/>
      <c r="L123" s="1709"/>
      <c r="M123" s="1709"/>
      <c r="N123" s="1709"/>
      <c r="O123" s="1709"/>
      <c r="P123" s="1709"/>
      <c r="Q123" s="1709"/>
      <c r="R123" s="1709"/>
      <c r="S123" s="1709"/>
      <c r="T123" s="1709"/>
      <c r="U123" s="1709"/>
      <c r="V123" s="1709"/>
      <c r="W123" s="1709"/>
      <c r="X123" s="1709"/>
      <c r="Y123" s="1709"/>
      <c r="Z123" s="1709"/>
    </row>
    <row r="124" spans="5:27" s="1704" customFormat="1">
      <c r="E124" s="1709"/>
      <c r="F124" s="1709"/>
      <c r="I124" s="1709"/>
      <c r="J124" s="1709"/>
      <c r="K124" s="1709"/>
      <c r="L124" s="1709"/>
      <c r="M124" s="1709"/>
      <c r="N124" s="1709"/>
      <c r="O124" s="1709"/>
      <c r="P124" s="1709"/>
      <c r="Q124" s="1709"/>
      <c r="R124" s="1709"/>
      <c r="S124" s="1709"/>
      <c r="T124" s="1709"/>
      <c r="U124" s="1709"/>
      <c r="V124" s="1709"/>
      <c r="W124" s="1709"/>
      <c r="X124" s="1709"/>
      <c r="Y124" s="1709"/>
      <c r="Z124" s="1709"/>
    </row>
    <row r="125" spans="5:27" s="1704" customFormat="1">
      <c r="E125" s="1709"/>
      <c r="F125" s="1709"/>
      <c r="I125" s="1709"/>
      <c r="J125" s="1709"/>
      <c r="K125" s="1709"/>
      <c r="L125" s="1709"/>
      <c r="M125" s="1709"/>
      <c r="N125" s="1709"/>
      <c r="O125" s="1709"/>
      <c r="P125" s="1709"/>
      <c r="Q125" s="1709"/>
      <c r="R125" s="1709"/>
      <c r="S125" s="1709"/>
      <c r="T125" s="1709"/>
      <c r="U125" s="1709"/>
      <c r="V125" s="1709"/>
      <c r="W125" s="1709"/>
      <c r="X125" s="1709"/>
      <c r="Y125" s="1709"/>
      <c r="Z125" s="1709"/>
    </row>
    <row r="126" spans="5:27" s="1704" customFormat="1">
      <c r="E126" s="1709"/>
      <c r="F126" s="1709"/>
      <c r="I126" s="1709"/>
      <c r="J126" s="1709"/>
      <c r="K126" s="1709"/>
      <c r="L126" s="1709"/>
      <c r="M126" s="1709"/>
      <c r="N126" s="1709"/>
      <c r="O126" s="1709"/>
      <c r="P126" s="1709"/>
      <c r="Q126" s="1709"/>
      <c r="R126" s="1709"/>
      <c r="S126" s="1709"/>
      <c r="T126" s="1709"/>
      <c r="U126" s="1709"/>
      <c r="V126" s="1709"/>
      <c r="W126" s="1709"/>
      <c r="X126" s="1709"/>
      <c r="Y126" s="1709"/>
      <c r="Z126" s="1709"/>
    </row>
    <row r="127" spans="5:27" s="1704" customFormat="1">
      <c r="E127" s="1709"/>
      <c r="F127" s="1709"/>
      <c r="I127" s="1709"/>
      <c r="J127" s="1709"/>
      <c r="K127" s="1709"/>
      <c r="L127" s="1709"/>
      <c r="M127" s="1709"/>
      <c r="N127" s="1709"/>
      <c r="O127" s="1709"/>
      <c r="P127" s="1709"/>
      <c r="Q127" s="1709"/>
      <c r="R127" s="1709"/>
      <c r="S127" s="1709"/>
      <c r="T127" s="1709"/>
      <c r="U127" s="1709"/>
      <c r="V127" s="1709"/>
      <c r="W127" s="1709"/>
      <c r="X127" s="1709"/>
      <c r="Y127" s="1709"/>
      <c r="Z127" s="1709"/>
    </row>
    <row r="128" spans="5:27" s="1704" customFormat="1">
      <c r="E128" s="1709"/>
      <c r="F128" s="1709"/>
      <c r="I128" s="1709"/>
      <c r="J128" s="1709"/>
      <c r="K128" s="1709"/>
      <c r="L128" s="1709"/>
      <c r="M128" s="1709"/>
      <c r="N128" s="1709"/>
      <c r="O128" s="1709"/>
      <c r="P128" s="1709"/>
      <c r="Q128" s="1709"/>
      <c r="R128" s="1709"/>
      <c r="S128" s="1709"/>
      <c r="T128" s="1709"/>
      <c r="U128" s="1709"/>
      <c r="V128" s="1709"/>
      <c r="W128" s="1709"/>
      <c r="X128" s="1709"/>
      <c r="Y128" s="1709"/>
      <c r="Z128" s="1709"/>
    </row>
    <row r="129" spans="2:26" s="1704" customFormat="1">
      <c r="E129" s="1709"/>
      <c r="F129" s="1709"/>
      <c r="I129" s="1709"/>
      <c r="J129" s="1709"/>
      <c r="K129" s="1709"/>
      <c r="L129" s="1709"/>
      <c r="M129" s="1709"/>
      <c r="N129" s="1709"/>
      <c r="O129" s="1709"/>
      <c r="P129" s="1709"/>
      <c r="Q129" s="1709"/>
      <c r="R129" s="1709"/>
      <c r="S129" s="1709"/>
      <c r="T129" s="1709"/>
      <c r="U129" s="1709"/>
      <c r="V129" s="1709"/>
      <c r="W129" s="1709"/>
      <c r="X129" s="1709"/>
      <c r="Y129" s="1709"/>
      <c r="Z129" s="1709"/>
    </row>
    <row r="130" spans="2:26" s="1704" customFormat="1">
      <c r="E130" s="1709"/>
      <c r="F130" s="1709"/>
      <c r="I130" s="1709"/>
      <c r="J130" s="1709"/>
      <c r="K130" s="1709"/>
      <c r="L130" s="1709"/>
      <c r="M130" s="1709"/>
      <c r="N130" s="1709"/>
      <c r="O130" s="1709"/>
      <c r="P130" s="1709"/>
      <c r="Q130" s="1709"/>
      <c r="R130" s="1709"/>
      <c r="S130" s="1709"/>
      <c r="T130" s="1709"/>
      <c r="U130" s="1709"/>
      <c r="V130" s="1709"/>
      <c r="W130" s="1709"/>
      <c r="X130" s="1709"/>
      <c r="Y130" s="1709"/>
      <c r="Z130" s="1709"/>
    </row>
    <row r="131" spans="2:26" s="1704" customFormat="1">
      <c r="E131" s="1709"/>
      <c r="F131" s="1709"/>
      <c r="I131" s="1709"/>
      <c r="J131" s="1709"/>
      <c r="K131" s="1709"/>
      <c r="L131" s="1709"/>
      <c r="M131" s="1709"/>
      <c r="N131" s="1709"/>
      <c r="O131" s="1709"/>
      <c r="P131" s="1709"/>
      <c r="Q131" s="1709"/>
      <c r="R131" s="1709"/>
      <c r="S131" s="1709"/>
      <c r="T131" s="1709"/>
      <c r="U131" s="1709"/>
      <c r="V131" s="1709"/>
      <c r="W131" s="1709"/>
      <c r="X131" s="1709"/>
      <c r="Y131" s="1709"/>
      <c r="Z131" s="1709"/>
    </row>
    <row r="132" spans="2:26" s="1704" customFormat="1">
      <c r="E132" s="1709"/>
      <c r="F132" s="1709"/>
      <c r="I132" s="1709"/>
      <c r="J132" s="1709"/>
      <c r="K132" s="1709"/>
      <c r="L132" s="1709"/>
      <c r="M132" s="1709"/>
      <c r="N132" s="1709"/>
      <c r="O132" s="1709"/>
      <c r="P132" s="1709"/>
      <c r="Q132" s="1709"/>
      <c r="R132" s="1709"/>
      <c r="S132" s="1709"/>
      <c r="T132" s="1709"/>
      <c r="U132" s="1709"/>
      <c r="V132" s="1709"/>
      <c r="W132" s="1709"/>
      <c r="X132" s="1709"/>
      <c r="Y132" s="1709"/>
      <c r="Z132" s="1709"/>
    </row>
    <row r="133" spans="2:26" s="1704" customFormat="1">
      <c r="E133" s="1709"/>
      <c r="F133" s="1709"/>
      <c r="I133" s="1709"/>
      <c r="J133" s="1709"/>
      <c r="K133" s="1709"/>
      <c r="L133" s="1709"/>
      <c r="M133" s="1709"/>
      <c r="N133" s="1709"/>
      <c r="O133" s="1709"/>
      <c r="P133" s="1709"/>
      <c r="Q133" s="1709"/>
      <c r="R133" s="1709"/>
      <c r="S133" s="1709"/>
      <c r="T133" s="1709"/>
      <c r="U133" s="1709"/>
      <c r="V133" s="1709"/>
      <c r="W133" s="1709"/>
      <c r="X133" s="1709"/>
      <c r="Y133" s="1709"/>
      <c r="Z133" s="1709"/>
    </row>
    <row r="134" spans="2:26" s="1704" customFormat="1">
      <c r="E134" s="1709"/>
      <c r="F134" s="1709"/>
      <c r="I134" s="1709"/>
      <c r="J134" s="1709"/>
      <c r="K134" s="1709"/>
      <c r="L134" s="1709"/>
      <c r="M134" s="1709"/>
      <c r="N134" s="1709"/>
      <c r="O134" s="1709"/>
      <c r="P134" s="1709"/>
      <c r="Q134" s="1709"/>
      <c r="R134" s="1709"/>
      <c r="S134" s="1709"/>
      <c r="T134" s="1709"/>
      <c r="U134" s="1709"/>
      <c r="V134" s="1709"/>
      <c r="W134" s="1709"/>
      <c r="X134" s="1709"/>
      <c r="Y134" s="1709"/>
      <c r="Z134" s="1709"/>
    </row>
    <row r="135" spans="2:26" s="1704" customFormat="1">
      <c r="E135" s="1709"/>
      <c r="F135" s="1709"/>
      <c r="I135" s="1709"/>
      <c r="J135" s="1709"/>
      <c r="K135" s="1709"/>
      <c r="L135" s="1709"/>
      <c r="M135" s="1709"/>
      <c r="N135" s="1709"/>
      <c r="O135" s="1709"/>
      <c r="P135" s="1709"/>
      <c r="Q135" s="1709"/>
      <c r="R135" s="1709"/>
      <c r="S135" s="1709"/>
      <c r="T135" s="1709"/>
      <c r="U135" s="1709"/>
      <c r="V135" s="1709"/>
      <c r="W135" s="1709"/>
      <c r="X135" s="1709"/>
      <c r="Y135" s="1709"/>
      <c r="Z135" s="1709"/>
    </row>
    <row r="136" spans="2:26" s="1704" customFormat="1">
      <c r="E136" s="1709"/>
      <c r="F136" s="1709"/>
      <c r="I136" s="1709"/>
      <c r="J136" s="1709"/>
      <c r="K136" s="1709"/>
      <c r="L136" s="1709"/>
      <c r="M136" s="1709"/>
      <c r="N136" s="1709"/>
      <c r="O136" s="1709"/>
      <c r="P136" s="1709"/>
      <c r="Q136" s="1709"/>
      <c r="R136" s="1709"/>
      <c r="S136" s="1709"/>
      <c r="T136" s="1709"/>
      <c r="U136" s="1709"/>
      <c r="V136" s="1709"/>
      <c r="W136" s="1709"/>
      <c r="X136" s="1709"/>
      <c r="Y136" s="1709"/>
      <c r="Z136" s="1709"/>
    </row>
    <row r="137" spans="2:26" s="1704" customFormat="1" ht="15.75">
      <c r="C137" s="2520" t="str">
        <f>B7</f>
        <v>5.1. Forest degradation and management</v>
      </c>
      <c r="D137" s="2520"/>
      <c r="E137" s="2521"/>
      <c r="F137" s="2521"/>
      <c r="G137" s="2521"/>
      <c r="H137" s="2521"/>
      <c r="I137" s="2521"/>
      <c r="J137" s="2521"/>
      <c r="K137" s="2521"/>
      <c r="L137" s="2521"/>
      <c r="M137" s="2521"/>
      <c r="N137" s="2521"/>
      <c r="O137" s="2521"/>
      <c r="P137" s="2521"/>
      <c r="Q137" s="2521"/>
      <c r="R137" s="2521"/>
      <c r="S137" s="2521"/>
      <c r="T137" s="2521"/>
      <c r="U137" s="2521"/>
      <c r="V137" s="1709"/>
      <c r="W137" s="1709"/>
      <c r="X137" s="1709"/>
      <c r="Y137" s="1709"/>
      <c r="Z137" s="1709"/>
    </row>
    <row r="138" spans="2:26" s="1704" customFormat="1">
      <c r="B138" s="1802"/>
      <c r="C138" s="2203"/>
      <c r="D138" s="2659" t="str">
        <f>HLOOKUP(select,translations!$A$20:$H$70,3,)</f>
        <v>AEZ map</v>
      </c>
      <c r="E138" s="1981" t="str">
        <f>CONCATENATE("        1.",forest1," - ","2.",forest2," - ","3.",forest3," - ","4.",forest4,)</f>
        <v xml:space="preserve">        1.Please specify the climate - 2.Please specify the climate - 3.Please specify the climate - 4.Please specify the climate</v>
      </c>
      <c r="F138" s="1981" t="str">
        <f>F8</f>
        <v>Zone 1 = Please specify the climate</v>
      </c>
      <c r="G138" s="1981"/>
      <c r="H138" s="1981"/>
      <c r="I138" s="1981"/>
      <c r="J138" s="1981"/>
      <c r="K138" s="1981"/>
      <c r="L138" s="1981"/>
      <c r="M138" s="1981" t="str">
        <f>L8</f>
        <v>Zone 2 = Please specify the climate</v>
      </c>
      <c r="N138" s="1981"/>
      <c r="O138" s="1981"/>
      <c r="P138" s="1981"/>
      <c r="Q138" s="1981"/>
      <c r="R138" s="1982"/>
      <c r="S138" s="1982"/>
      <c r="T138" s="2137"/>
      <c r="U138" s="2137"/>
    </row>
    <row r="139" spans="2:26" s="1704" customFormat="1">
      <c r="B139" s="1802"/>
      <c r="C139" s="2136"/>
      <c r="D139" s="2137"/>
      <c r="E139" s="1981"/>
      <c r="F139" s="1981"/>
      <c r="G139" s="1981"/>
      <c r="H139" s="1981" t="str">
        <f>R8</f>
        <v>Zone 3 = Please specify the climate</v>
      </c>
      <c r="I139" s="1981"/>
      <c r="J139" s="1981"/>
      <c r="K139" s="1981"/>
      <c r="L139" s="1981"/>
      <c r="M139" s="1981"/>
      <c r="N139" s="1981"/>
      <c r="O139" s="1981" t="str">
        <f>W8</f>
        <v>Zone 4 = Please specify the climate</v>
      </c>
      <c r="P139" s="1981"/>
      <c r="Q139" s="1981"/>
      <c r="R139" s="1982"/>
      <c r="S139" s="1982"/>
      <c r="T139" s="2137"/>
      <c r="U139" s="2137"/>
    </row>
    <row r="140" spans="2:26" s="1704" customFormat="1">
      <c r="M140" s="1709"/>
      <c r="Q140" s="1709"/>
      <c r="R140" s="1709"/>
      <c r="S140" s="1709"/>
    </row>
    <row r="141" spans="2:26" s="1704" customFormat="1">
      <c r="C141" s="1755"/>
      <c r="D141" s="1755"/>
      <c r="E141" s="1756"/>
      <c r="F141" s="1755"/>
      <c r="G141" s="1755"/>
      <c r="H141" s="1755"/>
      <c r="I141" s="1755"/>
      <c r="J141" s="1755"/>
      <c r="K141" s="1755"/>
      <c r="L141" s="1755"/>
      <c r="M141" s="1755"/>
      <c r="N141" s="1730" t="str">
        <f>HLOOKUP(select,translations!$A$209:$H$250,25,)</f>
        <v>Degradation level (% of biomass lost)</v>
      </c>
      <c r="O141" s="1726"/>
      <c r="P141" s="1745"/>
      <c r="Q141" s="1745"/>
      <c r="R141" s="1726"/>
      <c r="S141" s="1726"/>
      <c r="T141" s="1755"/>
      <c r="U141" s="1755"/>
      <c r="Z141" s="1709"/>
    </row>
    <row r="142" spans="2:26" s="1704" customFormat="1">
      <c r="C142" s="1755"/>
      <c r="D142" s="1755"/>
      <c r="E142" s="1755"/>
      <c r="F142" s="1755"/>
      <c r="G142" s="1755"/>
      <c r="H142" s="1755"/>
      <c r="I142" s="1755"/>
      <c r="J142" s="1755"/>
      <c r="K142" s="1755"/>
      <c r="L142" s="1755"/>
      <c r="M142" s="1755"/>
      <c r="N142" s="2314" t="str">
        <f>HLOOKUP(select,'Name translation'!$A$1:$H$267,128,)</f>
        <v>Select level</v>
      </c>
      <c r="O142" s="1726"/>
      <c r="P142" s="1726"/>
      <c r="Q142" s="2248" t="str">
        <f>F152</f>
        <v>Default</v>
      </c>
      <c r="R142" s="2317" t="str">
        <f>H152</f>
        <v>Tier 2</v>
      </c>
      <c r="S142" s="1755"/>
      <c r="T142" s="1755"/>
      <c r="U142" s="1755"/>
      <c r="Z142" s="1709"/>
    </row>
    <row r="143" spans="2:26" s="1704" customFormat="1">
      <c r="C143" s="1755"/>
      <c r="D143" s="1755"/>
      <c r="E143" s="1755"/>
      <c r="F143" s="1755"/>
      <c r="G143" s="1755"/>
      <c r="H143" s="1755"/>
      <c r="I143" s="1755"/>
      <c r="J143" s="1755"/>
      <c r="K143" s="1755"/>
      <c r="L143" s="1755"/>
      <c r="M143" s="1755"/>
      <c r="N143" s="2314" t="str">
        <f>HLOOKUP(select,'Name translation'!$A$1:$H$267,129,)</f>
        <v>None</v>
      </c>
      <c r="O143" s="1745"/>
      <c r="P143" s="1745"/>
      <c r="Q143" s="2315">
        <v>0</v>
      </c>
      <c r="R143" s="2316"/>
      <c r="S143" s="1755"/>
      <c r="T143" s="1755"/>
      <c r="U143" s="1755"/>
      <c r="Z143" s="1709"/>
    </row>
    <row r="144" spans="2:26" s="1704" customFormat="1">
      <c r="C144" s="3879" t="str">
        <f>'2.LUC'!$B$96</f>
        <v>Use this part only if you want to refine the analysis with Tier 2 coefficients.</v>
      </c>
      <c r="D144" s="3879"/>
      <c r="E144" s="3879"/>
      <c r="F144" s="3879"/>
      <c r="G144" s="3879"/>
      <c r="H144" s="3879"/>
      <c r="I144" s="3879"/>
      <c r="J144" s="3879"/>
      <c r="K144" s="3879"/>
      <c r="L144" s="3879"/>
      <c r="M144" s="1755"/>
      <c r="N144" s="2314" t="str">
        <f>HLOOKUP(select,'Name translation'!$A$1:$H$267,130,)</f>
        <v>Very low</v>
      </c>
      <c r="O144" s="1726"/>
      <c r="P144" s="1745"/>
      <c r="Q144" s="2315">
        <v>10</v>
      </c>
      <c r="R144" s="2316"/>
      <c r="S144" s="1755"/>
      <c r="T144" s="1755"/>
      <c r="U144" s="1755"/>
    </row>
    <row r="145" spans="3:26" s="1704" customFormat="1" ht="13.15" customHeight="1">
      <c r="C145" s="3879"/>
      <c r="D145" s="3879"/>
      <c r="E145" s="3879"/>
      <c r="F145" s="3879"/>
      <c r="G145" s="3879"/>
      <c r="H145" s="3879"/>
      <c r="I145" s="3879"/>
      <c r="J145" s="3879"/>
      <c r="K145" s="3879"/>
      <c r="L145" s="3879"/>
      <c r="M145" s="1755"/>
      <c r="N145" s="2314" t="str">
        <f>HLOOKUP(select,'Name translation'!$A$1:$H$267,131,)</f>
        <v>Low</v>
      </c>
      <c r="O145" s="1726"/>
      <c r="P145" s="1745"/>
      <c r="Q145" s="2315">
        <v>20</v>
      </c>
      <c r="R145" s="2316"/>
      <c r="S145" s="1755"/>
      <c r="T145" s="1755"/>
      <c r="U145" s="1755"/>
    </row>
    <row r="146" spans="3:26" s="1704" customFormat="1">
      <c r="C146" s="3877" t="str">
        <f>'2.LUC'!$B$97</f>
        <v>(default values are provided for your information only, while EX-ACT will use Tier 2 values automatically wherever specified)</v>
      </c>
      <c r="D146" s="3877"/>
      <c r="E146" s="3877"/>
      <c r="F146" s="3877"/>
      <c r="G146" s="3877"/>
      <c r="H146" s="3877"/>
      <c r="I146" s="3877"/>
      <c r="J146" s="3877"/>
      <c r="K146" s="3877"/>
      <c r="L146" s="3877"/>
      <c r="M146" s="1755"/>
      <c r="N146" s="2314" t="str">
        <f>HLOOKUP(select,'Name translation'!$A$1:$H$267,132,)</f>
        <v>Moderate</v>
      </c>
      <c r="O146" s="1726"/>
      <c r="P146" s="1745"/>
      <c r="Q146" s="2315">
        <v>40</v>
      </c>
      <c r="R146" s="2316"/>
      <c r="S146" s="1755"/>
      <c r="T146" s="1755"/>
      <c r="U146" s="1755"/>
    </row>
    <row r="147" spans="3:26" s="1704" customFormat="1">
      <c r="C147" s="3877"/>
      <c r="D147" s="3877"/>
      <c r="E147" s="3877"/>
      <c r="F147" s="3877"/>
      <c r="G147" s="3877"/>
      <c r="H147" s="3877"/>
      <c r="I147" s="3877"/>
      <c r="J147" s="3877"/>
      <c r="K147" s="3877"/>
      <c r="L147" s="3877"/>
      <c r="M147" s="1755"/>
      <c r="N147" s="2314" t="str">
        <f>HLOOKUP(select,'Name translation'!$A$1:$H$267,133,)</f>
        <v>Large</v>
      </c>
      <c r="O147" s="1726"/>
      <c r="P147" s="1745"/>
      <c r="Q147" s="2315">
        <v>60</v>
      </c>
      <c r="R147" s="2316"/>
      <c r="S147" s="1755"/>
      <c r="T147" s="1755"/>
      <c r="U147" s="1755"/>
      <c r="Z147" s="1709"/>
    </row>
    <row r="148" spans="3:26" s="1704" customFormat="1">
      <c r="C148" s="3877"/>
      <c r="D148" s="3877"/>
      <c r="E148" s="3877"/>
      <c r="F148" s="3877"/>
      <c r="G148" s="3877"/>
      <c r="H148" s="3877"/>
      <c r="I148" s="3877"/>
      <c r="J148" s="3877"/>
      <c r="K148" s="3877"/>
      <c r="L148" s="3877"/>
      <c r="M148" s="1755"/>
      <c r="N148" s="2314" t="str">
        <f>HLOOKUP(select,'Name translation'!$A$1:$H$267,134,)</f>
        <v>Extrem</v>
      </c>
      <c r="O148" s="1726"/>
      <c r="P148" s="1745"/>
      <c r="Q148" s="2315">
        <v>80</v>
      </c>
      <c r="R148" s="2316"/>
      <c r="S148" s="1755"/>
      <c r="T148" s="1755"/>
      <c r="U148" s="1755"/>
      <c r="Z148" s="1709"/>
    </row>
    <row r="149" spans="3:26" s="1704" customFormat="1">
      <c r="Z149" s="1709"/>
    </row>
    <row r="150" spans="3:26" s="1704" customFormat="1">
      <c r="C150" s="1804" t="str">
        <f>B10</f>
        <v>Type of vegetation</v>
      </c>
      <c r="D150" s="2150"/>
      <c r="E150" s="1730"/>
      <c r="F150" s="1730"/>
      <c r="G150" s="1730"/>
      <c r="H150" s="1730"/>
      <c r="I150" s="1730"/>
      <c r="J150" s="1730"/>
      <c r="K150" s="1730"/>
      <c r="L150" s="3157" t="str">
        <f>'2.LUC'!J99</f>
        <v>All values are in t of carbon per ha (tC/ha)</v>
      </c>
      <c r="M150" s="1730"/>
      <c r="N150" s="1730"/>
      <c r="O150" s="1730"/>
      <c r="P150" s="1730"/>
      <c r="Q150" s="1730"/>
      <c r="R150" s="1730"/>
      <c r="S150" s="1726"/>
      <c r="T150" s="2246"/>
      <c r="U150" s="2246"/>
      <c r="V150" s="1709"/>
      <c r="W150" s="1709"/>
      <c r="X150" s="1709"/>
      <c r="Y150" s="1709"/>
      <c r="Z150" s="1709"/>
    </row>
    <row r="151" spans="3:26" s="1704" customFormat="1">
      <c r="C151" s="1804" t="str">
        <f>B11</f>
        <v>that will be degraded</v>
      </c>
      <c r="D151" s="2150"/>
      <c r="E151" s="1730"/>
      <c r="F151" s="3716" t="str">
        <f>'2.LUC'!E100</f>
        <v>Above-ground</v>
      </c>
      <c r="G151" s="3716"/>
      <c r="H151" s="3716"/>
      <c r="I151" s="1730"/>
      <c r="J151" s="2247"/>
      <c r="K151" s="2247" t="str">
        <f>'2.LUC'!G100</f>
        <v>Below-ground</v>
      </c>
      <c r="L151" s="2247"/>
      <c r="M151" s="1730"/>
      <c r="N151" s="3716" t="str">
        <f>'2.LUC'!I100</f>
        <v>Litter</v>
      </c>
      <c r="O151" s="3716"/>
      <c r="P151" s="3716"/>
      <c r="Q151" s="3716" t="str">
        <f>'2.LUC'!K100</f>
        <v>Dead wood</v>
      </c>
      <c r="R151" s="3716"/>
      <c r="S151" s="1745"/>
      <c r="T151" s="3716" t="str">
        <f>'2.LUC'!O100</f>
        <v>Soil carbon</v>
      </c>
      <c r="U151" s="3716"/>
      <c r="V151" s="1709"/>
      <c r="W151" s="1709"/>
      <c r="X151" s="1709"/>
      <c r="Y151" s="1709"/>
      <c r="Z151" s="1709"/>
    </row>
    <row r="152" spans="3:26" s="1704" customFormat="1">
      <c r="C152" s="1730"/>
      <c r="D152" s="2150"/>
      <c r="E152" s="1730"/>
      <c r="F152" s="2244" t="str">
        <f>'2.LUC'!E101</f>
        <v>Default</v>
      </c>
      <c r="G152" s="2247"/>
      <c r="H152" s="2244" t="str">
        <f>'2.LUC'!F101</f>
        <v>Tier 2</v>
      </c>
      <c r="I152" s="1730"/>
      <c r="J152" s="2244" t="str">
        <f>F152</f>
        <v>Default</v>
      </c>
      <c r="K152" s="1726"/>
      <c r="L152" s="2244" t="str">
        <f>H152</f>
        <v>Tier 2</v>
      </c>
      <c r="M152" s="1730"/>
      <c r="N152" s="2244" t="str">
        <f>J152</f>
        <v>Default</v>
      </c>
      <c r="O152" s="2246"/>
      <c r="P152" s="2244" t="str">
        <f>L152</f>
        <v>Tier 2</v>
      </c>
      <c r="Q152" s="2244" t="str">
        <f>J152</f>
        <v>Default</v>
      </c>
      <c r="R152" s="2244" t="str">
        <f>L152</f>
        <v>Tier 2</v>
      </c>
      <c r="S152" s="1745"/>
      <c r="T152" s="2244" t="str">
        <f>J152</f>
        <v>Default</v>
      </c>
      <c r="U152" s="2244" t="str">
        <f>L152</f>
        <v>Tier 2</v>
      </c>
      <c r="V152" s="1709"/>
      <c r="W152" s="1709"/>
      <c r="X152" s="1709"/>
      <c r="Y152" s="1709"/>
      <c r="Z152" s="1709"/>
    </row>
    <row r="153" spans="3:26" s="1704" customFormat="1">
      <c r="C153" s="2514" t="str">
        <f>IF(forest1&lt;&gt;"","Forest - Zone 1","")</f>
        <v>Forest - Zone 1</v>
      </c>
      <c r="D153" s="2515"/>
      <c r="E153" s="2514"/>
      <c r="F153" s="2516">
        <f>VLOOKUP(region,' IPCC'!$A$14:$G$26,1+MATCH(forest1,' IPCC'!$B$14:$G$14,),)*0.47</f>
        <v>0</v>
      </c>
      <c r="G153" s="2556"/>
      <c r="H153" s="2245"/>
      <c r="I153" s="2518"/>
      <c r="J153" s="2516">
        <f>'Forest Degradation'!L10*0.47</f>
        <v>0</v>
      </c>
      <c r="K153" s="2514"/>
      <c r="L153" s="2245"/>
      <c r="M153" s="2518"/>
      <c r="N153" s="2557">
        <f>IF($F153&gt;0,VLOOKUP(clim_full,' IPCC'!$A$75:$C$85,2,),0)</f>
        <v>0</v>
      </c>
      <c r="O153" s="2550"/>
      <c r="P153" s="2245"/>
      <c r="Q153" s="2516">
        <f>IF($F153&gt;0,VLOOKUP(clim_full,' IPCC'!$A$75:$C$85,3,),0)</f>
        <v>0</v>
      </c>
      <c r="R153" s="2245"/>
      <c r="S153" s="1745"/>
      <c r="T153" s="2516">
        <f>IF($F153&gt;0,VLOOKUP(clim_full,' IPCC'!$A$569:$I$581,1+MATCH(soil,soil_type,),),0)</f>
        <v>0</v>
      </c>
      <c r="U153" s="2245"/>
      <c r="V153" s="1709"/>
      <c r="W153" s="1709"/>
      <c r="X153" s="1709"/>
      <c r="Y153" s="1709"/>
      <c r="Z153" s="1709"/>
    </row>
    <row r="154" spans="3:26" s="1704" customFormat="1">
      <c r="C154" s="2514" t="str">
        <f>IF(forest2&lt;&gt;"","Forest - Zone 2","")</f>
        <v>Forest - Zone 2</v>
      </c>
      <c r="D154" s="2515"/>
      <c r="E154" s="2514"/>
      <c r="F154" s="2516">
        <f>VLOOKUP(region,' IPCC'!$A$30:$G$41,1+MATCH(forest2,' IPCC'!$B$29:$G$29,),)*0.47</f>
        <v>0</v>
      </c>
      <c r="G154" s="2556"/>
      <c r="H154" s="2245"/>
      <c r="I154" s="2518"/>
      <c r="J154" s="2516">
        <f>'Forest Degradation'!L11*0.47</f>
        <v>0</v>
      </c>
      <c r="K154" s="2514"/>
      <c r="L154" s="2245"/>
      <c r="M154" s="2518"/>
      <c r="N154" s="2557">
        <f>IF($F154&gt;0,VLOOKUP(clim_full,' IPCC'!$A$75:$C$85,2,),0)</f>
        <v>0</v>
      </c>
      <c r="O154" s="2550"/>
      <c r="P154" s="2245"/>
      <c r="Q154" s="2516">
        <f>IF($F154&gt;0,VLOOKUP(clim_full,' IPCC'!$A$75:$C$85,3,),0)</f>
        <v>0</v>
      </c>
      <c r="R154" s="2245"/>
      <c r="S154" s="1745"/>
      <c r="T154" s="2516">
        <f>IF($F154&gt;0,VLOOKUP(clim_full,' IPCC'!$A$569:$I$581,1+MATCH(soil,soil_type,),),0)</f>
        <v>0</v>
      </c>
      <c r="U154" s="2245"/>
      <c r="V154" s="1709"/>
      <c r="W154" s="1709"/>
      <c r="X154" s="1709"/>
      <c r="Y154" s="1709"/>
      <c r="Z154" s="1709"/>
    </row>
    <row r="155" spans="3:26" s="1704" customFormat="1">
      <c r="C155" s="2514" t="str">
        <f>IF(forest3&lt;&gt;"","Forest - Zone 3","")</f>
        <v>Forest - Zone 3</v>
      </c>
      <c r="D155" s="2515"/>
      <c r="E155" s="2514"/>
      <c r="F155" s="2516">
        <f>VLOOKUP(region,' IPCC'!$A$45:$H$56,1+MATCH(forest3,' IPCC'!$B$44:$H$44,),)*0.47</f>
        <v>0</v>
      </c>
      <c r="G155" s="2556"/>
      <c r="H155" s="2245"/>
      <c r="I155" s="2518"/>
      <c r="J155" s="2516">
        <f>'Forest Degradation'!L12*0.47</f>
        <v>0</v>
      </c>
      <c r="K155" s="2514"/>
      <c r="L155" s="2245"/>
      <c r="M155" s="2518"/>
      <c r="N155" s="2557">
        <f>IF($F155&gt;0,VLOOKUP(clim_full,' IPCC'!$A$75:$C$85,2,),0)</f>
        <v>0</v>
      </c>
      <c r="O155" s="2550"/>
      <c r="P155" s="2245"/>
      <c r="Q155" s="2516">
        <f>IF($F155&gt;0,VLOOKUP(clim_full,' IPCC'!$A$75:$C$85,3,),0)</f>
        <v>0</v>
      </c>
      <c r="R155" s="2245"/>
      <c r="S155" s="1745"/>
      <c r="T155" s="2516">
        <f>IF($F155&gt;0,VLOOKUP(clim_full,' IPCC'!$A$569:$I$581,1+MATCH(soil,soil_type,),),0)</f>
        <v>0</v>
      </c>
      <c r="U155" s="2245"/>
      <c r="V155" s="1709"/>
      <c r="W155" s="1709"/>
      <c r="X155" s="1709"/>
      <c r="Y155" s="1709"/>
      <c r="Z155" s="1709"/>
    </row>
    <row r="156" spans="3:26" s="1704" customFormat="1">
      <c r="C156" s="2514" t="str">
        <f>IF(forest4&lt;&gt;"","Forest - Zone 4","")</f>
        <v>Forest - Zone 4</v>
      </c>
      <c r="D156" s="2515"/>
      <c r="E156" s="2514"/>
      <c r="F156" s="2516">
        <f>VLOOKUP(region,' IPCC'!$A$60:$H$71,1+MATCH(forest4,' IPCC'!$B$59:$H$59,),)*0.47</f>
        <v>0</v>
      </c>
      <c r="G156" s="2556"/>
      <c r="H156" s="2245"/>
      <c r="I156" s="2518"/>
      <c r="J156" s="2516">
        <f>'Forest Degradation'!L13*0.47</f>
        <v>0</v>
      </c>
      <c r="K156" s="2514"/>
      <c r="L156" s="2245"/>
      <c r="M156" s="2518"/>
      <c r="N156" s="2557">
        <f>IF($F156&gt;0,VLOOKUP(clim_full,' IPCC'!$A$75:$C$85,2,),0)</f>
        <v>0</v>
      </c>
      <c r="O156" s="2550"/>
      <c r="P156" s="2245"/>
      <c r="Q156" s="2516">
        <f>IF($F156&gt;0,VLOOKUP(clim_full,' IPCC'!$A$75:$C$85,3,),0)</f>
        <v>0</v>
      </c>
      <c r="R156" s="2245"/>
      <c r="S156" s="1745"/>
      <c r="T156" s="2516">
        <f>IF($F156&gt;0,VLOOKUP(clim_full,' IPCC'!$A$569:$I$581,1+MATCH(soil,soil_type,),),0)</f>
        <v>0</v>
      </c>
      <c r="U156" s="2245"/>
      <c r="V156" s="1709"/>
      <c r="W156" s="1709"/>
      <c r="X156" s="1709"/>
      <c r="Y156" s="1709"/>
      <c r="Z156" s="1709"/>
    </row>
    <row r="157" spans="3:26" s="1704" customFormat="1">
      <c r="C157" s="2514" t="str">
        <f>IF(plantation1&lt;&gt;"","Plantation - Zone 1","")</f>
        <v>Plantation - Zone 1</v>
      </c>
      <c r="D157" s="2515"/>
      <c r="E157" s="2514"/>
      <c r="F157" s="2516">
        <f>VLOOKUP(region,' IPCC'!$H$14:$N$26,1+MATCH(plantation1,' IPCC'!$I$14:$N$14,),)*0.47</f>
        <v>0</v>
      </c>
      <c r="G157" s="2556"/>
      <c r="H157" s="2245"/>
      <c r="I157" s="2518"/>
      <c r="J157" s="2516">
        <f>'Forest Degradation'!L14*0.47</f>
        <v>0</v>
      </c>
      <c r="K157" s="2514"/>
      <c r="L157" s="2245"/>
      <c r="M157" s="2518"/>
      <c r="N157" s="2557">
        <f>IF($F157&gt;0,VLOOKUP(clim_full,' IPCC'!$A$75:$C$85,2,),0)</f>
        <v>0</v>
      </c>
      <c r="O157" s="2550"/>
      <c r="P157" s="2245"/>
      <c r="Q157" s="2516">
        <f>IF($F157&gt;0,VLOOKUP(clim_full,' IPCC'!$A$75:$C$85,3,),0)</f>
        <v>0</v>
      </c>
      <c r="R157" s="2245"/>
      <c r="S157" s="1745"/>
      <c r="T157" s="2516">
        <f>IF($F157&gt;0,VLOOKUP(clim_full,' IPCC'!$A$569:$I$581,1+MATCH(soil,soil_type,),),0)</f>
        <v>0</v>
      </c>
      <c r="U157" s="2245"/>
      <c r="V157" s="1709"/>
      <c r="W157" s="1709"/>
      <c r="X157" s="1709"/>
      <c r="Y157" s="1709"/>
      <c r="Z157" s="1709"/>
    </row>
    <row r="158" spans="3:26" s="1704" customFormat="1">
      <c r="C158" s="2514" t="str">
        <f>IF(plantation2&lt;&gt;"","Plantation - Zone 2","")</f>
        <v>Plantation - Zone 2</v>
      </c>
      <c r="D158" s="2515"/>
      <c r="E158" s="2514"/>
      <c r="F158" s="2516">
        <f>VLOOKUP(region,' IPCC'!$H$30:$N$41,1+MATCH(plantation2,' IPCC'!$I$29:$N$29,),)*0.47</f>
        <v>0</v>
      </c>
      <c r="G158" s="2556"/>
      <c r="H158" s="2245"/>
      <c r="I158" s="2518"/>
      <c r="J158" s="2516">
        <f>'Forest Degradation'!L15*0.47</f>
        <v>0</v>
      </c>
      <c r="K158" s="2514"/>
      <c r="L158" s="2245"/>
      <c r="M158" s="2518"/>
      <c r="N158" s="2557">
        <f>IF($F158&gt;0,VLOOKUP(clim_full,' IPCC'!$A$75:$C$85,2,),0)</f>
        <v>0</v>
      </c>
      <c r="O158" s="2550"/>
      <c r="P158" s="2245"/>
      <c r="Q158" s="2516">
        <f>IF($F158&gt;0,VLOOKUP(clim_full,' IPCC'!$A$75:$C$85,3,),0)</f>
        <v>0</v>
      </c>
      <c r="R158" s="2245"/>
      <c r="S158" s="1745"/>
      <c r="T158" s="2516">
        <f>IF($F158&gt;0,VLOOKUP(clim_full,' IPCC'!$A$569:$I$581,1+MATCH(soil,soil_type,),),0)</f>
        <v>0</v>
      </c>
      <c r="U158" s="2245"/>
      <c r="V158" s="1709"/>
      <c r="W158" s="1709"/>
      <c r="X158" s="1709"/>
      <c r="Y158" s="1709"/>
      <c r="Z158" s="1709"/>
    </row>
    <row r="159" spans="3:26" s="1704" customFormat="1">
      <c r="C159" s="2514" t="str">
        <f>IF(plantation3&lt;&gt;"","Plantation - Zone 3","")</f>
        <v>Plantation - Zone 3</v>
      </c>
      <c r="D159" s="2517"/>
      <c r="E159" s="2514"/>
      <c r="F159" s="2516">
        <f>VLOOKUP(region,' IPCC'!$H$44:$N$56,1+MATCH(plantation3,' IPCC'!$I$44:$N$44,),)*0.47</f>
        <v>0</v>
      </c>
      <c r="G159" s="2556"/>
      <c r="H159" s="2245"/>
      <c r="I159" s="2518"/>
      <c r="J159" s="2516">
        <f>'Forest Degradation'!L16*0.47</f>
        <v>0</v>
      </c>
      <c r="K159" s="2514"/>
      <c r="L159" s="2245"/>
      <c r="M159" s="2518"/>
      <c r="N159" s="2557">
        <f>IF($F159&gt;0,VLOOKUP(clim_full,' IPCC'!$A$75:$C$85,2,),0)</f>
        <v>0</v>
      </c>
      <c r="O159" s="2550"/>
      <c r="P159" s="2245"/>
      <c r="Q159" s="2516">
        <f>IF($F159&gt;0,VLOOKUP(clim_full,' IPCC'!$A$75:$C$85,3,),0)</f>
        <v>0</v>
      </c>
      <c r="R159" s="2245"/>
      <c r="S159" s="1745"/>
      <c r="T159" s="2516">
        <f>IF($F159&gt;0,VLOOKUP(clim_full,' IPCC'!$A$569:$I$581,1+MATCH(soil,soil_type,),),0)</f>
        <v>0</v>
      </c>
      <c r="U159" s="2245"/>
      <c r="V159" s="1709"/>
      <c r="W159" s="1709"/>
      <c r="X159" s="1709"/>
      <c r="Y159" s="1709"/>
      <c r="Z159" s="1709"/>
    </row>
    <row r="160" spans="3:26" s="1704" customFormat="1">
      <c r="C160" s="2514" t="str">
        <f>IF(plantation4&lt;&gt;"","Plantation - Zone 4","")</f>
        <v>Plantation - Zone 4</v>
      </c>
      <c r="D160" s="2517"/>
      <c r="E160" s="2514"/>
      <c r="F160" s="2516">
        <f>VLOOKUP(region,' IPCC'!$H$60:$N$71,1+MATCH(plantation4,' IPCC'!$I$59:$N$59,),)*0.47</f>
        <v>0</v>
      </c>
      <c r="G160" s="2556"/>
      <c r="H160" s="2245"/>
      <c r="I160" s="2518"/>
      <c r="J160" s="2516">
        <f>'Forest Degradation'!L17*0.47</f>
        <v>0</v>
      </c>
      <c r="K160" s="2514"/>
      <c r="L160" s="2245"/>
      <c r="M160" s="2518"/>
      <c r="N160" s="2557">
        <f>IF($F160&gt;0,VLOOKUP(clim_full,' IPCC'!$A$75:$C$85,2,),0)</f>
        <v>0</v>
      </c>
      <c r="O160" s="2550"/>
      <c r="P160" s="2245"/>
      <c r="Q160" s="2516">
        <f>IF($F160&gt;0,VLOOKUP(clim_full,' IPCC'!$A$75:$C$85,3,),0)</f>
        <v>0</v>
      </c>
      <c r="R160" s="2245"/>
      <c r="S160" s="1745"/>
      <c r="T160" s="2516">
        <f>IF($F160&gt;0,VLOOKUP(clim_full,' IPCC'!$A$569:$I$581,1+MATCH(soil,soil_type,),),0)</f>
        <v>0</v>
      </c>
      <c r="U160" s="2245"/>
      <c r="V160" s="1709"/>
      <c r="W160" s="1709"/>
      <c r="X160" s="1709"/>
      <c r="Y160" s="1709"/>
      <c r="Z160" s="1709"/>
    </row>
    <row r="161" spans="3:26" s="1704" customFormat="1">
      <c r="C161" s="2514" t="str">
        <f>IF(mangrove&lt;&gt;"","Mangrove","")</f>
        <v>Mangrove</v>
      </c>
      <c r="D161" s="2517"/>
      <c r="E161" s="2514"/>
      <c r="F161" s="2516">
        <f>VLOOKUP(clim_full,' IPCC'!A1060:B1071,2,)*0.451</f>
        <v>0</v>
      </c>
      <c r="G161" s="2556"/>
      <c r="H161" s="3161"/>
      <c r="I161" s="2518"/>
      <c r="J161" s="2516">
        <f>F161*VLOOKUP(clim_full,' IPCC'!A1060:C1071,3,)</f>
        <v>0</v>
      </c>
      <c r="K161" s="2514"/>
      <c r="L161" s="3161"/>
      <c r="M161" s="2518"/>
      <c r="N161" s="2557">
        <f>IF(F161&gt;0,VLOOKUP(clim_full,' IPCC'!A1060:D1071,4,),0)</f>
        <v>0</v>
      </c>
      <c r="O161" s="2550"/>
      <c r="P161" s="3161"/>
      <c r="Q161" s="2516">
        <f>IF(F161&gt;0,VLOOKUP(clim_full,' IPCC'!A1060:E1071,5,),0)</f>
        <v>0</v>
      </c>
      <c r="R161" s="3161"/>
      <c r="S161" s="1745"/>
      <c r="T161" s="2516">
        <f>IF(F161&gt;0,1,0)*VLOOKUP(clim_full,' IPCC'!A570:H581,8,)</f>
        <v>0</v>
      </c>
      <c r="U161" s="3161"/>
      <c r="V161" s="1709"/>
      <c r="W161" s="1709"/>
      <c r="X161" s="1709"/>
      <c r="Y161" s="1709"/>
      <c r="Z161" s="1709"/>
    </row>
    <row r="162" spans="3:26" s="1704" customFormat="1">
      <c r="E162" s="1709"/>
      <c r="F162" s="1709"/>
      <c r="I162" s="1709"/>
      <c r="J162" s="1709"/>
      <c r="K162" s="1709"/>
      <c r="L162" s="1709"/>
      <c r="M162" s="1709"/>
      <c r="N162" s="1709"/>
      <c r="O162" s="1709"/>
      <c r="P162" s="1709"/>
      <c r="Q162" s="1709"/>
      <c r="R162" s="1709"/>
      <c r="S162" s="1709"/>
      <c r="T162" s="1709"/>
      <c r="U162" s="1709"/>
      <c r="V162" s="1709"/>
      <c r="W162" s="1709"/>
      <c r="X162" s="1709"/>
      <c r="Y162" s="1709"/>
      <c r="Z162" s="1709"/>
    </row>
    <row r="163" spans="3:26" s="1704" customFormat="1">
      <c r="E163" s="1709"/>
      <c r="F163" s="1709"/>
      <c r="I163" s="1709"/>
      <c r="J163" s="1709"/>
      <c r="K163" s="1709"/>
      <c r="L163" s="1709"/>
      <c r="M163" s="1709"/>
      <c r="N163" s="1709"/>
      <c r="O163" s="1709"/>
      <c r="P163" s="1709"/>
      <c r="Q163" s="1709"/>
      <c r="R163" s="1709"/>
      <c r="S163" s="1709"/>
      <c r="T163" s="1709"/>
      <c r="U163" s="1709"/>
      <c r="V163" s="1709"/>
      <c r="W163" s="1709"/>
      <c r="X163" s="1709"/>
      <c r="Y163" s="1709"/>
      <c r="Z163" s="1709"/>
    </row>
    <row r="164" spans="3:26" s="1704" customFormat="1">
      <c r="E164" s="1709"/>
      <c r="F164" s="1709"/>
      <c r="I164" s="1709"/>
      <c r="J164" s="1709"/>
      <c r="K164" s="1709"/>
      <c r="L164" s="1709"/>
      <c r="M164" s="1709"/>
      <c r="N164" s="1709"/>
      <c r="O164" s="1709"/>
      <c r="P164" s="1709"/>
      <c r="Q164" s="1709"/>
      <c r="R164" s="1709"/>
      <c r="S164" s="1709"/>
      <c r="T164" s="1709"/>
      <c r="U164" s="1709"/>
      <c r="V164" s="1709"/>
      <c r="W164" s="1709"/>
      <c r="X164" s="1709"/>
      <c r="Y164" s="1709"/>
      <c r="Z164" s="1709"/>
    </row>
    <row r="165" spans="3:26" s="1704" customFormat="1">
      <c r="E165" s="1709"/>
      <c r="F165" s="1709"/>
      <c r="I165" s="1709"/>
      <c r="J165" s="1709"/>
      <c r="K165" s="1709"/>
      <c r="L165" s="1709"/>
      <c r="M165" s="1709"/>
      <c r="N165" s="1709"/>
      <c r="O165" s="1709"/>
      <c r="P165" s="1709"/>
      <c r="Q165" s="1709"/>
      <c r="R165" s="1709"/>
      <c r="S165" s="1709"/>
      <c r="T165" s="1709"/>
      <c r="U165" s="1709"/>
      <c r="V165" s="1709"/>
      <c r="W165" s="1709"/>
      <c r="X165" s="1709"/>
      <c r="Y165" s="1709"/>
      <c r="Z165" s="1709"/>
    </row>
    <row r="166" spans="3:26" s="1704" customFormat="1">
      <c r="E166" s="1709"/>
      <c r="F166" s="1709"/>
      <c r="I166" s="1709"/>
      <c r="J166" s="1709"/>
      <c r="K166" s="1709"/>
      <c r="L166" s="1709"/>
      <c r="M166" s="1709"/>
      <c r="N166" s="1709"/>
      <c r="O166" s="1709"/>
      <c r="P166" s="1709"/>
      <c r="Q166" s="1709"/>
      <c r="R166" s="1709"/>
      <c r="S166" s="1709"/>
      <c r="T166" s="1709"/>
      <c r="U166" s="1709"/>
      <c r="V166" s="1709"/>
      <c r="W166" s="1709"/>
      <c r="X166" s="1709"/>
      <c r="Y166" s="1709"/>
      <c r="Z166" s="1709"/>
    </row>
    <row r="167" spans="3:26" s="1704" customFormat="1">
      <c r="E167" s="1709"/>
      <c r="F167" s="1709"/>
      <c r="I167" s="1709"/>
      <c r="J167" s="1709"/>
      <c r="K167" s="1709"/>
      <c r="L167" s="1709"/>
      <c r="M167" s="1709"/>
      <c r="N167" s="1709"/>
      <c r="O167" s="1709"/>
      <c r="P167" s="1709"/>
      <c r="Q167" s="1709"/>
      <c r="R167" s="1709"/>
      <c r="S167" s="1709"/>
      <c r="T167" s="1709"/>
      <c r="U167" s="1709"/>
      <c r="V167" s="1709"/>
      <c r="W167" s="1709"/>
      <c r="X167" s="1709"/>
      <c r="Y167" s="1709"/>
      <c r="Z167" s="1709"/>
    </row>
    <row r="168" spans="3:26" s="1704" customFormat="1">
      <c r="E168" s="1709"/>
      <c r="F168" s="1709"/>
      <c r="I168" s="1709"/>
      <c r="J168" s="1709"/>
      <c r="K168" s="1709"/>
      <c r="L168" s="1709"/>
      <c r="M168" s="1709"/>
      <c r="N168" s="1709"/>
      <c r="O168" s="1709"/>
      <c r="P168" s="1709"/>
      <c r="Q168" s="1709"/>
      <c r="R168" s="1709"/>
      <c r="S168" s="1709"/>
      <c r="T168" s="1709"/>
      <c r="U168" s="1709"/>
      <c r="V168" s="1709"/>
      <c r="W168" s="1709"/>
      <c r="X168" s="1709"/>
      <c r="Y168" s="1709"/>
      <c r="Z168" s="1709"/>
    </row>
    <row r="169" spans="3:26" s="1704" customFormat="1">
      <c r="E169" s="1709"/>
      <c r="F169" s="1709"/>
      <c r="I169" s="1709"/>
      <c r="J169" s="1709"/>
      <c r="K169" s="1709"/>
      <c r="L169" s="1709"/>
      <c r="M169" s="1709"/>
      <c r="N169" s="1709"/>
      <c r="O169" s="1709"/>
      <c r="P169" s="1709"/>
      <c r="Q169" s="1709"/>
      <c r="R169" s="1709"/>
      <c r="S169" s="1709"/>
      <c r="T169" s="1709"/>
      <c r="U169" s="1709"/>
      <c r="V169" s="1709"/>
      <c r="W169" s="1709"/>
      <c r="X169" s="1709"/>
      <c r="Y169" s="1709"/>
      <c r="Z169" s="1709"/>
    </row>
    <row r="170" spans="3:26" s="1704" customFormat="1">
      <c r="E170" s="1709"/>
      <c r="F170" s="1709"/>
      <c r="I170" s="1709"/>
      <c r="J170" s="1709"/>
      <c r="K170" s="1709"/>
      <c r="L170" s="1709"/>
      <c r="M170" s="1709"/>
      <c r="N170" s="1709"/>
      <c r="O170" s="1709"/>
      <c r="P170" s="1709"/>
      <c r="Q170" s="1709"/>
      <c r="R170" s="1709"/>
      <c r="S170" s="1709"/>
      <c r="T170" s="1709"/>
      <c r="U170" s="1709"/>
      <c r="V170" s="1709"/>
      <c r="W170" s="1709"/>
      <c r="X170" s="1709"/>
      <c r="Y170" s="1709"/>
      <c r="Z170" s="1709"/>
    </row>
    <row r="171" spans="3:26" s="1704" customFormat="1">
      <c r="E171" s="1709"/>
      <c r="F171" s="1709"/>
      <c r="I171" s="1709"/>
      <c r="J171" s="1709"/>
      <c r="K171" s="1709"/>
      <c r="L171" s="1709"/>
      <c r="M171" s="1709"/>
      <c r="N171" s="1709"/>
      <c r="O171" s="1709"/>
      <c r="P171" s="1709"/>
      <c r="Q171" s="1709"/>
      <c r="R171" s="1709"/>
      <c r="S171" s="1709"/>
      <c r="T171" s="1709"/>
      <c r="U171" s="1709"/>
      <c r="V171" s="1709"/>
      <c r="W171" s="1709"/>
      <c r="X171" s="1709"/>
      <c r="Y171" s="1709"/>
      <c r="Z171" s="1709"/>
    </row>
    <row r="172" spans="3:26" s="1704" customFormat="1">
      <c r="E172" s="1709"/>
      <c r="F172" s="1709"/>
      <c r="I172" s="1709"/>
      <c r="J172" s="1709"/>
      <c r="K172" s="1709"/>
      <c r="L172" s="1709"/>
      <c r="M172" s="1709"/>
      <c r="N172" s="1709"/>
      <c r="O172" s="1709"/>
      <c r="P172" s="1709"/>
      <c r="Q172" s="1709"/>
      <c r="R172" s="1709"/>
      <c r="S172" s="1709"/>
      <c r="T172" s="1709"/>
      <c r="U172" s="1709"/>
      <c r="V172" s="1709"/>
      <c r="W172" s="1709"/>
      <c r="X172" s="1709"/>
      <c r="Y172" s="1709"/>
      <c r="Z172" s="1709"/>
    </row>
    <row r="173" spans="3:26" s="1704" customFormat="1">
      <c r="E173" s="1709"/>
      <c r="F173" s="1709"/>
      <c r="I173" s="1709"/>
      <c r="J173" s="1709"/>
      <c r="K173" s="1709"/>
      <c r="L173" s="1709"/>
      <c r="M173" s="1709"/>
      <c r="N173" s="1709"/>
      <c r="O173" s="1709"/>
      <c r="P173" s="1709"/>
      <c r="Q173" s="1709"/>
      <c r="R173" s="1709"/>
      <c r="S173" s="1709"/>
      <c r="T173" s="1709"/>
      <c r="U173" s="1709"/>
      <c r="V173" s="1709"/>
      <c r="W173" s="1709"/>
      <c r="X173" s="1709"/>
      <c r="Y173" s="1709"/>
      <c r="Z173" s="1709"/>
    </row>
    <row r="174" spans="3:26" s="1704" customFormat="1">
      <c r="E174" s="1709"/>
      <c r="F174" s="1709"/>
      <c r="I174" s="1709"/>
      <c r="J174" s="1709"/>
      <c r="K174" s="1709"/>
      <c r="L174" s="1709"/>
      <c r="M174" s="1709"/>
      <c r="N174" s="1709"/>
      <c r="O174" s="1709"/>
      <c r="P174" s="1709"/>
      <c r="Q174" s="1709"/>
      <c r="R174" s="1709"/>
      <c r="S174" s="1709"/>
      <c r="T174" s="1709"/>
      <c r="U174" s="1709"/>
      <c r="V174" s="1709"/>
      <c r="W174" s="1709"/>
      <c r="X174" s="1709"/>
      <c r="Y174" s="1709"/>
      <c r="Z174" s="1709"/>
    </row>
    <row r="175" spans="3:26" s="1704" customFormat="1">
      <c r="E175" s="1709"/>
      <c r="F175" s="1709"/>
      <c r="I175" s="1709"/>
      <c r="J175" s="1709"/>
      <c r="K175" s="1709"/>
      <c r="L175" s="1709"/>
      <c r="M175" s="1709"/>
      <c r="N175" s="1709"/>
      <c r="O175" s="1709"/>
      <c r="P175" s="1709"/>
      <c r="Q175" s="1709"/>
      <c r="R175" s="1709"/>
      <c r="S175" s="1709"/>
      <c r="T175" s="1709"/>
      <c r="U175" s="1709"/>
      <c r="V175" s="1709"/>
      <c r="W175" s="1709"/>
      <c r="X175" s="1709"/>
      <c r="Y175" s="1709"/>
      <c r="Z175" s="1709"/>
    </row>
    <row r="176" spans="3:26" s="1704" customFormat="1">
      <c r="E176" s="1709"/>
      <c r="F176" s="1709"/>
      <c r="I176" s="1709"/>
      <c r="J176" s="1709"/>
      <c r="K176" s="1709"/>
      <c r="L176" s="1709"/>
      <c r="M176" s="1709"/>
      <c r="N176" s="1709"/>
      <c r="O176" s="1709"/>
      <c r="P176" s="1709"/>
      <c r="Q176" s="1709"/>
      <c r="R176" s="1709"/>
      <c r="S176" s="1709"/>
      <c r="T176" s="1709"/>
      <c r="U176" s="1709"/>
      <c r="V176" s="1709"/>
      <c r="W176" s="1709"/>
      <c r="X176" s="1709"/>
      <c r="Y176" s="1709"/>
      <c r="Z176" s="1709"/>
    </row>
    <row r="177" spans="5:26" s="1704" customFormat="1">
      <c r="E177" s="1709"/>
      <c r="F177" s="1709"/>
      <c r="I177" s="1709"/>
      <c r="J177" s="1709"/>
      <c r="K177" s="1709"/>
      <c r="L177" s="1709"/>
      <c r="M177" s="1709"/>
      <c r="N177" s="1709"/>
      <c r="O177" s="1709"/>
      <c r="P177" s="1709"/>
      <c r="Q177" s="1709"/>
      <c r="R177" s="1709"/>
      <c r="S177" s="1709"/>
      <c r="T177" s="1709"/>
      <c r="U177" s="1709"/>
      <c r="V177" s="1709"/>
      <c r="W177" s="1709"/>
      <c r="X177" s="1709"/>
      <c r="Y177" s="1709"/>
      <c r="Z177" s="1709"/>
    </row>
    <row r="178" spans="5:26" s="1704" customFormat="1">
      <c r="E178" s="1709"/>
      <c r="F178" s="1709"/>
      <c r="I178" s="1709"/>
      <c r="J178" s="1709"/>
      <c r="K178" s="1709"/>
      <c r="L178" s="1709"/>
      <c r="M178" s="1709"/>
      <c r="N178" s="1709"/>
      <c r="O178" s="1709"/>
      <c r="P178" s="1709"/>
      <c r="Q178" s="1709"/>
      <c r="R178" s="1709"/>
      <c r="S178" s="1709"/>
      <c r="T178" s="1709"/>
      <c r="U178" s="1709"/>
      <c r="V178" s="1709"/>
      <c r="W178" s="1709"/>
      <c r="X178" s="1709"/>
      <c r="Y178" s="1709"/>
      <c r="Z178" s="1709"/>
    </row>
    <row r="179" spans="5:26" s="1704" customFormat="1">
      <c r="E179" s="1709"/>
      <c r="F179" s="1709"/>
      <c r="I179" s="1709"/>
      <c r="J179" s="1709"/>
      <c r="K179" s="1709"/>
      <c r="L179" s="1709"/>
      <c r="M179" s="1709"/>
      <c r="N179" s="1709"/>
      <c r="O179" s="1709"/>
      <c r="P179" s="1709"/>
      <c r="Q179" s="1709"/>
      <c r="R179" s="1709"/>
      <c r="S179" s="1709"/>
      <c r="T179" s="1709"/>
      <c r="U179" s="1709"/>
      <c r="V179" s="1709"/>
      <c r="W179" s="1709"/>
      <c r="X179" s="1709"/>
      <c r="Y179" s="1709"/>
      <c r="Z179" s="1709"/>
    </row>
    <row r="180" spans="5:26" s="1704" customFormat="1">
      <c r="E180" s="1709"/>
      <c r="F180" s="1709"/>
      <c r="I180" s="1709"/>
      <c r="J180" s="1709"/>
      <c r="K180" s="1709"/>
      <c r="L180" s="1709"/>
      <c r="M180" s="1709"/>
      <c r="N180" s="1709"/>
      <c r="O180" s="1709"/>
      <c r="P180" s="1709"/>
      <c r="Q180" s="1709"/>
      <c r="R180" s="1709"/>
      <c r="S180" s="1709"/>
      <c r="T180" s="1709"/>
      <c r="U180" s="1709"/>
      <c r="V180" s="1709"/>
      <c r="W180" s="1709"/>
      <c r="X180" s="1709"/>
      <c r="Y180" s="1709"/>
      <c r="Z180" s="1709"/>
    </row>
    <row r="181" spans="5:26" s="1704" customFormat="1">
      <c r="E181" s="1709"/>
      <c r="F181" s="1709"/>
      <c r="I181" s="1709"/>
      <c r="J181" s="1709"/>
      <c r="K181" s="1709"/>
      <c r="L181" s="1709"/>
      <c r="M181" s="1709"/>
      <c r="N181" s="1709"/>
      <c r="O181" s="1709"/>
      <c r="P181" s="1709"/>
      <c r="Q181" s="1709"/>
      <c r="R181" s="1709"/>
      <c r="S181" s="1709"/>
      <c r="T181" s="1709"/>
      <c r="U181" s="1709"/>
      <c r="V181" s="1709"/>
      <c r="W181" s="1709"/>
      <c r="X181" s="1709"/>
      <c r="Y181" s="1709"/>
      <c r="Z181" s="1709"/>
    </row>
    <row r="182" spans="5:26" s="1704" customFormat="1">
      <c r="E182" s="1709"/>
      <c r="F182" s="1709"/>
      <c r="I182" s="1709"/>
      <c r="J182" s="1709"/>
      <c r="K182" s="1709"/>
      <c r="L182" s="1709"/>
      <c r="M182" s="1709"/>
      <c r="N182" s="1709"/>
      <c r="O182" s="1709"/>
      <c r="P182" s="1709"/>
      <c r="Q182" s="1709"/>
      <c r="R182" s="1709"/>
      <c r="S182" s="1709"/>
      <c r="T182" s="1709"/>
      <c r="U182" s="1709"/>
      <c r="V182" s="1709"/>
      <c r="W182" s="1709"/>
      <c r="X182" s="1709"/>
      <c r="Y182" s="1709"/>
      <c r="Z182" s="1709"/>
    </row>
    <row r="183" spans="5:26" s="1704" customFormat="1">
      <c r="E183" s="1709"/>
      <c r="F183" s="1709"/>
      <c r="I183" s="1709"/>
      <c r="J183" s="1709"/>
      <c r="K183" s="1709"/>
      <c r="L183" s="1709"/>
      <c r="M183" s="1709"/>
      <c r="N183" s="1709"/>
      <c r="O183" s="1709"/>
      <c r="P183" s="1709"/>
      <c r="Q183" s="1709"/>
      <c r="R183" s="1709"/>
      <c r="S183" s="1709"/>
      <c r="T183" s="1709"/>
      <c r="U183" s="1709"/>
      <c r="V183" s="1709"/>
      <c r="W183" s="1709"/>
      <c r="X183" s="1709"/>
      <c r="Y183" s="1709"/>
      <c r="Z183" s="1709"/>
    </row>
    <row r="184" spans="5:26" s="1704" customFormat="1">
      <c r="E184" s="1709"/>
      <c r="F184" s="1709"/>
      <c r="I184" s="1709"/>
      <c r="J184" s="1709"/>
      <c r="K184" s="1709"/>
      <c r="L184" s="1709"/>
      <c r="M184" s="1709"/>
      <c r="N184" s="1709"/>
      <c r="O184" s="1709"/>
      <c r="P184" s="1709"/>
      <c r="Q184" s="1709"/>
      <c r="R184" s="1709"/>
      <c r="S184" s="1709"/>
      <c r="T184" s="1709"/>
      <c r="U184" s="1709"/>
      <c r="V184" s="1709"/>
      <c r="W184" s="1709"/>
      <c r="X184" s="1709"/>
      <c r="Y184" s="1709"/>
      <c r="Z184" s="1709"/>
    </row>
    <row r="185" spans="5:26" s="1704" customFormat="1">
      <c r="E185" s="1709"/>
      <c r="F185" s="1709"/>
      <c r="I185" s="1709"/>
      <c r="J185" s="1709"/>
      <c r="K185" s="1709"/>
      <c r="L185" s="1709"/>
      <c r="M185" s="1709"/>
      <c r="N185" s="1709"/>
      <c r="O185" s="1709"/>
      <c r="P185" s="1709"/>
      <c r="Q185" s="1709"/>
      <c r="R185" s="1709"/>
      <c r="S185" s="1709"/>
      <c r="T185" s="1709"/>
      <c r="U185" s="1709"/>
      <c r="V185" s="1709"/>
      <c r="W185" s="1709"/>
      <c r="X185" s="1709"/>
      <c r="Y185" s="1709"/>
      <c r="Z185" s="1709"/>
    </row>
    <row r="186" spans="5:26" s="1704" customFormat="1">
      <c r="E186" s="1709"/>
      <c r="F186" s="1709"/>
      <c r="I186" s="1709"/>
      <c r="J186" s="1709"/>
      <c r="K186" s="1709"/>
      <c r="L186" s="1709"/>
      <c r="M186" s="1709"/>
      <c r="N186" s="1709"/>
      <c r="O186" s="1709"/>
      <c r="P186" s="1709"/>
      <c r="Q186" s="1709"/>
      <c r="R186" s="1709"/>
      <c r="S186" s="1709"/>
      <c r="T186" s="1709"/>
      <c r="U186" s="1709"/>
      <c r="V186" s="1709"/>
      <c r="W186" s="1709"/>
      <c r="X186" s="1709"/>
      <c r="Y186" s="1709"/>
      <c r="Z186" s="1709"/>
    </row>
    <row r="187" spans="5:26" s="1704" customFormat="1">
      <c r="E187" s="1709"/>
      <c r="F187" s="1709"/>
      <c r="I187" s="1709"/>
      <c r="J187" s="1709"/>
      <c r="K187" s="1709"/>
      <c r="L187" s="1709"/>
      <c r="M187" s="1709"/>
      <c r="N187" s="1709"/>
      <c r="O187" s="1709"/>
      <c r="P187" s="1709"/>
      <c r="Q187" s="1709"/>
      <c r="R187" s="1709"/>
      <c r="S187" s="1709"/>
      <c r="T187" s="1709"/>
      <c r="U187" s="1709"/>
      <c r="V187" s="1709"/>
      <c r="W187" s="1709"/>
      <c r="X187" s="1709"/>
      <c r="Y187" s="1709"/>
      <c r="Z187" s="1709"/>
    </row>
    <row r="188" spans="5:26" s="1704" customFormat="1">
      <c r="E188" s="1709"/>
      <c r="F188" s="1709"/>
      <c r="I188" s="1709"/>
      <c r="J188" s="1709"/>
      <c r="K188" s="1709"/>
      <c r="L188" s="1709"/>
      <c r="M188" s="1709"/>
      <c r="N188" s="1709"/>
      <c r="O188" s="1709"/>
      <c r="P188" s="1709"/>
      <c r="Q188" s="1709"/>
      <c r="R188" s="1709"/>
      <c r="S188" s="1709"/>
      <c r="T188" s="1709"/>
      <c r="U188" s="1709"/>
      <c r="V188" s="1709"/>
      <c r="W188" s="1709"/>
      <c r="X188" s="1709"/>
      <c r="Y188" s="1709"/>
      <c r="Z188" s="1709"/>
    </row>
    <row r="189" spans="5:26" s="1704" customFormat="1">
      <c r="E189" s="1709"/>
      <c r="F189" s="1709"/>
      <c r="I189" s="1709"/>
      <c r="J189" s="1709"/>
      <c r="K189" s="1709"/>
      <c r="L189" s="1709"/>
      <c r="M189" s="1709"/>
      <c r="N189" s="1709"/>
      <c r="O189" s="1709"/>
      <c r="P189" s="1709"/>
      <c r="Q189" s="1709"/>
      <c r="R189" s="1709"/>
      <c r="S189" s="1709"/>
      <c r="T189" s="1709"/>
      <c r="U189" s="1709"/>
      <c r="V189" s="1709"/>
      <c r="W189" s="1709"/>
      <c r="X189" s="1709"/>
      <c r="Y189" s="1709"/>
      <c r="Z189" s="1709"/>
    </row>
    <row r="190" spans="5:26" s="1704" customFormat="1">
      <c r="E190" s="1709"/>
      <c r="F190" s="1709"/>
      <c r="I190" s="1709"/>
      <c r="J190" s="1709"/>
      <c r="K190" s="1709"/>
      <c r="L190" s="1709"/>
      <c r="M190" s="1709"/>
      <c r="N190" s="1709"/>
      <c r="O190" s="1709"/>
      <c r="P190" s="1709"/>
      <c r="Q190" s="1709"/>
      <c r="R190" s="1709"/>
      <c r="S190" s="1709"/>
      <c r="T190" s="1709"/>
      <c r="U190" s="1709"/>
      <c r="V190" s="1709"/>
      <c r="W190" s="1709"/>
      <c r="X190" s="1709"/>
      <c r="Y190" s="1709"/>
      <c r="Z190" s="1709"/>
    </row>
    <row r="191" spans="5:26" s="1704" customFormat="1">
      <c r="E191" s="1709"/>
      <c r="F191" s="1709"/>
      <c r="I191" s="1709"/>
      <c r="J191" s="1709"/>
      <c r="K191" s="1709"/>
      <c r="L191" s="1709"/>
      <c r="M191" s="1709"/>
      <c r="N191" s="1709"/>
      <c r="O191" s="1709"/>
      <c r="P191" s="1709"/>
      <c r="Q191" s="1709"/>
      <c r="R191" s="1709"/>
      <c r="S191" s="1709"/>
      <c r="T191" s="1709"/>
      <c r="U191" s="1709"/>
      <c r="V191" s="1709"/>
      <c r="W191" s="1709"/>
      <c r="X191" s="1709"/>
      <c r="Y191" s="1709"/>
      <c r="Z191" s="1709"/>
    </row>
    <row r="192" spans="5:26" s="1704" customFormat="1">
      <c r="E192" s="1709"/>
      <c r="F192" s="1709"/>
      <c r="I192" s="1709"/>
      <c r="J192" s="1709"/>
      <c r="K192" s="1709"/>
      <c r="L192" s="1709"/>
      <c r="M192" s="1709"/>
      <c r="N192" s="1709"/>
      <c r="O192" s="1709"/>
      <c r="P192" s="1709"/>
      <c r="Q192" s="1709"/>
      <c r="R192" s="1709"/>
      <c r="S192" s="1709"/>
      <c r="T192" s="1709"/>
      <c r="U192" s="1709"/>
      <c r="V192" s="1709"/>
      <c r="W192" s="1709"/>
      <c r="X192" s="1709"/>
      <c r="Y192" s="1709"/>
      <c r="Z192" s="1709"/>
    </row>
    <row r="193" spans="5:26" s="1704" customFormat="1">
      <c r="E193" s="1709"/>
      <c r="F193" s="1709"/>
      <c r="I193" s="1709"/>
      <c r="J193" s="1709"/>
      <c r="K193" s="1709"/>
      <c r="L193" s="1709"/>
      <c r="M193" s="1709"/>
      <c r="N193" s="1709"/>
      <c r="O193" s="1709"/>
      <c r="P193" s="1709"/>
      <c r="Q193" s="1709"/>
      <c r="R193" s="1709"/>
      <c r="S193" s="1709"/>
      <c r="T193" s="1709"/>
      <c r="U193" s="1709"/>
      <c r="V193" s="1709"/>
      <c r="W193" s="1709"/>
      <c r="X193" s="1709"/>
      <c r="Y193" s="1709"/>
      <c r="Z193" s="1709"/>
    </row>
    <row r="194" spans="5:26" s="1704" customFormat="1">
      <c r="E194" s="1709"/>
      <c r="F194" s="1709"/>
      <c r="I194" s="1709"/>
      <c r="J194" s="1709"/>
      <c r="K194" s="1709"/>
      <c r="L194" s="1709"/>
      <c r="M194" s="1709"/>
      <c r="N194" s="1709"/>
      <c r="O194" s="1709"/>
      <c r="P194" s="1709"/>
      <c r="Q194" s="1709"/>
      <c r="R194" s="1709"/>
      <c r="S194" s="1709"/>
      <c r="T194" s="1709"/>
      <c r="U194" s="1709"/>
      <c r="V194" s="1709"/>
      <c r="W194" s="1709"/>
      <c r="X194" s="1709"/>
      <c r="Y194" s="1709"/>
      <c r="Z194" s="1709"/>
    </row>
    <row r="195" spans="5:26" s="1704" customFormat="1">
      <c r="E195" s="1709"/>
      <c r="F195" s="1709"/>
      <c r="I195" s="1709"/>
      <c r="J195" s="1709"/>
      <c r="K195" s="1709"/>
      <c r="L195" s="1709"/>
      <c r="M195" s="1709"/>
      <c r="N195" s="1709"/>
      <c r="O195" s="1709"/>
      <c r="P195" s="1709"/>
      <c r="Q195" s="1709"/>
      <c r="R195" s="1709"/>
      <c r="S195" s="1709"/>
      <c r="T195" s="1709"/>
      <c r="U195" s="1709"/>
      <c r="V195" s="1709"/>
      <c r="W195" s="1709"/>
      <c r="X195" s="1709"/>
      <c r="Y195" s="1709"/>
      <c r="Z195" s="1709"/>
    </row>
    <row r="196" spans="5:26" s="1704" customFormat="1">
      <c r="E196" s="1709"/>
      <c r="F196" s="1709"/>
      <c r="I196" s="1709"/>
      <c r="J196" s="1709"/>
      <c r="K196" s="1709"/>
      <c r="L196" s="1709"/>
      <c r="M196" s="1709"/>
      <c r="N196" s="1709"/>
      <c r="O196" s="1709"/>
      <c r="P196" s="1709"/>
      <c r="Q196" s="1709"/>
      <c r="R196" s="1709"/>
      <c r="S196" s="1709"/>
      <c r="T196" s="1709"/>
      <c r="U196" s="1709"/>
      <c r="V196" s="1709"/>
      <c r="W196" s="1709"/>
      <c r="X196" s="1709"/>
      <c r="Y196" s="1709"/>
      <c r="Z196" s="1709"/>
    </row>
    <row r="197" spans="5:26" s="1704" customFormat="1">
      <c r="E197" s="1709"/>
      <c r="F197" s="1709"/>
      <c r="I197" s="1709"/>
      <c r="J197" s="1709"/>
      <c r="K197" s="1709"/>
      <c r="L197" s="1709"/>
      <c r="M197" s="1709"/>
      <c r="N197" s="1709"/>
      <c r="O197" s="1709"/>
      <c r="P197" s="1709"/>
      <c r="Q197" s="1709"/>
      <c r="R197" s="1709"/>
      <c r="S197" s="1709"/>
      <c r="T197" s="1709"/>
      <c r="U197" s="1709"/>
      <c r="V197" s="1709"/>
      <c r="W197" s="1709"/>
      <c r="X197" s="1709"/>
      <c r="Y197" s="1709"/>
      <c r="Z197" s="1709"/>
    </row>
    <row r="198" spans="5:26" s="1704" customFormat="1">
      <c r="E198" s="1709"/>
      <c r="F198" s="1709"/>
      <c r="I198" s="1709"/>
      <c r="J198" s="1709"/>
      <c r="K198" s="1709"/>
      <c r="L198" s="1709"/>
      <c r="M198" s="1709"/>
      <c r="N198" s="1709"/>
      <c r="O198" s="1709"/>
      <c r="P198" s="1709"/>
      <c r="Q198" s="1709"/>
      <c r="R198" s="1709"/>
      <c r="S198" s="1709"/>
      <c r="T198" s="1709"/>
      <c r="U198" s="1709"/>
      <c r="V198" s="1709"/>
      <c r="W198" s="1709"/>
      <c r="X198" s="1709"/>
      <c r="Y198" s="1709"/>
      <c r="Z198" s="1709"/>
    </row>
    <row r="199" spans="5:26" s="1704" customFormat="1">
      <c r="E199" s="1709"/>
      <c r="F199" s="1709"/>
      <c r="I199" s="1709"/>
      <c r="J199" s="1709"/>
      <c r="K199" s="1709"/>
      <c r="L199" s="1709"/>
      <c r="M199" s="1709"/>
      <c r="N199" s="1709"/>
      <c r="O199" s="1709"/>
      <c r="P199" s="1709"/>
      <c r="Q199" s="1709"/>
      <c r="R199" s="1709"/>
      <c r="S199" s="1709"/>
      <c r="T199" s="1709"/>
      <c r="U199" s="1709"/>
      <c r="V199" s="1709"/>
      <c r="W199" s="1709"/>
      <c r="X199" s="1709"/>
      <c r="Y199" s="1709"/>
      <c r="Z199" s="1709"/>
    </row>
    <row r="200" spans="5:26" s="1704" customFormat="1">
      <c r="E200" s="1709"/>
      <c r="F200" s="1709"/>
      <c r="I200" s="1709"/>
      <c r="J200" s="1709"/>
      <c r="K200" s="1709"/>
      <c r="L200" s="1709"/>
      <c r="M200" s="1709"/>
      <c r="N200" s="1709"/>
      <c r="O200" s="1709"/>
      <c r="P200" s="1709"/>
      <c r="Q200" s="1709"/>
      <c r="R200" s="1709"/>
      <c r="S200" s="1709"/>
      <c r="T200" s="1709"/>
      <c r="U200" s="1709"/>
      <c r="V200" s="1709"/>
      <c r="W200" s="1709"/>
      <c r="X200" s="1709"/>
      <c r="Y200" s="1709"/>
      <c r="Z200" s="1709"/>
    </row>
    <row r="201" spans="5:26" s="1704" customFormat="1">
      <c r="E201" s="1709"/>
      <c r="F201" s="1709"/>
      <c r="I201" s="1709"/>
      <c r="J201" s="1709"/>
      <c r="K201" s="1709"/>
      <c r="L201" s="1709"/>
      <c r="M201" s="1709"/>
      <c r="N201" s="1709"/>
      <c r="O201" s="1709"/>
      <c r="P201" s="1709"/>
      <c r="Q201" s="1709"/>
      <c r="R201" s="1709"/>
      <c r="S201" s="1709"/>
      <c r="T201" s="1709"/>
      <c r="U201" s="1709"/>
      <c r="V201" s="1709"/>
      <c r="W201" s="1709"/>
      <c r="X201" s="1709"/>
      <c r="Y201" s="1709"/>
      <c r="Z201" s="1709"/>
    </row>
    <row r="202" spans="5:26" s="1704" customFormat="1">
      <c r="E202" s="1709"/>
      <c r="F202" s="1709"/>
      <c r="I202" s="1709"/>
      <c r="J202" s="1709"/>
      <c r="K202" s="1709"/>
      <c r="L202" s="1709"/>
      <c r="M202" s="1709"/>
      <c r="N202" s="1709"/>
      <c r="O202" s="1709"/>
      <c r="P202" s="1709"/>
      <c r="Q202" s="1709"/>
      <c r="R202" s="1709"/>
      <c r="S202" s="1709"/>
      <c r="T202" s="1709"/>
      <c r="U202" s="1709"/>
      <c r="V202" s="1709"/>
      <c r="W202" s="1709"/>
      <c r="X202" s="1709"/>
      <c r="Y202" s="1709"/>
      <c r="Z202" s="1709"/>
    </row>
    <row r="203" spans="5:26" s="1704" customFormat="1">
      <c r="E203" s="1709"/>
      <c r="F203" s="1709"/>
      <c r="I203" s="1709"/>
      <c r="J203" s="1709"/>
      <c r="K203" s="1709"/>
      <c r="L203" s="1709"/>
      <c r="M203" s="1709"/>
      <c r="N203" s="1709"/>
      <c r="O203" s="1709"/>
      <c r="P203" s="1709"/>
      <c r="Q203" s="1709"/>
      <c r="R203" s="1709"/>
      <c r="S203" s="1709"/>
      <c r="T203" s="1709"/>
      <c r="U203" s="1709"/>
      <c r="V203" s="1709"/>
      <c r="W203" s="1709"/>
      <c r="X203" s="1709"/>
      <c r="Y203" s="1709"/>
      <c r="Z203" s="1709"/>
    </row>
    <row r="204" spans="5:26" s="1704" customFormat="1">
      <c r="E204" s="1709"/>
      <c r="F204" s="1709"/>
      <c r="I204" s="1709"/>
      <c r="J204" s="1709"/>
      <c r="K204" s="1709"/>
      <c r="L204" s="1709"/>
      <c r="M204" s="1709"/>
      <c r="N204" s="1709"/>
      <c r="O204" s="1709"/>
      <c r="P204" s="1709"/>
      <c r="Q204" s="1709"/>
      <c r="R204" s="1709"/>
      <c r="S204" s="1709"/>
      <c r="T204" s="1709"/>
      <c r="U204" s="1709"/>
      <c r="V204" s="1709"/>
      <c r="W204" s="1709"/>
      <c r="X204" s="1709"/>
      <c r="Y204" s="1709"/>
      <c r="Z204" s="1709"/>
    </row>
    <row r="205" spans="5:26" s="1704" customFormat="1">
      <c r="E205" s="1709"/>
      <c r="F205" s="1709"/>
      <c r="I205" s="1709"/>
      <c r="J205" s="1709"/>
      <c r="K205" s="1709"/>
      <c r="L205" s="1709"/>
      <c r="M205" s="1709"/>
      <c r="N205" s="1709"/>
      <c r="O205" s="1709"/>
      <c r="P205" s="1709"/>
      <c r="Q205" s="1709"/>
      <c r="R205" s="1709"/>
      <c r="S205" s="1709"/>
      <c r="T205" s="1709"/>
      <c r="U205" s="1709"/>
      <c r="V205" s="1709"/>
      <c r="W205" s="1709"/>
      <c r="X205" s="1709"/>
      <c r="Y205" s="1709"/>
      <c r="Z205" s="1709"/>
    </row>
    <row r="206" spans="5:26" s="1704" customFormat="1">
      <c r="E206" s="1709"/>
      <c r="F206" s="1709"/>
      <c r="I206" s="1709"/>
      <c r="J206" s="1709"/>
      <c r="K206" s="1709"/>
      <c r="L206" s="1709"/>
      <c r="M206" s="1709"/>
      <c r="N206" s="1709"/>
      <c r="O206" s="1709"/>
      <c r="P206" s="1709"/>
      <c r="Q206" s="1709"/>
      <c r="R206" s="1709"/>
      <c r="S206" s="1709"/>
      <c r="T206" s="1709"/>
      <c r="U206" s="1709"/>
      <c r="V206" s="1709"/>
      <c r="W206" s="1709"/>
      <c r="X206" s="1709"/>
      <c r="Y206" s="1709"/>
      <c r="Z206" s="1709"/>
    </row>
    <row r="207" spans="5:26" s="1704" customFormat="1">
      <c r="E207" s="1709"/>
      <c r="F207" s="1709"/>
      <c r="I207" s="1709"/>
      <c r="J207" s="1709"/>
      <c r="K207" s="1709"/>
      <c r="L207" s="1709"/>
      <c r="M207" s="1709"/>
      <c r="N207" s="1709"/>
      <c r="O207" s="1709"/>
      <c r="P207" s="1709"/>
      <c r="Q207" s="1709"/>
      <c r="R207" s="1709"/>
      <c r="S207" s="1709"/>
      <c r="T207" s="1709"/>
      <c r="U207" s="1709"/>
      <c r="V207" s="1709"/>
      <c r="W207" s="1709"/>
      <c r="X207" s="1709"/>
      <c r="Y207" s="1709"/>
      <c r="Z207" s="1709"/>
    </row>
    <row r="208" spans="5:26" s="1704" customFormat="1">
      <c r="E208" s="1709"/>
      <c r="F208" s="1709"/>
      <c r="I208" s="1709"/>
      <c r="J208" s="1709"/>
      <c r="K208" s="1709"/>
      <c r="L208" s="1709"/>
      <c r="M208" s="1709"/>
      <c r="N208" s="1709"/>
      <c r="O208" s="1709"/>
      <c r="P208" s="1709"/>
      <c r="Q208" s="1709"/>
      <c r="R208" s="1709"/>
      <c r="S208" s="1709"/>
      <c r="T208" s="1709"/>
      <c r="U208" s="1709"/>
      <c r="V208" s="1709"/>
      <c r="W208" s="1709"/>
      <c r="X208" s="1709"/>
      <c r="Y208" s="1709"/>
      <c r="Z208" s="1709"/>
    </row>
    <row r="209" spans="3:27" s="1704" customFormat="1">
      <c r="E209" s="1709"/>
      <c r="F209" s="1709"/>
      <c r="I209" s="1709"/>
      <c r="J209" s="1709"/>
      <c r="K209" s="1709"/>
      <c r="L209" s="1709"/>
      <c r="M209" s="1709"/>
      <c r="N209" s="1709"/>
      <c r="O209" s="1709"/>
      <c r="P209" s="1709"/>
      <c r="Q209" s="1709"/>
      <c r="R209" s="1709"/>
      <c r="S209" s="1709"/>
      <c r="T209" s="1709"/>
      <c r="U209" s="1709"/>
      <c r="V209" s="1709"/>
      <c r="W209" s="1709"/>
      <c r="X209" s="1709"/>
      <c r="Y209" s="1709"/>
      <c r="Z209" s="1709"/>
    </row>
    <row r="210" spans="3:27" s="1704" customFormat="1" ht="15.75">
      <c r="C210" s="2529" t="str">
        <f>B28</f>
        <v>5.2. Degradation and management of organic soils (peatlands)</v>
      </c>
      <c r="D210" s="2536"/>
      <c r="E210" s="2536"/>
      <c r="F210" s="2536"/>
      <c r="G210" s="2536"/>
      <c r="H210" s="2536"/>
      <c r="I210" s="2536"/>
      <c r="J210" s="2536"/>
      <c r="K210" s="2536"/>
      <c r="L210" s="2536"/>
      <c r="M210" s="2536"/>
      <c r="N210" s="2536"/>
      <c r="O210" s="2536"/>
      <c r="P210" s="2536"/>
      <c r="Q210" s="2536"/>
      <c r="R210" s="2536"/>
      <c r="S210" s="2536"/>
      <c r="T210" s="2536"/>
      <c r="U210" s="2536"/>
      <c r="V210" s="2536"/>
      <c r="W210" s="2536"/>
      <c r="X210" s="2536"/>
      <c r="Y210" s="2536"/>
      <c r="Z210" s="2536"/>
      <c r="AA210" s="2536"/>
    </row>
    <row r="211" spans="3:27" s="1704" customFormat="1">
      <c r="M211" s="1709"/>
      <c r="Q211" s="1709"/>
      <c r="R211" s="1709"/>
      <c r="S211" s="1709"/>
      <c r="T211" s="1709"/>
      <c r="U211" s="1709"/>
      <c r="V211" s="1709"/>
      <c r="W211" s="1709"/>
      <c r="X211" s="1709"/>
      <c r="Y211" s="1709"/>
      <c r="Z211" s="1709"/>
    </row>
    <row r="212" spans="3:27" s="1704" customFormat="1">
      <c r="C212" s="2138"/>
      <c r="D212" s="2138"/>
      <c r="E212" s="2139"/>
      <c r="F212" s="3880" t="str">
        <f>C144</f>
        <v>Use this part only if you want to refine the analysis with Tier 2 coefficients.</v>
      </c>
      <c r="G212" s="3880"/>
      <c r="H212" s="3880"/>
      <c r="I212" s="3880"/>
      <c r="J212" s="3880"/>
      <c r="K212" s="3880"/>
      <c r="L212" s="3880"/>
      <c r="M212" s="3880"/>
      <c r="N212" s="3880"/>
      <c r="O212" s="3880"/>
      <c r="P212" s="3880"/>
      <c r="Q212" s="3880"/>
      <c r="R212" s="2932"/>
      <c r="S212" s="2932"/>
      <c r="T212" s="2932"/>
      <c r="U212" s="2932"/>
      <c r="V212" s="3065"/>
      <c r="W212" s="3065"/>
      <c r="X212" s="3084"/>
      <c r="Y212" s="3084"/>
      <c r="Z212" s="3084"/>
      <c r="AA212" s="3084"/>
    </row>
    <row r="213" spans="3:27" s="1704" customFormat="1">
      <c r="C213" s="2138"/>
      <c r="D213" s="2138"/>
      <c r="E213" s="2138"/>
      <c r="F213" s="3880"/>
      <c r="G213" s="3880"/>
      <c r="H213" s="3880"/>
      <c r="I213" s="3880"/>
      <c r="J213" s="3880"/>
      <c r="K213" s="3880"/>
      <c r="L213" s="3880"/>
      <c r="M213" s="3880"/>
      <c r="N213" s="3880"/>
      <c r="O213" s="3880"/>
      <c r="P213" s="3880"/>
      <c r="Q213" s="3880"/>
      <c r="R213" s="2138"/>
      <c r="S213" s="2138"/>
      <c r="T213" s="2138"/>
      <c r="U213" s="2138"/>
      <c r="V213" s="2138"/>
      <c r="W213" s="2138"/>
      <c r="X213" s="2138"/>
      <c r="Y213" s="2138"/>
      <c r="Z213" s="2138"/>
      <c r="AA213" s="2138"/>
    </row>
    <row r="214" spans="3:27" s="1704" customFormat="1">
      <c r="C214" s="2138"/>
      <c r="D214" s="2138"/>
      <c r="E214" s="2138"/>
      <c r="F214" s="3880"/>
      <c r="G214" s="3880"/>
      <c r="H214" s="3880"/>
      <c r="I214" s="3880"/>
      <c r="J214" s="3880"/>
      <c r="K214" s="3880"/>
      <c r="L214" s="3880"/>
      <c r="M214" s="3880"/>
      <c r="N214" s="3880"/>
      <c r="O214" s="3880"/>
      <c r="P214" s="3880"/>
      <c r="Q214" s="3880"/>
      <c r="R214" s="2932"/>
      <c r="S214" s="2932"/>
      <c r="T214" s="2932"/>
      <c r="U214" s="2932"/>
      <c r="V214" s="3065"/>
      <c r="W214" s="3065"/>
      <c r="X214" s="3084"/>
      <c r="Y214" s="3084"/>
      <c r="Z214" s="3084"/>
      <c r="AA214" s="3084"/>
    </row>
    <row r="215" spans="3:27" s="1704" customFormat="1" ht="13.15" customHeight="1">
      <c r="C215" s="3059" t="str">
        <f>C146</f>
        <v>(default values are provided for your information only, while EX-ACT will use Tier 2 values automatically wherever specified)</v>
      </c>
      <c r="D215" s="3059"/>
      <c r="E215" s="3059"/>
      <c r="F215" s="3059"/>
      <c r="G215" s="3059"/>
      <c r="H215" s="3059"/>
      <c r="I215" s="3059"/>
      <c r="J215" s="3059"/>
      <c r="K215" s="3059"/>
      <c r="L215" s="3059"/>
      <c r="M215" s="3059"/>
      <c r="N215" s="3059"/>
      <c r="O215" s="3059"/>
      <c r="P215" s="3059"/>
      <c r="Q215" s="3059"/>
      <c r="R215" s="2932"/>
      <c r="S215" s="2932"/>
      <c r="T215" s="2932"/>
      <c r="U215" s="2932"/>
      <c r="V215" s="3065"/>
      <c r="W215" s="3065"/>
      <c r="X215" s="3084"/>
      <c r="Y215" s="3084"/>
      <c r="Z215" s="3084"/>
      <c r="AA215" s="3084"/>
    </row>
    <row r="216" spans="3:27" s="1704" customFormat="1" ht="13.15" customHeight="1">
      <c r="C216" s="3059"/>
      <c r="D216" s="3059"/>
      <c r="E216" s="3059"/>
      <c r="F216" s="3059"/>
      <c r="G216" s="3059"/>
      <c r="H216" s="3059"/>
      <c r="I216" s="3059"/>
      <c r="J216" s="3059"/>
      <c r="K216" s="3059"/>
      <c r="L216" s="3059"/>
      <c r="M216" s="3059"/>
      <c r="N216" s="3059"/>
      <c r="O216" s="3059"/>
      <c r="P216" s="3059"/>
      <c r="Q216" s="3059"/>
      <c r="R216" s="2932"/>
      <c r="S216" s="2932"/>
      <c r="T216" s="2932"/>
      <c r="U216" s="2932"/>
      <c r="V216" s="3065"/>
      <c r="W216" s="3065"/>
      <c r="X216" s="3084"/>
      <c r="Y216" s="3084"/>
      <c r="Z216" s="3084"/>
      <c r="AA216" s="3084"/>
    </row>
    <row r="217" spans="3:27" s="1704" customFormat="1">
      <c r="T217" s="1706" t="str">
        <f>HLOOKUP(select,translations!$B$7:$H$19,13,)</f>
        <v xml:space="preserve"> </v>
      </c>
      <c r="V217" s="1709"/>
      <c r="W217" s="1709"/>
      <c r="X217" s="1709"/>
      <c r="Y217" s="1709"/>
      <c r="Z217" s="1709"/>
    </row>
    <row r="218" spans="3:27" s="1704" customFormat="1">
      <c r="C218" s="2775" t="str">
        <f>HLOOKUP(select,translations!$A$521:$H$550,30,)</f>
        <v>Please indicate the dominant quality of peat, this can influence the emissions factors below</v>
      </c>
      <c r="D218" s="2297"/>
      <c r="E218" s="2297"/>
      <c r="F218" s="2297"/>
      <c r="G218" s="2297"/>
      <c r="H218" s="2297"/>
      <c r="I218" s="2297"/>
      <c r="J218" s="2297"/>
      <c r="K218" s="2297"/>
      <c r="L218" s="2297"/>
      <c r="M218" s="2297"/>
      <c r="N218" s="2297"/>
      <c r="O218" s="2297"/>
      <c r="P218" s="2297"/>
      <c r="Q218" s="3883" t="s">
        <v>5557</v>
      </c>
      <c r="R218" s="3883"/>
      <c r="S218" s="2297"/>
      <c r="T218" s="2297" t="str">
        <f>IF(Nlang=1,"",VLOOKUP(Q218,'Name translation'!$A$1:$H$260,Nlang+1,))</f>
        <v/>
      </c>
      <c r="U218" s="2297"/>
      <c r="V218" s="2297"/>
      <c r="W218" s="2297"/>
      <c r="X218" s="1709"/>
      <c r="Y218" s="3084"/>
      <c r="Z218" s="3084"/>
      <c r="AA218" s="3084"/>
    </row>
    <row r="219" spans="3:27" s="1704" customFormat="1">
      <c r="C219" s="2932"/>
      <c r="D219" s="2932"/>
      <c r="E219" s="2932"/>
      <c r="F219" s="2932"/>
      <c r="G219" s="2932"/>
      <c r="H219" s="2932"/>
      <c r="I219" s="2932"/>
      <c r="J219" s="2932"/>
      <c r="K219" s="2932"/>
      <c r="L219" s="2932"/>
      <c r="M219" s="2932"/>
      <c r="N219" s="2932"/>
      <c r="O219" s="2932"/>
      <c r="P219" s="2932"/>
      <c r="Q219" s="2932"/>
      <c r="R219" s="2932"/>
      <c r="S219" s="2932"/>
      <c r="T219" s="2932"/>
      <c r="U219" s="2932"/>
      <c r="V219" s="3065"/>
      <c r="W219" s="3065"/>
      <c r="X219" s="1709"/>
      <c r="Y219" s="2775" t="str">
        <f>HLOOKUP(select,translations!$A$521:$H$580,36,)</f>
        <v>Off-site  emissions</v>
      </c>
      <c r="Z219" s="3084"/>
      <c r="AA219" s="3084"/>
    </row>
    <row r="220" spans="3:27" s="1704" customFormat="1">
      <c r="C220" s="2932"/>
      <c r="D220" s="2932"/>
      <c r="E220" s="2932"/>
      <c r="F220" s="3881" t="str">
        <f>HLOOKUP(select,translations!$A$209:$H$250,26,)</f>
        <v>Emissions from loss of C associated with drainage of organic soils</v>
      </c>
      <c r="G220" s="3881"/>
      <c r="H220" s="3881"/>
      <c r="I220" s="2932"/>
      <c r="J220" s="2775" t="str">
        <f>HLOOKUP(select,translations!$A$521:$H$580,31,)</f>
        <v>CH4 emissions associated with drainage</v>
      </c>
      <c r="K220" s="2932"/>
      <c r="L220" s="2932"/>
      <c r="M220" s="2932"/>
      <c r="N220" s="2297"/>
      <c r="O220" s="2932"/>
      <c r="P220" s="2932"/>
      <c r="Q220" s="2932"/>
      <c r="R220" s="2775" t="str">
        <f>HLOOKUP(select,translations!$A$521:$H$580,34,)</f>
        <v>N2O emissions associated with drainage</v>
      </c>
      <c r="S220" s="2932"/>
      <c r="T220" s="2932"/>
      <c r="U220" s="2932"/>
      <c r="V220" s="3065"/>
      <c r="W220" s="3065"/>
      <c r="X220" s="1709"/>
      <c r="Y220" s="2775" t="str">
        <f>HLOOKUP(select,translations!$A$521:$H$580,37,)</f>
        <v>via waterborn carbon lossses</v>
      </c>
      <c r="Z220" s="3084"/>
      <c r="AA220" s="3084"/>
    </row>
    <row r="221" spans="3:27" s="1704" customFormat="1">
      <c r="C221" s="2775"/>
      <c r="D221" s="2297"/>
      <c r="E221" s="2290"/>
      <c r="F221" s="3882"/>
      <c r="G221" s="3882"/>
      <c r="H221" s="3882"/>
      <c r="I221" s="2932"/>
      <c r="J221" s="3678" t="str">
        <f>HLOOKUP(select,translations!$A$521:$H$580,32,)</f>
        <v>From drained soils</v>
      </c>
      <c r="K221" s="3678"/>
      <c r="L221" s="3678"/>
      <c r="M221" s="2930"/>
      <c r="N221" s="3034" t="str">
        <f>HLOOKUP(select,translations!$A$521:$H$580,33,)</f>
        <v>From ditches</v>
      </c>
      <c r="O221" s="2927"/>
      <c r="P221" s="2927"/>
      <c r="Q221" s="2290"/>
      <c r="R221" s="3073"/>
      <c r="S221" s="2871"/>
      <c r="T221" s="2871"/>
      <c r="U221" s="2871"/>
      <c r="V221" s="2871"/>
      <c r="W221" s="2871"/>
      <c r="X221" s="1709"/>
      <c r="Y221" s="3084"/>
      <c r="Z221" s="3084"/>
      <c r="AA221" s="3084"/>
    </row>
    <row r="222" spans="3:27" s="1704" customFormat="1">
      <c r="C222" s="2775" t="str">
        <f>B32</f>
        <v>Type of vegetation</v>
      </c>
      <c r="D222" s="2297"/>
      <c r="E222" s="2138"/>
      <c r="F222" s="2139" t="str">
        <f>HLOOKUP(select,translations!$A$209:$H$250,27,)</f>
        <v>Emission factor (t C/ha/yr)</v>
      </c>
      <c r="G222" s="2138"/>
      <c r="H222" s="2138"/>
      <c r="I222" s="2138"/>
      <c r="J222" s="3878" t="str">
        <f>HLOOKUP(select,translations!$A$521:$H$580,35,)</f>
        <v>Emission factor (kg CH4/ha/yr)</v>
      </c>
      <c r="K222" s="3878"/>
      <c r="L222" s="3878"/>
      <c r="M222" s="3717"/>
      <c r="N222" s="3878"/>
      <c r="O222" s="3878"/>
      <c r="P222" s="3878"/>
      <c r="Q222" s="2138"/>
      <c r="R222" s="2139" t="str">
        <f>R232</f>
        <v>N2O Emission factor (kg N2O-N/ha/yr)</v>
      </c>
      <c r="S222" s="2138"/>
      <c r="T222" s="2138"/>
      <c r="U222" s="2138"/>
      <c r="V222" s="2138"/>
      <c r="W222" s="2138"/>
      <c r="X222" s="1709"/>
      <c r="Y222" s="2775" t="str">
        <f>F232</f>
        <v>CO2 Emission factor (t C/ha/yr)</v>
      </c>
      <c r="Z222" s="3084"/>
      <c r="AA222" s="3084"/>
    </row>
    <row r="223" spans="3:27" s="1704" customFormat="1">
      <c r="C223" s="2775" t="str">
        <f>B33</f>
        <v>concerned by drainage</v>
      </c>
      <c r="D223" s="2297"/>
      <c r="E223" s="2290"/>
      <c r="F223" s="2299" t="str">
        <f>F152</f>
        <v>Default</v>
      </c>
      <c r="G223" s="2284"/>
      <c r="H223" s="2299" t="str">
        <f>H152</f>
        <v>Tier 2</v>
      </c>
      <c r="I223" s="2290"/>
      <c r="J223" s="2928" t="str">
        <f>F223</f>
        <v>Default</v>
      </c>
      <c r="K223" s="2928"/>
      <c r="L223" s="2928" t="str">
        <f>H223</f>
        <v>Tier 2</v>
      </c>
      <c r="M223" s="2290"/>
      <c r="N223" s="2928" t="str">
        <f>J223</f>
        <v>Default</v>
      </c>
      <c r="O223" s="2290"/>
      <c r="P223" s="2928" t="str">
        <f>L223</f>
        <v>Tier 2</v>
      </c>
      <c r="Q223" s="2290"/>
      <c r="R223" s="3062" t="str">
        <f>N223</f>
        <v>Default</v>
      </c>
      <c r="S223" s="3062"/>
      <c r="T223" s="3062" t="str">
        <f>P223</f>
        <v>Tier 2</v>
      </c>
      <c r="U223" s="2932"/>
      <c r="V223" s="3065"/>
      <c r="W223" s="3065"/>
      <c r="X223" s="1709"/>
      <c r="Y223" s="3081" t="str">
        <f>F233</f>
        <v>Default</v>
      </c>
      <c r="Z223" s="3081"/>
      <c r="AA223" s="3081" t="str">
        <f>H233</f>
        <v>Tier 2</v>
      </c>
    </row>
    <row r="224" spans="3:27" s="1704" customFormat="1">
      <c r="C224" s="2297" t="str">
        <f>B35</f>
        <v>Forest</v>
      </c>
      <c r="D224" s="2297"/>
      <c r="E224" s="2932"/>
      <c r="F224" s="3071">
        <f>'Organic Soils NEW'!C12</f>
        <v>0</v>
      </c>
      <c r="G224" s="2931"/>
      <c r="H224" s="2929"/>
      <c r="I224" s="2932"/>
      <c r="J224" s="3074">
        <f>'Organic Soils NEW'!C54</f>
        <v>0</v>
      </c>
      <c r="K224" s="2932"/>
      <c r="L224" s="2929"/>
      <c r="M224" s="2932"/>
      <c r="N224" s="3036">
        <f>'Organic Soils NEW'!C64</f>
        <v>0</v>
      </c>
      <c r="O224" s="2932"/>
      <c r="P224" s="2929"/>
      <c r="Q224" s="2932"/>
      <c r="R224" s="2347">
        <f>'Organic Soils NEW'!C87</f>
        <v>0</v>
      </c>
      <c r="S224" s="2932"/>
      <c r="T224" s="3063"/>
      <c r="U224" s="2932"/>
      <c r="V224" s="3065"/>
      <c r="W224" s="3065"/>
      <c r="X224" s="1709"/>
      <c r="Y224" s="3096">
        <f>'Organic Soils NEW'!C107</f>
        <v>0</v>
      </c>
      <c r="Z224" s="3083"/>
      <c r="AA224" s="3082"/>
    </row>
    <row r="225" spans="3:34" s="1704" customFormat="1">
      <c r="C225" s="2297" t="str">
        <f>B36</f>
        <v>Plantation</v>
      </c>
      <c r="D225" s="2297"/>
      <c r="E225" s="2290"/>
      <c r="F225" s="3071">
        <f>'Organic Soils NEW'!C13</f>
        <v>0</v>
      </c>
      <c r="G225" s="2284"/>
      <c r="H225" s="2272"/>
      <c r="I225" s="2290"/>
      <c r="J225" s="3074">
        <f>'Organic Soils NEW'!C55</f>
        <v>0</v>
      </c>
      <c r="K225" s="2290"/>
      <c r="L225" s="2929"/>
      <c r="M225" s="2290"/>
      <c r="N225" s="3036">
        <f>'Organic Soils NEW'!C65</f>
        <v>0</v>
      </c>
      <c r="O225" s="2290"/>
      <c r="P225" s="2929"/>
      <c r="Q225" s="2290"/>
      <c r="R225" s="2347">
        <f>'Organic Soils NEW'!C88</f>
        <v>0</v>
      </c>
      <c r="S225" s="2932"/>
      <c r="T225" s="3063"/>
      <c r="U225" s="2932"/>
      <c r="V225" s="3065"/>
      <c r="W225" s="3065"/>
      <c r="X225" s="1709"/>
      <c r="Y225" s="3096">
        <f>'Organic Soils NEW'!C108</f>
        <v>0</v>
      </c>
      <c r="Z225" s="3083"/>
      <c r="AA225" s="3082"/>
    </row>
    <row r="226" spans="3:34" s="1704" customFormat="1">
      <c r="C226" s="2297" t="str">
        <f>B37</f>
        <v>Annual</v>
      </c>
      <c r="D226" s="2297"/>
      <c r="E226" s="2290"/>
      <c r="F226" s="3071">
        <f>'Organic Soils NEW'!C14</f>
        <v>0</v>
      </c>
      <c r="G226" s="2138"/>
      <c r="H226" s="2272"/>
      <c r="I226" s="2290"/>
      <c r="J226" s="3074">
        <f>'Organic Soils NEW'!C56</f>
        <v>0</v>
      </c>
      <c r="K226" s="2290"/>
      <c r="L226" s="3206"/>
      <c r="M226" s="2290"/>
      <c r="N226" s="3036">
        <f>'Organic Soils NEW'!C66</f>
        <v>0</v>
      </c>
      <c r="O226" s="2290"/>
      <c r="P226" s="3206"/>
      <c r="Q226" s="2290"/>
      <c r="R226" s="2347">
        <f>'Organic Soils NEW'!C89</f>
        <v>0</v>
      </c>
      <c r="S226" s="2932"/>
      <c r="T226" s="3206"/>
      <c r="U226" s="2932"/>
      <c r="V226" s="3065"/>
      <c r="W226" s="3065"/>
      <c r="X226" s="1709"/>
      <c r="Y226" s="3096">
        <f>'Organic Soils NEW'!C109</f>
        <v>0</v>
      </c>
      <c r="Z226" s="3083"/>
      <c r="AA226" s="3206"/>
    </row>
    <row r="227" spans="3:34" s="1704" customFormat="1">
      <c r="C227" s="2297" t="str">
        <f>B38</f>
        <v>Perennial</v>
      </c>
      <c r="D227" s="2297"/>
      <c r="E227" s="2290"/>
      <c r="F227" s="3071">
        <f>'Organic Soils NEW'!C15</f>
        <v>0</v>
      </c>
      <c r="G227" s="2138"/>
      <c r="H227" s="2272"/>
      <c r="I227" s="2290"/>
      <c r="J227" s="3074">
        <f>'Organic Soils NEW'!C57</f>
        <v>0</v>
      </c>
      <c r="K227" s="2290"/>
      <c r="L227" s="3206"/>
      <c r="M227" s="2290"/>
      <c r="N227" s="3036">
        <f>'Organic Soils NEW'!C67</f>
        <v>0</v>
      </c>
      <c r="O227" s="2290"/>
      <c r="P227" s="3206"/>
      <c r="Q227" s="2290"/>
      <c r="R227" s="2347">
        <f>'Organic Soils NEW'!C90</f>
        <v>0</v>
      </c>
      <c r="S227" s="2932"/>
      <c r="T227" s="3206"/>
      <c r="U227" s="2932"/>
      <c r="V227" s="3065"/>
      <c r="W227" s="3065"/>
      <c r="X227" s="1709"/>
      <c r="Y227" s="3096">
        <f>'Organic Soils NEW'!C110</f>
        <v>0</v>
      </c>
      <c r="Z227" s="3083"/>
      <c r="AA227" s="3206"/>
    </row>
    <row r="228" spans="3:34" s="1704" customFormat="1">
      <c r="C228" s="2297" t="str">
        <f>B39</f>
        <v>Grassland</v>
      </c>
      <c r="D228" s="2297"/>
      <c r="E228" s="2290"/>
      <c r="F228" s="3071">
        <f>'Organic Soils NEW'!C16</f>
        <v>0</v>
      </c>
      <c r="G228" s="2138"/>
      <c r="H228" s="2272"/>
      <c r="I228" s="2290"/>
      <c r="J228" s="3074">
        <f>'Organic Soils NEW'!C58</f>
        <v>0</v>
      </c>
      <c r="K228" s="2290"/>
      <c r="L228" s="2929"/>
      <c r="M228" s="2290"/>
      <c r="N228" s="3036">
        <f>'Organic Soils NEW'!C68</f>
        <v>0</v>
      </c>
      <c r="O228" s="2290"/>
      <c r="P228" s="2929"/>
      <c r="Q228" s="2290"/>
      <c r="R228" s="2347">
        <f>'Organic Soils NEW'!C91</f>
        <v>0</v>
      </c>
      <c r="S228" s="2932"/>
      <c r="T228" s="3063"/>
      <c r="U228" s="2932"/>
      <c r="V228" s="3065"/>
      <c r="W228" s="3065"/>
      <c r="X228" s="1709"/>
      <c r="Y228" s="3096">
        <f>'Organic Soils NEW'!C111</f>
        <v>0</v>
      </c>
      <c r="Z228" s="3083"/>
      <c r="AA228" s="3082"/>
    </row>
    <row r="229" spans="3:34" s="1704" customFormat="1">
      <c r="C229" s="2833"/>
      <c r="D229" s="2833"/>
      <c r="E229" s="1709"/>
      <c r="F229" s="1709"/>
      <c r="I229" s="1709"/>
      <c r="J229" s="1709"/>
      <c r="K229" s="1709"/>
      <c r="L229" s="1709"/>
      <c r="M229" s="1709"/>
      <c r="N229" s="1709"/>
      <c r="O229" s="1709"/>
      <c r="P229" s="1709"/>
      <c r="Q229" s="1709"/>
      <c r="R229" s="1709"/>
      <c r="S229" s="1709"/>
      <c r="T229" s="1709"/>
      <c r="U229" s="1709"/>
      <c r="V229" s="1709"/>
      <c r="W229" s="1709"/>
      <c r="X229" s="1709"/>
      <c r="Y229" s="1709"/>
      <c r="Z229" s="1709"/>
    </row>
    <row r="230" spans="3:34" s="1704" customFormat="1">
      <c r="C230" s="2775" t="str">
        <f>HLOOKUP(select,translations!$A$209:$H$250,28,)</f>
        <v>On-site Emissions from active peat extraction</v>
      </c>
      <c r="D230" s="2297"/>
      <c r="E230" s="2330"/>
      <c r="F230" s="2330"/>
      <c r="G230" s="2138"/>
      <c r="H230" s="2138"/>
      <c r="I230" s="2330"/>
      <c r="J230" s="2330"/>
      <c r="K230" s="2330"/>
      <c r="L230" s="2330"/>
      <c r="M230" s="2330"/>
      <c r="N230" s="2330"/>
      <c r="O230" s="2330"/>
      <c r="P230" s="2330"/>
      <c r="Q230" s="2330"/>
      <c r="R230" s="2932"/>
      <c r="S230" s="2932"/>
      <c r="T230" s="2932"/>
      <c r="U230" s="2932"/>
      <c r="V230" s="3065"/>
      <c r="W230" s="3065"/>
      <c r="X230" s="1709"/>
      <c r="Y230" s="2775" t="str">
        <f>Y219</f>
        <v>Off-site  emissions</v>
      </c>
      <c r="Z230" s="3081"/>
      <c r="AA230" s="2139"/>
      <c r="AC230" s="3884" t="str">
        <f>HLOOKUP(select,translations!$A$521:$H$580,39,)</f>
        <v>CO2 emission from peat use</v>
      </c>
      <c r="AD230" s="3884"/>
      <c r="AE230" s="3884"/>
      <c r="AF230" s="3884"/>
      <c r="AG230" s="3884"/>
      <c r="AH230" s="3884"/>
    </row>
    <row r="231" spans="3:34" s="1704" customFormat="1">
      <c r="C231" s="2775"/>
      <c r="D231" s="2297"/>
      <c r="E231" s="3139"/>
      <c r="F231" s="3139"/>
      <c r="G231" s="2138"/>
      <c r="H231" s="2138"/>
      <c r="I231" s="3139"/>
      <c r="J231" s="3139"/>
      <c r="K231" s="3139"/>
      <c r="L231" s="3139"/>
      <c r="M231" s="3139"/>
      <c r="N231" s="3139"/>
      <c r="O231" s="3139"/>
      <c r="P231" s="3139"/>
      <c r="Q231" s="3139"/>
      <c r="R231" s="3139"/>
      <c r="S231" s="3139"/>
      <c r="T231" s="3139"/>
      <c r="U231" s="3139"/>
      <c r="V231" s="3139"/>
      <c r="W231" s="3139"/>
      <c r="X231" s="1709"/>
      <c r="Y231" s="2775" t="str">
        <f>Y220</f>
        <v>via waterborn carbon lossses</v>
      </c>
      <c r="Z231" s="3136"/>
      <c r="AA231" s="2139"/>
      <c r="AC231" s="3884"/>
      <c r="AD231" s="3884"/>
      <c r="AE231" s="3884"/>
      <c r="AF231" s="3884"/>
      <c r="AG231" s="3884"/>
      <c r="AH231" s="3884"/>
    </row>
    <row r="232" spans="3:34" s="1704" customFormat="1" ht="13.15" customHeight="1">
      <c r="C232" s="2775" t="str">
        <f>B46</f>
        <v>Type of peat</v>
      </c>
      <c r="D232" s="2297"/>
      <c r="E232" s="2138"/>
      <c r="F232" s="2869" t="str">
        <f>HLOOKUP(select,translations!$A$209:$H$250,29,)</f>
        <v>CO2 Emission factor (t C/ha/yr)</v>
      </c>
      <c r="G232" s="2873"/>
      <c r="H232" s="2873"/>
      <c r="I232" s="3100"/>
      <c r="J232" s="2138"/>
      <c r="K232" s="3034" t="str">
        <f>HLOOKUP(select,translations!$A$521:$H$580,38,)</f>
        <v>CH4 Emission factor (kg CH4/ha/yr)</v>
      </c>
      <c r="L232" s="3073"/>
      <c r="M232" s="2871"/>
      <c r="N232" s="2871"/>
      <c r="O232" s="2873"/>
      <c r="P232" s="2873"/>
      <c r="Q232" s="2138"/>
      <c r="R232" s="2869" t="str">
        <f>HLOOKUP(select,translations!$A$209:$H$250,30,)</f>
        <v>N2O Emission factor (kg N2O-N/ha/yr)</v>
      </c>
      <c r="S232" s="2873"/>
      <c r="T232" s="2873"/>
      <c r="U232" s="2873"/>
      <c r="V232" s="2873"/>
      <c r="W232" s="2873"/>
      <c r="X232" s="1709"/>
      <c r="Y232" s="2775" t="str">
        <f>Y222</f>
        <v>CO2 Emission factor (t C/ha/yr)</v>
      </c>
      <c r="Z232" s="3081"/>
      <c r="AA232" s="2139"/>
      <c r="AC232" s="2139" t="str">
        <f>HLOOKUP(select,translations!$A$521:$H$580,40,)</f>
        <v>Peat density (t/m3)</v>
      </c>
      <c r="AD232" s="2138"/>
      <c r="AE232" s="2138"/>
      <c r="AF232" s="2138"/>
      <c r="AG232" s="3884" t="str">
        <f>HLOOKUP(select,translations!$A$521:$H$580,41,)</f>
        <v>Use for Energy?</v>
      </c>
      <c r="AH232" s="3884"/>
    </row>
    <row r="233" spans="3:34" s="1704" customFormat="1">
      <c r="C233" s="2297"/>
      <c r="D233" s="2297"/>
      <c r="E233" s="2330"/>
      <c r="F233" s="2327" t="str">
        <f>F223</f>
        <v>Default</v>
      </c>
      <c r="G233" s="2328"/>
      <c r="H233" s="2327" t="str">
        <f>H223</f>
        <v>Tier 2</v>
      </c>
      <c r="I233" s="2330"/>
      <c r="J233" s="2330"/>
      <c r="K233" s="2330"/>
      <c r="L233" s="2139" t="str">
        <f>F233</f>
        <v>Default</v>
      </c>
      <c r="M233" s="3064" t="str">
        <f>H233</f>
        <v>Tier 2</v>
      </c>
      <c r="N233" s="3065"/>
      <c r="O233" s="2330"/>
      <c r="P233" s="2330"/>
      <c r="Q233" s="2330"/>
      <c r="R233" s="2327" t="str">
        <f>F233</f>
        <v>Default</v>
      </c>
      <c r="S233" s="2328"/>
      <c r="T233" s="2327" t="str">
        <f>R233</f>
        <v>Default</v>
      </c>
      <c r="U233" s="2932"/>
      <c r="V233" s="3065"/>
      <c r="W233" s="3065"/>
      <c r="X233" s="1709"/>
      <c r="Y233" s="3081" t="str">
        <f>Y223</f>
        <v>Default</v>
      </c>
      <c r="Z233" s="3081"/>
      <c r="AA233" s="2139" t="str">
        <f>AA223</f>
        <v>Tier 2</v>
      </c>
      <c r="AC233" s="3269" t="str">
        <f>Y233</f>
        <v>Default</v>
      </c>
      <c r="AD233" s="2139"/>
      <c r="AE233" s="2139" t="str">
        <f>AA233</f>
        <v>Tier 2</v>
      </c>
      <c r="AF233" s="2138"/>
      <c r="AG233" s="3884"/>
      <c r="AH233" s="3884"/>
    </row>
    <row r="234" spans="3:34" s="1704" customFormat="1">
      <c r="C234" s="2834" t="str">
        <f>B49</f>
        <v>Nutrient-poor peat</v>
      </c>
      <c r="D234" s="2835"/>
      <c r="E234" s="2330"/>
      <c r="F234" s="2341">
        <f>'Organic Soils NEW'!C23</f>
        <v>0</v>
      </c>
      <c r="G234" s="2328"/>
      <c r="H234" s="2325"/>
      <c r="I234" s="2330"/>
      <c r="J234" s="2330"/>
      <c r="K234" s="2330"/>
      <c r="L234" s="2347">
        <f>'Organic Soils NEW'!C78</f>
        <v>0</v>
      </c>
      <c r="M234" s="3063"/>
      <c r="N234" s="3065"/>
      <c r="O234" s="2330"/>
      <c r="P234" s="2330"/>
      <c r="Q234" s="2330"/>
      <c r="R234" s="2347">
        <f>'Organic Soils NEW'!C40</f>
        <v>0</v>
      </c>
      <c r="S234" s="2330"/>
      <c r="T234" s="2325"/>
      <c r="U234" s="2932"/>
      <c r="V234" s="3065"/>
      <c r="W234" s="3065"/>
      <c r="X234" s="1709"/>
      <c r="Y234" s="3096">
        <f>'Organic Soils NEW'!C118</f>
        <v>0</v>
      </c>
      <c r="Z234" s="3083"/>
      <c r="AA234" s="3082"/>
      <c r="AC234" s="2347">
        <f>'Organic Soils NEW'!V31</f>
        <v>0</v>
      </c>
      <c r="AD234" s="2138"/>
      <c r="AE234" s="2313"/>
      <c r="AF234" s="2138"/>
      <c r="AG234" s="3168" t="s">
        <v>354</v>
      </c>
      <c r="AH234" s="2138"/>
    </row>
    <row r="235" spans="3:34" s="1704" customFormat="1">
      <c r="C235" s="2834" t="str">
        <f>B50</f>
        <v>Nutrient Rich</v>
      </c>
      <c r="D235" s="2835"/>
      <c r="E235" s="2330"/>
      <c r="F235" s="2341">
        <f>'Organic Soils NEW'!C24</f>
        <v>0</v>
      </c>
      <c r="G235" s="2138"/>
      <c r="H235" s="2325"/>
      <c r="I235" s="2330"/>
      <c r="J235" s="2330"/>
      <c r="K235" s="2330"/>
      <c r="L235" s="2347">
        <f>'Organic Soils NEW'!C79</f>
        <v>0</v>
      </c>
      <c r="M235" s="3063"/>
      <c r="N235" s="3065"/>
      <c r="O235" s="2330"/>
      <c r="P235" s="2330"/>
      <c r="Q235" s="2330"/>
      <c r="R235" s="2347">
        <f>'Organic Soils NEW'!C41</f>
        <v>0</v>
      </c>
      <c r="S235" s="2330"/>
      <c r="T235" s="2325"/>
      <c r="U235" s="2932"/>
      <c r="V235" s="3065"/>
      <c r="W235" s="3065"/>
      <c r="X235" s="1709"/>
      <c r="Y235" s="3096">
        <f>'Organic Soils NEW'!C119</f>
        <v>0</v>
      </c>
      <c r="Z235" s="3083"/>
      <c r="AA235" s="3082"/>
      <c r="AC235" s="2347">
        <f>'Organic Soils NEW'!V32</f>
        <v>0</v>
      </c>
      <c r="AD235" s="2138"/>
      <c r="AE235" s="2313"/>
      <c r="AF235" s="2138"/>
      <c r="AG235" s="3168" t="s">
        <v>354</v>
      </c>
      <c r="AH235" s="2138"/>
    </row>
    <row r="236" spans="3:34" s="1704" customFormat="1">
      <c r="E236" s="1709"/>
      <c r="F236" s="1709"/>
      <c r="I236" s="1709"/>
      <c r="J236" s="1709"/>
      <c r="K236" s="1709"/>
      <c r="L236" s="1709"/>
      <c r="M236" s="1709"/>
      <c r="N236" s="1709"/>
      <c r="O236" s="1709"/>
      <c r="P236" s="1709"/>
      <c r="Q236" s="1709"/>
      <c r="R236" s="1709"/>
      <c r="S236" s="1709"/>
      <c r="T236" s="1709"/>
      <c r="U236" s="1709"/>
      <c r="V236" s="1709"/>
      <c r="W236" s="1709"/>
      <c r="X236" s="1709"/>
      <c r="Y236" s="1709"/>
      <c r="Z236" s="1709"/>
    </row>
    <row r="237" spans="3:34" s="1704" customFormat="1">
      <c r="C237" s="2139" t="str">
        <f>HLOOKUP(select,translations!$A$521:$H$580,42,)</f>
        <v>Emissions factors for the rewetting of organic soils</v>
      </c>
      <c r="D237" s="2138"/>
      <c r="E237" s="3084"/>
      <c r="F237" s="3084"/>
      <c r="G237" s="2138"/>
      <c r="H237" s="2138"/>
      <c r="I237" s="3084"/>
      <c r="J237" s="3084"/>
      <c r="K237" s="3084"/>
      <c r="L237" s="3084"/>
      <c r="M237" s="3084"/>
      <c r="N237" s="3084"/>
      <c r="O237" s="3084"/>
      <c r="P237" s="3084"/>
      <c r="Q237" s="3084"/>
      <c r="R237" s="3084"/>
      <c r="S237" s="3084"/>
      <c r="T237" s="3084"/>
      <c r="U237" s="3084"/>
      <c r="V237" s="3084"/>
      <c r="W237" s="3084"/>
      <c r="X237" s="1709"/>
      <c r="Y237" s="2775" t="str">
        <f>Y230</f>
        <v>Off-site  emissions</v>
      </c>
      <c r="Z237" s="3081"/>
      <c r="AA237" s="2139"/>
    </row>
    <row r="238" spans="3:34" s="1704" customFormat="1">
      <c r="C238" s="2139"/>
      <c r="D238" s="2138"/>
      <c r="E238" s="3139"/>
      <c r="F238" s="3139"/>
      <c r="G238" s="2138"/>
      <c r="H238" s="2138"/>
      <c r="I238" s="3139"/>
      <c r="J238" s="3139"/>
      <c r="K238" s="3139"/>
      <c r="L238" s="3139"/>
      <c r="M238" s="3139"/>
      <c r="N238" s="3139"/>
      <c r="O238" s="3139"/>
      <c r="P238" s="3139"/>
      <c r="Q238" s="3139"/>
      <c r="R238" s="3139"/>
      <c r="S238" s="3139"/>
      <c r="T238" s="3139"/>
      <c r="U238" s="3139"/>
      <c r="V238" s="3139"/>
      <c r="W238" s="3139"/>
      <c r="X238" s="1709"/>
      <c r="Y238" s="2775" t="str">
        <f>Y231</f>
        <v>via waterborn carbon lossses</v>
      </c>
      <c r="Z238" s="3136"/>
      <c r="AA238" s="2139"/>
    </row>
    <row r="239" spans="3:34" s="1704" customFormat="1">
      <c r="C239" s="2139" t="str">
        <f>C232</f>
        <v>Type of peat</v>
      </c>
      <c r="D239" s="2139"/>
      <c r="E239" s="3081"/>
      <c r="F239" s="3034" t="str">
        <f>F232</f>
        <v>CO2 Emission factor (t C/ha/yr)</v>
      </c>
      <c r="G239" s="2869"/>
      <c r="H239" s="2869"/>
      <c r="I239" s="2871"/>
      <c r="J239" s="3084"/>
      <c r="K239" s="3034" t="str">
        <f>K232</f>
        <v>CH4 Emission factor (kg CH4/ha/yr)</v>
      </c>
      <c r="L239" s="3034"/>
      <c r="M239" s="2871"/>
      <c r="N239" s="2871"/>
      <c r="O239" s="2871"/>
      <c r="P239" s="2871"/>
      <c r="Q239" s="3081"/>
      <c r="R239" s="3034" t="str">
        <f>R232</f>
        <v>N2O Emission factor (kg N2O-N/ha/yr)</v>
      </c>
      <c r="S239" s="3080"/>
      <c r="T239" s="3080"/>
      <c r="U239" s="2871"/>
      <c r="V239" s="2871"/>
      <c r="W239" s="2871"/>
      <c r="X239" s="1709"/>
      <c r="Y239" s="2775" t="str">
        <f>Y232</f>
        <v>CO2 Emission factor (t C/ha/yr)</v>
      </c>
      <c r="Z239" s="3081"/>
      <c r="AA239" s="2139"/>
    </row>
    <row r="240" spans="3:34" s="1704" customFormat="1">
      <c r="C240" s="2139"/>
      <c r="D240" s="2139"/>
      <c r="E240" s="3081"/>
      <c r="F240" s="3081" t="str">
        <f>F233</f>
        <v>Default</v>
      </c>
      <c r="G240" s="2139"/>
      <c r="H240" s="3081" t="str">
        <f>H233</f>
        <v>Tier 2</v>
      </c>
      <c r="I240" s="3084"/>
      <c r="J240" s="3084"/>
      <c r="K240" s="3084"/>
      <c r="L240" s="3081" t="str">
        <f>L233</f>
        <v>Default</v>
      </c>
      <c r="M240" s="3081" t="str">
        <f>M233</f>
        <v>Tier 2</v>
      </c>
      <c r="N240" s="3084"/>
      <c r="O240" s="3084"/>
      <c r="P240" s="3084"/>
      <c r="Q240" s="3081"/>
      <c r="R240" s="3081" t="str">
        <f>R233</f>
        <v>Default</v>
      </c>
      <c r="S240" s="3081"/>
      <c r="T240" s="3081" t="str">
        <f>T233</f>
        <v>Default</v>
      </c>
      <c r="U240" s="3084"/>
      <c r="V240" s="3084"/>
      <c r="W240" s="3084"/>
      <c r="X240" s="1709"/>
      <c r="Y240" s="3081" t="str">
        <f>Y233</f>
        <v>Default</v>
      </c>
      <c r="Z240" s="3081"/>
      <c r="AA240" s="2139" t="str">
        <f>AA233</f>
        <v>Tier 2</v>
      </c>
    </row>
    <row r="241" spans="3:27" s="1704" customFormat="1">
      <c r="C241" s="2138" t="str">
        <f>C234</f>
        <v>Nutrient-poor peat</v>
      </c>
      <c r="D241" s="2138"/>
      <c r="E241" s="3084"/>
      <c r="F241" s="3096">
        <f>'Organic Soils NEW'!C128</f>
        <v>0</v>
      </c>
      <c r="G241" s="3083"/>
      <c r="H241" s="2868"/>
      <c r="I241" s="3084"/>
      <c r="J241" s="3084"/>
      <c r="K241" s="3084"/>
      <c r="L241" s="3036">
        <f>'Organic Soils NEW'!C144</f>
        <v>0</v>
      </c>
      <c r="M241" s="3082"/>
      <c r="N241" s="3084"/>
      <c r="O241" s="3084"/>
      <c r="P241" s="3084"/>
      <c r="Q241" s="3084"/>
      <c r="R241" s="3036">
        <f>'Organic Soils NEW'!C152</f>
        <v>0</v>
      </c>
      <c r="S241" s="3084"/>
      <c r="T241" s="3082"/>
      <c r="U241" s="3084"/>
      <c r="V241" s="3084"/>
      <c r="W241" s="3084"/>
      <c r="X241" s="1709"/>
      <c r="Y241" s="3096">
        <f>'Organic Soils NEW'!C136</f>
        <v>0</v>
      </c>
      <c r="Z241" s="3083"/>
      <c r="AA241" s="3082"/>
    </row>
    <row r="242" spans="3:27" s="1704" customFormat="1">
      <c r="C242" s="2138" t="str">
        <f>C235</f>
        <v>Nutrient Rich</v>
      </c>
      <c r="D242" s="2138"/>
      <c r="E242" s="3084"/>
      <c r="F242" s="3096">
        <f>'Organic Soils NEW'!C129</f>
        <v>0</v>
      </c>
      <c r="G242" s="2138"/>
      <c r="H242" s="2868"/>
      <c r="I242" s="3084"/>
      <c r="J242" s="3084"/>
      <c r="K242" s="3084"/>
      <c r="L242" s="3036">
        <f>'Organic Soils NEW'!C145</f>
        <v>0</v>
      </c>
      <c r="M242" s="3082"/>
      <c r="N242" s="3084"/>
      <c r="O242" s="3084"/>
      <c r="P242" s="3084"/>
      <c r="Q242" s="3084"/>
      <c r="R242" s="3036">
        <f>'Organic Soils NEW'!C153</f>
        <v>0</v>
      </c>
      <c r="S242" s="3084"/>
      <c r="T242" s="3082"/>
      <c r="U242" s="3084"/>
      <c r="V242" s="3084"/>
      <c r="W242" s="3084"/>
      <c r="X242" s="1709"/>
      <c r="Y242" s="3096">
        <f>'Organic Soils NEW'!C137</f>
        <v>0</v>
      </c>
      <c r="Z242" s="3083"/>
      <c r="AA242" s="3082"/>
    </row>
    <row r="243" spans="3:27" s="1704" customFormat="1">
      <c r="E243" s="1709"/>
      <c r="F243" s="1709"/>
      <c r="I243" s="1709"/>
      <c r="J243" s="1709"/>
      <c r="K243" s="1709"/>
      <c r="L243" s="1709"/>
      <c r="M243" s="1709"/>
      <c r="N243" s="1709"/>
      <c r="O243" s="1709"/>
      <c r="P243" s="1709"/>
      <c r="Q243" s="1709"/>
      <c r="R243" s="1709"/>
      <c r="S243" s="1709"/>
      <c r="T243" s="1709"/>
      <c r="U243" s="1709"/>
      <c r="V243" s="1709"/>
      <c r="W243" s="1709"/>
      <c r="X243" s="1709"/>
      <c r="Y243" s="1709"/>
      <c r="Z243" s="1709"/>
    </row>
    <row r="244" spans="3:27" s="1704" customFormat="1">
      <c r="C244" s="2139" t="str">
        <f>HLOOKUP(select,translations!$A$521:$H$580,43,)</f>
        <v>Emissions factors for organic soil fires for each gas (g per kg dry matter burnt)</v>
      </c>
      <c r="D244" s="2138"/>
      <c r="E244" s="3093"/>
      <c r="F244" s="3093"/>
      <c r="G244" s="2138"/>
      <c r="H244" s="2138"/>
      <c r="I244" s="3093"/>
      <c r="J244" s="3093"/>
      <c r="K244" s="3093"/>
      <c r="L244" s="3093"/>
      <c r="M244" s="3093"/>
      <c r="N244" s="3093"/>
      <c r="O244" s="3093"/>
      <c r="P244" s="3093"/>
      <c r="Q244" s="3093"/>
      <c r="R244" s="3093"/>
      <c r="S244" s="3093"/>
      <c r="T244" s="3093"/>
      <c r="U244" s="3093"/>
      <c r="V244" s="3093"/>
      <c r="W244" s="3093"/>
      <c r="X244" s="1709"/>
      <c r="Y244" s="1709"/>
      <c r="Z244" s="1709"/>
    </row>
    <row r="245" spans="3:27" s="1704" customFormat="1">
      <c r="C245" s="2138" t="str">
        <f>B68</f>
        <v>Fire Type</v>
      </c>
      <c r="D245" s="2138"/>
      <c r="E245" s="3093"/>
      <c r="F245" s="3034" t="str">
        <f>HLOOKUP(select,translations!$A$521:$H$580,44,)</f>
        <v>CO2 Emission Factor</v>
      </c>
      <c r="G245" s="2869"/>
      <c r="H245" s="2869"/>
      <c r="I245" s="2279"/>
      <c r="J245" s="3034" t="str">
        <f>HLOOKUP(select,translations!$A$521:$H$580,45,)</f>
        <v>CO Emission Factor</v>
      </c>
      <c r="K245" s="3034"/>
      <c r="L245" s="2871"/>
      <c r="M245" s="2138"/>
      <c r="N245" s="3034" t="str">
        <f>HLOOKUP(select,translations!$A$521:$H$580,46,)</f>
        <v>CH4 Emission Factor</v>
      </c>
      <c r="O245" s="3089"/>
      <c r="P245" s="3089"/>
      <c r="Q245" s="3090"/>
      <c r="R245" s="3093"/>
      <c r="S245" s="2869" t="str">
        <f>HLOOKUP(select,translations!$A$521:$H$580,47,)</f>
        <v>Mean Dry Matter (t DM/ha)</v>
      </c>
      <c r="T245" s="2869"/>
      <c r="U245" s="3089"/>
      <c r="V245" s="3089"/>
      <c r="W245" s="3093"/>
      <c r="X245" s="1709"/>
      <c r="Y245" s="1709"/>
      <c r="Z245" s="1709"/>
    </row>
    <row r="246" spans="3:27" s="1704" customFormat="1">
      <c r="C246" s="2138"/>
      <c r="D246" s="2138"/>
      <c r="E246" s="3093"/>
      <c r="F246" s="3117" t="str">
        <f>F240</f>
        <v>Default</v>
      </c>
      <c r="G246" s="3090"/>
      <c r="H246" s="3090" t="str">
        <f>H240</f>
        <v>Tier 2</v>
      </c>
      <c r="I246" s="3093"/>
      <c r="J246" s="3093"/>
      <c r="K246" s="3117" t="str">
        <f>L240</f>
        <v>Default</v>
      </c>
      <c r="L246" s="3090" t="str">
        <f>M240</f>
        <v>Tier 2</v>
      </c>
      <c r="M246" s="3093"/>
      <c r="N246" s="3090" t="str">
        <f>R240</f>
        <v>Default</v>
      </c>
      <c r="O246" s="3090"/>
      <c r="P246" s="3090" t="str">
        <f>L246</f>
        <v>Tier 2</v>
      </c>
      <c r="Q246" s="3090"/>
      <c r="R246" s="3093"/>
      <c r="S246" s="3090"/>
      <c r="T246" s="3090" t="str">
        <f>N246</f>
        <v>Default</v>
      </c>
      <c r="U246" s="3090" t="str">
        <f>P246</f>
        <v>Tier 2</v>
      </c>
      <c r="V246" s="3090"/>
      <c r="W246" s="3093"/>
      <c r="X246" s="1709"/>
      <c r="Y246" s="1709"/>
      <c r="Z246" s="1709"/>
    </row>
    <row r="247" spans="3:27" s="1704" customFormat="1">
      <c r="C247" s="2138" t="str">
        <f>B72</f>
        <v>Wildfire (drained peat)</v>
      </c>
      <c r="D247" s="2138"/>
      <c r="E247" s="3093"/>
      <c r="F247" s="3124">
        <f>'Organic Soils NEW'!C160</f>
        <v>0</v>
      </c>
      <c r="G247" s="3092"/>
      <c r="H247" s="3091"/>
      <c r="I247" s="3093"/>
      <c r="J247" s="3036">
        <f>'Organic Soils NEW'!C168</f>
        <v>0</v>
      </c>
      <c r="K247" s="3036"/>
      <c r="L247" s="3091"/>
      <c r="M247" s="3093"/>
      <c r="N247" s="3036">
        <f>'Organic Soils NEW'!C176</f>
        <v>0</v>
      </c>
      <c r="O247" s="3093"/>
      <c r="P247" s="3091"/>
      <c r="Q247" s="3093"/>
      <c r="R247" s="3093"/>
      <c r="S247" s="3093"/>
      <c r="T247" s="3036">
        <f>'Organic Soils NEW'!C184</f>
        <v>0</v>
      </c>
      <c r="U247" s="2316"/>
      <c r="V247" s="3093"/>
      <c r="W247" s="3093"/>
      <c r="X247" s="1709"/>
      <c r="Y247" s="1709"/>
      <c r="Z247" s="1709"/>
    </row>
    <row r="248" spans="3:27" s="1704" customFormat="1">
      <c r="C248" s="2138" t="str">
        <f>B73</f>
        <v>Wildfire (undrained peat)</v>
      </c>
      <c r="D248" s="2138"/>
      <c r="E248" s="3093"/>
      <c r="F248" s="3124">
        <f>'Organic Soils NEW'!C161</f>
        <v>0</v>
      </c>
      <c r="G248" s="3093"/>
      <c r="H248" s="3091"/>
      <c r="I248" s="3093"/>
      <c r="J248" s="3036">
        <f>'Organic Soils NEW'!C169</f>
        <v>0</v>
      </c>
      <c r="K248" s="3036"/>
      <c r="L248" s="3091"/>
      <c r="M248" s="3093"/>
      <c r="N248" s="3036">
        <f>'Organic Soils NEW'!C177</f>
        <v>0</v>
      </c>
      <c r="O248" s="3093"/>
      <c r="P248" s="3091"/>
      <c r="Q248" s="3093"/>
      <c r="R248" s="3093"/>
      <c r="S248" s="3093"/>
      <c r="T248" s="3036">
        <f>'Organic Soils NEW'!C185</f>
        <v>0</v>
      </c>
      <c r="U248" s="2316"/>
      <c r="V248" s="3093"/>
      <c r="W248" s="3093"/>
      <c r="X248" s="1709"/>
      <c r="Y248" s="1709"/>
      <c r="Z248" s="1709"/>
    </row>
    <row r="249" spans="3:27" s="1704" customFormat="1">
      <c r="C249" s="2138" t="str">
        <f>B74</f>
        <v>Prescribed fire</v>
      </c>
      <c r="D249" s="2138"/>
      <c r="E249" s="3093"/>
      <c r="F249" s="3124">
        <f>'Organic Soils NEW'!C162</f>
        <v>0</v>
      </c>
      <c r="G249" s="3093"/>
      <c r="H249" s="3091"/>
      <c r="I249" s="3093"/>
      <c r="J249" s="3036">
        <f>'Organic Soils NEW'!C170</f>
        <v>0</v>
      </c>
      <c r="K249" s="3036"/>
      <c r="L249" s="3091"/>
      <c r="M249" s="3093"/>
      <c r="N249" s="3036">
        <f>'Organic Soils NEW'!C178</f>
        <v>0</v>
      </c>
      <c r="O249" s="3093"/>
      <c r="P249" s="3091"/>
      <c r="Q249" s="3093"/>
      <c r="R249" s="3093"/>
      <c r="S249" s="3093"/>
      <c r="T249" s="3036">
        <f>'Organic Soils NEW'!C186</f>
        <v>0</v>
      </c>
      <c r="U249" s="2316"/>
      <c r="V249" s="3093"/>
      <c r="W249" s="3093"/>
      <c r="X249" s="1709"/>
      <c r="Y249" s="1709"/>
      <c r="Z249" s="1709"/>
    </row>
    <row r="250" spans="3:27" s="1704" customFormat="1">
      <c r="E250" s="1709"/>
      <c r="F250" s="1709"/>
      <c r="I250" s="1709"/>
      <c r="J250" s="1709"/>
      <c r="K250" s="1709"/>
      <c r="L250" s="1709"/>
      <c r="M250" s="1709"/>
      <c r="N250" s="1709"/>
      <c r="O250" s="1709"/>
      <c r="P250" s="1709"/>
      <c r="Q250" s="1709"/>
      <c r="R250" s="1709"/>
      <c r="S250" s="1709"/>
      <c r="T250" s="1709"/>
      <c r="U250" s="1709"/>
      <c r="V250" s="1709"/>
      <c r="W250" s="1709"/>
      <c r="X250" s="1709"/>
      <c r="Y250" s="1709"/>
      <c r="Z250" s="1709"/>
    </row>
    <row r="251" spans="3:27" s="1704" customFormat="1">
      <c r="E251" s="1709"/>
      <c r="F251" s="1709"/>
      <c r="I251" s="1709"/>
      <c r="J251" s="1709"/>
      <c r="K251" s="1709"/>
      <c r="L251" s="1709"/>
      <c r="M251" s="1709"/>
      <c r="N251" s="1709"/>
      <c r="O251" s="1709"/>
      <c r="P251" s="1709"/>
      <c r="Q251" s="1709"/>
      <c r="R251" s="1709"/>
      <c r="S251" s="1709"/>
      <c r="T251" s="1709"/>
      <c r="U251" s="1709"/>
      <c r="V251" s="1709"/>
      <c r="W251" s="1709"/>
      <c r="X251" s="1709"/>
      <c r="Y251" s="1709"/>
      <c r="Z251" s="1709"/>
    </row>
    <row r="252" spans="3:27" s="1704" customFormat="1">
      <c r="E252" s="1709"/>
      <c r="F252" s="1709"/>
      <c r="I252" s="1709"/>
      <c r="J252" s="1709"/>
      <c r="K252" s="1709"/>
      <c r="L252" s="1709"/>
      <c r="M252" s="1709"/>
      <c r="N252" s="1709"/>
      <c r="O252" s="1709"/>
      <c r="P252" s="1709"/>
      <c r="Q252" s="1709"/>
      <c r="R252" s="1709"/>
      <c r="S252" s="1709"/>
      <c r="T252" s="1709"/>
      <c r="U252" s="1709"/>
      <c r="V252" s="1709"/>
      <c r="W252" s="1709"/>
      <c r="X252" s="1709"/>
      <c r="Y252" s="1709"/>
      <c r="Z252" s="1709"/>
    </row>
    <row r="253" spans="3:27" s="1704" customFormat="1">
      <c r="E253" s="1709"/>
      <c r="F253" s="1709"/>
      <c r="I253" s="1709"/>
      <c r="J253" s="1709"/>
      <c r="K253" s="1709"/>
      <c r="L253" s="1709"/>
      <c r="M253" s="1709"/>
      <c r="N253" s="1709"/>
      <c r="O253" s="1709"/>
      <c r="P253" s="1709"/>
      <c r="Q253" s="1709"/>
      <c r="R253" s="1709"/>
      <c r="S253" s="1709"/>
      <c r="T253" s="1709"/>
      <c r="U253" s="1709"/>
      <c r="V253" s="1709"/>
      <c r="W253" s="1709"/>
      <c r="X253" s="1709"/>
      <c r="Y253" s="1709"/>
      <c r="Z253" s="1709"/>
    </row>
    <row r="254" spans="3:27" s="1704" customFormat="1">
      <c r="E254" s="1709"/>
      <c r="F254" s="1709"/>
      <c r="I254" s="1709"/>
      <c r="J254" s="1709"/>
      <c r="K254" s="1709"/>
      <c r="L254" s="1709"/>
      <c r="M254" s="1709"/>
      <c r="N254" s="1709"/>
      <c r="O254" s="1709"/>
      <c r="P254" s="1709"/>
      <c r="Q254" s="1709"/>
      <c r="R254" s="1709"/>
      <c r="S254" s="1709"/>
      <c r="T254" s="1709"/>
      <c r="U254" s="1709"/>
      <c r="V254" s="1709"/>
      <c r="W254" s="1709"/>
      <c r="X254" s="1709"/>
      <c r="Y254" s="1709"/>
      <c r="Z254" s="1709"/>
    </row>
    <row r="255" spans="3:27" s="1704" customFormat="1">
      <c r="E255" s="1709"/>
      <c r="F255" s="1709"/>
      <c r="I255" s="1709"/>
      <c r="J255" s="1709"/>
      <c r="K255" s="1709"/>
      <c r="L255" s="1709"/>
      <c r="M255" s="1709"/>
      <c r="N255" s="1709"/>
      <c r="O255" s="1709"/>
      <c r="P255" s="1709"/>
      <c r="Q255" s="1709"/>
      <c r="R255" s="1709"/>
      <c r="S255" s="1709"/>
      <c r="T255" s="1709"/>
      <c r="U255" s="1709"/>
      <c r="V255" s="1709"/>
      <c r="W255" s="1709"/>
      <c r="X255" s="1709"/>
      <c r="Y255" s="1709"/>
      <c r="Z255" s="1709"/>
    </row>
    <row r="256" spans="3:27" s="1704" customFormat="1">
      <c r="E256" s="1709"/>
      <c r="F256" s="1709"/>
      <c r="I256" s="1709"/>
      <c r="J256" s="1709"/>
      <c r="K256" s="1709"/>
      <c r="L256" s="1709"/>
      <c r="M256" s="1709"/>
      <c r="N256" s="1709"/>
      <c r="O256" s="1709"/>
      <c r="P256" s="1709"/>
      <c r="Q256" s="1709"/>
      <c r="R256" s="1709"/>
      <c r="S256" s="1709"/>
      <c r="T256" s="1709"/>
      <c r="U256" s="1709"/>
      <c r="V256" s="1709"/>
      <c r="W256" s="1709"/>
      <c r="X256" s="1709"/>
      <c r="Y256" s="1709"/>
      <c r="Z256" s="1709"/>
    </row>
    <row r="257" spans="5:26" s="1704" customFormat="1">
      <c r="E257" s="1709"/>
      <c r="F257" s="1709"/>
      <c r="I257" s="1709"/>
      <c r="J257" s="1709"/>
      <c r="K257" s="1709"/>
      <c r="L257" s="1709"/>
      <c r="M257" s="1709"/>
      <c r="N257" s="1709"/>
      <c r="O257" s="1709"/>
      <c r="P257" s="1709"/>
      <c r="Q257" s="1709"/>
      <c r="R257" s="1709"/>
      <c r="S257" s="1709"/>
      <c r="T257" s="1709"/>
      <c r="U257" s="1709"/>
      <c r="V257" s="1709"/>
      <c r="W257" s="1709"/>
      <c r="X257" s="1709"/>
      <c r="Y257" s="1709"/>
      <c r="Z257" s="1709"/>
    </row>
    <row r="258" spans="5:26" s="1704" customFormat="1">
      <c r="E258" s="1709"/>
      <c r="F258" s="1709"/>
      <c r="I258" s="1709"/>
      <c r="J258" s="1709"/>
      <c r="K258" s="1709"/>
      <c r="L258" s="1709"/>
      <c r="M258" s="1709"/>
      <c r="N258" s="1709"/>
      <c r="O258" s="1709"/>
      <c r="P258" s="1709"/>
      <c r="Q258" s="1709"/>
      <c r="R258" s="1709"/>
      <c r="S258" s="1709"/>
      <c r="T258" s="1709"/>
      <c r="U258" s="1709"/>
      <c r="V258" s="1709"/>
      <c r="W258" s="1709"/>
      <c r="X258" s="1709"/>
      <c r="Y258" s="1709"/>
      <c r="Z258" s="1709"/>
    </row>
    <row r="259" spans="5:26" s="1704" customFormat="1">
      <c r="E259" s="1709"/>
      <c r="F259" s="1709"/>
      <c r="I259" s="1709"/>
      <c r="J259" s="1709"/>
      <c r="K259" s="1709"/>
      <c r="L259" s="1709"/>
      <c r="M259" s="1709"/>
      <c r="N259" s="1709"/>
      <c r="O259" s="1709"/>
      <c r="P259" s="1709"/>
      <c r="Q259" s="1709"/>
      <c r="R259" s="1709"/>
      <c r="S259" s="1709"/>
      <c r="T259" s="1709"/>
      <c r="U259" s="1709"/>
      <c r="V259" s="1709"/>
      <c r="W259" s="1709"/>
      <c r="X259" s="1709"/>
      <c r="Y259" s="1709"/>
      <c r="Z259" s="1709"/>
    </row>
    <row r="260" spans="5:26" s="1704" customFormat="1">
      <c r="E260" s="1709"/>
      <c r="F260" s="1709"/>
      <c r="I260" s="1709"/>
      <c r="J260" s="1709"/>
      <c r="K260" s="1709"/>
      <c r="L260" s="1709"/>
      <c r="M260" s="1709"/>
      <c r="N260" s="1709"/>
      <c r="O260" s="1709"/>
      <c r="P260" s="1709"/>
      <c r="Q260" s="1709"/>
      <c r="R260" s="1709"/>
      <c r="S260" s="1709"/>
      <c r="T260" s="1709"/>
      <c r="U260" s="1709"/>
      <c r="V260" s="1709"/>
      <c r="W260" s="1709"/>
      <c r="X260" s="1709"/>
      <c r="Y260" s="1709"/>
      <c r="Z260" s="1709"/>
    </row>
    <row r="261" spans="5:26" s="1704" customFormat="1">
      <c r="E261" s="1709"/>
      <c r="F261" s="1709"/>
      <c r="I261" s="1709"/>
      <c r="J261" s="1709"/>
      <c r="K261" s="1709"/>
      <c r="L261" s="1709"/>
      <c r="M261" s="1709"/>
      <c r="N261" s="1709"/>
      <c r="O261" s="1709"/>
      <c r="P261" s="1709"/>
      <c r="Q261" s="1709"/>
      <c r="R261" s="1709"/>
      <c r="S261" s="1709"/>
      <c r="T261" s="1709"/>
      <c r="U261" s="1709"/>
      <c r="V261" s="1709"/>
      <c r="W261" s="1709"/>
      <c r="X261" s="1709"/>
      <c r="Y261" s="1709"/>
      <c r="Z261" s="1709"/>
    </row>
    <row r="262" spans="5:26" s="1704" customFormat="1">
      <c r="E262" s="1709"/>
      <c r="F262" s="1709"/>
      <c r="I262" s="1709"/>
      <c r="J262" s="1709"/>
      <c r="K262" s="1709"/>
      <c r="L262" s="1709"/>
      <c r="M262" s="1709"/>
      <c r="N262" s="1709"/>
      <c r="O262" s="1709"/>
      <c r="P262" s="1709"/>
      <c r="Q262" s="1709"/>
      <c r="R262" s="1709"/>
      <c r="S262" s="1709"/>
      <c r="T262" s="1709"/>
      <c r="U262" s="1709"/>
      <c r="V262" s="1709"/>
      <c r="W262" s="1709"/>
      <c r="X262" s="1709"/>
      <c r="Y262" s="1709"/>
      <c r="Z262" s="1709"/>
    </row>
    <row r="263" spans="5:26" s="1704" customFormat="1">
      <c r="E263" s="1709"/>
      <c r="F263" s="1709"/>
      <c r="I263" s="1709"/>
      <c r="J263" s="1709"/>
      <c r="K263" s="1709"/>
      <c r="L263" s="1709"/>
      <c r="M263" s="1709"/>
      <c r="N263" s="1709"/>
      <c r="O263" s="1709"/>
      <c r="P263" s="1709"/>
      <c r="Q263" s="1709"/>
      <c r="R263" s="1709"/>
      <c r="S263" s="1709"/>
      <c r="T263" s="1709"/>
      <c r="U263" s="1709"/>
      <c r="V263" s="1709"/>
      <c r="W263" s="1709"/>
      <c r="X263" s="1709"/>
      <c r="Y263" s="1709"/>
      <c r="Z263" s="1709"/>
    </row>
    <row r="264" spans="5:26" s="1704" customFormat="1">
      <c r="E264" s="1709"/>
      <c r="F264" s="1709"/>
      <c r="I264" s="1709"/>
      <c r="J264" s="1709"/>
      <c r="K264" s="1709"/>
      <c r="L264" s="1709"/>
      <c r="M264" s="1709"/>
      <c r="N264" s="1709"/>
      <c r="O264" s="1709"/>
      <c r="P264" s="1709"/>
      <c r="Q264" s="1709"/>
      <c r="R264" s="1709"/>
      <c r="S264" s="1709"/>
      <c r="T264" s="1709"/>
      <c r="U264" s="1709"/>
      <c r="V264" s="1709"/>
      <c r="W264" s="1709"/>
      <c r="X264" s="1709"/>
      <c r="Y264" s="1709"/>
      <c r="Z264" s="1709"/>
    </row>
    <row r="265" spans="5:26" s="1704" customFormat="1">
      <c r="E265" s="1709"/>
      <c r="F265" s="1709"/>
      <c r="I265" s="1709"/>
      <c r="J265" s="1709"/>
      <c r="K265" s="1709"/>
      <c r="L265" s="1709"/>
      <c r="M265" s="1709"/>
      <c r="N265" s="1709"/>
      <c r="O265" s="1709"/>
      <c r="P265" s="1709"/>
      <c r="Q265" s="1709"/>
      <c r="R265" s="1709"/>
      <c r="S265" s="1709"/>
      <c r="T265" s="1709"/>
      <c r="U265" s="1709"/>
      <c r="V265" s="1709"/>
      <c r="W265" s="1709"/>
      <c r="X265" s="1709"/>
      <c r="Y265" s="1709"/>
      <c r="Z265" s="1709"/>
    </row>
    <row r="266" spans="5:26" s="1704" customFormat="1">
      <c r="E266" s="1709"/>
      <c r="F266" s="1709"/>
      <c r="I266" s="1709"/>
      <c r="J266" s="1709"/>
      <c r="K266" s="1709"/>
      <c r="L266" s="1709"/>
      <c r="M266" s="1709"/>
      <c r="N266" s="1709"/>
      <c r="O266" s="1709"/>
      <c r="P266" s="1709"/>
      <c r="Q266" s="1709"/>
      <c r="R266" s="1709"/>
      <c r="S266" s="1709"/>
      <c r="T266" s="1709"/>
      <c r="U266" s="1709"/>
      <c r="V266" s="1709"/>
      <c r="W266" s="1709"/>
      <c r="X266" s="1709"/>
      <c r="Y266" s="1709"/>
      <c r="Z266" s="1709"/>
    </row>
    <row r="267" spans="5:26" s="1704" customFormat="1">
      <c r="E267" s="1709"/>
      <c r="F267" s="1709"/>
      <c r="I267" s="1709"/>
      <c r="J267" s="1709"/>
      <c r="K267" s="1709"/>
      <c r="L267" s="1709"/>
      <c r="M267" s="1709"/>
      <c r="N267" s="1709"/>
      <c r="O267" s="1709"/>
      <c r="P267" s="1709"/>
      <c r="Q267" s="1709"/>
      <c r="R267" s="1709"/>
      <c r="S267" s="1709"/>
      <c r="T267" s="1709"/>
      <c r="U267" s="1709"/>
      <c r="V267" s="1709"/>
      <c r="W267" s="1709"/>
      <c r="X267" s="1709"/>
      <c r="Y267" s="1709"/>
      <c r="Z267" s="1709"/>
    </row>
    <row r="268" spans="5:26" s="1704" customFormat="1">
      <c r="E268" s="1709"/>
      <c r="F268" s="1709"/>
      <c r="I268" s="1709"/>
      <c r="J268" s="1709"/>
      <c r="K268" s="1709"/>
      <c r="L268" s="1709"/>
      <c r="M268" s="1709"/>
      <c r="N268" s="1709"/>
      <c r="O268" s="1709"/>
      <c r="P268" s="1709"/>
      <c r="Q268" s="1709"/>
      <c r="R268" s="1709"/>
      <c r="S268" s="1709"/>
      <c r="T268" s="1709"/>
      <c r="U268" s="1709"/>
      <c r="V268" s="1709"/>
      <c r="W268" s="1709"/>
      <c r="X268" s="1709"/>
      <c r="Y268" s="1709"/>
      <c r="Z268" s="1709"/>
    </row>
    <row r="269" spans="5:26" s="1704" customFormat="1">
      <c r="E269" s="1709"/>
      <c r="F269" s="1709"/>
      <c r="I269" s="1709"/>
      <c r="J269" s="1709"/>
      <c r="K269" s="1709"/>
      <c r="L269" s="1709"/>
      <c r="M269" s="1709"/>
      <c r="N269" s="1709"/>
      <c r="O269" s="1709"/>
      <c r="P269" s="1709"/>
      <c r="Q269" s="1709"/>
      <c r="R269" s="1709"/>
      <c r="S269" s="1709"/>
      <c r="T269" s="1709"/>
      <c r="U269" s="1709"/>
      <c r="V269" s="1709"/>
      <c r="W269" s="1709"/>
      <c r="X269" s="1709"/>
      <c r="Y269" s="1709"/>
      <c r="Z269" s="1709"/>
    </row>
    <row r="270" spans="5:26" s="1704" customFormat="1">
      <c r="E270" s="1709"/>
      <c r="F270" s="1709"/>
      <c r="I270" s="1709"/>
      <c r="J270" s="1709"/>
      <c r="K270" s="1709"/>
      <c r="L270" s="1709"/>
      <c r="M270" s="1709"/>
      <c r="N270" s="1709"/>
      <c r="O270" s="1709"/>
      <c r="P270" s="1709"/>
      <c r="Q270" s="1709"/>
      <c r="R270" s="1709"/>
      <c r="S270" s="1709"/>
      <c r="T270" s="1709"/>
      <c r="U270" s="1709"/>
      <c r="V270" s="1709"/>
      <c r="W270" s="1709"/>
      <c r="X270" s="1709"/>
      <c r="Y270" s="1709"/>
      <c r="Z270" s="1709"/>
    </row>
    <row r="271" spans="5:26" s="1704" customFormat="1">
      <c r="E271" s="1709"/>
      <c r="F271" s="1709"/>
      <c r="I271" s="1709"/>
      <c r="J271" s="1709"/>
      <c r="K271" s="1709"/>
      <c r="L271" s="1709"/>
      <c r="M271" s="1709"/>
      <c r="N271" s="1709"/>
      <c r="O271" s="1709"/>
      <c r="P271" s="1709"/>
      <c r="Q271" s="1709"/>
      <c r="R271" s="1709"/>
      <c r="S271" s="1709"/>
      <c r="T271" s="1709"/>
      <c r="U271" s="1709"/>
      <c r="V271" s="1709"/>
      <c r="W271" s="1709"/>
      <c r="X271" s="1709"/>
      <c r="Y271" s="1709"/>
      <c r="Z271" s="1709"/>
    </row>
    <row r="272" spans="5:26" s="1704" customFormat="1">
      <c r="E272" s="1709"/>
      <c r="F272" s="1709"/>
      <c r="I272" s="1709"/>
      <c r="J272" s="1709"/>
      <c r="K272" s="1709"/>
      <c r="L272" s="1709"/>
      <c r="M272" s="1709"/>
      <c r="N272" s="1709"/>
      <c r="O272" s="1709"/>
      <c r="P272" s="1709"/>
      <c r="Q272" s="1709"/>
      <c r="R272" s="1709"/>
      <c r="S272" s="1709"/>
      <c r="T272" s="1709"/>
      <c r="U272" s="1709"/>
      <c r="V272" s="1709"/>
      <c r="W272" s="1709"/>
      <c r="X272" s="1709"/>
      <c r="Y272" s="1709"/>
      <c r="Z272" s="1709"/>
    </row>
    <row r="273" spans="5:26" s="1704" customFormat="1">
      <c r="E273" s="1709"/>
      <c r="F273" s="1709"/>
      <c r="I273" s="1709"/>
      <c r="J273" s="1709"/>
      <c r="K273" s="1709"/>
      <c r="L273" s="1709"/>
      <c r="M273" s="1709"/>
      <c r="N273" s="1709"/>
      <c r="O273" s="1709"/>
      <c r="P273" s="1709"/>
      <c r="Q273" s="1709"/>
      <c r="R273" s="1709"/>
      <c r="S273" s="1709"/>
      <c r="T273" s="1709"/>
      <c r="U273" s="1709"/>
      <c r="V273" s="1709"/>
      <c r="W273" s="1709"/>
      <c r="X273" s="1709"/>
      <c r="Y273" s="1709"/>
      <c r="Z273" s="1709"/>
    </row>
    <row r="274" spans="5:26" s="1704" customFormat="1">
      <c r="E274" s="1709"/>
      <c r="F274" s="1709"/>
      <c r="I274" s="1709"/>
      <c r="J274" s="1709"/>
      <c r="K274" s="1709"/>
      <c r="L274" s="1709"/>
      <c r="M274" s="1709"/>
      <c r="N274" s="1709"/>
      <c r="O274" s="1709"/>
      <c r="P274" s="1709"/>
      <c r="Q274" s="1709"/>
      <c r="R274" s="1709"/>
      <c r="S274" s="1709"/>
      <c r="T274" s="1709"/>
      <c r="U274" s="1709"/>
      <c r="V274" s="1709"/>
      <c r="W274" s="1709"/>
      <c r="X274" s="1709"/>
      <c r="Y274" s="1709"/>
      <c r="Z274" s="1709"/>
    </row>
    <row r="275" spans="5:26" s="1704" customFormat="1">
      <c r="E275" s="1709"/>
      <c r="F275" s="1709"/>
      <c r="I275" s="1709"/>
      <c r="J275" s="1709"/>
      <c r="K275" s="1709"/>
      <c r="L275" s="1709"/>
      <c r="M275" s="1709"/>
      <c r="N275" s="1709"/>
      <c r="O275" s="1709"/>
      <c r="P275" s="1709"/>
      <c r="Q275" s="1709"/>
      <c r="R275" s="1709"/>
      <c r="S275" s="1709"/>
      <c r="T275" s="1709"/>
      <c r="U275" s="1709"/>
      <c r="V275" s="1709"/>
      <c r="W275" s="1709"/>
      <c r="X275" s="1709"/>
      <c r="Y275" s="1709"/>
      <c r="Z275" s="1709"/>
    </row>
    <row r="276" spans="5:26" s="1704" customFormat="1">
      <c r="E276" s="1709"/>
      <c r="F276" s="1709"/>
      <c r="I276" s="1709"/>
      <c r="J276" s="1709"/>
      <c r="K276" s="1709"/>
      <c r="L276" s="1709"/>
      <c r="M276" s="1709"/>
      <c r="N276" s="1709"/>
      <c r="O276" s="1709"/>
      <c r="P276" s="1709"/>
      <c r="Q276" s="1709"/>
      <c r="R276" s="1709"/>
      <c r="S276" s="1709"/>
      <c r="T276" s="1709"/>
      <c r="U276" s="1709"/>
      <c r="V276" s="1709"/>
      <c r="W276" s="1709"/>
      <c r="X276" s="1709"/>
      <c r="Y276" s="1709"/>
      <c r="Z276" s="1709"/>
    </row>
    <row r="277" spans="5:26" s="1704" customFormat="1">
      <c r="E277" s="1709"/>
      <c r="F277" s="1709"/>
      <c r="I277" s="1709"/>
      <c r="J277" s="1709"/>
      <c r="K277" s="1709"/>
      <c r="L277" s="1709"/>
      <c r="M277" s="1709"/>
      <c r="N277" s="1709"/>
      <c r="O277" s="1709"/>
      <c r="P277" s="1709"/>
      <c r="Q277" s="1709"/>
      <c r="R277" s="1709"/>
      <c r="S277" s="1709"/>
      <c r="T277" s="1709"/>
      <c r="U277" s="1709"/>
      <c r="V277" s="1709"/>
      <c r="W277" s="1709"/>
      <c r="X277" s="1709"/>
      <c r="Y277" s="1709"/>
      <c r="Z277" s="1709"/>
    </row>
    <row r="278" spans="5:26" s="1704" customFormat="1">
      <c r="E278" s="1709"/>
      <c r="F278" s="1709"/>
      <c r="I278" s="1709"/>
      <c r="J278" s="1709"/>
      <c r="K278" s="1709"/>
      <c r="L278" s="1709"/>
      <c r="M278" s="1709"/>
      <c r="N278" s="1709"/>
      <c r="O278" s="1709"/>
      <c r="P278" s="1709"/>
      <c r="Q278" s="1709"/>
      <c r="R278" s="1709"/>
      <c r="S278" s="1709"/>
      <c r="T278" s="1709"/>
      <c r="U278" s="1709"/>
      <c r="V278" s="1709"/>
      <c r="W278" s="1709"/>
      <c r="X278" s="1709"/>
      <c r="Y278" s="1709"/>
      <c r="Z278" s="1709"/>
    </row>
    <row r="279" spans="5:26" s="1704" customFormat="1">
      <c r="E279" s="1709"/>
      <c r="F279" s="1709"/>
      <c r="I279" s="1709"/>
      <c r="J279" s="1709"/>
      <c r="K279" s="1709"/>
      <c r="L279" s="1709"/>
      <c r="M279" s="1709"/>
      <c r="N279" s="1709"/>
      <c r="O279" s="1709"/>
      <c r="P279" s="1709"/>
      <c r="Q279" s="1709"/>
      <c r="R279" s="1709"/>
      <c r="S279" s="1709"/>
      <c r="T279" s="1709"/>
      <c r="U279" s="1709"/>
      <c r="V279" s="1709"/>
      <c r="W279" s="1709"/>
      <c r="X279" s="1709"/>
      <c r="Y279" s="1709"/>
      <c r="Z279" s="1709"/>
    </row>
    <row r="280" spans="5:26" s="1704" customFormat="1">
      <c r="E280" s="1709"/>
      <c r="F280" s="1709"/>
      <c r="I280" s="1709"/>
      <c r="J280" s="1709"/>
      <c r="K280" s="1709"/>
      <c r="L280" s="1709"/>
      <c r="M280" s="1709"/>
      <c r="N280" s="1709"/>
      <c r="O280" s="1709"/>
      <c r="P280" s="1709"/>
      <c r="Q280" s="1709"/>
      <c r="R280" s="1709"/>
      <c r="S280" s="1709"/>
      <c r="T280" s="1709"/>
      <c r="U280" s="1709"/>
      <c r="V280" s="1709"/>
      <c r="W280" s="1709"/>
      <c r="X280" s="1709"/>
      <c r="Y280" s="1709"/>
      <c r="Z280" s="1709"/>
    </row>
    <row r="281" spans="5:26" s="1704" customFormat="1">
      <c r="E281" s="1709"/>
      <c r="F281" s="1709"/>
      <c r="I281" s="1709"/>
      <c r="J281" s="1709"/>
      <c r="K281" s="1709"/>
      <c r="L281" s="1709"/>
      <c r="M281" s="1709"/>
      <c r="N281" s="1709"/>
      <c r="O281" s="1709"/>
      <c r="P281" s="1709"/>
      <c r="Q281" s="1709"/>
      <c r="R281" s="1709"/>
      <c r="S281" s="1709"/>
      <c r="T281" s="1709"/>
      <c r="U281" s="1709"/>
      <c r="V281" s="1709"/>
      <c r="W281" s="1709"/>
      <c r="X281" s="1709"/>
      <c r="Y281" s="1709"/>
      <c r="Z281" s="1709"/>
    </row>
    <row r="282" spans="5:26" s="1704" customFormat="1">
      <c r="E282" s="1709"/>
      <c r="F282" s="1709"/>
      <c r="I282" s="1709"/>
      <c r="J282" s="1709"/>
      <c r="K282" s="1709"/>
      <c r="L282" s="1709"/>
      <c r="M282" s="1709"/>
      <c r="N282" s="1709"/>
      <c r="O282" s="1709"/>
      <c r="P282" s="1709"/>
      <c r="Q282" s="1709"/>
      <c r="R282" s="1709"/>
      <c r="S282" s="1709"/>
      <c r="T282" s="1709"/>
      <c r="U282" s="1709"/>
      <c r="V282" s="1709"/>
      <c r="W282" s="1709"/>
      <c r="X282" s="1709"/>
      <c r="Y282" s="1709"/>
      <c r="Z282" s="1709"/>
    </row>
    <row r="283" spans="5:26" s="1704" customFormat="1">
      <c r="E283" s="1709"/>
      <c r="F283" s="1709"/>
      <c r="I283" s="1709"/>
      <c r="J283" s="1709"/>
      <c r="K283" s="1709"/>
      <c r="L283" s="1709"/>
      <c r="M283" s="1709"/>
      <c r="N283" s="1709"/>
      <c r="O283" s="1709"/>
      <c r="P283" s="1709"/>
      <c r="Q283" s="1709"/>
      <c r="R283" s="1709"/>
      <c r="S283" s="1709"/>
      <c r="T283" s="1709"/>
      <c r="U283" s="1709"/>
      <c r="V283" s="1709"/>
      <c r="W283" s="1709"/>
      <c r="X283" s="1709"/>
      <c r="Y283" s="1709"/>
      <c r="Z283" s="1709"/>
    </row>
    <row r="284" spans="5:26" s="1704" customFormat="1">
      <c r="E284" s="1709"/>
      <c r="F284" s="1709"/>
      <c r="I284" s="1709"/>
      <c r="J284" s="1709"/>
      <c r="K284" s="1709"/>
      <c r="L284" s="1709"/>
      <c r="M284" s="1709"/>
      <c r="N284" s="1709"/>
      <c r="O284" s="1709"/>
      <c r="P284" s="1709"/>
      <c r="Q284" s="1709"/>
      <c r="R284" s="1709"/>
      <c r="S284" s="1709"/>
      <c r="T284" s="1709"/>
      <c r="U284" s="1709"/>
      <c r="V284" s="1709"/>
      <c r="W284" s="1709"/>
      <c r="X284" s="1709"/>
      <c r="Y284" s="1709"/>
      <c r="Z284" s="1709"/>
    </row>
    <row r="285" spans="5:26" s="1704" customFormat="1">
      <c r="E285" s="1709"/>
      <c r="F285" s="1709"/>
      <c r="I285" s="1709"/>
      <c r="J285" s="1709"/>
      <c r="K285" s="1709"/>
      <c r="L285" s="1709"/>
      <c r="M285" s="1709"/>
      <c r="N285" s="1709"/>
      <c r="O285" s="1709"/>
      <c r="P285" s="1709"/>
      <c r="Q285" s="1709"/>
      <c r="R285" s="1709"/>
      <c r="S285" s="1709"/>
      <c r="T285" s="1709"/>
      <c r="U285" s="1709"/>
      <c r="V285" s="1709"/>
      <c r="W285" s="1709"/>
      <c r="X285" s="1709"/>
      <c r="Y285" s="1709"/>
      <c r="Z285" s="1709"/>
    </row>
    <row r="286" spans="5:26" s="1704" customFormat="1">
      <c r="E286" s="1709"/>
      <c r="F286" s="1709"/>
      <c r="I286" s="1709"/>
      <c r="J286" s="1709"/>
      <c r="K286" s="1709"/>
      <c r="L286" s="1709"/>
      <c r="M286" s="1709"/>
      <c r="N286" s="1709"/>
      <c r="O286" s="1709"/>
      <c r="P286" s="1709"/>
      <c r="Q286" s="1709"/>
      <c r="R286" s="1709"/>
      <c r="S286" s="1709"/>
      <c r="T286" s="1709"/>
      <c r="U286" s="1709"/>
      <c r="V286" s="1709"/>
      <c r="W286" s="1709"/>
      <c r="X286" s="1709"/>
      <c r="Y286" s="1709"/>
      <c r="Z286" s="1709"/>
    </row>
    <row r="287" spans="5:26" s="1704" customFormat="1">
      <c r="E287" s="1709"/>
      <c r="F287" s="1709"/>
      <c r="I287" s="1709"/>
      <c r="J287" s="1709"/>
      <c r="K287" s="1709"/>
      <c r="L287" s="1709"/>
      <c r="M287" s="1709"/>
      <c r="N287" s="1709"/>
      <c r="O287" s="1709"/>
      <c r="P287" s="1709"/>
      <c r="Q287" s="1709"/>
      <c r="R287" s="1709"/>
      <c r="S287" s="1709"/>
      <c r="T287" s="1709"/>
      <c r="U287" s="1709"/>
      <c r="V287" s="1709"/>
      <c r="W287" s="1709"/>
      <c r="X287" s="1709"/>
      <c r="Y287" s="1709"/>
      <c r="Z287" s="1709"/>
    </row>
    <row r="288" spans="5:26" s="1704" customFormat="1">
      <c r="E288" s="1709"/>
      <c r="F288" s="1709"/>
      <c r="I288" s="1709"/>
      <c r="J288" s="1709"/>
      <c r="K288" s="1709"/>
      <c r="L288" s="1709"/>
      <c r="M288" s="1709"/>
      <c r="N288" s="1709"/>
      <c r="O288" s="1709"/>
      <c r="P288" s="1709"/>
      <c r="Q288" s="1709"/>
      <c r="R288" s="1709"/>
      <c r="S288" s="1709"/>
      <c r="T288" s="1709"/>
      <c r="U288" s="1709"/>
      <c r="V288" s="1709"/>
      <c r="W288" s="1709"/>
      <c r="X288" s="1709"/>
      <c r="Y288" s="1709"/>
      <c r="Z288" s="1709"/>
    </row>
    <row r="289" spans="5:26" s="1704" customFormat="1">
      <c r="E289" s="1709"/>
      <c r="F289" s="1709"/>
      <c r="I289" s="1709"/>
      <c r="J289" s="1709"/>
      <c r="K289" s="1709"/>
      <c r="L289" s="1709"/>
      <c r="M289" s="1709"/>
      <c r="N289" s="1709"/>
      <c r="O289" s="1709"/>
      <c r="P289" s="1709"/>
      <c r="Q289" s="1709"/>
      <c r="R289" s="1709"/>
      <c r="S289" s="1709"/>
      <c r="T289" s="1709"/>
      <c r="U289" s="1709"/>
      <c r="V289" s="1709"/>
      <c r="W289" s="1709"/>
      <c r="X289" s="1709"/>
      <c r="Y289" s="1709"/>
      <c r="Z289" s="1709"/>
    </row>
    <row r="290" spans="5:26" s="1704" customFormat="1">
      <c r="E290" s="1709"/>
      <c r="F290" s="1709"/>
      <c r="I290" s="1709"/>
      <c r="J290" s="1709"/>
      <c r="K290" s="1709"/>
      <c r="L290" s="1709"/>
      <c r="M290" s="1709"/>
      <c r="N290" s="1709"/>
      <c r="O290" s="1709"/>
      <c r="P290" s="1709"/>
      <c r="Q290" s="1709"/>
      <c r="R290" s="1709"/>
      <c r="S290" s="1709"/>
      <c r="T290" s="1709"/>
      <c r="U290" s="1709"/>
      <c r="V290" s="1709"/>
      <c r="W290" s="1709"/>
      <c r="X290" s="1709"/>
      <c r="Y290" s="1709"/>
      <c r="Z290" s="1709"/>
    </row>
    <row r="291" spans="5:26" s="1704" customFormat="1">
      <c r="E291" s="1709"/>
      <c r="F291" s="1709"/>
      <c r="I291" s="1709"/>
      <c r="J291" s="1709"/>
      <c r="K291" s="1709"/>
      <c r="L291" s="1709"/>
      <c r="M291" s="1709"/>
      <c r="N291" s="1709"/>
      <c r="O291" s="1709"/>
      <c r="P291" s="1709"/>
      <c r="Q291" s="1709"/>
      <c r="R291" s="1709"/>
      <c r="S291" s="1709"/>
      <c r="T291" s="1709"/>
      <c r="U291" s="1709"/>
      <c r="V291" s="1709"/>
      <c r="W291" s="1709"/>
      <c r="X291" s="1709"/>
      <c r="Y291" s="1709"/>
      <c r="Z291" s="1709"/>
    </row>
    <row r="292" spans="5:26" s="1704" customFormat="1">
      <c r="E292" s="1709"/>
      <c r="F292" s="1709"/>
      <c r="I292" s="1709"/>
      <c r="J292" s="1709"/>
      <c r="K292" s="1709"/>
      <c r="L292" s="1709"/>
      <c r="M292" s="1709"/>
      <c r="N292" s="1709"/>
      <c r="O292" s="1709"/>
      <c r="P292" s="1709"/>
      <c r="Q292" s="1709"/>
      <c r="R292" s="1709"/>
      <c r="S292" s="1709"/>
      <c r="T292" s="1709"/>
      <c r="U292" s="1709"/>
      <c r="V292" s="1709"/>
      <c r="W292" s="1709"/>
      <c r="X292" s="1709"/>
      <c r="Y292" s="1709"/>
      <c r="Z292" s="1709"/>
    </row>
    <row r="293" spans="5:26" s="1704" customFormat="1">
      <c r="E293" s="1709"/>
      <c r="F293" s="1709"/>
      <c r="I293" s="1709"/>
      <c r="J293" s="1709"/>
      <c r="K293" s="1709"/>
      <c r="L293" s="1709"/>
      <c r="M293" s="1709"/>
      <c r="N293" s="1709"/>
      <c r="O293" s="1709"/>
      <c r="P293" s="1709"/>
      <c r="Q293" s="1709"/>
      <c r="R293" s="1709"/>
      <c r="S293" s="1709"/>
      <c r="T293" s="1709"/>
      <c r="U293" s="1709"/>
      <c r="V293" s="1709"/>
      <c r="W293" s="1709"/>
      <c r="X293" s="1709"/>
      <c r="Y293" s="1709"/>
      <c r="Z293" s="1709"/>
    </row>
    <row r="294" spans="5:26" s="1704" customFormat="1">
      <c r="E294" s="1709"/>
      <c r="F294" s="1709"/>
      <c r="I294" s="1709"/>
      <c r="J294" s="1709"/>
      <c r="K294" s="1709"/>
      <c r="L294" s="1709"/>
      <c r="M294" s="1709"/>
      <c r="N294" s="1709"/>
      <c r="O294" s="1709"/>
      <c r="P294" s="1709"/>
      <c r="Q294" s="1709"/>
      <c r="R294" s="1709"/>
      <c r="S294" s="1709"/>
      <c r="T294" s="1709"/>
      <c r="U294" s="1709"/>
      <c r="V294" s="1709"/>
      <c r="W294" s="1709"/>
      <c r="X294" s="1709"/>
      <c r="Y294" s="1709"/>
      <c r="Z294" s="1709"/>
    </row>
    <row r="295" spans="5:26" s="1704" customFormat="1">
      <c r="E295" s="1709"/>
      <c r="F295" s="1709"/>
      <c r="I295" s="1709"/>
      <c r="J295" s="1709"/>
      <c r="K295" s="1709"/>
      <c r="L295" s="1709"/>
      <c r="M295" s="1709"/>
      <c r="N295" s="1709"/>
      <c r="O295" s="1709"/>
      <c r="P295" s="1709"/>
      <c r="Q295" s="1709"/>
      <c r="R295" s="1709"/>
      <c r="S295" s="1709"/>
      <c r="T295" s="1709"/>
      <c r="U295" s="1709"/>
      <c r="V295" s="1709"/>
      <c r="W295" s="1709"/>
      <c r="X295" s="1709"/>
      <c r="Y295" s="1709"/>
      <c r="Z295" s="1709"/>
    </row>
    <row r="296" spans="5:26" s="1704" customFormat="1">
      <c r="E296" s="1709"/>
      <c r="F296" s="1709"/>
      <c r="I296" s="1709"/>
      <c r="J296" s="1709"/>
      <c r="K296" s="1709"/>
      <c r="L296" s="1709"/>
      <c r="M296" s="1709"/>
      <c r="N296" s="1709"/>
      <c r="O296" s="1709"/>
      <c r="P296" s="1709"/>
      <c r="Q296" s="1709"/>
      <c r="R296" s="1709"/>
      <c r="S296" s="1709"/>
      <c r="T296" s="1709"/>
      <c r="U296" s="1709"/>
      <c r="V296" s="1709"/>
      <c r="W296" s="1709"/>
      <c r="X296" s="1709"/>
      <c r="Y296" s="1709"/>
      <c r="Z296" s="1709"/>
    </row>
    <row r="297" spans="5:26" s="1704" customFormat="1">
      <c r="E297" s="1709"/>
      <c r="F297" s="1709"/>
      <c r="I297" s="1709"/>
      <c r="J297" s="1709"/>
      <c r="K297" s="1709"/>
      <c r="L297" s="1709"/>
      <c r="M297" s="1709"/>
      <c r="N297" s="1709"/>
      <c r="O297" s="1709"/>
      <c r="P297" s="1709"/>
      <c r="Q297" s="1709"/>
      <c r="R297" s="1709"/>
      <c r="S297" s="1709"/>
      <c r="T297" s="1709"/>
      <c r="U297" s="1709"/>
      <c r="V297" s="1709"/>
      <c r="W297" s="1709"/>
      <c r="X297" s="1709"/>
      <c r="Y297" s="1709"/>
      <c r="Z297" s="1709"/>
    </row>
    <row r="298" spans="5:26" s="1704" customFormat="1">
      <c r="E298" s="1709"/>
      <c r="F298" s="1709"/>
      <c r="I298" s="1709"/>
      <c r="J298" s="1709"/>
      <c r="K298" s="1709"/>
      <c r="L298" s="1709"/>
      <c r="M298" s="1709"/>
      <c r="N298" s="1709"/>
      <c r="O298" s="1709"/>
      <c r="P298" s="1709"/>
      <c r="Q298" s="1709"/>
      <c r="R298" s="1709"/>
      <c r="S298" s="1709"/>
      <c r="T298" s="1709"/>
      <c r="U298" s="1709"/>
      <c r="V298" s="1709"/>
      <c r="W298" s="1709"/>
      <c r="X298" s="1709"/>
      <c r="Y298" s="1709"/>
      <c r="Z298" s="1709"/>
    </row>
    <row r="299" spans="5:26" s="1704" customFormat="1">
      <c r="E299" s="1709"/>
      <c r="F299" s="1709"/>
      <c r="I299" s="1709"/>
      <c r="J299" s="1709"/>
      <c r="K299" s="1709"/>
      <c r="L299" s="1709"/>
      <c r="M299" s="1709"/>
      <c r="N299" s="1709"/>
      <c r="O299" s="1709"/>
      <c r="P299" s="1709"/>
      <c r="Q299" s="1709"/>
      <c r="R299" s="1709"/>
      <c r="S299" s="1709"/>
      <c r="T299" s="1709"/>
      <c r="U299" s="1709"/>
      <c r="V299" s="1709"/>
      <c r="W299" s="1709"/>
      <c r="X299" s="1709"/>
      <c r="Y299" s="1709"/>
      <c r="Z299" s="1709"/>
    </row>
    <row r="300" spans="5:26" s="1704" customFormat="1">
      <c r="E300" s="1709"/>
      <c r="F300" s="1709"/>
      <c r="I300" s="1709"/>
      <c r="J300" s="1709"/>
      <c r="K300" s="1709"/>
      <c r="L300" s="1709"/>
      <c r="M300" s="1709"/>
      <c r="N300" s="1709"/>
      <c r="O300" s="1709"/>
      <c r="P300" s="1709"/>
      <c r="Q300" s="1709"/>
      <c r="R300" s="1709"/>
      <c r="S300" s="1709"/>
      <c r="T300" s="1709"/>
      <c r="U300" s="1709"/>
      <c r="V300" s="1709"/>
      <c r="W300" s="1709"/>
      <c r="X300" s="1709"/>
      <c r="Y300" s="1709"/>
      <c r="Z300" s="1709"/>
    </row>
    <row r="301" spans="5:26" s="1704" customFormat="1">
      <c r="E301" s="1709"/>
      <c r="F301" s="1709"/>
      <c r="I301" s="1709"/>
      <c r="J301" s="1709"/>
      <c r="K301" s="1709"/>
      <c r="L301" s="1709"/>
      <c r="M301" s="1709"/>
      <c r="N301" s="1709"/>
      <c r="O301" s="1709"/>
      <c r="P301" s="1709"/>
      <c r="Q301" s="1709"/>
      <c r="R301" s="1709"/>
      <c r="S301" s="1709"/>
      <c r="T301" s="1709"/>
      <c r="U301" s="1709"/>
      <c r="V301" s="1709"/>
      <c r="W301" s="1709"/>
      <c r="X301" s="1709"/>
      <c r="Y301" s="1709"/>
      <c r="Z301" s="1709"/>
    </row>
    <row r="302" spans="5:26" s="1704" customFormat="1">
      <c r="E302" s="1709"/>
      <c r="F302" s="1709"/>
      <c r="I302" s="1709"/>
      <c r="J302" s="1709"/>
      <c r="K302" s="1709"/>
      <c r="L302" s="1709"/>
      <c r="M302" s="1709"/>
      <c r="N302" s="1709"/>
      <c r="O302" s="1709"/>
      <c r="P302" s="1709"/>
      <c r="Q302" s="1709"/>
      <c r="R302" s="1709"/>
      <c r="S302" s="1709"/>
      <c r="T302" s="1709"/>
      <c r="U302" s="1709"/>
      <c r="V302" s="1709"/>
      <c r="W302" s="1709"/>
      <c r="X302" s="1709"/>
      <c r="Y302" s="1709"/>
      <c r="Z302" s="1709"/>
    </row>
    <row r="303" spans="5:26" s="1704" customFormat="1">
      <c r="E303" s="1709"/>
      <c r="F303" s="1709"/>
      <c r="I303" s="1709"/>
      <c r="J303" s="1709"/>
      <c r="K303" s="1709"/>
      <c r="L303" s="1709"/>
      <c r="M303" s="1709"/>
      <c r="N303" s="1709"/>
      <c r="O303" s="1709"/>
      <c r="P303" s="1709"/>
      <c r="Q303" s="1709"/>
      <c r="R303" s="1709"/>
      <c r="S303" s="1709"/>
      <c r="T303" s="1709"/>
      <c r="U303" s="1709"/>
      <c r="V303" s="1709"/>
      <c r="W303" s="1709"/>
      <c r="X303" s="1709"/>
      <c r="Y303" s="1709"/>
      <c r="Z303" s="1709"/>
    </row>
    <row r="304" spans="5:26" s="1704" customFormat="1">
      <c r="E304" s="1709"/>
      <c r="F304" s="1709"/>
      <c r="I304" s="1709"/>
      <c r="J304" s="1709"/>
      <c r="K304" s="1709"/>
      <c r="L304" s="1709"/>
      <c r="M304" s="1709"/>
      <c r="N304" s="1709"/>
      <c r="O304" s="1709"/>
      <c r="P304" s="1709"/>
      <c r="Q304" s="1709"/>
      <c r="R304" s="1709"/>
      <c r="S304" s="1709"/>
      <c r="T304" s="1709"/>
      <c r="U304" s="1709"/>
      <c r="V304" s="1709"/>
      <c r="W304" s="1709"/>
      <c r="X304" s="1709"/>
      <c r="Y304" s="1709"/>
      <c r="Z304" s="1709"/>
    </row>
    <row r="305" spans="5:26" s="1704" customFormat="1">
      <c r="E305" s="1709"/>
      <c r="F305" s="1709"/>
      <c r="I305" s="1709"/>
      <c r="J305" s="1709"/>
      <c r="K305" s="1709"/>
      <c r="L305" s="1709"/>
      <c r="M305" s="1709"/>
      <c r="N305" s="1709"/>
      <c r="O305" s="1709"/>
      <c r="P305" s="1709"/>
      <c r="Q305" s="1709"/>
      <c r="R305" s="1709"/>
      <c r="S305" s="1709"/>
      <c r="T305" s="1709"/>
      <c r="U305" s="1709"/>
      <c r="V305" s="1709"/>
      <c r="W305" s="1709"/>
      <c r="X305" s="1709"/>
      <c r="Y305" s="1709"/>
      <c r="Z305" s="1709"/>
    </row>
    <row r="306" spans="5:26" s="1704" customFormat="1">
      <c r="E306" s="1709"/>
      <c r="F306" s="1709"/>
      <c r="I306" s="1709"/>
      <c r="J306" s="1709"/>
      <c r="K306" s="1709"/>
      <c r="L306" s="1709"/>
      <c r="M306" s="1709"/>
      <c r="N306" s="1709"/>
      <c r="O306" s="1709"/>
      <c r="P306" s="1709"/>
      <c r="Q306" s="1709"/>
      <c r="R306" s="1709"/>
      <c r="S306" s="1709"/>
      <c r="T306" s="1709"/>
      <c r="U306" s="1709"/>
      <c r="V306" s="1709"/>
      <c r="W306" s="1709"/>
      <c r="X306" s="1709"/>
      <c r="Y306" s="1709"/>
      <c r="Z306" s="1709"/>
    </row>
    <row r="307" spans="5:26" s="1704" customFormat="1">
      <c r="E307" s="1709"/>
      <c r="F307" s="1709"/>
      <c r="I307" s="1709"/>
      <c r="J307" s="1709"/>
      <c r="K307" s="1709"/>
      <c r="L307" s="1709"/>
      <c r="M307" s="1709"/>
      <c r="N307" s="1709"/>
      <c r="O307" s="1709"/>
      <c r="P307" s="1709"/>
      <c r="Q307" s="1709"/>
      <c r="R307" s="1709"/>
      <c r="S307" s="1709"/>
      <c r="T307" s="1709"/>
      <c r="U307" s="1709"/>
      <c r="V307" s="1709"/>
      <c r="W307" s="1709"/>
      <c r="X307" s="1709"/>
      <c r="Y307" s="1709"/>
      <c r="Z307" s="1709"/>
    </row>
    <row r="308" spans="5:26" s="1704" customFormat="1">
      <c r="E308" s="1709"/>
      <c r="F308" s="1709"/>
      <c r="I308" s="1709"/>
      <c r="J308" s="1709"/>
      <c r="K308" s="1709"/>
      <c r="L308" s="1709"/>
      <c r="M308" s="1709"/>
      <c r="N308" s="1709"/>
      <c r="O308" s="1709"/>
      <c r="P308" s="1709"/>
      <c r="Q308" s="1709"/>
      <c r="R308" s="1709"/>
      <c r="S308" s="1709"/>
      <c r="T308" s="1709"/>
      <c r="U308" s="1709"/>
      <c r="V308" s="1709"/>
      <c r="W308" s="1709"/>
      <c r="X308" s="1709"/>
      <c r="Y308" s="1709"/>
      <c r="Z308" s="1709"/>
    </row>
    <row r="309" spans="5:26" s="1704" customFormat="1">
      <c r="E309" s="1709"/>
      <c r="F309" s="1709"/>
      <c r="I309" s="1709"/>
      <c r="J309" s="1709"/>
      <c r="K309" s="1709"/>
      <c r="L309" s="1709"/>
      <c r="M309" s="1709"/>
      <c r="N309" s="1709"/>
      <c r="O309" s="1709"/>
      <c r="P309" s="1709"/>
      <c r="Q309" s="1709"/>
      <c r="R309" s="1709"/>
      <c r="S309" s="1709"/>
      <c r="T309" s="1709"/>
      <c r="U309" s="1709"/>
      <c r="V309" s="1709"/>
      <c r="W309" s="1709"/>
      <c r="X309" s="1709"/>
      <c r="Y309" s="1709"/>
      <c r="Z309" s="1709"/>
    </row>
    <row r="310" spans="5:26" s="1704" customFormat="1">
      <c r="E310" s="1709"/>
      <c r="F310" s="1709"/>
      <c r="I310" s="1709"/>
      <c r="J310" s="1709"/>
      <c r="K310" s="1709"/>
      <c r="L310" s="1709"/>
      <c r="M310" s="1709"/>
      <c r="N310" s="1709"/>
      <c r="O310" s="1709"/>
      <c r="P310" s="1709"/>
      <c r="Q310" s="1709"/>
      <c r="R310" s="1709"/>
      <c r="S310" s="1709"/>
      <c r="T310" s="1709"/>
      <c r="U310" s="1709"/>
      <c r="V310" s="1709"/>
      <c r="W310" s="1709"/>
      <c r="X310" s="1709"/>
      <c r="Y310" s="1709"/>
      <c r="Z310" s="1709"/>
    </row>
    <row r="311" spans="5:26" s="1704" customFormat="1">
      <c r="E311" s="1709"/>
      <c r="F311" s="1709"/>
      <c r="I311" s="1709"/>
      <c r="J311" s="1709"/>
      <c r="K311" s="1709"/>
      <c r="L311" s="1709"/>
      <c r="M311" s="1709"/>
      <c r="N311" s="1709"/>
      <c r="O311" s="1709"/>
      <c r="P311" s="1709"/>
      <c r="Q311" s="1709"/>
      <c r="R311" s="1709"/>
      <c r="S311" s="1709"/>
      <c r="T311" s="1709"/>
      <c r="U311" s="1709"/>
      <c r="V311" s="1709"/>
      <c r="W311" s="1709"/>
      <c r="X311" s="1709"/>
      <c r="Y311" s="1709"/>
      <c r="Z311" s="1709"/>
    </row>
    <row r="312" spans="5:26" s="1704" customFormat="1">
      <c r="E312" s="1709"/>
      <c r="F312" s="1709"/>
      <c r="I312" s="1709"/>
      <c r="J312" s="1709"/>
      <c r="K312" s="1709"/>
      <c r="L312" s="1709"/>
      <c r="M312" s="1709"/>
      <c r="N312" s="1709"/>
      <c r="O312" s="1709"/>
      <c r="P312" s="1709"/>
      <c r="Q312" s="1709"/>
      <c r="R312" s="1709"/>
      <c r="S312" s="1709"/>
      <c r="T312" s="1709"/>
      <c r="U312" s="1709"/>
      <c r="V312" s="1709"/>
      <c r="W312" s="1709"/>
      <c r="X312" s="1709"/>
      <c r="Y312" s="1709"/>
      <c r="Z312" s="1709"/>
    </row>
    <row r="313" spans="5:26" s="1704" customFormat="1">
      <c r="E313" s="1709"/>
      <c r="F313" s="1709"/>
      <c r="I313" s="1709"/>
      <c r="J313" s="1709"/>
      <c r="K313" s="1709"/>
      <c r="L313" s="1709"/>
      <c r="M313" s="1709"/>
      <c r="N313" s="1709"/>
      <c r="O313" s="1709"/>
      <c r="P313" s="1709"/>
      <c r="Q313" s="1709"/>
      <c r="R313" s="1709"/>
      <c r="S313" s="1709"/>
      <c r="T313" s="1709"/>
      <c r="U313" s="1709"/>
      <c r="V313" s="1709"/>
      <c r="W313" s="1709"/>
      <c r="X313" s="1709"/>
      <c r="Y313" s="1709"/>
      <c r="Z313" s="1709"/>
    </row>
    <row r="314" spans="5:26" s="1704" customFormat="1">
      <c r="E314" s="1709"/>
      <c r="F314" s="1709"/>
      <c r="I314" s="1709"/>
      <c r="J314" s="1709"/>
      <c r="K314" s="1709"/>
      <c r="L314" s="1709"/>
      <c r="M314" s="1709"/>
      <c r="N314" s="1709"/>
      <c r="O314" s="1709"/>
      <c r="P314" s="1709"/>
      <c r="Q314" s="1709"/>
      <c r="R314" s="1709"/>
      <c r="S314" s="1709"/>
      <c r="T314" s="1709"/>
      <c r="U314" s="1709"/>
      <c r="V314" s="1709"/>
      <c r="W314" s="1709"/>
      <c r="X314" s="1709"/>
      <c r="Y314" s="1709"/>
      <c r="Z314" s="1709"/>
    </row>
    <row r="315" spans="5:26" s="1704" customFormat="1">
      <c r="E315" s="1709"/>
      <c r="F315" s="1709"/>
      <c r="I315" s="1709"/>
      <c r="J315" s="1709"/>
      <c r="K315" s="1709"/>
      <c r="L315" s="1709"/>
      <c r="M315" s="1709"/>
      <c r="N315" s="1709"/>
      <c r="O315" s="1709"/>
      <c r="P315" s="1709"/>
      <c r="Q315" s="1709"/>
      <c r="R315" s="1709"/>
      <c r="S315" s="1709"/>
      <c r="T315" s="1709"/>
      <c r="U315" s="1709"/>
      <c r="V315" s="1709"/>
      <c r="W315" s="1709"/>
      <c r="X315" s="1709"/>
      <c r="Y315" s="1709"/>
      <c r="Z315" s="1709"/>
    </row>
    <row r="316" spans="5:26" s="1704" customFormat="1">
      <c r="E316" s="1709"/>
      <c r="F316" s="1709"/>
      <c r="I316" s="1709"/>
      <c r="J316" s="1709"/>
      <c r="K316" s="1709"/>
      <c r="L316" s="1709"/>
      <c r="M316" s="1709"/>
      <c r="N316" s="1709"/>
      <c r="O316" s="1709"/>
      <c r="P316" s="1709"/>
      <c r="Q316" s="1709"/>
      <c r="R316" s="1709"/>
      <c r="S316" s="1709"/>
      <c r="T316" s="1709"/>
      <c r="U316" s="1709"/>
      <c r="V316" s="1709"/>
      <c r="W316" s="1709"/>
      <c r="X316" s="1709"/>
      <c r="Y316" s="1709"/>
      <c r="Z316" s="1709"/>
    </row>
    <row r="317" spans="5:26" s="1704" customFormat="1">
      <c r="E317" s="1709"/>
      <c r="F317" s="1709"/>
      <c r="I317" s="1709"/>
      <c r="J317" s="1709"/>
      <c r="K317" s="1709"/>
      <c r="L317" s="1709"/>
      <c r="M317" s="1709"/>
      <c r="N317" s="1709"/>
      <c r="O317" s="1709"/>
      <c r="P317" s="1709"/>
      <c r="Q317" s="1709"/>
      <c r="R317" s="1709"/>
      <c r="S317" s="1709"/>
      <c r="T317" s="1709"/>
      <c r="U317" s="1709"/>
      <c r="V317" s="1709"/>
      <c r="W317" s="1709"/>
      <c r="X317" s="1709"/>
      <c r="Y317" s="1709"/>
      <c r="Z317" s="1709"/>
    </row>
    <row r="318" spans="5:26" s="1704" customFormat="1">
      <c r="E318" s="1709"/>
      <c r="F318" s="1709"/>
      <c r="I318" s="1709"/>
      <c r="J318" s="1709"/>
      <c r="K318" s="1709"/>
      <c r="L318" s="1709"/>
      <c r="M318" s="1709"/>
      <c r="N318" s="1709"/>
      <c r="O318" s="1709"/>
      <c r="P318" s="1709"/>
      <c r="Q318" s="1709"/>
      <c r="R318" s="1709"/>
      <c r="S318" s="1709"/>
      <c r="T318" s="1709"/>
      <c r="U318" s="1709"/>
      <c r="V318" s="1709"/>
      <c r="W318" s="1709"/>
      <c r="X318" s="1709"/>
      <c r="Y318" s="1709"/>
      <c r="Z318" s="1709"/>
    </row>
    <row r="319" spans="5:26" s="1704" customFormat="1">
      <c r="E319" s="1709"/>
      <c r="F319" s="1709"/>
      <c r="I319" s="1709"/>
      <c r="J319" s="1709"/>
      <c r="K319" s="1709"/>
      <c r="L319" s="1709"/>
      <c r="M319" s="1709"/>
      <c r="N319" s="1709"/>
      <c r="O319" s="1709"/>
      <c r="P319" s="1709"/>
      <c r="Q319" s="1709"/>
      <c r="R319" s="1709"/>
      <c r="S319" s="1709"/>
      <c r="T319" s="1709"/>
      <c r="U319" s="1709"/>
      <c r="V319" s="1709"/>
      <c r="W319" s="1709"/>
      <c r="X319" s="1709"/>
      <c r="Y319" s="1709"/>
      <c r="Z319" s="1709"/>
    </row>
    <row r="320" spans="5:26" s="1704" customFormat="1">
      <c r="E320" s="1709"/>
      <c r="F320" s="1709"/>
      <c r="I320" s="1709"/>
      <c r="J320" s="1709"/>
      <c r="K320" s="1709"/>
      <c r="L320" s="1709"/>
      <c r="M320" s="1709"/>
      <c r="N320" s="1709"/>
      <c r="O320" s="1709"/>
      <c r="P320" s="1709"/>
      <c r="Q320" s="1709"/>
      <c r="R320" s="1709"/>
      <c r="S320" s="1709"/>
      <c r="T320" s="1709"/>
      <c r="U320" s="1709"/>
      <c r="V320" s="1709"/>
      <c r="W320" s="1709"/>
      <c r="X320" s="1709"/>
      <c r="Y320" s="1709"/>
      <c r="Z320" s="1709"/>
    </row>
    <row r="321" spans="5:26" s="1704" customFormat="1">
      <c r="E321" s="1709"/>
      <c r="F321" s="1709"/>
      <c r="I321" s="1709"/>
      <c r="J321" s="1709"/>
      <c r="K321" s="1709"/>
      <c r="L321" s="1709"/>
      <c r="M321" s="1709"/>
      <c r="N321" s="1709"/>
      <c r="O321" s="1709"/>
      <c r="P321" s="1709"/>
      <c r="Q321" s="1709"/>
      <c r="R321" s="1709"/>
      <c r="S321" s="1709"/>
      <c r="T321" s="1709"/>
      <c r="U321" s="1709"/>
      <c r="V321" s="1709"/>
      <c r="W321" s="1709"/>
      <c r="X321" s="1709"/>
      <c r="Y321" s="1709"/>
      <c r="Z321" s="1709"/>
    </row>
    <row r="322" spans="5:26" s="1704" customFormat="1">
      <c r="E322" s="1709"/>
      <c r="F322" s="1709"/>
      <c r="I322" s="1709"/>
      <c r="J322" s="1709"/>
      <c r="K322" s="1709"/>
      <c r="L322" s="1709"/>
      <c r="M322" s="1709"/>
      <c r="N322" s="1709"/>
      <c r="O322" s="1709"/>
      <c r="P322" s="1709"/>
      <c r="Q322" s="1709"/>
      <c r="R322" s="1709"/>
      <c r="S322" s="1709"/>
      <c r="T322" s="1709"/>
      <c r="U322" s="1709"/>
      <c r="V322" s="1709"/>
      <c r="W322" s="1709"/>
      <c r="X322" s="1709"/>
      <c r="Y322" s="1709"/>
      <c r="Z322" s="1709"/>
    </row>
    <row r="323" spans="5:26" s="1704" customFormat="1">
      <c r="E323" s="1709"/>
      <c r="F323" s="1709"/>
      <c r="I323" s="1709"/>
      <c r="J323" s="1709"/>
      <c r="K323" s="1709"/>
      <c r="L323" s="1709"/>
      <c r="M323" s="1709"/>
      <c r="N323" s="1709"/>
      <c r="O323" s="1709"/>
      <c r="P323" s="1709"/>
      <c r="Q323" s="1709"/>
      <c r="R323" s="1709"/>
      <c r="S323" s="1709"/>
      <c r="T323" s="1709"/>
      <c r="U323" s="1709"/>
      <c r="V323" s="1709"/>
      <c r="W323" s="1709"/>
      <c r="X323" s="1709"/>
      <c r="Y323" s="1709"/>
      <c r="Z323" s="1709"/>
    </row>
    <row r="324" spans="5:26" s="1704" customFormat="1">
      <c r="E324" s="1709"/>
      <c r="F324" s="1709"/>
      <c r="I324" s="1709"/>
      <c r="J324" s="1709"/>
      <c r="K324" s="1709"/>
      <c r="L324" s="1709"/>
      <c r="M324" s="1709"/>
      <c r="N324" s="1709"/>
      <c r="O324" s="1709"/>
      <c r="P324" s="1709"/>
      <c r="Q324" s="1709"/>
      <c r="R324" s="1709"/>
      <c r="S324" s="1709"/>
      <c r="T324" s="1709"/>
      <c r="U324" s="1709"/>
      <c r="V324" s="1709"/>
      <c r="W324" s="1709"/>
      <c r="X324" s="1709"/>
      <c r="Y324" s="1709"/>
      <c r="Z324" s="1709"/>
    </row>
    <row r="325" spans="5:26" s="1704" customFormat="1">
      <c r="E325" s="1709"/>
      <c r="F325" s="1709"/>
      <c r="I325" s="1709"/>
      <c r="J325" s="1709"/>
      <c r="K325" s="1709"/>
      <c r="L325" s="1709"/>
      <c r="M325" s="1709"/>
      <c r="N325" s="1709"/>
      <c r="O325" s="1709"/>
      <c r="P325" s="1709"/>
      <c r="Q325" s="1709"/>
      <c r="R325" s="1709"/>
      <c r="S325" s="1709"/>
      <c r="T325" s="1709"/>
      <c r="U325" s="1709"/>
      <c r="V325" s="1709"/>
      <c r="W325" s="1709"/>
      <c r="X325" s="1709"/>
      <c r="Y325" s="1709"/>
      <c r="Z325" s="1709"/>
    </row>
    <row r="326" spans="5:26" s="1704" customFormat="1">
      <c r="E326" s="1709"/>
      <c r="F326" s="1709"/>
      <c r="I326" s="1709"/>
      <c r="J326" s="1709"/>
      <c r="K326" s="1709"/>
      <c r="L326" s="1709"/>
      <c r="M326" s="1709"/>
      <c r="N326" s="1709"/>
      <c r="O326" s="1709"/>
      <c r="P326" s="1709"/>
      <c r="Q326" s="1709"/>
      <c r="R326" s="1709"/>
      <c r="S326" s="1709"/>
      <c r="T326" s="1709"/>
      <c r="U326" s="1709"/>
      <c r="V326" s="1709"/>
      <c r="W326" s="1709"/>
      <c r="X326" s="1709"/>
      <c r="Y326" s="1709"/>
      <c r="Z326" s="1709"/>
    </row>
    <row r="327" spans="5:26" s="1704" customFormat="1">
      <c r="E327" s="1709"/>
      <c r="F327" s="1709"/>
      <c r="I327" s="1709"/>
      <c r="J327" s="1709"/>
      <c r="K327" s="1709"/>
      <c r="L327" s="1709"/>
      <c r="M327" s="1709"/>
      <c r="N327" s="1709"/>
      <c r="O327" s="1709"/>
      <c r="P327" s="1709"/>
      <c r="Q327" s="1709"/>
      <c r="R327" s="1709"/>
      <c r="S327" s="1709"/>
      <c r="T327" s="1709"/>
      <c r="U327" s="1709"/>
      <c r="V327" s="1709"/>
      <c r="W327" s="1709"/>
      <c r="X327" s="1709"/>
      <c r="Y327" s="1709"/>
      <c r="Z327" s="1709"/>
    </row>
    <row r="328" spans="5:26" s="1704" customFormat="1">
      <c r="E328" s="1709"/>
      <c r="F328" s="1709"/>
      <c r="I328" s="1709"/>
      <c r="J328" s="1709"/>
      <c r="K328" s="1709"/>
      <c r="L328" s="1709"/>
      <c r="M328" s="1709"/>
      <c r="N328" s="1709"/>
      <c r="O328" s="1709"/>
      <c r="P328" s="1709"/>
      <c r="Q328" s="1709"/>
      <c r="R328" s="1709"/>
      <c r="S328" s="1709"/>
      <c r="T328" s="1709"/>
      <c r="U328" s="1709"/>
      <c r="V328" s="1709"/>
      <c r="W328" s="1709"/>
      <c r="X328" s="1709"/>
      <c r="Y328" s="1709"/>
      <c r="Z328" s="1709"/>
    </row>
    <row r="329" spans="5:26" s="1704" customFormat="1">
      <c r="E329" s="1709"/>
      <c r="F329" s="1709"/>
      <c r="I329" s="1709"/>
      <c r="J329" s="1709"/>
      <c r="K329" s="1709"/>
      <c r="L329" s="1709"/>
      <c r="M329" s="1709"/>
      <c r="N329" s="1709"/>
      <c r="O329" s="1709"/>
      <c r="P329" s="1709"/>
      <c r="Q329" s="1709"/>
      <c r="R329" s="1709"/>
      <c r="S329" s="1709"/>
      <c r="T329" s="1709"/>
      <c r="U329" s="1709"/>
      <c r="V329" s="1709"/>
      <c r="W329" s="1709"/>
      <c r="X329" s="1709"/>
      <c r="Y329" s="1709"/>
      <c r="Z329" s="1709"/>
    </row>
    <row r="330" spans="5:26" s="1704" customFormat="1">
      <c r="E330" s="1709"/>
      <c r="F330" s="1709"/>
      <c r="I330" s="1709"/>
      <c r="J330" s="1709"/>
      <c r="K330" s="1709"/>
      <c r="L330" s="1709"/>
      <c r="M330" s="1709"/>
      <c r="N330" s="1709"/>
      <c r="O330" s="1709"/>
      <c r="P330" s="1709"/>
      <c r="Q330" s="1709"/>
      <c r="R330" s="1709"/>
      <c r="S330" s="1709"/>
      <c r="T330" s="1709"/>
      <c r="U330" s="1709"/>
      <c r="V330" s="1709"/>
      <c r="W330" s="1709"/>
      <c r="X330" s="1709"/>
      <c r="Y330" s="1709"/>
      <c r="Z330" s="1709"/>
    </row>
    <row r="331" spans="5:26" s="1704" customFormat="1">
      <c r="E331" s="1709"/>
      <c r="F331" s="1709"/>
      <c r="I331" s="1709"/>
      <c r="J331" s="1709"/>
      <c r="K331" s="1709"/>
      <c r="L331" s="1709"/>
      <c r="M331" s="1709"/>
      <c r="N331" s="1709"/>
      <c r="O331" s="1709"/>
      <c r="P331" s="1709"/>
      <c r="Q331" s="1709"/>
      <c r="R331" s="1709"/>
      <c r="S331" s="1709"/>
      <c r="T331" s="1709"/>
      <c r="U331" s="1709"/>
      <c r="V331" s="1709"/>
      <c r="W331" s="1709"/>
      <c r="X331" s="1709"/>
      <c r="Y331" s="1709"/>
      <c r="Z331" s="1709"/>
    </row>
    <row r="332" spans="5:26" s="1704" customFormat="1">
      <c r="E332" s="1709"/>
      <c r="F332" s="1709"/>
      <c r="I332" s="1709"/>
      <c r="J332" s="1709"/>
      <c r="K332" s="1709"/>
      <c r="L332" s="1709"/>
      <c r="M332" s="1709"/>
      <c r="N332" s="1709"/>
      <c r="O332" s="1709"/>
      <c r="P332" s="1709"/>
      <c r="Q332" s="1709"/>
      <c r="R332" s="1709"/>
      <c r="S332" s="1709"/>
      <c r="T332" s="1709"/>
      <c r="U332" s="1709"/>
      <c r="V332" s="1709"/>
      <c r="W332" s="1709"/>
      <c r="X332" s="1709"/>
      <c r="Y332" s="1709"/>
      <c r="Z332" s="1709"/>
    </row>
    <row r="333" spans="5:26" s="1704" customFormat="1">
      <c r="E333" s="1709"/>
      <c r="F333" s="1709"/>
      <c r="I333" s="1709"/>
      <c r="J333" s="1709"/>
      <c r="K333" s="1709"/>
      <c r="L333" s="1709"/>
      <c r="M333" s="1709"/>
      <c r="N333" s="1709"/>
      <c r="O333" s="1709"/>
      <c r="P333" s="1709"/>
      <c r="Q333" s="1709"/>
      <c r="R333" s="1709"/>
      <c r="S333" s="1709"/>
      <c r="T333" s="1709"/>
      <c r="U333" s="1709"/>
      <c r="V333" s="1709"/>
      <c r="W333" s="1709"/>
      <c r="X333" s="1709"/>
      <c r="Y333" s="1709"/>
      <c r="Z333" s="1709"/>
    </row>
    <row r="334" spans="5:26" s="1704" customFormat="1">
      <c r="E334" s="1709"/>
      <c r="F334" s="1709"/>
      <c r="I334" s="1709"/>
      <c r="J334" s="1709"/>
      <c r="K334" s="1709"/>
      <c r="L334" s="1709"/>
      <c r="M334" s="1709"/>
      <c r="N334" s="1709"/>
      <c r="O334" s="1709"/>
      <c r="P334" s="1709"/>
      <c r="Q334" s="1709"/>
      <c r="R334" s="1709"/>
      <c r="S334" s="1709"/>
      <c r="T334" s="1709"/>
      <c r="U334" s="1709"/>
      <c r="V334" s="1709"/>
      <c r="W334" s="1709"/>
      <c r="X334" s="1709"/>
      <c r="Y334" s="1709"/>
      <c r="Z334" s="1709"/>
    </row>
    <row r="335" spans="5:26" s="1704" customFormat="1">
      <c r="E335" s="1709"/>
      <c r="F335" s="1709"/>
      <c r="I335" s="1709"/>
      <c r="J335" s="1709"/>
      <c r="K335" s="1709"/>
      <c r="L335" s="1709"/>
      <c r="M335" s="1709"/>
      <c r="N335" s="1709"/>
      <c r="O335" s="1709"/>
      <c r="P335" s="1709"/>
      <c r="Q335" s="1709"/>
      <c r="R335" s="1709"/>
      <c r="S335" s="1709"/>
      <c r="T335" s="1709"/>
      <c r="U335" s="1709"/>
      <c r="V335" s="1709"/>
      <c r="W335" s="1709"/>
      <c r="X335" s="1709"/>
      <c r="Y335" s="1709"/>
      <c r="Z335" s="1709"/>
    </row>
    <row r="336" spans="5:26" s="1704" customFormat="1">
      <c r="E336" s="1709"/>
      <c r="F336" s="1709"/>
      <c r="I336" s="1709"/>
      <c r="J336" s="1709"/>
      <c r="K336" s="1709"/>
      <c r="L336" s="1709"/>
      <c r="M336" s="1709"/>
      <c r="N336" s="1709"/>
      <c r="O336" s="1709"/>
      <c r="P336" s="1709"/>
      <c r="Q336" s="1709"/>
      <c r="R336" s="1709"/>
      <c r="S336" s="1709"/>
      <c r="T336" s="1709"/>
      <c r="U336" s="1709"/>
      <c r="V336" s="1709"/>
      <c r="W336" s="1709"/>
      <c r="X336" s="1709"/>
      <c r="Y336" s="1709"/>
      <c r="Z336" s="1709"/>
    </row>
    <row r="337" spans="5:26" s="1704" customFormat="1">
      <c r="E337" s="1709"/>
      <c r="F337" s="1709"/>
      <c r="I337" s="1709"/>
      <c r="J337" s="1709"/>
      <c r="K337" s="1709"/>
      <c r="L337" s="1709"/>
      <c r="M337" s="1709"/>
      <c r="N337" s="1709"/>
      <c r="O337" s="1709"/>
      <c r="P337" s="1709"/>
      <c r="Q337" s="1709"/>
      <c r="R337" s="1709"/>
      <c r="S337" s="1709"/>
      <c r="T337" s="1709"/>
      <c r="U337" s="1709"/>
      <c r="V337" s="1709"/>
      <c r="W337" s="1709"/>
      <c r="X337" s="1709"/>
      <c r="Y337" s="1709"/>
      <c r="Z337" s="1709"/>
    </row>
    <row r="338" spans="5:26" s="1704" customFormat="1">
      <c r="E338" s="1709"/>
      <c r="F338" s="1709"/>
      <c r="I338" s="1709"/>
      <c r="J338" s="1709"/>
      <c r="K338" s="1709"/>
      <c r="L338" s="1709"/>
      <c r="M338" s="1709"/>
      <c r="N338" s="1709"/>
      <c r="O338" s="1709"/>
      <c r="P338" s="1709"/>
      <c r="Q338" s="1709"/>
      <c r="R338" s="1709"/>
      <c r="S338" s="1709"/>
      <c r="T338" s="1709"/>
      <c r="U338" s="1709"/>
      <c r="V338" s="1709"/>
      <c r="W338" s="1709"/>
      <c r="X338" s="1709"/>
      <c r="Y338" s="1709"/>
      <c r="Z338" s="1709"/>
    </row>
    <row r="339" spans="5:26" s="1704" customFormat="1">
      <c r="E339" s="1709"/>
      <c r="F339" s="1709"/>
      <c r="I339" s="1709"/>
      <c r="J339" s="1709"/>
      <c r="K339" s="1709"/>
      <c r="L339" s="1709"/>
      <c r="M339" s="1709"/>
      <c r="N339" s="1709"/>
      <c r="O339" s="1709"/>
      <c r="P339" s="1709"/>
      <c r="Q339" s="1709"/>
      <c r="R339" s="1709"/>
      <c r="S339" s="1709"/>
      <c r="T339" s="1709"/>
      <c r="U339" s="1709"/>
      <c r="V339" s="1709"/>
      <c r="W339" s="1709"/>
      <c r="X339" s="1709"/>
      <c r="Y339" s="1709"/>
      <c r="Z339" s="1709"/>
    </row>
    <row r="340" spans="5:26" s="1704" customFormat="1">
      <c r="E340" s="1709"/>
      <c r="F340" s="1709"/>
      <c r="I340" s="1709"/>
      <c r="J340" s="1709"/>
      <c r="K340" s="1709"/>
      <c r="L340" s="1709"/>
      <c r="M340" s="1709"/>
      <c r="N340" s="1709"/>
      <c r="O340" s="1709"/>
      <c r="P340" s="1709"/>
      <c r="Q340" s="1709"/>
      <c r="R340" s="1709"/>
      <c r="S340" s="1709"/>
      <c r="T340" s="1709"/>
      <c r="U340" s="1709"/>
      <c r="V340" s="1709"/>
      <c r="W340" s="1709"/>
      <c r="X340" s="1709"/>
      <c r="Y340" s="1709"/>
      <c r="Z340" s="1709"/>
    </row>
    <row r="341" spans="5:26" s="1704" customFormat="1">
      <c r="E341" s="1709"/>
      <c r="F341" s="1709"/>
      <c r="I341" s="1709"/>
      <c r="J341" s="1709"/>
      <c r="K341" s="1709"/>
      <c r="L341" s="1709"/>
      <c r="M341" s="1709"/>
      <c r="N341" s="1709"/>
      <c r="O341" s="1709"/>
      <c r="P341" s="1709"/>
      <c r="Q341" s="1709"/>
      <c r="R341" s="1709"/>
      <c r="S341" s="1709"/>
      <c r="T341" s="1709"/>
      <c r="U341" s="1709"/>
      <c r="V341" s="1709"/>
      <c r="W341" s="1709"/>
      <c r="X341" s="1709"/>
      <c r="Y341" s="1709"/>
      <c r="Z341" s="1709"/>
    </row>
    <row r="342" spans="5:26" s="1704" customFormat="1">
      <c r="E342" s="1709"/>
      <c r="F342" s="1709"/>
      <c r="I342" s="1709"/>
      <c r="J342" s="1709"/>
      <c r="K342" s="1709"/>
      <c r="L342" s="1709"/>
      <c r="M342" s="1709"/>
      <c r="N342" s="1709"/>
      <c r="O342" s="1709"/>
      <c r="P342" s="1709"/>
      <c r="Q342" s="1709"/>
      <c r="R342" s="1709"/>
      <c r="S342" s="1709"/>
      <c r="T342" s="1709"/>
      <c r="U342" s="1709"/>
      <c r="V342" s="1709"/>
      <c r="W342" s="1709"/>
      <c r="X342" s="1709"/>
      <c r="Y342" s="1709"/>
      <c r="Z342" s="1709"/>
    </row>
    <row r="343" spans="5:26" s="1704" customFormat="1">
      <c r="E343" s="1709"/>
      <c r="F343" s="1709"/>
      <c r="I343" s="1709"/>
      <c r="J343" s="1709"/>
      <c r="K343" s="1709"/>
      <c r="L343" s="1709"/>
      <c r="M343" s="1709"/>
      <c r="N343" s="1709"/>
      <c r="O343" s="1709"/>
      <c r="P343" s="1709"/>
      <c r="Q343" s="1709"/>
      <c r="R343" s="1709"/>
      <c r="S343" s="1709"/>
      <c r="T343" s="1709"/>
      <c r="U343" s="1709"/>
      <c r="V343" s="1709"/>
      <c r="W343" s="1709"/>
      <c r="X343" s="1709"/>
      <c r="Y343" s="1709"/>
      <c r="Z343" s="1709"/>
    </row>
    <row r="344" spans="5:26" s="1704" customFormat="1">
      <c r="E344" s="1709"/>
      <c r="F344" s="1709"/>
      <c r="I344" s="1709"/>
      <c r="J344" s="1709"/>
      <c r="K344" s="1709"/>
      <c r="L344" s="1709"/>
      <c r="M344" s="1709"/>
      <c r="N344" s="1709"/>
      <c r="O344" s="1709"/>
      <c r="P344" s="1709"/>
      <c r="Q344" s="1709"/>
      <c r="R344" s="1709"/>
      <c r="S344" s="1709"/>
      <c r="T344" s="1709"/>
      <c r="U344" s="1709"/>
      <c r="V344" s="1709"/>
      <c r="W344" s="1709"/>
      <c r="X344" s="1709"/>
      <c r="Y344" s="1709"/>
      <c r="Z344" s="1709"/>
    </row>
    <row r="345" spans="5:26" s="1704" customFormat="1">
      <c r="E345" s="1709"/>
      <c r="F345" s="1709"/>
      <c r="I345" s="1709"/>
      <c r="J345" s="1709"/>
      <c r="K345" s="1709"/>
      <c r="L345" s="1709"/>
      <c r="M345" s="1709"/>
      <c r="N345" s="1709"/>
      <c r="O345" s="1709"/>
      <c r="P345" s="1709"/>
      <c r="Q345" s="1709"/>
      <c r="R345" s="1709"/>
      <c r="S345" s="1709"/>
      <c r="T345" s="1709"/>
      <c r="U345" s="1709"/>
      <c r="V345" s="1709"/>
      <c r="W345" s="1709"/>
      <c r="X345" s="1709"/>
      <c r="Y345" s="1709"/>
      <c r="Z345" s="1709"/>
    </row>
    <row r="346" spans="5:26" s="1704" customFormat="1">
      <c r="E346" s="1709"/>
      <c r="F346" s="1709"/>
      <c r="I346" s="1709"/>
      <c r="J346" s="1709"/>
      <c r="K346" s="1709"/>
      <c r="L346" s="1709"/>
      <c r="M346" s="1709"/>
      <c r="N346" s="1709"/>
      <c r="O346" s="1709"/>
      <c r="P346" s="1709"/>
      <c r="Q346" s="1709"/>
      <c r="R346" s="1709"/>
      <c r="S346" s="1709"/>
      <c r="T346" s="1709"/>
      <c r="U346" s="1709"/>
      <c r="V346" s="1709"/>
      <c r="W346" s="1709"/>
      <c r="X346" s="1709"/>
      <c r="Y346" s="1709"/>
      <c r="Z346" s="1709"/>
    </row>
    <row r="347" spans="5:26" s="1704" customFormat="1">
      <c r="E347" s="1709"/>
      <c r="F347" s="1709"/>
      <c r="I347" s="1709"/>
      <c r="J347" s="1709"/>
      <c r="K347" s="1709"/>
      <c r="L347" s="1709"/>
      <c r="M347" s="1709"/>
      <c r="N347" s="1709"/>
      <c r="O347" s="1709"/>
      <c r="P347" s="1709"/>
      <c r="Q347" s="1709"/>
      <c r="R347" s="1709"/>
      <c r="S347" s="1709"/>
      <c r="T347" s="1709"/>
      <c r="U347" s="1709"/>
      <c r="V347" s="1709"/>
      <c r="W347" s="1709"/>
      <c r="X347" s="1709"/>
      <c r="Y347" s="1709"/>
      <c r="Z347" s="1709"/>
    </row>
    <row r="348" spans="5:26" s="1704" customFormat="1">
      <c r="E348" s="1709"/>
      <c r="F348" s="1709"/>
      <c r="I348" s="1709"/>
      <c r="J348" s="1709"/>
      <c r="K348" s="1709"/>
      <c r="L348" s="1709"/>
      <c r="M348" s="1709"/>
      <c r="N348" s="1709"/>
      <c r="O348" s="1709"/>
      <c r="P348" s="1709"/>
      <c r="Q348" s="1709"/>
      <c r="R348" s="1709"/>
      <c r="S348" s="1709"/>
      <c r="T348" s="1709"/>
      <c r="U348" s="1709"/>
      <c r="V348" s="1709"/>
      <c r="W348" s="1709"/>
      <c r="X348" s="1709"/>
      <c r="Y348" s="1709"/>
      <c r="Z348" s="1709"/>
    </row>
    <row r="349" spans="5:26" s="1704" customFormat="1">
      <c r="E349" s="1709"/>
      <c r="F349" s="1709"/>
      <c r="I349" s="1709"/>
      <c r="J349" s="1709"/>
      <c r="K349" s="1709"/>
      <c r="L349" s="1709"/>
      <c r="M349" s="1709"/>
      <c r="N349" s="1709"/>
      <c r="O349" s="1709"/>
      <c r="P349" s="1709"/>
      <c r="Q349" s="1709"/>
      <c r="R349" s="1709"/>
      <c r="S349" s="1709"/>
      <c r="T349" s="1709"/>
      <c r="U349" s="1709"/>
      <c r="V349" s="1709"/>
      <c r="W349" s="1709"/>
      <c r="X349" s="1709"/>
      <c r="Y349" s="1709"/>
      <c r="Z349" s="1709"/>
    </row>
    <row r="350" spans="5:26" s="1704" customFormat="1">
      <c r="E350" s="1709"/>
      <c r="F350" s="1709"/>
      <c r="I350" s="1709"/>
      <c r="J350" s="1709"/>
      <c r="K350" s="1709"/>
      <c r="L350" s="1709"/>
      <c r="M350" s="1709"/>
      <c r="N350" s="1709"/>
      <c r="O350" s="1709"/>
      <c r="P350" s="1709"/>
      <c r="Q350" s="1709"/>
      <c r="R350" s="1709"/>
      <c r="S350" s="1709"/>
      <c r="T350" s="1709"/>
      <c r="U350" s="1709"/>
      <c r="V350" s="1709"/>
      <c r="W350" s="1709"/>
      <c r="X350" s="1709"/>
      <c r="Y350" s="1709"/>
      <c r="Z350" s="1709"/>
    </row>
    <row r="351" spans="5:26" s="1704" customFormat="1">
      <c r="E351" s="1709"/>
      <c r="F351" s="1709"/>
      <c r="I351" s="1709"/>
      <c r="J351" s="1709"/>
      <c r="K351" s="1709"/>
      <c r="L351" s="1709"/>
      <c r="M351" s="1709"/>
      <c r="N351" s="1709"/>
      <c r="O351" s="1709"/>
      <c r="P351" s="1709"/>
      <c r="Q351" s="1709"/>
      <c r="R351" s="1709"/>
      <c r="S351" s="1709"/>
      <c r="T351" s="1709"/>
      <c r="U351" s="1709"/>
      <c r="V351" s="1709"/>
      <c r="W351" s="1709"/>
      <c r="X351" s="1709"/>
      <c r="Y351" s="1709"/>
      <c r="Z351" s="1709"/>
    </row>
    <row r="352" spans="5:26" s="1704" customFormat="1">
      <c r="E352" s="1709"/>
      <c r="F352" s="1709"/>
      <c r="I352" s="1709"/>
      <c r="J352" s="1709"/>
      <c r="K352" s="1709"/>
      <c r="L352" s="1709"/>
      <c r="M352" s="1709"/>
      <c r="N352" s="1709"/>
      <c r="O352" s="1709"/>
      <c r="P352" s="1709"/>
      <c r="Q352" s="1709"/>
      <c r="R352" s="1709"/>
      <c r="S352" s="1709"/>
      <c r="T352" s="1709"/>
      <c r="U352" s="1709"/>
      <c r="V352" s="1709"/>
      <c r="W352" s="1709"/>
      <c r="X352" s="1709"/>
      <c r="Y352" s="1709"/>
      <c r="Z352" s="1709"/>
    </row>
    <row r="353" spans="5:26" s="1704" customFormat="1">
      <c r="E353" s="1709"/>
      <c r="F353" s="1709"/>
      <c r="I353" s="1709"/>
      <c r="J353" s="1709"/>
      <c r="K353" s="1709"/>
      <c r="L353" s="1709"/>
      <c r="M353" s="1709"/>
      <c r="N353" s="1709"/>
      <c r="O353" s="1709"/>
      <c r="P353" s="1709"/>
      <c r="Q353" s="1709"/>
      <c r="R353" s="1709"/>
      <c r="S353" s="1709"/>
      <c r="T353" s="1709"/>
      <c r="U353" s="1709"/>
      <c r="V353" s="1709"/>
      <c r="W353" s="1709"/>
      <c r="X353" s="1709"/>
      <c r="Y353" s="1709"/>
      <c r="Z353" s="1709"/>
    </row>
    <row r="354" spans="5:26" s="1704" customFormat="1">
      <c r="E354" s="1709"/>
      <c r="F354" s="1709"/>
      <c r="I354" s="1709"/>
      <c r="J354" s="1709"/>
      <c r="K354" s="1709"/>
      <c r="L354" s="1709"/>
      <c r="M354" s="1709"/>
      <c r="N354" s="1709"/>
      <c r="O354" s="1709"/>
      <c r="P354" s="1709"/>
      <c r="Q354" s="1709"/>
      <c r="R354" s="1709"/>
      <c r="S354" s="1709"/>
      <c r="T354" s="1709"/>
      <c r="U354" s="1709"/>
      <c r="V354" s="1709"/>
      <c r="W354" s="1709"/>
      <c r="X354" s="1709"/>
      <c r="Y354" s="1709"/>
      <c r="Z354" s="1709"/>
    </row>
    <row r="355" spans="5:26" s="1704" customFormat="1">
      <c r="E355" s="1709"/>
      <c r="F355" s="1709"/>
      <c r="I355" s="1709"/>
      <c r="J355" s="1709"/>
      <c r="K355" s="1709"/>
      <c r="L355" s="1709"/>
      <c r="M355" s="1709"/>
      <c r="N355" s="1709"/>
      <c r="O355" s="1709"/>
      <c r="P355" s="1709"/>
      <c r="Q355" s="1709"/>
      <c r="R355" s="1709"/>
      <c r="S355" s="1709"/>
      <c r="T355" s="1709"/>
      <c r="U355" s="1709"/>
      <c r="V355" s="1709"/>
      <c r="W355" s="1709"/>
      <c r="X355" s="1709"/>
      <c r="Y355" s="1709"/>
      <c r="Z355" s="1709"/>
    </row>
    <row r="356" spans="5:26" s="1704" customFormat="1">
      <c r="E356" s="1709"/>
      <c r="F356" s="1709"/>
      <c r="I356" s="1709"/>
      <c r="J356" s="1709"/>
      <c r="K356" s="1709"/>
      <c r="L356" s="1709"/>
      <c r="M356" s="1709"/>
      <c r="N356" s="1709"/>
      <c r="O356" s="1709"/>
      <c r="P356" s="1709"/>
      <c r="Q356" s="1709"/>
      <c r="R356" s="1709"/>
      <c r="S356" s="1709"/>
      <c r="T356" s="1709"/>
      <c r="U356" s="1709"/>
      <c r="V356" s="1709"/>
      <c r="W356" s="1709"/>
      <c r="X356" s="1709"/>
      <c r="Y356" s="1709"/>
      <c r="Z356" s="1709"/>
    </row>
    <row r="357" spans="5:26" s="1704" customFormat="1">
      <c r="E357" s="1709"/>
      <c r="F357" s="1709"/>
      <c r="I357" s="1709"/>
      <c r="J357" s="1709"/>
      <c r="K357" s="1709"/>
      <c r="L357" s="1709"/>
      <c r="M357" s="1709"/>
      <c r="N357" s="1709"/>
      <c r="O357" s="1709"/>
      <c r="P357" s="1709"/>
      <c r="Q357" s="1709"/>
      <c r="R357" s="1709"/>
      <c r="S357" s="1709"/>
      <c r="T357" s="1709"/>
      <c r="U357" s="1709"/>
      <c r="V357" s="1709"/>
      <c r="W357" s="1709"/>
      <c r="X357" s="1709"/>
      <c r="Y357" s="1709"/>
      <c r="Z357" s="1709"/>
    </row>
    <row r="358" spans="5:26" s="1704" customFormat="1">
      <c r="E358" s="1709"/>
      <c r="F358" s="1709"/>
      <c r="I358" s="1709"/>
      <c r="J358" s="1709"/>
      <c r="K358" s="1709"/>
      <c r="L358" s="1709"/>
      <c r="M358" s="1709"/>
      <c r="N358" s="1709"/>
      <c r="O358" s="1709"/>
      <c r="P358" s="1709"/>
      <c r="Q358" s="1709"/>
      <c r="R358" s="1709"/>
      <c r="S358" s="1709"/>
      <c r="T358" s="1709"/>
      <c r="U358" s="1709"/>
      <c r="V358" s="1709"/>
      <c r="W358" s="1709"/>
      <c r="X358" s="1709"/>
      <c r="Y358" s="1709"/>
      <c r="Z358" s="1709"/>
    </row>
    <row r="359" spans="5:26" s="1704" customFormat="1">
      <c r="E359" s="1709"/>
      <c r="F359" s="1709"/>
      <c r="I359" s="1709"/>
      <c r="J359" s="1709"/>
      <c r="K359" s="1709"/>
      <c r="L359" s="1709"/>
      <c r="M359" s="1709"/>
      <c r="N359" s="1709"/>
      <c r="O359" s="1709"/>
      <c r="P359" s="1709"/>
      <c r="Q359" s="1709"/>
      <c r="R359" s="1709"/>
      <c r="S359" s="1709"/>
      <c r="T359" s="1709"/>
      <c r="U359" s="1709"/>
      <c r="V359" s="1709"/>
      <c r="W359" s="1709"/>
      <c r="X359" s="1709"/>
      <c r="Y359" s="1709"/>
      <c r="Z359" s="1709"/>
    </row>
    <row r="360" spans="5:26" s="1704" customFormat="1">
      <c r="E360" s="1709"/>
      <c r="F360" s="1709"/>
      <c r="I360" s="1709"/>
      <c r="J360" s="1709"/>
      <c r="K360" s="1709"/>
      <c r="L360" s="1709"/>
      <c r="M360" s="1709"/>
      <c r="N360" s="1709"/>
      <c r="O360" s="1709"/>
      <c r="P360" s="1709"/>
      <c r="Q360" s="1709"/>
      <c r="R360" s="1709"/>
      <c r="S360" s="1709"/>
      <c r="T360" s="1709"/>
      <c r="U360" s="1709"/>
      <c r="V360" s="1709"/>
      <c r="W360" s="1709"/>
      <c r="X360" s="1709"/>
      <c r="Y360" s="1709"/>
      <c r="Z360" s="1709"/>
    </row>
    <row r="361" spans="5:26" s="1704" customFormat="1">
      <c r="E361" s="1709"/>
      <c r="F361" s="1709"/>
      <c r="I361" s="1709"/>
      <c r="J361" s="1709"/>
      <c r="K361" s="1709"/>
      <c r="L361" s="1709"/>
      <c r="M361" s="1709"/>
      <c r="N361" s="1709"/>
      <c r="O361" s="1709"/>
      <c r="P361" s="1709"/>
      <c r="Q361" s="1709"/>
      <c r="R361" s="1709"/>
      <c r="S361" s="1709"/>
      <c r="T361" s="1709"/>
      <c r="U361" s="1709"/>
      <c r="V361" s="1709"/>
      <c r="W361" s="1709"/>
      <c r="X361" s="1709"/>
      <c r="Y361" s="1709"/>
      <c r="Z361" s="1709"/>
    </row>
    <row r="362" spans="5:26" s="1704" customFormat="1">
      <c r="E362" s="1709"/>
      <c r="F362" s="1709"/>
      <c r="I362" s="1709"/>
      <c r="J362" s="1709"/>
      <c r="K362" s="1709"/>
      <c r="L362" s="1709"/>
      <c r="M362" s="1709"/>
      <c r="N362" s="1709"/>
      <c r="O362" s="1709"/>
      <c r="P362" s="1709"/>
      <c r="Q362" s="1709"/>
      <c r="R362" s="1709"/>
      <c r="S362" s="1709"/>
      <c r="T362" s="1709"/>
      <c r="U362" s="1709"/>
      <c r="V362" s="1709"/>
      <c r="W362" s="1709"/>
      <c r="X362" s="1709"/>
      <c r="Y362" s="1709"/>
      <c r="Z362" s="1709"/>
    </row>
    <row r="363" spans="5:26" s="1704" customFormat="1">
      <c r="E363" s="1709"/>
      <c r="F363" s="1709"/>
      <c r="I363" s="1709"/>
      <c r="J363" s="1709"/>
      <c r="K363" s="1709"/>
      <c r="L363" s="1709"/>
      <c r="M363" s="1709"/>
      <c r="N363" s="1709"/>
      <c r="O363" s="1709"/>
      <c r="P363" s="1709"/>
      <c r="Q363" s="1709"/>
      <c r="R363" s="1709"/>
      <c r="S363" s="1709"/>
      <c r="T363" s="1709"/>
      <c r="U363" s="1709"/>
      <c r="V363" s="1709"/>
      <c r="W363" s="1709"/>
      <c r="X363" s="1709"/>
      <c r="Y363" s="1709"/>
      <c r="Z363" s="1709"/>
    </row>
    <row r="364" spans="5:26" s="1704" customFormat="1">
      <c r="E364" s="1709"/>
      <c r="F364" s="1709"/>
      <c r="I364" s="1709"/>
      <c r="J364" s="1709"/>
      <c r="K364" s="1709"/>
      <c r="L364" s="1709"/>
      <c r="M364" s="1709"/>
      <c r="N364" s="1709"/>
      <c r="O364" s="1709"/>
      <c r="P364" s="1709"/>
      <c r="Q364" s="1709"/>
      <c r="R364" s="1709"/>
      <c r="S364" s="1709"/>
      <c r="T364" s="1709"/>
      <c r="U364" s="1709"/>
      <c r="V364" s="1709"/>
      <c r="W364" s="1709"/>
      <c r="X364" s="1709"/>
      <c r="Y364" s="1709"/>
      <c r="Z364" s="1709"/>
    </row>
    <row r="365" spans="5:26" s="1704" customFormat="1">
      <c r="E365" s="1709"/>
      <c r="F365" s="1709"/>
      <c r="I365" s="1709"/>
      <c r="J365" s="1709"/>
      <c r="K365" s="1709"/>
      <c r="L365" s="1709"/>
      <c r="M365" s="1709"/>
      <c r="N365" s="1709"/>
      <c r="O365" s="1709"/>
      <c r="P365" s="1709"/>
      <c r="Q365" s="1709"/>
      <c r="R365" s="1709"/>
      <c r="S365" s="1709"/>
      <c r="T365" s="1709"/>
      <c r="U365" s="1709"/>
      <c r="V365" s="1709"/>
      <c r="W365" s="1709"/>
      <c r="X365" s="1709"/>
      <c r="Y365" s="1709"/>
      <c r="Z365" s="1709"/>
    </row>
    <row r="366" spans="5:26" s="1704" customFormat="1">
      <c r="E366" s="1709"/>
      <c r="F366" s="1709"/>
      <c r="I366" s="1709"/>
      <c r="J366" s="1709"/>
      <c r="K366" s="1709"/>
      <c r="L366" s="1709"/>
      <c r="M366" s="1709"/>
      <c r="N366" s="1709"/>
      <c r="O366" s="1709"/>
      <c r="P366" s="1709"/>
      <c r="Q366" s="1709"/>
      <c r="R366" s="1709"/>
      <c r="S366" s="1709"/>
      <c r="T366" s="1709"/>
      <c r="U366" s="1709"/>
      <c r="V366" s="1709"/>
      <c r="W366" s="1709"/>
      <c r="X366" s="1709"/>
      <c r="Y366" s="1709"/>
      <c r="Z366" s="1709"/>
    </row>
    <row r="367" spans="5:26" s="1704" customFormat="1">
      <c r="E367" s="1709"/>
      <c r="F367" s="1709"/>
      <c r="I367" s="1709"/>
      <c r="J367" s="1709"/>
      <c r="K367" s="1709"/>
      <c r="L367" s="1709"/>
      <c r="M367" s="1709"/>
      <c r="N367" s="1709"/>
      <c r="O367" s="1709"/>
      <c r="P367" s="1709"/>
      <c r="Q367" s="1709"/>
      <c r="R367" s="1709"/>
      <c r="S367" s="1709"/>
      <c r="T367" s="1709"/>
      <c r="U367" s="1709"/>
      <c r="V367" s="1709"/>
      <c r="W367" s="1709"/>
      <c r="X367" s="1709"/>
      <c r="Y367" s="1709"/>
      <c r="Z367" s="1709"/>
    </row>
    <row r="368" spans="5:26" s="1704" customFormat="1">
      <c r="E368" s="1709"/>
      <c r="F368" s="1709"/>
      <c r="I368" s="1709"/>
      <c r="J368" s="1709"/>
      <c r="K368" s="1709"/>
      <c r="L368" s="1709"/>
      <c r="M368" s="1709"/>
      <c r="N368" s="1709"/>
      <c r="O368" s="1709"/>
      <c r="P368" s="1709"/>
      <c r="Q368" s="1709"/>
      <c r="R368" s="1709"/>
      <c r="S368" s="1709"/>
      <c r="T368" s="1709"/>
      <c r="U368" s="1709"/>
      <c r="V368" s="1709"/>
      <c r="W368" s="1709"/>
      <c r="X368" s="1709"/>
      <c r="Y368" s="1709"/>
      <c r="Z368" s="1709"/>
    </row>
    <row r="369" spans="5:26" s="1704" customFormat="1">
      <c r="E369" s="1709"/>
      <c r="F369" s="1709"/>
      <c r="I369" s="1709"/>
      <c r="J369" s="1709"/>
      <c r="K369" s="1709"/>
      <c r="L369" s="1709"/>
      <c r="M369" s="1709"/>
      <c r="N369" s="1709"/>
      <c r="O369" s="1709"/>
      <c r="P369" s="1709"/>
      <c r="Q369" s="1709"/>
      <c r="R369" s="1709"/>
      <c r="S369" s="1709"/>
      <c r="T369" s="1709"/>
      <c r="U369" s="1709"/>
      <c r="V369" s="1709"/>
      <c r="W369" s="1709"/>
      <c r="X369" s="1709"/>
      <c r="Y369" s="1709"/>
      <c r="Z369" s="1709"/>
    </row>
    <row r="370" spans="5:26" s="1704" customFormat="1">
      <c r="E370" s="1709"/>
      <c r="F370" s="1709"/>
      <c r="I370" s="1709"/>
      <c r="J370" s="1709"/>
      <c r="K370" s="1709"/>
      <c r="L370" s="1709"/>
      <c r="M370" s="1709"/>
      <c r="N370" s="1709"/>
      <c r="O370" s="1709"/>
      <c r="P370" s="1709"/>
      <c r="Q370" s="1709"/>
      <c r="R370" s="1709"/>
      <c r="S370" s="1709"/>
      <c r="T370" s="1709"/>
      <c r="U370" s="1709"/>
      <c r="V370" s="1709"/>
      <c r="W370" s="1709"/>
      <c r="X370" s="1709"/>
      <c r="Y370" s="1709"/>
      <c r="Z370" s="1709"/>
    </row>
    <row r="371" spans="5:26" s="1704" customFormat="1">
      <c r="E371" s="1709"/>
      <c r="F371" s="1709"/>
      <c r="I371" s="1709"/>
      <c r="J371" s="1709"/>
      <c r="K371" s="1709"/>
      <c r="L371" s="1709"/>
      <c r="M371" s="1709"/>
      <c r="N371" s="1709"/>
      <c r="O371" s="1709"/>
      <c r="P371" s="1709"/>
      <c r="Q371" s="1709"/>
      <c r="R371" s="1709"/>
      <c r="S371" s="1709"/>
      <c r="T371" s="1709"/>
      <c r="U371" s="1709"/>
      <c r="V371" s="1709"/>
      <c r="W371" s="1709"/>
      <c r="X371" s="1709"/>
      <c r="Y371" s="1709"/>
      <c r="Z371" s="1709"/>
    </row>
    <row r="372" spans="5:26" s="1704" customFormat="1">
      <c r="E372" s="1709"/>
      <c r="F372" s="1709"/>
      <c r="I372" s="1709"/>
      <c r="J372" s="1709"/>
      <c r="K372" s="1709"/>
      <c r="L372" s="1709"/>
      <c r="M372" s="1709"/>
      <c r="N372" s="1709"/>
      <c r="O372" s="1709"/>
      <c r="P372" s="1709"/>
      <c r="Q372" s="1709"/>
      <c r="R372" s="1709"/>
      <c r="S372" s="1709"/>
      <c r="T372" s="1709"/>
      <c r="U372" s="1709"/>
      <c r="V372" s="1709"/>
      <c r="W372" s="1709"/>
      <c r="X372" s="1709"/>
      <c r="Y372" s="1709"/>
      <c r="Z372" s="1709"/>
    </row>
    <row r="373" spans="5:26" s="1704" customFormat="1">
      <c r="E373" s="1709"/>
      <c r="F373" s="1709"/>
      <c r="I373" s="1709"/>
      <c r="J373" s="1709"/>
      <c r="K373" s="1709"/>
      <c r="L373" s="1709"/>
      <c r="M373" s="1709"/>
      <c r="N373" s="1709"/>
      <c r="O373" s="1709"/>
      <c r="P373" s="1709"/>
      <c r="Q373" s="1709"/>
      <c r="R373" s="1709"/>
      <c r="S373" s="1709"/>
      <c r="T373" s="1709"/>
      <c r="U373" s="1709"/>
      <c r="V373" s="1709"/>
      <c r="W373" s="1709"/>
      <c r="X373" s="1709"/>
      <c r="Y373" s="1709"/>
      <c r="Z373" s="1709"/>
    </row>
    <row r="374" spans="5:26" s="1704" customFormat="1">
      <c r="E374" s="1709"/>
      <c r="F374" s="1709"/>
      <c r="I374" s="1709"/>
      <c r="J374" s="1709"/>
      <c r="K374" s="1709"/>
      <c r="L374" s="1709"/>
      <c r="M374" s="1709"/>
      <c r="N374" s="1709"/>
      <c r="O374" s="1709"/>
      <c r="P374" s="1709"/>
      <c r="Q374" s="1709"/>
      <c r="R374" s="1709"/>
      <c r="S374" s="1709"/>
      <c r="T374" s="1709"/>
      <c r="U374" s="1709"/>
      <c r="V374" s="1709"/>
      <c r="W374" s="1709"/>
      <c r="X374" s="1709"/>
      <c r="Y374" s="1709"/>
      <c r="Z374" s="1709"/>
    </row>
    <row r="375" spans="5:26" s="1704" customFormat="1">
      <c r="E375" s="1709"/>
      <c r="F375" s="1709"/>
      <c r="I375" s="1709"/>
      <c r="J375" s="1709"/>
      <c r="K375" s="1709"/>
      <c r="L375" s="1709"/>
      <c r="M375" s="1709"/>
      <c r="N375" s="1709"/>
      <c r="O375" s="1709"/>
      <c r="P375" s="1709"/>
      <c r="Q375" s="1709"/>
      <c r="R375" s="1709"/>
      <c r="S375" s="1709"/>
      <c r="T375" s="1709"/>
      <c r="U375" s="1709"/>
      <c r="V375" s="1709"/>
      <c r="W375" s="1709"/>
      <c r="X375" s="1709"/>
      <c r="Y375" s="1709"/>
      <c r="Z375" s="1709"/>
    </row>
    <row r="376" spans="5:26" s="1704" customFormat="1">
      <c r="E376" s="1709"/>
      <c r="F376" s="1709"/>
      <c r="I376" s="1709"/>
      <c r="J376" s="1709"/>
      <c r="K376" s="1709"/>
      <c r="L376" s="1709"/>
      <c r="M376" s="1709"/>
      <c r="N376" s="1709"/>
      <c r="O376" s="1709"/>
      <c r="P376" s="1709"/>
      <c r="Q376" s="1709"/>
      <c r="R376" s="1709"/>
      <c r="S376" s="1709"/>
      <c r="T376" s="1709"/>
      <c r="U376" s="1709"/>
      <c r="V376" s="1709"/>
      <c r="W376" s="1709"/>
      <c r="X376" s="1709"/>
      <c r="Y376" s="1709"/>
      <c r="Z376" s="1709"/>
    </row>
    <row r="377" spans="5:26" s="1704" customFormat="1">
      <c r="E377" s="1709"/>
      <c r="F377" s="1709"/>
      <c r="I377" s="1709"/>
      <c r="J377" s="1709"/>
      <c r="K377" s="1709"/>
      <c r="L377" s="1709"/>
      <c r="M377" s="1709"/>
      <c r="N377" s="1709"/>
      <c r="O377" s="1709"/>
      <c r="P377" s="1709"/>
      <c r="Q377" s="1709"/>
      <c r="R377" s="1709"/>
      <c r="S377" s="1709"/>
      <c r="T377" s="1709"/>
      <c r="U377" s="1709"/>
      <c r="V377" s="1709"/>
      <c r="W377" s="1709"/>
      <c r="X377" s="1709"/>
      <c r="Y377" s="1709"/>
      <c r="Z377" s="1709"/>
    </row>
    <row r="378" spans="5:26" s="1704" customFormat="1">
      <c r="E378" s="1709"/>
      <c r="F378" s="1709"/>
      <c r="I378" s="1709"/>
      <c r="J378" s="1709"/>
      <c r="K378" s="1709"/>
      <c r="L378" s="1709"/>
      <c r="M378" s="1709"/>
      <c r="N378" s="1709"/>
      <c r="O378" s="1709"/>
      <c r="P378" s="1709"/>
      <c r="Q378" s="1709"/>
      <c r="R378" s="1709"/>
      <c r="S378" s="1709"/>
      <c r="T378" s="1709"/>
      <c r="U378" s="1709"/>
      <c r="V378" s="1709"/>
      <c r="W378" s="1709"/>
      <c r="X378" s="1709"/>
      <c r="Y378" s="1709"/>
      <c r="Z378" s="1709"/>
    </row>
    <row r="379" spans="5:26" s="1704" customFormat="1">
      <c r="E379" s="1709"/>
      <c r="F379" s="1709"/>
      <c r="I379" s="1709"/>
      <c r="J379" s="1709"/>
      <c r="K379" s="1709"/>
      <c r="L379" s="1709"/>
      <c r="M379" s="1709"/>
      <c r="N379" s="1709"/>
      <c r="O379" s="1709"/>
      <c r="P379" s="1709"/>
      <c r="Q379" s="1709"/>
      <c r="R379" s="1709"/>
      <c r="S379" s="1709"/>
      <c r="T379" s="1709"/>
      <c r="U379" s="1709"/>
      <c r="V379" s="1709"/>
      <c r="W379" s="1709"/>
      <c r="X379" s="1709"/>
      <c r="Y379" s="1709"/>
      <c r="Z379" s="1709"/>
    </row>
    <row r="380" spans="5:26" s="1704" customFormat="1">
      <c r="E380" s="1709"/>
      <c r="F380" s="1709"/>
      <c r="I380" s="1709"/>
      <c r="J380" s="1709"/>
      <c r="K380" s="1709"/>
      <c r="L380" s="1709"/>
      <c r="M380" s="1709"/>
      <c r="N380" s="1709"/>
      <c r="O380" s="1709"/>
      <c r="P380" s="1709"/>
      <c r="Q380" s="1709"/>
      <c r="R380" s="1709"/>
      <c r="S380" s="1709"/>
      <c r="T380" s="1709"/>
      <c r="U380" s="1709"/>
      <c r="V380" s="1709"/>
      <c r="W380" s="1709"/>
      <c r="X380" s="1709"/>
      <c r="Y380" s="1709"/>
      <c r="Z380" s="1709"/>
    </row>
    <row r="381" spans="5:26" s="1704" customFormat="1">
      <c r="E381" s="1709"/>
      <c r="F381" s="1709"/>
      <c r="I381" s="1709"/>
      <c r="J381" s="1709"/>
      <c r="K381" s="1709"/>
      <c r="L381" s="1709"/>
      <c r="M381" s="1709"/>
      <c r="N381" s="1709"/>
      <c r="O381" s="1709"/>
      <c r="P381" s="1709"/>
      <c r="Q381" s="1709"/>
      <c r="R381" s="1709"/>
      <c r="S381" s="1709"/>
      <c r="T381" s="1709"/>
      <c r="U381" s="1709"/>
      <c r="V381" s="1709"/>
      <c r="W381" s="1709"/>
      <c r="X381" s="1709"/>
      <c r="Y381" s="1709"/>
      <c r="Z381" s="1709"/>
    </row>
    <row r="382" spans="5:26" s="1704" customFormat="1">
      <c r="E382" s="1709"/>
      <c r="F382" s="1709"/>
      <c r="I382" s="1709"/>
      <c r="J382" s="1709"/>
      <c r="K382" s="1709"/>
      <c r="L382" s="1709"/>
      <c r="M382" s="1709"/>
      <c r="N382" s="1709"/>
      <c r="O382" s="1709"/>
      <c r="P382" s="1709"/>
      <c r="Q382" s="1709"/>
      <c r="R382" s="1709"/>
      <c r="S382" s="1709"/>
      <c r="T382" s="1709"/>
      <c r="U382" s="1709"/>
      <c r="V382" s="1709"/>
      <c r="W382" s="1709"/>
      <c r="X382" s="1709"/>
      <c r="Y382" s="1709"/>
      <c r="Z382" s="1709"/>
    </row>
    <row r="383" spans="5:26" s="1704" customFormat="1">
      <c r="E383" s="1709"/>
      <c r="F383" s="1709"/>
      <c r="I383" s="1709"/>
      <c r="J383" s="1709"/>
      <c r="K383" s="1709"/>
      <c r="L383" s="1709"/>
      <c r="M383" s="1709"/>
      <c r="N383" s="1709"/>
      <c r="O383" s="1709"/>
      <c r="P383" s="1709"/>
      <c r="Q383" s="1709"/>
      <c r="R383" s="1709"/>
      <c r="S383" s="1709"/>
      <c r="T383" s="1709"/>
      <c r="U383" s="1709"/>
      <c r="V383" s="1709"/>
      <c r="W383" s="1709"/>
      <c r="X383" s="1709"/>
      <c r="Y383" s="1709"/>
      <c r="Z383" s="1709"/>
    </row>
    <row r="384" spans="5:26" s="1704" customFormat="1">
      <c r="E384" s="1709"/>
      <c r="F384" s="1709"/>
      <c r="I384" s="1709"/>
      <c r="J384" s="1709"/>
      <c r="K384" s="1709"/>
      <c r="L384" s="1709"/>
      <c r="M384" s="1709"/>
      <c r="N384" s="1709"/>
      <c r="O384" s="1709"/>
      <c r="P384" s="1709"/>
      <c r="Q384" s="1709"/>
      <c r="R384" s="1709"/>
      <c r="S384" s="1709"/>
      <c r="T384" s="1709"/>
      <c r="U384" s="1709"/>
      <c r="V384" s="1709"/>
      <c r="W384" s="1709"/>
      <c r="X384" s="1709"/>
      <c r="Y384" s="1709"/>
      <c r="Z384" s="1709"/>
    </row>
    <row r="385" spans="5:26" s="1704" customFormat="1">
      <c r="E385" s="1709"/>
      <c r="F385" s="1709"/>
      <c r="I385" s="1709"/>
      <c r="J385" s="1709"/>
      <c r="K385" s="1709"/>
      <c r="L385" s="1709"/>
      <c r="M385" s="1709"/>
      <c r="N385" s="1709"/>
      <c r="O385" s="1709"/>
      <c r="P385" s="1709"/>
      <c r="Q385" s="1709"/>
      <c r="R385" s="1709"/>
      <c r="S385" s="1709"/>
      <c r="T385" s="1709"/>
      <c r="U385" s="1709"/>
      <c r="V385" s="1709"/>
      <c r="W385" s="1709"/>
      <c r="X385" s="1709"/>
      <c r="Y385" s="1709"/>
      <c r="Z385" s="1709"/>
    </row>
    <row r="386" spans="5:26" s="1704" customFormat="1">
      <c r="E386" s="1709"/>
      <c r="F386" s="1709"/>
      <c r="I386" s="1709"/>
      <c r="J386" s="1709"/>
      <c r="K386" s="1709"/>
      <c r="L386" s="1709"/>
      <c r="M386" s="1709"/>
      <c r="N386" s="1709"/>
      <c r="O386" s="1709"/>
      <c r="P386" s="1709"/>
      <c r="Q386" s="1709"/>
      <c r="R386" s="1709"/>
      <c r="S386" s="1709"/>
      <c r="T386" s="1709"/>
      <c r="U386" s="1709"/>
      <c r="V386" s="1709"/>
      <c r="W386" s="1709"/>
      <c r="X386" s="1709"/>
      <c r="Y386" s="1709"/>
      <c r="Z386" s="1709"/>
    </row>
    <row r="387" spans="5:26" s="1704" customFormat="1">
      <c r="E387" s="1709"/>
      <c r="F387" s="1709"/>
      <c r="I387" s="1709"/>
      <c r="J387" s="1709"/>
      <c r="K387" s="1709"/>
      <c r="L387" s="1709"/>
      <c r="M387" s="1709"/>
      <c r="N387" s="1709"/>
      <c r="O387" s="1709"/>
      <c r="P387" s="1709"/>
      <c r="Q387" s="1709"/>
      <c r="R387" s="1709"/>
      <c r="S387" s="1709"/>
      <c r="T387" s="1709"/>
      <c r="U387" s="1709"/>
      <c r="V387" s="1709"/>
      <c r="W387" s="1709"/>
      <c r="X387" s="1709"/>
      <c r="Y387" s="1709"/>
      <c r="Z387" s="1709"/>
    </row>
    <row r="388" spans="5:26" s="1704" customFormat="1">
      <c r="E388" s="1709"/>
      <c r="F388" s="1709"/>
      <c r="I388" s="1709"/>
      <c r="J388" s="1709"/>
      <c r="K388" s="1709"/>
      <c r="L388" s="1709"/>
      <c r="M388" s="1709"/>
      <c r="N388" s="1709"/>
      <c r="O388" s="1709"/>
      <c r="P388" s="1709"/>
      <c r="Q388" s="1709"/>
      <c r="R388" s="1709"/>
      <c r="S388" s="1709"/>
      <c r="T388" s="1709"/>
      <c r="U388" s="1709"/>
      <c r="V388" s="1709"/>
      <c r="W388" s="1709"/>
      <c r="X388" s="1709"/>
      <c r="Y388" s="1709"/>
      <c r="Z388" s="1709"/>
    </row>
    <row r="389" spans="5:26" s="1704" customFormat="1">
      <c r="E389" s="1709"/>
      <c r="F389" s="1709"/>
      <c r="I389" s="1709"/>
      <c r="J389" s="1709"/>
      <c r="K389" s="1709"/>
      <c r="L389" s="1709"/>
      <c r="M389" s="1709"/>
      <c r="N389" s="1709"/>
      <c r="O389" s="1709"/>
      <c r="P389" s="1709"/>
      <c r="Q389" s="1709"/>
      <c r="R389" s="1709"/>
      <c r="S389" s="1709"/>
      <c r="T389" s="1709"/>
      <c r="U389" s="1709"/>
      <c r="V389" s="1709"/>
      <c r="W389" s="1709"/>
      <c r="X389" s="1709"/>
      <c r="Y389" s="1709"/>
      <c r="Z389" s="1709"/>
    </row>
    <row r="390" spans="5:26" s="1704" customFormat="1">
      <c r="E390" s="1709"/>
      <c r="F390" s="1709"/>
      <c r="I390" s="1709"/>
      <c r="J390" s="1709"/>
      <c r="K390" s="1709"/>
      <c r="L390" s="1709"/>
      <c r="M390" s="1709"/>
      <c r="N390" s="1709"/>
      <c r="O390" s="1709"/>
      <c r="P390" s="1709"/>
      <c r="Q390" s="1709"/>
      <c r="R390" s="1709"/>
      <c r="S390" s="1709"/>
      <c r="T390" s="1709"/>
      <c r="U390" s="1709"/>
      <c r="V390" s="1709"/>
      <c r="W390" s="1709"/>
      <c r="X390" s="1709"/>
      <c r="Y390" s="1709"/>
      <c r="Z390" s="1709"/>
    </row>
    <row r="391" spans="5:26" s="1704" customFormat="1">
      <c r="E391" s="1709"/>
      <c r="F391" s="1709"/>
      <c r="I391" s="1709"/>
      <c r="J391" s="1709"/>
      <c r="K391" s="1709"/>
      <c r="L391" s="1709"/>
      <c r="M391" s="1709"/>
      <c r="N391" s="1709"/>
      <c r="O391" s="1709"/>
      <c r="P391" s="1709"/>
      <c r="Q391" s="1709"/>
      <c r="R391" s="1709"/>
      <c r="S391" s="1709"/>
      <c r="T391" s="1709"/>
      <c r="U391" s="1709"/>
      <c r="V391" s="1709"/>
      <c r="W391" s="1709"/>
      <c r="X391" s="1709"/>
      <c r="Y391" s="1709"/>
      <c r="Z391" s="1709"/>
    </row>
    <row r="392" spans="5:26" s="1704" customFormat="1">
      <c r="E392" s="1709"/>
      <c r="F392" s="1709"/>
      <c r="I392" s="1709"/>
      <c r="J392" s="1709"/>
      <c r="K392" s="1709"/>
      <c r="L392" s="1709"/>
      <c r="M392" s="1709"/>
      <c r="N392" s="1709"/>
      <c r="O392" s="1709"/>
      <c r="P392" s="1709"/>
      <c r="Q392" s="1709"/>
      <c r="R392" s="1709"/>
      <c r="S392" s="1709"/>
      <c r="T392" s="1709"/>
      <c r="U392" s="1709"/>
      <c r="V392" s="1709"/>
      <c r="W392" s="1709"/>
      <c r="X392" s="1709"/>
      <c r="Y392" s="1709"/>
      <c r="Z392" s="1709"/>
    </row>
    <row r="393" spans="5:26" s="1704" customFormat="1">
      <c r="E393" s="1709"/>
      <c r="F393" s="1709"/>
      <c r="I393" s="1709"/>
      <c r="J393" s="1709"/>
      <c r="K393" s="1709"/>
      <c r="L393" s="1709"/>
      <c r="M393" s="1709"/>
      <c r="N393" s="1709"/>
      <c r="O393" s="1709"/>
      <c r="P393" s="1709"/>
      <c r="Q393" s="1709"/>
      <c r="R393" s="1709"/>
      <c r="S393" s="1709"/>
      <c r="T393" s="1709"/>
      <c r="U393" s="1709"/>
      <c r="V393" s="1709"/>
      <c r="W393" s="1709"/>
      <c r="X393" s="1709"/>
      <c r="Y393" s="1709"/>
      <c r="Z393" s="1709"/>
    </row>
    <row r="394" spans="5:26" s="1704" customFormat="1">
      <c r="E394" s="1709"/>
      <c r="F394" s="1709"/>
      <c r="I394" s="1709"/>
      <c r="J394" s="1709"/>
      <c r="K394" s="1709"/>
      <c r="L394" s="1709"/>
      <c r="M394" s="1709"/>
      <c r="N394" s="1709"/>
      <c r="O394" s="1709"/>
      <c r="P394" s="1709"/>
      <c r="Q394" s="1709"/>
      <c r="R394" s="1709"/>
      <c r="S394" s="1709"/>
      <c r="T394" s="1709"/>
      <c r="U394" s="1709"/>
      <c r="V394" s="1709"/>
      <c r="W394" s="1709"/>
      <c r="X394" s="1709"/>
      <c r="Y394" s="1709"/>
      <c r="Z394" s="1709"/>
    </row>
    <row r="395" spans="5:26" s="1704" customFormat="1">
      <c r="E395" s="1709"/>
      <c r="F395" s="1709"/>
      <c r="I395" s="1709"/>
      <c r="J395" s="1709"/>
      <c r="K395" s="1709"/>
      <c r="L395" s="1709"/>
      <c r="M395" s="1709"/>
      <c r="N395" s="1709"/>
      <c r="O395" s="1709"/>
      <c r="P395" s="1709"/>
      <c r="Q395" s="1709"/>
      <c r="R395" s="1709"/>
      <c r="S395" s="1709"/>
      <c r="T395" s="1709"/>
      <c r="U395" s="1709"/>
      <c r="V395" s="1709"/>
      <c r="W395" s="1709"/>
      <c r="X395" s="1709"/>
      <c r="Y395" s="1709"/>
      <c r="Z395" s="1709"/>
    </row>
    <row r="396" spans="5:26" s="1704" customFormat="1">
      <c r="E396" s="1709"/>
      <c r="F396" s="1709"/>
      <c r="I396" s="1709"/>
      <c r="J396" s="1709"/>
      <c r="K396" s="1709"/>
      <c r="L396" s="1709"/>
      <c r="M396" s="1709"/>
      <c r="N396" s="1709"/>
      <c r="O396" s="1709"/>
      <c r="P396" s="1709"/>
      <c r="Q396" s="1709"/>
      <c r="R396" s="1709"/>
      <c r="S396" s="1709"/>
      <c r="T396" s="1709"/>
      <c r="U396" s="1709"/>
      <c r="V396" s="1709"/>
      <c r="W396" s="1709"/>
      <c r="X396" s="1709"/>
      <c r="Y396" s="1709"/>
      <c r="Z396" s="1709"/>
    </row>
    <row r="397" spans="5:26" s="1704" customFormat="1">
      <c r="E397" s="1709"/>
      <c r="F397" s="1709"/>
      <c r="I397" s="1709"/>
      <c r="J397" s="1709"/>
      <c r="K397" s="1709"/>
      <c r="L397" s="1709"/>
      <c r="M397" s="1709"/>
      <c r="N397" s="1709"/>
      <c r="O397" s="1709"/>
      <c r="P397" s="1709"/>
      <c r="Q397" s="1709"/>
      <c r="R397" s="1709"/>
      <c r="S397" s="1709"/>
      <c r="T397" s="1709"/>
      <c r="U397" s="1709"/>
      <c r="V397" s="1709"/>
      <c r="W397" s="1709"/>
      <c r="X397" s="1709"/>
      <c r="Y397" s="1709"/>
      <c r="Z397" s="1709"/>
    </row>
    <row r="398" spans="5:26" s="1704" customFormat="1">
      <c r="E398" s="1709"/>
      <c r="F398" s="1709"/>
      <c r="I398" s="1709"/>
      <c r="J398" s="1709"/>
      <c r="K398" s="1709"/>
      <c r="L398" s="1709"/>
      <c r="M398" s="1709"/>
      <c r="N398" s="1709"/>
      <c r="O398" s="1709"/>
      <c r="P398" s="1709"/>
      <c r="Q398" s="1709"/>
      <c r="R398" s="1709"/>
      <c r="S398" s="1709"/>
      <c r="T398" s="1709"/>
      <c r="U398" s="1709"/>
      <c r="V398" s="1709"/>
      <c r="W398" s="1709"/>
      <c r="X398" s="1709"/>
      <c r="Y398" s="1709"/>
      <c r="Z398" s="1709"/>
    </row>
    <row r="399" spans="5:26" s="1704" customFormat="1">
      <c r="E399" s="1709"/>
      <c r="F399" s="1709"/>
      <c r="I399" s="1709"/>
      <c r="J399" s="1709"/>
      <c r="K399" s="1709"/>
      <c r="L399" s="1709"/>
      <c r="M399" s="1709"/>
      <c r="N399" s="1709"/>
      <c r="O399" s="1709"/>
      <c r="P399" s="1709"/>
      <c r="Q399" s="1709"/>
      <c r="R399" s="1709"/>
      <c r="S399" s="1709"/>
      <c r="T399" s="1709"/>
      <c r="U399" s="1709"/>
      <c r="V399" s="1709"/>
      <c r="W399" s="1709"/>
      <c r="X399" s="1709"/>
      <c r="Y399" s="1709"/>
      <c r="Z399" s="1709"/>
    </row>
    <row r="400" spans="5:26" s="1704" customFormat="1">
      <c r="E400" s="1709"/>
      <c r="F400" s="1709"/>
      <c r="I400" s="1709"/>
      <c r="J400" s="1709"/>
      <c r="K400" s="1709"/>
      <c r="L400" s="1709"/>
      <c r="M400" s="1709"/>
      <c r="N400" s="1709"/>
      <c r="O400" s="1709"/>
      <c r="P400" s="1709"/>
      <c r="Q400" s="1709"/>
      <c r="R400" s="1709"/>
      <c r="S400" s="1709"/>
      <c r="T400" s="1709"/>
      <c r="U400" s="1709"/>
      <c r="V400" s="1709"/>
      <c r="W400" s="1709"/>
      <c r="X400" s="1709"/>
      <c r="Y400" s="1709"/>
      <c r="Z400" s="1709"/>
    </row>
    <row r="401" spans="5:26" s="1704" customFormat="1">
      <c r="E401" s="1709"/>
      <c r="F401" s="1709"/>
      <c r="I401" s="1709"/>
      <c r="J401" s="1709"/>
      <c r="K401" s="1709"/>
      <c r="L401" s="1709"/>
      <c r="M401" s="1709"/>
      <c r="N401" s="1709"/>
      <c r="O401" s="1709"/>
      <c r="P401" s="1709"/>
      <c r="Q401" s="1709"/>
      <c r="R401" s="1709"/>
      <c r="S401" s="1709"/>
      <c r="T401" s="1709"/>
      <c r="U401" s="1709"/>
      <c r="V401" s="1709"/>
      <c r="W401" s="1709"/>
      <c r="X401" s="1709"/>
      <c r="Y401" s="1709"/>
      <c r="Z401" s="1709"/>
    </row>
    <row r="402" spans="5:26" s="1704" customFormat="1">
      <c r="E402" s="1709"/>
      <c r="F402" s="1709"/>
      <c r="I402" s="1709"/>
      <c r="J402" s="1709"/>
      <c r="K402" s="1709"/>
      <c r="L402" s="1709"/>
      <c r="M402" s="1709"/>
      <c r="N402" s="1709"/>
      <c r="O402" s="1709"/>
      <c r="P402" s="1709"/>
      <c r="Q402" s="1709"/>
      <c r="R402" s="1709"/>
      <c r="S402" s="1709"/>
      <c r="T402" s="1709"/>
      <c r="U402" s="1709"/>
      <c r="V402" s="1709"/>
      <c r="W402" s="1709"/>
      <c r="X402" s="1709"/>
      <c r="Y402" s="1709"/>
      <c r="Z402" s="1709"/>
    </row>
    <row r="403" spans="5:26" s="1704" customFormat="1">
      <c r="E403" s="1709"/>
      <c r="F403" s="1709"/>
      <c r="I403" s="1709"/>
      <c r="J403" s="1709"/>
      <c r="K403" s="1709"/>
      <c r="L403" s="1709"/>
      <c r="M403" s="1709"/>
      <c r="N403" s="1709"/>
      <c r="O403" s="1709"/>
      <c r="P403" s="1709"/>
      <c r="Q403" s="1709"/>
      <c r="R403" s="1709"/>
      <c r="S403" s="1709"/>
      <c r="T403" s="1709"/>
      <c r="U403" s="1709"/>
      <c r="V403" s="1709"/>
      <c r="W403" s="1709"/>
      <c r="X403" s="1709"/>
      <c r="Y403" s="1709"/>
      <c r="Z403" s="1709"/>
    </row>
    <row r="404" spans="5:26" s="1704" customFormat="1">
      <c r="E404" s="1709"/>
      <c r="F404" s="1709"/>
      <c r="I404" s="1709"/>
      <c r="J404" s="1709"/>
      <c r="K404" s="1709"/>
      <c r="L404" s="1709"/>
      <c r="M404" s="1709"/>
      <c r="N404" s="1709"/>
      <c r="O404" s="1709"/>
      <c r="P404" s="1709"/>
      <c r="Q404" s="1709"/>
      <c r="R404" s="1709"/>
      <c r="S404" s="1709"/>
      <c r="T404" s="1709"/>
      <c r="U404" s="1709"/>
      <c r="V404" s="1709"/>
      <c r="W404" s="1709"/>
      <c r="X404" s="1709"/>
      <c r="Y404" s="1709"/>
      <c r="Z404" s="1709"/>
    </row>
    <row r="405" spans="5:26" s="1704" customFormat="1">
      <c r="E405" s="1709"/>
      <c r="F405" s="1709"/>
      <c r="I405" s="1709"/>
      <c r="J405" s="1709"/>
      <c r="K405" s="1709"/>
      <c r="L405" s="1709"/>
      <c r="M405" s="1709"/>
      <c r="N405" s="1709"/>
      <c r="O405" s="1709"/>
      <c r="P405" s="1709"/>
      <c r="Q405" s="1709"/>
      <c r="R405" s="1709"/>
      <c r="S405" s="1709"/>
      <c r="T405" s="1709"/>
      <c r="U405" s="1709"/>
      <c r="V405" s="1709"/>
      <c r="W405" s="1709"/>
      <c r="X405" s="1709"/>
      <c r="Y405" s="1709"/>
      <c r="Z405" s="1709"/>
    </row>
    <row r="406" spans="5:26" s="1704" customFormat="1">
      <c r="E406" s="1709"/>
      <c r="F406" s="1709"/>
      <c r="I406" s="1709"/>
      <c r="J406" s="1709"/>
      <c r="K406" s="1709"/>
      <c r="L406" s="1709"/>
      <c r="M406" s="1709"/>
      <c r="N406" s="1709"/>
      <c r="O406" s="1709"/>
      <c r="P406" s="1709"/>
      <c r="Q406" s="1709"/>
      <c r="R406" s="1709"/>
      <c r="S406" s="1709"/>
      <c r="T406" s="1709"/>
      <c r="U406" s="1709"/>
      <c r="V406" s="1709"/>
      <c r="W406" s="1709"/>
      <c r="X406" s="1709"/>
      <c r="Y406" s="1709"/>
      <c r="Z406" s="1709"/>
    </row>
    <row r="407" spans="5:26" s="1704" customFormat="1">
      <c r="E407" s="1709"/>
      <c r="F407" s="1709"/>
      <c r="I407" s="1709"/>
      <c r="J407" s="1709"/>
      <c r="K407" s="1709"/>
      <c r="L407" s="1709"/>
      <c r="M407" s="1709"/>
      <c r="N407" s="1709"/>
      <c r="O407" s="1709"/>
      <c r="P407" s="1709"/>
      <c r="Q407" s="1709"/>
      <c r="R407" s="1709"/>
      <c r="S407" s="1709"/>
      <c r="T407" s="1709"/>
      <c r="U407" s="1709"/>
      <c r="V407" s="1709"/>
      <c r="W407" s="1709"/>
      <c r="X407" s="1709"/>
      <c r="Y407" s="1709"/>
      <c r="Z407" s="1709"/>
    </row>
    <row r="408" spans="5:26" s="1704" customFormat="1">
      <c r="E408" s="1709"/>
      <c r="F408" s="1709"/>
      <c r="I408" s="1709"/>
      <c r="J408" s="1709"/>
      <c r="K408" s="1709"/>
      <c r="L408" s="1709"/>
      <c r="M408" s="1709"/>
      <c r="N408" s="1709"/>
      <c r="O408" s="1709"/>
      <c r="P408" s="1709"/>
      <c r="Q408" s="1709"/>
      <c r="R408" s="1709"/>
      <c r="S408" s="1709"/>
      <c r="T408" s="1709"/>
      <c r="U408" s="1709"/>
      <c r="V408" s="1709"/>
      <c r="W408" s="1709"/>
      <c r="X408" s="1709"/>
      <c r="Y408" s="1709"/>
      <c r="Z408" s="1709"/>
    </row>
    <row r="409" spans="5:26" s="1704" customFormat="1">
      <c r="E409" s="1709"/>
      <c r="F409" s="1709"/>
      <c r="I409" s="1709"/>
      <c r="J409" s="1709"/>
      <c r="K409" s="1709"/>
      <c r="L409" s="1709"/>
      <c r="M409" s="1709"/>
      <c r="N409" s="1709"/>
      <c r="O409" s="1709"/>
      <c r="P409" s="1709"/>
      <c r="Q409" s="1709"/>
      <c r="R409" s="1709"/>
      <c r="S409" s="1709"/>
      <c r="T409" s="1709"/>
      <c r="U409" s="1709"/>
      <c r="V409" s="1709"/>
      <c r="W409" s="1709"/>
      <c r="X409" s="1709"/>
      <c r="Y409" s="1709"/>
      <c r="Z409" s="1709"/>
    </row>
    <row r="410" spans="5:26" s="1704" customFormat="1">
      <c r="E410" s="1709"/>
      <c r="F410" s="1709"/>
      <c r="I410" s="1709"/>
      <c r="J410" s="1709"/>
      <c r="K410" s="1709"/>
      <c r="L410" s="1709"/>
      <c r="M410" s="1709"/>
      <c r="N410" s="1709"/>
      <c r="O410" s="1709"/>
      <c r="P410" s="1709"/>
      <c r="Q410" s="1709"/>
      <c r="R410" s="1709"/>
      <c r="S410" s="1709"/>
      <c r="T410" s="1709"/>
      <c r="U410" s="1709"/>
      <c r="V410" s="1709"/>
      <c r="W410" s="1709"/>
      <c r="X410" s="1709"/>
      <c r="Y410" s="1709"/>
      <c r="Z410" s="1709"/>
    </row>
    <row r="411" spans="5:26" s="1704" customFormat="1">
      <c r="E411" s="1709"/>
      <c r="F411" s="1709"/>
      <c r="I411" s="1709"/>
      <c r="J411" s="1709"/>
      <c r="K411" s="1709"/>
      <c r="L411" s="1709"/>
      <c r="M411" s="1709"/>
      <c r="N411" s="1709"/>
      <c r="O411" s="1709"/>
      <c r="P411" s="1709"/>
      <c r="Q411" s="1709"/>
      <c r="R411" s="1709"/>
      <c r="S411" s="1709"/>
      <c r="T411" s="1709"/>
      <c r="U411" s="1709"/>
      <c r="V411" s="1709"/>
      <c r="W411" s="1709"/>
      <c r="X411" s="1709"/>
      <c r="Y411" s="1709"/>
      <c r="Z411" s="1709"/>
    </row>
    <row r="412" spans="5:26" s="1704" customFormat="1">
      <c r="E412" s="1709"/>
      <c r="F412" s="1709"/>
      <c r="I412" s="1709"/>
      <c r="J412" s="1709"/>
      <c r="K412" s="1709"/>
      <c r="L412" s="1709"/>
      <c r="M412" s="1709"/>
      <c r="N412" s="1709"/>
      <c r="O412" s="1709"/>
      <c r="P412" s="1709"/>
      <c r="Q412" s="1709"/>
      <c r="R412" s="1709"/>
      <c r="S412" s="1709"/>
      <c r="T412" s="1709"/>
      <c r="U412" s="1709"/>
      <c r="V412" s="1709"/>
      <c r="W412" s="1709"/>
      <c r="X412" s="1709"/>
      <c r="Y412" s="1709"/>
      <c r="Z412" s="1709"/>
    </row>
    <row r="413" spans="5:26" s="1704" customFormat="1">
      <c r="E413" s="1709"/>
      <c r="F413" s="1709"/>
      <c r="I413" s="1709"/>
      <c r="J413" s="1709"/>
      <c r="K413" s="1709"/>
      <c r="L413" s="1709"/>
      <c r="M413" s="1709"/>
      <c r="N413" s="1709"/>
      <c r="O413" s="1709"/>
      <c r="P413" s="1709"/>
      <c r="Q413" s="1709"/>
      <c r="R413" s="1709"/>
      <c r="S413" s="1709"/>
      <c r="T413" s="1709"/>
      <c r="U413" s="1709"/>
      <c r="V413" s="1709"/>
      <c r="W413" s="1709"/>
      <c r="X413" s="1709"/>
      <c r="Y413" s="1709"/>
      <c r="Z413" s="1709"/>
    </row>
    <row r="414" spans="5:26" s="1704" customFormat="1">
      <c r="E414" s="1709"/>
      <c r="F414" s="1709"/>
      <c r="I414" s="1709"/>
      <c r="J414" s="1709"/>
      <c r="K414" s="1709"/>
      <c r="L414" s="1709"/>
      <c r="M414" s="1709"/>
      <c r="N414" s="1709"/>
      <c r="O414" s="1709"/>
      <c r="P414" s="1709"/>
      <c r="Q414" s="1709"/>
      <c r="R414" s="1709"/>
      <c r="S414" s="1709"/>
      <c r="T414" s="1709"/>
      <c r="U414" s="1709"/>
      <c r="V414" s="1709"/>
      <c r="W414" s="1709"/>
      <c r="X414" s="1709"/>
      <c r="Y414" s="1709"/>
      <c r="Z414" s="1709"/>
    </row>
    <row r="415" spans="5:26" s="1704" customFormat="1">
      <c r="E415" s="1709"/>
      <c r="F415" s="1709"/>
      <c r="I415" s="1709"/>
      <c r="J415" s="1709"/>
      <c r="K415" s="1709"/>
      <c r="L415" s="1709"/>
      <c r="M415" s="1709"/>
      <c r="N415" s="1709"/>
      <c r="O415" s="1709"/>
      <c r="P415" s="1709"/>
      <c r="Q415" s="1709"/>
      <c r="R415" s="1709"/>
      <c r="S415" s="1709"/>
      <c r="T415" s="1709"/>
      <c r="U415" s="1709"/>
      <c r="V415" s="1709"/>
      <c r="W415" s="1709"/>
      <c r="X415" s="1709"/>
      <c r="Y415" s="1709"/>
      <c r="Z415" s="1709"/>
    </row>
    <row r="416" spans="5:26" s="1704" customFormat="1">
      <c r="E416" s="1709"/>
      <c r="F416" s="1709"/>
      <c r="I416" s="1709"/>
      <c r="J416" s="1709"/>
      <c r="K416" s="1709"/>
      <c r="L416" s="1709"/>
      <c r="M416" s="1709"/>
      <c r="N416" s="1709"/>
      <c r="O416" s="1709"/>
      <c r="P416" s="1709"/>
      <c r="Q416" s="1709"/>
      <c r="R416" s="1709"/>
      <c r="S416" s="1709"/>
      <c r="T416" s="1709"/>
      <c r="U416" s="1709"/>
      <c r="V416" s="1709"/>
      <c r="W416" s="1709"/>
      <c r="X416" s="1709"/>
      <c r="Y416" s="1709"/>
      <c r="Z416" s="1709"/>
    </row>
    <row r="417" spans="5:26" s="1704" customFormat="1">
      <c r="E417" s="1709"/>
      <c r="F417" s="1709"/>
      <c r="I417" s="1709"/>
      <c r="J417" s="1709"/>
      <c r="K417" s="1709"/>
      <c r="L417" s="1709"/>
      <c r="M417" s="1709"/>
      <c r="N417" s="1709"/>
      <c r="O417" s="1709"/>
      <c r="P417" s="1709"/>
      <c r="Q417" s="1709"/>
      <c r="R417" s="1709"/>
      <c r="S417" s="1709"/>
      <c r="T417" s="1709"/>
      <c r="U417" s="1709"/>
      <c r="V417" s="1709"/>
      <c r="W417" s="1709"/>
      <c r="X417" s="1709"/>
      <c r="Y417" s="1709"/>
      <c r="Z417" s="1709"/>
    </row>
    <row r="418" spans="5:26" s="1704" customFormat="1">
      <c r="E418" s="1709"/>
      <c r="F418" s="1709"/>
      <c r="I418" s="1709"/>
      <c r="J418" s="1709"/>
      <c r="K418" s="1709"/>
      <c r="L418" s="1709"/>
      <c r="M418" s="1709"/>
      <c r="N418" s="1709"/>
      <c r="O418" s="1709"/>
      <c r="P418" s="1709"/>
      <c r="Q418" s="1709"/>
      <c r="R418" s="1709"/>
      <c r="S418" s="1709"/>
      <c r="T418" s="1709"/>
      <c r="U418" s="1709"/>
      <c r="V418" s="1709"/>
      <c r="W418" s="1709"/>
      <c r="X418" s="1709"/>
      <c r="Y418" s="1709"/>
      <c r="Z418" s="1709"/>
    </row>
    <row r="419" spans="5:26" s="1704" customFormat="1">
      <c r="E419" s="1709"/>
      <c r="F419" s="1709"/>
      <c r="I419" s="1709"/>
      <c r="J419" s="1709"/>
      <c r="K419" s="1709"/>
      <c r="L419" s="1709"/>
      <c r="M419" s="1709"/>
      <c r="N419" s="1709"/>
      <c r="O419" s="1709"/>
      <c r="P419" s="1709"/>
      <c r="Q419" s="1709"/>
      <c r="R419" s="1709"/>
      <c r="S419" s="1709"/>
      <c r="T419" s="1709"/>
      <c r="U419" s="1709"/>
      <c r="V419" s="1709"/>
      <c r="W419" s="1709"/>
      <c r="X419" s="1709"/>
      <c r="Y419" s="1709"/>
      <c r="Z419" s="1709"/>
    </row>
    <row r="420" spans="5:26" s="1704" customFormat="1">
      <c r="E420" s="1709"/>
      <c r="F420" s="1709"/>
      <c r="I420" s="1709"/>
      <c r="J420" s="1709"/>
      <c r="K420" s="1709"/>
      <c r="L420" s="1709"/>
      <c r="M420" s="1709"/>
      <c r="N420" s="1709"/>
      <c r="O420" s="1709"/>
      <c r="P420" s="1709"/>
      <c r="Q420" s="1709"/>
      <c r="R420" s="1709"/>
      <c r="S420" s="1709"/>
      <c r="T420" s="1709"/>
      <c r="U420" s="1709"/>
      <c r="V420" s="1709"/>
      <c r="W420" s="1709"/>
      <c r="X420" s="1709"/>
      <c r="Y420" s="1709"/>
      <c r="Z420" s="1709"/>
    </row>
    <row r="421" spans="5:26" s="1704" customFormat="1">
      <c r="E421" s="1709"/>
      <c r="F421" s="1709"/>
      <c r="I421" s="1709"/>
      <c r="J421" s="1709"/>
      <c r="K421" s="1709"/>
      <c r="L421" s="1709"/>
      <c r="M421" s="1709"/>
      <c r="N421" s="1709"/>
      <c r="O421" s="1709"/>
      <c r="P421" s="1709"/>
      <c r="Q421" s="1709"/>
      <c r="R421" s="1709"/>
      <c r="S421" s="1709"/>
      <c r="T421" s="1709"/>
      <c r="U421" s="1709"/>
      <c r="V421" s="1709"/>
      <c r="W421" s="1709"/>
      <c r="X421" s="1709"/>
      <c r="Y421" s="1709"/>
      <c r="Z421" s="1709"/>
    </row>
    <row r="422" spans="5:26" s="1704" customFormat="1">
      <c r="E422" s="1709"/>
      <c r="F422" s="1709"/>
      <c r="I422" s="1709"/>
      <c r="J422" s="1709"/>
      <c r="K422" s="1709"/>
      <c r="L422" s="1709"/>
      <c r="M422" s="1709"/>
      <c r="N422" s="1709"/>
      <c r="O422" s="1709"/>
      <c r="P422" s="1709"/>
      <c r="Q422" s="1709"/>
      <c r="R422" s="1709"/>
      <c r="S422" s="1709"/>
      <c r="T422" s="1709"/>
      <c r="U422" s="1709"/>
      <c r="V422" s="1709"/>
      <c r="W422" s="1709"/>
      <c r="X422" s="1709"/>
      <c r="Y422" s="1709"/>
      <c r="Z422" s="1709"/>
    </row>
    <row r="423" spans="5:26" s="1704" customFormat="1">
      <c r="E423" s="1709"/>
      <c r="F423" s="1709"/>
      <c r="I423" s="1709"/>
      <c r="J423" s="1709"/>
      <c r="K423" s="1709"/>
      <c r="L423" s="1709"/>
      <c r="M423" s="1709"/>
      <c r="N423" s="1709"/>
      <c r="O423" s="1709"/>
      <c r="P423" s="1709"/>
      <c r="Q423" s="1709"/>
      <c r="R423" s="1709"/>
      <c r="S423" s="1709"/>
      <c r="T423" s="1709"/>
      <c r="U423" s="1709"/>
      <c r="V423" s="1709"/>
      <c r="W423" s="1709"/>
      <c r="X423" s="1709"/>
      <c r="Y423" s="1709"/>
      <c r="Z423" s="1709"/>
    </row>
    <row r="424" spans="5:26" s="1704" customFormat="1">
      <c r="E424" s="1709"/>
      <c r="F424" s="1709"/>
      <c r="I424" s="1709"/>
      <c r="J424" s="1709"/>
      <c r="K424" s="1709"/>
      <c r="L424" s="1709"/>
      <c r="M424" s="1709"/>
      <c r="N424" s="1709"/>
      <c r="O424" s="1709"/>
      <c r="P424" s="1709"/>
      <c r="Q424" s="1709"/>
      <c r="R424" s="1709"/>
      <c r="S424" s="1709"/>
      <c r="T424" s="1709"/>
      <c r="U424" s="1709"/>
      <c r="V424" s="1709"/>
      <c r="W424" s="1709"/>
      <c r="X424" s="1709"/>
      <c r="Y424" s="1709"/>
      <c r="Z424" s="1709"/>
    </row>
    <row r="425" spans="5:26" s="1704" customFormat="1">
      <c r="E425" s="1709"/>
      <c r="F425" s="1709"/>
      <c r="I425" s="1709"/>
      <c r="J425" s="1709"/>
      <c r="K425" s="1709"/>
      <c r="L425" s="1709"/>
      <c r="M425" s="1709"/>
      <c r="N425" s="1709"/>
      <c r="O425" s="1709"/>
      <c r="P425" s="1709"/>
      <c r="Q425" s="1709"/>
      <c r="R425" s="1709"/>
      <c r="S425" s="1709"/>
      <c r="T425" s="1709"/>
      <c r="U425" s="1709"/>
      <c r="V425" s="1709"/>
      <c r="W425" s="1709"/>
      <c r="X425" s="1709"/>
      <c r="Y425" s="1709"/>
      <c r="Z425" s="1709"/>
    </row>
    <row r="426" spans="5:26" s="1704" customFormat="1">
      <c r="E426" s="1709"/>
      <c r="F426" s="1709"/>
      <c r="I426" s="1709"/>
      <c r="J426" s="1709"/>
      <c r="K426" s="1709"/>
      <c r="L426" s="1709"/>
      <c r="M426" s="1709"/>
      <c r="N426" s="1709"/>
      <c r="O426" s="1709"/>
      <c r="P426" s="1709"/>
      <c r="Q426" s="1709"/>
      <c r="R426" s="1709"/>
      <c r="S426" s="1709"/>
      <c r="T426" s="1709"/>
      <c r="U426" s="1709"/>
      <c r="V426" s="1709"/>
      <c r="W426" s="1709"/>
      <c r="X426" s="1709"/>
      <c r="Y426" s="1709"/>
      <c r="Z426" s="1709"/>
    </row>
    <row r="427" spans="5:26" s="1704" customFormat="1">
      <c r="E427" s="1709"/>
      <c r="F427" s="1709"/>
      <c r="I427" s="1709"/>
      <c r="J427" s="1709"/>
      <c r="K427" s="1709"/>
      <c r="L427" s="1709"/>
      <c r="M427" s="1709"/>
      <c r="N427" s="1709"/>
      <c r="O427" s="1709"/>
      <c r="P427" s="1709"/>
      <c r="Q427" s="1709"/>
      <c r="R427" s="1709"/>
      <c r="S427" s="1709"/>
      <c r="T427" s="1709"/>
      <c r="U427" s="1709"/>
      <c r="V427" s="1709"/>
      <c r="W427" s="1709"/>
      <c r="X427" s="1709"/>
      <c r="Y427" s="1709"/>
      <c r="Z427" s="1709"/>
    </row>
    <row r="428" spans="5:26" s="1704" customFormat="1">
      <c r="E428" s="1709"/>
      <c r="F428" s="1709"/>
      <c r="I428" s="1709"/>
      <c r="J428" s="1709"/>
      <c r="K428" s="1709"/>
      <c r="L428" s="1709"/>
      <c r="M428" s="1709"/>
      <c r="N428" s="1709"/>
      <c r="O428" s="1709"/>
      <c r="P428" s="1709"/>
      <c r="Q428" s="1709"/>
      <c r="R428" s="1709"/>
      <c r="S428" s="1709"/>
      <c r="T428" s="1709"/>
      <c r="U428" s="1709"/>
      <c r="V428" s="1709"/>
      <c r="W428" s="1709"/>
      <c r="X428" s="1709"/>
      <c r="Y428" s="1709"/>
      <c r="Z428" s="1709"/>
    </row>
    <row r="429" spans="5:26" s="1704" customFormat="1">
      <c r="E429" s="1709"/>
      <c r="F429" s="1709"/>
      <c r="I429" s="1709"/>
      <c r="J429" s="1709"/>
      <c r="K429" s="1709"/>
      <c r="L429" s="1709"/>
      <c r="M429" s="1709"/>
      <c r="N429" s="1709"/>
      <c r="O429" s="1709"/>
      <c r="P429" s="1709"/>
      <c r="Q429" s="1709"/>
      <c r="R429" s="1709"/>
      <c r="S429" s="1709"/>
      <c r="T429" s="1709"/>
      <c r="U429" s="1709"/>
      <c r="V429" s="1709"/>
      <c r="W429" s="1709"/>
      <c r="X429" s="1709"/>
      <c r="Y429" s="1709"/>
      <c r="Z429" s="1709"/>
    </row>
    <row r="430" spans="5:26" s="1704" customFormat="1">
      <c r="E430" s="1709"/>
      <c r="F430" s="1709"/>
      <c r="I430" s="1709"/>
      <c r="J430" s="1709"/>
      <c r="K430" s="1709"/>
      <c r="L430" s="1709"/>
      <c r="M430" s="1709"/>
      <c r="N430" s="1709"/>
      <c r="O430" s="1709"/>
      <c r="P430" s="1709"/>
      <c r="Q430" s="1709"/>
      <c r="R430" s="1709"/>
      <c r="S430" s="1709"/>
      <c r="T430" s="1709"/>
      <c r="U430" s="1709"/>
      <c r="V430" s="1709"/>
      <c r="W430" s="1709"/>
      <c r="X430" s="1709"/>
      <c r="Y430" s="1709"/>
      <c r="Z430" s="1709"/>
    </row>
    <row r="431" spans="5:26" s="1704" customFormat="1">
      <c r="E431" s="1709"/>
      <c r="F431" s="1709"/>
      <c r="I431" s="1709"/>
      <c r="J431" s="1709"/>
      <c r="K431" s="1709"/>
      <c r="L431" s="1709"/>
      <c r="M431" s="1709"/>
      <c r="N431" s="1709"/>
      <c r="O431" s="1709"/>
      <c r="P431" s="1709"/>
      <c r="Q431" s="1709"/>
      <c r="R431" s="1709"/>
      <c r="S431" s="1709"/>
      <c r="T431" s="1709"/>
      <c r="U431" s="1709"/>
      <c r="V431" s="1709"/>
      <c r="W431" s="1709"/>
      <c r="X431" s="1709"/>
      <c r="Y431" s="1709"/>
      <c r="Z431" s="1709"/>
    </row>
    <row r="432" spans="5:26" s="1704" customFormat="1">
      <c r="E432" s="1709"/>
      <c r="F432" s="1709"/>
      <c r="I432" s="1709"/>
      <c r="J432" s="1709"/>
      <c r="K432" s="1709"/>
      <c r="L432" s="1709"/>
      <c r="M432" s="1709"/>
      <c r="N432" s="1709"/>
      <c r="O432" s="1709"/>
      <c r="P432" s="1709"/>
      <c r="Q432" s="1709"/>
      <c r="R432" s="1709"/>
      <c r="S432" s="1709"/>
      <c r="T432" s="1709"/>
      <c r="U432" s="1709"/>
      <c r="V432" s="1709"/>
      <c r="W432" s="1709"/>
      <c r="X432" s="1709"/>
      <c r="Y432" s="1709"/>
      <c r="Z432" s="1709"/>
    </row>
    <row r="433" spans="5:26" s="1704" customFormat="1">
      <c r="E433" s="1709"/>
      <c r="F433" s="1709"/>
      <c r="I433" s="1709"/>
      <c r="J433" s="1709"/>
      <c r="K433" s="1709"/>
      <c r="L433" s="1709"/>
      <c r="M433" s="1709"/>
      <c r="N433" s="1709"/>
      <c r="O433" s="1709"/>
      <c r="P433" s="1709"/>
      <c r="Q433" s="1709"/>
      <c r="R433" s="1709"/>
      <c r="S433" s="1709"/>
      <c r="T433" s="1709"/>
      <c r="U433" s="1709"/>
      <c r="V433" s="1709"/>
      <c r="W433" s="1709"/>
      <c r="X433" s="1709"/>
      <c r="Y433" s="1709"/>
      <c r="Z433" s="1709"/>
    </row>
    <row r="434" spans="5:26" s="1704" customFormat="1">
      <c r="E434" s="1709"/>
      <c r="F434" s="1709"/>
      <c r="I434" s="1709"/>
      <c r="J434" s="1709"/>
      <c r="K434" s="1709"/>
      <c r="L434" s="1709"/>
      <c r="M434" s="1709"/>
      <c r="N434" s="1709"/>
      <c r="O434" s="1709"/>
      <c r="P434" s="1709"/>
      <c r="Q434" s="1709"/>
      <c r="R434" s="1709"/>
      <c r="S434" s="1709"/>
      <c r="T434" s="1709"/>
      <c r="U434" s="1709"/>
      <c r="V434" s="1709"/>
      <c r="W434" s="1709"/>
      <c r="X434" s="1709"/>
      <c r="Y434" s="1709"/>
      <c r="Z434" s="1709"/>
    </row>
    <row r="435" spans="5:26" s="1704" customFormat="1">
      <c r="E435" s="1709"/>
      <c r="F435" s="1709"/>
      <c r="I435" s="1709"/>
      <c r="J435" s="1709"/>
      <c r="K435" s="1709"/>
      <c r="L435" s="1709"/>
      <c r="M435" s="1709"/>
      <c r="N435" s="1709"/>
      <c r="O435" s="1709"/>
      <c r="P435" s="1709"/>
      <c r="Q435" s="1709"/>
      <c r="R435" s="1709"/>
      <c r="S435" s="1709"/>
      <c r="T435" s="1709"/>
      <c r="U435" s="1709"/>
      <c r="V435" s="1709"/>
      <c r="W435" s="1709"/>
      <c r="X435" s="1709"/>
      <c r="Y435" s="1709"/>
      <c r="Z435" s="1709"/>
    </row>
    <row r="436" spans="5:26" s="1704" customFormat="1">
      <c r="E436" s="1709"/>
      <c r="F436" s="1709"/>
      <c r="I436" s="1709"/>
      <c r="J436" s="1709"/>
      <c r="K436" s="1709"/>
      <c r="L436" s="1709"/>
      <c r="M436" s="1709"/>
      <c r="N436" s="1709"/>
      <c r="O436" s="1709"/>
      <c r="P436" s="1709"/>
      <c r="Q436" s="1709"/>
      <c r="R436" s="1709"/>
      <c r="S436" s="1709"/>
      <c r="T436" s="1709"/>
      <c r="U436" s="1709"/>
      <c r="V436" s="1709"/>
      <c r="W436" s="1709"/>
      <c r="X436" s="1709"/>
      <c r="Y436" s="1709"/>
      <c r="Z436" s="1709"/>
    </row>
    <row r="437" spans="5:26" s="1704" customFormat="1">
      <c r="E437" s="1709"/>
      <c r="F437" s="1709"/>
      <c r="I437" s="1709"/>
      <c r="J437" s="1709"/>
      <c r="K437" s="1709"/>
      <c r="L437" s="1709"/>
      <c r="M437" s="1709"/>
      <c r="N437" s="1709"/>
      <c r="O437" s="1709"/>
      <c r="P437" s="1709"/>
      <c r="Q437" s="1709"/>
      <c r="R437" s="1709"/>
      <c r="S437" s="1709"/>
      <c r="T437" s="1709"/>
      <c r="U437" s="1709"/>
      <c r="V437" s="1709"/>
      <c r="W437" s="1709"/>
      <c r="X437" s="1709"/>
      <c r="Y437" s="1709"/>
      <c r="Z437" s="1709"/>
    </row>
    <row r="438" spans="5:26" s="1704" customFormat="1">
      <c r="E438" s="1709"/>
      <c r="F438" s="1709"/>
      <c r="I438" s="1709"/>
      <c r="J438" s="1709"/>
      <c r="K438" s="1709"/>
      <c r="L438" s="1709"/>
      <c r="M438" s="1709"/>
      <c r="N438" s="1709"/>
      <c r="O438" s="1709"/>
      <c r="P438" s="1709"/>
      <c r="Q438" s="1709"/>
      <c r="R438" s="1709"/>
      <c r="S438" s="1709"/>
      <c r="T438" s="1709"/>
      <c r="U438" s="1709"/>
      <c r="V438" s="1709"/>
      <c r="W438" s="1709"/>
      <c r="X438" s="1709"/>
      <c r="Y438" s="1709"/>
      <c r="Z438" s="1709"/>
    </row>
    <row r="439" spans="5:26" s="1704" customFormat="1">
      <c r="E439" s="1709"/>
      <c r="F439" s="1709"/>
      <c r="I439" s="1709"/>
      <c r="J439" s="1709"/>
      <c r="K439" s="1709"/>
      <c r="L439" s="1709"/>
      <c r="M439" s="1709"/>
      <c r="N439" s="1709"/>
      <c r="O439" s="1709"/>
      <c r="P439" s="1709"/>
      <c r="Q439" s="1709"/>
      <c r="R439" s="1709"/>
      <c r="S439" s="1709"/>
      <c r="T439" s="1709"/>
      <c r="U439" s="1709"/>
      <c r="V439" s="1709"/>
      <c r="W439" s="1709"/>
      <c r="X439" s="1709"/>
      <c r="Y439" s="1709"/>
      <c r="Z439" s="1709"/>
    </row>
    <row r="440" spans="5:26" s="1704" customFormat="1">
      <c r="E440" s="1709"/>
      <c r="F440" s="1709"/>
      <c r="I440" s="1709"/>
      <c r="J440" s="1709"/>
      <c r="K440" s="1709"/>
      <c r="L440" s="1709"/>
      <c r="M440" s="1709"/>
      <c r="N440" s="1709"/>
      <c r="O440" s="1709"/>
      <c r="P440" s="1709"/>
      <c r="Q440" s="1709"/>
      <c r="R440" s="1709"/>
      <c r="S440" s="1709"/>
      <c r="T440" s="1709"/>
      <c r="U440" s="1709"/>
      <c r="V440" s="1709"/>
      <c r="W440" s="1709"/>
      <c r="X440" s="1709"/>
      <c r="Y440" s="1709"/>
      <c r="Z440" s="1709"/>
    </row>
    <row r="441" spans="5:26" s="1704" customFormat="1">
      <c r="E441" s="1709"/>
      <c r="F441" s="1709"/>
      <c r="I441" s="1709"/>
      <c r="J441" s="1709"/>
      <c r="K441" s="1709"/>
      <c r="L441" s="1709"/>
      <c r="M441" s="1709"/>
      <c r="N441" s="1709"/>
      <c r="O441" s="1709"/>
      <c r="P441" s="1709"/>
      <c r="Q441" s="1709"/>
      <c r="R441" s="1709"/>
      <c r="S441" s="1709"/>
      <c r="T441" s="1709"/>
      <c r="U441" s="1709"/>
      <c r="V441" s="1709"/>
      <c r="W441" s="1709"/>
      <c r="X441" s="1709"/>
      <c r="Y441" s="1709"/>
      <c r="Z441" s="1709"/>
    </row>
    <row r="442" spans="5:26" s="1704" customFormat="1">
      <c r="E442" s="1709"/>
      <c r="F442" s="1709"/>
      <c r="I442" s="1709"/>
      <c r="J442" s="1709"/>
      <c r="K442" s="1709"/>
      <c r="L442" s="1709"/>
      <c r="M442" s="1709"/>
      <c r="N442" s="1709"/>
      <c r="O442" s="1709"/>
      <c r="P442" s="1709"/>
      <c r="Q442" s="1709"/>
      <c r="R442" s="1709"/>
      <c r="S442" s="1709"/>
      <c r="T442" s="1709"/>
      <c r="U442" s="1709"/>
      <c r="V442" s="1709"/>
      <c r="W442" s="1709"/>
      <c r="X442" s="1709"/>
      <c r="Y442" s="1709"/>
      <c r="Z442" s="1709"/>
    </row>
    <row r="443" spans="5:26" s="1704" customFormat="1">
      <c r="E443" s="1709"/>
      <c r="F443" s="1709"/>
      <c r="I443" s="1709"/>
      <c r="J443" s="1709"/>
      <c r="K443" s="1709"/>
      <c r="L443" s="1709"/>
      <c r="M443" s="1709"/>
      <c r="N443" s="1709"/>
      <c r="O443" s="1709"/>
      <c r="P443" s="1709"/>
      <c r="Q443" s="1709"/>
      <c r="R443" s="1709"/>
      <c r="S443" s="1709"/>
      <c r="T443" s="1709"/>
      <c r="U443" s="1709"/>
      <c r="V443" s="1709"/>
      <c r="W443" s="1709"/>
      <c r="X443" s="1709"/>
      <c r="Y443" s="1709"/>
      <c r="Z443" s="1709"/>
    </row>
    <row r="444" spans="5:26" s="1704" customFormat="1">
      <c r="E444" s="1709"/>
      <c r="F444" s="1709"/>
      <c r="I444" s="1709"/>
      <c r="J444" s="1709"/>
      <c r="K444" s="1709"/>
      <c r="L444" s="1709"/>
      <c r="M444" s="1709"/>
      <c r="N444" s="1709"/>
      <c r="O444" s="1709"/>
      <c r="P444" s="1709"/>
      <c r="Q444" s="1709"/>
      <c r="R444" s="1709"/>
      <c r="S444" s="1709"/>
      <c r="T444" s="1709"/>
      <c r="U444" s="1709"/>
      <c r="V444" s="1709"/>
      <c r="W444" s="1709"/>
      <c r="X444" s="1709"/>
      <c r="Y444" s="1709"/>
      <c r="Z444" s="1709"/>
    </row>
    <row r="445" spans="5:26" s="1704" customFormat="1">
      <c r="E445" s="1709"/>
      <c r="F445" s="1709"/>
      <c r="I445" s="1709"/>
      <c r="J445" s="1709"/>
      <c r="K445" s="1709"/>
      <c r="L445" s="1709"/>
      <c r="M445" s="1709"/>
      <c r="N445" s="1709"/>
      <c r="O445" s="1709"/>
      <c r="P445" s="1709"/>
      <c r="Q445" s="1709"/>
      <c r="R445" s="1709"/>
      <c r="S445" s="1709"/>
      <c r="T445" s="1709"/>
      <c r="U445" s="1709"/>
      <c r="V445" s="1709"/>
      <c r="W445" s="1709"/>
      <c r="X445" s="1709"/>
      <c r="Y445" s="1709"/>
      <c r="Z445" s="1709"/>
    </row>
    <row r="446" spans="5:26" s="1704" customFormat="1">
      <c r="E446" s="1709"/>
      <c r="F446" s="1709"/>
      <c r="I446" s="1709"/>
      <c r="J446" s="1709"/>
      <c r="K446" s="1709"/>
      <c r="L446" s="1709"/>
      <c r="M446" s="1709"/>
      <c r="N446" s="1709"/>
      <c r="O446" s="1709"/>
      <c r="P446" s="1709"/>
      <c r="Q446" s="1709"/>
      <c r="R446" s="1709"/>
      <c r="S446" s="1709"/>
      <c r="T446" s="1709"/>
      <c r="U446" s="1709"/>
      <c r="V446" s="1709"/>
      <c r="W446" s="1709"/>
      <c r="X446" s="1709"/>
      <c r="Y446" s="1709"/>
      <c r="Z446" s="1709"/>
    </row>
    <row r="447" spans="5:26" s="1704" customFormat="1">
      <c r="E447" s="1709"/>
      <c r="F447" s="1709"/>
      <c r="I447" s="1709"/>
      <c r="J447" s="1709"/>
      <c r="K447" s="1709"/>
      <c r="L447" s="1709"/>
      <c r="M447" s="1709"/>
      <c r="N447" s="1709"/>
      <c r="O447" s="1709"/>
      <c r="P447" s="1709"/>
      <c r="Q447" s="1709"/>
      <c r="R447" s="1709"/>
      <c r="S447" s="1709"/>
      <c r="T447" s="1709"/>
      <c r="U447" s="1709"/>
      <c r="V447" s="1709"/>
      <c r="W447" s="1709"/>
      <c r="X447" s="1709"/>
      <c r="Y447" s="1709"/>
      <c r="Z447" s="1709"/>
    </row>
    <row r="448" spans="5:26" s="1704" customFormat="1">
      <c r="E448" s="1709"/>
      <c r="F448" s="1709"/>
      <c r="I448" s="1709"/>
      <c r="J448" s="1709"/>
      <c r="K448" s="1709"/>
      <c r="L448" s="1709"/>
      <c r="M448" s="1709"/>
      <c r="N448" s="1709"/>
      <c r="O448" s="1709"/>
      <c r="P448" s="1709"/>
      <c r="Q448" s="1709"/>
      <c r="R448" s="1709"/>
      <c r="S448" s="1709"/>
      <c r="T448" s="1709"/>
      <c r="U448" s="1709"/>
      <c r="V448" s="1709"/>
      <c r="W448" s="1709"/>
      <c r="X448" s="1709"/>
      <c r="Y448" s="1709"/>
      <c r="Z448" s="1709"/>
    </row>
    <row r="449" spans="5:26" s="1704" customFormat="1">
      <c r="E449" s="1709"/>
      <c r="F449" s="1709"/>
      <c r="I449" s="1709"/>
      <c r="J449" s="1709"/>
      <c r="K449" s="1709"/>
      <c r="L449" s="1709"/>
      <c r="M449" s="1709"/>
      <c r="N449" s="1709"/>
      <c r="O449" s="1709"/>
      <c r="P449" s="1709"/>
      <c r="Q449" s="1709"/>
      <c r="R449" s="1709"/>
      <c r="S449" s="1709"/>
      <c r="T449" s="1709"/>
      <c r="U449" s="1709"/>
      <c r="V449" s="1709"/>
      <c r="W449" s="1709"/>
      <c r="X449" s="1709"/>
      <c r="Y449" s="1709"/>
      <c r="Z449" s="1709"/>
    </row>
    <row r="450" spans="5:26" s="1704" customFormat="1">
      <c r="E450" s="1709"/>
      <c r="F450" s="1709"/>
      <c r="I450" s="1709"/>
      <c r="J450" s="1709"/>
      <c r="K450" s="1709"/>
      <c r="L450" s="1709"/>
      <c r="M450" s="1709"/>
      <c r="N450" s="1709"/>
      <c r="O450" s="1709"/>
      <c r="P450" s="1709"/>
      <c r="Q450" s="1709"/>
      <c r="R450" s="1709"/>
      <c r="S450" s="1709"/>
      <c r="T450" s="1709"/>
      <c r="U450" s="1709"/>
      <c r="V450" s="1709"/>
      <c r="W450" s="1709"/>
      <c r="X450" s="1709"/>
      <c r="Y450" s="1709"/>
      <c r="Z450" s="1709"/>
    </row>
    <row r="451" spans="5:26" s="1704" customFormat="1">
      <c r="E451" s="1709"/>
      <c r="F451" s="1709"/>
      <c r="I451" s="1709"/>
      <c r="J451" s="1709"/>
      <c r="K451" s="1709"/>
      <c r="L451" s="1709"/>
      <c r="M451" s="1709"/>
      <c r="N451" s="1709"/>
      <c r="O451" s="1709"/>
      <c r="P451" s="1709"/>
      <c r="Q451" s="1709"/>
      <c r="R451" s="1709"/>
      <c r="S451" s="1709"/>
      <c r="T451" s="1709"/>
      <c r="U451" s="1709"/>
      <c r="V451" s="1709"/>
      <c r="W451" s="1709"/>
      <c r="X451" s="1709"/>
      <c r="Y451" s="1709"/>
      <c r="Z451" s="1709"/>
    </row>
    <row r="452" spans="5:26" s="1704" customFormat="1">
      <c r="E452" s="1709"/>
      <c r="F452" s="1709"/>
      <c r="I452" s="1709"/>
      <c r="J452" s="1709"/>
      <c r="K452" s="1709"/>
      <c r="L452" s="1709"/>
      <c r="M452" s="1709"/>
      <c r="N452" s="1709"/>
      <c r="O452" s="1709"/>
      <c r="P452" s="1709"/>
      <c r="Q452" s="1709"/>
      <c r="R452" s="1709"/>
      <c r="S452" s="1709"/>
      <c r="T452" s="1709"/>
      <c r="U452" s="1709"/>
      <c r="V452" s="1709"/>
      <c r="W452" s="1709"/>
      <c r="X452" s="1709"/>
      <c r="Y452" s="1709"/>
      <c r="Z452" s="1709"/>
    </row>
    <row r="453" spans="5:26" s="1704" customFormat="1">
      <c r="E453" s="1709"/>
      <c r="F453" s="1709"/>
      <c r="I453" s="1709"/>
      <c r="J453" s="1709"/>
      <c r="K453" s="1709"/>
      <c r="L453" s="1709"/>
      <c r="M453" s="1709"/>
      <c r="N453" s="1709"/>
      <c r="O453" s="1709"/>
      <c r="P453" s="1709"/>
      <c r="Q453" s="1709"/>
      <c r="R453" s="1709"/>
      <c r="S453" s="1709"/>
      <c r="T453" s="1709"/>
      <c r="U453" s="1709"/>
      <c r="V453" s="1709"/>
      <c r="W453" s="1709"/>
      <c r="X453" s="1709"/>
      <c r="Y453" s="1709"/>
      <c r="Z453" s="1709"/>
    </row>
    <row r="454" spans="5:26" s="1704" customFormat="1">
      <c r="E454" s="1709"/>
      <c r="F454" s="1709"/>
      <c r="I454" s="1709"/>
      <c r="J454" s="1709"/>
      <c r="K454" s="1709"/>
      <c r="L454" s="1709"/>
      <c r="M454" s="1709"/>
      <c r="N454" s="1709"/>
      <c r="O454" s="1709"/>
      <c r="P454" s="1709"/>
      <c r="Q454" s="1709"/>
      <c r="R454" s="1709"/>
      <c r="S454" s="1709"/>
      <c r="T454" s="1709"/>
      <c r="U454" s="1709"/>
      <c r="V454" s="1709"/>
      <c r="W454" s="1709"/>
      <c r="X454" s="1709"/>
      <c r="Y454" s="1709"/>
      <c r="Z454" s="1709"/>
    </row>
    <row r="455" spans="5:26" s="1704" customFormat="1">
      <c r="E455" s="1709"/>
      <c r="F455" s="1709"/>
      <c r="I455" s="1709"/>
      <c r="J455" s="1709"/>
      <c r="K455" s="1709"/>
      <c r="L455" s="1709"/>
      <c r="M455" s="1709"/>
      <c r="N455" s="1709"/>
      <c r="O455" s="1709"/>
      <c r="P455" s="1709"/>
      <c r="Q455" s="1709"/>
      <c r="R455" s="1709"/>
      <c r="S455" s="1709"/>
      <c r="T455" s="1709"/>
      <c r="U455" s="1709"/>
      <c r="V455" s="1709"/>
      <c r="W455" s="1709"/>
      <c r="X455" s="1709"/>
      <c r="Y455" s="1709"/>
      <c r="Z455" s="1709"/>
    </row>
    <row r="456" spans="5:26" s="1704" customFormat="1">
      <c r="E456" s="1709"/>
      <c r="F456" s="1709"/>
      <c r="I456" s="1709"/>
      <c r="J456" s="1709"/>
      <c r="K456" s="1709"/>
      <c r="L456" s="1709"/>
      <c r="M456" s="1709"/>
      <c r="N456" s="1709"/>
      <c r="O456" s="1709"/>
      <c r="P456" s="1709"/>
      <c r="Q456" s="1709"/>
      <c r="R456" s="1709"/>
      <c r="S456" s="1709"/>
      <c r="T456" s="1709"/>
      <c r="U456" s="1709"/>
      <c r="V456" s="1709"/>
      <c r="W456" s="1709"/>
      <c r="X456" s="1709"/>
      <c r="Y456" s="1709"/>
      <c r="Z456" s="1709"/>
    </row>
    <row r="457" spans="5:26" s="1704" customFormat="1">
      <c r="E457" s="1709"/>
      <c r="F457" s="1709"/>
      <c r="I457" s="1709"/>
      <c r="J457" s="1709"/>
      <c r="K457" s="1709"/>
      <c r="L457" s="1709"/>
      <c r="M457" s="1709"/>
      <c r="N457" s="1709"/>
      <c r="O457" s="1709"/>
      <c r="P457" s="1709"/>
      <c r="Q457" s="1709"/>
      <c r="R457" s="1709"/>
      <c r="S457" s="1709"/>
      <c r="T457" s="1709"/>
      <c r="U457" s="1709"/>
      <c r="V457" s="1709"/>
      <c r="W457" s="1709"/>
      <c r="X457" s="1709"/>
      <c r="Y457" s="1709"/>
      <c r="Z457" s="1709"/>
    </row>
    <row r="458" spans="5:26" s="1704" customFormat="1">
      <c r="E458" s="1709"/>
      <c r="F458" s="1709"/>
      <c r="I458" s="1709"/>
      <c r="J458" s="1709"/>
      <c r="K458" s="1709"/>
      <c r="L458" s="1709"/>
      <c r="M458" s="1709"/>
      <c r="N458" s="1709"/>
      <c r="O458" s="1709"/>
      <c r="P458" s="1709"/>
      <c r="Q458" s="1709"/>
      <c r="R458" s="1709"/>
      <c r="S458" s="1709"/>
      <c r="T458" s="1709"/>
      <c r="U458" s="1709"/>
      <c r="V458" s="1709"/>
      <c r="W458" s="1709"/>
      <c r="X458" s="1709"/>
      <c r="Y458" s="1709"/>
      <c r="Z458" s="1709"/>
    </row>
    <row r="459" spans="5:26" s="1704" customFormat="1">
      <c r="E459" s="1709"/>
      <c r="F459" s="1709"/>
      <c r="I459" s="1709"/>
      <c r="J459" s="1709"/>
      <c r="K459" s="1709"/>
      <c r="L459" s="1709"/>
      <c r="M459" s="1709"/>
      <c r="N459" s="1709"/>
      <c r="O459" s="1709"/>
      <c r="P459" s="1709"/>
      <c r="Q459" s="1709"/>
      <c r="R459" s="1709"/>
      <c r="S459" s="1709"/>
      <c r="T459" s="1709"/>
      <c r="U459" s="1709"/>
      <c r="V459" s="1709"/>
      <c r="W459" s="1709"/>
      <c r="X459" s="1709"/>
      <c r="Y459" s="1709"/>
      <c r="Z459" s="1709"/>
    </row>
    <row r="460" spans="5:26" s="1704" customFormat="1">
      <c r="E460" s="1709"/>
      <c r="F460" s="1709"/>
      <c r="I460" s="1709"/>
      <c r="J460" s="1709"/>
      <c r="K460" s="1709"/>
      <c r="L460" s="1709"/>
      <c r="M460" s="1709"/>
      <c r="N460" s="1709"/>
      <c r="O460" s="1709"/>
      <c r="P460" s="1709"/>
      <c r="Q460" s="1709"/>
      <c r="R460" s="1709"/>
      <c r="S460" s="1709"/>
      <c r="T460" s="1709"/>
      <c r="U460" s="1709"/>
      <c r="V460" s="1709"/>
      <c r="W460" s="1709"/>
      <c r="X460" s="1709"/>
      <c r="Y460" s="1709"/>
      <c r="Z460" s="1709"/>
    </row>
    <row r="461" spans="5:26" s="1704" customFormat="1">
      <c r="E461" s="1709"/>
      <c r="F461" s="1709"/>
      <c r="I461" s="1709"/>
      <c r="J461" s="1709"/>
      <c r="K461" s="1709"/>
      <c r="L461" s="1709"/>
      <c r="M461" s="1709"/>
      <c r="N461" s="1709"/>
      <c r="O461" s="1709"/>
      <c r="P461" s="1709"/>
      <c r="Q461" s="1709"/>
      <c r="R461" s="1709"/>
      <c r="S461" s="1709"/>
      <c r="T461" s="1709"/>
      <c r="U461" s="1709"/>
      <c r="V461" s="1709"/>
      <c r="W461" s="1709"/>
      <c r="X461" s="1709"/>
      <c r="Y461" s="1709"/>
      <c r="Z461" s="1709"/>
    </row>
    <row r="462" spans="5:26" s="1704" customFormat="1">
      <c r="E462" s="1709"/>
      <c r="F462" s="1709"/>
      <c r="I462" s="1709"/>
      <c r="J462" s="1709"/>
      <c r="K462" s="1709"/>
      <c r="L462" s="1709"/>
      <c r="M462" s="1709"/>
      <c r="N462" s="1709"/>
      <c r="O462" s="1709"/>
      <c r="P462" s="1709"/>
      <c r="Q462" s="1709"/>
      <c r="R462" s="1709"/>
      <c r="S462" s="1709"/>
      <c r="T462" s="1709"/>
      <c r="U462" s="1709"/>
      <c r="V462" s="1709"/>
      <c r="W462" s="1709"/>
      <c r="X462" s="1709"/>
      <c r="Y462" s="1709"/>
      <c r="Z462" s="1709"/>
    </row>
    <row r="463" spans="5:26" s="1704" customFormat="1">
      <c r="E463" s="1709"/>
      <c r="F463" s="1709"/>
      <c r="I463" s="1709"/>
      <c r="J463" s="1709"/>
      <c r="K463" s="1709"/>
      <c r="L463" s="1709"/>
      <c r="M463" s="1709"/>
      <c r="N463" s="1709"/>
      <c r="O463" s="1709"/>
      <c r="P463" s="1709"/>
      <c r="Q463" s="1709"/>
      <c r="R463" s="1709"/>
      <c r="S463" s="1709"/>
      <c r="T463" s="1709"/>
      <c r="U463" s="1709"/>
      <c r="V463" s="1709"/>
      <c r="W463" s="1709"/>
      <c r="X463" s="1709"/>
      <c r="Y463" s="1709"/>
      <c r="Z463" s="1709"/>
    </row>
  </sheetData>
  <sheetProtection algorithmName="SHA-512" hashValue="Les9VSuZA4LvXyt0+z6pcKS2VHC/575Kcnd3HWbJvAyiuu6wubpmpE0MO0CHrC0puHtl9O/lVSIW67FrnXrVWQ==" saltValue="EDjMPhnToXME48OHZS+1tA==" spinCount="100000" sheet="1" objects="1" scenarios="1" formatCells="0" formatColumns="0" formatRows="0"/>
  <mergeCells count="39">
    <mergeCell ref="R57:V59"/>
    <mergeCell ref="T151:U151"/>
    <mergeCell ref="AC230:AH231"/>
    <mergeCell ref="AG232:AH233"/>
    <mergeCell ref="Y98:Z98"/>
    <mergeCell ref="Y109:Z109"/>
    <mergeCell ref="Y110:Z110"/>
    <mergeCell ref="C146:L148"/>
    <mergeCell ref="J222:P222"/>
    <mergeCell ref="C144:L145"/>
    <mergeCell ref="F212:Q214"/>
    <mergeCell ref="F151:H151"/>
    <mergeCell ref="Q151:R151"/>
    <mergeCell ref="F220:H221"/>
    <mergeCell ref="J221:L221"/>
    <mergeCell ref="Q218:R218"/>
    <mergeCell ref="N151:P151"/>
    <mergeCell ref="B13:D13"/>
    <mergeCell ref="Y32:Z32"/>
    <mergeCell ref="Y33:Z33"/>
    <mergeCell ref="B14:D14"/>
    <mergeCell ref="B15:D15"/>
    <mergeCell ref="B16:D16"/>
    <mergeCell ref="B17:D17"/>
    <mergeCell ref="B18:D18"/>
    <mergeCell ref="B19:D19"/>
    <mergeCell ref="B20:D20"/>
    <mergeCell ref="R32:V34"/>
    <mergeCell ref="Y10:Z10"/>
    <mergeCell ref="Y11:Z11"/>
    <mergeCell ref="Y46:Z46"/>
    <mergeCell ref="Y47:Z47"/>
    <mergeCell ref="Y97:Z97"/>
    <mergeCell ref="Y57:Z57"/>
    <mergeCell ref="Y69:Z69"/>
    <mergeCell ref="Y68:Z68"/>
    <mergeCell ref="Y86:Z86"/>
    <mergeCell ref="Y87:Z87"/>
    <mergeCell ref="Y58:Z58"/>
  </mergeCells>
  <conditionalFormatting sqref="AC13:AC20">
    <cfRule type="expression" dxfId="14" priority="5">
      <formula>Nlang&gt;1</formula>
    </cfRule>
  </conditionalFormatting>
  <conditionalFormatting sqref="AE13:AE20">
    <cfRule type="expression" dxfId="13" priority="4">
      <formula>Nlang&gt;1</formula>
    </cfRule>
  </conditionalFormatting>
  <conditionalFormatting sqref="AG13:AG20">
    <cfRule type="expression" dxfId="12" priority="3">
      <formula>Nlang&gt;1</formula>
    </cfRule>
  </conditionalFormatting>
  <conditionalFormatting sqref="AI13:AI20">
    <cfRule type="expression" dxfId="11" priority="2">
      <formula>Nlang&gt;1</formula>
    </cfRule>
  </conditionalFormatting>
  <dataValidations count="7">
    <dataValidation type="list" allowBlank="1" showInputMessage="1" showErrorMessage="1" sqref="H13:H20 J13:J20 F13:F20">
      <formula1>deg_list</formula1>
    </dataValidation>
    <dataValidation type="list" allowBlank="1" showInputMessage="1" showErrorMessage="1" sqref="P13:P20 AG234:AG235 L13:L20">
      <formula1>YES_NO</formula1>
    </dataValidation>
    <dataValidation type="list" allowBlank="1" showInputMessage="1" showErrorMessage="1" sqref="V13:V20 I72:I74 K35:K39 K49:K50 I35:I39 I49:I50 K60:K61 I60:I61 K72:K74 X13:X20 I100:I102 K100:K102 I112:I114 K112:K114">
      <formula1>dyn_simple</formula1>
    </dataValidation>
    <dataValidation type="decimal" operator="greaterThanOrEqual" allowBlank="1" showInputMessage="1" showErrorMessage="1" sqref="AE234:AE235 L153:L161 U153:U161 R153:R161 P153:P161 H224:H228 H234:H235 T234:T235 L224:L228 M234:M235 P224:P228 T224:T228 AA234:AA235 AA224:AA228 M241:M242 AA241:AA242 T241:T242 H247:H249 L247:L249 P247:P249 U247:U249 H153:H161">
      <formula1>0</formula1>
    </dataValidation>
    <dataValidation type="decimal" allowBlank="1" showInputMessage="1" showErrorMessage="1" sqref="R143:R148">
      <formula1>0</formula1>
      <formula2>100</formula2>
    </dataValidation>
    <dataValidation type="decimal" operator="lessThan" allowBlank="1" showInputMessage="1" showErrorMessage="1" sqref="H241:H242">
      <formula1>100</formula1>
    </dataValidation>
    <dataValidation type="list" allowBlank="1" showInputMessage="1" showErrorMessage="1" prompt="Please specify the vegetation" sqref="B13:D20">
      <formula1>veg_type</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82E2ED88-A7F9-49BA-9DDB-533FF55C6098}">
            <xm:f>OR($B$13:$D$18=List!$A$51)</xm:f>
            <x14:dxf>
              <font>
                <color theme="1"/>
              </font>
              <fill>
                <patternFill>
                  <bgColor theme="7" tint="0.39994506668294322"/>
                </patternFill>
              </fill>
            </x14:dxf>
          </x14:cfRule>
          <xm:sqref>C153:G153 I153:K153 M153:O153 Q153 S153:T153</xm:sqref>
        </x14:conditionalFormatting>
        <x14:conditionalFormatting xmlns:xm="http://schemas.microsoft.com/office/excel/2006/main">
          <x14:cfRule type="expression" priority="14" id="{8A35CD63-D772-42F4-81AA-56C51934BBFC}">
            <xm:f>OR($B$13:$D$18=List!$A$52)</xm:f>
            <x14:dxf>
              <font>
                <color theme="1"/>
              </font>
              <fill>
                <patternFill>
                  <bgColor theme="7" tint="0.39994506668294322"/>
                </patternFill>
              </fill>
            </x14:dxf>
          </x14:cfRule>
          <xm:sqref>C154:G154 I154:K154 M154:O154 Q154 S154:T154</xm:sqref>
        </x14:conditionalFormatting>
        <x14:conditionalFormatting xmlns:xm="http://schemas.microsoft.com/office/excel/2006/main">
          <x14:cfRule type="expression" priority="12" id="{A03DF116-6F86-47B8-9ABD-23A7779BFEF9}">
            <xm:f>OR($B$13:$D$18=List!$A$53)</xm:f>
            <x14:dxf>
              <font>
                <color theme="1"/>
              </font>
              <fill>
                <patternFill>
                  <bgColor theme="7" tint="0.39994506668294322"/>
                </patternFill>
              </fill>
            </x14:dxf>
          </x14:cfRule>
          <xm:sqref>I155:K155 M155:O155 Q155 S155:T155 C155:G155</xm:sqref>
        </x14:conditionalFormatting>
        <x14:conditionalFormatting xmlns:xm="http://schemas.microsoft.com/office/excel/2006/main">
          <x14:cfRule type="expression" priority="11" id="{308B7DCB-D4C5-4843-A6D0-73671A0156E1}">
            <xm:f>OR($B$13:$D$18=List!$A$54)</xm:f>
            <x14:dxf>
              <font>
                <color theme="1"/>
              </font>
              <fill>
                <patternFill>
                  <bgColor theme="7" tint="0.39994506668294322"/>
                </patternFill>
              </fill>
            </x14:dxf>
          </x14:cfRule>
          <xm:sqref>C156:G156 I156:K156 M156:O156 Q156 S156:T156</xm:sqref>
        </x14:conditionalFormatting>
        <x14:conditionalFormatting xmlns:xm="http://schemas.microsoft.com/office/excel/2006/main">
          <x14:cfRule type="expression" priority="10" id="{0A43517A-1C30-4BEC-9F68-9BB617FE8BFC}">
            <xm:f>OR($B$13:$D$18=List!$A$55)</xm:f>
            <x14:dxf>
              <font>
                <color theme="1"/>
              </font>
              <fill>
                <patternFill>
                  <bgColor theme="7" tint="0.39994506668294322"/>
                </patternFill>
              </fill>
            </x14:dxf>
          </x14:cfRule>
          <xm:sqref>C157:G157 I157:K157 M157:O157 Q157 S157:T157</xm:sqref>
        </x14:conditionalFormatting>
        <x14:conditionalFormatting xmlns:xm="http://schemas.microsoft.com/office/excel/2006/main">
          <x14:cfRule type="expression" priority="9" id="{053FDAA1-1E14-4BB8-831E-1CB78CC74AC2}">
            <xm:f>OR($B$13:$D$18=List!$A$56)</xm:f>
            <x14:dxf>
              <font>
                <color theme="1"/>
              </font>
              <fill>
                <patternFill>
                  <bgColor theme="7" tint="0.39994506668294322"/>
                </patternFill>
              </fill>
            </x14:dxf>
          </x14:cfRule>
          <xm:sqref>C158:G158 I158:K158 M158:O158 Q158 S158:T158</xm:sqref>
        </x14:conditionalFormatting>
        <x14:conditionalFormatting xmlns:xm="http://schemas.microsoft.com/office/excel/2006/main">
          <x14:cfRule type="expression" priority="8" id="{11BB8591-B7EA-472F-969B-E774E4D90A0F}">
            <xm:f>OR($B$13:$D$18=List!$A$57)</xm:f>
            <x14:dxf>
              <font>
                <color theme="1"/>
              </font>
              <fill>
                <patternFill>
                  <bgColor theme="7" tint="0.39994506668294322"/>
                </patternFill>
              </fill>
            </x14:dxf>
          </x14:cfRule>
          <xm:sqref>C159:G159 I159:K159 M159:O159 Q159 S159:T159</xm:sqref>
        </x14:conditionalFormatting>
        <x14:conditionalFormatting xmlns:xm="http://schemas.microsoft.com/office/excel/2006/main">
          <x14:cfRule type="expression" priority="6" id="{2BE60DAA-CC8C-47A7-9852-5D5976E85C09}">
            <xm:f>OR($B$13:$D$18=List!$A$58)</xm:f>
            <x14:dxf>
              <font>
                <color theme="1"/>
              </font>
              <fill>
                <patternFill>
                  <bgColor theme="7" tint="0.39994506668294322"/>
                </patternFill>
              </fill>
            </x14:dxf>
          </x14:cfRule>
          <xm:sqref>C160:G160 I160:K160 M160:O160 Q160 S160:T160</xm:sqref>
        </x14:conditionalFormatting>
        <x14:conditionalFormatting xmlns:xm="http://schemas.microsoft.com/office/excel/2006/main">
          <x14:cfRule type="expression" priority="1" id="{1F5C431D-EDBA-4F55-8F66-6B3167380A70}">
            <xm:f>OR($B$13:$D$18=List!$A$59)</xm:f>
            <x14:dxf>
              <font>
                <color theme="1"/>
              </font>
              <fill>
                <patternFill>
                  <bgColor theme="7" tint="0.39994506668294322"/>
                </patternFill>
              </fill>
            </x14:dxf>
          </x14:cfRule>
          <xm:sqref>C161:G161 I161:K161 M161:O161 Q161 S161:T161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List!$H$43:$H$44</xm:f>
          </x14:formula1>
          <xm:sqref>Q218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21"/>
    <pageSetUpPr fitToPage="1"/>
  </sheetPr>
  <dimension ref="A1:HL2247"/>
  <sheetViews>
    <sheetView zoomScale="115" zoomScaleNormal="115" workbookViewId="0">
      <pane ySplit="6" topLeftCell="A7" activePane="bottomLeft" state="frozen"/>
      <selection activeCell="A5" sqref="A5:C5"/>
      <selection pane="bottomLeft" activeCell="G24" sqref="G24"/>
    </sheetView>
  </sheetViews>
  <sheetFormatPr defaultColWidth="11.42578125" defaultRowHeight="12.75"/>
  <cols>
    <col min="1" max="1" width="3.42578125" style="831" customWidth="1"/>
    <col min="2" max="2" width="31" style="836" customWidth="1"/>
    <col min="3" max="5" width="7.28515625" style="878" customWidth="1"/>
    <col min="6" max="6" width="9.28515625" style="1128" customWidth="1"/>
    <col min="7" max="7" width="10" style="1128" customWidth="1"/>
    <col min="8" max="8" width="10.28515625" style="879" customWidth="1"/>
    <col min="9" max="9" width="2.42578125" style="836" customWidth="1"/>
    <col min="10" max="10" width="9.28515625" style="1128" customWidth="1"/>
    <col min="11" max="11" width="10.5703125" style="836" customWidth="1"/>
    <col min="12" max="12" width="1.7109375" style="836" customWidth="1"/>
    <col min="13" max="13" width="11.42578125" style="836"/>
    <col min="14" max="15" width="8.5703125" style="836" customWidth="1"/>
    <col min="16" max="16" width="1.5703125" style="836" customWidth="1"/>
    <col min="17" max="17" width="10" style="836" customWidth="1"/>
    <col min="18" max="18" width="9.42578125" style="836" customWidth="1"/>
    <col min="19" max="19" width="1.85546875" style="832" customWidth="1"/>
    <col min="20" max="20" width="10.5703125" style="1084" customWidth="1"/>
    <col min="21" max="21" width="3.85546875" style="832" customWidth="1"/>
    <col min="22" max="23" width="11.42578125" style="2804"/>
    <col min="24" max="24" width="3.28515625" style="2804" customWidth="1"/>
    <col min="25" max="26" width="11.42578125" style="2804"/>
    <col min="27" max="27" width="11.42578125" style="2805"/>
    <col min="28" max="34" width="11.42578125" style="2804"/>
    <col min="35" max="220" width="11.42578125" style="832"/>
    <col min="221" max="16384" width="11.42578125" style="836"/>
  </cols>
  <sheetData>
    <row r="1" spans="1:34" s="1656" customFormat="1" ht="22.9" customHeight="1">
      <c r="A1" s="1655"/>
      <c r="C1" s="1657"/>
      <c r="D1" s="1657"/>
      <c r="E1" s="1657"/>
      <c r="F1" s="1658"/>
      <c r="G1" s="1658"/>
      <c r="H1" s="1659"/>
      <c r="J1" s="1658"/>
      <c r="T1" s="1660"/>
      <c r="V1" s="2802"/>
      <c r="W1" s="2802"/>
      <c r="X1" s="2802"/>
      <c r="Y1" s="2802"/>
      <c r="Z1" s="2802"/>
      <c r="AA1" s="2803"/>
      <c r="AB1" s="2802"/>
      <c r="AC1" s="2802"/>
      <c r="AD1" s="2802"/>
      <c r="AE1" s="2802"/>
      <c r="AF1" s="2802"/>
      <c r="AG1" s="2802"/>
      <c r="AH1" s="2802"/>
    </row>
    <row r="2" spans="1:34" s="1656" customFormat="1" ht="22.9" customHeight="1">
      <c r="A2" s="1655"/>
      <c r="C2" s="1657"/>
      <c r="D2" s="1657"/>
      <c r="E2" s="1657"/>
      <c r="F2" s="1658"/>
      <c r="G2" s="1658"/>
      <c r="H2" s="1659"/>
      <c r="J2" s="1658"/>
      <c r="T2" s="1660"/>
      <c r="V2" s="2802"/>
      <c r="W2" s="2802"/>
      <c r="X2" s="2802"/>
      <c r="Y2" s="2802"/>
      <c r="Z2" s="2802"/>
      <c r="AA2" s="2803"/>
      <c r="AB2" s="2802"/>
      <c r="AC2" s="2802"/>
      <c r="AD2" s="2802"/>
      <c r="AE2" s="2802"/>
      <c r="AF2" s="2802"/>
      <c r="AG2" s="2802"/>
      <c r="AH2" s="2802"/>
    </row>
    <row r="3" spans="1:34" s="1656" customFormat="1" ht="22.9" customHeight="1">
      <c r="A3" s="1655"/>
      <c r="C3" s="1657"/>
      <c r="D3" s="1657"/>
      <c r="E3" s="1657"/>
      <c r="F3" s="1658"/>
      <c r="G3" s="1658"/>
      <c r="H3" s="1659"/>
      <c r="J3" s="1658"/>
      <c r="T3" s="1660"/>
      <c r="V3" s="2802"/>
      <c r="W3" s="2802"/>
      <c r="X3" s="2802"/>
      <c r="Y3" s="2802"/>
      <c r="Z3" s="2802"/>
      <c r="AA3" s="2803"/>
      <c r="AB3" s="2802"/>
      <c r="AC3" s="2802"/>
      <c r="AD3" s="2802"/>
      <c r="AE3" s="2802"/>
      <c r="AF3" s="2802"/>
      <c r="AG3" s="2802"/>
      <c r="AH3" s="2802"/>
    </row>
    <row r="4" spans="1:34" s="1656" customFormat="1" ht="22.9" customHeight="1">
      <c r="A4" s="1655"/>
      <c r="C4" s="1657"/>
      <c r="D4" s="1657"/>
      <c r="E4" s="1657"/>
      <c r="F4" s="1658"/>
      <c r="G4" s="1658"/>
      <c r="H4" s="1659"/>
      <c r="J4" s="1658"/>
      <c r="T4" s="1660"/>
      <c r="V4" s="2802"/>
      <c r="W4" s="2802"/>
      <c r="X4" s="2802"/>
      <c r="Y4" s="2802"/>
      <c r="Z4" s="2802"/>
      <c r="AA4" s="2803"/>
      <c r="AB4" s="2802"/>
      <c r="AC4" s="2802"/>
      <c r="AD4" s="2802"/>
      <c r="AE4" s="2802"/>
      <c r="AF4" s="2802"/>
      <c r="AG4" s="2802"/>
      <c r="AH4" s="2802"/>
    </row>
    <row r="5" spans="1:34" s="1663" customFormat="1" ht="22.9" customHeight="1">
      <c r="A5" s="1662" t="s">
        <v>467</v>
      </c>
      <c r="C5" s="1664"/>
      <c r="D5" s="1664"/>
      <c r="E5" s="1664"/>
      <c r="F5" s="1665"/>
      <c r="G5" s="3885" t="s">
        <v>470</v>
      </c>
      <c r="H5" s="3885"/>
      <c r="J5" s="1665"/>
      <c r="T5" s="1666"/>
      <c r="U5" s="1661"/>
      <c r="V5" s="2802"/>
      <c r="W5" s="2802"/>
      <c r="X5" s="2802"/>
      <c r="Y5" s="2802"/>
      <c r="Z5" s="2802"/>
      <c r="AA5" s="2803"/>
      <c r="AB5" s="2802"/>
      <c r="AC5" s="2802"/>
      <c r="AD5" s="2802"/>
      <c r="AE5" s="2802"/>
      <c r="AF5" s="2802"/>
      <c r="AG5" s="2802"/>
      <c r="AH5" s="2802"/>
    </row>
    <row r="6" spans="1:34">
      <c r="B6" s="832"/>
      <c r="C6" s="833"/>
      <c r="D6" s="833"/>
      <c r="E6" s="833"/>
      <c r="F6" s="1111"/>
      <c r="G6" s="1111"/>
      <c r="H6" s="834"/>
      <c r="I6" s="834"/>
      <c r="J6" s="1129"/>
      <c r="K6" s="834"/>
      <c r="L6" s="834"/>
      <c r="M6" s="834"/>
      <c r="N6" s="835"/>
      <c r="O6" s="832"/>
      <c r="P6" s="832"/>
      <c r="Q6" s="832"/>
      <c r="R6" s="832"/>
    </row>
    <row r="7" spans="1:34">
      <c r="B7" s="832"/>
      <c r="C7" s="833"/>
      <c r="D7" s="833"/>
      <c r="E7" s="833"/>
      <c r="F7" s="1111"/>
      <c r="G7" s="1111"/>
      <c r="H7" s="834"/>
      <c r="I7" s="832"/>
      <c r="J7" s="1111"/>
      <c r="K7" s="837"/>
      <c r="L7" s="837"/>
      <c r="M7" s="835"/>
      <c r="N7" s="835"/>
      <c r="O7" s="835"/>
      <c r="P7" s="835"/>
      <c r="Q7" s="1385"/>
      <c r="R7" s="1385"/>
      <c r="V7" s="2806"/>
      <c r="W7" s="2806"/>
    </row>
    <row r="8" spans="1:34">
      <c r="B8" s="838" t="s">
        <v>1252</v>
      </c>
      <c r="C8" s="839"/>
      <c r="D8" s="840"/>
      <c r="E8" s="840"/>
      <c r="F8" s="1121"/>
      <c r="G8" s="1121"/>
      <c r="H8" s="842"/>
      <c r="I8" s="841"/>
      <c r="J8" s="1121"/>
      <c r="K8" s="841"/>
      <c r="L8" s="841"/>
      <c r="M8" s="841"/>
      <c r="N8" s="841"/>
      <c r="O8" s="841"/>
      <c r="P8" s="841"/>
      <c r="Q8" s="1386"/>
      <c r="R8" s="1386"/>
      <c r="S8" s="1386"/>
      <c r="T8" s="1387"/>
      <c r="V8" s="2257"/>
      <c r="W8" s="2807"/>
    </row>
    <row r="9" spans="1:34" ht="13.5" thickBot="1">
      <c r="B9" s="832"/>
      <c r="C9" s="833"/>
      <c r="D9" s="833"/>
      <c r="E9" s="833"/>
      <c r="F9" s="3888" t="s">
        <v>366</v>
      </c>
      <c r="G9" s="3888"/>
      <c r="H9" s="3888"/>
      <c r="I9" s="3888"/>
      <c r="J9" s="3888"/>
      <c r="K9" s="3888"/>
      <c r="L9" s="837"/>
      <c r="M9" s="3887" t="s">
        <v>336</v>
      </c>
      <c r="N9" s="3887"/>
      <c r="O9" s="3887"/>
      <c r="P9" s="843"/>
      <c r="Q9" s="1378" t="s">
        <v>2</v>
      </c>
      <c r="R9" s="1378"/>
      <c r="S9" s="1378"/>
      <c r="T9" s="1379"/>
      <c r="V9" s="2808"/>
      <c r="W9" s="2808"/>
    </row>
    <row r="10" spans="1:34">
      <c r="B10" s="844" t="s">
        <v>367</v>
      </c>
      <c r="C10" s="845" t="s">
        <v>337</v>
      </c>
      <c r="D10" s="845" t="s">
        <v>338</v>
      </c>
      <c r="E10" s="846" t="s">
        <v>339</v>
      </c>
      <c r="F10" s="1122" t="s">
        <v>340</v>
      </c>
      <c r="G10" s="3892" t="s">
        <v>673</v>
      </c>
      <c r="H10" s="3892"/>
      <c r="I10" s="832"/>
      <c r="J10" s="3893" t="s">
        <v>672</v>
      </c>
      <c r="K10" s="3893"/>
      <c r="L10" s="837"/>
      <c r="M10" s="847" t="s">
        <v>340</v>
      </c>
      <c r="N10" s="3886" t="s">
        <v>341</v>
      </c>
      <c r="O10" s="3886"/>
      <c r="P10" s="832"/>
      <c r="Q10" s="3891"/>
      <c r="R10" s="3891"/>
      <c r="T10" s="1085" t="s">
        <v>343</v>
      </c>
      <c r="V10" s="2808"/>
      <c r="W10" s="2808"/>
      <c r="Y10" s="1872" t="s">
        <v>844</v>
      </c>
      <c r="Z10" s="1902"/>
    </row>
    <row r="11" spans="1:34" ht="13.5" thickBot="1">
      <c r="B11" s="844"/>
      <c r="C11" s="845" t="s">
        <v>345</v>
      </c>
      <c r="D11" s="845" t="s">
        <v>345</v>
      </c>
      <c r="E11" s="846" t="s">
        <v>346</v>
      </c>
      <c r="F11" s="1122" t="s">
        <v>347</v>
      </c>
      <c r="G11" s="1123" t="s">
        <v>341</v>
      </c>
      <c r="H11" s="849" t="s">
        <v>348</v>
      </c>
      <c r="I11" s="850"/>
      <c r="J11" s="1130" t="s">
        <v>341</v>
      </c>
      <c r="K11" s="852" t="s">
        <v>348</v>
      </c>
      <c r="L11" s="837"/>
      <c r="M11" s="853"/>
      <c r="N11" s="854" t="s">
        <v>674</v>
      </c>
      <c r="O11" s="851" t="s">
        <v>675</v>
      </c>
      <c r="P11" s="855"/>
      <c r="Q11" s="848" t="s">
        <v>674</v>
      </c>
      <c r="R11" s="851" t="s">
        <v>675</v>
      </c>
      <c r="S11" s="850"/>
      <c r="T11" s="1086"/>
      <c r="V11" s="2808"/>
      <c r="W11" s="2808"/>
      <c r="Y11" s="1913" t="s">
        <v>674</v>
      </c>
      <c r="Z11" s="1913" t="s">
        <v>675</v>
      </c>
    </row>
    <row r="12" spans="1:34" ht="13.5" thickBot="1">
      <c r="B12" s="844" t="s">
        <v>368</v>
      </c>
      <c r="C12" s="856">
        <v>0.12</v>
      </c>
      <c r="D12" s="2346">
        <f>IF('7. Inputs'!K136="",'7. Inputs'!I136,'7. Inputs'!K136)</f>
        <v>0.12</v>
      </c>
      <c r="E12" s="857" t="s">
        <v>354</v>
      </c>
      <c r="F12" s="1962">
        <f>'7. Inputs'!H12</f>
        <v>0</v>
      </c>
      <c r="G12" s="1962">
        <f>'7. Inputs'!I12</f>
        <v>0</v>
      </c>
      <c r="H12" s="2371" t="str">
        <f>VLOOKUP('7. Inputs'!J12,List!$D$35:$E$37,2,)</f>
        <v>Linear</v>
      </c>
      <c r="I12" s="832"/>
      <c r="J12" s="1963">
        <f>'7. Inputs'!K12</f>
        <v>0</v>
      </c>
      <c r="K12" s="2371" t="str">
        <f>VLOOKUP('7. Inputs'!L12,List!$D$35:$E$37,2,)</f>
        <v>Linear</v>
      </c>
      <c r="L12" s="837"/>
      <c r="M12" s="858">
        <f t="shared" ref="M12:N14" si="0">IF($E12="YES",$C12,$D12)*F12*44/12</f>
        <v>0</v>
      </c>
      <c r="N12" s="858">
        <f t="shared" si="0"/>
        <v>0</v>
      </c>
      <c r="O12" s="858">
        <f>IF($E12="YES",$C12,$D12)*J12*44/12</f>
        <v>0</v>
      </c>
      <c r="P12" s="832"/>
      <c r="Q12" s="1371">
        <f>MIN(M12,N12)*time_tot+ABS(N12-M12)*IF(N12&gt;M12,time2+time*(VLOOKUP(H12,List!$E$35:$F$37,2,)),time*(1-(VLOOKUP(H12,List!$E$35:$F$37,2,))))</f>
        <v>0</v>
      </c>
      <c r="R12" s="1371">
        <f>MIN(M12,O12)*time_tot+ABS(O12-M12)*IF(O12&gt;M12,time2+time*(VLOOKUP(K12,List!$E$35:$F$37,2,)),time*(1-(VLOOKUP(K12,List!$E$35:$F$37,2,))))</f>
        <v>0</v>
      </c>
      <c r="T12" s="1380">
        <f>R12-Q12</f>
        <v>0</v>
      </c>
      <c r="V12" s="2806"/>
      <c r="W12" s="2806"/>
      <c r="Y12" s="1914">
        <f>MIN(M12,N12)*time+ABS(N12-M12)*IF(N12&gt;M12,time*(VLOOKUP(H12,List!$E$35:$F$37,2,)),time*(1-(VLOOKUP(H12,List!$E$35:$F$37,2,))))</f>
        <v>0</v>
      </c>
      <c r="Z12" s="1914">
        <f>MIN(M12,O12)*time+ABS(O12-M12)*IF(O12&gt;M12,time*(VLOOKUP(K12,List!$E$35:$F$37,2,)),time*(1-(VLOOKUP(K12,List!$E$35:$F$37,2,))))</f>
        <v>0</v>
      </c>
    </row>
    <row r="13" spans="1:34" ht="13.5" thickBot="1">
      <c r="B13" s="844" t="s">
        <v>369</v>
      </c>
      <c r="C13" s="856">
        <v>0.13</v>
      </c>
      <c r="D13" s="2346">
        <f>IF('7. Inputs'!K137="",'7. Inputs'!I137,'7. Inputs'!K137)</f>
        <v>0.13</v>
      </c>
      <c r="E13" s="857" t="s">
        <v>354</v>
      </c>
      <c r="F13" s="1962">
        <f>'7. Inputs'!H13</f>
        <v>0</v>
      </c>
      <c r="G13" s="1962">
        <f>'7. Inputs'!I13</f>
        <v>0</v>
      </c>
      <c r="H13" s="2371" t="str">
        <f>VLOOKUP('7. Inputs'!J13,List!$D$35:$E$37,2,)</f>
        <v>Linear</v>
      </c>
      <c r="I13" s="832"/>
      <c r="J13" s="1963">
        <f>'7. Inputs'!K13</f>
        <v>0</v>
      </c>
      <c r="K13" s="2371" t="str">
        <f>VLOOKUP('7. Inputs'!L13,List!$D$35:$E$37,2,)</f>
        <v>Linear</v>
      </c>
      <c r="L13" s="837"/>
      <c r="M13" s="858">
        <f t="shared" si="0"/>
        <v>0</v>
      </c>
      <c r="N13" s="858">
        <f t="shared" si="0"/>
        <v>0</v>
      </c>
      <c r="O13" s="858">
        <f>IF($E13="YES",$C13,$D13)*J13*44/12</f>
        <v>0</v>
      </c>
      <c r="P13" s="832"/>
      <c r="Q13" s="1371">
        <f>MIN(M13,N13)*time_tot+ABS(N13-M13)*IF(N13&gt;M13,time2+time*(VLOOKUP(H13,List!$E$35:$F$37,2,)),time*(1-(VLOOKUP(H13,List!$E$35:$F$37,2,))))</f>
        <v>0</v>
      </c>
      <c r="R13" s="1371">
        <f>MIN(M13,O13)*time_tot+ABS(O13-M13)*IF(O13&gt;M13,time2+time*(VLOOKUP(K13,List!$E$35:$F$37,2,)),time*(1-(VLOOKUP(K13,List!$E$35:$F$37,2,))))</f>
        <v>0</v>
      </c>
      <c r="T13" s="1380">
        <f>R13-Q13</f>
        <v>0</v>
      </c>
      <c r="Y13" s="1914">
        <f>MIN(M13,N13)*time+ABS(N13-M13)*IF(N13&gt;M13,time*(VLOOKUP(H13,List!$E$35:$F$37,2,)),time*(1-(VLOOKUP(H13,List!$E$35:$F$37,2,))))</f>
        <v>0</v>
      </c>
      <c r="Z13" s="1914">
        <f>MIN(M13,O13)*time+ABS(O13-M13)*IF(O13&gt;M13,time*(VLOOKUP(K13,List!$E$35:$F$37,2,)),time*(1-(VLOOKUP(K13,List!$E$35:$F$37,2,))))</f>
        <v>0</v>
      </c>
    </row>
    <row r="14" spans="1:34">
      <c r="B14" s="844" t="s">
        <v>370</v>
      </c>
      <c r="C14" s="860">
        <v>0.125</v>
      </c>
      <c r="D14" s="2346">
        <f>IF('7. Inputs'!K138="",'7. Inputs'!I138,'7. Inputs'!K138)</f>
        <v>0.125</v>
      </c>
      <c r="E14" s="857" t="s">
        <v>354</v>
      </c>
      <c r="F14" s="1962">
        <f>'7. Inputs'!H14</f>
        <v>0</v>
      </c>
      <c r="G14" s="1962">
        <f>'7. Inputs'!I14</f>
        <v>0</v>
      </c>
      <c r="H14" s="2371" t="str">
        <f>VLOOKUP('7. Inputs'!J14,List!$D$35:$E$37,2,)</f>
        <v>Linear</v>
      </c>
      <c r="I14" s="832"/>
      <c r="J14" s="1963">
        <f>'7. Inputs'!K14</f>
        <v>0</v>
      </c>
      <c r="K14" s="2371" t="str">
        <f>VLOOKUP('7. Inputs'!L14,List!$D$35:$E$37,2,)</f>
        <v>Linear</v>
      </c>
      <c r="L14" s="837"/>
      <c r="M14" s="858">
        <f t="shared" si="0"/>
        <v>0</v>
      </c>
      <c r="N14" s="858">
        <f t="shared" si="0"/>
        <v>0</v>
      </c>
      <c r="O14" s="858">
        <f>IF($E14="YES",$C14,$D14)*J14*44/12</f>
        <v>0</v>
      </c>
      <c r="P14" s="832"/>
      <c r="Q14" s="1371">
        <f>MIN(M14,N14)*time_tot+ABS(N14-M14)*IF(N14&gt;M14,time2+time*(VLOOKUP(H14,List!$E$35:$F$37,2,)),time*(1-(VLOOKUP(H14,List!$E$35:$F$37,2,))))</f>
        <v>0</v>
      </c>
      <c r="R14" s="1371">
        <f>MIN(M14,O14)*time_tot+ABS(O14-M14)*IF(O14&gt;M14,time2+time*(VLOOKUP(K14,List!$E$35:$F$37,2,)),time*(1-(VLOOKUP(K14,List!$E$35:$F$37,2,))))</f>
        <v>0</v>
      </c>
      <c r="T14" s="1380">
        <f>R14-Q14</f>
        <v>0</v>
      </c>
      <c r="Y14" s="1914">
        <f>MIN(M14,N14)*time+ABS(N14-M14)*IF(N14&gt;M14,time*(VLOOKUP(H14,List!$E$35:$F$37,2,)),time*(1-(VLOOKUP(H14,List!$E$35:$F$37,2,))))</f>
        <v>0</v>
      </c>
      <c r="Z14" s="1914">
        <f>MIN(M14,O14)*time+ABS(O14-M14)*IF(O14&gt;M14,time*(VLOOKUP(K14,List!$E$35:$F$37,2,)),time*(1-(VLOOKUP(K14,List!$E$35:$F$37,2,))))</f>
        <v>0</v>
      </c>
    </row>
    <row r="15" spans="1:34">
      <c r="A15" s="832"/>
      <c r="B15" s="832"/>
      <c r="C15" s="832"/>
      <c r="D15" s="832"/>
      <c r="E15" s="832"/>
      <c r="F15" s="1111"/>
      <c r="G15" s="1111"/>
      <c r="H15" s="834"/>
      <c r="I15" s="832"/>
      <c r="J15" s="1111"/>
      <c r="K15" s="861" t="s">
        <v>680</v>
      </c>
      <c r="L15" s="862"/>
      <c r="M15" s="863">
        <f>SUM(M12:M14)</f>
        <v>0</v>
      </c>
      <c r="N15" s="863">
        <f>SUM(N12:N14)</f>
        <v>0</v>
      </c>
      <c r="O15" s="863">
        <f>SUM(O12:O14)</f>
        <v>0</v>
      </c>
      <c r="P15" s="863"/>
      <c r="Q15" s="1382">
        <f>SUM(Q12:Q14)</f>
        <v>0</v>
      </c>
      <c r="R15" s="1382">
        <f>SUM(R12:R14)</f>
        <v>0</v>
      </c>
      <c r="S15" s="1382"/>
      <c r="T15" s="1381">
        <f>SUM(T12:T14)</f>
        <v>0</v>
      </c>
      <c r="AA15" s="2809">
        <f>SUM(Z12:Z14)-SUM(Y12:Y14)</f>
        <v>0</v>
      </c>
    </row>
    <row r="16" spans="1:34">
      <c r="A16" s="832"/>
      <c r="B16" s="832"/>
      <c r="C16" s="832"/>
      <c r="D16" s="832"/>
      <c r="E16" s="832"/>
      <c r="F16" s="1111"/>
      <c r="G16" s="1111"/>
      <c r="H16" s="834"/>
      <c r="I16" s="832"/>
      <c r="J16" s="1111"/>
      <c r="K16" s="837"/>
      <c r="L16" s="837"/>
      <c r="M16" s="835"/>
      <c r="N16" s="835"/>
      <c r="O16" s="835"/>
      <c r="P16" s="835"/>
      <c r="Q16" s="1385"/>
      <c r="R16" s="1385"/>
      <c r="S16" s="835"/>
    </row>
    <row r="17" spans="1:27">
      <c r="B17" s="838" t="s">
        <v>371</v>
      </c>
      <c r="C17" s="839"/>
      <c r="D17" s="840"/>
      <c r="E17" s="840"/>
      <c r="F17" s="1121"/>
      <c r="G17" s="1121"/>
      <c r="H17" s="842"/>
      <c r="I17" s="841"/>
      <c r="J17" s="1121"/>
      <c r="K17" s="841"/>
      <c r="L17" s="841"/>
      <c r="M17" s="841"/>
      <c r="N17" s="841"/>
      <c r="O17" s="841"/>
      <c r="P17" s="841"/>
      <c r="Q17" s="1386"/>
      <c r="R17" s="1386"/>
      <c r="S17" s="1386"/>
      <c r="T17" s="1387"/>
    </row>
    <row r="18" spans="1:27" ht="13.5" thickBot="1">
      <c r="B18" s="832"/>
      <c r="C18" s="833"/>
      <c r="D18" s="833"/>
      <c r="E18" s="833"/>
      <c r="F18" s="3888" t="s">
        <v>372</v>
      </c>
      <c r="G18" s="3888"/>
      <c r="H18" s="3888"/>
      <c r="I18" s="3888"/>
      <c r="J18" s="3888"/>
      <c r="K18" s="3888"/>
      <c r="L18" s="837"/>
      <c r="M18" s="3887" t="s">
        <v>336</v>
      </c>
      <c r="N18" s="3887"/>
      <c r="O18" s="3887"/>
      <c r="P18" s="843"/>
      <c r="Q18" s="1378" t="s">
        <v>2</v>
      </c>
      <c r="R18" s="1378"/>
      <c r="S18" s="1378"/>
      <c r="T18" s="1379"/>
    </row>
    <row r="19" spans="1:27">
      <c r="B19" s="844"/>
      <c r="C19" s="845" t="s">
        <v>337</v>
      </c>
      <c r="D19" s="845" t="s">
        <v>338</v>
      </c>
      <c r="E19" s="846" t="s">
        <v>339</v>
      </c>
      <c r="F19" s="1122" t="s">
        <v>340</v>
      </c>
      <c r="G19" s="3892" t="s">
        <v>673</v>
      </c>
      <c r="H19" s="3892"/>
      <c r="I19" s="832"/>
      <c r="J19" s="3893" t="s">
        <v>672</v>
      </c>
      <c r="K19" s="3893"/>
      <c r="L19" s="837"/>
      <c r="M19" s="847" t="s">
        <v>340</v>
      </c>
      <c r="N19" s="3886" t="s">
        <v>341</v>
      </c>
      <c r="O19" s="3886"/>
      <c r="P19" s="832"/>
      <c r="Q19" s="3891"/>
      <c r="R19" s="3891"/>
      <c r="T19" s="1085" t="s">
        <v>343</v>
      </c>
      <c r="Y19" s="1872" t="s">
        <v>844</v>
      </c>
      <c r="Z19" s="1902"/>
    </row>
    <row r="20" spans="1:27" ht="13.5" thickBot="1">
      <c r="B20" s="844"/>
      <c r="C20" s="845" t="s">
        <v>345</v>
      </c>
      <c r="D20" s="845" t="s">
        <v>345</v>
      </c>
      <c r="E20" s="846" t="s">
        <v>346</v>
      </c>
      <c r="F20" s="1122" t="s">
        <v>347</v>
      </c>
      <c r="G20" s="1123" t="s">
        <v>341</v>
      </c>
      <c r="H20" s="849" t="s">
        <v>348</v>
      </c>
      <c r="I20" s="850"/>
      <c r="J20" s="1130" t="s">
        <v>341</v>
      </c>
      <c r="K20" s="852" t="s">
        <v>348</v>
      </c>
      <c r="L20" s="837"/>
      <c r="M20" s="853"/>
      <c r="N20" s="854" t="s">
        <v>674</v>
      </c>
      <c r="O20" s="851" t="s">
        <v>675</v>
      </c>
      <c r="P20" s="855"/>
      <c r="Q20" s="848" t="s">
        <v>674</v>
      </c>
      <c r="R20" s="851" t="s">
        <v>675</v>
      </c>
      <c r="S20" s="850"/>
      <c r="T20" s="1086"/>
      <c r="Y20" s="1913" t="s">
        <v>674</v>
      </c>
      <c r="Z20" s="1913" t="s">
        <v>675</v>
      </c>
    </row>
    <row r="21" spans="1:27" ht="13.5" thickBot="1">
      <c r="B21" s="844" t="s">
        <v>373</v>
      </c>
      <c r="C21" s="856">
        <v>0.2</v>
      </c>
      <c r="D21" s="2346">
        <f>IF('7. Inputs'!K140="",'7. Inputs'!I140,'7. Inputs'!K140)</f>
        <v>0.2</v>
      </c>
      <c r="E21" s="857" t="s">
        <v>354</v>
      </c>
      <c r="F21" s="2574">
        <f>'7. Inputs'!H16/0.467</f>
        <v>0</v>
      </c>
      <c r="G21" s="2574">
        <f>'7. Inputs'!I16/0.467</f>
        <v>0</v>
      </c>
      <c r="H21" s="2371" t="str">
        <f>VLOOKUP('7. Inputs'!J16,List!$D$35:$E$37,2,)</f>
        <v>Linear</v>
      </c>
      <c r="I21" s="832"/>
      <c r="J21" s="2575">
        <f>'7. Inputs'!K16/0.467</f>
        <v>0</v>
      </c>
      <c r="K21" s="2371" t="str">
        <f>VLOOKUP('7. Inputs'!L16,List!$D$35:$E$37,2,)</f>
        <v>Linear</v>
      </c>
      <c r="L21" s="837"/>
      <c r="M21" s="858">
        <f>IF($E21="YES",$C21,$D21)*F21*44/12</f>
        <v>0</v>
      </c>
      <c r="N21" s="1126">
        <f>IF($E21="YES",$C21,$D21)*G21*44/12</f>
        <v>0</v>
      </c>
      <c r="O21" s="1126">
        <f>IF($E21="YES",$C21,$D21)*J21*44/12</f>
        <v>0</v>
      </c>
      <c r="P21" s="832"/>
      <c r="Q21" s="1371">
        <f>MIN(M21,N21)*time_tot+ABS(N21-M21)*IF(N21&gt;M21,time2+time*(VLOOKUP(H21,List!$E$35:$F$37,2,)),time*(1-(VLOOKUP(H21,List!$E$35:$F$37,2,))))</f>
        <v>0</v>
      </c>
      <c r="R21" s="1371">
        <f>MIN(M21,O21)*time_tot+ABS(O21-M21)*IF(O21&gt;M21,time2+time*(VLOOKUP(K21,List!$E$35:$F$37,2,)),time*(1-(VLOOKUP(K21,List!$E$35:$F$37,2,))))</f>
        <v>0</v>
      </c>
      <c r="T21" s="1380">
        <f>R21-Q21</f>
        <v>0</v>
      </c>
      <c r="Y21" s="1914">
        <f>MIN(M21,N21)*time+ABS(N21-M21)*IF(N21&gt;M21,time*(VLOOKUP(H21,List!$E$35:$F$37,2,)),time*(1-(VLOOKUP(H21,List!$E$35:$F$37,2,))))</f>
        <v>0</v>
      </c>
      <c r="Z21" s="1914">
        <f>MIN(M21,O21)*time+ABS(O21-M21)*IF(O21&gt;M21,time*(VLOOKUP(K21,List!$E$35:$F$37,2,)),time*(1-(VLOOKUP(K21,List!$E$35:$F$37,2,))))</f>
        <v>0</v>
      </c>
    </row>
    <row r="22" spans="1:27">
      <c r="A22" s="832"/>
      <c r="B22" s="832"/>
      <c r="C22" s="832"/>
      <c r="D22" s="832"/>
      <c r="E22" s="832"/>
      <c r="F22" s="1111"/>
      <c r="G22" s="1111"/>
      <c r="H22" s="834"/>
      <c r="I22" s="832"/>
      <c r="J22" s="1111"/>
      <c r="K22" s="861" t="s">
        <v>681</v>
      </c>
      <c r="L22" s="862"/>
      <c r="M22" s="863">
        <f>SUM(M21:M21)</f>
        <v>0</v>
      </c>
      <c r="N22" s="1382">
        <f>SUM(N21:N21)</f>
        <v>0</v>
      </c>
      <c r="O22" s="1382">
        <f>SUM(O21:O21)</f>
        <v>0</v>
      </c>
      <c r="P22" s="1382"/>
      <c r="Q22" s="1382">
        <f>SUM(Q21:Q21)</f>
        <v>0</v>
      </c>
      <c r="R22" s="1382">
        <f>SUM(R21:R21)</f>
        <v>0</v>
      </c>
      <c r="S22" s="1382"/>
      <c r="T22" s="1381">
        <f>SUM(T21:T21)</f>
        <v>0</v>
      </c>
      <c r="AA22" s="2809">
        <f>Z21-Y21</f>
        <v>0</v>
      </c>
    </row>
    <row r="23" spans="1:27">
      <c r="B23" s="832"/>
      <c r="C23" s="833"/>
      <c r="D23" s="833"/>
      <c r="E23" s="833"/>
      <c r="F23" s="1111"/>
      <c r="G23" s="1111"/>
      <c r="H23" s="834"/>
      <c r="I23" s="864"/>
      <c r="J23" s="1111"/>
      <c r="K23" s="832"/>
      <c r="L23" s="832"/>
      <c r="M23" s="832"/>
      <c r="N23" s="832"/>
      <c r="O23" s="832"/>
      <c r="P23" s="832"/>
      <c r="Q23" s="832"/>
      <c r="R23" s="832"/>
    </row>
    <row r="24" spans="1:27" ht="15.75">
      <c r="B24" s="838" t="s">
        <v>1275</v>
      </c>
      <c r="C24" s="840"/>
      <c r="D24" s="840"/>
      <c r="E24" s="840"/>
      <c r="F24" s="1121"/>
      <c r="G24" s="1121"/>
      <c r="H24" s="842"/>
      <c r="I24" s="841"/>
      <c r="J24" s="1121"/>
      <c r="K24" s="841"/>
      <c r="L24" s="841"/>
      <c r="M24" s="841"/>
      <c r="N24" s="841"/>
      <c r="O24" s="841"/>
      <c r="P24" s="841"/>
      <c r="Q24" s="1386"/>
      <c r="R24" s="1386"/>
      <c r="S24" s="1386"/>
      <c r="T24" s="1387"/>
    </row>
    <row r="25" spans="1:27" ht="13.5" thickBot="1">
      <c r="B25" s="832"/>
      <c r="C25" s="833"/>
      <c r="D25" s="833"/>
      <c r="E25" s="833"/>
      <c r="F25" s="1235"/>
      <c r="G25" s="1124" t="s">
        <v>846</v>
      </c>
      <c r="H25" s="834"/>
      <c r="I25" s="832"/>
      <c r="J25" s="1111"/>
      <c r="K25" s="832"/>
      <c r="L25" s="832"/>
      <c r="M25" s="3887" t="s">
        <v>336</v>
      </c>
      <c r="N25" s="3887"/>
      <c r="O25" s="3887"/>
      <c r="P25" s="832"/>
      <c r="Q25" s="1378" t="s">
        <v>2</v>
      </c>
      <c r="R25" s="1378"/>
      <c r="S25" s="1378"/>
      <c r="T25" s="1379"/>
    </row>
    <row r="26" spans="1:27">
      <c r="B26" s="844" t="s">
        <v>374</v>
      </c>
      <c r="C26" s="845" t="s">
        <v>337</v>
      </c>
      <c r="D26" s="845" t="s">
        <v>338</v>
      </c>
      <c r="E26" s="846" t="s">
        <v>339</v>
      </c>
      <c r="F26" s="1122" t="s">
        <v>340</v>
      </c>
      <c r="G26" s="3889" t="s">
        <v>673</v>
      </c>
      <c r="H26" s="3889"/>
      <c r="I26" s="832"/>
      <c r="J26" s="3890" t="s">
        <v>672</v>
      </c>
      <c r="K26" s="3890"/>
      <c r="L26" s="832"/>
      <c r="M26" s="847" t="s">
        <v>340</v>
      </c>
      <c r="N26" s="3886" t="s">
        <v>341</v>
      </c>
      <c r="O26" s="3886"/>
      <c r="P26" s="832"/>
      <c r="Q26" s="3891"/>
      <c r="R26" s="3891"/>
      <c r="T26" s="1085" t="s">
        <v>343</v>
      </c>
      <c r="Y26" s="1872" t="s">
        <v>844</v>
      </c>
      <c r="Z26" s="1902"/>
    </row>
    <row r="27" spans="1:27">
      <c r="B27" s="844"/>
      <c r="C27" s="845" t="s">
        <v>345</v>
      </c>
      <c r="D27" s="845" t="s">
        <v>345</v>
      </c>
      <c r="E27" s="846" t="s">
        <v>346</v>
      </c>
      <c r="F27" s="1122" t="s">
        <v>347</v>
      </c>
      <c r="G27" s="1123" t="s">
        <v>341</v>
      </c>
      <c r="H27" s="849" t="s">
        <v>348</v>
      </c>
      <c r="I27" s="850"/>
      <c r="J27" s="1130">
        <v>0</v>
      </c>
      <c r="K27" s="852" t="s">
        <v>348</v>
      </c>
      <c r="L27" s="832"/>
      <c r="M27" s="853"/>
      <c r="N27" s="854" t="s">
        <v>674</v>
      </c>
      <c r="O27" s="851" t="s">
        <v>675</v>
      </c>
      <c r="P27" s="855"/>
      <c r="Q27" s="848" t="s">
        <v>674</v>
      </c>
      <c r="R27" s="851" t="s">
        <v>675</v>
      </c>
      <c r="S27" s="850"/>
      <c r="T27" s="1086"/>
      <c r="Y27" s="1913" t="s">
        <v>674</v>
      </c>
      <c r="Z27" s="1913" t="s">
        <v>675</v>
      </c>
    </row>
    <row r="28" spans="1:27" ht="13.5" thickBot="1">
      <c r="B28" s="844" t="s">
        <v>373</v>
      </c>
      <c r="C28" s="856">
        <v>0.01</v>
      </c>
      <c r="D28" s="2375">
        <f>IF('7. Inputs'!Q140="",'7. Inputs'!P140,'7. Inputs'!Q140)</f>
        <v>0.01</v>
      </c>
      <c r="E28" s="857" t="s">
        <v>354</v>
      </c>
      <c r="F28" s="1120">
        <f>28*F21/60</f>
        <v>0</v>
      </c>
      <c r="G28" s="1120">
        <f>28*G21/60</f>
        <v>0</v>
      </c>
      <c r="H28" s="1115" t="str">
        <f>H21</f>
        <v>Linear</v>
      </c>
      <c r="I28" s="850"/>
      <c r="J28" s="1120">
        <f>28*J21/60</f>
        <v>0</v>
      </c>
      <c r="K28" s="870" t="str">
        <f>K21</f>
        <v>Linear</v>
      </c>
      <c r="L28" s="832"/>
      <c r="M28" s="859">
        <f>IF($E28="YES",$C28,$D28)*(Nitrous*F28)*(44/28)</f>
        <v>0</v>
      </c>
      <c r="N28" s="859">
        <f t="shared" ref="M28:N32" si="1">IF($E28="YES",$C28,$D28)*(Nitrous*G28)*(44/28)</f>
        <v>0</v>
      </c>
      <c r="O28" s="859">
        <f>IF($E28="YES",$C28,$D28)*(Nitrous*J28)*(44/28)</f>
        <v>0</v>
      </c>
      <c r="P28" s="832"/>
      <c r="Q28" s="1371">
        <f>MIN(M28,N28)*time_tot+ABS(N28-M28)*IF(N28&gt;M28,time2+time*(VLOOKUP(H28,List!$E$35:$F$37,2,)),time*(1-(VLOOKUP(H28,List!$E$35:$F$37,2,))))</f>
        <v>0</v>
      </c>
      <c r="R28" s="1371">
        <f>MIN(M28,O28)*time_tot+ABS(O28-M28)*IF(O28&gt;M28,time2+time*(VLOOKUP(K28,List!$E$35:$F$37,2,)),time*(1-(VLOOKUP(K28,List!$E$35:$F$37,2,))))</f>
        <v>0</v>
      </c>
      <c r="T28" s="1380">
        <f>R28-Q28</f>
        <v>0</v>
      </c>
      <c r="Y28" s="1914">
        <f>MIN(M28,N28)*time+ABS(N28-M28)*IF(N28&gt;M28,time*(VLOOKUP(H28,List!$E$35:$F$37,2,)),time*(1-(VLOOKUP(H28,List!$E$35:$F$37,2,))))</f>
        <v>0</v>
      </c>
      <c r="Z28" s="1914">
        <f>MIN(M28,O28)*time+ABS(O28-M28)*IF(O28&gt;M28,time*(VLOOKUP(K28,List!$E$35:$F$37,2,)),time*(1-(VLOOKUP(K28,List!$E$35:$F$37,2,))))</f>
        <v>0</v>
      </c>
    </row>
    <row r="29" spans="1:27" ht="13.5" thickBot="1">
      <c r="B29" s="844" t="s">
        <v>85</v>
      </c>
      <c r="C29" s="856">
        <v>0.01</v>
      </c>
      <c r="D29" s="2375">
        <f>IF('7. Inputs'!Q141="",'7. Inputs'!P141,'7. Inputs'!Q141)</f>
        <v>0.01</v>
      </c>
      <c r="E29" s="857" t="s">
        <v>354</v>
      </c>
      <c r="F29" s="1962">
        <f>'7. Inputs'!H17</f>
        <v>0</v>
      </c>
      <c r="G29" s="1962">
        <f>'7. Inputs'!I17</f>
        <v>0</v>
      </c>
      <c r="H29" s="2371" t="str">
        <f>VLOOKUP('7. Inputs'!J17,List!$D$35:$E$37,2,)</f>
        <v>Linear</v>
      </c>
      <c r="I29" s="832"/>
      <c r="J29" s="1964">
        <f>'7. Inputs'!K17</f>
        <v>0</v>
      </c>
      <c r="K29" s="2371" t="str">
        <f>VLOOKUP('7. Inputs'!L17,List!$D$35:$E$37,2,)</f>
        <v>Linear</v>
      </c>
      <c r="L29" s="832"/>
      <c r="M29" s="859">
        <f t="shared" si="1"/>
        <v>0</v>
      </c>
      <c r="N29" s="859">
        <f t="shared" si="1"/>
        <v>0</v>
      </c>
      <c r="O29" s="859">
        <f>IF($E29="YES",$C29,$D29)*(Nitrous*J29)*(44/28)</f>
        <v>0</v>
      </c>
      <c r="P29" s="832"/>
      <c r="Q29" s="1371">
        <f>MIN(M29,N29)*time_tot+ABS(N29-M29)*IF(N29&gt;M29,time2+time*(VLOOKUP(H29,List!$E$35:$F$37,2,)),time*(1-(VLOOKUP(H29,List!$E$35:$F$37,2,))))</f>
        <v>0</v>
      </c>
      <c r="R29" s="1371">
        <f>MIN(M29,O29)*time_tot+ABS(O29-M29)*IF(O29&gt;M29,time2+time*(VLOOKUP(K29,List!$E$35:$F$37,2,)),time*(1-(VLOOKUP(K29,List!$E$35:$F$37,2,))))</f>
        <v>0</v>
      </c>
      <c r="T29" s="1380">
        <f>R29-Q29</f>
        <v>0</v>
      </c>
      <c r="Y29" s="1914">
        <f>MIN(M29,N29)*time+ABS(N29-M29)*IF(N29&gt;M29,time*(VLOOKUP(H29,List!$E$35:$F$37,2,)),time*(1-(VLOOKUP(H29,List!$E$35:$F$37,2,))))</f>
        <v>0</v>
      </c>
      <c r="Z29" s="1914">
        <f>MIN(M29,O29)*time+ABS(O29-M29)*IF(O29&gt;M29,time*(VLOOKUP(K29,List!$E$35:$F$37,2,)),time*(1-(VLOOKUP(K29,List!$E$35:$F$37,2,))))</f>
        <v>0</v>
      </c>
    </row>
    <row r="30" spans="1:27" ht="13.5" thickBot="1">
      <c r="B30" s="844" t="s">
        <v>677</v>
      </c>
      <c r="C30" s="856">
        <v>3.0000000000000001E-3</v>
      </c>
      <c r="D30" s="2375">
        <f>IF('7. Inputs'!Q142="",'7. Inputs'!P142,'7. Inputs'!Q142)</f>
        <v>3.0000000000000001E-3</v>
      </c>
      <c r="E30" s="857" t="s">
        <v>354</v>
      </c>
      <c r="F30" s="1962">
        <f>'7. Inputs'!H18</f>
        <v>0</v>
      </c>
      <c r="G30" s="1962">
        <f>'7. Inputs'!I18</f>
        <v>0</v>
      </c>
      <c r="H30" s="2371" t="str">
        <f>VLOOKUP('7. Inputs'!J18,List!$D$35:$E$37,2,)</f>
        <v>Linear</v>
      </c>
      <c r="I30" s="832"/>
      <c r="J30" s="1964">
        <f>'7. Inputs'!K18</f>
        <v>0</v>
      </c>
      <c r="K30" s="2371" t="str">
        <f>VLOOKUP('7. Inputs'!L18,List!$D$35:$E$37,2,)</f>
        <v>Linear</v>
      </c>
      <c r="L30" s="832"/>
      <c r="M30" s="859">
        <f t="shared" si="1"/>
        <v>0</v>
      </c>
      <c r="N30" s="859">
        <f t="shared" si="1"/>
        <v>0</v>
      </c>
      <c r="O30" s="859">
        <f>IF($E30="YES",$C30,$D30)*(Nitrous*J30)*(44/28)</f>
        <v>0</v>
      </c>
      <c r="P30" s="832"/>
      <c r="Q30" s="1371">
        <f>MIN(M30,N30)*time_tot+ABS(N30-M30)*IF(N30&gt;M30,time2+time*(VLOOKUP(H30,List!$E$35:$F$37,2,)),time*(1-(VLOOKUP(H30,List!$E$35:$F$37,2,))))</f>
        <v>0</v>
      </c>
      <c r="R30" s="1371">
        <f>MIN(M30,O30)*time_tot+ABS(O30-M30)*IF(O30&gt;M30,time2+time*(VLOOKUP(K30,List!$E$35:$F$37,2,)),time*(1-(VLOOKUP(K30,List!$E$35:$F$37,2,))))</f>
        <v>0</v>
      </c>
      <c r="T30" s="1380">
        <f>R30-Q30</f>
        <v>0</v>
      </c>
      <c r="Y30" s="1914">
        <f>MIN(M30,N30)*time+ABS(N30-M30)*IF(N30&gt;M30,time*(VLOOKUP(H30,List!$E$35:$F$37,2,)),time*(1-(VLOOKUP(H30,List!$E$35:$F$37,2,))))</f>
        <v>0</v>
      </c>
      <c r="Z30" s="1914">
        <f>MIN(M30,O30)*time+ABS(O30-M30)*IF(O30&gt;M30,time*(VLOOKUP(K30,List!$E$35:$F$37,2,)),time*(1-(VLOOKUP(K30,List!$E$35:$F$37,2,))))</f>
        <v>0</v>
      </c>
    </row>
    <row r="31" spans="1:27" ht="13.5" thickBot="1">
      <c r="B31" s="844" t="s">
        <v>375</v>
      </c>
      <c r="C31" s="856">
        <v>0.01</v>
      </c>
      <c r="D31" s="2375">
        <f>IF('7. Inputs'!Q143="",'7. Inputs'!P143,'7. Inputs'!Q143)</f>
        <v>0.01</v>
      </c>
      <c r="E31" s="857" t="s">
        <v>354</v>
      </c>
      <c r="F31" s="1962">
        <f>'7. Inputs'!H19</f>
        <v>0</v>
      </c>
      <c r="G31" s="1962">
        <f>'7. Inputs'!I19</f>
        <v>0</v>
      </c>
      <c r="H31" s="2371" t="str">
        <f>VLOOKUP('7. Inputs'!J19,List!$D$35:$E$37,2,)</f>
        <v>Linear</v>
      </c>
      <c r="I31" s="832"/>
      <c r="J31" s="1964">
        <f>'7. Inputs'!K19</f>
        <v>0</v>
      </c>
      <c r="K31" s="2371" t="str">
        <f>VLOOKUP('7. Inputs'!L19,List!$D$35:$E$37,2,)</f>
        <v>Linear</v>
      </c>
      <c r="L31" s="832"/>
      <c r="M31" s="859">
        <f t="shared" si="1"/>
        <v>0</v>
      </c>
      <c r="N31" s="859">
        <f t="shared" si="1"/>
        <v>0</v>
      </c>
      <c r="O31" s="859">
        <f>IF($E31="YES",$C31,$D31)*(Nitrous*J31)*(44/28)</f>
        <v>0</v>
      </c>
      <c r="P31" s="832"/>
      <c r="Q31" s="1371">
        <f>MIN(M31,N31)*time_tot+ABS(N31-M31)*IF(N31&gt;M31,time2+time*(VLOOKUP(H31,List!$E$35:$F$37,2,)),time*(1-(VLOOKUP(H31,List!$E$35:$F$37,2,))))</f>
        <v>0</v>
      </c>
      <c r="R31" s="1371">
        <f>MIN(M31,O31)*time_tot+ABS(O31-M31)*IF(O31&gt;M31,time2+time*(VLOOKUP(K31,List!$E$35:$F$37,2,)),time*(1-(VLOOKUP(K31,List!$E$35:$F$37,2,))))</f>
        <v>0</v>
      </c>
      <c r="T31" s="1380">
        <f>R31-Q31</f>
        <v>0</v>
      </c>
      <c r="Y31" s="1914">
        <f>MIN(M31,N31)*time+ABS(N31-M31)*IF(N31&gt;M31,time*(VLOOKUP(H31,List!$E$35:$F$37,2,)),time*(1-(VLOOKUP(H31,List!$E$35:$F$37,2,))))</f>
        <v>0</v>
      </c>
      <c r="Z31" s="1914">
        <f>MIN(M31,O31)*time+ABS(O31-M31)*IF(O31&gt;M31,time*(VLOOKUP(K31,List!$E$35:$F$37,2,)),time*(1-(VLOOKUP(K31,List!$E$35:$F$37,2,))))</f>
        <v>0</v>
      </c>
    </row>
    <row r="32" spans="1:27">
      <c r="B32" s="865" t="s">
        <v>376</v>
      </c>
      <c r="C32" s="856">
        <v>0.01</v>
      </c>
      <c r="D32" s="2375">
        <f>IF('7. Inputs'!Q144="",'7. Inputs'!P144,'7. Inputs'!Q144)</f>
        <v>0.01</v>
      </c>
      <c r="E32" s="857" t="s">
        <v>354</v>
      </c>
      <c r="F32" s="1962">
        <f>'7. Inputs'!H20</f>
        <v>0</v>
      </c>
      <c r="G32" s="1962">
        <f>'7. Inputs'!I20</f>
        <v>0</v>
      </c>
      <c r="H32" s="2371" t="str">
        <f>VLOOKUP('7. Inputs'!J20,List!$D$35:$E$37,2,)</f>
        <v>Linear</v>
      </c>
      <c r="I32" s="832"/>
      <c r="J32" s="1964">
        <f>'7. Inputs'!K20</f>
        <v>0</v>
      </c>
      <c r="K32" s="2371" t="str">
        <f>VLOOKUP('7. Inputs'!L20,List!$D$35:$E$37,2,)</f>
        <v>Linear</v>
      </c>
      <c r="L32" s="832"/>
      <c r="M32" s="859">
        <f t="shared" si="1"/>
        <v>0</v>
      </c>
      <c r="N32" s="859">
        <f t="shared" si="1"/>
        <v>0</v>
      </c>
      <c r="O32" s="859">
        <f>IF($E32="YES",$C32,$D32)*(Nitrous*J32)*(44/28)</f>
        <v>0</v>
      </c>
      <c r="P32" s="832"/>
      <c r="Q32" s="1371">
        <f>MIN(M32,N32)*time_tot+ABS(N32-M32)*IF(N32&gt;M32,time2+time*(VLOOKUP(H32,List!$E$35:$F$37,2,)),time*(1-(VLOOKUP(H32,List!$E$35:$F$37,2,))))</f>
        <v>0</v>
      </c>
      <c r="R32" s="1371">
        <f>MIN(M32,O32)*time_tot+ABS(O32-M32)*IF(O32&gt;M32,time2+time*(VLOOKUP(K32,List!$E$35:$F$37,2,)),time*(1-(VLOOKUP(K32,List!$E$35:$F$37,2,))))</f>
        <v>0</v>
      </c>
      <c r="T32" s="1380">
        <f>R32-Q32</f>
        <v>0</v>
      </c>
      <c r="Y32" s="1914">
        <f>MIN(M32,N32)*time+ABS(N32-M32)*IF(N32&gt;M32,time*(VLOOKUP(H32,List!$E$35:$F$37,2,)),time*(1-(VLOOKUP(H32,List!$E$35:$F$37,2,))))</f>
        <v>0</v>
      </c>
      <c r="Z32" s="1914">
        <f>MIN(M32,O32)*time+ABS(O32-M32)*IF(O32&gt;M32,time*(VLOOKUP(K32,List!$E$35:$F$37,2,)),time*(1-(VLOOKUP(K32,List!$E$35:$F$37,2,))))</f>
        <v>0</v>
      </c>
    </row>
    <row r="33" spans="2:27">
      <c r="B33" s="1112" t="s">
        <v>86</v>
      </c>
      <c r="C33" s="1113"/>
      <c r="D33" s="1113"/>
      <c r="E33" s="831"/>
      <c r="F33" s="1125"/>
      <c r="G33" s="1125"/>
      <c r="H33" s="834"/>
      <c r="I33" s="832"/>
      <c r="J33" s="1111"/>
      <c r="K33" s="861" t="s">
        <v>682</v>
      </c>
      <c r="L33" s="862"/>
      <c r="M33" s="866">
        <f>SUM(M28:M32)</f>
        <v>0</v>
      </c>
      <c r="N33" s="866">
        <f>SUM(N28:N32)</f>
        <v>0</v>
      </c>
      <c r="O33" s="866">
        <f>SUM(O28:O32)</f>
        <v>0</v>
      </c>
      <c r="P33" s="832"/>
      <c r="Q33" s="1382">
        <f>SUM(Q28:Q32)</f>
        <v>0</v>
      </c>
      <c r="R33" s="1382">
        <f>SUM(R28:R32)</f>
        <v>0</v>
      </c>
      <c r="S33" s="1384"/>
      <c r="T33" s="1381">
        <f>SUM(T28:T32)</f>
        <v>0</v>
      </c>
      <c r="AA33" s="2809">
        <f>SUM(Z28:Z32)-SUM(Y28:Y32)</f>
        <v>0</v>
      </c>
    </row>
    <row r="34" spans="2:27">
      <c r="B34" s="832"/>
      <c r="C34" s="833"/>
      <c r="D34" s="833"/>
      <c r="E34" s="833"/>
      <c r="F34" s="1111"/>
      <c r="G34" s="1111"/>
      <c r="H34" s="834"/>
      <c r="I34" s="832"/>
      <c r="J34" s="1111"/>
      <c r="K34" s="832"/>
      <c r="L34" s="832"/>
      <c r="M34" s="832"/>
      <c r="N34" s="832"/>
      <c r="O34" s="832"/>
      <c r="P34" s="832"/>
      <c r="Q34" s="832"/>
      <c r="R34" s="832"/>
    </row>
    <row r="35" spans="2:27" ht="15.75">
      <c r="B35" s="838" t="s">
        <v>1261</v>
      </c>
      <c r="C35" s="839"/>
      <c r="D35" s="840"/>
      <c r="E35" s="840"/>
      <c r="F35" s="1121"/>
      <c r="G35" s="1121"/>
      <c r="H35" s="842"/>
      <c r="I35" s="841"/>
      <c r="J35" s="1121"/>
      <c r="K35" s="841"/>
      <c r="L35" s="841"/>
      <c r="M35" s="841"/>
      <c r="N35" s="841"/>
      <c r="O35" s="841"/>
      <c r="P35" s="841"/>
      <c r="Q35" s="1386"/>
      <c r="R35" s="1386"/>
      <c r="S35" s="1386"/>
      <c r="T35" s="1387"/>
    </row>
    <row r="36" spans="2:27" ht="13.5" thickBot="1">
      <c r="B36" s="832"/>
      <c r="C36" s="833"/>
      <c r="D36" s="833"/>
      <c r="E36" s="833"/>
      <c r="F36" s="1235"/>
      <c r="G36" s="1124" t="s">
        <v>377</v>
      </c>
      <c r="H36" s="834"/>
      <c r="I36" s="832"/>
      <c r="J36" s="1111"/>
      <c r="K36" s="832"/>
      <c r="L36" s="832"/>
      <c r="M36" s="832"/>
      <c r="N36" s="832"/>
      <c r="O36" s="832"/>
      <c r="P36" s="832"/>
      <c r="Q36" s="832"/>
      <c r="R36" s="832"/>
    </row>
    <row r="37" spans="2:27">
      <c r="B37" s="844" t="s">
        <v>1259</v>
      </c>
      <c r="C37" s="845" t="s">
        <v>339</v>
      </c>
      <c r="D37" s="845" t="s">
        <v>338</v>
      </c>
      <c r="E37" s="846" t="s">
        <v>339</v>
      </c>
      <c r="F37" s="1122" t="s">
        <v>340</v>
      </c>
      <c r="G37" s="3889" t="s">
        <v>673</v>
      </c>
      <c r="H37" s="3889"/>
      <c r="I37" s="832"/>
      <c r="J37" s="3890" t="s">
        <v>672</v>
      </c>
      <c r="K37" s="3890"/>
      <c r="L37" s="832"/>
      <c r="M37" s="847" t="s">
        <v>340</v>
      </c>
      <c r="N37" s="3886" t="s">
        <v>341</v>
      </c>
      <c r="O37" s="3886"/>
      <c r="P37" s="832"/>
      <c r="Q37" s="3891" t="s">
        <v>3</v>
      </c>
      <c r="R37" s="3891"/>
      <c r="T37" s="1085" t="s">
        <v>343</v>
      </c>
      <c r="Y37" s="1872" t="s">
        <v>844</v>
      </c>
      <c r="Z37" s="1902"/>
    </row>
    <row r="38" spans="2:27">
      <c r="B38" s="844"/>
      <c r="C38" s="845" t="s">
        <v>929</v>
      </c>
      <c r="D38" s="845" t="s">
        <v>345</v>
      </c>
      <c r="E38" s="846" t="s">
        <v>346</v>
      </c>
      <c r="F38" s="1122" t="s">
        <v>347</v>
      </c>
      <c r="G38" s="1123" t="s">
        <v>341</v>
      </c>
      <c r="H38" s="849" t="s">
        <v>348</v>
      </c>
      <c r="I38" s="850"/>
      <c r="J38" s="1130" t="s">
        <v>341</v>
      </c>
      <c r="K38" s="852" t="s">
        <v>348</v>
      </c>
      <c r="L38" s="832"/>
      <c r="M38" s="853"/>
      <c r="N38" s="854" t="s">
        <v>674</v>
      </c>
      <c r="O38" s="851" t="s">
        <v>675</v>
      </c>
      <c r="P38" s="855"/>
      <c r="Q38" s="848" t="s">
        <v>674</v>
      </c>
      <c r="R38" s="851" t="s">
        <v>675</v>
      </c>
      <c r="S38" s="850"/>
      <c r="T38" s="1086"/>
      <c r="Y38" s="1913" t="s">
        <v>674</v>
      </c>
      <c r="Z38" s="1913" t="s">
        <v>675</v>
      </c>
    </row>
    <row r="39" spans="2:27">
      <c r="B39" s="844" t="str">
        <f>B28</f>
        <v>Urea</v>
      </c>
      <c r="C39" s="867">
        <f>44*1.3/12</f>
        <v>4.7666666666666666</v>
      </c>
      <c r="D39" s="2378">
        <f>IF('7. Inputs'!X140="",'7. Inputs'!W140,'7. Inputs'!X140)</f>
        <v>4.7666666666666666</v>
      </c>
      <c r="E39" s="869" t="s">
        <v>354</v>
      </c>
      <c r="F39" s="1126">
        <f>F28</f>
        <v>0</v>
      </c>
      <c r="G39" s="1126">
        <f t="shared" ref="F39:H41" si="2">G28</f>
        <v>0</v>
      </c>
      <c r="H39" s="870" t="str">
        <f t="shared" si="2"/>
        <v>Linear</v>
      </c>
      <c r="I39" s="832"/>
      <c r="J39" s="1126">
        <f t="shared" ref="J39:K41" si="3">J28</f>
        <v>0</v>
      </c>
      <c r="K39" s="870" t="str">
        <f t="shared" si="3"/>
        <v>Linear</v>
      </c>
      <c r="L39" s="832"/>
      <c r="M39" s="859">
        <f t="shared" ref="M39:N41" si="4">IF($E39="YES",$C39,$D39)*F39</f>
        <v>0</v>
      </c>
      <c r="N39" s="859">
        <f t="shared" si="4"/>
        <v>0</v>
      </c>
      <c r="O39" s="859">
        <f>IF($E39="YES",$C39,$D39)*J39</f>
        <v>0</v>
      </c>
      <c r="P39" s="871"/>
      <c r="Q39" s="1371">
        <f>MIN(M39,N39)*time_tot+ABS(N39-M39)*IF(N39&gt;M39,time2+time*(VLOOKUP(H39,List!$E$35:$F$37,2,)),time*(1-(VLOOKUP(H39,List!$E$35:$F$37,2,))))</f>
        <v>0</v>
      </c>
      <c r="R39" s="1371">
        <f>MIN(M39,O39)*time_tot+ABS(O39-M39)*IF(O39&gt;M39,time2+time*(VLOOKUP(K39,List!$E$35:$F$37,2,)),time*(1-(VLOOKUP(K39,List!$E$35:$F$37,2,))))</f>
        <v>0</v>
      </c>
      <c r="T39" s="1380">
        <f t="shared" ref="T39:T49" si="5">R39-Q39</f>
        <v>0</v>
      </c>
      <c r="Y39" s="1914">
        <f>MIN(M39,N39)*time+ABS(N39-M39)*IF(N39&gt;M39,time*(VLOOKUP(H39,List!$E$35:$F$37,2,)),time*(1-(VLOOKUP(H39,List!$E$35:$F$37,2,))))</f>
        <v>0</v>
      </c>
      <c r="Z39" s="1914">
        <f>MIN(M39,O39)*time+ABS(O39-M39)*IF(O39&gt;M39,time*(VLOOKUP(K39,List!$E$35:$F$37,2,)),time*(1-(VLOOKUP(K39,List!$E$35:$F$37,2,))))</f>
        <v>0</v>
      </c>
    </row>
    <row r="40" spans="2:27">
      <c r="B40" s="844" t="str">
        <f>B29</f>
        <v>N Fertiliser (other than Urea)</v>
      </c>
      <c r="C40" s="867">
        <f>C39</f>
        <v>4.7666666666666666</v>
      </c>
      <c r="D40" s="2378">
        <f>IF('7. Inputs'!X141="",'7. Inputs'!W141,'7. Inputs'!X141)</f>
        <v>4.7666666666666666</v>
      </c>
      <c r="E40" s="869" t="s">
        <v>354</v>
      </c>
      <c r="F40" s="1126">
        <f t="shared" si="2"/>
        <v>0</v>
      </c>
      <c r="G40" s="1126">
        <f t="shared" si="2"/>
        <v>0</v>
      </c>
      <c r="H40" s="870" t="str">
        <f t="shared" si="2"/>
        <v>Linear</v>
      </c>
      <c r="I40" s="832"/>
      <c r="J40" s="1126">
        <f t="shared" si="3"/>
        <v>0</v>
      </c>
      <c r="K40" s="870" t="str">
        <f t="shared" si="3"/>
        <v>Linear</v>
      </c>
      <c r="L40" s="832"/>
      <c r="M40" s="859">
        <f t="shared" si="4"/>
        <v>0</v>
      </c>
      <c r="N40" s="859">
        <f t="shared" si="4"/>
        <v>0</v>
      </c>
      <c r="O40" s="859">
        <f>IF($E40="YES",$C40,$D40)*J40</f>
        <v>0</v>
      </c>
      <c r="P40" s="871"/>
      <c r="Q40" s="1371">
        <f>MIN(M40,N40)*time_tot+ABS(N40-M40)*IF(N40&gt;M40,time2+time*(VLOOKUP(H40,List!$E$35:$F$37,2,)),time*(1-(VLOOKUP(H40,List!$E$35:$F$37,2,))))</f>
        <v>0</v>
      </c>
      <c r="R40" s="1371">
        <f>MIN(M40,O40)*time_tot+ABS(O40-M40)*IF(O40&gt;M40,time2+time*(VLOOKUP(K40,List!$E$35:$F$37,2,)),time*(1-(VLOOKUP(K40,List!$E$35:$F$37,2,))))</f>
        <v>0</v>
      </c>
      <c r="T40" s="1380">
        <f>R40-Q40</f>
        <v>0</v>
      </c>
      <c r="Y40" s="1914">
        <f>MIN(M40,N40)*time+ABS(N40-M40)*IF(N40&gt;M40,time*(VLOOKUP(H40,List!$E$35:$F$37,2,)),time*(1-(VLOOKUP(H40,List!$E$35:$F$37,2,))))</f>
        <v>0</v>
      </c>
      <c r="Z40" s="1914">
        <f>MIN(M40,O40)*time+ABS(O40-M40)*IF(O40&gt;M40,time*(VLOOKUP(K40,List!$E$35:$F$37,2,)),time*(1-(VLOOKUP(K40,List!$E$35:$F$37,2,))))</f>
        <v>0</v>
      </c>
    </row>
    <row r="41" spans="2:27" ht="13.5" thickBot="1">
      <c r="B41" s="844" t="str">
        <f>B30</f>
        <v>N Fertiliser in non-upland Rice*</v>
      </c>
      <c r="C41" s="867">
        <f>C40</f>
        <v>4.7666666666666666</v>
      </c>
      <c r="D41" s="2378">
        <f>IF('7. Inputs'!X142="",'7. Inputs'!W142,'7. Inputs'!X142)</f>
        <v>4.7666666666666666</v>
      </c>
      <c r="E41" s="869" t="s">
        <v>354</v>
      </c>
      <c r="F41" s="1126">
        <f t="shared" si="2"/>
        <v>0</v>
      </c>
      <c r="G41" s="1126">
        <f t="shared" si="2"/>
        <v>0</v>
      </c>
      <c r="H41" s="870" t="str">
        <f t="shared" si="2"/>
        <v>Linear</v>
      </c>
      <c r="I41" s="832"/>
      <c r="J41" s="1126">
        <f t="shared" si="3"/>
        <v>0</v>
      </c>
      <c r="K41" s="870" t="str">
        <f t="shared" si="3"/>
        <v>Linear</v>
      </c>
      <c r="L41" s="832"/>
      <c r="M41" s="859">
        <f t="shared" si="4"/>
        <v>0</v>
      </c>
      <c r="N41" s="859">
        <f t="shared" si="4"/>
        <v>0</v>
      </c>
      <c r="O41" s="859">
        <f>IF($E41="YES",$C41,$D41)*J41</f>
        <v>0</v>
      </c>
      <c r="P41" s="871"/>
      <c r="Q41" s="1371">
        <f>MIN(M41,N41)*time_tot+ABS(N41-M41)*IF(N41&gt;M41,time2+time*(VLOOKUP(H41,List!$E$35:$F$37,2,)),time*(1-(VLOOKUP(H41,List!$E$35:$F$37,2,))))</f>
        <v>0</v>
      </c>
      <c r="R41" s="1371">
        <f>MIN(M41,O41)*time_tot+ABS(O41-M41)*IF(O41&gt;M41,time2+time*(VLOOKUP(K41,List!$E$35:$F$37,2,)),time*(1-(VLOOKUP(K41,List!$E$35:$F$37,2,))))</f>
        <v>0</v>
      </c>
      <c r="T41" s="1380">
        <f>R41-Q41</f>
        <v>0</v>
      </c>
      <c r="Y41" s="1914">
        <f>MIN(M41,N41)*time+ABS(N41-M41)*IF(N41&gt;M41,time*(VLOOKUP(H41,List!$E$35:$F$37,2,)),time*(1-(VLOOKUP(H41,List!$E$35:$F$37,2,))))</f>
        <v>0</v>
      </c>
      <c r="Z41" s="1914">
        <f>MIN(M41,O41)*time+ABS(O41-M41)*IF(O41&gt;M41,time*(VLOOKUP(K41,List!$E$35:$F$37,2,)),time*(1-(VLOOKUP(K41,List!$E$35:$F$37,2,))))</f>
        <v>0</v>
      </c>
    </row>
    <row r="42" spans="2:27" ht="13.5" thickBot="1">
      <c r="B42" s="844" t="s">
        <v>378</v>
      </c>
      <c r="C42" s="867">
        <f>44*0.2/12</f>
        <v>0.73333333333333339</v>
      </c>
      <c r="D42" s="2378">
        <f>IF('7. Inputs'!X145="",'7. Inputs'!W145,'7. Inputs'!X145)</f>
        <v>0.73333333333333339</v>
      </c>
      <c r="E42" s="869" t="s">
        <v>354</v>
      </c>
      <c r="F42" s="1962">
        <f>'7. Inputs'!H21</f>
        <v>0</v>
      </c>
      <c r="G42" s="1962">
        <f>'7. Inputs'!I21</f>
        <v>0</v>
      </c>
      <c r="H42" s="2371" t="str">
        <f>VLOOKUP('7. Inputs'!J21,List!$D$35:$E$37,2,)</f>
        <v>Linear</v>
      </c>
      <c r="I42" s="832"/>
      <c r="J42" s="1964">
        <f>'7. Inputs'!K21</f>
        <v>0</v>
      </c>
      <c r="K42" s="2371" t="str">
        <f>VLOOKUP('7. Inputs'!L21,List!$D$35:$E$37,2,)</f>
        <v>Linear</v>
      </c>
      <c r="L42" s="832"/>
      <c r="M42" s="859">
        <f t="shared" ref="M42:M49" si="6">IF($E42="YES",$C42,$D42)*F42</f>
        <v>0</v>
      </c>
      <c r="N42" s="859">
        <f t="shared" ref="N42:N49" si="7">IF($E42="YES",$C42,$D42)*G42</f>
        <v>0</v>
      </c>
      <c r="O42" s="859">
        <f t="shared" ref="O42:O49" si="8">IF($E42="YES",$C42,$D42)*J42</f>
        <v>0</v>
      </c>
      <c r="P42" s="871"/>
      <c r="Q42" s="1371">
        <f>MIN(M42,N42)*time_tot+ABS(N42-M42)*IF(N42&gt;M42,time2+time*(VLOOKUP(H42,List!$E$35:$F$37,2,)),time*(1-(VLOOKUP(H42,List!$E$35:$F$37,2,))))</f>
        <v>0</v>
      </c>
      <c r="R42" s="1371">
        <f>MIN(M42,O42)*time_tot+ABS(O42-M42)*IF(O42&gt;M42,time2+time*(VLOOKUP(K42,List!$E$35:$F$37,2,)),time*(1-(VLOOKUP(K42,List!$E$35:$F$37,2,))))</f>
        <v>0</v>
      </c>
      <c r="T42" s="1380">
        <f t="shared" si="5"/>
        <v>0</v>
      </c>
      <c r="Y42" s="1914">
        <f>MIN(M42,N42)*time+ABS(N42-M42)*IF(N42&gt;M42,time*(VLOOKUP(H42,List!$E$35:$F$37,2,)),time*(1-(VLOOKUP(H42,List!$E$35:$F$37,2,))))</f>
        <v>0</v>
      </c>
      <c r="Z42" s="1914">
        <f>MIN(M42,O42)*time+ABS(O42-M42)*IF(O42&gt;M42,time*(VLOOKUP(K42,List!$E$35:$F$37,2,)),time*(1-(VLOOKUP(K42,List!$E$35:$F$37,2,))))</f>
        <v>0</v>
      </c>
    </row>
    <row r="43" spans="2:27">
      <c r="B43" s="844" t="s">
        <v>379</v>
      </c>
      <c r="C43" s="867">
        <f>0.15*44/12</f>
        <v>0.54999999999999993</v>
      </c>
      <c r="D43" s="2378">
        <f>IF('7. Inputs'!X146="",'7. Inputs'!W146,'7. Inputs'!X146)</f>
        <v>0.54999999999999993</v>
      </c>
      <c r="E43" s="869" t="s">
        <v>354</v>
      </c>
      <c r="F43" s="1962">
        <f>'7. Inputs'!H22</f>
        <v>0</v>
      </c>
      <c r="G43" s="1962">
        <f>'7. Inputs'!I22</f>
        <v>0</v>
      </c>
      <c r="H43" s="2371" t="str">
        <f>VLOOKUP('7. Inputs'!J22,List!$D$35:$E$37,2,)</f>
        <v>Linear</v>
      </c>
      <c r="I43" s="832"/>
      <c r="J43" s="1964">
        <f>'7. Inputs'!K22</f>
        <v>0</v>
      </c>
      <c r="K43" s="2371" t="str">
        <f>VLOOKUP('7. Inputs'!L22,List!$D$35:$E$37,2,)</f>
        <v>Linear</v>
      </c>
      <c r="L43" s="832"/>
      <c r="M43" s="859">
        <f t="shared" si="6"/>
        <v>0</v>
      </c>
      <c r="N43" s="859">
        <f t="shared" si="7"/>
        <v>0</v>
      </c>
      <c r="O43" s="859">
        <f t="shared" si="8"/>
        <v>0</v>
      </c>
      <c r="P43" s="871"/>
      <c r="Q43" s="1371">
        <f>MIN(M43,N43)*time_tot+ABS(N43-M43)*IF(N43&gt;M43,time2+time*(VLOOKUP(H43,List!$E$35:$F$37,2,)),time*(1-(VLOOKUP(H43,List!$E$35:$F$37,2,))))</f>
        <v>0</v>
      </c>
      <c r="R43" s="1371">
        <f>MIN(M43,O43)*time_tot+ABS(O43-M43)*IF(O43&gt;M43,time2+time*(VLOOKUP(K43,List!$E$35:$F$37,2,)),time*(1-(VLOOKUP(K43,List!$E$35:$F$37,2,))))</f>
        <v>0</v>
      </c>
      <c r="T43" s="1380">
        <f t="shared" si="5"/>
        <v>0</v>
      </c>
      <c r="Y43" s="1914">
        <f>MIN(M43,N43)*time+ABS(N43-M43)*IF(N43&gt;M43,time*(VLOOKUP(H43,List!$E$35:$F$37,2,)),time*(1-(VLOOKUP(H43,List!$E$35:$F$37,2,))))</f>
        <v>0</v>
      </c>
      <c r="Z43" s="1914">
        <f>MIN(M43,O43)*time+ABS(O43-M43)*IF(O43&gt;M43,time*(VLOOKUP(K43,List!$E$35:$F$37,2,)),time*(1-(VLOOKUP(K43,List!$E$35:$F$37,2,))))</f>
        <v>0</v>
      </c>
    </row>
    <row r="44" spans="2:27">
      <c r="B44" s="844" t="s">
        <v>380</v>
      </c>
      <c r="C44" s="867">
        <f>0.16*44/12</f>
        <v>0.58666666666666667</v>
      </c>
      <c r="D44" s="2378">
        <f>IF('7. Inputs'!X136="",'7. Inputs'!W136,'7. Inputs'!X136)</f>
        <v>0.58666666666666667</v>
      </c>
      <c r="E44" s="869" t="s">
        <v>354</v>
      </c>
      <c r="F44" s="1126">
        <f t="shared" ref="F44:H46" si="9">F12</f>
        <v>0</v>
      </c>
      <c r="G44" s="1126">
        <f t="shared" si="9"/>
        <v>0</v>
      </c>
      <c r="H44" s="870" t="str">
        <f t="shared" si="9"/>
        <v>Linear</v>
      </c>
      <c r="I44" s="832"/>
      <c r="J44" s="1126">
        <f t="shared" ref="J44:K46" si="10">J12</f>
        <v>0</v>
      </c>
      <c r="K44" s="870" t="str">
        <f t="shared" si="10"/>
        <v>Linear</v>
      </c>
      <c r="L44" s="832"/>
      <c r="M44" s="859">
        <f t="shared" si="6"/>
        <v>0</v>
      </c>
      <c r="N44" s="859">
        <f t="shared" si="7"/>
        <v>0</v>
      </c>
      <c r="O44" s="859">
        <f t="shared" si="8"/>
        <v>0</v>
      </c>
      <c r="P44" s="871"/>
      <c r="Q44" s="1371">
        <f>MIN(M44,N44)*time_tot+ABS(N44-M44)*IF(N44&gt;M44,time2+time*(VLOOKUP(H44,List!$E$35:$F$37,2,)),time*(1-(VLOOKUP(H44,List!$E$35:$F$37,2,))))</f>
        <v>0</v>
      </c>
      <c r="R44" s="1371">
        <f>MIN(M44,O44)*time_tot+ABS(O44-M44)*IF(O44&gt;M44,time2+time*(VLOOKUP(K44,List!$E$35:$F$37,2,)),time*(1-(VLOOKUP(K44,List!$E$35:$F$37,2,))))</f>
        <v>0</v>
      </c>
      <c r="T44" s="1380">
        <f t="shared" si="5"/>
        <v>0</v>
      </c>
      <c r="Y44" s="1914">
        <f>MIN(M44,N44)*time+ABS(N44-M44)*IF(N44&gt;M44,time*(VLOOKUP(H44,List!$E$35:$F$37,2,)),time*(1-(VLOOKUP(H44,List!$E$35:$F$37,2,))))</f>
        <v>0</v>
      </c>
      <c r="Z44" s="1914">
        <f>MIN(M44,O44)*time+ABS(O44-M44)*IF(O44&gt;M44,time*(VLOOKUP(K44,List!$E$35:$F$37,2,)),time*(1-(VLOOKUP(K44,List!$E$35:$F$37,2,))))</f>
        <v>0</v>
      </c>
    </row>
    <row r="45" spans="2:27">
      <c r="B45" s="844" t="s">
        <v>381</v>
      </c>
      <c r="C45" s="867">
        <f>0.16*44/12</f>
        <v>0.58666666666666667</v>
      </c>
      <c r="D45" s="2378">
        <f>IF('7. Inputs'!X137="",'7. Inputs'!W137,'7. Inputs'!X137)</f>
        <v>0.58666666666666667</v>
      </c>
      <c r="E45" s="869" t="s">
        <v>354</v>
      </c>
      <c r="F45" s="1126">
        <f t="shared" si="9"/>
        <v>0</v>
      </c>
      <c r="G45" s="1126">
        <f t="shared" si="9"/>
        <v>0</v>
      </c>
      <c r="H45" s="870" t="str">
        <f t="shared" si="9"/>
        <v>Linear</v>
      </c>
      <c r="I45" s="832"/>
      <c r="J45" s="1126">
        <f t="shared" si="10"/>
        <v>0</v>
      </c>
      <c r="K45" s="870" t="str">
        <f t="shared" si="10"/>
        <v>Linear</v>
      </c>
      <c r="L45" s="832"/>
      <c r="M45" s="859">
        <f t="shared" si="6"/>
        <v>0</v>
      </c>
      <c r="N45" s="859">
        <f t="shared" si="7"/>
        <v>0</v>
      </c>
      <c r="O45" s="859">
        <f t="shared" si="8"/>
        <v>0</v>
      </c>
      <c r="P45" s="871"/>
      <c r="Q45" s="1371">
        <f>MIN(M45,N45)*time_tot+ABS(N45-M45)*IF(N45&gt;M45,time2+time*(VLOOKUP(H45,List!$E$35:$F$37,2,)),time*(1-(VLOOKUP(H45,List!$E$35:$F$37,2,))))</f>
        <v>0</v>
      </c>
      <c r="R45" s="1371">
        <f>MIN(M45,O45)*time_tot+ABS(O45-M45)*IF(O45&gt;M45,time2+time*(VLOOKUP(K45,List!$E$35:$F$37,2,)),time*(1-(VLOOKUP(K45,List!$E$35:$F$37,2,))))</f>
        <v>0</v>
      </c>
      <c r="T45" s="1380">
        <f t="shared" si="5"/>
        <v>0</v>
      </c>
      <c r="Y45" s="1914">
        <f>MIN(M45,N45)*time+ABS(N45-M45)*IF(N45&gt;M45,time*(VLOOKUP(H45,List!$E$35:$F$37,2,)),time*(1-(VLOOKUP(H45,List!$E$35:$F$37,2,))))</f>
        <v>0</v>
      </c>
      <c r="Z45" s="1914">
        <f>MIN(M45,O45)*time+ABS(O45-M45)*IF(O45&gt;M45,time*(VLOOKUP(K45,List!$E$35:$F$37,2,)),time*(1-(VLOOKUP(K45,List!$E$35:$F$37,2,))))</f>
        <v>0</v>
      </c>
    </row>
    <row r="46" spans="2:27" ht="13.5" thickBot="1">
      <c r="B46" s="844" t="s">
        <v>1276</v>
      </c>
      <c r="C46" s="867">
        <f>0.16*44/12</f>
        <v>0.58666666666666667</v>
      </c>
      <c r="D46" s="2378">
        <f>IF('7. Inputs'!X138="",'7. Inputs'!W138,'7. Inputs'!X138)</f>
        <v>0.58666666666666667</v>
      </c>
      <c r="E46" s="869" t="s">
        <v>354</v>
      </c>
      <c r="F46" s="1126">
        <f t="shared" si="9"/>
        <v>0</v>
      </c>
      <c r="G46" s="1126">
        <f t="shared" si="9"/>
        <v>0</v>
      </c>
      <c r="H46" s="870" t="str">
        <f t="shared" si="9"/>
        <v>Linear</v>
      </c>
      <c r="I46" s="832"/>
      <c r="J46" s="1126">
        <f t="shared" si="10"/>
        <v>0</v>
      </c>
      <c r="K46" s="870" t="str">
        <f t="shared" si="10"/>
        <v>Linear</v>
      </c>
      <c r="L46" s="832"/>
      <c r="M46" s="859">
        <f t="shared" si="6"/>
        <v>0</v>
      </c>
      <c r="N46" s="859">
        <f t="shared" si="7"/>
        <v>0</v>
      </c>
      <c r="O46" s="859">
        <f t="shared" si="8"/>
        <v>0</v>
      </c>
      <c r="P46" s="871"/>
      <c r="Q46" s="1371">
        <f>MIN(M46,N46)*time_tot+ABS(N46-M46)*IF(N46&gt;M46,time2+time*(VLOOKUP(H46,List!$E$35:$F$37,2,)),time*(1-(VLOOKUP(H46,List!$E$35:$F$37,2,))))</f>
        <v>0</v>
      </c>
      <c r="R46" s="1371">
        <f>MIN(M46,O46)*time_tot+ABS(O46-M46)*IF(O46&gt;M46,time2+time*(VLOOKUP(K46,List!$E$35:$F$37,2,)),time*(1-(VLOOKUP(K46,List!$E$35:$F$37,2,))))</f>
        <v>0</v>
      </c>
      <c r="T46" s="1380">
        <f t="shared" si="5"/>
        <v>0</v>
      </c>
      <c r="Y46" s="1914">
        <f>MIN(M46,N46)*time+ABS(N46-M46)*IF(N46&gt;M46,time*(VLOOKUP(H46,List!$E$35:$F$37,2,)),time*(1-(VLOOKUP(H46,List!$E$35:$F$37,2,))))</f>
        <v>0</v>
      </c>
      <c r="Z46" s="1914">
        <f>MIN(M46,O46)*time+ABS(O46-M46)*IF(O46&gt;M46,time*(VLOOKUP(K46,List!$E$35:$F$37,2,)),time*(1-(VLOOKUP(K46,List!$E$35:$F$37,2,))))</f>
        <v>0</v>
      </c>
    </row>
    <row r="47" spans="2:27" ht="13.5" thickBot="1">
      <c r="B47" s="844" t="s">
        <v>382</v>
      </c>
      <c r="C47" s="872">
        <f>44*6.3/12</f>
        <v>23.099999999999998</v>
      </c>
      <c r="D47" s="868">
        <f>IF('7. Inputs'!X148="",'7. Inputs'!W148,'7. Inputs'!X148)</f>
        <v>23.099999999999998</v>
      </c>
      <c r="E47" s="869" t="s">
        <v>354</v>
      </c>
      <c r="F47" s="1965">
        <f>'7. Inputs'!H24</f>
        <v>0</v>
      </c>
      <c r="G47" s="1965">
        <f>'7. Inputs'!I24</f>
        <v>0</v>
      </c>
      <c r="H47" s="2371" t="str">
        <f>VLOOKUP('7. Inputs'!J24,List!$D$35:$E$37,2,)</f>
        <v>Linear</v>
      </c>
      <c r="I47" s="832"/>
      <c r="J47" s="1964">
        <f>'7. Inputs'!K24</f>
        <v>0</v>
      </c>
      <c r="K47" s="2371" t="str">
        <f>VLOOKUP('7. Inputs'!L24,List!$D$35:$E$37,2,)</f>
        <v>Linear</v>
      </c>
      <c r="L47" s="832"/>
      <c r="M47" s="859">
        <f t="shared" si="6"/>
        <v>0</v>
      </c>
      <c r="N47" s="859">
        <f t="shared" si="7"/>
        <v>0</v>
      </c>
      <c r="O47" s="859">
        <f t="shared" si="8"/>
        <v>0</v>
      </c>
      <c r="P47" s="871"/>
      <c r="Q47" s="1371">
        <f>MIN(M47,N47)*time_tot+ABS(N47-M47)*IF(N47&gt;M47,time2+time*(VLOOKUP(H47,List!$E$35:$F$37,2,)),time*(1-(VLOOKUP(H47,List!$E$35:$F$37,2,))))</f>
        <v>0</v>
      </c>
      <c r="R47" s="1371">
        <f>MIN(M47,O47)*time_tot+ABS(O47-M47)*IF(O47&gt;M47,time2+time*(VLOOKUP(K47,List!$E$35:$F$37,2,)),time*(1-(VLOOKUP(K47,List!$E$35:$F$37,2,))))</f>
        <v>0</v>
      </c>
      <c r="T47" s="1380">
        <f t="shared" si="5"/>
        <v>0</v>
      </c>
      <c r="Y47" s="1914">
        <f>MIN(M47,N47)*time+ABS(N47-M47)*IF(N47&gt;M47,time*(VLOOKUP(H47,List!$E$35:$F$37,2,)),time*(1-(VLOOKUP(H47,List!$E$35:$F$37,2,))))</f>
        <v>0</v>
      </c>
      <c r="Z47" s="1914">
        <f>MIN(M47,O47)*time+ABS(O47-M47)*IF(O47&gt;M47,time*(VLOOKUP(K47,List!$E$35:$F$37,2,)),time*(1-(VLOOKUP(K47,List!$E$35:$F$37,2,))))</f>
        <v>0</v>
      </c>
    </row>
    <row r="48" spans="2:27" ht="13.5" thickBot="1">
      <c r="B48" s="844" t="s">
        <v>383</v>
      </c>
      <c r="C48" s="872">
        <f>44*5.1/12</f>
        <v>18.7</v>
      </c>
      <c r="D48" s="868">
        <f>IF('7. Inputs'!X149="",'7. Inputs'!W149,'7. Inputs'!X149)</f>
        <v>18.7</v>
      </c>
      <c r="E48" s="869" t="s">
        <v>354</v>
      </c>
      <c r="F48" s="1965">
        <f>'7. Inputs'!H25</f>
        <v>0</v>
      </c>
      <c r="G48" s="1965">
        <f>'7. Inputs'!I25</f>
        <v>0</v>
      </c>
      <c r="H48" s="2371" t="str">
        <f>VLOOKUP('7. Inputs'!J25,List!$D$35:$E$37,2,)</f>
        <v>Linear</v>
      </c>
      <c r="I48" s="832"/>
      <c r="J48" s="1964">
        <f>'7. Inputs'!K25</f>
        <v>0</v>
      </c>
      <c r="K48" s="2371" t="str">
        <f>VLOOKUP('7. Inputs'!L25,List!$D$35:$E$37,2,)</f>
        <v>Linear</v>
      </c>
      <c r="L48" s="832"/>
      <c r="M48" s="859">
        <f t="shared" si="6"/>
        <v>0</v>
      </c>
      <c r="N48" s="859">
        <f t="shared" si="7"/>
        <v>0</v>
      </c>
      <c r="O48" s="859">
        <f t="shared" si="8"/>
        <v>0</v>
      </c>
      <c r="P48" s="871"/>
      <c r="Q48" s="1371">
        <f>MIN(M48,N48)*time_tot+ABS(N48-M48)*IF(N48&gt;M48,time2+time*(VLOOKUP(H48,List!$E$35:$F$37,2,)),time*(1-(VLOOKUP(H48,List!$E$35:$F$37,2,))))</f>
        <v>0</v>
      </c>
      <c r="R48" s="1371">
        <f>MIN(M48,O48)*time_tot+ABS(O48-M48)*IF(O48&gt;M48,time2+time*(VLOOKUP(K48,List!$E$35:$F$37,2,)),time*(1-(VLOOKUP(K48,List!$E$35:$F$37,2,))))</f>
        <v>0</v>
      </c>
      <c r="T48" s="1380">
        <f t="shared" si="5"/>
        <v>0</v>
      </c>
      <c r="Y48" s="1914">
        <f>MIN(M48,N48)*time+ABS(N48-M48)*IF(N48&gt;M48,time*(VLOOKUP(H48,List!$E$35:$F$37,2,)),time*(1-(VLOOKUP(H48,List!$E$35:$F$37,2,))))</f>
        <v>0</v>
      </c>
      <c r="Z48" s="1914">
        <f>MIN(M48,O48)*time+ABS(O48-M48)*IF(O48&gt;M48,time*(VLOOKUP(K48,List!$E$35:$F$37,2,)),time*(1-(VLOOKUP(K48,List!$E$35:$F$37,2,))))</f>
        <v>0</v>
      </c>
    </row>
    <row r="49" spans="2:28">
      <c r="B49" s="844" t="s">
        <v>384</v>
      </c>
      <c r="C49" s="872">
        <f>44*3.9/12</f>
        <v>14.299999999999999</v>
      </c>
      <c r="D49" s="868">
        <f>IF('7. Inputs'!X150="",'7. Inputs'!W150,'7. Inputs'!X150)</f>
        <v>14.299999999999999</v>
      </c>
      <c r="E49" s="869" t="s">
        <v>354</v>
      </c>
      <c r="F49" s="1965">
        <f>'7. Inputs'!H26</f>
        <v>0</v>
      </c>
      <c r="G49" s="1965">
        <f>'7. Inputs'!I26</f>
        <v>0</v>
      </c>
      <c r="H49" s="2371" t="str">
        <f>VLOOKUP('7. Inputs'!J26,List!$D$35:$E$37,2,)</f>
        <v>Linear</v>
      </c>
      <c r="I49" s="832"/>
      <c r="J49" s="1964">
        <f>'7. Inputs'!K26</f>
        <v>0</v>
      </c>
      <c r="K49" s="2371" t="str">
        <f>VLOOKUP('7. Inputs'!L26,List!$D$35:$E$37,2,)</f>
        <v>Linear</v>
      </c>
      <c r="L49" s="832"/>
      <c r="M49" s="859">
        <f t="shared" si="6"/>
        <v>0</v>
      </c>
      <c r="N49" s="859">
        <f t="shared" si="7"/>
        <v>0</v>
      </c>
      <c r="O49" s="859">
        <f t="shared" si="8"/>
        <v>0</v>
      </c>
      <c r="P49" s="871"/>
      <c r="Q49" s="1371">
        <f>MIN(M49,N49)*time_tot+ABS(N49-M49)*IF(N49&gt;M49,time2+time*(VLOOKUP(H49,List!$E$35:$F$37,2,)),time*(1-(VLOOKUP(H49,List!$E$35:$F$37,2,))))</f>
        <v>0</v>
      </c>
      <c r="R49" s="1371">
        <f>MIN(M49,O49)*time_tot+ABS(O49-M49)*IF(O49&gt;M49,time2+time*(VLOOKUP(K49,List!$E$35:$F$37,2,)),time*(1-(VLOOKUP(K49,List!$E$35:$F$37,2,))))</f>
        <v>0</v>
      </c>
      <c r="T49" s="1380">
        <f t="shared" si="5"/>
        <v>0</v>
      </c>
      <c r="Y49" s="1914">
        <f>MIN(M49,N49)*time+ABS(N49-M49)*IF(N49&gt;M49,time*(VLOOKUP(H49,List!$E$35:$F$37,2,)),time*(1-(VLOOKUP(H49,List!$E$35:$F$37,2,))))</f>
        <v>0</v>
      </c>
      <c r="Z49" s="1914">
        <f>MIN(M49,O49)*time+ABS(O49-M49)*IF(O49&gt;M49,time*(VLOOKUP(K49,List!$E$35:$F$37,2,)),time*(1-(VLOOKUP(K49,List!$E$35:$F$37,2,))))</f>
        <v>0</v>
      </c>
    </row>
    <row r="50" spans="2:28">
      <c r="B50" s="832" t="s">
        <v>931</v>
      </c>
      <c r="C50" s="833"/>
      <c r="D50" s="833"/>
      <c r="E50" s="873"/>
      <c r="F50" s="1111"/>
      <c r="G50" s="1111"/>
      <c r="H50" s="874"/>
      <c r="I50" s="832"/>
      <c r="J50" s="1111"/>
      <c r="K50" s="861" t="s">
        <v>683</v>
      </c>
      <c r="L50" s="862"/>
      <c r="M50" s="866">
        <f>SUM(M39:M49)</f>
        <v>0</v>
      </c>
      <c r="N50" s="866">
        <f>SUM(N39:N49)</f>
        <v>0</v>
      </c>
      <c r="O50" s="866">
        <f>SUM(O39:O49)</f>
        <v>0</v>
      </c>
      <c r="P50" s="866"/>
      <c r="Q50" s="1382">
        <f>SUM(Q39:Q49)</f>
        <v>0</v>
      </c>
      <c r="R50" s="1382">
        <f>SUM(R39:R49)</f>
        <v>0</v>
      </c>
      <c r="S50" s="1382"/>
      <c r="T50" s="1381">
        <f>SUM(T39:T49)</f>
        <v>0</v>
      </c>
      <c r="AA50" s="2809">
        <f>SUM(Z39:Z49)-SUM(Y39:Y49)</f>
        <v>0</v>
      </c>
    </row>
    <row r="51" spans="2:28" ht="13.5" thickBot="1">
      <c r="B51" s="835" t="s">
        <v>1260</v>
      </c>
      <c r="C51" s="873"/>
      <c r="D51" s="873"/>
      <c r="E51" s="873"/>
      <c r="F51" s="1127"/>
      <c r="G51" s="1127"/>
      <c r="H51" s="875"/>
      <c r="I51" s="835"/>
      <c r="J51" s="1127"/>
      <c r="K51" s="835"/>
      <c r="L51" s="835"/>
      <c r="M51" s="835"/>
      <c r="N51" s="835"/>
      <c r="O51" s="835"/>
      <c r="P51" s="835"/>
      <c r="Q51" s="835"/>
      <c r="R51" s="835"/>
      <c r="S51" s="835"/>
      <c r="T51" s="1087"/>
    </row>
    <row r="52" spans="2:28" ht="13.5" thickBot="1">
      <c r="B52" s="832"/>
      <c r="C52" s="833"/>
      <c r="D52" s="833"/>
      <c r="E52" s="833"/>
      <c r="F52" s="1111"/>
      <c r="G52" s="1111"/>
      <c r="H52" s="834"/>
      <c r="I52" s="832"/>
      <c r="J52" s="1111"/>
      <c r="K52" s="832"/>
      <c r="L52" s="832"/>
      <c r="M52" s="832"/>
      <c r="N52" s="876" t="s">
        <v>684</v>
      </c>
      <c r="O52" s="877"/>
      <c r="P52" s="877"/>
      <c r="Q52" s="1383">
        <f>IF('7. Inputs'!$X$153="YES",Q15+Q22+Q33+Q50-Q22,Q15+Q22+Q33+Q50)</f>
        <v>0</v>
      </c>
      <c r="R52" s="1383">
        <f>IF('7. Inputs'!$X$153="YES",R15+R22+R33+R50-R22,R15+R22+R33+R50)</f>
        <v>0</v>
      </c>
      <c r="S52" s="1383"/>
      <c r="T52" s="1383">
        <f>IF('7. Inputs'!$X$153="YES",T15+T22+T33+T50-T22,T15+T22+T33+T50)</f>
        <v>0</v>
      </c>
      <c r="AA52" s="2809">
        <f>AA50+AA33+AA22+AA15-AA22</f>
        <v>0</v>
      </c>
      <c r="AB52" s="2810">
        <f>T52-AA52</f>
        <v>0</v>
      </c>
    </row>
    <row r="53" spans="2:28">
      <c r="B53" s="832"/>
      <c r="C53" s="833"/>
      <c r="D53" s="833"/>
      <c r="E53" s="833"/>
      <c r="F53" s="1111"/>
      <c r="G53" s="1111"/>
      <c r="H53" s="834"/>
      <c r="I53" s="832"/>
      <c r="J53" s="1111"/>
      <c r="K53" s="832"/>
      <c r="L53" s="832"/>
      <c r="M53" s="832"/>
      <c r="N53" s="832"/>
      <c r="O53" s="832"/>
      <c r="P53" s="832"/>
      <c r="Q53" s="832"/>
      <c r="R53" s="832"/>
      <c r="S53" s="835"/>
    </row>
    <row r="54" spans="2:28">
      <c r="B54" s="832"/>
      <c r="C54" s="833"/>
      <c r="D54" s="833"/>
      <c r="E54" s="833"/>
      <c r="F54" s="1111"/>
      <c r="G54" s="1111"/>
      <c r="H54" s="834"/>
      <c r="I54" s="832"/>
      <c r="J54" s="1111"/>
      <c r="K54" s="832"/>
      <c r="L54" s="832"/>
      <c r="M54" s="832"/>
      <c r="N54" s="832"/>
      <c r="O54" s="832"/>
      <c r="P54" s="832"/>
      <c r="Q54" s="832"/>
      <c r="R54" s="832"/>
    </row>
    <row r="55" spans="2:28">
      <c r="B55" s="832"/>
      <c r="C55" s="833"/>
      <c r="D55" s="833"/>
      <c r="E55" s="833"/>
      <c r="F55" s="1111"/>
      <c r="G55" s="1111"/>
      <c r="H55" s="834"/>
      <c r="I55" s="832"/>
      <c r="J55" s="1111"/>
      <c r="K55" s="832"/>
      <c r="L55" s="832"/>
      <c r="M55" s="832"/>
      <c r="N55" s="832"/>
      <c r="O55" s="832"/>
      <c r="P55" s="832"/>
      <c r="Q55" s="832"/>
      <c r="R55" s="832"/>
    </row>
    <row r="56" spans="2:28">
      <c r="B56" s="832"/>
      <c r="C56" s="833"/>
      <c r="D56" s="833"/>
      <c r="E56" s="833"/>
      <c r="F56" s="1111"/>
      <c r="G56" s="1111"/>
      <c r="H56" s="834"/>
      <c r="I56" s="832"/>
      <c r="J56" s="1111"/>
      <c r="K56" s="832"/>
      <c r="L56" s="832"/>
      <c r="M56" s="832"/>
      <c r="N56" s="832"/>
      <c r="O56" s="832"/>
      <c r="P56" s="832"/>
      <c r="Q56" s="832"/>
      <c r="R56" s="832"/>
    </row>
    <row r="57" spans="2:28">
      <c r="B57" s="832"/>
      <c r="C57" s="833"/>
      <c r="D57" s="833"/>
      <c r="E57" s="833"/>
      <c r="F57" s="1111"/>
      <c r="G57" s="1111"/>
      <c r="H57" s="834"/>
      <c r="I57" s="832"/>
      <c r="J57" s="1111"/>
      <c r="K57" s="832"/>
      <c r="L57" s="832"/>
      <c r="M57" s="832"/>
      <c r="N57" s="832"/>
      <c r="O57" s="832"/>
      <c r="P57" s="832"/>
      <c r="Q57" s="832"/>
      <c r="R57" s="832"/>
    </row>
    <row r="58" spans="2:28">
      <c r="B58" s="832"/>
      <c r="C58" s="833"/>
      <c r="D58" s="833"/>
      <c r="E58" s="833"/>
      <c r="F58" s="1111"/>
      <c r="G58" s="1111"/>
      <c r="H58" s="834"/>
      <c r="I58" s="832"/>
      <c r="J58" s="1111"/>
      <c r="K58" s="832"/>
      <c r="L58" s="832"/>
      <c r="M58" s="832"/>
      <c r="N58" s="832"/>
      <c r="O58" s="832"/>
      <c r="P58" s="832"/>
      <c r="Q58" s="832"/>
      <c r="R58" s="832"/>
    </row>
    <row r="59" spans="2:28">
      <c r="B59" s="832"/>
      <c r="C59" s="833"/>
      <c r="D59" s="833"/>
      <c r="E59" s="833"/>
      <c r="F59" s="1111"/>
      <c r="G59" s="1111"/>
      <c r="H59" s="834"/>
      <c r="I59" s="832"/>
      <c r="J59" s="1111"/>
      <c r="K59" s="832"/>
      <c r="L59" s="832"/>
      <c r="M59" s="832"/>
      <c r="N59" s="832"/>
      <c r="O59" s="832"/>
      <c r="P59" s="832"/>
      <c r="Q59" s="832"/>
      <c r="R59" s="832"/>
    </row>
    <row r="60" spans="2:28">
      <c r="B60" s="832"/>
      <c r="C60" s="833"/>
      <c r="D60" s="833"/>
      <c r="E60" s="833"/>
      <c r="F60" s="1111"/>
      <c r="G60" s="1111"/>
      <c r="H60" s="834"/>
      <c r="I60" s="832"/>
      <c r="J60" s="1111"/>
      <c r="K60" s="832"/>
      <c r="L60" s="832"/>
      <c r="M60" s="832"/>
      <c r="N60" s="832"/>
      <c r="O60" s="832"/>
      <c r="P60" s="832"/>
      <c r="Q60" s="832"/>
      <c r="R60" s="832"/>
    </row>
    <row r="61" spans="2:28">
      <c r="B61" s="832"/>
      <c r="C61" s="833"/>
      <c r="D61" s="833"/>
      <c r="E61" s="833"/>
      <c r="F61" s="1111"/>
      <c r="G61" s="1111"/>
      <c r="H61" s="834"/>
      <c r="I61" s="832"/>
      <c r="J61" s="1111"/>
      <c r="K61" s="832"/>
      <c r="L61" s="832"/>
      <c r="M61" s="832"/>
      <c r="N61" s="832"/>
      <c r="O61" s="832"/>
      <c r="P61" s="832"/>
      <c r="Q61" s="832"/>
      <c r="R61" s="832"/>
    </row>
    <row r="62" spans="2:28">
      <c r="B62" s="832"/>
      <c r="C62" s="833"/>
      <c r="D62" s="833"/>
      <c r="E62" s="833"/>
      <c r="F62" s="1111"/>
      <c r="G62" s="1111"/>
      <c r="H62" s="834"/>
      <c r="I62" s="832"/>
      <c r="J62" s="1111"/>
      <c r="K62" s="832"/>
      <c r="L62" s="832"/>
      <c r="M62" s="832"/>
      <c r="N62" s="832"/>
      <c r="O62" s="832"/>
      <c r="P62" s="832"/>
      <c r="Q62" s="832"/>
      <c r="R62" s="832"/>
    </row>
    <row r="63" spans="2:28">
      <c r="B63" s="832"/>
      <c r="C63" s="833"/>
      <c r="D63" s="833"/>
      <c r="E63" s="833"/>
      <c r="F63" s="1111"/>
      <c r="G63" s="1111"/>
      <c r="H63" s="834"/>
      <c r="I63" s="832"/>
      <c r="J63" s="1111"/>
      <c r="K63" s="832"/>
      <c r="L63" s="832"/>
      <c r="M63" s="832"/>
      <c r="N63" s="832"/>
      <c r="O63" s="832"/>
      <c r="P63" s="832"/>
      <c r="Q63" s="832"/>
      <c r="R63" s="832"/>
    </row>
    <row r="64" spans="2:28">
      <c r="B64" s="832"/>
      <c r="C64" s="833"/>
      <c r="D64" s="833"/>
      <c r="E64" s="833"/>
      <c r="F64" s="1111"/>
      <c r="G64" s="1111"/>
      <c r="H64" s="834"/>
      <c r="I64" s="832"/>
      <c r="J64" s="1111"/>
      <c r="K64" s="832"/>
      <c r="L64" s="832"/>
      <c r="M64" s="832"/>
      <c r="N64" s="832"/>
      <c r="O64" s="832"/>
      <c r="P64" s="832"/>
      <c r="Q64" s="832"/>
      <c r="R64" s="832"/>
    </row>
    <row r="65" spans="2:18">
      <c r="B65" s="832"/>
      <c r="C65" s="833"/>
      <c r="D65" s="833"/>
      <c r="E65" s="833"/>
      <c r="F65" s="1111"/>
      <c r="G65" s="1111"/>
      <c r="H65" s="834"/>
      <c r="I65" s="832"/>
      <c r="J65" s="1111"/>
      <c r="K65" s="832"/>
      <c r="L65" s="832"/>
      <c r="M65" s="832"/>
      <c r="N65" s="832"/>
      <c r="O65" s="832"/>
      <c r="P65" s="832"/>
      <c r="Q65" s="832"/>
      <c r="R65" s="832"/>
    </row>
    <row r="66" spans="2:18">
      <c r="B66" s="832"/>
      <c r="C66" s="833"/>
      <c r="D66" s="833"/>
      <c r="E66" s="833"/>
      <c r="F66" s="1111"/>
      <c r="G66" s="1111"/>
      <c r="H66" s="834"/>
      <c r="I66" s="832"/>
      <c r="J66" s="1111"/>
      <c r="K66" s="832"/>
      <c r="L66" s="832"/>
      <c r="M66" s="832"/>
      <c r="N66" s="832"/>
      <c r="O66" s="832"/>
      <c r="P66" s="832"/>
      <c r="Q66" s="832"/>
      <c r="R66" s="832"/>
    </row>
    <row r="67" spans="2:18">
      <c r="B67" s="832"/>
      <c r="C67" s="833"/>
      <c r="D67" s="833"/>
      <c r="E67" s="833"/>
      <c r="F67" s="1111"/>
      <c r="G67" s="1111"/>
      <c r="H67" s="834"/>
      <c r="I67" s="832"/>
      <c r="J67" s="1111"/>
      <c r="K67" s="832"/>
      <c r="L67" s="832"/>
      <c r="M67" s="832"/>
      <c r="N67" s="832"/>
      <c r="O67" s="832"/>
      <c r="P67" s="832"/>
      <c r="Q67" s="832"/>
      <c r="R67" s="832"/>
    </row>
    <row r="68" spans="2:18">
      <c r="B68" s="832"/>
      <c r="C68" s="833"/>
      <c r="D68" s="833"/>
      <c r="E68" s="833"/>
      <c r="F68" s="1111"/>
      <c r="G68" s="1111"/>
      <c r="H68" s="834"/>
      <c r="I68" s="832"/>
      <c r="J68" s="1111"/>
      <c r="K68" s="832"/>
      <c r="L68" s="832"/>
      <c r="M68" s="832"/>
      <c r="N68" s="832"/>
      <c r="O68" s="832"/>
      <c r="P68" s="832"/>
      <c r="Q68" s="832"/>
      <c r="R68" s="832"/>
    </row>
    <row r="69" spans="2:18">
      <c r="B69" s="832"/>
      <c r="C69" s="833"/>
      <c r="D69" s="833"/>
      <c r="E69" s="833"/>
      <c r="F69" s="1111"/>
      <c r="G69" s="1111"/>
      <c r="H69" s="834"/>
      <c r="I69" s="832"/>
      <c r="J69" s="1111"/>
      <c r="K69" s="832"/>
      <c r="L69" s="832"/>
      <c r="M69" s="832"/>
      <c r="N69" s="832"/>
      <c r="O69" s="832"/>
      <c r="P69" s="832"/>
      <c r="Q69" s="832"/>
      <c r="R69" s="832"/>
    </row>
    <row r="70" spans="2:18">
      <c r="B70" s="832"/>
      <c r="C70" s="833"/>
      <c r="D70" s="833"/>
      <c r="E70" s="833"/>
      <c r="F70" s="1111"/>
      <c r="G70" s="1111"/>
      <c r="H70" s="834"/>
      <c r="I70" s="832"/>
      <c r="J70" s="1111"/>
      <c r="K70" s="832"/>
      <c r="L70" s="832"/>
      <c r="M70" s="832"/>
      <c r="N70" s="832"/>
      <c r="O70" s="832"/>
      <c r="P70" s="832"/>
      <c r="Q70" s="832"/>
      <c r="R70" s="832"/>
    </row>
    <row r="71" spans="2:18">
      <c r="B71" s="832"/>
      <c r="C71" s="833"/>
      <c r="D71" s="833"/>
      <c r="E71" s="833"/>
      <c r="F71" s="1111"/>
      <c r="G71" s="1111"/>
      <c r="H71" s="834"/>
      <c r="I71" s="832"/>
      <c r="J71" s="1111"/>
      <c r="K71" s="832"/>
      <c r="L71" s="832"/>
      <c r="M71" s="832"/>
      <c r="N71" s="832"/>
      <c r="O71" s="832"/>
      <c r="P71" s="832"/>
      <c r="Q71" s="832"/>
      <c r="R71" s="832"/>
    </row>
    <row r="72" spans="2:18">
      <c r="B72" s="832"/>
      <c r="C72" s="833"/>
      <c r="D72" s="833"/>
      <c r="E72" s="833"/>
      <c r="F72" s="1111"/>
      <c r="G72" s="1111"/>
      <c r="H72" s="834"/>
      <c r="I72" s="832"/>
      <c r="J72" s="1111"/>
      <c r="K72" s="832"/>
      <c r="L72" s="832"/>
      <c r="M72" s="832"/>
      <c r="N72" s="832"/>
      <c r="O72" s="832"/>
      <c r="P72" s="832"/>
      <c r="Q72" s="832"/>
      <c r="R72" s="832"/>
    </row>
    <row r="73" spans="2:18">
      <c r="B73" s="832"/>
      <c r="C73" s="833"/>
      <c r="D73" s="833"/>
      <c r="E73" s="833"/>
      <c r="F73" s="1111"/>
      <c r="G73" s="1111"/>
      <c r="H73" s="834"/>
      <c r="I73" s="832"/>
      <c r="J73" s="1111"/>
      <c r="K73" s="832"/>
      <c r="L73" s="832"/>
      <c r="M73" s="832"/>
      <c r="N73" s="832"/>
      <c r="O73" s="832"/>
      <c r="P73" s="832"/>
      <c r="Q73" s="832"/>
      <c r="R73" s="832"/>
    </row>
    <row r="74" spans="2:18">
      <c r="B74" s="832"/>
      <c r="C74" s="833"/>
      <c r="D74" s="833"/>
      <c r="E74" s="833"/>
      <c r="F74" s="1111"/>
      <c r="G74" s="1111"/>
      <c r="H74" s="834"/>
      <c r="I74" s="832"/>
      <c r="J74" s="1111"/>
      <c r="K74" s="832"/>
      <c r="L74" s="832"/>
      <c r="M74" s="832"/>
      <c r="N74" s="832"/>
      <c r="O74" s="832"/>
      <c r="P74" s="832"/>
      <c r="Q74" s="832"/>
      <c r="R74" s="832"/>
    </row>
    <row r="75" spans="2:18">
      <c r="B75" s="832"/>
      <c r="C75" s="833"/>
      <c r="D75" s="833"/>
      <c r="E75" s="833"/>
      <c r="F75" s="1111"/>
      <c r="G75" s="1111"/>
      <c r="H75" s="834"/>
      <c r="I75" s="832"/>
      <c r="J75" s="1111"/>
      <c r="K75" s="832"/>
      <c r="L75" s="832"/>
      <c r="M75" s="832"/>
      <c r="N75" s="832"/>
      <c r="O75" s="832"/>
      <c r="P75" s="832"/>
      <c r="Q75" s="832"/>
      <c r="R75" s="832"/>
    </row>
    <row r="76" spans="2:18">
      <c r="B76" s="832"/>
      <c r="C76" s="833"/>
      <c r="D76" s="833"/>
      <c r="E76" s="833"/>
      <c r="F76" s="1111"/>
      <c r="G76" s="1111"/>
      <c r="H76" s="834"/>
      <c r="I76" s="832"/>
      <c r="J76" s="1111"/>
      <c r="K76" s="832"/>
      <c r="L76" s="832"/>
      <c r="M76" s="832"/>
      <c r="N76" s="832"/>
      <c r="O76" s="832"/>
      <c r="P76" s="832"/>
      <c r="Q76" s="832"/>
      <c r="R76" s="832"/>
    </row>
    <row r="77" spans="2:18">
      <c r="B77" s="832"/>
      <c r="C77" s="833"/>
      <c r="D77" s="833"/>
      <c r="E77" s="833"/>
      <c r="F77" s="1111"/>
      <c r="G77" s="1111"/>
      <c r="H77" s="834"/>
      <c r="I77" s="832"/>
      <c r="J77" s="1111"/>
      <c r="K77" s="832"/>
      <c r="L77" s="832"/>
      <c r="M77" s="832"/>
      <c r="N77" s="832"/>
      <c r="O77" s="832"/>
      <c r="P77" s="832"/>
      <c r="Q77" s="832"/>
      <c r="R77" s="832"/>
    </row>
    <row r="78" spans="2:18">
      <c r="B78" s="832"/>
      <c r="C78" s="833"/>
      <c r="D78" s="833"/>
      <c r="E78" s="833"/>
      <c r="F78" s="1111"/>
      <c r="G78" s="1111"/>
      <c r="H78" s="834"/>
      <c r="I78" s="832"/>
      <c r="J78" s="1111"/>
      <c r="K78" s="832"/>
      <c r="L78" s="832"/>
      <c r="M78" s="832"/>
      <c r="N78" s="832"/>
      <c r="O78" s="832"/>
      <c r="P78" s="832"/>
      <c r="Q78" s="832"/>
      <c r="R78" s="832"/>
    </row>
    <row r="79" spans="2:18">
      <c r="B79" s="832"/>
      <c r="C79" s="833"/>
      <c r="D79" s="833"/>
      <c r="E79" s="833"/>
      <c r="F79" s="1111"/>
      <c r="G79" s="1111"/>
      <c r="H79" s="834"/>
      <c r="I79" s="832"/>
      <c r="J79" s="1111"/>
      <c r="K79" s="832"/>
      <c r="L79" s="832"/>
      <c r="M79" s="832"/>
      <c r="N79" s="832"/>
      <c r="O79" s="832"/>
      <c r="P79" s="832"/>
      <c r="Q79" s="832"/>
      <c r="R79" s="832"/>
    </row>
    <row r="80" spans="2:18">
      <c r="B80" s="832"/>
      <c r="C80" s="833"/>
      <c r="D80" s="833"/>
      <c r="E80" s="833"/>
      <c r="F80" s="1111"/>
      <c r="G80" s="1111"/>
      <c r="H80" s="834"/>
      <c r="I80" s="832"/>
      <c r="J80" s="1111"/>
      <c r="K80" s="832"/>
      <c r="L80" s="832"/>
      <c r="M80" s="832"/>
      <c r="N80" s="832"/>
      <c r="O80" s="832"/>
      <c r="P80" s="832"/>
      <c r="Q80" s="832"/>
      <c r="R80" s="832"/>
    </row>
    <row r="81" spans="2:18">
      <c r="B81" s="832"/>
      <c r="C81" s="833"/>
      <c r="D81" s="833"/>
      <c r="E81" s="833"/>
      <c r="F81" s="1111"/>
      <c r="G81" s="1111"/>
      <c r="H81" s="834"/>
      <c r="I81" s="832"/>
      <c r="J81" s="1111"/>
      <c r="K81" s="832"/>
      <c r="L81" s="832"/>
      <c r="M81" s="832"/>
      <c r="N81" s="832"/>
      <c r="O81" s="832"/>
      <c r="P81" s="832"/>
      <c r="Q81" s="832"/>
      <c r="R81" s="832"/>
    </row>
    <row r="82" spans="2:18">
      <c r="B82" s="832"/>
      <c r="C82" s="833"/>
      <c r="D82" s="833"/>
      <c r="E82" s="833"/>
      <c r="F82" s="1111"/>
      <c r="G82" s="1111"/>
      <c r="H82" s="834"/>
      <c r="I82" s="832"/>
      <c r="J82" s="1111"/>
      <c r="K82" s="832"/>
      <c r="L82" s="832"/>
      <c r="M82" s="832"/>
      <c r="N82" s="832"/>
      <c r="O82" s="832"/>
      <c r="P82" s="832"/>
      <c r="Q82" s="832"/>
      <c r="R82" s="832"/>
    </row>
    <row r="83" spans="2:18">
      <c r="B83" s="832"/>
      <c r="C83" s="833"/>
      <c r="D83" s="833"/>
      <c r="E83" s="833"/>
      <c r="F83" s="1111"/>
      <c r="G83" s="1111"/>
      <c r="H83" s="834"/>
      <c r="I83" s="832"/>
      <c r="J83" s="1111"/>
      <c r="K83" s="832"/>
      <c r="L83" s="832"/>
      <c r="M83" s="832"/>
      <c r="N83" s="832"/>
      <c r="O83" s="832"/>
      <c r="P83" s="832"/>
      <c r="Q83" s="832"/>
      <c r="R83" s="832"/>
    </row>
    <row r="84" spans="2:18">
      <c r="B84" s="832"/>
      <c r="C84" s="833"/>
      <c r="D84" s="833"/>
      <c r="E84" s="833"/>
      <c r="F84" s="1111"/>
      <c r="G84" s="1111"/>
      <c r="H84" s="834"/>
      <c r="I84" s="832"/>
      <c r="J84" s="1111"/>
      <c r="K84" s="832"/>
      <c r="L84" s="832"/>
      <c r="M84" s="832"/>
      <c r="N84" s="832"/>
      <c r="O84" s="832"/>
      <c r="P84" s="832"/>
      <c r="Q84" s="832"/>
      <c r="R84" s="832"/>
    </row>
    <row r="85" spans="2:18">
      <c r="B85" s="832"/>
      <c r="C85" s="833"/>
      <c r="D85" s="833"/>
      <c r="E85" s="833"/>
      <c r="F85" s="1111"/>
      <c r="G85" s="1111"/>
      <c r="H85" s="834"/>
      <c r="I85" s="832"/>
      <c r="J85" s="1111"/>
      <c r="K85" s="832"/>
      <c r="L85" s="832"/>
      <c r="M85" s="832"/>
      <c r="N85" s="832"/>
      <c r="O85" s="832"/>
      <c r="P85" s="832"/>
      <c r="Q85" s="832"/>
      <c r="R85" s="832"/>
    </row>
    <row r="86" spans="2:18">
      <c r="B86" s="832"/>
      <c r="C86" s="833"/>
      <c r="D86" s="833"/>
      <c r="E86" s="833"/>
      <c r="F86" s="1111"/>
      <c r="G86" s="1111"/>
      <c r="H86" s="834"/>
      <c r="I86" s="832"/>
      <c r="J86" s="1111"/>
      <c r="K86" s="832"/>
      <c r="L86" s="832"/>
      <c r="M86" s="832"/>
      <c r="N86" s="832"/>
      <c r="O86" s="832"/>
      <c r="P86" s="832"/>
      <c r="Q86" s="832"/>
      <c r="R86" s="832"/>
    </row>
    <row r="87" spans="2:18">
      <c r="B87" s="832"/>
      <c r="C87" s="833"/>
      <c r="D87" s="833"/>
      <c r="E87" s="833"/>
      <c r="F87" s="1111"/>
      <c r="G87" s="1111"/>
      <c r="H87" s="834"/>
      <c r="I87" s="832"/>
      <c r="J87" s="1111"/>
      <c r="K87" s="832"/>
      <c r="L87" s="832"/>
      <c r="M87" s="832"/>
      <c r="N87" s="832"/>
      <c r="O87" s="832"/>
      <c r="P87" s="832"/>
      <c r="Q87" s="832"/>
      <c r="R87" s="832"/>
    </row>
    <row r="88" spans="2:18">
      <c r="B88" s="832"/>
      <c r="C88" s="833"/>
      <c r="D88" s="833"/>
      <c r="E88" s="833"/>
      <c r="F88" s="1111"/>
      <c r="G88" s="1111"/>
      <c r="H88" s="834"/>
      <c r="I88" s="832"/>
      <c r="J88" s="1111"/>
      <c r="K88" s="832"/>
      <c r="L88" s="832"/>
      <c r="M88" s="832"/>
      <c r="N88" s="832"/>
      <c r="O88" s="832"/>
      <c r="P88" s="832"/>
      <c r="Q88" s="832"/>
      <c r="R88" s="832"/>
    </row>
    <row r="89" spans="2:18">
      <c r="B89" s="832"/>
      <c r="C89" s="833"/>
      <c r="D89" s="833"/>
      <c r="E89" s="833"/>
      <c r="F89" s="1111"/>
      <c r="G89" s="1111"/>
      <c r="H89" s="834"/>
      <c r="I89" s="832"/>
      <c r="J89" s="1111"/>
      <c r="K89" s="832"/>
      <c r="L89" s="832"/>
      <c r="M89" s="832"/>
      <c r="N89" s="832"/>
      <c r="O89" s="832"/>
      <c r="P89" s="832"/>
      <c r="Q89" s="832"/>
      <c r="R89" s="832"/>
    </row>
    <row r="90" spans="2:18">
      <c r="B90" s="832"/>
      <c r="C90" s="833"/>
      <c r="D90" s="833"/>
      <c r="E90" s="833"/>
      <c r="F90" s="1111"/>
      <c r="G90" s="1111"/>
      <c r="H90" s="834"/>
      <c r="I90" s="832"/>
      <c r="J90" s="1111"/>
      <c r="K90" s="832"/>
      <c r="L90" s="832"/>
      <c r="M90" s="832"/>
      <c r="N90" s="832"/>
      <c r="O90" s="832"/>
      <c r="P90" s="832"/>
      <c r="Q90" s="832"/>
      <c r="R90" s="832"/>
    </row>
    <row r="91" spans="2:18">
      <c r="B91" s="832"/>
      <c r="C91" s="833"/>
      <c r="D91" s="833"/>
      <c r="E91" s="833"/>
      <c r="F91" s="1111"/>
      <c r="G91" s="1111"/>
      <c r="H91" s="834"/>
      <c r="I91" s="832"/>
      <c r="J91" s="1111"/>
      <c r="K91" s="832"/>
      <c r="L91" s="832"/>
      <c r="M91" s="832"/>
      <c r="N91" s="832"/>
      <c r="O91" s="832"/>
      <c r="P91" s="832"/>
      <c r="Q91" s="832"/>
      <c r="R91" s="832"/>
    </row>
    <row r="92" spans="2:18">
      <c r="B92" s="832"/>
      <c r="C92" s="833"/>
      <c r="D92" s="833"/>
      <c r="E92" s="833"/>
      <c r="F92" s="1111"/>
      <c r="G92" s="1111"/>
      <c r="H92" s="834"/>
      <c r="I92" s="832"/>
      <c r="J92" s="1111"/>
      <c r="K92" s="832"/>
      <c r="L92" s="832"/>
      <c r="M92" s="832"/>
      <c r="N92" s="832"/>
      <c r="O92" s="832"/>
      <c r="P92" s="832"/>
      <c r="Q92" s="832"/>
      <c r="R92" s="832"/>
    </row>
    <row r="93" spans="2:18">
      <c r="B93" s="832"/>
      <c r="C93" s="833"/>
      <c r="D93" s="833"/>
      <c r="E93" s="833"/>
      <c r="F93" s="1111"/>
      <c r="G93" s="1111"/>
      <c r="H93" s="834"/>
      <c r="I93" s="832"/>
      <c r="J93" s="1111"/>
      <c r="K93" s="832"/>
      <c r="L93" s="832"/>
      <c r="M93" s="832"/>
      <c r="N93" s="832"/>
      <c r="O93" s="832"/>
      <c r="P93" s="832"/>
      <c r="Q93" s="832"/>
      <c r="R93" s="832"/>
    </row>
    <row r="94" spans="2:18">
      <c r="B94" s="832"/>
      <c r="C94" s="833"/>
      <c r="D94" s="833"/>
      <c r="E94" s="833"/>
      <c r="F94" s="1111"/>
      <c r="G94" s="1111"/>
      <c r="H94" s="834"/>
      <c r="I94" s="832"/>
      <c r="J94" s="1111"/>
      <c r="K94" s="832"/>
      <c r="L94" s="832"/>
      <c r="M94" s="832"/>
      <c r="N94" s="832"/>
      <c r="O94" s="832"/>
      <c r="P94" s="832"/>
      <c r="Q94" s="832"/>
      <c r="R94" s="832"/>
    </row>
    <row r="95" spans="2:18">
      <c r="B95" s="832"/>
      <c r="C95" s="833"/>
      <c r="D95" s="833"/>
      <c r="E95" s="833"/>
      <c r="F95" s="1111"/>
      <c r="G95" s="1111"/>
      <c r="H95" s="834"/>
      <c r="I95" s="832"/>
      <c r="J95" s="1111"/>
      <c r="K95" s="832"/>
      <c r="L95" s="832"/>
      <c r="M95" s="832"/>
      <c r="N95" s="832"/>
      <c r="O95" s="832"/>
      <c r="P95" s="832"/>
      <c r="Q95" s="832"/>
      <c r="R95" s="832"/>
    </row>
    <row r="96" spans="2:18">
      <c r="B96" s="832"/>
      <c r="C96" s="833"/>
      <c r="D96" s="833"/>
      <c r="E96" s="833"/>
      <c r="F96" s="1111"/>
      <c r="G96" s="1111"/>
      <c r="H96" s="834"/>
      <c r="I96" s="832"/>
      <c r="J96" s="1111"/>
      <c r="K96" s="832"/>
      <c r="L96" s="832"/>
      <c r="M96" s="832"/>
      <c r="N96" s="832"/>
      <c r="O96" s="832"/>
      <c r="P96" s="832"/>
      <c r="Q96" s="832"/>
      <c r="R96" s="832"/>
    </row>
    <row r="97" spans="2:18">
      <c r="B97" s="832"/>
      <c r="C97" s="833"/>
      <c r="D97" s="833"/>
      <c r="E97" s="833"/>
      <c r="F97" s="1111"/>
      <c r="G97" s="1111"/>
      <c r="H97" s="834"/>
      <c r="I97" s="832"/>
      <c r="J97" s="1111"/>
      <c r="K97" s="832"/>
      <c r="L97" s="832"/>
      <c r="M97" s="832"/>
      <c r="N97" s="832"/>
      <c r="O97" s="832"/>
      <c r="P97" s="832"/>
      <c r="Q97" s="832"/>
      <c r="R97" s="832"/>
    </row>
    <row r="98" spans="2:18">
      <c r="B98" s="832"/>
      <c r="C98" s="833"/>
      <c r="D98" s="833"/>
      <c r="E98" s="833"/>
      <c r="F98" s="1111"/>
      <c r="G98" s="1111"/>
      <c r="H98" s="834"/>
      <c r="I98" s="832"/>
      <c r="J98" s="1111"/>
      <c r="K98" s="832"/>
      <c r="L98" s="832"/>
      <c r="M98" s="832"/>
      <c r="N98" s="832"/>
      <c r="O98" s="832"/>
      <c r="P98" s="832"/>
      <c r="Q98" s="832"/>
      <c r="R98" s="832"/>
    </row>
    <row r="99" spans="2:18">
      <c r="B99" s="832"/>
      <c r="C99" s="833"/>
      <c r="D99" s="833"/>
      <c r="E99" s="833"/>
      <c r="F99" s="1111"/>
      <c r="G99" s="1111"/>
      <c r="H99" s="834"/>
      <c r="I99" s="832"/>
      <c r="J99" s="1111"/>
      <c r="K99" s="832"/>
      <c r="L99" s="832"/>
      <c r="M99" s="832"/>
      <c r="N99" s="832"/>
      <c r="O99" s="832"/>
      <c r="P99" s="832"/>
      <c r="Q99" s="832"/>
      <c r="R99" s="832"/>
    </row>
    <row r="100" spans="2:18">
      <c r="B100" s="832"/>
      <c r="C100" s="833"/>
      <c r="D100" s="833"/>
      <c r="E100" s="833"/>
      <c r="F100" s="1111"/>
      <c r="G100" s="1111"/>
      <c r="H100" s="834"/>
      <c r="I100" s="832"/>
      <c r="J100" s="1111"/>
      <c r="K100" s="832"/>
      <c r="L100" s="832"/>
      <c r="M100" s="832"/>
      <c r="N100" s="832"/>
      <c r="O100" s="832"/>
      <c r="P100" s="832"/>
      <c r="Q100" s="832"/>
      <c r="R100" s="832"/>
    </row>
    <row r="101" spans="2:18">
      <c r="B101" s="832"/>
      <c r="C101" s="833"/>
      <c r="D101" s="833"/>
      <c r="E101" s="833"/>
      <c r="F101" s="1111"/>
      <c r="G101" s="1111"/>
      <c r="H101" s="834"/>
      <c r="I101" s="832"/>
      <c r="J101" s="1111"/>
      <c r="K101" s="832"/>
      <c r="L101" s="832"/>
      <c r="M101" s="832"/>
      <c r="N101" s="832"/>
      <c r="O101" s="832"/>
      <c r="P101" s="832"/>
      <c r="Q101" s="832"/>
      <c r="R101" s="832"/>
    </row>
    <row r="102" spans="2:18">
      <c r="B102" s="832"/>
      <c r="C102" s="833"/>
      <c r="D102" s="833"/>
      <c r="E102" s="833"/>
      <c r="F102" s="1111"/>
      <c r="G102" s="1111"/>
      <c r="H102" s="834"/>
      <c r="I102" s="832"/>
      <c r="J102" s="1111"/>
      <c r="K102" s="832"/>
      <c r="L102" s="832"/>
      <c r="M102" s="832"/>
      <c r="N102" s="832"/>
      <c r="O102" s="832"/>
      <c r="P102" s="832"/>
      <c r="Q102" s="832"/>
      <c r="R102" s="832"/>
    </row>
    <row r="103" spans="2:18">
      <c r="B103" s="832"/>
      <c r="C103" s="833"/>
      <c r="D103" s="833"/>
      <c r="E103" s="833"/>
      <c r="F103" s="1111"/>
      <c r="G103" s="1111"/>
      <c r="H103" s="834"/>
      <c r="I103" s="832"/>
      <c r="J103" s="1111"/>
      <c r="K103" s="832"/>
      <c r="L103" s="832"/>
      <c r="M103" s="832"/>
      <c r="N103" s="832"/>
      <c r="O103" s="832"/>
      <c r="P103" s="832"/>
      <c r="Q103" s="832"/>
      <c r="R103" s="832"/>
    </row>
    <row r="104" spans="2:18">
      <c r="B104" s="832"/>
      <c r="C104" s="833"/>
      <c r="D104" s="833"/>
      <c r="E104" s="833"/>
      <c r="F104" s="1111"/>
      <c r="G104" s="1111"/>
      <c r="H104" s="834"/>
      <c r="I104" s="832"/>
      <c r="J104" s="1111"/>
      <c r="K104" s="832"/>
      <c r="L104" s="832"/>
      <c r="M104" s="832"/>
      <c r="N104" s="832"/>
      <c r="O104" s="832"/>
      <c r="P104" s="832"/>
      <c r="Q104" s="832"/>
      <c r="R104" s="832"/>
    </row>
    <row r="105" spans="2:18">
      <c r="B105" s="832"/>
      <c r="C105" s="833"/>
      <c r="D105" s="833"/>
      <c r="E105" s="833"/>
      <c r="F105" s="1111"/>
      <c r="G105" s="1111"/>
      <c r="H105" s="834"/>
      <c r="I105" s="832"/>
      <c r="J105" s="1111"/>
      <c r="K105" s="832"/>
      <c r="L105" s="832"/>
      <c r="M105" s="832"/>
      <c r="N105" s="832"/>
      <c r="O105" s="832"/>
      <c r="P105" s="832"/>
      <c r="Q105" s="832"/>
      <c r="R105" s="832"/>
    </row>
    <row r="106" spans="2:18">
      <c r="B106" s="832"/>
      <c r="C106" s="833"/>
      <c r="D106" s="833"/>
      <c r="E106" s="833"/>
      <c r="F106" s="1111"/>
      <c r="G106" s="1111"/>
      <c r="H106" s="834"/>
      <c r="I106" s="832"/>
      <c r="J106" s="1111"/>
      <c r="K106" s="832"/>
      <c r="L106" s="832"/>
      <c r="M106" s="832"/>
      <c r="N106" s="832"/>
      <c r="O106" s="832"/>
      <c r="P106" s="832"/>
      <c r="Q106" s="832"/>
      <c r="R106" s="832"/>
    </row>
    <row r="107" spans="2:18">
      <c r="B107" s="832"/>
      <c r="C107" s="833"/>
      <c r="D107" s="833"/>
      <c r="E107" s="833"/>
      <c r="F107" s="1111"/>
      <c r="G107" s="1111"/>
      <c r="H107" s="834"/>
      <c r="I107" s="832"/>
      <c r="J107" s="1111"/>
      <c r="K107" s="832"/>
      <c r="L107" s="832"/>
      <c r="M107" s="832"/>
      <c r="N107" s="832"/>
      <c r="O107" s="832"/>
      <c r="P107" s="832"/>
      <c r="Q107" s="832"/>
      <c r="R107" s="832"/>
    </row>
    <row r="108" spans="2:18">
      <c r="B108" s="832"/>
      <c r="C108" s="833"/>
      <c r="D108" s="833"/>
      <c r="E108" s="833"/>
      <c r="F108" s="1111"/>
      <c r="G108" s="1111"/>
      <c r="H108" s="834"/>
      <c r="I108" s="832"/>
      <c r="J108" s="1111"/>
      <c r="K108" s="832"/>
      <c r="L108" s="832"/>
      <c r="M108" s="832"/>
      <c r="N108" s="832"/>
      <c r="O108" s="832"/>
      <c r="P108" s="832"/>
      <c r="Q108" s="832"/>
      <c r="R108" s="832"/>
    </row>
    <row r="109" spans="2:18">
      <c r="B109" s="832"/>
      <c r="C109" s="833"/>
      <c r="D109" s="833"/>
      <c r="E109" s="833"/>
      <c r="F109" s="1111"/>
      <c r="G109" s="1111"/>
      <c r="H109" s="834"/>
      <c r="I109" s="832"/>
      <c r="J109" s="1111"/>
      <c r="K109" s="832"/>
      <c r="L109" s="832"/>
      <c r="M109" s="832"/>
      <c r="N109" s="832"/>
      <c r="O109" s="832"/>
      <c r="P109" s="832"/>
      <c r="Q109" s="832"/>
      <c r="R109" s="832"/>
    </row>
    <row r="110" spans="2:18">
      <c r="B110" s="832"/>
      <c r="C110" s="833"/>
      <c r="D110" s="833"/>
      <c r="E110" s="833"/>
      <c r="F110" s="1111"/>
      <c r="G110" s="1111"/>
      <c r="H110" s="834"/>
      <c r="I110" s="832"/>
      <c r="J110" s="1111"/>
      <c r="K110" s="832"/>
      <c r="L110" s="832"/>
      <c r="M110" s="832"/>
      <c r="N110" s="832"/>
      <c r="O110" s="832"/>
      <c r="P110" s="832"/>
      <c r="Q110" s="832"/>
      <c r="R110" s="832"/>
    </row>
    <row r="111" spans="2:18">
      <c r="B111" s="832"/>
      <c r="C111" s="833"/>
      <c r="D111" s="833"/>
      <c r="E111" s="833"/>
      <c r="F111" s="1111"/>
      <c r="G111" s="1111"/>
      <c r="H111" s="834"/>
      <c r="I111" s="832"/>
      <c r="J111" s="1111"/>
      <c r="K111" s="832"/>
      <c r="L111" s="832"/>
      <c r="M111" s="832"/>
      <c r="N111" s="832"/>
      <c r="O111" s="832"/>
      <c r="P111" s="832"/>
      <c r="Q111" s="832"/>
      <c r="R111" s="832"/>
    </row>
    <row r="112" spans="2:18">
      <c r="B112" s="832"/>
      <c r="C112" s="833"/>
      <c r="D112" s="833"/>
      <c r="E112" s="833"/>
      <c r="F112" s="1111"/>
      <c r="G112" s="1111"/>
      <c r="H112" s="834"/>
      <c r="I112" s="832"/>
      <c r="J112" s="1111"/>
      <c r="K112" s="832"/>
      <c r="L112" s="832"/>
      <c r="M112" s="832"/>
      <c r="N112" s="832"/>
      <c r="O112" s="832"/>
      <c r="P112" s="832"/>
      <c r="Q112" s="832"/>
      <c r="R112" s="832"/>
    </row>
    <row r="113" spans="2:18">
      <c r="B113" s="832"/>
      <c r="C113" s="833"/>
      <c r="D113" s="833"/>
      <c r="E113" s="833"/>
      <c r="F113" s="1111"/>
      <c r="G113" s="1111"/>
      <c r="H113" s="834"/>
      <c r="I113" s="832"/>
      <c r="J113" s="1111"/>
      <c r="K113" s="832"/>
      <c r="L113" s="832"/>
      <c r="M113" s="832"/>
      <c r="N113" s="832"/>
      <c r="O113" s="832"/>
      <c r="P113" s="832"/>
      <c r="Q113" s="832"/>
      <c r="R113" s="832"/>
    </row>
    <row r="114" spans="2:18">
      <c r="B114" s="832"/>
      <c r="C114" s="833"/>
      <c r="D114" s="833"/>
      <c r="E114" s="833"/>
      <c r="F114" s="1111"/>
      <c r="G114" s="1111"/>
      <c r="H114" s="834"/>
      <c r="I114" s="832"/>
      <c r="J114" s="1111"/>
      <c r="K114" s="832"/>
      <c r="L114" s="832"/>
      <c r="M114" s="832"/>
      <c r="N114" s="832"/>
      <c r="O114" s="832"/>
      <c r="P114" s="832"/>
      <c r="Q114" s="832"/>
      <c r="R114" s="832"/>
    </row>
    <row r="115" spans="2:18">
      <c r="B115" s="832"/>
      <c r="C115" s="833"/>
      <c r="D115" s="833"/>
      <c r="E115" s="833"/>
      <c r="F115" s="1111"/>
      <c r="G115" s="1111"/>
      <c r="H115" s="834"/>
      <c r="I115" s="832"/>
      <c r="J115" s="1111"/>
      <c r="K115" s="832"/>
      <c r="L115" s="832"/>
      <c r="M115" s="832"/>
      <c r="N115" s="832"/>
      <c r="O115" s="832"/>
      <c r="P115" s="832"/>
      <c r="Q115" s="832"/>
      <c r="R115" s="832"/>
    </row>
    <row r="116" spans="2:18">
      <c r="B116" s="832"/>
      <c r="C116" s="833"/>
      <c r="D116" s="833"/>
      <c r="E116" s="833"/>
      <c r="F116" s="1111"/>
      <c r="G116" s="1111"/>
      <c r="H116" s="834"/>
      <c r="I116" s="832"/>
      <c r="J116" s="1111"/>
      <c r="K116" s="832"/>
      <c r="L116" s="832"/>
      <c r="M116" s="832"/>
      <c r="N116" s="832"/>
      <c r="O116" s="832"/>
      <c r="P116" s="832"/>
      <c r="Q116" s="832"/>
      <c r="R116" s="832"/>
    </row>
    <row r="117" spans="2:18">
      <c r="B117" s="832"/>
      <c r="C117" s="833"/>
      <c r="D117" s="833"/>
      <c r="E117" s="833"/>
      <c r="F117" s="1111"/>
      <c r="G117" s="1111"/>
      <c r="H117" s="834"/>
      <c r="I117" s="832"/>
      <c r="J117" s="1111"/>
      <c r="K117" s="832"/>
      <c r="L117" s="832"/>
      <c r="M117" s="832"/>
      <c r="N117" s="832"/>
      <c r="O117" s="832"/>
      <c r="P117" s="832"/>
      <c r="Q117" s="832"/>
      <c r="R117" s="832"/>
    </row>
    <row r="118" spans="2:18">
      <c r="B118" s="832"/>
      <c r="C118" s="833"/>
      <c r="D118" s="833"/>
      <c r="E118" s="833"/>
      <c r="F118" s="1111"/>
      <c r="G118" s="1111"/>
      <c r="H118" s="834"/>
      <c r="I118" s="832"/>
      <c r="J118" s="1111"/>
      <c r="K118" s="832"/>
      <c r="L118" s="832"/>
      <c r="M118" s="832"/>
      <c r="N118" s="832"/>
      <c r="O118" s="832"/>
      <c r="P118" s="832"/>
      <c r="Q118" s="832"/>
      <c r="R118" s="832"/>
    </row>
    <row r="119" spans="2:18">
      <c r="B119" s="832"/>
      <c r="C119" s="833"/>
      <c r="D119" s="833"/>
      <c r="E119" s="833"/>
      <c r="F119" s="1111"/>
      <c r="G119" s="1111"/>
      <c r="H119" s="834"/>
      <c r="I119" s="832"/>
      <c r="J119" s="1111"/>
      <c r="K119" s="832"/>
      <c r="L119" s="832"/>
      <c r="M119" s="832"/>
      <c r="N119" s="832"/>
      <c r="O119" s="832"/>
      <c r="P119" s="832"/>
      <c r="Q119" s="832"/>
      <c r="R119" s="832"/>
    </row>
    <row r="120" spans="2:18">
      <c r="B120" s="832"/>
      <c r="C120" s="833"/>
      <c r="D120" s="833"/>
      <c r="E120" s="833"/>
      <c r="F120" s="1111"/>
      <c r="G120" s="1111"/>
      <c r="H120" s="834"/>
      <c r="I120" s="832"/>
      <c r="J120" s="1111"/>
      <c r="K120" s="832"/>
      <c r="L120" s="832"/>
      <c r="M120" s="832"/>
      <c r="N120" s="832"/>
      <c r="O120" s="832"/>
      <c r="P120" s="832"/>
      <c r="Q120" s="832"/>
      <c r="R120" s="832"/>
    </row>
    <row r="121" spans="2:18">
      <c r="B121" s="832"/>
      <c r="C121" s="833"/>
      <c r="D121" s="833"/>
      <c r="E121" s="833"/>
      <c r="F121" s="1111"/>
      <c r="G121" s="1111"/>
      <c r="H121" s="834"/>
      <c r="I121" s="832"/>
      <c r="J121" s="1111"/>
      <c r="K121" s="832"/>
      <c r="L121" s="832"/>
      <c r="M121" s="832"/>
      <c r="N121" s="832"/>
      <c r="O121" s="832"/>
      <c r="P121" s="832"/>
      <c r="Q121" s="832"/>
      <c r="R121" s="832"/>
    </row>
    <row r="122" spans="2:18">
      <c r="B122" s="832"/>
      <c r="C122" s="833"/>
      <c r="D122" s="833"/>
      <c r="E122" s="833"/>
      <c r="F122" s="1111"/>
      <c r="G122" s="1111"/>
      <c r="H122" s="834"/>
      <c r="I122" s="832"/>
      <c r="J122" s="1111"/>
      <c r="K122" s="832"/>
      <c r="L122" s="832"/>
      <c r="M122" s="832"/>
      <c r="N122" s="832"/>
      <c r="O122" s="832"/>
      <c r="P122" s="832"/>
      <c r="Q122" s="832"/>
      <c r="R122" s="832"/>
    </row>
    <row r="123" spans="2:18">
      <c r="B123" s="832"/>
      <c r="C123" s="833"/>
      <c r="D123" s="833"/>
      <c r="E123" s="833"/>
      <c r="F123" s="1111"/>
      <c r="G123" s="1111"/>
      <c r="H123" s="834"/>
      <c r="I123" s="832"/>
      <c r="J123" s="1111"/>
      <c r="K123" s="832"/>
      <c r="L123" s="832"/>
      <c r="M123" s="832"/>
      <c r="N123" s="832"/>
      <c r="O123" s="832"/>
      <c r="P123" s="832"/>
      <c r="Q123" s="832"/>
      <c r="R123" s="832"/>
    </row>
    <row r="124" spans="2:18">
      <c r="B124" s="832"/>
      <c r="C124" s="833"/>
      <c r="D124" s="833"/>
      <c r="E124" s="833"/>
      <c r="F124" s="1111"/>
      <c r="G124" s="1111"/>
      <c r="H124" s="834"/>
      <c r="I124" s="832"/>
      <c r="J124" s="1111"/>
      <c r="K124" s="832"/>
      <c r="L124" s="832"/>
      <c r="M124" s="832"/>
      <c r="N124" s="832"/>
      <c r="O124" s="832"/>
      <c r="P124" s="832"/>
      <c r="Q124" s="832"/>
      <c r="R124" s="832"/>
    </row>
    <row r="125" spans="2:18">
      <c r="B125" s="832"/>
      <c r="C125" s="833"/>
      <c r="D125" s="833"/>
      <c r="E125" s="833"/>
      <c r="F125" s="1111"/>
      <c r="G125" s="1111"/>
      <c r="H125" s="834"/>
      <c r="I125" s="832"/>
      <c r="J125" s="1111"/>
      <c r="K125" s="832"/>
      <c r="L125" s="832"/>
      <c r="M125" s="832"/>
      <c r="N125" s="832"/>
      <c r="O125" s="832"/>
      <c r="P125" s="832"/>
      <c r="Q125" s="832"/>
      <c r="R125" s="832"/>
    </row>
    <row r="126" spans="2:18">
      <c r="B126" s="832"/>
      <c r="C126" s="833"/>
      <c r="D126" s="833"/>
      <c r="E126" s="833"/>
      <c r="F126" s="1111"/>
      <c r="G126" s="1111"/>
      <c r="H126" s="834"/>
      <c r="I126" s="832"/>
      <c r="J126" s="1111"/>
      <c r="K126" s="832"/>
      <c r="L126" s="832"/>
      <c r="M126" s="832"/>
      <c r="N126" s="832"/>
      <c r="O126" s="832"/>
      <c r="P126" s="832"/>
      <c r="Q126" s="832"/>
      <c r="R126" s="832"/>
    </row>
    <row r="127" spans="2:18">
      <c r="B127" s="832"/>
      <c r="C127" s="833"/>
      <c r="D127" s="833"/>
      <c r="E127" s="833"/>
      <c r="F127" s="1111"/>
      <c r="G127" s="1111"/>
      <c r="H127" s="834"/>
      <c r="I127" s="832"/>
      <c r="J127" s="1111"/>
      <c r="K127" s="832"/>
      <c r="L127" s="832"/>
      <c r="M127" s="832"/>
      <c r="N127" s="832"/>
      <c r="O127" s="832"/>
      <c r="P127" s="832"/>
      <c r="Q127" s="832"/>
      <c r="R127" s="832"/>
    </row>
    <row r="128" spans="2:18">
      <c r="B128" s="832"/>
      <c r="C128" s="833"/>
      <c r="D128" s="833"/>
      <c r="E128" s="833"/>
      <c r="F128" s="1111"/>
      <c r="G128" s="1111"/>
      <c r="H128" s="834"/>
      <c r="I128" s="832"/>
      <c r="J128" s="1111"/>
      <c r="K128" s="832"/>
      <c r="L128" s="832"/>
      <c r="M128" s="832"/>
      <c r="N128" s="832"/>
      <c r="O128" s="832"/>
      <c r="P128" s="832"/>
      <c r="Q128" s="832"/>
      <c r="R128" s="832"/>
    </row>
    <row r="129" spans="2:18">
      <c r="B129" s="832"/>
      <c r="C129" s="833"/>
      <c r="D129" s="833"/>
      <c r="E129" s="833"/>
      <c r="F129" s="1111"/>
      <c r="G129" s="1111"/>
      <c r="H129" s="834"/>
      <c r="I129" s="832"/>
      <c r="J129" s="1111"/>
      <c r="K129" s="832"/>
      <c r="L129" s="832"/>
      <c r="M129" s="832"/>
      <c r="N129" s="832"/>
      <c r="O129" s="832"/>
      <c r="P129" s="832"/>
      <c r="Q129" s="832"/>
      <c r="R129" s="832"/>
    </row>
    <row r="130" spans="2:18">
      <c r="B130" s="832"/>
      <c r="C130" s="833"/>
      <c r="D130" s="833"/>
      <c r="E130" s="833"/>
      <c r="F130" s="1111"/>
      <c r="G130" s="1111"/>
      <c r="H130" s="834"/>
      <c r="I130" s="832"/>
      <c r="J130" s="1111"/>
      <c r="K130" s="832"/>
      <c r="L130" s="832"/>
      <c r="M130" s="832"/>
      <c r="N130" s="832"/>
      <c r="O130" s="832"/>
      <c r="P130" s="832"/>
      <c r="Q130" s="832"/>
      <c r="R130" s="832"/>
    </row>
    <row r="131" spans="2:18">
      <c r="B131" s="832"/>
      <c r="C131" s="833"/>
      <c r="D131" s="833"/>
      <c r="E131" s="833"/>
      <c r="F131" s="1111"/>
      <c r="G131" s="1111"/>
      <c r="H131" s="834"/>
      <c r="I131" s="832"/>
      <c r="J131" s="1111"/>
      <c r="K131" s="832"/>
      <c r="L131" s="832"/>
      <c r="M131" s="832"/>
      <c r="N131" s="832"/>
      <c r="O131" s="832"/>
      <c r="P131" s="832"/>
      <c r="Q131" s="832"/>
      <c r="R131" s="832"/>
    </row>
    <row r="132" spans="2:18">
      <c r="B132" s="832"/>
      <c r="C132" s="833"/>
      <c r="D132" s="833"/>
      <c r="E132" s="833"/>
      <c r="F132" s="1111"/>
      <c r="G132" s="1111"/>
      <c r="H132" s="834"/>
      <c r="I132" s="832"/>
      <c r="J132" s="1111"/>
      <c r="K132" s="832"/>
      <c r="L132" s="832"/>
      <c r="M132" s="832"/>
      <c r="N132" s="832"/>
      <c r="O132" s="832"/>
      <c r="P132" s="832"/>
      <c r="Q132" s="832"/>
      <c r="R132" s="832"/>
    </row>
    <row r="133" spans="2:18">
      <c r="B133" s="832"/>
      <c r="C133" s="833"/>
      <c r="D133" s="833"/>
      <c r="E133" s="833"/>
      <c r="F133" s="1111"/>
      <c r="G133" s="1111"/>
      <c r="H133" s="834"/>
      <c r="I133" s="832"/>
      <c r="J133" s="1111"/>
      <c r="K133" s="832"/>
      <c r="L133" s="832"/>
      <c r="M133" s="832"/>
      <c r="N133" s="832"/>
      <c r="O133" s="832"/>
      <c r="P133" s="832"/>
      <c r="Q133" s="832"/>
      <c r="R133" s="832"/>
    </row>
    <row r="134" spans="2:18">
      <c r="B134" s="832"/>
      <c r="C134" s="833"/>
      <c r="D134" s="833"/>
      <c r="E134" s="833"/>
      <c r="F134" s="1111"/>
      <c r="G134" s="1111"/>
      <c r="H134" s="834"/>
      <c r="I134" s="832"/>
      <c r="J134" s="1111"/>
      <c r="K134" s="832"/>
      <c r="L134" s="832"/>
      <c r="M134" s="832"/>
      <c r="N134" s="832"/>
      <c r="O134" s="832"/>
      <c r="P134" s="832"/>
      <c r="Q134" s="832"/>
      <c r="R134" s="832"/>
    </row>
    <row r="135" spans="2:18">
      <c r="B135" s="832"/>
      <c r="C135" s="833"/>
      <c r="D135" s="833"/>
      <c r="E135" s="833"/>
      <c r="F135" s="1111"/>
      <c r="G135" s="1111"/>
      <c r="H135" s="834"/>
      <c r="I135" s="832"/>
      <c r="J135" s="1111"/>
      <c r="K135" s="832"/>
      <c r="L135" s="832"/>
      <c r="M135" s="832"/>
      <c r="N135" s="832"/>
      <c r="O135" s="832"/>
      <c r="P135" s="832"/>
      <c r="Q135" s="832"/>
      <c r="R135" s="832"/>
    </row>
    <row r="136" spans="2:18">
      <c r="B136" s="832"/>
      <c r="C136" s="833"/>
      <c r="D136" s="833"/>
      <c r="E136" s="833"/>
      <c r="F136" s="1111"/>
      <c r="G136" s="1111"/>
      <c r="H136" s="834"/>
      <c r="I136" s="832"/>
      <c r="J136" s="1111"/>
      <c r="K136" s="832"/>
      <c r="L136" s="832"/>
      <c r="M136" s="832"/>
      <c r="N136" s="832"/>
      <c r="O136" s="832"/>
      <c r="P136" s="832"/>
      <c r="Q136" s="832"/>
      <c r="R136" s="832"/>
    </row>
    <row r="137" spans="2:18">
      <c r="B137" s="832"/>
      <c r="C137" s="833"/>
      <c r="D137" s="833"/>
      <c r="E137" s="833"/>
      <c r="F137" s="1111"/>
      <c r="G137" s="1111"/>
      <c r="H137" s="834"/>
      <c r="I137" s="832"/>
      <c r="J137" s="1111"/>
      <c r="K137" s="832"/>
      <c r="L137" s="832"/>
      <c r="M137" s="832"/>
      <c r="N137" s="832"/>
      <c r="O137" s="832"/>
      <c r="P137" s="832"/>
      <c r="Q137" s="832"/>
      <c r="R137" s="832"/>
    </row>
    <row r="138" spans="2:18">
      <c r="B138" s="832"/>
      <c r="C138" s="833"/>
      <c r="D138" s="833"/>
      <c r="E138" s="833"/>
      <c r="F138" s="1111"/>
      <c r="G138" s="1111"/>
      <c r="H138" s="834"/>
      <c r="I138" s="832"/>
      <c r="J138" s="1111"/>
      <c r="K138" s="832"/>
      <c r="L138" s="832"/>
      <c r="M138" s="832"/>
      <c r="N138" s="832"/>
      <c r="O138" s="832"/>
      <c r="P138" s="832"/>
      <c r="Q138" s="832"/>
      <c r="R138" s="832"/>
    </row>
    <row r="139" spans="2:18">
      <c r="B139" s="832"/>
      <c r="C139" s="833"/>
      <c r="D139" s="833"/>
      <c r="E139" s="833"/>
      <c r="F139" s="1111"/>
      <c r="G139" s="1111"/>
      <c r="H139" s="834"/>
      <c r="I139" s="832"/>
      <c r="J139" s="1111"/>
      <c r="K139" s="832"/>
      <c r="L139" s="832"/>
      <c r="M139" s="832"/>
      <c r="N139" s="832"/>
      <c r="O139" s="832"/>
      <c r="P139" s="832"/>
      <c r="Q139" s="832"/>
      <c r="R139" s="832"/>
    </row>
    <row r="140" spans="2:18">
      <c r="B140" s="832"/>
      <c r="C140" s="833"/>
      <c r="D140" s="833"/>
      <c r="E140" s="833"/>
      <c r="F140" s="1111"/>
      <c r="G140" s="1111"/>
      <c r="H140" s="834"/>
      <c r="I140" s="832"/>
      <c r="J140" s="1111"/>
      <c r="K140" s="832"/>
      <c r="L140" s="832"/>
      <c r="M140" s="832"/>
      <c r="N140" s="832"/>
      <c r="O140" s="832"/>
      <c r="P140" s="832"/>
      <c r="Q140" s="832"/>
      <c r="R140" s="832"/>
    </row>
    <row r="141" spans="2:18">
      <c r="B141" s="832"/>
      <c r="C141" s="833"/>
      <c r="D141" s="833"/>
      <c r="E141" s="833"/>
      <c r="F141" s="1111"/>
      <c r="G141" s="1111"/>
      <c r="H141" s="834"/>
      <c r="I141" s="832"/>
      <c r="J141" s="1111"/>
      <c r="K141" s="832"/>
      <c r="L141" s="832"/>
      <c r="M141" s="832"/>
      <c r="N141" s="832"/>
      <c r="O141" s="832"/>
      <c r="P141" s="832"/>
      <c r="Q141" s="832"/>
      <c r="R141" s="832"/>
    </row>
    <row r="142" spans="2:18">
      <c r="B142" s="832"/>
      <c r="C142" s="833"/>
      <c r="D142" s="833"/>
      <c r="E142" s="833"/>
      <c r="F142" s="1111"/>
      <c r="G142" s="1111"/>
      <c r="H142" s="834"/>
      <c r="I142" s="832"/>
      <c r="J142" s="1111"/>
      <c r="K142" s="832"/>
      <c r="L142" s="832"/>
      <c r="M142" s="832"/>
      <c r="N142" s="832"/>
      <c r="O142" s="832"/>
      <c r="P142" s="832"/>
      <c r="Q142" s="832"/>
      <c r="R142" s="832"/>
    </row>
    <row r="143" spans="2:18">
      <c r="B143" s="832"/>
      <c r="C143" s="833"/>
      <c r="D143" s="833"/>
      <c r="E143" s="833"/>
      <c r="F143" s="1111"/>
      <c r="G143" s="1111"/>
      <c r="H143" s="834"/>
      <c r="I143" s="832"/>
      <c r="J143" s="1111"/>
      <c r="K143" s="832"/>
      <c r="L143" s="832"/>
      <c r="M143" s="832"/>
      <c r="N143" s="832"/>
      <c r="O143" s="832"/>
      <c r="P143" s="832"/>
      <c r="Q143" s="832"/>
      <c r="R143" s="832"/>
    </row>
    <row r="144" spans="2:18">
      <c r="B144" s="832"/>
      <c r="C144" s="833"/>
      <c r="D144" s="833"/>
      <c r="E144" s="833"/>
      <c r="F144" s="1111"/>
      <c r="G144" s="1111"/>
      <c r="H144" s="834"/>
      <c r="I144" s="832"/>
      <c r="J144" s="1111"/>
      <c r="K144" s="832"/>
      <c r="L144" s="832"/>
      <c r="M144" s="832"/>
      <c r="N144" s="832"/>
      <c r="O144" s="832"/>
      <c r="P144" s="832"/>
      <c r="Q144" s="832"/>
      <c r="R144" s="832"/>
    </row>
    <row r="145" spans="2:18">
      <c r="B145" s="832"/>
      <c r="C145" s="833"/>
      <c r="D145" s="833"/>
      <c r="E145" s="833"/>
      <c r="F145" s="1111"/>
      <c r="G145" s="1111"/>
      <c r="H145" s="834"/>
      <c r="I145" s="832"/>
      <c r="J145" s="1111"/>
      <c r="K145" s="832"/>
      <c r="L145" s="832"/>
      <c r="M145" s="832"/>
      <c r="N145" s="832"/>
      <c r="O145" s="832"/>
      <c r="P145" s="832"/>
      <c r="Q145" s="832"/>
      <c r="R145" s="832"/>
    </row>
    <row r="146" spans="2:18">
      <c r="B146" s="832"/>
      <c r="C146" s="833"/>
      <c r="D146" s="833"/>
      <c r="E146" s="833"/>
      <c r="F146" s="1111"/>
      <c r="G146" s="1111"/>
      <c r="H146" s="834"/>
      <c r="I146" s="832"/>
      <c r="J146" s="1111"/>
      <c r="K146" s="832"/>
      <c r="L146" s="832"/>
      <c r="M146" s="832"/>
      <c r="N146" s="832"/>
      <c r="O146" s="832"/>
      <c r="P146" s="832"/>
      <c r="Q146" s="832"/>
      <c r="R146" s="832"/>
    </row>
    <row r="147" spans="2:18">
      <c r="B147" s="832"/>
      <c r="C147" s="833"/>
      <c r="D147" s="833"/>
      <c r="E147" s="833"/>
      <c r="F147" s="1111"/>
      <c r="G147" s="1111"/>
      <c r="H147" s="834"/>
      <c r="I147" s="832"/>
      <c r="J147" s="1111"/>
      <c r="K147" s="832"/>
      <c r="L147" s="832"/>
      <c r="M147" s="832"/>
      <c r="N147" s="832"/>
      <c r="O147" s="832"/>
      <c r="P147" s="832"/>
      <c r="Q147" s="832"/>
      <c r="R147" s="832"/>
    </row>
    <row r="148" spans="2:18">
      <c r="B148" s="832"/>
      <c r="C148" s="833"/>
      <c r="D148" s="833"/>
      <c r="E148" s="833"/>
      <c r="F148" s="1111"/>
      <c r="G148" s="1111"/>
      <c r="H148" s="834"/>
      <c r="I148" s="832"/>
      <c r="J148" s="1111"/>
      <c r="K148" s="832"/>
      <c r="L148" s="832"/>
      <c r="M148" s="832"/>
      <c r="N148" s="832"/>
      <c r="O148" s="832"/>
      <c r="P148" s="832"/>
      <c r="Q148" s="832"/>
      <c r="R148" s="832"/>
    </row>
    <row r="149" spans="2:18">
      <c r="B149" s="832"/>
      <c r="C149" s="833"/>
      <c r="D149" s="833"/>
      <c r="E149" s="833"/>
      <c r="F149" s="1111"/>
      <c r="G149" s="1111"/>
      <c r="H149" s="834"/>
      <c r="I149" s="832"/>
      <c r="J149" s="1111"/>
      <c r="K149" s="832"/>
      <c r="L149" s="832"/>
      <c r="M149" s="832"/>
      <c r="N149" s="832"/>
      <c r="O149" s="832"/>
      <c r="P149" s="832"/>
      <c r="Q149" s="832"/>
      <c r="R149" s="832"/>
    </row>
    <row r="150" spans="2:18">
      <c r="B150" s="832"/>
      <c r="C150" s="833"/>
      <c r="D150" s="833"/>
      <c r="E150" s="833"/>
      <c r="F150" s="1111"/>
      <c r="G150" s="1111"/>
      <c r="H150" s="834"/>
      <c r="I150" s="832"/>
      <c r="J150" s="1111"/>
      <c r="K150" s="832"/>
      <c r="L150" s="832"/>
      <c r="M150" s="832"/>
      <c r="N150" s="832"/>
      <c r="O150" s="832"/>
      <c r="P150" s="832"/>
      <c r="Q150" s="832"/>
      <c r="R150" s="832"/>
    </row>
    <row r="151" spans="2:18">
      <c r="B151" s="832"/>
      <c r="C151" s="833"/>
      <c r="D151" s="833"/>
      <c r="E151" s="833"/>
      <c r="F151" s="1111"/>
      <c r="G151" s="1111"/>
      <c r="H151" s="834"/>
      <c r="I151" s="832"/>
      <c r="J151" s="1111"/>
      <c r="K151" s="832"/>
      <c r="L151" s="832"/>
      <c r="M151" s="832"/>
      <c r="N151" s="832"/>
      <c r="O151" s="832"/>
      <c r="P151" s="832"/>
      <c r="Q151" s="832"/>
      <c r="R151" s="832"/>
    </row>
    <row r="152" spans="2:18">
      <c r="B152" s="832"/>
      <c r="C152" s="833"/>
      <c r="D152" s="833"/>
      <c r="E152" s="833"/>
      <c r="F152" s="1111"/>
      <c r="G152" s="1111"/>
      <c r="H152" s="834"/>
      <c r="I152" s="832"/>
      <c r="J152" s="1111"/>
      <c r="K152" s="832"/>
      <c r="L152" s="832"/>
      <c r="M152" s="832"/>
      <c r="N152" s="832"/>
      <c r="O152" s="832"/>
      <c r="P152" s="832"/>
      <c r="Q152" s="832"/>
      <c r="R152" s="832"/>
    </row>
    <row r="153" spans="2:18">
      <c r="B153" s="832"/>
      <c r="C153" s="833"/>
      <c r="D153" s="833"/>
      <c r="E153" s="833"/>
      <c r="F153" s="1111"/>
      <c r="G153" s="1111"/>
      <c r="H153" s="834"/>
      <c r="I153" s="832"/>
      <c r="J153" s="1111"/>
      <c r="K153" s="832"/>
      <c r="L153" s="832"/>
      <c r="M153" s="832"/>
      <c r="N153" s="832"/>
      <c r="O153" s="832"/>
      <c r="P153" s="832"/>
      <c r="Q153" s="832"/>
      <c r="R153" s="832"/>
    </row>
    <row r="154" spans="2:18">
      <c r="B154" s="832"/>
      <c r="C154" s="833"/>
      <c r="D154" s="833"/>
      <c r="E154" s="833"/>
      <c r="F154" s="1111"/>
      <c r="G154" s="1111"/>
      <c r="H154" s="834"/>
      <c r="I154" s="832"/>
      <c r="J154" s="1111"/>
      <c r="K154" s="832"/>
      <c r="L154" s="832"/>
      <c r="M154" s="832"/>
      <c r="N154" s="832"/>
      <c r="O154" s="832"/>
      <c r="P154" s="832"/>
      <c r="Q154" s="832"/>
      <c r="R154" s="832"/>
    </row>
    <row r="155" spans="2:18">
      <c r="B155" s="832"/>
      <c r="C155" s="833"/>
      <c r="D155" s="833"/>
      <c r="E155" s="833"/>
      <c r="F155" s="1111"/>
      <c r="G155" s="1111"/>
      <c r="H155" s="834"/>
      <c r="I155" s="832"/>
      <c r="J155" s="1111"/>
      <c r="K155" s="832"/>
      <c r="L155" s="832"/>
      <c r="M155" s="832"/>
      <c r="N155" s="832"/>
      <c r="O155" s="832"/>
      <c r="P155" s="832"/>
      <c r="Q155" s="832"/>
      <c r="R155" s="832"/>
    </row>
    <row r="156" spans="2:18">
      <c r="B156" s="832"/>
      <c r="C156" s="833"/>
      <c r="D156" s="833"/>
      <c r="E156" s="833"/>
      <c r="F156" s="1111"/>
      <c r="G156" s="1111"/>
      <c r="H156" s="834"/>
      <c r="I156" s="832"/>
      <c r="J156" s="1111"/>
      <c r="K156" s="832"/>
      <c r="L156" s="832"/>
      <c r="M156" s="832"/>
      <c r="N156" s="832"/>
      <c r="O156" s="832"/>
      <c r="P156" s="832"/>
      <c r="Q156" s="832"/>
      <c r="R156" s="832"/>
    </row>
    <row r="157" spans="2:18">
      <c r="B157" s="832"/>
      <c r="C157" s="833"/>
      <c r="D157" s="833"/>
      <c r="E157" s="833"/>
      <c r="F157" s="1111"/>
      <c r="G157" s="1111"/>
      <c r="H157" s="834"/>
      <c r="I157" s="832"/>
      <c r="J157" s="1111"/>
      <c r="K157" s="832"/>
      <c r="L157" s="832"/>
      <c r="M157" s="832"/>
      <c r="N157" s="832"/>
      <c r="O157" s="832"/>
      <c r="P157" s="832"/>
      <c r="Q157" s="832"/>
      <c r="R157" s="832"/>
    </row>
    <row r="158" spans="2:18">
      <c r="B158" s="832"/>
      <c r="C158" s="833"/>
      <c r="D158" s="833"/>
      <c r="E158" s="833"/>
      <c r="F158" s="1111"/>
      <c r="G158" s="1111"/>
      <c r="H158" s="834"/>
      <c r="I158" s="832"/>
      <c r="J158" s="1111"/>
      <c r="K158" s="832"/>
      <c r="L158" s="832"/>
      <c r="M158" s="832"/>
      <c r="N158" s="832"/>
      <c r="O158" s="832"/>
      <c r="P158" s="832"/>
      <c r="Q158" s="832"/>
      <c r="R158" s="832"/>
    </row>
    <row r="159" spans="2:18">
      <c r="B159" s="832"/>
      <c r="C159" s="833"/>
      <c r="D159" s="833"/>
      <c r="E159" s="833"/>
      <c r="F159" s="1111"/>
      <c r="G159" s="1111"/>
      <c r="H159" s="834"/>
      <c r="I159" s="832"/>
      <c r="J159" s="1111"/>
      <c r="K159" s="832"/>
      <c r="L159" s="832"/>
      <c r="M159" s="832"/>
      <c r="N159" s="832"/>
      <c r="O159" s="832"/>
      <c r="P159" s="832"/>
      <c r="Q159" s="832"/>
      <c r="R159" s="832"/>
    </row>
    <row r="160" spans="2:18">
      <c r="B160" s="832"/>
      <c r="C160" s="833"/>
      <c r="D160" s="833"/>
      <c r="E160" s="833"/>
      <c r="F160" s="1111"/>
      <c r="G160" s="1111"/>
      <c r="H160" s="834"/>
      <c r="I160" s="832"/>
      <c r="J160" s="1111"/>
      <c r="K160" s="832"/>
      <c r="L160" s="832"/>
      <c r="M160" s="832"/>
      <c r="N160" s="832"/>
      <c r="O160" s="832"/>
      <c r="P160" s="832"/>
      <c r="Q160" s="832"/>
      <c r="R160" s="832"/>
    </row>
    <row r="161" spans="2:18">
      <c r="B161" s="832"/>
      <c r="C161" s="833"/>
      <c r="D161" s="833"/>
      <c r="E161" s="833"/>
      <c r="F161" s="1111"/>
      <c r="G161" s="1111"/>
      <c r="H161" s="834"/>
      <c r="I161" s="832"/>
      <c r="J161" s="1111"/>
      <c r="K161" s="832"/>
      <c r="L161" s="832"/>
      <c r="M161" s="832"/>
      <c r="N161" s="832"/>
      <c r="O161" s="832"/>
      <c r="P161" s="832"/>
      <c r="Q161" s="832"/>
      <c r="R161" s="832"/>
    </row>
    <row r="162" spans="2:18">
      <c r="B162" s="832"/>
      <c r="C162" s="833"/>
      <c r="D162" s="833"/>
      <c r="E162" s="833"/>
      <c r="F162" s="1111"/>
      <c r="G162" s="1111"/>
      <c r="H162" s="834"/>
      <c r="I162" s="832"/>
      <c r="J162" s="1111"/>
      <c r="K162" s="832"/>
      <c r="L162" s="832"/>
      <c r="M162" s="832"/>
      <c r="N162" s="832"/>
      <c r="O162" s="832"/>
      <c r="P162" s="832"/>
      <c r="Q162" s="832"/>
      <c r="R162" s="832"/>
    </row>
    <row r="163" spans="2:18">
      <c r="B163" s="832"/>
      <c r="C163" s="833"/>
      <c r="D163" s="833"/>
      <c r="E163" s="833"/>
      <c r="F163" s="1111"/>
      <c r="G163" s="1111"/>
      <c r="H163" s="834"/>
      <c r="I163" s="832"/>
      <c r="J163" s="1111"/>
      <c r="K163" s="832"/>
      <c r="L163" s="832"/>
      <c r="M163" s="832"/>
      <c r="N163" s="832"/>
      <c r="O163" s="832"/>
      <c r="P163" s="832"/>
      <c r="Q163" s="832"/>
      <c r="R163" s="832"/>
    </row>
    <row r="164" spans="2:18">
      <c r="B164" s="832"/>
      <c r="C164" s="833"/>
      <c r="D164" s="833"/>
      <c r="E164" s="833"/>
      <c r="F164" s="1111"/>
      <c r="G164" s="1111"/>
      <c r="H164" s="834"/>
      <c r="I164" s="832"/>
      <c r="J164" s="1111"/>
      <c r="K164" s="832"/>
      <c r="L164" s="832"/>
      <c r="M164" s="832"/>
      <c r="N164" s="832"/>
      <c r="O164" s="832"/>
      <c r="P164" s="832"/>
      <c r="Q164" s="832"/>
      <c r="R164" s="832"/>
    </row>
    <row r="165" spans="2:18">
      <c r="B165" s="832"/>
      <c r="C165" s="833"/>
      <c r="D165" s="833"/>
      <c r="E165" s="833"/>
      <c r="F165" s="1111"/>
      <c r="G165" s="1111"/>
      <c r="H165" s="834"/>
      <c r="I165" s="832"/>
      <c r="J165" s="1111"/>
      <c r="K165" s="832"/>
      <c r="L165" s="832"/>
      <c r="M165" s="832"/>
      <c r="N165" s="832"/>
      <c r="O165" s="832"/>
      <c r="P165" s="832"/>
      <c r="Q165" s="832"/>
      <c r="R165" s="832"/>
    </row>
    <row r="166" spans="2:18">
      <c r="B166" s="832"/>
      <c r="C166" s="833"/>
      <c r="D166" s="833"/>
      <c r="E166" s="833"/>
      <c r="F166" s="1111"/>
      <c r="G166" s="1111"/>
      <c r="H166" s="834"/>
      <c r="I166" s="832"/>
      <c r="J166" s="1111"/>
      <c r="K166" s="832"/>
      <c r="L166" s="832"/>
      <c r="M166" s="832"/>
      <c r="N166" s="832"/>
      <c r="O166" s="832"/>
      <c r="P166" s="832"/>
      <c r="Q166" s="832"/>
      <c r="R166" s="832"/>
    </row>
    <row r="167" spans="2:18">
      <c r="B167" s="832"/>
      <c r="C167" s="833"/>
      <c r="D167" s="833"/>
      <c r="E167" s="833"/>
      <c r="F167" s="1111"/>
      <c r="G167" s="1111"/>
      <c r="H167" s="834"/>
      <c r="I167" s="832"/>
      <c r="J167" s="1111"/>
      <c r="K167" s="832"/>
      <c r="L167" s="832"/>
      <c r="M167" s="832"/>
      <c r="N167" s="832"/>
      <c r="O167" s="832"/>
      <c r="P167" s="832"/>
      <c r="Q167" s="832"/>
      <c r="R167" s="832"/>
    </row>
    <row r="168" spans="2:18">
      <c r="B168" s="832"/>
      <c r="C168" s="833"/>
      <c r="D168" s="833"/>
      <c r="E168" s="833"/>
      <c r="F168" s="1111"/>
      <c r="G168" s="1111"/>
      <c r="H168" s="834"/>
      <c r="I168" s="832"/>
      <c r="J168" s="1111"/>
      <c r="K168" s="832"/>
      <c r="L168" s="832"/>
      <c r="M168" s="832"/>
      <c r="N168" s="832"/>
      <c r="O168" s="832"/>
      <c r="P168" s="832"/>
      <c r="Q168" s="832"/>
      <c r="R168" s="832"/>
    </row>
    <row r="169" spans="2:18">
      <c r="B169" s="832"/>
      <c r="C169" s="833"/>
      <c r="D169" s="833"/>
      <c r="E169" s="833"/>
      <c r="F169" s="1111"/>
      <c r="G169" s="1111"/>
      <c r="H169" s="834"/>
      <c r="I169" s="832"/>
      <c r="J169" s="1111"/>
      <c r="K169" s="832"/>
      <c r="L169" s="832"/>
      <c r="M169" s="832"/>
      <c r="N169" s="832"/>
      <c r="O169" s="832"/>
      <c r="P169" s="832"/>
      <c r="Q169" s="832"/>
      <c r="R169" s="832"/>
    </row>
    <row r="170" spans="2:18">
      <c r="B170" s="832"/>
      <c r="C170" s="833"/>
      <c r="D170" s="833"/>
      <c r="E170" s="833"/>
      <c r="F170" s="1111"/>
      <c r="G170" s="1111"/>
      <c r="H170" s="834"/>
      <c r="I170" s="832"/>
      <c r="J170" s="1111"/>
      <c r="K170" s="832"/>
      <c r="L170" s="832"/>
      <c r="M170" s="832"/>
      <c r="N170" s="832"/>
      <c r="O170" s="832"/>
      <c r="P170" s="832"/>
      <c r="Q170" s="832"/>
      <c r="R170" s="832"/>
    </row>
    <row r="171" spans="2:18">
      <c r="B171" s="832"/>
      <c r="C171" s="833"/>
      <c r="D171" s="833"/>
      <c r="E171" s="833"/>
      <c r="F171" s="1111"/>
      <c r="G171" s="1111"/>
      <c r="H171" s="834"/>
      <c r="I171" s="832"/>
      <c r="J171" s="1111"/>
      <c r="K171" s="832"/>
      <c r="L171" s="832"/>
      <c r="M171" s="832"/>
      <c r="N171" s="832"/>
      <c r="O171" s="832"/>
      <c r="P171" s="832"/>
      <c r="Q171" s="832"/>
      <c r="R171" s="832"/>
    </row>
    <row r="172" spans="2:18">
      <c r="B172" s="832"/>
      <c r="C172" s="833"/>
      <c r="D172" s="833"/>
      <c r="E172" s="833"/>
      <c r="F172" s="1111"/>
      <c r="G172" s="1111"/>
      <c r="H172" s="834"/>
      <c r="I172" s="832"/>
      <c r="J172" s="1111"/>
      <c r="K172" s="832"/>
      <c r="L172" s="832"/>
      <c r="M172" s="832"/>
      <c r="N172" s="832"/>
      <c r="O172" s="832"/>
      <c r="P172" s="832"/>
      <c r="Q172" s="832"/>
      <c r="R172" s="832"/>
    </row>
    <row r="173" spans="2:18">
      <c r="B173" s="832"/>
      <c r="C173" s="833"/>
      <c r="D173" s="833"/>
      <c r="E173" s="833"/>
      <c r="F173" s="1111"/>
      <c r="G173" s="1111"/>
      <c r="H173" s="834"/>
      <c r="I173" s="832"/>
      <c r="J173" s="1111"/>
      <c r="K173" s="832"/>
      <c r="L173" s="832"/>
      <c r="M173" s="832"/>
      <c r="N173" s="832"/>
      <c r="O173" s="832"/>
      <c r="P173" s="832"/>
      <c r="Q173" s="832"/>
      <c r="R173" s="832"/>
    </row>
    <row r="174" spans="2:18">
      <c r="B174" s="832"/>
      <c r="C174" s="833"/>
      <c r="D174" s="833"/>
      <c r="E174" s="833"/>
      <c r="F174" s="1111"/>
      <c r="G174" s="1111"/>
      <c r="H174" s="834"/>
      <c r="I174" s="832"/>
      <c r="J174" s="1111"/>
      <c r="K174" s="832"/>
      <c r="L174" s="832"/>
      <c r="M174" s="832"/>
      <c r="N174" s="832"/>
      <c r="O174" s="832"/>
      <c r="P174" s="832"/>
      <c r="Q174" s="832"/>
      <c r="R174" s="832"/>
    </row>
    <row r="175" spans="2:18">
      <c r="B175" s="832"/>
      <c r="C175" s="833"/>
      <c r="D175" s="833"/>
      <c r="E175" s="833"/>
      <c r="F175" s="1111"/>
      <c r="G175" s="1111"/>
      <c r="H175" s="834"/>
      <c r="I175" s="832"/>
      <c r="J175" s="1111"/>
      <c r="K175" s="832"/>
      <c r="L175" s="832"/>
      <c r="M175" s="832"/>
      <c r="N175" s="832"/>
      <c r="O175" s="832"/>
      <c r="P175" s="832"/>
      <c r="Q175" s="832"/>
      <c r="R175" s="832"/>
    </row>
    <row r="176" spans="2:18">
      <c r="B176" s="832"/>
      <c r="C176" s="833"/>
      <c r="D176" s="833"/>
      <c r="E176" s="833"/>
      <c r="F176" s="1111"/>
      <c r="G176" s="1111"/>
      <c r="H176" s="834"/>
      <c r="I176" s="832"/>
      <c r="J176" s="1111"/>
      <c r="K176" s="832"/>
      <c r="L176" s="832"/>
      <c r="M176" s="832"/>
      <c r="N176" s="832"/>
      <c r="O176" s="832"/>
      <c r="P176" s="832"/>
      <c r="Q176" s="832"/>
      <c r="R176" s="832"/>
    </row>
    <row r="177" spans="2:18">
      <c r="B177" s="832"/>
      <c r="C177" s="833"/>
      <c r="D177" s="833"/>
      <c r="E177" s="833"/>
      <c r="F177" s="1111"/>
      <c r="G177" s="1111"/>
      <c r="H177" s="834"/>
      <c r="I177" s="832"/>
      <c r="J177" s="1111"/>
      <c r="K177" s="832"/>
      <c r="L177" s="832"/>
      <c r="M177" s="832"/>
      <c r="N177" s="832"/>
      <c r="O177" s="832"/>
      <c r="P177" s="832"/>
      <c r="Q177" s="832"/>
      <c r="R177" s="832"/>
    </row>
    <row r="178" spans="2:18">
      <c r="B178" s="832"/>
      <c r="C178" s="833"/>
      <c r="D178" s="833"/>
      <c r="E178" s="833"/>
      <c r="F178" s="1111"/>
      <c r="G178" s="1111"/>
      <c r="H178" s="834"/>
      <c r="I178" s="832"/>
      <c r="J178" s="1111"/>
      <c r="K178" s="832"/>
      <c r="L178" s="832"/>
      <c r="M178" s="832"/>
      <c r="N178" s="832"/>
      <c r="O178" s="832"/>
      <c r="P178" s="832"/>
      <c r="Q178" s="832"/>
      <c r="R178" s="832"/>
    </row>
    <row r="179" spans="2:18">
      <c r="B179" s="832"/>
      <c r="C179" s="833"/>
      <c r="D179" s="833"/>
      <c r="E179" s="833"/>
      <c r="F179" s="1111"/>
      <c r="G179" s="1111"/>
      <c r="H179" s="834"/>
      <c r="I179" s="832"/>
      <c r="J179" s="1111"/>
      <c r="K179" s="832"/>
      <c r="L179" s="832"/>
      <c r="M179" s="832"/>
      <c r="N179" s="832"/>
      <c r="O179" s="832"/>
      <c r="P179" s="832"/>
      <c r="Q179" s="832"/>
      <c r="R179" s="832"/>
    </row>
    <row r="180" spans="2:18">
      <c r="B180" s="832"/>
      <c r="C180" s="833"/>
      <c r="D180" s="833"/>
      <c r="E180" s="833"/>
      <c r="F180" s="1111"/>
      <c r="G180" s="1111"/>
      <c r="H180" s="834"/>
      <c r="I180" s="832"/>
      <c r="J180" s="1111"/>
      <c r="K180" s="832"/>
      <c r="L180" s="832"/>
      <c r="M180" s="832"/>
      <c r="N180" s="832"/>
      <c r="O180" s="832"/>
      <c r="P180" s="832"/>
      <c r="Q180" s="832"/>
      <c r="R180" s="832"/>
    </row>
    <row r="181" spans="2:18">
      <c r="B181" s="832"/>
      <c r="C181" s="833"/>
      <c r="D181" s="833"/>
      <c r="E181" s="833"/>
      <c r="F181" s="1111"/>
      <c r="G181" s="1111"/>
      <c r="H181" s="834"/>
      <c r="I181" s="832"/>
      <c r="J181" s="1111"/>
      <c r="K181" s="832"/>
      <c r="L181" s="832"/>
      <c r="M181" s="832"/>
      <c r="N181" s="832"/>
      <c r="O181" s="832"/>
      <c r="P181" s="832"/>
      <c r="Q181" s="832"/>
      <c r="R181" s="832"/>
    </row>
    <row r="182" spans="2:18">
      <c r="B182" s="832"/>
      <c r="C182" s="833"/>
      <c r="D182" s="833"/>
      <c r="E182" s="833"/>
      <c r="F182" s="1111"/>
      <c r="G182" s="1111"/>
      <c r="H182" s="834"/>
      <c r="I182" s="832"/>
      <c r="J182" s="1111"/>
      <c r="K182" s="832"/>
      <c r="L182" s="832"/>
      <c r="M182" s="832"/>
      <c r="N182" s="832"/>
      <c r="O182" s="832"/>
      <c r="P182" s="832"/>
      <c r="Q182" s="832"/>
      <c r="R182" s="832"/>
    </row>
    <row r="183" spans="2:18">
      <c r="B183" s="832"/>
      <c r="C183" s="833"/>
      <c r="D183" s="833"/>
      <c r="E183" s="833"/>
      <c r="F183" s="1111"/>
      <c r="G183" s="1111"/>
      <c r="H183" s="834"/>
      <c r="I183" s="832"/>
      <c r="J183" s="1111"/>
      <c r="K183" s="832"/>
      <c r="L183" s="832"/>
      <c r="M183" s="832"/>
      <c r="N183" s="832"/>
      <c r="O183" s="832"/>
      <c r="P183" s="832"/>
      <c r="Q183" s="832"/>
      <c r="R183" s="832"/>
    </row>
    <row r="184" spans="2:18">
      <c r="B184" s="832"/>
      <c r="C184" s="833"/>
      <c r="D184" s="833"/>
      <c r="E184" s="833"/>
      <c r="F184" s="1111"/>
      <c r="G184" s="1111"/>
      <c r="H184" s="834"/>
      <c r="I184" s="832"/>
      <c r="J184" s="1111"/>
      <c r="K184" s="832"/>
      <c r="L184" s="832"/>
      <c r="M184" s="832"/>
      <c r="N184" s="832"/>
      <c r="O184" s="832"/>
      <c r="P184" s="832"/>
      <c r="Q184" s="832"/>
      <c r="R184" s="832"/>
    </row>
    <row r="185" spans="2:18">
      <c r="B185" s="832"/>
      <c r="C185" s="833"/>
      <c r="D185" s="833"/>
      <c r="E185" s="833"/>
      <c r="F185" s="1111"/>
      <c r="G185" s="1111"/>
      <c r="H185" s="834"/>
      <c r="I185" s="832"/>
      <c r="J185" s="1111"/>
      <c r="K185" s="832"/>
      <c r="L185" s="832"/>
      <c r="M185" s="832"/>
      <c r="N185" s="832"/>
      <c r="O185" s="832"/>
      <c r="P185" s="832"/>
      <c r="Q185" s="832"/>
      <c r="R185" s="832"/>
    </row>
    <row r="186" spans="2:18">
      <c r="B186" s="832"/>
      <c r="C186" s="833"/>
      <c r="D186" s="833"/>
      <c r="E186" s="833"/>
      <c r="F186" s="1111"/>
      <c r="G186" s="1111"/>
      <c r="H186" s="834"/>
      <c r="I186" s="832"/>
      <c r="J186" s="1111"/>
      <c r="K186" s="832"/>
      <c r="L186" s="832"/>
      <c r="M186" s="832"/>
      <c r="N186" s="832"/>
      <c r="O186" s="832"/>
      <c r="P186" s="832"/>
      <c r="Q186" s="832"/>
      <c r="R186" s="832"/>
    </row>
    <row r="187" spans="2:18">
      <c r="B187" s="832"/>
      <c r="C187" s="833"/>
      <c r="D187" s="833"/>
      <c r="E187" s="833"/>
      <c r="F187" s="1111"/>
      <c r="G187" s="1111"/>
      <c r="H187" s="834"/>
      <c r="I187" s="832"/>
      <c r="J187" s="1111"/>
      <c r="K187" s="832"/>
      <c r="L187" s="832"/>
      <c r="M187" s="832"/>
      <c r="N187" s="832"/>
      <c r="O187" s="832"/>
      <c r="P187" s="832"/>
      <c r="Q187" s="832"/>
      <c r="R187" s="832"/>
    </row>
    <row r="188" spans="2:18">
      <c r="B188" s="832"/>
      <c r="C188" s="833"/>
      <c r="D188" s="833"/>
      <c r="E188" s="833"/>
      <c r="F188" s="1111"/>
      <c r="G188" s="1111"/>
      <c r="H188" s="834"/>
      <c r="I188" s="832"/>
      <c r="J188" s="1111"/>
      <c r="K188" s="832"/>
      <c r="L188" s="832"/>
      <c r="M188" s="832"/>
      <c r="N188" s="832"/>
      <c r="O188" s="832"/>
      <c r="P188" s="832"/>
      <c r="Q188" s="832"/>
      <c r="R188" s="832"/>
    </row>
    <row r="189" spans="2:18">
      <c r="B189" s="832"/>
      <c r="C189" s="833"/>
      <c r="D189" s="833"/>
      <c r="E189" s="833"/>
      <c r="F189" s="1111"/>
      <c r="G189" s="1111"/>
      <c r="H189" s="834"/>
      <c r="I189" s="832"/>
      <c r="J189" s="1111"/>
      <c r="K189" s="832"/>
      <c r="L189" s="832"/>
      <c r="M189" s="832"/>
      <c r="N189" s="832"/>
      <c r="O189" s="832"/>
      <c r="P189" s="832"/>
      <c r="Q189" s="832"/>
      <c r="R189" s="832"/>
    </row>
    <row r="190" spans="2:18">
      <c r="B190" s="832"/>
      <c r="C190" s="833"/>
      <c r="D190" s="833"/>
      <c r="E190" s="833"/>
      <c r="F190" s="1111"/>
      <c r="G190" s="1111"/>
      <c r="H190" s="834"/>
      <c r="I190" s="832"/>
      <c r="J190" s="1111"/>
      <c r="K190" s="832"/>
      <c r="L190" s="832"/>
      <c r="M190" s="832"/>
      <c r="N190" s="832"/>
      <c r="O190" s="832"/>
      <c r="P190" s="832"/>
      <c r="Q190" s="832"/>
      <c r="R190" s="832"/>
    </row>
    <row r="191" spans="2:18">
      <c r="B191" s="832"/>
      <c r="C191" s="833"/>
      <c r="D191" s="833"/>
      <c r="E191" s="833"/>
      <c r="F191" s="1111"/>
      <c r="G191" s="1111"/>
      <c r="H191" s="834"/>
      <c r="I191" s="832"/>
      <c r="J191" s="1111"/>
      <c r="K191" s="832"/>
      <c r="L191" s="832"/>
      <c r="M191" s="832"/>
      <c r="N191" s="832"/>
      <c r="O191" s="832"/>
      <c r="P191" s="832"/>
      <c r="Q191" s="832"/>
      <c r="R191" s="832"/>
    </row>
    <row r="192" spans="2:18">
      <c r="B192" s="832"/>
      <c r="C192" s="833"/>
      <c r="D192" s="833"/>
      <c r="E192" s="833"/>
      <c r="F192" s="1111"/>
      <c r="G192" s="1111"/>
      <c r="H192" s="834"/>
      <c r="I192" s="832"/>
      <c r="J192" s="1111"/>
      <c r="K192" s="832"/>
      <c r="L192" s="832"/>
      <c r="M192" s="832"/>
      <c r="N192" s="832"/>
      <c r="O192" s="832"/>
      <c r="P192" s="832"/>
      <c r="Q192" s="832"/>
      <c r="R192" s="832"/>
    </row>
    <row r="193" spans="2:18">
      <c r="B193" s="832"/>
      <c r="C193" s="833"/>
      <c r="D193" s="833"/>
      <c r="E193" s="833"/>
      <c r="F193" s="1111"/>
      <c r="G193" s="1111"/>
      <c r="H193" s="834"/>
      <c r="I193" s="832"/>
      <c r="J193" s="1111"/>
      <c r="K193" s="832"/>
      <c r="L193" s="832"/>
      <c r="M193" s="832"/>
      <c r="N193" s="832"/>
      <c r="O193" s="832"/>
      <c r="P193" s="832"/>
      <c r="Q193" s="832"/>
      <c r="R193" s="832"/>
    </row>
    <row r="194" spans="2:18">
      <c r="B194" s="832"/>
      <c r="C194" s="833"/>
      <c r="D194" s="833"/>
      <c r="E194" s="833"/>
      <c r="F194" s="1111"/>
      <c r="G194" s="1111"/>
      <c r="H194" s="834"/>
      <c r="I194" s="832"/>
      <c r="J194" s="1111"/>
      <c r="K194" s="832"/>
      <c r="L194" s="832"/>
      <c r="M194" s="832"/>
      <c r="N194" s="832"/>
      <c r="O194" s="832"/>
      <c r="P194" s="832"/>
      <c r="Q194" s="832"/>
      <c r="R194" s="832"/>
    </row>
    <row r="195" spans="2:18">
      <c r="B195" s="832"/>
      <c r="C195" s="833"/>
      <c r="D195" s="833"/>
      <c r="E195" s="833"/>
      <c r="F195" s="1111"/>
      <c r="G195" s="1111"/>
      <c r="H195" s="834"/>
      <c r="I195" s="832"/>
      <c r="J195" s="1111"/>
      <c r="K195" s="832"/>
      <c r="L195" s="832"/>
      <c r="M195" s="832"/>
      <c r="N195" s="832"/>
      <c r="O195" s="832"/>
      <c r="P195" s="832"/>
      <c r="Q195" s="832"/>
      <c r="R195" s="832"/>
    </row>
    <row r="196" spans="2:18">
      <c r="B196" s="832"/>
      <c r="C196" s="833"/>
      <c r="D196" s="833"/>
      <c r="E196" s="833"/>
      <c r="F196" s="1111"/>
      <c r="G196" s="1111"/>
      <c r="H196" s="834"/>
      <c r="I196" s="832"/>
      <c r="J196" s="1111"/>
      <c r="K196" s="832"/>
      <c r="L196" s="832"/>
      <c r="M196" s="832"/>
      <c r="N196" s="832"/>
      <c r="O196" s="832"/>
      <c r="P196" s="832"/>
      <c r="Q196" s="832"/>
      <c r="R196" s="832"/>
    </row>
    <row r="197" spans="2:18">
      <c r="B197" s="832"/>
      <c r="C197" s="833"/>
      <c r="D197" s="833"/>
      <c r="E197" s="833"/>
      <c r="F197" s="1111"/>
      <c r="G197" s="1111"/>
      <c r="H197" s="834"/>
      <c r="I197" s="832"/>
      <c r="J197" s="1111"/>
      <c r="K197" s="832"/>
      <c r="L197" s="832"/>
      <c r="M197" s="832"/>
      <c r="N197" s="832"/>
      <c r="O197" s="832"/>
      <c r="P197" s="832"/>
      <c r="Q197" s="832"/>
      <c r="R197" s="832"/>
    </row>
    <row r="198" spans="2:18">
      <c r="B198" s="832"/>
      <c r="C198" s="833"/>
      <c r="D198" s="833"/>
      <c r="E198" s="833"/>
      <c r="F198" s="1111"/>
      <c r="G198" s="1111"/>
      <c r="H198" s="834"/>
      <c r="I198" s="832"/>
      <c r="J198" s="1111"/>
      <c r="K198" s="832"/>
      <c r="L198" s="832"/>
      <c r="M198" s="832"/>
      <c r="N198" s="832"/>
      <c r="O198" s="832"/>
      <c r="P198" s="832"/>
      <c r="Q198" s="832"/>
      <c r="R198" s="832"/>
    </row>
    <row r="199" spans="2:18">
      <c r="B199" s="832"/>
      <c r="C199" s="833"/>
      <c r="D199" s="833"/>
      <c r="E199" s="833"/>
      <c r="F199" s="1111"/>
      <c r="G199" s="1111"/>
      <c r="H199" s="834"/>
      <c r="I199" s="832"/>
      <c r="J199" s="1111"/>
      <c r="K199" s="832"/>
      <c r="L199" s="832"/>
      <c r="M199" s="832"/>
      <c r="N199" s="832"/>
      <c r="O199" s="832"/>
      <c r="P199" s="832"/>
      <c r="Q199" s="832"/>
      <c r="R199" s="832"/>
    </row>
    <row r="200" spans="2:18">
      <c r="B200" s="832"/>
      <c r="C200" s="833"/>
      <c r="D200" s="833"/>
      <c r="E200" s="833"/>
      <c r="F200" s="1111"/>
      <c r="G200" s="1111"/>
      <c r="H200" s="834"/>
      <c r="I200" s="832"/>
      <c r="J200" s="1111"/>
      <c r="K200" s="832"/>
      <c r="L200" s="832"/>
      <c r="M200" s="832"/>
      <c r="N200" s="832"/>
      <c r="O200" s="832"/>
      <c r="P200" s="832"/>
      <c r="Q200" s="832"/>
      <c r="R200" s="832"/>
    </row>
    <row r="201" spans="2:18">
      <c r="B201" s="832"/>
      <c r="C201" s="833"/>
      <c r="D201" s="833"/>
      <c r="E201" s="833"/>
      <c r="F201" s="1111"/>
      <c r="G201" s="1111"/>
      <c r="H201" s="834"/>
      <c r="I201" s="832"/>
      <c r="J201" s="1111"/>
      <c r="K201" s="832"/>
      <c r="L201" s="832"/>
      <c r="M201" s="832"/>
      <c r="N201" s="832"/>
      <c r="O201" s="832"/>
      <c r="P201" s="832"/>
      <c r="Q201" s="832"/>
      <c r="R201" s="832"/>
    </row>
    <row r="202" spans="2:18">
      <c r="B202" s="832"/>
      <c r="C202" s="833"/>
      <c r="D202" s="833"/>
      <c r="E202" s="833"/>
      <c r="F202" s="1111"/>
      <c r="G202" s="1111"/>
      <c r="H202" s="834"/>
      <c r="I202" s="832"/>
      <c r="J202" s="1111"/>
      <c r="K202" s="832"/>
      <c r="L202" s="832"/>
      <c r="M202" s="832"/>
      <c r="N202" s="832"/>
      <c r="O202" s="832"/>
      <c r="P202" s="832"/>
      <c r="Q202" s="832"/>
      <c r="R202" s="832"/>
    </row>
    <row r="203" spans="2:18">
      <c r="B203" s="832"/>
      <c r="C203" s="833"/>
      <c r="D203" s="833"/>
      <c r="E203" s="833"/>
      <c r="F203" s="1111"/>
      <c r="G203" s="1111"/>
      <c r="H203" s="834"/>
      <c r="I203" s="832"/>
      <c r="J203" s="1111"/>
      <c r="K203" s="832"/>
      <c r="L203" s="832"/>
      <c r="M203" s="832"/>
      <c r="N203" s="832"/>
      <c r="O203" s="832"/>
      <c r="P203" s="832"/>
      <c r="Q203" s="832"/>
      <c r="R203" s="832"/>
    </row>
    <row r="204" spans="2:18">
      <c r="B204" s="832"/>
      <c r="C204" s="833"/>
      <c r="D204" s="833"/>
      <c r="E204" s="833"/>
      <c r="F204" s="1111"/>
      <c r="G204" s="1111"/>
      <c r="H204" s="834"/>
      <c r="I204" s="832"/>
      <c r="J204" s="1111"/>
      <c r="K204" s="832"/>
      <c r="L204" s="832"/>
      <c r="M204" s="832"/>
      <c r="N204" s="832"/>
      <c r="O204" s="832"/>
      <c r="P204" s="832"/>
      <c r="Q204" s="832"/>
      <c r="R204" s="832"/>
    </row>
    <row r="205" spans="2:18">
      <c r="B205" s="832"/>
      <c r="C205" s="833"/>
      <c r="D205" s="833"/>
      <c r="E205" s="833"/>
      <c r="F205" s="1111"/>
      <c r="G205" s="1111"/>
      <c r="H205" s="834"/>
      <c r="I205" s="832"/>
      <c r="J205" s="1111"/>
      <c r="K205" s="832"/>
      <c r="L205" s="832"/>
      <c r="M205" s="832"/>
      <c r="N205" s="832"/>
      <c r="O205" s="832"/>
      <c r="P205" s="832"/>
      <c r="Q205" s="832"/>
      <c r="R205" s="832"/>
    </row>
    <row r="206" spans="2:18">
      <c r="B206" s="832"/>
      <c r="C206" s="833"/>
      <c r="D206" s="833"/>
      <c r="E206" s="833"/>
      <c r="F206" s="1111"/>
      <c r="G206" s="1111"/>
      <c r="H206" s="834"/>
      <c r="I206" s="832"/>
      <c r="J206" s="1111"/>
      <c r="K206" s="832"/>
      <c r="L206" s="832"/>
      <c r="M206" s="832"/>
      <c r="N206" s="832"/>
      <c r="O206" s="832"/>
      <c r="P206" s="832"/>
      <c r="Q206" s="832"/>
      <c r="R206" s="832"/>
    </row>
    <row r="207" spans="2:18">
      <c r="B207" s="832"/>
      <c r="C207" s="833"/>
      <c r="D207" s="833"/>
      <c r="E207" s="833"/>
      <c r="F207" s="1111"/>
      <c r="G207" s="1111"/>
      <c r="H207" s="834"/>
      <c r="I207" s="832"/>
      <c r="J207" s="1111"/>
      <c r="K207" s="832"/>
      <c r="L207" s="832"/>
      <c r="M207" s="832"/>
      <c r="N207" s="832"/>
      <c r="O207" s="832"/>
      <c r="P207" s="832"/>
      <c r="Q207" s="832"/>
      <c r="R207" s="832"/>
    </row>
    <row r="208" spans="2:18">
      <c r="B208" s="832"/>
      <c r="C208" s="833"/>
      <c r="D208" s="833"/>
      <c r="E208" s="833"/>
      <c r="F208" s="1111"/>
      <c r="G208" s="1111"/>
      <c r="H208" s="834"/>
      <c r="I208" s="832"/>
      <c r="J208" s="1111"/>
      <c r="K208" s="832"/>
      <c r="L208" s="832"/>
      <c r="M208" s="832"/>
      <c r="N208" s="832"/>
      <c r="O208" s="832"/>
      <c r="P208" s="832"/>
      <c r="Q208" s="832"/>
      <c r="R208" s="832"/>
    </row>
    <row r="209" spans="2:18">
      <c r="B209" s="832"/>
      <c r="C209" s="833"/>
      <c r="D209" s="833"/>
      <c r="E209" s="833"/>
      <c r="F209" s="1111"/>
      <c r="G209" s="1111"/>
      <c r="H209" s="834"/>
      <c r="I209" s="832"/>
      <c r="J209" s="1111"/>
      <c r="K209" s="832"/>
      <c r="L209" s="832"/>
      <c r="M209" s="832"/>
      <c r="N209" s="832"/>
      <c r="O209" s="832"/>
      <c r="P209" s="832"/>
      <c r="Q209" s="832"/>
      <c r="R209" s="832"/>
    </row>
    <row r="210" spans="2:18">
      <c r="B210" s="832"/>
      <c r="C210" s="833"/>
      <c r="D210" s="833"/>
      <c r="E210" s="833"/>
      <c r="F210" s="1111"/>
      <c r="G210" s="1111"/>
      <c r="H210" s="834"/>
      <c r="I210" s="832"/>
      <c r="J210" s="1111"/>
      <c r="K210" s="832"/>
      <c r="L210" s="832"/>
      <c r="M210" s="832"/>
      <c r="N210" s="832"/>
      <c r="O210" s="832"/>
      <c r="P210" s="832"/>
      <c r="Q210" s="832"/>
      <c r="R210" s="832"/>
    </row>
    <row r="211" spans="2:18">
      <c r="B211" s="832"/>
      <c r="C211" s="833"/>
      <c r="D211" s="833"/>
      <c r="E211" s="833"/>
      <c r="F211" s="1111"/>
      <c r="G211" s="1111"/>
      <c r="H211" s="834"/>
      <c r="I211" s="832"/>
      <c r="J211" s="1111"/>
      <c r="K211" s="832"/>
      <c r="L211" s="832"/>
      <c r="M211" s="832"/>
      <c r="N211" s="832"/>
      <c r="O211" s="832"/>
      <c r="P211" s="832"/>
      <c r="Q211" s="832"/>
      <c r="R211" s="832"/>
    </row>
    <row r="212" spans="2:18">
      <c r="B212" s="832"/>
      <c r="C212" s="833"/>
      <c r="D212" s="833"/>
      <c r="E212" s="833"/>
      <c r="F212" s="1111"/>
      <c r="G212" s="1111"/>
      <c r="H212" s="834"/>
      <c r="I212" s="832"/>
      <c r="J212" s="1111"/>
      <c r="K212" s="832"/>
      <c r="L212" s="832"/>
      <c r="M212" s="832"/>
      <c r="N212" s="832"/>
      <c r="O212" s="832"/>
      <c r="P212" s="832"/>
      <c r="Q212" s="832"/>
      <c r="R212" s="832"/>
    </row>
    <row r="213" spans="2:18">
      <c r="B213" s="832"/>
      <c r="C213" s="833"/>
      <c r="D213" s="833"/>
      <c r="E213" s="833"/>
      <c r="F213" s="1111"/>
      <c r="G213" s="1111"/>
      <c r="H213" s="834"/>
      <c r="I213" s="832"/>
      <c r="J213" s="1111"/>
      <c r="K213" s="832"/>
      <c r="L213" s="832"/>
      <c r="M213" s="832"/>
      <c r="N213" s="832"/>
      <c r="O213" s="832"/>
      <c r="P213" s="832"/>
      <c r="Q213" s="832"/>
      <c r="R213" s="832"/>
    </row>
    <row r="214" spans="2:18">
      <c r="B214" s="832"/>
      <c r="C214" s="833"/>
      <c r="D214" s="833"/>
      <c r="E214" s="833"/>
      <c r="F214" s="1111"/>
      <c r="G214" s="1111"/>
      <c r="H214" s="834"/>
      <c r="I214" s="832"/>
      <c r="J214" s="1111"/>
      <c r="K214" s="832"/>
      <c r="L214" s="832"/>
      <c r="M214" s="832"/>
      <c r="N214" s="832"/>
      <c r="O214" s="832"/>
      <c r="P214" s="832"/>
      <c r="Q214" s="832"/>
      <c r="R214" s="832"/>
    </row>
    <row r="215" spans="2:18">
      <c r="B215" s="832"/>
      <c r="C215" s="833"/>
      <c r="D215" s="833"/>
      <c r="E215" s="833"/>
      <c r="F215" s="1111"/>
      <c r="G215" s="1111"/>
      <c r="H215" s="834"/>
      <c r="I215" s="832"/>
      <c r="J215" s="1111"/>
      <c r="K215" s="832"/>
      <c r="L215" s="832"/>
      <c r="M215" s="832"/>
      <c r="N215" s="832"/>
      <c r="O215" s="832"/>
      <c r="P215" s="832"/>
      <c r="Q215" s="832"/>
      <c r="R215" s="832"/>
    </row>
    <row r="216" spans="2:18">
      <c r="B216" s="832"/>
      <c r="C216" s="833"/>
      <c r="D216" s="833"/>
      <c r="E216" s="833"/>
      <c r="F216" s="1111"/>
      <c r="G216" s="1111"/>
      <c r="H216" s="834"/>
      <c r="I216" s="832"/>
      <c r="J216" s="1111"/>
      <c r="K216" s="832"/>
      <c r="L216" s="832"/>
      <c r="M216" s="832"/>
      <c r="N216" s="832"/>
      <c r="O216" s="832"/>
      <c r="P216" s="832"/>
      <c r="Q216" s="832"/>
      <c r="R216" s="832"/>
    </row>
    <row r="217" spans="2:18">
      <c r="B217" s="832"/>
      <c r="C217" s="833"/>
      <c r="D217" s="833"/>
      <c r="E217" s="833"/>
      <c r="F217" s="1111"/>
      <c r="G217" s="1111"/>
      <c r="H217" s="834"/>
      <c r="I217" s="832"/>
      <c r="J217" s="1111"/>
      <c r="K217" s="832"/>
      <c r="L217" s="832"/>
      <c r="M217" s="832"/>
      <c r="N217" s="832"/>
      <c r="O217" s="832"/>
      <c r="P217" s="832"/>
      <c r="Q217" s="832"/>
      <c r="R217" s="832"/>
    </row>
    <row r="218" spans="2:18">
      <c r="B218" s="832"/>
      <c r="C218" s="833"/>
      <c r="D218" s="833"/>
      <c r="E218" s="833"/>
      <c r="F218" s="1111"/>
      <c r="G218" s="1111"/>
      <c r="H218" s="834"/>
      <c r="I218" s="832"/>
      <c r="J218" s="1111"/>
      <c r="K218" s="832"/>
      <c r="L218" s="832"/>
      <c r="M218" s="832"/>
      <c r="N218" s="832"/>
      <c r="O218" s="832"/>
      <c r="P218" s="832"/>
      <c r="Q218" s="832"/>
      <c r="R218" s="832"/>
    </row>
    <row r="219" spans="2:18">
      <c r="B219" s="832"/>
      <c r="C219" s="833"/>
      <c r="D219" s="833"/>
      <c r="E219" s="833"/>
      <c r="F219" s="1111"/>
      <c r="G219" s="1111"/>
      <c r="H219" s="834"/>
      <c r="I219" s="832"/>
      <c r="J219" s="1111"/>
      <c r="K219" s="832"/>
      <c r="L219" s="832"/>
      <c r="M219" s="832"/>
      <c r="N219" s="832"/>
      <c r="O219" s="832"/>
      <c r="P219" s="832"/>
      <c r="Q219" s="832"/>
      <c r="R219" s="832"/>
    </row>
    <row r="220" spans="2:18">
      <c r="B220" s="832"/>
      <c r="C220" s="833"/>
      <c r="D220" s="833"/>
      <c r="E220" s="833"/>
      <c r="F220" s="1111"/>
      <c r="G220" s="1111"/>
      <c r="H220" s="834"/>
      <c r="I220" s="832"/>
      <c r="J220" s="1111"/>
      <c r="K220" s="832"/>
      <c r="L220" s="832"/>
      <c r="M220" s="832"/>
      <c r="N220" s="832"/>
      <c r="O220" s="832"/>
      <c r="P220" s="832"/>
      <c r="Q220" s="832"/>
      <c r="R220" s="832"/>
    </row>
    <row r="221" spans="2:18">
      <c r="B221" s="832"/>
      <c r="C221" s="833"/>
      <c r="D221" s="833"/>
      <c r="E221" s="833"/>
      <c r="F221" s="1111"/>
      <c r="G221" s="1111"/>
      <c r="H221" s="834"/>
      <c r="I221" s="832"/>
      <c r="J221" s="1111"/>
      <c r="K221" s="832"/>
      <c r="L221" s="832"/>
      <c r="M221" s="832"/>
      <c r="N221" s="832"/>
      <c r="O221" s="832"/>
      <c r="P221" s="832"/>
      <c r="Q221" s="832"/>
      <c r="R221" s="832"/>
    </row>
    <row r="222" spans="2:18">
      <c r="B222" s="832"/>
      <c r="C222" s="833"/>
      <c r="D222" s="833"/>
      <c r="E222" s="833"/>
      <c r="F222" s="1111"/>
      <c r="G222" s="1111"/>
      <c r="H222" s="834"/>
      <c r="I222" s="832"/>
      <c r="J222" s="1111"/>
      <c r="K222" s="832"/>
      <c r="L222" s="832"/>
      <c r="M222" s="832"/>
      <c r="N222" s="832"/>
      <c r="O222" s="832"/>
      <c r="P222" s="832"/>
      <c r="Q222" s="832"/>
      <c r="R222" s="832"/>
    </row>
    <row r="223" spans="2:18">
      <c r="B223" s="832"/>
      <c r="C223" s="833"/>
      <c r="D223" s="833"/>
      <c r="E223" s="833"/>
      <c r="F223" s="1111"/>
      <c r="G223" s="1111"/>
      <c r="H223" s="834"/>
      <c r="I223" s="832"/>
      <c r="J223" s="1111"/>
      <c r="K223" s="832"/>
      <c r="L223" s="832"/>
      <c r="M223" s="832"/>
      <c r="N223" s="832"/>
      <c r="O223" s="832"/>
      <c r="P223" s="832"/>
      <c r="Q223" s="832"/>
      <c r="R223" s="832"/>
    </row>
    <row r="224" spans="2:18">
      <c r="B224" s="832"/>
      <c r="C224" s="833"/>
      <c r="D224" s="833"/>
      <c r="E224" s="833"/>
      <c r="F224" s="1111"/>
      <c r="G224" s="1111"/>
      <c r="H224" s="834"/>
      <c r="I224" s="832"/>
      <c r="J224" s="1111"/>
      <c r="K224" s="832"/>
      <c r="L224" s="832"/>
      <c r="M224" s="832"/>
      <c r="N224" s="832"/>
      <c r="O224" s="832"/>
      <c r="P224" s="832"/>
      <c r="Q224" s="832"/>
      <c r="R224" s="832"/>
    </row>
    <row r="225" spans="2:18">
      <c r="B225" s="832"/>
      <c r="C225" s="833"/>
      <c r="D225" s="833"/>
      <c r="E225" s="833"/>
      <c r="F225" s="1111"/>
      <c r="G225" s="1111"/>
      <c r="H225" s="834"/>
      <c r="I225" s="832"/>
      <c r="J225" s="1111"/>
      <c r="K225" s="832"/>
      <c r="L225" s="832"/>
      <c r="M225" s="832"/>
      <c r="N225" s="832"/>
      <c r="O225" s="832"/>
      <c r="P225" s="832"/>
      <c r="Q225" s="832"/>
      <c r="R225" s="832"/>
    </row>
    <row r="226" spans="2:18">
      <c r="B226" s="832"/>
      <c r="C226" s="833"/>
      <c r="D226" s="833"/>
      <c r="E226" s="833"/>
      <c r="F226" s="1111"/>
      <c r="G226" s="1111"/>
      <c r="H226" s="834"/>
      <c r="I226" s="832"/>
      <c r="J226" s="1111"/>
      <c r="K226" s="832"/>
      <c r="L226" s="832"/>
      <c r="M226" s="832"/>
      <c r="N226" s="832"/>
      <c r="O226" s="832"/>
      <c r="P226" s="832"/>
      <c r="Q226" s="832"/>
      <c r="R226" s="832"/>
    </row>
    <row r="227" spans="2:18">
      <c r="B227" s="832"/>
      <c r="C227" s="833"/>
      <c r="D227" s="833"/>
      <c r="E227" s="833"/>
      <c r="F227" s="1111"/>
      <c r="G227" s="1111"/>
      <c r="H227" s="834"/>
      <c r="I227" s="832"/>
      <c r="J227" s="1111"/>
      <c r="K227" s="832"/>
      <c r="L227" s="832"/>
      <c r="M227" s="832"/>
      <c r="N227" s="832"/>
      <c r="O227" s="832"/>
      <c r="P227" s="832"/>
      <c r="Q227" s="832"/>
      <c r="R227" s="832"/>
    </row>
    <row r="228" spans="2:18">
      <c r="B228" s="832"/>
      <c r="C228" s="833"/>
      <c r="D228" s="833"/>
      <c r="E228" s="833"/>
      <c r="F228" s="1111"/>
      <c r="G228" s="1111"/>
      <c r="H228" s="834"/>
      <c r="I228" s="832"/>
      <c r="J228" s="1111"/>
      <c r="K228" s="832"/>
      <c r="L228" s="832"/>
      <c r="M228" s="832"/>
      <c r="N228" s="832"/>
      <c r="O228" s="832"/>
      <c r="P228" s="832"/>
      <c r="Q228" s="832"/>
      <c r="R228" s="832"/>
    </row>
    <row r="229" spans="2:18">
      <c r="B229" s="832"/>
      <c r="C229" s="833"/>
      <c r="D229" s="833"/>
      <c r="E229" s="833"/>
      <c r="F229" s="1111"/>
      <c r="G229" s="1111"/>
      <c r="H229" s="834"/>
      <c r="I229" s="832"/>
      <c r="J229" s="1111"/>
      <c r="K229" s="832"/>
      <c r="L229" s="832"/>
      <c r="M229" s="832"/>
      <c r="N229" s="832"/>
      <c r="O229" s="832"/>
      <c r="P229" s="832"/>
      <c r="Q229" s="832"/>
      <c r="R229" s="832"/>
    </row>
    <row r="230" spans="2:18">
      <c r="B230" s="832"/>
      <c r="C230" s="833"/>
      <c r="D230" s="833"/>
      <c r="E230" s="833"/>
      <c r="F230" s="1111"/>
      <c r="G230" s="1111"/>
      <c r="H230" s="834"/>
      <c r="I230" s="832"/>
      <c r="J230" s="1111"/>
      <c r="K230" s="832"/>
      <c r="L230" s="832"/>
      <c r="M230" s="832"/>
      <c r="N230" s="832"/>
      <c r="O230" s="832"/>
      <c r="P230" s="832"/>
      <c r="Q230" s="832"/>
      <c r="R230" s="832"/>
    </row>
    <row r="231" spans="2:18">
      <c r="B231" s="832"/>
      <c r="C231" s="833"/>
      <c r="D231" s="833"/>
      <c r="E231" s="833"/>
      <c r="F231" s="1111"/>
      <c r="G231" s="1111"/>
      <c r="H231" s="834"/>
      <c r="I231" s="832"/>
      <c r="J231" s="1111"/>
      <c r="K231" s="832"/>
      <c r="L231" s="832"/>
      <c r="M231" s="832"/>
      <c r="N231" s="832"/>
      <c r="O231" s="832"/>
      <c r="P231" s="832"/>
      <c r="Q231" s="832"/>
      <c r="R231" s="832"/>
    </row>
    <row r="232" spans="2:18">
      <c r="B232" s="832"/>
      <c r="C232" s="833"/>
      <c r="D232" s="833"/>
      <c r="E232" s="833"/>
      <c r="F232" s="1111"/>
      <c r="G232" s="1111"/>
      <c r="H232" s="834"/>
      <c r="I232" s="832"/>
      <c r="J232" s="1111"/>
      <c r="K232" s="832"/>
      <c r="L232" s="832"/>
      <c r="M232" s="832"/>
      <c r="N232" s="832"/>
      <c r="O232" s="832"/>
      <c r="P232" s="832"/>
      <c r="Q232" s="832"/>
      <c r="R232" s="832"/>
    </row>
    <row r="233" spans="2:18">
      <c r="B233" s="832"/>
      <c r="C233" s="833"/>
      <c r="D233" s="833"/>
      <c r="E233" s="833"/>
      <c r="F233" s="1111"/>
      <c r="G233" s="1111"/>
      <c r="H233" s="834"/>
      <c r="I233" s="832"/>
      <c r="J233" s="1111"/>
      <c r="K233" s="832"/>
      <c r="L233" s="832"/>
      <c r="M233" s="832"/>
      <c r="N233" s="832"/>
      <c r="O233" s="832"/>
      <c r="P233" s="832"/>
      <c r="Q233" s="832"/>
      <c r="R233" s="832"/>
    </row>
    <row r="234" spans="2:18">
      <c r="B234" s="832"/>
      <c r="C234" s="833"/>
      <c r="D234" s="833"/>
      <c r="E234" s="833"/>
      <c r="F234" s="1111"/>
      <c r="G234" s="1111"/>
      <c r="H234" s="834"/>
      <c r="I234" s="832"/>
      <c r="J234" s="1111"/>
      <c r="K234" s="832"/>
      <c r="L234" s="832"/>
      <c r="M234" s="832"/>
      <c r="N234" s="832"/>
      <c r="O234" s="832"/>
      <c r="P234" s="832"/>
      <c r="Q234" s="832"/>
      <c r="R234" s="832"/>
    </row>
    <row r="235" spans="2:18">
      <c r="B235" s="832"/>
      <c r="C235" s="833"/>
      <c r="D235" s="833"/>
      <c r="E235" s="833"/>
      <c r="F235" s="1111"/>
      <c r="G235" s="1111"/>
      <c r="H235" s="834"/>
      <c r="I235" s="832"/>
      <c r="J235" s="1111"/>
      <c r="K235" s="832"/>
      <c r="L235" s="832"/>
      <c r="M235" s="832"/>
      <c r="N235" s="832"/>
      <c r="O235" s="832"/>
      <c r="P235" s="832"/>
      <c r="Q235" s="832"/>
      <c r="R235" s="832"/>
    </row>
    <row r="236" spans="2:18">
      <c r="B236" s="832"/>
      <c r="C236" s="833"/>
      <c r="D236" s="833"/>
      <c r="E236" s="833"/>
      <c r="F236" s="1111"/>
      <c r="G236" s="1111"/>
      <c r="H236" s="834"/>
      <c r="I236" s="832"/>
      <c r="J236" s="1111"/>
      <c r="K236" s="832"/>
      <c r="L236" s="832"/>
      <c r="M236" s="832"/>
      <c r="N236" s="832"/>
      <c r="O236" s="832"/>
      <c r="P236" s="832"/>
      <c r="Q236" s="832"/>
      <c r="R236" s="832"/>
    </row>
    <row r="237" spans="2:18">
      <c r="B237" s="832"/>
      <c r="C237" s="833"/>
      <c r="D237" s="833"/>
      <c r="E237" s="833"/>
      <c r="F237" s="1111"/>
      <c r="G237" s="1111"/>
      <c r="H237" s="834"/>
      <c r="I237" s="832"/>
      <c r="J237" s="1111"/>
      <c r="K237" s="832"/>
      <c r="L237" s="832"/>
      <c r="M237" s="832"/>
      <c r="N237" s="832"/>
      <c r="O237" s="832"/>
      <c r="P237" s="832"/>
      <c r="Q237" s="832"/>
      <c r="R237" s="832"/>
    </row>
    <row r="238" spans="2:18">
      <c r="B238" s="832"/>
      <c r="C238" s="833"/>
      <c r="D238" s="833"/>
      <c r="E238" s="833"/>
      <c r="F238" s="1111"/>
      <c r="G238" s="1111"/>
      <c r="H238" s="834"/>
      <c r="I238" s="832"/>
      <c r="J238" s="1111"/>
      <c r="K238" s="832"/>
      <c r="L238" s="832"/>
      <c r="M238" s="832"/>
      <c r="N238" s="832"/>
      <c r="O238" s="832"/>
      <c r="P238" s="832"/>
      <c r="Q238" s="832"/>
      <c r="R238" s="832"/>
    </row>
    <row r="239" spans="2:18">
      <c r="B239" s="832"/>
      <c r="C239" s="833"/>
      <c r="D239" s="833"/>
      <c r="E239" s="833"/>
      <c r="F239" s="1111"/>
      <c r="G239" s="1111"/>
      <c r="H239" s="834"/>
      <c r="I239" s="832"/>
      <c r="J239" s="1111"/>
      <c r="K239" s="832"/>
      <c r="L239" s="832"/>
      <c r="M239" s="832"/>
      <c r="N239" s="832"/>
      <c r="O239" s="832"/>
      <c r="P239" s="832"/>
      <c r="Q239" s="832"/>
      <c r="R239" s="832"/>
    </row>
    <row r="240" spans="2:18">
      <c r="B240" s="832"/>
      <c r="C240" s="833"/>
      <c r="D240" s="833"/>
      <c r="E240" s="833"/>
      <c r="F240" s="1111"/>
      <c r="G240" s="1111"/>
      <c r="H240" s="834"/>
      <c r="I240" s="832"/>
      <c r="J240" s="1111"/>
      <c r="K240" s="832"/>
      <c r="L240" s="832"/>
      <c r="M240" s="832"/>
      <c r="N240" s="832"/>
      <c r="O240" s="832"/>
      <c r="P240" s="832"/>
      <c r="Q240" s="832"/>
      <c r="R240" s="832"/>
    </row>
    <row r="241" spans="2:18">
      <c r="B241" s="832"/>
      <c r="C241" s="833"/>
      <c r="D241" s="833"/>
      <c r="E241" s="833"/>
      <c r="F241" s="1111"/>
      <c r="G241" s="1111"/>
      <c r="H241" s="834"/>
      <c r="I241" s="832"/>
      <c r="J241" s="1111"/>
      <c r="K241" s="832"/>
      <c r="L241" s="832"/>
      <c r="M241" s="832"/>
      <c r="N241" s="832"/>
      <c r="O241" s="832"/>
      <c r="P241" s="832"/>
      <c r="Q241" s="832"/>
      <c r="R241" s="832"/>
    </row>
    <row r="242" spans="2:18">
      <c r="B242" s="832"/>
      <c r="C242" s="833"/>
      <c r="D242" s="833"/>
      <c r="E242" s="833"/>
      <c r="F242" s="1111"/>
      <c r="G242" s="1111"/>
      <c r="H242" s="834"/>
      <c r="I242" s="832"/>
      <c r="J242" s="1111"/>
      <c r="K242" s="832"/>
      <c r="L242" s="832"/>
      <c r="M242" s="832"/>
      <c r="N242" s="832"/>
      <c r="O242" s="832"/>
      <c r="P242" s="832"/>
      <c r="Q242" s="832"/>
      <c r="R242" s="832"/>
    </row>
    <row r="243" spans="2:18">
      <c r="B243" s="832"/>
      <c r="C243" s="833"/>
      <c r="D243" s="833"/>
      <c r="E243" s="833"/>
      <c r="F243" s="1111"/>
      <c r="G243" s="1111"/>
      <c r="H243" s="834"/>
      <c r="I243" s="832"/>
      <c r="J243" s="1111"/>
      <c r="K243" s="832"/>
      <c r="L243" s="832"/>
      <c r="M243" s="832"/>
      <c r="N243" s="832"/>
      <c r="O243" s="832"/>
      <c r="P243" s="832"/>
      <c r="Q243" s="832"/>
      <c r="R243" s="832"/>
    </row>
    <row r="244" spans="2:18">
      <c r="B244" s="832"/>
      <c r="C244" s="833"/>
      <c r="D244" s="833"/>
      <c r="E244" s="833"/>
      <c r="F244" s="1111"/>
      <c r="G244" s="1111"/>
      <c r="H244" s="834"/>
      <c r="I244" s="832"/>
      <c r="J244" s="1111"/>
      <c r="K244" s="832"/>
      <c r="L244" s="832"/>
      <c r="M244" s="832"/>
      <c r="N244" s="832"/>
      <c r="O244" s="832"/>
      <c r="P244" s="832"/>
      <c r="Q244" s="832"/>
      <c r="R244" s="832"/>
    </row>
    <row r="245" spans="2:18">
      <c r="B245" s="832"/>
      <c r="C245" s="833"/>
      <c r="D245" s="833"/>
      <c r="E245" s="833"/>
      <c r="F245" s="1111"/>
      <c r="G245" s="1111"/>
      <c r="H245" s="834"/>
      <c r="I245" s="832"/>
      <c r="J245" s="1111"/>
      <c r="K245" s="832"/>
      <c r="L245" s="832"/>
      <c r="M245" s="832"/>
      <c r="N245" s="832"/>
      <c r="O245" s="832"/>
      <c r="P245" s="832"/>
      <c r="Q245" s="832"/>
      <c r="R245" s="832"/>
    </row>
    <row r="246" spans="2:18">
      <c r="B246" s="832"/>
      <c r="C246" s="833"/>
      <c r="D246" s="833"/>
      <c r="E246" s="833"/>
      <c r="F246" s="1111"/>
      <c r="G246" s="1111"/>
      <c r="H246" s="834"/>
      <c r="I246" s="832"/>
      <c r="J246" s="1111"/>
      <c r="K246" s="832"/>
      <c r="L246" s="832"/>
      <c r="M246" s="832"/>
      <c r="N246" s="832"/>
      <c r="O246" s="832"/>
      <c r="P246" s="832"/>
      <c r="Q246" s="832"/>
      <c r="R246" s="832"/>
    </row>
    <row r="247" spans="2:18">
      <c r="B247" s="832"/>
      <c r="C247" s="833"/>
      <c r="D247" s="833"/>
      <c r="E247" s="833"/>
      <c r="F247" s="1111"/>
      <c r="G247" s="1111"/>
      <c r="H247" s="834"/>
      <c r="I247" s="832"/>
      <c r="J247" s="1111"/>
      <c r="K247" s="832"/>
      <c r="L247" s="832"/>
      <c r="M247" s="832"/>
      <c r="N247" s="832"/>
      <c r="O247" s="832"/>
      <c r="P247" s="832"/>
      <c r="Q247" s="832"/>
      <c r="R247" s="832"/>
    </row>
    <row r="248" spans="2:18">
      <c r="B248" s="832"/>
      <c r="C248" s="833"/>
      <c r="D248" s="833"/>
      <c r="E248" s="833"/>
      <c r="F248" s="1111"/>
      <c r="G248" s="1111"/>
      <c r="H248" s="834"/>
      <c r="I248" s="832"/>
      <c r="J248" s="1111"/>
      <c r="K248" s="832"/>
      <c r="L248" s="832"/>
      <c r="M248" s="832"/>
      <c r="N248" s="832"/>
      <c r="O248" s="832"/>
      <c r="P248" s="832"/>
      <c r="Q248" s="832"/>
      <c r="R248" s="832"/>
    </row>
    <row r="249" spans="2:18">
      <c r="B249" s="832"/>
      <c r="C249" s="833"/>
      <c r="D249" s="833"/>
      <c r="E249" s="833"/>
      <c r="F249" s="1111"/>
      <c r="G249" s="1111"/>
      <c r="H249" s="834"/>
      <c r="I249" s="832"/>
      <c r="J249" s="1111"/>
      <c r="K249" s="832"/>
      <c r="L249" s="832"/>
      <c r="M249" s="832"/>
      <c r="N249" s="832"/>
      <c r="O249" s="832"/>
      <c r="P249" s="832"/>
      <c r="Q249" s="832"/>
      <c r="R249" s="832"/>
    </row>
    <row r="250" spans="2:18">
      <c r="B250" s="832"/>
      <c r="C250" s="833"/>
      <c r="D250" s="833"/>
      <c r="E250" s="833"/>
      <c r="F250" s="1111"/>
      <c r="G250" s="1111"/>
      <c r="H250" s="834"/>
      <c r="I250" s="832"/>
      <c r="J250" s="1111"/>
      <c r="K250" s="832"/>
      <c r="L250" s="832"/>
      <c r="M250" s="832"/>
      <c r="N250" s="832"/>
      <c r="O250" s="832"/>
      <c r="P250" s="832"/>
      <c r="Q250" s="832"/>
      <c r="R250" s="832"/>
    </row>
    <row r="251" spans="2:18">
      <c r="B251" s="832"/>
      <c r="C251" s="833"/>
      <c r="D251" s="833"/>
      <c r="E251" s="833"/>
      <c r="F251" s="1111"/>
      <c r="G251" s="1111"/>
      <c r="H251" s="834"/>
      <c r="I251" s="832"/>
      <c r="J251" s="1111"/>
      <c r="K251" s="832"/>
      <c r="L251" s="832"/>
      <c r="M251" s="832"/>
      <c r="N251" s="832"/>
      <c r="O251" s="832"/>
      <c r="P251" s="832"/>
      <c r="Q251" s="832"/>
      <c r="R251" s="832"/>
    </row>
    <row r="252" spans="2:18">
      <c r="B252" s="832"/>
      <c r="C252" s="833"/>
      <c r="D252" s="833"/>
      <c r="E252" s="833"/>
      <c r="F252" s="1111"/>
      <c r="G252" s="1111"/>
      <c r="H252" s="834"/>
      <c r="I252" s="832"/>
      <c r="J252" s="1111"/>
      <c r="K252" s="832"/>
      <c r="L252" s="832"/>
      <c r="M252" s="832"/>
      <c r="N252" s="832"/>
      <c r="O252" s="832"/>
      <c r="P252" s="832"/>
      <c r="Q252" s="832"/>
      <c r="R252" s="832"/>
    </row>
    <row r="253" spans="2:18">
      <c r="B253" s="832"/>
      <c r="C253" s="833"/>
      <c r="D253" s="833"/>
      <c r="E253" s="833"/>
      <c r="F253" s="1111"/>
      <c r="G253" s="1111"/>
      <c r="H253" s="834"/>
      <c r="I253" s="832"/>
      <c r="J253" s="1111"/>
      <c r="K253" s="832"/>
      <c r="L253" s="832"/>
      <c r="M253" s="832"/>
      <c r="N253" s="832"/>
      <c r="O253" s="832"/>
      <c r="P253" s="832"/>
      <c r="Q253" s="832"/>
      <c r="R253" s="832"/>
    </row>
    <row r="254" spans="2:18">
      <c r="B254" s="832"/>
      <c r="C254" s="833"/>
      <c r="D254" s="833"/>
      <c r="E254" s="833"/>
      <c r="F254" s="1111"/>
      <c r="G254" s="1111"/>
      <c r="H254" s="834"/>
      <c r="I254" s="832"/>
      <c r="J254" s="1111"/>
      <c r="K254" s="832"/>
      <c r="L254" s="832"/>
      <c r="M254" s="832"/>
      <c r="N254" s="832"/>
      <c r="O254" s="832"/>
      <c r="P254" s="832"/>
      <c r="Q254" s="832"/>
      <c r="R254" s="832"/>
    </row>
    <row r="255" spans="2:18">
      <c r="B255" s="832"/>
      <c r="C255" s="833"/>
      <c r="D255" s="833"/>
      <c r="E255" s="833"/>
      <c r="F255" s="1111"/>
      <c r="G255" s="1111"/>
      <c r="H255" s="834"/>
      <c r="I255" s="832"/>
      <c r="J255" s="1111"/>
      <c r="K255" s="832"/>
      <c r="L255" s="832"/>
      <c r="M255" s="832"/>
      <c r="N255" s="832"/>
      <c r="O255" s="832"/>
      <c r="P255" s="832"/>
      <c r="Q255" s="832"/>
      <c r="R255" s="832"/>
    </row>
    <row r="256" spans="2:18">
      <c r="B256" s="832"/>
      <c r="C256" s="833"/>
      <c r="D256" s="833"/>
      <c r="E256" s="833"/>
      <c r="F256" s="1111"/>
      <c r="G256" s="1111"/>
      <c r="H256" s="834"/>
      <c r="I256" s="832"/>
      <c r="J256" s="1111"/>
      <c r="K256" s="832"/>
      <c r="L256" s="832"/>
      <c r="M256" s="832"/>
      <c r="N256" s="832"/>
      <c r="O256" s="832"/>
      <c r="P256" s="832"/>
      <c r="Q256" s="832"/>
      <c r="R256" s="832"/>
    </row>
    <row r="257" spans="2:18">
      <c r="B257" s="832"/>
      <c r="C257" s="833"/>
      <c r="D257" s="833"/>
      <c r="E257" s="833"/>
      <c r="F257" s="1111"/>
      <c r="G257" s="1111"/>
      <c r="H257" s="834"/>
      <c r="I257" s="832"/>
      <c r="J257" s="1111"/>
      <c r="K257" s="832"/>
      <c r="L257" s="832"/>
      <c r="M257" s="832"/>
      <c r="N257" s="832"/>
      <c r="O257" s="832"/>
      <c r="P257" s="832"/>
      <c r="Q257" s="832"/>
      <c r="R257" s="832"/>
    </row>
    <row r="258" spans="2:18">
      <c r="B258" s="832"/>
      <c r="C258" s="833"/>
      <c r="D258" s="833"/>
      <c r="E258" s="833"/>
      <c r="F258" s="1111"/>
      <c r="G258" s="1111"/>
      <c r="H258" s="834"/>
      <c r="I258" s="832"/>
      <c r="J258" s="1111"/>
      <c r="K258" s="832"/>
      <c r="L258" s="832"/>
      <c r="M258" s="832"/>
      <c r="N258" s="832"/>
      <c r="O258" s="832"/>
      <c r="P258" s="832"/>
      <c r="Q258" s="832"/>
      <c r="R258" s="832"/>
    </row>
    <row r="259" spans="2:18">
      <c r="B259" s="832"/>
      <c r="C259" s="833"/>
      <c r="D259" s="833"/>
      <c r="E259" s="833"/>
      <c r="F259" s="1111"/>
      <c r="G259" s="1111"/>
      <c r="H259" s="834"/>
      <c r="I259" s="832"/>
      <c r="J259" s="1111"/>
      <c r="K259" s="832"/>
      <c r="L259" s="832"/>
      <c r="M259" s="832"/>
      <c r="N259" s="832"/>
      <c r="O259" s="832"/>
      <c r="P259" s="832"/>
      <c r="Q259" s="832"/>
      <c r="R259" s="832"/>
    </row>
    <row r="260" spans="2:18">
      <c r="B260" s="832"/>
      <c r="C260" s="833"/>
      <c r="D260" s="833"/>
      <c r="E260" s="833"/>
      <c r="F260" s="1111"/>
      <c r="G260" s="1111"/>
      <c r="H260" s="834"/>
      <c r="I260" s="832"/>
      <c r="J260" s="1111"/>
      <c r="K260" s="832"/>
      <c r="L260" s="832"/>
      <c r="M260" s="832"/>
      <c r="N260" s="832"/>
      <c r="O260" s="832"/>
      <c r="P260" s="832"/>
      <c r="Q260" s="832"/>
      <c r="R260" s="832"/>
    </row>
    <row r="261" spans="2:18">
      <c r="B261" s="832"/>
      <c r="C261" s="833"/>
      <c r="D261" s="833"/>
      <c r="E261" s="833"/>
      <c r="F261" s="1111"/>
      <c r="G261" s="1111"/>
      <c r="H261" s="834"/>
      <c r="I261" s="832"/>
      <c r="J261" s="1111"/>
      <c r="K261" s="832"/>
      <c r="L261" s="832"/>
      <c r="M261" s="832"/>
      <c r="N261" s="832"/>
      <c r="O261" s="832"/>
      <c r="P261" s="832"/>
      <c r="Q261" s="832"/>
      <c r="R261" s="832"/>
    </row>
    <row r="262" spans="2:18">
      <c r="B262" s="832"/>
      <c r="C262" s="833"/>
      <c r="D262" s="833"/>
      <c r="E262" s="833"/>
      <c r="F262" s="1111"/>
      <c r="G262" s="1111"/>
      <c r="H262" s="834"/>
      <c r="I262" s="832"/>
      <c r="J262" s="1111"/>
      <c r="K262" s="832"/>
      <c r="L262" s="832"/>
      <c r="M262" s="832"/>
      <c r="N262" s="832"/>
      <c r="O262" s="832"/>
      <c r="P262" s="832"/>
      <c r="Q262" s="832"/>
      <c r="R262" s="832"/>
    </row>
    <row r="263" spans="2:18">
      <c r="B263" s="832"/>
      <c r="C263" s="833"/>
      <c r="D263" s="833"/>
      <c r="E263" s="833"/>
      <c r="F263" s="1111"/>
      <c r="G263" s="1111"/>
      <c r="H263" s="834"/>
      <c r="I263" s="832"/>
      <c r="J263" s="1111"/>
      <c r="K263" s="832"/>
      <c r="L263" s="832"/>
      <c r="M263" s="832"/>
      <c r="N263" s="832"/>
      <c r="O263" s="832"/>
      <c r="P263" s="832"/>
      <c r="Q263" s="832"/>
      <c r="R263" s="832"/>
    </row>
    <row r="264" spans="2:18">
      <c r="B264" s="832"/>
      <c r="C264" s="833"/>
      <c r="D264" s="833"/>
      <c r="E264" s="833"/>
      <c r="F264" s="1111"/>
      <c r="G264" s="1111"/>
      <c r="H264" s="834"/>
      <c r="I264" s="832"/>
      <c r="J264" s="1111"/>
      <c r="K264" s="832"/>
      <c r="L264" s="832"/>
      <c r="M264" s="832"/>
      <c r="N264" s="832"/>
      <c r="O264" s="832"/>
      <c r="P264" s="832"/>
      <c r="Q264" s="832"/>
      <c r="R264" s="832"/>
    </row>
    <row r="265" spans="2:18">
      <c r="B265" s="832"/>
      <c r="C265" s="833"/>
      <c r="D265" s="833"/>
      <c r="E265" s="833"/>
      <c r="F265" s="1111"/>
      <c r="G265" s="1111"/>
      <c r="H265" s="834"/>
      <c r="I265" s="832"/>
      <c r="J265" s="1111"/>
      <c r="K265" s="832"/>
      <c r="L265" s="832"/>
      <c r="M265" s="832"/>
      <c r="N265" s="832"/>
      <c r="O265" s="832"/>
      <c r="P265" s="832"/>
      <c r="Q265" s="832"/>
      <c r="R265" s="832"/>
    </row>
    <row r="266" spans="2:18">
      <c r="B266" s="832"/>
      <c r="C266" s="833"/>
      <c r="D266" s="833"/>
      <c r="E266" s="833"/>
      <c r="F266" s="1111"/>
      <c r="G266" s="1111"/>
      <c r="H266" s="834"/>
      <c r="I266" s="832"/>
      <c r="J266" s="1111"/>
      <c r="K266" s="832"/>
      <c r="L266" s="832"/>
      <c r="M266" s="832"/>
      <c r="N266" s="832"/>
      <c r="O266" s="832"/>
      <c r="P266" s="832"/>
      <c r="Q266" s="832"/>
      <c r="R266" s="832"/>
    </row>
    <row r="267" spans="2:18">
      <c r="B267" s="832"/>
      <c r="C267" s="833"/>
      <c r="D267" s="833"/>
      <c r="E267" s="833"/>
      <c r="F267" s="1111"/>
      <c r="G267" s="1111"/>
      <c r="H267" s="834"/>
      <c r="I267" s="832"/>
      <c r="J267" s="1111"/>
      <c r="K267" s="832"/>
      <c r="L267" s="832"/>
      <c r="M267" s="832"/>
      <c r="N267" s="832"/>
      <c r="O267" s="832"/>
      <c r="P267" s="832"/>
      <c r="Q267" s="832"/>
      <c r="R267" s="832"/>
    </row>
    <row r="268" spans="2:18">
      <c r="B268" s="832"/>
      <c r="C268" s="833"/>
      <c r="D268" s="833"/>
      <c r="E268" s="833"/>
      <c r="F268" s="1111"/>
      <c r="G268" s="1111"/>
      <c r="H268" s="834"/>
      <c r="I268" s="832"/>
      <c r="J268" s="1111"/>
      <c r="K268" s="832"/>
      <c r="L268" s="832"/>
      <c r="M268" s="832"/>
      <c r="N268" s="832"/>
      <c r="O268" s="832"/>
      <c r="P268" s="832"/>
      <c r="Q268" s="832"/>
      <c r="R268" s="832"/>
    </row>
    <row r="269" spans="2:18">
      <c r="B269" s="832"/>
      <c r="C269" s="833"/>
      <c r="D269" s="833"/>
      <c r="E269" s="833"/>
      <c r="F269" s="1111"/>
      <c r="G269" s="1111"/>
      <c r="H269" s="834"/>
      <c r="I269" s="832"/>
      <c r="J269" s="1111"/>
      <c r="K269" s="832"/>
      <c r="L269" s="832"/>
      <c r="M269" s="832"/>
      <c r="N269" s="832"/>
      <c r="O269" s="832"/>
      <c r="P269" s="832"/>
      <c r="Q269" s="832"/>
      <c r="R269" s="832"/>
    </row>
    <row r="270" spans="2:18">
      <c r="B270" s="832"/>
      <c r="C270" s="833"/>
      <c r="D270" s="833"/>
      <c r="E270" s="833"/>
      <c r="F270" s="1111"/>
      <c r="G270" s="1111"/>
      <c r="H270" s="834"/>
      <c r="I270" s="832"/>
      <c r="J270" s="1111"/>
      <c r="K270" s="832"/>
      <c r="L270" s="832"/>
      <c r="M270" s="832"/>
      <c r="N270" s="832"/>
      <c r="O270" s="832"/>
      <c r="P270" s="832"/>
      <c r="Q270" s="832"/>
      <c r="R270" s="832"/>
    </row>
    <row r="271" spans="2:18">
      <c r="B271" s="832"/>
      <c r="C271" s="833"/>
      <c r="D271" s="833"/>
      <c r="E271" s="833"/>
      <c r="F271" s="1111"/>
      <c r="G271" s="1111"/>
      <c r="H271" s="834"/>
      <c r="I271" s="832"/>
      <c r="J271" s="1111"/>
      <c r="K271" s="832"/>
      <c r="L271" s="832"/>
      <c r="M271" s="832"/>
      <c r="N271" s="832"/>
      <c r="O271" s="832"/>
      <c r="P271" s="832"/>
      <c r="Q271" s="832"/>
      <c r="R271" s="832"/>
    </row>
    <row r="272" spans="2:18">
      <c r="B272" s="832"/>
      <c r="C272" s="833"/>
      <c r="D272" s="833"/>
      <c r="E272" s="833"/>
      <c r="F272" s="1111"/>
      <c r="G272" s="1111"/>
      <c r="H272" s="834"/>
      <c r="I272" s="832"/>
      <c r="J272" s="1111"/>
      <c r="K272" s="832"/>
      <c r="L272" s="832"/>
      <c r="M272" s="832"/>
      <c r="N272" s="832"/>
      <c r="O272" s="832"/>
      <c r="P272" s="832"/>
      <c r="Q272" s="832"/>
      <c r="R272" s="832"/>
    </row>
    <row r="273" spans="2:18">
      <c r="B273" s="832"/>
      <c r="C273" s="833"/>
      <c r="D273" s="833"/>
      <c r="E273" s="833"/>
      <c r="F273" s="1111"/>
      <c r="G273" s="1111"/>
      <c r="H273" s="834"/>
      <c r="I273" s="832"/>
      <c r="J273" s="1111"/>
      <c r="K273" s="832"/>
      <c r="L273" s="832"/>
      <c r="M273" s="832"/>
      <c r="N273" s="832"/>
      <c r="O273" s="832"/>
      <c r="P273" s="832"/>
      <c r="Q273" s="832"/>
      <c r="R273" s="832"/>
    </row>
    <row r="274" spans="2:18">
      <c r="B274" s="832"/>
      <c r="C274" s="833"/>
      <c r="D274" s="833"/>
      <c r="E274" s="833"/>
      <c r="F274" s="1111"/>
      <c r="G274" s="1111"/>
      <c r="H274" s="834"/>
      <c r="I274" s="832"/>
      <c r="J274" s="1111"/>
      <c r="K274" s="832"/>
      <c r="L274" s="832"/>
      <c r="M274" s="832"/>
      <c r="N274" s="832"/>
      <c r="O274" s="832"/>
      <c r="P274" s="832"/>
      <c r="Q274" s="832"/>
      <c r="R274" s="832"/>
    </row>
    <row r="275" spans="2:18">
      <c r="B275" s="832"/>
      <c r="C275" s="833"/>
      <c r="D275" s="833"/>
      <c r="E275" s="833"/>
      <c r="F275" s="1111"/>
      <c r="G275" s="1111"/>
      <c r="H275" s="834"/>
      <c r="I275" s="832"/>
      <c r="J275" s="1111"/>
      <c r="K275" s="832"/>
      <c r="L275" s="832"/>
      <c r="M275" s="832"/>
      <c r="N275" s="832"/>
      <c r="O275" s="832"/>
      <c r="P275" s="832"/>
      <c r="Q275" s="832"/>
      <c r="R275" s="832"/>
    </row>
    <row r="276" spans="2:18">
      <c r="B276" s="832"/>
      <c r="C276" s="833"/>
      <c r="D276" s="833"/>
      <c r="E276" s="833"/>
      <c r="F276" s="1111"/>
      <c r="G276" s="1111"/>
      <c r="H276" s="834"/>
      <c r="I276" s="832"/>
      <c r="J276" s="1111"/>
      <c r="K276" s="832"/>
      <c r="L276" s="832"/>
      <c r="M276" s="832"/>
      <c r="N276" s="832"/>
      <c r="O276" s="832"/>
      <c r="P276" s="832"/>
      <c r="Q276" s="832"/>
      <c r="R276" s="832"/>
    </row>
    <row r="277" spans="2:18">
      <c r="B277" s="832"/>
      <c r="C277" s="833"/>
      <c r="D277" s="833"/>
      <c r="E277" s="833"/>
      <c r="F277" s="1111"/>
      <c r="G277" s="1111"/>
      <c r="H277" s="834"/>
      <c r="I277" s="832"/>
      <c r="J277" s="1111"/>
      <c r="K277" s="832"/>
      <c r="L277" s="832"/>
      <c r="M277" s="832"/>
      <c r="N277" s="832"/>
      <c r="O277" s="832"/>
      <c r="P277" s="832"/>
      <c r="Q277" s="832"/>
      <c r="R277" s="832"/>
    </row>
    <row r="278" spans="2:18">
      <c r="B278" s="832"/>
      <c r="C278" s="833"/>
      <c r="D278" s="833"/>
      <c r="E278" s="833"/>
      <c r="F278" s="1111"/>
      <c r="G278" s="1111"/>
      <c r="H278" s="834"/>
      <c r="I278" s="832"/>
      <c r="J278" s="1111"/>
      <c r="K278" s="832"/>
      <c r="L278" s="832"/>
      <c r="M278" s="832"/>
      <c r="N278" s="832"/>
      <c r="O278" s="832"/>
      <c r="P278" s="832"/>
      <c r="Q278" s="832"/>
      <c r="R278" s="832"/>
    </row>
    <row r="279" spans="2:18">
      <c r="B279" s="832"/>
      <c r="C279" s="833"/>
      <c r="D279" s="833"/>
      <c r="E279" s="833"/>
      <c r="F279" s="1111"/>
      <c r="G279" s="1111"/>
      <c r="H279" s="834"/>
      <c r="I279" s="832"/>
      <c r="J279" s="1111"/>
      <c r="K279" s="832"/>
      <c r="L279" s="832"/>
      <c r="M279" s="832"/>
      <c r="N279" s="832"/>
      <c r="O279" s="832"/>
      <c r="P279" s="832"/>
      <c r="Q279" s="832"/>
      <c r="R279" s="832"/>
    </row>
    <row r="280" spans="2:18">
      <c r="B280" s="832"/>
      <c r="C280" s="833"/>
      <c r="D280" s="833"/>
      <c r="E280" s="833"/>
      <c r="F280" s="1111"/>
      <c r="G280" s="1111"/>
      <c r="H280" s="834"/>
      <c r="I280" s="832"/>
      <c r="J280" s="1111"/>
      <c r="K280" s="832"/>
      <c r="L280" s="832"/>
      <c r="M280" s="832"/>
      <c r="N280" s="832"/>
      <c r="O280" s="832"/>
      <c r="P280" s="832"/>
      <c r="Q280" s="832"/>
      <c r="R280" s="832"/>
    </row>
    <row r="281" spans="2:18">
      <c r="B281" s="832"/>
      <c r="C281" s="833"/>
      <c r="D281" s="833"/>
      <c r="E281" s="833"/>
      <c r="F281" s="1111"/>
      <c r="G281" s="1111"/>
      <c r="H281" s="834"/>
      <c r="I281" s="832"/>
      <c r="J281" s="1111"/>
      <c r="K281" s="832"/>
      <c r="L281" s="832"/>
      <c r="M281" s="832"/>
      <c r="N281" s="832"/>
      <c r="O281" s="832"/>
      <c r="P281" s="832"/>
      <c r="Q281" s="832"/>
      <c r="R281" s="832"/>
    </row>
    <row r="282" spans="2:18">
      <c r="B282" s="832"/>
      <c r="C282" s="833"/>
      <c r="D282" s="833"/>
      <c r="E282" s="833"/>
      <c r="F282" s="1111"/>
      <c r="G282" s="1111"/>
      <c r="H282" s="834"/>
      <c r="I282" s="832"/>
      <c r="J282" s="1111"/>
      <c r="K282" s="832"/>
      <c r="L282" s="832"/>
      <c r="M282" s="832"/>
      <c r="N282" s="832"/>
      <c r="O282" s="832"/>
      <c r="P282" s="832"/>
      <c r="Q282" s="832"/>
      <c r="R282" s="832"/>
    </row>
    <row r="283" spans="2:18">
      <c r="B283" s="832"/>
      <c r="C283" s="833"/>
      <c r="D283" s="833"/>
      <c r="E283" s="833"/>
      <c r="F283" s="1111"/>
      <c r="G283" s="1111"/>
      <c r="H283" s="834"/>
      <c r="I283" s="832"/>
      <c r="J283" s="1111"/>
      <c r="K283" s="832"/>
      <c r="L283" s="832"/>
      <c r="M283" s="832"/>
      <c r="N283" s="832"/>
      <c r="O283" s="832"/>
      <c r="P283" s="832"/>
      <c r="Q283" s="832"/>
      <c r="R283" s="832"/>
    </row>
    <row r="284" spans="2:18">
      <c r="B284" s="832"/>
      <c r="C284" s="833"/>
      <c r="D284" s="833"/>
      <c r="E284" s="833"/>
      <c r="F284" s="1111"/>
      <c r="G284" s="1111"/>
      <c r="H284" s="834"/>
      <c r="I284" s="832"/>
      <c r="J284" s="1111"/>
      <c r="K284" s="832"/>
      <c r="L284" s="832"/>
      <c r="M284" s="832"/>
      <c r="N284" s="832"/>
      <c r="O284" s="832"/>
      <c r="P284" s="832"/>
      <c r="Q284" s="832"/>
      <c r="R284" s="832"/>
    </row>
    <row r="285" spans="2:18">
      <c r="B285" s="832"/>
      <c r="C285" s="833"/>
      <c r="D285" s="833"/>
      <c r="E285" s="833"/>
      <c r="F285" s="1111"/>
      <c r="G285" s="1111"/>
      <c r="H285" s="834"/>
      <c r="I285" s="832"/>
      <c r="J285" s="1111"/>
      <c r="K285" s="832"/>
      <c r="L285" s="832"/>
      <c r="M285" s="832"/>
      <c r="N285" s="832"/>
      <c r="O285" s="832"/>
      <c r="P285" s="832"/>
      <c r="Q285" s="832"/>
      <c r="R285" s="832"/>
    </row>
    <row r="286" spans="2:18">
      <c r="B286" s="832"/>
      <c r="C286" s="833"/>
      <c r="D286" s="833"/>
      <c r="E286" s="833"/>
      <c r="F286" s="1111"/>
      <c r="G286" s="1111"/>
      <c r="H286" s="834"/>
      <c r="I286" s="832"/>
      <c r="J286" s="1111"/>
      <c r="K286" s="832"/>
      <c r="L286" s="832"/>
      <c r="M286" s="832"/>
      <c r="N286" s="832"/>
      <c r="O286" s="832"/>
      <c r="P286" s="832"/>
      <c r="Q286" s="832"/>
      <c r="R286" s="832"/>
    </row>
    <row r="287" spans="2:18">
      <c r="B287" s="832"/>
      <c r="C287" s="833"/>
      <c r="D287" s="833"/>
      <c r="E287" s="833"/>
      <c r="F287" s="1111"/>
      <c r="G287" s="1111"/>
      <c r="H287" s="834"/>
      <c r="I287" s="832"/>
      <c r="J287" s="1111"/>
      <c r="K287" s="832"/>
      <c r="L287" s="832"/>
      <c r="M287" s="832"/>
      <c r="N287" s="832"/>
      <c r="O287" s="832"/>
      <c r="P287" s="832"/>
      <c r="Q287" s="832"/>
      <c r="R287" s="832"/>
    </row>
    <row r="288" spans="2:18">
      <c r="B288" s="832"/>
      <c r="C288" s="833"/>
      <c r="D288" s="833"/>
      <c r="E288" s="833"/>
      <c r="F288" s="1111"/>
      <c r="G288" s="1111"/>
      <c r="H288" s="834"/>
      <c r="I288" s="832"/>
      <c r="J288" s="1111"/>
      <c r="K288" s="832"/>
      <c r="L288" s="832"/>
      <c r="M288" s="832"/>
      <c r="N288" s="832"/>
      <c r="O288" s="832"/>
      <c r="P288" s="832"/>
      <c r="Q288" s="832"/>
      <c r="R288" s="832"/>
    </row>
    <row r="289" spans="2:18">
      <c r="B289" s="832"/>
      <c r="C289" s="833"/>
      <c r="D289" s="833"/>
      <c r="E289" s="833"/>
      <c r="F289" s="1111"/>
      <c r="G289" s="1111"/>
      <c r="H289" s="834"/>
      <c r="I289" s="832"/>
      <c r="J289" s="1111"/>
      <c r="K289" s="832"/>
      <c r="L289" s="832"/>
      <c r="M289" s="832"/>
      <c r="N289" s="832"/>
      <c r="O289" s="832"/>
      <c r="P289" s="832"/>
      <c r="Q289" s="832"/>
      <c r="R289" s="832"/>
    </row>
    <row r="290" spans="2:18">
      <c r="B290" s="832"/>
      <c r="C290" s="833"/>
      <c r="D290" s="833"/>
      <c r="E290" s="833"/>
      <c r="F290" s="1111"/>
      <c r="G290" s="1111"/>
      <c r="H290" s="834"/>
      <c r="I290" s="832"/>
      <c r="J290" s="1111"/>
      <c r="K290" s="832"/>
      <c r="L290" s="832"/>
      <c r="M290" s="832"/>
      <c r="N290" s="832"/>
      <c r="O290" s="832"/>
      <c r="P290" s="832"/>
      <c r="Q290" s="832"/>
      <c r="R290" s="832"/>
    </row>
    <row r="291" spans="2:18">
      <c r="B291" s="832"/>
      <c r="C291" s="833"/>
      <c r="D291" s="833"/>
      <c r="E291" s="833"/>
      <c r="F291" s="1111"/>
      <c r="G291" s="1111"/>
      <c r="H291" s="834"/>
      <c r="I291" s="832"/>
      <c r="J291" s="1111"/>
      <c r="K291" s="832"/>
      <c r="L291" s="832"/>
      <c r="M291" s="832"/>
      <c r="N291" s="832"/>
      <c r="O291" s="832"/>
      <c r="P291" s="832"/>
      <c r="Q291" s="832"/>
      <c r="R291" s="832"/>
    </row>
    <row r="292" spans="2:18">
      <c r="B292" s="832"/>
      <c r="C292" s="833"/>
      <c r="D292" s="833"/>
      <c r="E292" s="833"/>
      <c r="F292" s="1111"/>
      <c r="G292" s="1111"/>
      <c r="H292" s="834"/>
      <c r="I292" s="832"/>
      <c r="J292" s="1111"/>
      <c r="K292" s="832"/>
      <c r="L292" s="832"/>
      <c r="M292" s="832"/>
      <c r="N292" s="832"/>
      <c r="O292" s="832"/>
      <c r="P292" s="832"/>
      <c r="Q292" s="832"/>
      <c r="R292" s="832"/>
    </row>
    <row r="293" spans="2:18">
      <c r="B293" s="832"/>
      <c r="C293" s="833"/>
      <c r="D293" s="833"/>
      <c r="E293" s="833"/>
      <c r="F293" s="1111"/>
      <c r="G293" s="1111"/>
      <c r="H293" s="834"/>
      <c r="I293" s="832"/>
      <c r="J293" s="1111"/>
      <c r="K293" s="832"/>
      <c r="L293" s="832"/>
      <c r="M293" s="832"/>
      <c r="N293" s="832"/>
      <c r="O293" s="832"/>
      <c r="P293" s="832"/>
      <c r="Q293" s="832"/>
      <c r="R293" s="832"/>
    </row>
    <row r="294" spans="2:18">
      <c r="B294" s="832"/>
      <c r="C294" s="833"/>
      <c r="D294" s="833"/>
      <c r="E294" s="833"/>
      <c r="F294" s="1111"/>
      <c r="G294" s="1111"/>
      <c r="H294" s="834"/>
      <c r="I294" s="832"/>
      <c r="J294" s="1111"/>
      <c r="K294" s="832"/>
      <c r="L294" s="832"/>
      <c r="M294" s="832"/>
      <c r="N294" s="832"/>
      <c r="O294" s="832"/>
      <c r="P294" s="832"/>
      <c r="Q294" s="832"/>
      <c r="R294" s="832"/>
    </row>
    <row r="295" spans="2:18">
      <c r="B295" s="832"/>
      <c r="C295" s="833"/>
      <c r="D295" s="833"/>
      <c r="E295" s="833"/>
      <c r="F295" s="1111"/>
      <c r="G295" s="1111"/>
      <c r="H295" s="834"/>
      <c r="I295" s="832"/>
      <c r="J295" s="1111"/>
      <c r="K295" s="832"/>
      <c r="L295" s="832"/>
      <c r="M295" s="832"/>
      <c r="N295" s="832"/>
      <c r="O295" s="832"/>
      <c r="P295" s="832"/>
      <c r="Q295" s="832"/>
      <c r="R295" s="832"/>
    </row>
    <row r="296" spans="2:18">
      <c r="B296" s="832"/>
      <c r="C296" s="833"/>
      <c r="D296" s="833"/>
      <c r="E296" s="833"/>
      <c r="F296" s="1111"/>
      <c r="G296" s="1111"/>
      <c r="H296" s="834"/>
      <c r="I296" s="832"/>
      <c r="J296" s="1111"/>
      <c r="K296" s="832"/>
      <c r="L296" s="832"/>
      <c r="M296" s="832"/>
      <c r="N296" s="832"/>
      <c r="O296" s="832"/>
      <c r="P296" s="832"/>
      <c r="Q296" s="832"/>
      <c r="R296" s="832"/>
    </row>
    <row r="297" spans="2:18">
      <c r="B297" s="832"/>
      <c r="C297" s="833"/>
      <c r="D297" s="833"/>
      <c r="E297" s="833"/>
      <c r="F297" s="1111"/>
      <c r="G297" s="1111"/>
      <c r="H297" s="834"/>
      <c r="I297" s="832"/>
      <c r="J297" s="1111"/>
      <c r="K297" s="832"/>
      <c r="L297" s="832"/>
      <c r="M297" s="832"/>
      <c r="N297" s="832"/>
      <c r="O297" s="832"/>
      <c r="P297" s="832"/>
      <c r="Q297" s="832"/>
      <c r="R297" s="832"/>
    </row>
    <row r="298" spans="2:18">
      <c r="B298" s="832"/>
      <c r="C298" s="833"/>
      <c r="D298" s="833"/>
      <c r="E298" s="833"/>
      <c r="F298" s="1111"/>
      <c r="G298" s="1111"/>
      <c r="H298" s="834"/>
      <c r="I298" s="832"/>
      <c r="J298" s="1111"/>
      <c r="K298" s="832"/>
      <c r="L298" s="832"/>
      <c r="M298" s="832"/>
      <c r="N298" s="832"/>
      <c r="O298" s="832"/>
      <c r="P298" s="832"/>
      <c r="Q298" s="832"/>
      <c r="R298" s="832"/>
    </row>
    <row r="299" spans="2:18">
      <c r="B299" s="832"/>
      <c r="C299" s="833"/>
      <c r="D299" s="833"/>
      <c r="E299" s="833"/>
      <c r="F299" s="1111"/>
      <c r="G299" s="1111"/>
      <c r="H299" s="834"/>
      <c r="I299" s="832"/>
      <c r="J299" s="1111"/>
      <c r="K299" s="832"/>
      <c r="L299" s="832"/>
      <c r="M299" s="832"/>
      <c r="N299" s="832"/>
      <c r="O299" s="832"/>
      <c r="P299" s="832"/>
      <c r="Q299" s="832"/>
      <c r="R299" s="832"/>
    </row>
    <row r="300" spans="2:18">
      <c r="B300" s="832"/>
      <c r="C300" s="833"/>
      <c r="D300" s="833"/>
      <c r="E300" s="833"/>
      <c r="F300" s="1111"/>
      <c r="G300" s="1111"/>
      <c r="H300" s="834"/>
      <c r="I300" s="832"/>
      <c r="J300" s="1111"/>
      <c r="K300" s="832"/>
      <c r="L300" s="832"/>
      <c r="M300" s="832"/>
      <c r="N300" s="832"/>
      <c r="O300" s="832"/>
      <c r="P300" s="832"/>
      <c r="Q300" s="832"/>
      <c r="R300" s="832"/>
    </row>
    <row r="301" spans="2:18">
      <c r="B301" s="832"/>
      <c r="C301" s="833"/>
      <c r="D301" s="833"/>
      <c r="E301" s="833"/>
      <c r="F301" s="1111"/>
      <c r="G301" s="1111"/>
      <c r="H301" s="834"/>
      <c r="I301" s="832"/>
      <c r="J301" s="1111"/>
      <c r="K301" s="832"/>
      <c r="L301" s="832"/>
      <c r="M301" s="832"/>
      <c r="N301" s="832"/>
      <c r="O301" s="832"/>
      <c r="P301" s="832"/>
      <c r="Q301" s="832"/>
      <c r="R301" s="832"/>
    </row>
    <row r="302" spans="2:18">
      <c r="B302" s="832"/>
      <c r="C302" s="833"/>
      <c r="D302" s="833"/>
      <c r="E302" s="833"/>
      <c r="F302" s="1111"/>
      <c r="G302" s="1111"/>
      <c r="H302" s="834"/>
      <c r="I302" s="832"/>
      <c r="J302" s="1111"/>
      <c r="K302" s="832"/>
      <c r="L302" s="832"/>
      <c r="M302" s="832"/>
      <c r="N302" s="832"/>
      <c r="O302" s="832"/>
      <c r="P302" s="832"/>
      <c r="Q302" s="832"/>
      <c r="R302" s="832"/>
    </row>
    <row r="303" spans="2:18">
      <c r="B303" s="832"/>
      <c r="C303" s="833"/>
      <c r="D303" s="833"/>
      <c r="E303" s="833"/>
      <c r="F303" s="1111"/>
      <c r="G303" s="1111"/>
      <c r="H303" s="834"/>
      <c r="I303" s="832"/>
      <c r="J303" s="1111"/>
      <c r="K303" s="832"/>
      <c r="L303" s="832"/>
      <c r="M303" s="832"/>
      <c r="N303" s="832"/>
      <c r="O303" s="832"/>
      <c r="P303" s="832"/>
      <c r="Q303" s="832"/>
      <c r="R303" s="832"/>
    </row>
    <row r="304" spans="2:18">
      <c r="B304" s="832"/>
      <c r="C304" s="833"/>
      <c r="D304" s="833"/>
      <c r="E304" s="833"/>
      <c r="F304" s="1111"/>
      <c r="G304" s="1111"/>
      <c r="H304" s="834"/>
      <c r="I304" s="832"/>
      <c r="J304" s="1111"/>
      <c r="K304" s="832"/>
      <c r="L304" s="832"/>
      <c r="M304" s="832"/>
      <c r="N304" s="832"/>
      <c r="O304" s="832"/>
      <c r="P304" s="832"/>
      <c r="Q304" s="832"/>
      <c r="R304" s="832"/>
    </row>
    <row r="305" spans="2:18">
      <c r="B305" s="832"/>
      <c r="C305" s="833"/>
      <c r="D305" s="833"/>
      <c r="E305" s="833"/>
      <c r="F305" s="1111"/>
      <c r="G305" s="1111"/>
      <c r="H305" s="834"/>
      <c r="I305" s="832"/>
      <c r="J305" s="1111"/>
      <c r="K305" s="832"/>
      <c r="L305" s="832"/>
      <c r="M305" s="832"/>
      <c r="N305" s="832"/>
      <c r="O305" s="832"/>
      <c r="P305" s="832"/>
      <c r="Q305" s="832"/>
      <c r="R305" s="832"/>
    </row>
    <row r="306" spans="2:18">
      <c r="B306" s="832"/>
      <c r="C306" s="833"/>
      <c r="D306" s="833"/>
      <c r="E306" s="833"/>
      <c r="F306" s="1111"/>
      <c r="G306" s="1111"/>
      <c r="H306" s="834"/>
      <c r="I306" s="832"/>
      <c r="J306" s="1111"/>
      <c r="K306" s="832"/>
      <c r="L306" s="832"/>
      <c r="M306" s="832"/>
      <c r="N306" s="832"/>
      <c r="O306" s="832"/>
      <c r="P306" s="832"/>
      <c r="Q306" s="832"/>
      <c r="R306" s="832"/>
    </row>
    <row r="307" spans="2:18">
      <c r="B307" s="832"/>
      <c r="C307" s="833"/>
      <c r="D307" s="833"/>
      <c r="E307" s="833"/>
      <c r="F307" s="1111"/>
      <c r="G307" s="1111"/>
      <c r="H307" s="834"/>
      <c r="I307" s="832"/>
      <c r="J307" s="1111"/>
      <c r="K307" s="832"/>
      <c r="L307" s="832"/>
      <c r="M307" s="832"/>
      <c r="N307" s="832"/>
      <c r="O307" s="832"/>
      <c r="P307" s="832"/>
      <c r="Q307" s="832"/>
      <c r="R307" s="832"/>
    </row>
    <row r="308" spans="2:18">
      <c r="B308" s="832"/>
      <c r="C308" s="833"/>
      <c r="D308" s="833"/>
      <c r="E308" s="833"/>
      <c r="F308" s="1111"/>
      <c r="G308" s="1111"/>
      <c r="H308" s="834"/>
      <c r="I308" s="832"/>
      <c r="J308" s="1111"/>
      <c r="K308" s="832"/>
      <c r="L308" s="832"/>
      <c r="M308" s="832"/>
      <c r="N308" s="832"/>
      <c r="O308" s="832"/>
      <c r="P308" s="832"/>
      <c r="Q308" s="832"/>
      <c r="R308" s="832"/>
    </row>
    <row r="309" spans="2:18">
      <c r="B309" s="832"/>
      <c r="C309" s="833"/>
      <c r="D309" s="833"/>
      <c r="E309" s="833"/>
      <c r="F309" s="1111"/>
      <c r="G309" s="1111"/>
      <c r="H309" s="834"/>
      <c r="I309" s="832"/>
      <c r="J309" s="1111"/>
      <c r="K309" s="832"/>
      <c r="L309" s="832"/>
      <c r="M309" s="832"/>
      <c r="N309" s="832"/>
      <c r="O309" s="832"/>
      <c r="P309" s="832"/>
      <c r="Q309" s="832"/>
      <c r="R309" s="832"/>
    </row>
    <row r="310" spans="2:18">
      <c r="B310" s="832"/>
      <c r="C310" s="833"/>
      <c r="D310" s="833"/>
      <c r="E310" s="833"/>
      <c r="F310" s="1111"/>
      <c r="G310" s="1111"/>
      <c r="H310" s="834"/>
      <c r="I310" s="832"/>
      <c r="J310" s="1111"/>
      <c r="K310" s="832"/>
      <c r="L310" s="832"/>
      <c r="M310" s="832"/>
      <c r="N310" s="832"/>
      <c r="O310" s="832"/>
      <c r="P310" s="832"/>
      <c r="Q310" s="832"/>
      <c r="R310" s="832"/>
    </row>
    <row r="311" spans="2:18">
      <c r="B311" s="832"/>
      <c r="C311" s="833"/>
      <c r="D311" s="833"/>
      <c r="E311" s="833"/>
      <c r="F311" s="1111"/>
      <c r="G311" s="1111"/>
      <c r="H311" s="834"/>
      <c r="I311" s="832"/>
      <c r="J311" s="1111"/>
      <c r="K311" s="832"/>
      <c r="L311" s="832"/>
      <c r="M311" s="832"/>
      <c r="N311" s="832"/>
      <c r="O311" s="832"/>
      <c r="P311" s="832"/>
      <c r="Q311" s="832"/>
      <c r="R311" s="832"/>
    </row>
    <row r="312" spans="2:18">
      <c r="B312" s="832"/>
      <c r="C312" s="833"/>
      <c r="D312" s="833"/>
      <c r="E312" s="833"/>
      <c r="F312" s="1111"/>
      <c r="G312" s="1111"/>
      <c r="H312" s="834"/>
      <c r="I312" s="832"/>
      <c r="J312" s="1111"/>
      <c r="K312" s="832"/>
      <c r="L312" s="832"/>
      <c r="M312" s="832"/>
      <c r="N312" s="832"/>
      <c r="O312" s="832"/>
      <c r="P312" s="832"/>
      <c r="Q312" s="832"/>
      <c r="R312" s="832"/>
    </row>
    <row r="313" spans="2:18">
      <c r="B313" s="832"/>
      <c r="C313" s="833"/>
      <c r="D313" s="833"/>
      <c r="E313" s="833"/>
      <c r="F313" s="1111"/>
      <c r="G313" s="1111"/>
      <c r="H313" s="834"/>
      <c r="I313" s="832"/>
      <c r="J313" s="1111"/>
      <c r="K313" s="832"/>
      <c r="L313" s="832"/>
      <c r="M313" s="832"/>
      <c r="N313" s="832"/>
      <c r="O313" s="832"/>
      <c r="P313" s="832"/>
      <c r="Q313" s="832"/>
      <c r="R313" s="832"/>
    </row>
    <row r="314" spans="2:18">
      <c r="B314" s="832"/>
      <c r="C314" s="833"/>
      <c r="D314" s="833"/>
      <c r="E314" s="833"/>
      <c r="F314" s="1111"/>
      <c r="G314" s="1111"/>
      <c r="H314" s="834"/>
      <c r="I314" s="832"/>
      <c r="J314" s="1111"/>
      <c r="K314" s="832"/>
      <c r="L314" s="832"/>
      <c r="M314" s="832"/>
      <c r="N314" s="832"/>
      <c r="O314" s="832"/>
      <c r="P314" s="832"/>
      <c r="Q314" s="832"/>
      <c r="R314" s="832"/>
    </row>
    <row r="315" spans="2:18">
      <c r="B315" s="832"/>
      <c r="C315" s="833"/>
      <c r="D315" s="833"/>
      <c r="E315" s="833"/>
      <c r="F315" s="1111"/>
      <c r="G315" s="1111"/>
      <c r="H315" s="834"/>
      <c r="I315" s="832"/>
      <c r="J315" s="1111"/>
      <c r="K315" s="832"/>
      <c r="L315" s="832"/>
      <c r="M315" s="832"/>
      <c r="N315" s="832"/>
      <c r="O315" s="832"/>
      <c r="P315" s="832"/>
      <c r="Q315" s="832"/>
      <c r="R315" s="832"/>
    </row>
    <row r="316" spans="2:18">
      <c r="B316" s="832"/>
      <c r="C316" s="833"/>
      <c r="D316" s="833"/>
      <c r="E316" s="833"/>
      <c r="F316" s="1111"/>
      <c r="G316" s="1111"/>
      <c r="H316" s="834"/>
      <c r="I316" s="832"/>
      <c r="J316" s="1111"/>
      <c r="K316" s="832"/>
      <c r="L316" s="832"/>
      <c r="M316" s="832"/>
      <c r="N316" s="832"/>
      <c r="O316" s="832"/>
      <c r="P316" s="832"/>
      <c r="Q316" s="832"/>
      <c r="R316" s="832"/>
    </row>
    <row r="317" spans="2:18">
      <c r="B317" s="832"/>
      <c r="C317" s="833"/>
      <c r="D317" s="833"/>
      <c r="E317" s="833"/>
      <c r="F317" s="1111"/>
      <c r="G317" s="1111"/>
      <c r="H317" s="834"/>
      <c r="I317" s="832"/>
      <c r="J317" s="1111"/>
      <c r="K317" s="832"/>
      <c r="L317" s="832"/>
      <c r="M317" s="832"/>
      <c r="N317" s="832"/>
      <c r="O317" s="832"/>
      <c r="P317" s="832"/>
      <c r="Q317" s="832"/>
      <c r="R317" s="832"/>
    </row>
    <row r="318" spans="2:18">
      <c r="B318" s="832"/>
      <c r="C318" s="833"/>
      <c r="D318" s="833"/>
      <c r="E318" s="833"/>
      <c r="F318" s="1111"/>
      <c r="G318" s="1111"/>
      <c r="H318" s="834"/>
      <c r="I318" s="832"/>
      <c r="J318" s="1111"/>
      <c r="K318" s="832"/>
      <c r="L318" s="832"/>
      <c r="M318" s="832"/>
      <c r="N318" s="832"/>
      <c r="O318" s="832"/>
      <c r="P318" s="832"/>
      <c r="Q318" s="832"/>
      <c r="R318" s="832"/>
    </row>
    <row r="319" spans="2:18">
      <c r="B319" s="832"/>
      <c r="C319" s="833"/>
      <c r="D319" s="833"/>
      <c r="E319" s="833"/>
      <c r="F319" s="1111"/>
      <c r="G319" s="1111"/>
      <c r="H319" s="834"/>
      <c r="I319" s="832"/>
      <c r="J319" s="1111"/>
      <c r="K319" s="832"/>
      <c r="L319" s="832"/>
      <c r="M319" s="832"/>
      <c r="N319" s="832"/>
      <c r="O319" s="832"/>
      <c r="P319" s="832"/>
      <c r="Q319" s="832"/>
      <c r="R319" s="832"/>
    </row>
    <row r="320" spans="2:18">
      <c r="B320" s="832"/>
      <c r="C320" s="833"/>
      <c r="D320" s="833"/>
      <c r="E320" s="833"/>
      <c r="F320" s="1111"/>
      <c r="G320" s="1111"/>
      <c r="H320" s="834"/>
      <c r="I320" s="832"/>
      <c r="J320" s="1111"/>
      <c r="K320" s="832"/>
      <c r="L320" s="832"/>
      <c r="M320" s="832"/>
      <c r="N320" s="832"/>
      <c r="O320" s="832"/>
      <c r="P320" s="832"/>
      <c r="Q320" s="832"/>
      <c r="R320" s="832"/>
    </row>
    <row r="321" spans="2:18">
      <c r="B321" s="832"/>
      <c r="C321" s="833"/>
      <c r="D321" s="833"/>
      <c r="E321" s="833"/>
      <c r="F321" s="1111"/>
      <c r="G321" s="1111"/>
      <c r="H321" s="834"/>
      <c r="I321" s="832"/>
      <c r="J321" s="1111"/>
      <c r="K321" s="832"/>
      <c r="L321" s="832"/>
      <c r="M321" s="832"/>
      <c r="N321" s="832"/>
      <c r="O321" s="832"/>
      <c r="P321" s="832"/>
      <c r="Q321" s="832"/>
      <c r="R321" s="832"/>
    </row>
    <row r="322" spans="2:18">
      <c r="B322" s="832"/>
      <c r="C322" s="833"/>
      <c r="D322" s="833"/>
      <c r="E322" s="833"/>
      <c r="F322" s="1111"/>
      <c r="G322" s="1111"/>
      <c r="H322" s="834"/>
      <c r="I322" s="832"/>
      <c r="J322" s="1111"/>
      <c r="K322" s="832"/>
      <c r="L322" s="832"/>
      <c r="M322" s="832"/>
      <c r="N322" s="832"/>
      <c r="O322" s="832"/>
      <c r="P322" s="832"/>
      <c r="Q322" s="832"/>
      <c r="R322" s="832"/>
    </row>
    <row r="323" spans="2:18">
      <c r="B323" s="832"/>
      <c r="C323" s="833"/>
      <c r="D323" s="833"/>
      <c r="E323" s="833"/>
      <c r="F323" s="1111"/>
      <c r="G323" s="1111"/>
      <c r="H323" s="834"/>
      <c r="I323" s="832"/>
      <c r="J323" s="1111"/>
      <c r="K323" s="832"/>
      <c r="L323" s="832"/>
      <c r="M323" s="832"/>
      <c r="N323" s="832"/>
      <c r="O323" s="832"/>
      <c r="P323" s="832"/>
      <c r="Q323" s="832"/>
      <c r="R323" s="832"/>
    </row>
    <row r="324" spans="2:18">
      <c r="B324" s="832"/>
      <c r="C324" s="833"/>
      <c r="D324" s="833"/>
      <c r="E324" s="833"/>
      <c r="F324" s="1111"/>
      <c r="G324" s="1111"/>
      <c r="H324" s="834"/>
      <c r="I324" s="832"/>
      <c r="J324" s="1111"/>
      <c r="K324" s="832"/>
      <c r="L324" s="832"/>
      <c r="M324" s="832"/>
      <c r="N324" s="832"/>
      <c r="O324" s="832"/>
      <c r="P324" s="832"/>
      <c r="Q324" s="832"/>
      <c r="R324" s="832"/>
    </row>
    <row r="325" spans="2:18">
      <c r="B325" s="832"/>
      <c r="C325" s="833"/>
      <c r="D325" s="833"/>
      <c r="E325" s="833"/>
      <c r="F325" s="1111"/>
      <c r="G325" s="1111"/>
      <c r="H325" s="834"/>
      <c r="I325" s="832"/>
      <c r="J325" s="1111"/>
      <c r="K325" s="832"/>
      <c r="L325" s="832"/>
      <c r="M325" s="832"/>
      <c r="N325" s="832"/>
      <c r="O325" s="832"/>
      <c r="P325" s="832"/>
      <c r="Q325" s="832"/>
      <c r="R325" s="832"/>
    </row>
    <row r="326" spans="2:18">
      <c r="B326" s="832"/>
      <c r="C326" s="833"/>
      <c r="D326" s="833"/>
      <c r="E326" s="833"/>
      <c r="F326" s="1111"/>
      <c r="G326" s="1111"/>
      <c r="H326" s="834"/>
      <c r="I326" s="832"/>
      <c r="J326" s="1111"/>
      <c r="K326" s="832"/>
      <c r="L326" s="832"/>
      <c r="M326" s="832"/>
      <c r="N326" s="832"/>
      <c r="O326" s="832"/>
      <c r="P326" s="832"/>
      <c r="Q326" s="832"/>
      <c r="R326" s="832"/>
    </row>
    <row r="327" spans="2:18">
      <c r="B327" s="832"/>
      <c r="C327" s="833"/>
      <c r="D327" s="833"/>
      <c r="E327" s="833"/>
      <c r="F327" s="1111"/>
      <c r="G327" s="1111"/>
      <c r="H327" s="834"/>
      <c r="I327" s="832"/>
      <c r="J327" s="1111"/>
      <c r="K327" s="832"/>
      <c r="L327" s="832"/>
      <c r="M327" s="832"/>
      <c r="N327" s="832"/>
      <c r="O327" s="832"/>
      <c r="P327" s="832"/>
      <c r="Q327" s="832"/>
      <c r="R327" s="832"/>
    </row>
    <row r="328" spans="2:18">
      <c r="B328" s="832"/>
      <c r="C328" s="833"/>
      <c r="D328" s="833"/>
      <c r="E328" s="833"/>
      <c r="F328" s="1111"/>
      <c r="G328" s="1111"/>
      <c r="H328" s="834"/>
      <c r="I328" s="832"/>
      <c r="J328" s="1111"/>
      <c r="K328" s="832"/>
      <c r="L328" s="832"/>
      <c r="M328" s="832"/>
      <c r="N328" s="832"/>
      <c r="O328" s="832"/>
      <c r="P328" s="832"/>
      <c r="Q328" s="832"/>
      <c r="R328" s="832"/>
    </row>
    <row r="329" spans="2:18">
      <c r="B329" s="832"/>
      <c r="C329" s="833"/>
      <c r="D329" s="833"/>
      <c r="E329" s="833"/>
      <c r="F329" s="1111"/>
      <c r="G329" s="1111"/>
      <c r="H329" s="834"/>
      <c r="I329" s="832"/>
      <c r="J329" s="1111"/>
      <c r="K329" s="832"/>
      <c r="L329" s="832"/>
      <c r="M329" s="832"/>
      <c r="N329" s="832"/>
      <c r="O329" s="832"/>
      <c r="P329" s="832"/>
      <c r="Q329" s="832"/>
      <c r="R329" s="832"/>
    </row>
    <row r="330" spans="2:18">
      <c r="B330" s="832"/>
      <c r="C330" s="833"/>
      <c r="D330" s="833"/>
      <c r="E330" s="833"/>
      <c r="F330" s="1111"/>
      <c r="G330" s="1111"/>
      <c r="H330" s="834"/>
      <c r="I330" s="832"/>
      <c r="J330" s="1111"/>
      <c r="K330" s="832"/>
      <c r="L330" s="832"/>
      <c r="M330" s="832"/>
      <c r="N330" s="832"/>
      <c r="O330" s="832"/>
      <c r="P330" s="832"/>
      <c r="Q330" s="832"/>
      <c r="R330" s="832"/>
    </row>
    <row r="331" spans="2:18">
      <c r="B331" s="832"/>
      <c r="C331" s="833"/>
      <c r="D331" s="833"/>
      <c r="E331" s="833"/>
      <c r="F331" s="1111"/>
      <c r="G331" s="1111"/>
      <c r="H331" s="834"/>
      <c r="I331" s="832"/>
      <c r="J331" s="1111"/>
      <c r="K331" s="832"/>
      <c r="L331" s="832"/>
      <c r="M331" s="832"/>
      <c r="N331" s="832"/>
      <c r="O331" s="832"/>
      <c r="P331" s="832"/>
      <c r="Q331" s="832"/>
      <c r="R331" s="832"/>
    </row>
    <row r="332" spans="2:18">
      <c r="B332" s="832"/>
      <c r="C332" s="833"/>
      <c r="D332" s="833"/>
      <c r="E332" s="833"/>
      <c r="F332" s="1111"/>
      <c r="G332" s="1111"/>
      <c r="H332" s="834"/>
      <c r="I332" s="832"/>
      <c r="J332" s="1111"/>
      <c r="K332" s="832"/>
      <c r="L332" s="832"/>
      <c r="M332" s="832"/>
      <c r="N332" s="832"/>
      <c r="O332" s="832"/>
      <c r="P332" s="832"/>
      <c r="Q332" s="832"/>
      <c r="R332" s="832"/>
    </row>
    <row r="333" spans="2:18">
      <c r="B333" s="832"/>
      <c r="C333" s="833"/>
      <c r="D333" s="833"/>
      <c r="E333" s="833"/>
      <c r="F333" s="1111"/>
      <c r="G333" s="1111"/>
      <c r="H333" s="834"/>
      <c r="I333" s="832"/>
      <c r="J333" s="1111"/>
      <c r="K333" s="832"/>
      <c r="L333" s="832"/>
      <c r="M333" s="832"/>
      <c r="N333" s="832"/>
      <c r="O333" s="832"/>
      <c r="P333" s="832"/>
      <c r="Q333" s="832"/>
      <c r="R333" s="832"/>
    </row>
    <row r="334" spans="2:18">
      <c r="B334" s="832"/>
      <c r="C334" s="833"/>
      <c r="D334" s="833"/>
      <c r="E334" s="833"/>
      <c r="F334" s="1111"/>
      <c r="G334" s="1111"/>
      <c r="H334" s="834"/>
      <c r="I334" s="832"/>
      <c r="J334" s="1111"/>
      <c r="K334" s="832"/>
      <c r="L334" s="832"/>
      <c r="M334" s="832"/>
      <c r="N334" s="832"/>
      <c r="O334" s="832"/>
      <c r="P334" s="832"/>
      <c r="Q334" s="832"/>
      <c r="R334" s="832"/>
    </row>
    <row r="335" spans="2:18">
      <c r="B335" s="832"/>
      <c r="C335" s="833"/>
      <c r="D335" s="833"/>
      <c r="E335" s="833"/>
      <c r="F335" s="1111"/>
      <c r="G335" s="1111"/>
      <c r="H335" s="834"/>
      <c r="I335" s="832"/>
      <c r="J335" s="1111"/>
      <c r="K335" s="832"/>
      <c r="L335" s="832"/>
      <c r="M335" s="832"/>
      <c r="N335" s="832"/>
      <c r="O335" s="832"/>
      <c r="P335" s="832"/>
      <c r="Q335" s="832"/>
      <c r="R335" s="832"/>
    </row>
    <row r="336" spans="2:18">
      <c r="B336" s="832"/>
      <c r="C336" s="833"/>
      <c r="D336" s="833"/>
      <c r="E336" s="833"/>
      <c r="F336" s="1111"/>
      <c r="G336" s="1111"/>
      <c r="H336" s="834"/>
      <c r="I336" s="832"/>
      <c r="J336" s="1111"/>
      <c r="K336" s="832"/>
      <c r="L336" s="832"/>
      <c r="M336" s="832"/>
      <c r="N336" s="832"/>
      <c r="O336" s="832"/>
      <c r="P336" s="832"/>
      <c r="Q336" s="832"/>
      <c r="R336" s="832"/>
    </row>
    <row r="337" spans="2:18">
      <c r="B337" s="832"/>
      <c r="C337" s="833"/>
      <c r="D337" s="833"/>
      <c r="E337" s="833"/>
      <c r="F337" s="1111"/>
      <c r="G337" s="1111"/>
      <c r="H337" s="834"/>
      <c r="I337" s="832"/>
      <c r="J337" s="1111"/>
      <c r="K337" s="832"/>
      <c r="L337" s="832"/>
      <c r="M337" s="832"/>
      <c r="N337" s="832"/>
      <c r="O337" s="832"/>
      <c r="P337" s="832"/>
      <c r="Q337" s="832"/>
      <c r="R337" s="832"/>
    </row>
    <row r="338" spans="2:18">
      <c r="B338" s="832"/>
      <c r="C338" s="833"/>
      <c r="D338" s="833"/>
      <c r="E338" s="833"/>
      <c r="F338" s="1111"/>
      <c r="G338" s="1111"/>
      <c r="H338" s="834"/>
      <c r="I338" s="832"/>
      <c r="J338" s="1111"/>
      <c r="K338" s="832"/>
      <c r="L338" s="832"/>
      <c r="M338" s="832"/>
      <c r="N338" s="832"/>
      <c r="O338" s="832"/>
      <c r="P338" s="832"/>
      <c r="Q338" s="832"/>
      <c r="R338" s="832"/>
    </row>
    <row r="339" spans="2:18">
      <c r="B339" s="832"/>
      <c r="C339" s="833"/>
      <c r="D339" s="833"/>
      <c r="E339" s="833"/>
      <c r="F339" s="1111"/>
      <c r="G339" s="1111"/>
      <c r="H339" s="834"/>
      <c r="I339" s="832"/>
      <c r="J339" s="1111"/>
      <c r="K339" s="832"/>
      <c r="L339" s="832"/>
      <c r="M339" s="832"/>
      <c r="N339" s="832"/>
      <c r="O339" s="832"/>
      <c r="P339" s="832"/>
      <c r="Q339" s="832"/>
      <c r="R339" s="832"/>
    </row>
    <row r="340" spans="2:18">
      <c r="B340" s="832"/>
      <c r="C340" s="833"/>
      <c r="D340" s="833"/>
      <c r="E340" s="833"/>
      <c r="F340" s="1111"/>
      <c r="G340" s="1111"/>
      <c r="H340" s="834"/>
      <c r="I340" s="832"/>
      <c r="J340" s="1111"/>
      <c r="K340" s="832"/>
      <c r="L340" s="832"/>
      <c r="M340" s="832"/>
      <c r="N340" s="832"/>
      <c r="O340" s="832"/>
      <c r="P340" s="832"/>
      <c r="Q340" s="832"/>
      <c r="R340" s="832"/>
    </row>
    <row r="341" spans="2:18">
      <c r="B341" s="832"/>
      <c r="C341" s="833"/>
      <c r="D341" s="833"/>
      <c r="E341" s="833"/>
      <c r="F341" s="1111"/>
      <c r="G341" s="1111"/>
      <c r="H341" s="834"/>
      <c r="I341" s="832"/>
      <c r="J341" s="1111"/>
      <c r="K341" s="832"/>
      <c r="L341" s="832"/>
      <c r="M341" s="832"/>
      <c r="N341" s="832"/>
      <c r="O341" s="832"/>
      <c r="P341" s="832"/>
      <c r="Q341" s="832"/>
      <c r="R341" s="832"/>
    </row>
    <row r="342" spans="2:18">
      <c r="B342" s="832"/>
      <c r="C342" s="833"/>
      <c r="D342" s="833"/>
      <c r="E342" s="833"/>
      <c r="F342" s="1111"/>
      <c r="G342" s="1111"/>
      <c r="H342" s="834"/>
      <c r="I342" s="832"/>
      <c r="J342" s="1111"/>
      <c r="K342" s="832"/>
      <c r="L342" s="832"/>
      <c r="M342" s="832"/>
      <c r="N342" s="832"/>
      <c r="O342" s="832"/>
      <c r="P342" s="832"/>
      <c r="Q342" s="832"/>
      <c r="R342" s="832"/>
    </row>
    <row r="343" spans="2:18">
      <c r="B343" s="832"/>
      <c r="C343" s="833"/>
      <c r="D343" s="833"/>
      <c r="E343" s="833"/>
      <c r="F343" s="1111"/>
      <c r="G343" s="1111"/>
      <c r="H343" s="834"/>
      <c r="I343" s="832"/>
      <c r="J343" s="1111"/>
      <c r="K343" s="832"/>
      <c r="L343" s="832"/>
      <c r="M343" s="832"/>
      <c r="N343" s="832"/>
      <c r="O343" s="832"/>
      <c r="P343" s="832"/>
      <c r="Q343" s="832"/>
      <c r="R343" s="832"/>
    </row>
    <row r="344" spans="2:18">
      <c r="B344" s="832"/>
      <c r="C344" s="833"/>
      <c r="D344" s="833"/>
      <c r="E344" s="833"/>
      <c r="F344" s="1111"/>
      <c r="G344" s="1111"/>
      <c r="H344" s="834"/>
      <c r="I344" s="832"/>
      <c r="J344" s="1111"/>
      <c r="K344" s="832"/>
      <c r="L344" s="832"/>
      <c r="M344" s="832"/>
      <c r="N344" s="832"/>
      <c r="O344" s="832"/>
      <c r="P344" s="832"/>
      <c r="Q344" s="832"/>
      <c r="R344" s="832"/>
    </row>
    <row r="345" spans="2:18">
      <c r="B345" s="832"/>
      <c r="C345" s="833"/>
      <c r="D345" s="833"/>
      <c r="E345" s="833"/>
      <c r="F345" s="1111"/>
      <c r="G345" s="1111"/>
      <c r="H345" s="834"/>
      <c r="I345" s="832"/>
      <c r="J345" s="1111"/>
      <c r="K345" s="832"/>
      <c r="L345" s="832"/>
      <c r="M345" s="832"/>
      <c r="N345" s="832"/>
      <c r="O345" s="832"/>
      <c r="P345" s="832"/>
      <c r="Q345" s="832"/>
      <c r="R345" s="832"/>
    </row>
    <row r="346" spans="2:18">
      <c r="B346" s="832"/>
      <c r="C346" s="833"/>
      <c r="D346" s="833"/>
      <c r="E346" s="833"/>
      <c r="F346" s="1111"/>
      <c r="G346" s="1111"/>
      <c r="H346" s="834"/>
      <c r="I346" s="832"/>
      <c r="J346" s="1111"/>
      <c r="K346" s="832"/>
      <c r="L346" s="832"/>
      <c r="M346" s="832"/>
      <c r="N346" s="832"/>
      <c r="O346" s="832"/>
      <c r="P346" s="832"/>
      <c r="Q346" s="832"/>
      <c r="R346" s="832"/>
    </row>
    <row r="347" spans="2:18">
      <c r="B347" s="832"/>
      <c r="C347" s="833"/>
      <c r="D347" s="833"/>
      <c r="E347" s="833"/>
      <c r="F347" s="1111"/>
      <c r="G347" s="1111"/>
      <c r="H347" s="834"/>
      <c r="I347" s="832"/>
      <c r="J347" s="1111"/>
      <c r="K347" s="832"/>
      <c r="L347" s="832"/>
      <c r="M347" s="832"/>
      <c r="N347" s="832"/>
      <c r="O347" s="832"/>
      <c r="P347" s="832"/>
      <c r="Q347" s="832"/>
      <c r="R347" s="832"/>
    </row>
    <row r="348" spans="2:18">
      <c r="B348" s="832"/>
      <c r="C348" s="833"/>
      <c r="D348" s="833"/>
      <c r="E348" s="833"/>
      <c r="F348" s="1111"/>
      <c r="G348" s="1111"/>
      <c r="H348" s="834"/>
      <c r="I348" s="832"/>
      <c r="J348" s="1111"/>
      <c r="K348" s="832"/>
      <c r="L348" s="832"/>
      <c r="M348" s="832"/>
      <c r="N348" s="832"/>
      <c r="O348" s="832"/>
      <c r="P348" s="832"/>
      <c r="Q348" s="832"/>
      <c r="R348" s="832"/>
    </row>
    <row r="349" spans="2:18">
      <c r="B349" s="832"/>
      <c r="C349" s="833"/>
      <c r="D349" s="833"/>
      <c r="E349" s="833"/>
      <c r="F349" s="1111"/>
      <c r="G349" s="1111"/>
      <c r="H349" s="834"/>
      <c r="I349" s="832"/>
      <c r="J349" s="1111"/>
      <c r="K349" s="832"/>
      <c r="L349" s="832"/>
      <c r="M349" s="832"/>
      <c r="N349" s="832"/>
      <c r="O349" s="832"/>
      <c r="P349" s="832"/>
      <c r="Q349" s="832"/>
      <c r="R349" s="832"/>
    </row>
    <row r="350" spans="2:18">
      <c r="B350" s="832"/>
      <c r="C350" s="833"/>
      <c r="D350" s="833"/>
      <c r="E350" s="833"/>
      <c r="F350" s="1111"/>
      <c r="G350" s="1111"/>
      <c r="H350" s="834"/>
      <c r="I350" s="832"/>
      <c r="J350" s="1111"/>
      <c r="K350" s="832"/>
      <c r="L350" s="832"/>
      <c r="M350" s="832"/>
      <c r="N350" s="832"/>
      <c r="O350" s="832"/>
      <c r="P350" s="832"/>
      <c r="Q350" s="832"/>
      <c r="R350" s="832"/>
    </row>
    <row r="351" spans="2:18">
      <c r="B351" s="832"/>
      <c r="C351" s="833"/>
      <c r="D351" s="833"/>
      <c r="E351" s="833"/>
      <c r="F351" s="1111"/>
      <c r="G351" s="1111"/>
      <c r="H351" s="834"/>
      <c r="I351" s="832"/>
      <c r="J351" s="1111"/>
      <c r="K351" s="832"/>
      <c r="L351" s="832"/>
      <c r="M351" s="832"/>
      <c r="N351" s="832"/>
      <c r="O351" s="832"/>
      <c r="P351" s="832"/>
      <c r="Q351" s="832"/>
      <c r="R351" s="832"/>
    </row>
    <row r="352" spans="2:18">
      <c r="B352" s="832"/>
      <c r="C352" s="833"/>
      <c r="D352" s="833"/>
      <c r="E352" s="833"/>
      <c r="F352" s="1111"/>
      <c r="G352" s="1111"/>
      <c r="H352" s="834"/>
      <c r="I352" s="832"/>
      <c r="J352" s="1111"/>
      <c r="K352" s="832"/>
      <c r="L352" s="832"/>
      <c r="M352" s="832"/>
      <c r="N352" s="832"/>
      <c r="O352" s="832"/>
      <c r="P352" s="832"/>
      <c r="Q352" s="832"/>
      <c r="R352" s="832"/>
    </row>
    <row r="353" spans="2:18">
      <c r="B353" s="832"/>
      <c r="C353" s="833"/>
      <c r="D353" s="833"/>
      <c r="E353" s="833"/>
      <c r="F353" s="1111"/>
      <c r="G353" s="1111"/>
      <c r="H353" s="834"/>
      <c r="I353" s="832"/>
      <c r="J353" s="1111"/>
      <c r="K353" s="832"/>
      <c r="L353" s="832"/>
      <c r="M353" s="832"/>
      <c r="N353" s="832"/>
      <c r="O353" s="832"/>
      <c r="P353" s="832"/>
      <c r="Q353" s="832"/>
      <c r="R353" s="832"/>
    </row>
    <row r="354" spans="2:18">
      <c r="B354" s="832"/>
      <c r="C354" s="833"/>
      <c r="D354" s="833"/>
      <c r="E354" s="833"/>
      <c r="F354" s="1111"/>
      <c r="G354" s="1111"/>
      <c r="H354" s="834"/>
      <c r="I354" s="832"/>
      <c r="J354" s="1111"/>
      <c r="K354" s="832"/>
      <c r="L354" s="832"/>
      <c r="M354" s="832"/>
      <c r="N354" s="832"/>
      <c r="O354" s="832"/>
      <c r="P354" s="832"/>
      <c r="Q354" s="832"/>
      <c r="R354" s="832"/>
    </row>
    <row r="355" spans="2:18">
      <c r="B355" s="832"/>
      <c r="C355" s="833"/>
      <c r="D355" s="833"/>
      <c r="E355" s="833"/>
      <c r="F355" s="1111"/>
      <c r="G355" s="1111"/>
      <c r="H355" s="834"/>
      <c r="I355" s="832"/>
      <c r="J355" s="1111"/>
      <c r="K355" s="832"/>
      <c r="L355" s="832"/>
      <c r="M355" s="832"/>
      <c r="N355" s="832"/>
      <c r="O355" s="832"/>
      <c r="P355" s="832"/>
      <c r="Q355" s="832"/>
      <c r="R355" s="832"/>
    </row>
    <row r="356" spans="2:18">
      <c r="B356" s="832"/>
      <c r="C356" s="833"/>
      <c r="D356" s="833"/>
      <c r="E356" s="833"/>
      <c r="F356" s="1111"/>
      <c r="G356" s="1111"/>
      <c r="H356" s="834"/>
      <c r="I356" s="832"/>
      <c r="J356" s="1111"/>
      <c r="K356" s="832"/>
      <c r="L356" s="832"/>
      <c r="M356" s="832"/>
      <c r="N356" s="832"/>
      <c r="O356" s="832"/>
      <c r="P356" s="832"/>
      <c r="Q356" s="832"/>
      <c r="R356" s="832"/>
    </row>
    <row r="357" spans="2:18">
      <c r="B357" s="832"/>
      <c r="C357" s="833"/>
      <c r="D357" s="833"/>
      <c r="E357" s="833"/>
      <c r="F357" s="1111"/>
      <c r="G357" s="1111"/>
      <c r="H357" s="834"/>
      <c r="I357" s="832"/>
      <c r="J357" s="1111"/>
      <c r="K357" s="832"/>
      <c r="L357" s="832"/>
      <c r="M357" s="832"/>
      <c r="N357" s="832"/>
      <c r="O357" s="832"/>
      <c r="P357" s="832"/>
      <c r="Q357" s="832"/>
      <c r="R357" s="832"/>
    </row>
    <row r="358" spans="2:18">
      <c r="B358" s="832"/>
      <c r="C358" s="833"/>
      <c r="D358" s="833"/>
      <c r="E358" s="833"/>
      <c r="F358" s="1111"/>
      <c r="G358" s="1111"/>
      <c r="H358" s="834"/>
      <c r="I358" s="832"/>
      <c r="J358" s="1111"/>
      <c r="K358" s="832"/>
      <c r="L358" s="832"/>
      <c r="M358" s="832"/>
      <c r="N358" s="832"/>
      <c r="O358" s="832"/>
      <c r="P358" s="832"/>
      <c r="Q358" s="832"/>
      <c r="R358" s="832"/>
    </row>
    <row r="359" spans="2:18">
      <c r="B359" s="832"/>
      <c r="C359" s="833"/>
      <c r="D359" s="833"/>
      <c r="E359" s="833"/>
      <c r="F359" s="1111"/>
      <c r="G359" s="1111"/>
      <c r="H359" s="834"/>
      <c r="I359" s="832"/>
      <c r="J359" s="1111"/>
      <c r="K359" s="832"/>
      <c r="L359" s="832"/>
      <c r="M359" s="832"/>
      <c r="N359" s="832"/>
      <c r="O359" s="832"/>
      <c r="P359" s="832"/>
      <c r="Q359" s="832"/>
      <c r="R359" s="832"/>
    </row>
    <row r="360" spans="2:18">
      <c r="B360" s="832"/>
      <c r="C360" s="833"/>
      <c r="D360" s="833"/>
      <c r="E360" s="833"/>
      <c r="F360" s="1111"/>
      <c r="G360" s="1111"/>
      <c r="H360" s="834"/>
      <c r="I360" s="832"/>
      <c r="J360" s="1111"/>
      <c r="K360" s="832"/>
      <c r="L360" s="832"/>
      <c r="M360" s="832"/>
      <c r="N360" s="832"/>
      <c r="O360" s="832"/>
      <c r="P360" s="832"/>
      <c r="Q360" s="832"/>
      <c r="R360" s="832"/>
    </row>
    <row r="361" spans="2:18">
      <c r="B361" s="832"/>
      <c r="C361" s="833"/>
      <c r="D361" s="833"/>
      <c r="E361" s="833"/>
      <c r="F361" s="1111"/>
      <c r="G361" s="1111"/>
      <c r="H361" s="834"/>
      <c r="I361" s="832"/>
      <c r="J361" s="1111"/>
      <c r="K361" s="832"/>
      <c r="L361" s="832"/>
      <c r="M361" s="832"/>
      <c r="N361" s="832"/>
      <c r="O361" s="832"/>
      <c r="P361" s="832"/>
      <c r="Q361" s="832"/>
      <c r="R361" s="832"/>
    </row>
    <row r="362" spans="2:18">
      <c r="B362" s="832"/>
      <c r="C362" s="833"/>
      <c r="D362" s="833"/>
      <c r="E362" s="833"/>
      <c r="F362" s="1111"/>
      <c r="G362" s="1111"/>
      <c r="H362" s="834"/>
      <c r="I362" s="832"/>
      <c r="J362" s="1111"/>
      <c r="K362" s="832"/>
      <c r="L362" s="832"/>
      <c r="M362" s="832"/>
      <c r="N362" s="832"/>
      <c r="O362" s="832"/>
      <c r="P362" s="832"/>
      <c r="Q362" s="832"/>
      <c r="R362" s="832"/>
    </row>
    <row r="363" spans="2:18">
      <c r="B363" s="832"/>
      <c r="C363" s="833"/>
      <c r="D363" s="833"/>
      <c r="E363" s="833"/>
      <c r="F363" s="1111"/>
      <c r="G363" s="1111"/>
      <c r="H363" s="834"/>
      <c r="I363" s="832"/>
      <c r="J363" s="1111"/>
      <c r="K363" s="832"/>
      <c r="L363" s="832"/>
      <c r="M363" s="832"/>
      <c r="N363" s="832"/>
      <c r="O363" s="832"/>
      <c r="P363" s="832"/>
      <c r="Q363" s="832"/>
      <c r="R363" s="832"/>
    </row>
    <row r="364" spans="2:18">
      <c r="B364" s="832"/>
      <c r="C364" s="833"/>
      <c r="D364" s="833"/>
      <c r="E364" s="833"/>
      <c r="F364" s="1111"/>
      <c r="G364" s="1111"/>
      <c r="H364" s="834"/>
      <c r="I364" s="832"/>
      <c r="J364" s="1111"/>
      <c r="K364" s="832"/>
      <c r="L364" s="832"/>
      <c r="M364" s="832"/>
      <c r="N364" s="832"/>
      <c r="O364" s="832"/>
      <c r="P364" s="832"/>
      <c r="Q364" s="832"/>
      <c r="R364" s="832"/>
    </row>
    <row r="365" spans="2:18">
      <c r="B365" s="832"/>
      <c r="C365" s="833"/>
      <c r="D365" s="833"/>
      <c r="E365" s="833"/>
      <c r="F365" s="1111"/>
      <c r="G365" s="1111"/>
      <c r="H365" s="834"/>
      <c r="I365" s="832"/>
      <c r="J365" s="1111"/>
      <c r="K365" s="832"/>
      <c r="L365" s="832"/>
      <c r="M365" s="832"/>
      <c r="N365" s="832"/>
      <c r="O365" s="832"/>
      <c r="P365" s="832"/>
      <c r="Q365" s="832"/>
      <c r="R365" s="832"/>
    </row>
    <row r="366" spans="2:18">
      <c r="B366" s="832"/>
      <c r="C366" s="833"/>
      <c r="D366" s="833"/>
      <c r="E366" s="833"/>
      <c r="F366" s="1111"/>
      <c r="G366" s="1111"/>
      <c r="H366" s="834"/>
      <c r="I366" s="832"/>
      <c r="J366" s="1111"/>
      <c r="K366" s="832"/>
      <c r="L366" s="832"/>
      <c r="M366" s="832"/>
      <c r="N366" s="832"/>
      <c r="O366" s="832"/>
      <c r="P366" s="832"/>
      <c r="Q366" s="832"/>
      <c r="R366" s="832"/>
    </row>
    <row r="367" spans="2:18">
      <c r="B367" s="832"/>
      <c r="C367" s="833"/>
      <c r="D367" s="833"/>
      <c r="E367" s="833"/>
      <c r="F367" s="1111"/>
      <c r="G367" s="1111"/>
      <c r="H367" s="834"/>
      <c r="I367" s="832"/>
      <c r="J367" s="1111"/>
      <c r="K367" s="832"/>
      <c r="L367" s="832"/>
      <c r="M367" s="832"/>
      <c r="N367" s="832"/>
      <c r="O367" s="832"/>
      <c r="P367" s="832"/>
      <c r="Q367" s="832"/>
      <c r="R367" s="832"/>
    </row>
    <row r="368" spans="2:18">
      <c r="B368" s="832"/>
      <c r="C368" s="833"/>
      <c r="D368" s="833"/>
      <c r="E368" s="833"/>
      <c r="F368" s="1111"/>
      <c r="G368" s="1111"/>
      <c r="H368" s="834"/>
      <c r="I368" s="832"/>
      <c r="J368" s="1111"/>
      <c r="K368" s="832"/>
      <c r="L368" s="832"/>
      <c r="M368" s="832"/>
      <c r="N368" s="832"/>
      <c r="O368" s="832"/>
      <c r="P368" s="832"/>
      <c r="Q368" s="832"/>
      <c r="R368" s="832"/>
    </row>
    <row r="369" spans="2:18">
      <c r="B369" s="832"/>
      <c r="C369" s="833"/>
      <c r="D369" s="833"/>
      <c r="E369" s="833"/>
      <c r="F369" s="1111"/>
      <c r="G369" s="1111"/>
      <c r="H369" s="834"/>
      <c r="I369" s="832"/>
      <c r="J369" s="1111"/>
      <c r="K369" s="832"/>
      <c r="L369" s="832"/>
      <c r="M369" s="832"/>
      <c r="N369" s="832"/>
      <c r="O369" s="832"/>
      <c r="P369" s="832"/>
      <c r="Q369" s="832"/>
      <c r="R369" s="832"/>
    </row>
    <row r="370" spans="2:18">
      <c r="B370" s="832"/>
      <c r="C370" s="833"/>
      <c r="D370" s="833"/>
      <c r="E370" s="833"/>
      <c r="F370" s="1111"/>
      <c r="G370" s="1111"/>
      <c r="H370" s="834"/>
      <c r="I370" s="832"/>
      <c r="J370" s="1111"/>
      <c r="K370" s="832"/>
      <c r="L370" s="832"/>
      <c r="M370" s="832"/>
      <c r="N370" s="832"/>
      <c r="O370" s="832"/>
      <c r="P370" s="832"/>
      <c r="Q370" s="832"/>
      <c r="R370" s="832"/>
    </row>
    <row r="371" spans="2:18">
      <c r="B371" s="832"/>
      <c r="C371" s="833"/>
      <c r="D371" s="833"/>
      <c r="E371" s="833"/>
      <c r="F371" s="1111"/>
      <c r="G371" s="1111"/>
      <c r="H371" s="834"/>
      <c r="I371" s="832"/>
      <c r="J371" s="1111"/>
      <c r="K371" s="832"/>
      <c r="L371" s="832"/>
      <c r="M371" s="832"/>
      <c r="N371" s="832"/>
      <c r="O371" s="832"/>
      <c r="P371" s="832"/>
      <c r="Q371" s="832"/>
      <c r="R371" s="832"/>
    </row>
    <row r="372" spans="2:18">
      <c r="B372" s="832"/>
      <c r="C372" s="833"/>
      <c r="D372" s="833"/>
      <c r="E372" s="833"/>
      <c r="F372" s="1111"/>
      <c r="G372" s="1111"/>
      <c r="H372" s="834"/>
      <c r="I372" s="832"/>
      <c r="J372" s="1111"/>
      <c r="K372" s="832"/>
      <c r="L372" s="832"/>
      <c r="M372" s="832"/>
      <c r="N372" s="832"/>
      <c r="O372" s="832"/>
      <c r="P372" s="832"/>
      <c r="Q372" s="832"/>
      <c r="R372" s="832"/>
    </row>
    <row r="373" spans="2:18">
      <c r="B373" s="832"/>
      <c r="C373" s="833"/>
      <c r="D373" s="833"/>
      <c r="E373" s="833"/>
      <c r="F373" s="1111"/>
      <c r="G373" s="1111"/>
      <c r="H373" s="834"/>
      <c r="I373" s="832"/>
      <c r="J373" s="1111"/>
      <c r="K373" s="832"/>
      <c r="L373" s="832"/>
      <c r="M373" s="832"/>
      <c r="N373" s="832"/>
      <c r="O373" s="832"/>
      <c r="P373" s="832"/>
      <c r="Q373" s="832"/>
      <c r="R373" s="832"/>
    </row>
    <row r="374" spans="2:18">
      <c r="B374" s="832"/>
      <c r="C374" s="833"/>
      <c r="D374" s="833"/>
      <c r="E374" s="833"/>
      <c r="F374" s="1111"/>
      <c r="G374" s="1111"/>
      <c r="H374" s="834"/>
      <c r="I374" s="832"/>
      <c r="J374" s="1111"/>
      <c r="K374" s="832"/>
      <c r="L374" s="832"/>
      <c r="M374" s="832"/>
      <c r="N374" s="832"/>
      <c r="O374" s="832"/>
      <c r="P374" s="832"/>
      <c r="Q374" s="832"/>
      <c r="R374" s="832"/>
    </row>
    <row r="375" spans="2:18">
      <c r="B375" s="832"/>
      <c r="C375" s="833"/>
      <c r="D375" s="833"/>
      <c r="E375" s="833"/>
      <c r="F375" s="1111"/>
      <c r="G375" s="1111"/>
      <c r="H375" s="834"/>
      <c r="I375" s="832"/>
      <c r="J375" s="1111"/>
      <c r="K375" s="832"/>
      <c r="L375" s="832"/>
      <c r="M375" s="832"/>
      <c r="N375" s="832"/>
      <c r="O375" s="832"/>
      <c r="P375" s="832"/>
      <c r="Q375" s="832"/>
      <c r="R375" s="832"/>
    </row>
    <row r="376" spans="2:18">
      <c r="B376" s="832"/>
      <c r="C376" s="833"/>
      <c r="D376" s="833"/>
      <c r="E376" s="833"/>
      <c r="F376" s="1111"/>
      <c r="G376" s="1111"/>
      <c r="H376" s="834"/>
      <c r="I376" s="832"/>
      <c r="J376" s="1111"/>
      <c r="K376" s="832"/>
      <c r="L376" s="832"/>
      <c r="M376" s="832"/>
      <c r="N376" s="832"/>
      <c r="O376" s="832"/>
      <c r="P376" s="832"/>
      <c r="Q376" s="832"/>
      <c r="R376" s="832"/>
    </row>
    <row r="377" spans="2:18">
      <c r="B377" s="832"/>
      <c r="C377" s="833"/>
      <c r="D377" s="833"/>
      <c r="E377" s="833"/>
      <c r="F377" s="1111"/>
      <c r="G377" s="1111"/>
      <c r="H377" s="834"/>
      <c r="I377" s="832"/>
      <c r="J377" s="1111"/>
      <c r="K377" s="832"/>
      <c r="L377" s="832"/>
      <c r="M377" s="832"/>
      <c r="N377" s="832"/>
      <c r="O377" s="832"/>
      <c r="P377" s="832"/>
      <c r="Q377" s="832"/>
      <c r="R377" s="832"/>
    </row>
    <row r="378" spans="2:18">
      <c r="B378" s="832"/>
      <c r="C378" s="833"/>
      <c r="D378" s="833"/>
      <c r="E378" s="833"/>
      <c r="F378" s="1111"/>
      <c r="G378" s="1111"/>
      <c r="H378" s="834"/>
      <c r="I378" s="832"/>
      <c r="J378" s="1111"/>
      <c r="K378" s="832"/>
      <c r="L378" s="832"/>
      <c r="M378" s="832"/>
      <c r="N378" s="832"/>
      <c r="O378" s="832"/>
      <c r="P378" s="832"/>
      <c r="Q378" s="832"/>
      <c r="R378" s="832"/>
    </row>
    <row r="379" spans="2:18">
      <c r="B379" s="832"/>
      <c r="C379" s="833"/>
      <c r="D379" s="833"/>
      <c r="E379" s="833"/>
      <c r="F379" s="1111"/>
      <c r="G379" s="1111"/>
      <c r="H379" s="834"/>
      <c r="I379" s="832"/>
      <c r="J379" s="1111"/>
      <c r="K379" s="832"/>
      <c r="L379" s="832"/>
      <c r="M379" s="832"/>
      <c r="N379" s="832"/>
      <c r="O379" s="832"/>
      <c r="P379" s="832"/>
      <c r="Q379" s="832"/>
      <c r="R379" s="832"/>
    </row>
    <row r="380" spans="2:18">
      <c r="B380" s="832"/>
      <c r="C380" s="833"/>
      <c r="D380" s="833"/>
      <c r="E380" s="833"/>
      <c r="F380" s="1111"/>
      <c r="G380" s="1111"/>
      <c r="H380" s="834"/>
      <c r="I380" s="832"/>
      <c r="J380" s="1111"/>
      <c r="K380" s="832"/>
      <c r="L380" s="832"/>
      <c r="M380" s="832"/>
      <c r="N380" s="832"/>
      <c r="O380" s="832"/>
      <c r="P380" s="832"/>
      <c r="Q380" s="832"/>
      <c r="R380" s="832"/>
    </row>
    <row r="381" spans="2:18">
      <c r="B381" s="832"/>
      <c r="C381" s="833"/>
      <c r="D381" s="833"/>
      <c r="E381" s="833"/>
      <c r="F381" s="1111"/>
      <c r="G381" s="1111"/>
      <c r="H381" s="834"/>
      <c r="I381" s="832"/>
      <c r="J381" s="1111"/>
      <c r="K381" s="832"/>
      <c r="L381" s="832"/>
      <c r="M381" s="832"/>
      <c r="N381" s="832"/>
      <c r="O381" s="832"/>
      <c r="P381" s="832"/>
      <c r="Q381" s="832"/>
      <c r="R381" s="832"/>
    </row>
    <row r="382" spans="2:18">
      <c r="B382" s="832"/>
      <c r="C382" s="833"/>
      <c r="D382" s="833"/>
      <c r="E382" s="833"/>
      <c r="F382" s="1111"/>
      <c r="G382" s="1111"/>
      <c r="H382" s="834"/>
      <c r="I382" s="832"/>
      <c r="J382" s="1111"/>
      <c r="K382" s="832"/>
      <c r="L382" s="832"/>
      <c r="M382" s="832"/>
      <c r="N382" s="832"/>
      <c r="O382" s="832"/>
      <c r="P382" s="832"/>
      <c r="Q382" s="832"/>
      <c r="R382" s="832"/>
    </row>
    <row r="383" spans="2:18">
      <c r="B383" s="832"/>
      <c r="C383" s="833"/>
      <c r="D383" s="833"/>
      <c r="E383" s="833"/>
      <c r="F383" s="1111"/>
      <c r="G383" s="1111"/>
      <c r="H383" s="834"/>
      <c r="I383" s="832"/>
      <c r="J383" s="1111"/>
      <c r="K383" s="832"/>
      <c r="L383" s="832"/>
      <c r="M383" s="832"/>
      <c r="N383" s="832"/>
      <c r="O383" s="832"/>
      <c r="P383" s="832"/>
      <c r="Q383" s="832"/>
      <c r="R383" s="832"/>
    </row>
    <row r="384" spans="2:18">
      <c r="B384" s="832"/>
      <c r="C384" s="833"/>
      <c r="D384" s="833"/>
      <c r="E384" s="833"/>
      <c r="F384" s="1111"/>
      <c r="G384" s="1111"/>
      <c r="H384" s="834"/>
      <c r="I384" s="832"/>
      <c r="J384" s="1111"/>
      <c r="K384" s="832"/>
      <c r="L384" s="832"/>
      <c r="M384" s="832"/>
      <c r="N384" s="832"/>
      <c r="O384" s="832"/>
      <c r="P384" s="832"/>
      <c r="Q384" s="832"/>
      <c r="R384" s="832"/>
    </row>
    <row r="385" spans="2:18">
      <c r="B385" s="832"/>
      <c r="C385" s="833"/>
      <c r="D385" s="833"/>
      <c r="E385" s="833"/>
      <c r="F385" s="1111"/>
      <c r="G385" s="1111"/>
      <c r="H385" s="834"/>
      <c r="I385" s="832"/>
      <c r="J385" s="1111"/>
      <c r="K385" s="832"/>
      <c r="L385" s="832"/>
      <c r="M385" s="832"/>
      <c r="N385" s="832"/>
      <c r="O385" s="832"/>
      <c r="P385" s="832"/>
      <c r="Q385" s="832"/>
      <c r="R385" s="832"/>
    </row>
    <row r="386" spans="2:18">
      <c r="B386" s="832"/>
      <c r="C386" s="833"/>
      <c r="D386" s="833"/>
      <c r="E386" s="833"/>
      <c r="F386" s="1111"/>
      <c r="G386" s="1111"/>
      <c r="H386" s="834"/>
      <c r="I386" s="832"/>
      <c r="J386" s="1111"/>
      <c r="K386" s="832"/>
      <c r="L386" s="832"/>
      <c r="M386" s="832"/>
      <c r="N386" s="832"/>
      <c r="O386" s="832"/>
      <c r="P386" s="832"/>
      <c r="Q386" s="832"/>
      <c r="R386" s="832"/>
    </row>
    <row r="387" spans="2:18">
      <c r="B387" s="832"/>
      <c r="C387" s="833"/>
      <c r="D387" s="833"/>
      <c r="E387" s="833"/>
      <c r="F387" s="1111"/>
      <c r="G387" s="1111"/>
      <c r="H387" s="834"/>
      <c r="I387" s="832"/>
      <c r="J387" s="1111"/>
      <c r="K387" s="832"/>
      <c r="L387" s="832"/>
      <c r="M387" s="832"/>
      <c r="N387" s="832"/>
      <c r="O387" s="832"/>
      <c r="P387" s="832"/>
      <c r="Q387" s="832"/>
      <c r="R387" s="832"/>
    </row>
    <row r="388" spans="2:18">
      <c r="B388" s="832"/>
      <c r="C388" s="833"/>
      <c r="D388" s="833"/>
      <c r="E388" s="833"/>
      <c r="F388" s="1111"/>
      <c r="G388" s="1111"/>
      <c r="H388" s="834"/>
      <c r="I388" s="832"/>
      <c r="J388" s="1111"/>
      <c r="K388" s="832"/>
      <c r="L388" s="832"/>
      <c r="M388" s="832"/>
      <c r="N388" s="832"/>
      <c r="O388" s="832"/>
      <c r="P388" s="832"/>
      <c r="Q388" s="832"/>
      <c r="R388" s="832"/>
    </row>
    <row r="389" spans="2:18">
      <c r="B389" s="832"/>
      <c r="C389" s="833"/>
      <c r="D389" s="833"/>
      <c r="E389" s="833"/>
      <c r="F389" s="1111"/>
      <c r="G389" s="1111"/>
      <c r="H389" s="834"/>
      <c r="I389" s="832"/>
      <c r="J389" s="1111"/>
      <c r="K389" s="832"/>
      <c r="L389" s="832"/>
      <c r="M389" s="832"/>
      <c r="N389" s="832"/>
      <c r="O389" s="832"/>
      <c r="P389" s="832"/>
      <c r="Q389" s="832"/>
      <c r="R389" s="832"/>
    </row>
    <row r="390" spans="2:18">
      <c r="B390" s="832"/>
      <c r="C390" s="833"/>
      <c r="D390" s="833"/>
      <c r="E390" s="833"/>
      <c r="F390" s="1111"/>
      <c r="G390" s="1111"/>
      <c r="H390" s="834"/>
      <c r="I390" s="832"/>
      <c r="J390" s="1111"/>
      <c r="K390" s="832"/>
      <c r="L390" s="832"/>
      <c r="M390" s="832"/>
      <c r="N390" s="832"/>
      <c r="O390" s="832"/>
      <c r="P390" s="832"/>
      <c r="Q390" s="832"/>
      <c r="R390" s="832"/>
    </row>
    <row r="391" spans="2:18">
      <c r="B391" s="832"/>
      <c r="C391" s="833"/>
      <c r="D391" s="833"/>
      <c r="E391" s="833"/>
      <c r="F391" s="1111"/>
      <c r="G391" s="1111"/>
      <c r="H391" s="834"/>
      <c r="I391" s="832"/>
      <c r="J391" s="1111"/>
      <c r="K391" s="832"/>
      <c r="L391" s="832"/>
      <c r="M391" s="832"/>
      <c r="N391" s="832"/>
      <c r="O391" s="832"/>
      <c r="P391" s="832"/>
      <c r="Q391" s="832"/>
      <c r="R391" s="832"/>
    </row>
    <row r="392" spans="2:18">
      <c r="B392" s="832"/>
      <c r="C392" s="833"/>
      <c r="D392" s="833"/>
      <c r="E392" s="833"/>
      <c r="F392" s="1111"/>
      <c r="G392" s="1111"/>
      <c r="H392" s="834"/>
      <c r="I392" s="832"/>
      <c r="J392" s="1111"/>
      <c r="K392" s="832"/>
      <c r="L392" s="832"/>
      <c r="M392" s="832"/>
      <c r="N392" s="832"/>
      <c r="O392" s="832"/>
      <c r="P392" s="832"/>
      <c r="Q392" s="832"/>
      <c r="R392" s="832"/>
    </row>
    <row r="393" spans="2:18">
      <c r="B393" s="832"/>
      <c r="C393" s="833"/>
      <c r="D393" s="833"/>
      <c r="E393" s="833"/>
      <c r="F393" s="1111"/>
      <c r="G393" s="1111"/>
      <c r="H393" s="834"/>
      <c r="I393" s="832"/>
      <c r="J393" s="1111"/>
      <c r="K393" s="832"/>
      <c r="L393" s="832"/>
      <c r="M393" s="832"/>
      <c r="N393" s="832"/>
      <c r="O393" s="832"/>
      <c r="P393" s="832"/>
      <c r="Q393" s="832"/>
      <c r="R393" s="832"/>
    </row>
    <row r="394" spans="2:18">
      <c r="B394" s="832"/>
      <c r="C394" s="833"/>
      <c r="D394" s="833"/>
      <c r="E394" s="833"/>
      <c r="F394" s="1111"/>
      <c r="G394" s="1111"/>
      <c r="H394" s="834"/>
      <c r="I394" s="832"/>
      <c r="J394" s="1111"/>
      <c r="K394" s="832"/>
      <c r="L394" s="832"/>
      <c r="M394" s="832"/>
      <c r="N394" s="832"/>
      <c r="O394" s="832"/>
      <c r="P394" s="832"/>
      <c r="Q394" s="832"/>
      <c r="R394" s="832"/>
    </row>
    <row r="395" spans="2:18">
      <c r="B395" s="832"/>
      <c r="C395" s="833"/>
      <c r="D395" s="833"/>
      <c r="E395" s="833"/>
      <c r="F395" s="1111"/>
      <c r="G395" s="1111"/>
      <c r="H395" s="834"/>
      <c r="I395" s="832"/>
      <c r="J395" s="1111"/>
      <c r="K395" s="832"/>
      <c r="L395" s="832"/>
      <c r="M395" s="832"/>
      <c r="N395" s="832"/>
      <c r="O395" s="832"/>
      <c r="P395" s="832"/>
      <c r="Q395" s="832"/>
      <c r="R395" s="832"/>
    </row>
    <row r="396" spans="2:18">
      <c r="B396" s="832"/>
      <c r="C396" s="833"/>
      <c r="D396" s="833"/>
      <c r="E396" s="833"/>
      <c r="F396" s="1111"/>
      <c r="G396" s="1111"/>
      <c r="H396" s="834"/>
      <c r="I396" s="832"/>
      <c r="J396" s="1111"/>
      <c r="K396" s="832"/>
      <c r="L396" s="832"/>
      <c r="M396" s="832"/>
      <c r="N396" s="832"/>
      <c r="O396" s="832"/>
      <c r="P396" s="832"/>
      <c r="Q396" s="832"/>
      <c r="R396" s="832"/>
    </row>
    <row r="397" spans="2:18">
      <c r="B397" s="832"/>
      <c r="C397" s="833"/>
      <c r="D397" s="833"/>
      <c r="E397" s="833"/>
      <c r="F397" s="1111"/>
      <c r="G397" s="1111"/>
      <c r="H397" s="834"/>
      <c r="I397" s="832"/>
      <c r="J397" s="1111"/>
      <c r="K397" s="832"/>
      <c r="L397" s="832"/>
      <c r="M397" s="832"/>
      <c r="N397" s="832"/>
      <c r="O397" s="832"/>
      <c r="P397" s="832"/>
      <c r="Q397" s="832"/>
      <c r="R397" s="832"/>
    </row>
    <row r="398" spans="2:18">
      <c r="B398" s="832"/>
      <c r="C398" s="833"/>
      <c r="D398" s="833"/>
      <c r="E398" s="833"/>
      <c r="F398" s="1111"/>
      <c r="G398" s="1111"/>
      <c r="H398" s="834"/>
      <c r="I398" s="832"/>
      <c r="J398" s="1111"/>
      <c r="K398" s="832"/>
      <c r="L398" s="832"/>
      <c r="M398" s="832"/>
      <c r="N398" s="832"/>
      <c r="O398" s="832"/>
      <c r="P398" s="832"/>
      <c r="Q398" s="832"/>
      <c r="R398" s="832"/>
    </row>
    <row r="399" spans="2:18">
      <c r="B399" s="832"/>
      <c r="C399" s="833"/>
      <c r="D399" s="833"/>
      <c r="E399" s="833"/>
      <c r="F399" s="1111"/>
      <c r="G399" s="1111"/>
      <c r="H399" s="834"/>
      <c r="I399" s="832"/>
      <c r="J399" s="1111"/>
      <c r="K399" s="832"/>
      <c r="L399" s="832"/>
      <c r="M399" s="832"/>
      <c r="N399" s="832"/>
      <c r="O399" s="832"/>
      <c r="P399" s="832"/>
      <c r="Q399" s="832"/>
      <c r="R399" s="832"/>
    </row>
    <row r="400" spans="2:18">
      <c r="B400" s="832"/>
      <c r="C400" s="833"/>
      <c r="D400" s="833"/>
      <c r="E400" s="833"/>
      <c r="F400" s="1111"/>
      <c r="G400" s="1111"/>
      <c r="H400" s="834"/>
      <c r="I400" s="832"/>
      <c r="J400" s="1111"/>
      <c r="K400" s="832"/>
      <c r="L400" s="832"/>
      <c r="M400" s="832"/>
      <c r="N400" s="832"/>
      <c r="O400" s="832"/>
      <c r="P400" s="832"/>
      <c r="Q400" s="832"/>
      <c r="R400" s="832"/>
    </row>
    <row r="401" spans="2:18">
      <c r="B401" s="832"/>
      <c r="C401" s="833"/>
      <c r="D401" s="833"/>
      <c r="E401" s="833"/>
      <c r="F401" s="1111"/>
      <c r="G401" s="1111"/>
      <c r="H401" s="834"/>
      <c r="I401" s="832"/>
      <c r="J401" s="1111"/>
      <c r="K401" s="832"/>
      <c r="L401" s="832"/>
      <c r="M401" s="832"/>
      <c r="N401" s="832"/>
      <c r="O401" s="832"/>
      <c r="P401" s="832"/>
      <c r="Q401" s="832"/>
      <c r="R401" s="832"/>
    </row>
    <row r="402" spans="2:18">
      <c r="B402" s="832"/>
      <c r="C402" s="833"/>
      <c r="D402" s="833"/>
      <c r="E402" s="833"/>
      <c r="F402" s="1111"/>
      <c r="G402" s="1111"/>
      <c r="H402" s="834"/>
      <c r="I402" s="832"/>
      <c r="J402" s="1111"/>
      <c r="K402" s="832"/>
      <c r="L402" s="832"/>
      <c r="M402" s="832"/>
      <c r="N402" s="832"/>
      <c r="O402" s="832"/>
      <c r="P402" s="832"/>
      <c r="Q402" s="832"/>
      <c r="R402" s="832"/>
    </row>
    <row r="403" spans="2:18">
      <c r="B403" s="832"/>
      <c r="C403" s="833"/>
      <c r="D403" s="833"/>
      <c r="E403" s="833"/>
      <c r="F403" s="1111"/>
      <c r="G403" s="1111"/>
      <c r="H403" s="834"/>
      <c r="I403" s="832"/>
      <c r="J403" s="1111"/>
      <c r="K403" s="832"/>
      <c r="L403" s="832"/>
      <c r="M403" s="832"/>
      <c r="N403" s="832"/>
      <c r="O403" s="832"/>
      <c r="P403" s="832"/>
      <c r="Q403" s="832"/>
      <c r="R403" s="832"/>
    </row>
    <row r="404" spans="2:18">
      <c r="B404" s="832"/>
      <c r="C404" s="833"/>
      <c r="D404" s="833"/>
      <c r="E404" s="833"/>
      <c r="F404" s="1111"/>
      <c r="G404" s="1111"/>
      <c r="H404" s="834"/>
      <c r="I404" s="832"/>
      <c r="J404" s="1111"/>
      <c r="K404" s="832"/>
      <c r="L404" s="832"/>
      <c r="M404" s="832"/>
      <c r="N404" s="832"/>
      <c r="O404" s="832"/>
      <c r="P404" s="832"/>
      <c r="Q404" s="832"/>
      <c r="R404" s="832"/>
    </row>
    <row r="405" spans="2:18">
      <c r="B405" s="832"/>
      <c r="C405" s="833"/>
      <c r="D405" s="833"/>
      <c r="E405" s="833"/>
      <c r="F405" s="1111"/>
      <c r="G405" s="1111"/>
      <c r="H405" s="834"/>
      <c r="I405" s="832"/>
      <c r="J405" s="1111"/>
      <c r="K405" s="832"/>
      <c r="L405" s="832"/>
      <c r="M405" s="832"/>
      <c r="N405" s="832"/>
      <c r="O405" s="832"/>
      <c r="P405" s="832"/>
      <c r="Q405" s="832"/>
      <c r="R405" s="832"/>
    </row>
    <row r="406" spans="2:18">
      <c r="B406" s="832"/>
      <c r="C406" s="833"/>
      <c r="D406" s="833"/>
      <c r="E406" s="833"/>
      <c r="F406" s="1111"/>
      <c r="G406" s="1111"/>
      <c r="H406" s="834"/>
      <c r="I406" s="832"/>
      <c r="J406" s="1111"/>
      <c r="K406" s="832"/>
      <c r="L406" s="832"/>
      <c r="M406" s="832"/>
      <c r="N406" s="832"/>
      <c r="O406" s="832"/>
      <c r="P406" s="832"/>
      <c r="Q406" s="832"/>
      <c r="R406" s="832"/>
    </row>
    <row r="407" spans="2:18">
      <c r="B407" s="832"/>
      <c r="C407" s="833"/>
      <c r="D407" s="833"/>
      <c r="E407" s="833"/>
      <c r="F407" s="1111"/>
      <c r="G407" s="1111"/>
      <c r="H407" s="834"/>
      <c r="I407" s="832"/>
      <c r="J407" s="1111"/>
      <c r="K407" s="832"/>
      <c r="L407" s="832"/>
      <c r="M407" s="832"/>
      <c r="N407" s="832"/>
      <c r="O407" s="832"/>
      <c r="P407" s="832"/>
      <c r="Q407" s="832"/>
      <c r="R407" s="832"/>
    </row>
    <row r="408" spans="2:18">
      <c r="B408" s="832"/>
      <c r="C408" s="833"/>
      <c r="D408" s="833"/>
      <c r="E408" s="833"/>
      <c r="F408" s="1111"/>
      <c r="G408" s="1111"/>
      <c r="H408" s="834"/>
      <c r="I408" s="832"/>
      <c r="J408" s="1111"/>
      <c r="K408" s="832"/>
      <c r="L408" s="832"/>
      <c r="M408" s="832"/>
      <c r="N408" s="832"/>
      <c r="O408" s="832"/>
      <c r="P408" s="832"/>
      <c r="Q408" s="832"/>
      <c r="R408" s="832"/>
    </row>
    <row r="409" spans="2:18">
      <c r="B409" s="832"/>
      <c r="C409" s="833"/>
      <c r="D409" s="833"/>
      <c r="E409" s="833"/>
      <c r="F409" s="1111"/>
      <c r="G409" s="1111"/>
      <c r="H409" s="834"/>
      <c r="I409" s="832"/>
      <c r="J409" s="1111"/>
      <c r="K409" s="832"/>
      <c r="L409" s="832"/>
      <c r="M409" s="832"/>
      <c r="N409" s="832"/>
      <c r="O409" s="832"/>
      <c r="P409" s="832"/>
      <c r="Q409" s="832"/>
      <c r="R409" s="832"/>
    </row>
    <row r="410" spans="2:18">
      <c r="B410" s="832"/>
      <c r="C410" s="833"/>
      <c r="D410" s="833"/>
      <c r="E410" s="833"/>
      <c r="F410" s="1111"/>
      <c r="G410" s="1111"/>
      <c r="H410" s="834"/>
      <c r="I410" s="832"/>
      <c r="J410" s="1111"/>
      <c r="K410" s="832"/>
      <c r="L410" s="832"/>
      <c r="M410" s="832"/>
      <c r="N410" s="832"/>
      <c r="O410" s="832"/>
      <c r="P410" s="832"/>
      <c r="Q410" s="832"/>
      <c r="R410" s="832"/>
    </row>
    <row r="411" spans="2:18">
      <c r="B411" s="832"/>
      <c r="C411" s="833"/>
      <c r="D411" s="833"/>
      <c r="E411" s="833"/>
      <c r="F411" s="1111"/>
      <c r="G411" s="1111"/>
      <c r="H411" s="834"/>
      <c r="I411" s="832"/>
      <c r="J411" s="1111"/>
      <c r="K411" s="832"/>
      <c r="L411" s="832"/>
      <c r="M411" s="832"/>
      <c r="N411" s="832"/>
      <c r="O411" s="832"/>
      <c r="P411" s="832"/>
      <c r="Q411" s="832"/>
      <c r="R411" s="832"/>
    </row>
    <row r="412" spans="2:18">
      <c r="B412" s="832"/>
      <c r="C412" s="833"/>
      <c r="D412" s="833"/>
      <c r="E412" s="833"/>
      <c r="F412" s="1111"/>
      <c r="G412" s="1111"/>
      <c r="H412" s="834"/>
      <c r="I412" s="832"/>
      <c r="J412" s="1111"/>
      <c r="K412" s="832"/>
      <c r="L412" s="832"/>
      <c r="M412" s="832"/>
      <c r="N412" s="832"/>
      <c r="O412" s="832"/>
      <c r="P412" s="832"/>
      <c r="Q412" s="832"/>
      <c r="R412" s="832"/>
    </row>
    <row r="413" spans="2:18">
      <c r="B413" s="832"/>
      <c r="C413" s="833"/>
      <c r="D413" s="833"/>
      <c r="E413" s="833"/>
      <c r="F413" s="1111"/>
      <c r="G413" s="1111"/>
      <c r="H413" s="834"/>
      <c r="I413" s="832"/>
      <c r="J413" s="1111"/>
      <c r="K413" s="832"/>
      <c r="L413" s="832"/>
      <c r="M413" s="832"/>
      <c r="N413" s="832"/>
      <c r="O413" s="832"/>
      <c r="P413" s="832"/>
      <c r="Q413" s="832"/>
      <c r="R413" s="832"/>
    </row>
    <row r="414" spans="2:18">
      <c r="B414" s="832"/>
      <c r="C414" s="833"/>
      <c r="D414" s="833"/>
      <c r="E414" s="833"/>
      <c r="F414" s="1111"/>
      <c r="G414" s="1111"/>
      <c r="H414" s="834"/>
      <c r="I414" s="832"/>
      <c r="J414" s="1111"/>
      <c r="K414" s="832"/>
      <c r="L414" s="832"/>
      <c r="M414" s="832"/>
      <c r="N414" s="832"/>
      <c r="O414" s="832"/>
      <c r="P414" s="832"/>
      <c r="Q414" s="832"/>
      <c r="R414" s="832"/>
    </row>
    <row r="415" spans="2:18">
      <c r="B415" s="832"/>
      <c r="C415" s="833"/>
      <c r="D415" s="833"/>
      <c r="E415" s="833"/>
      <c r="F415" s="1111"/>
      <c r="G415" s="1111"/>
      <c r="H415" s="834"/>
      <c r="I415" s="832"/>
      <c r="J415" s="1111"/>
      <c r="K415" s="832"/>
      <c r="L415" s="832"/>
      <c r="M415" s="832"/>
      <c r="N415" s="832"/>
      <c r="O415" s="832"/>
      <c r="P415" s="832"/>
      <c r="Q415" s="832"/>
      <c r="R415" s="832"/>
    </row>
    <row r="416" spans="2:18">
      <c r="B416" s="832"/>
      <c r="C416" s="833"/>
      <c r="D416" s="833"/>
      <c r="E416" s="833"/>
      <c r="F416" s="1111"/>
      <c r="G416" s="1111"/>
      <c r="H416" s="834"/>
      <c r="I416" s="832"/>
      <c r="J416" s="1111"/>
      <c r="K416" s="832"/>
      <c r="L416" s="832"/>
      <c r="M416" s="832"/>
      <c r="N416" s="832"/>
      <c r="O416" s="832"/>
      <c r="P416" s="832"/>
      <c r="Q416" s="832"/>
      <c r="R416" s="832"/>
    </row>
    <row r="417" spans="2:18">
      <c r="B417" s="832"/>
      <c r="C417" s="833"/>
      <c r="D417" s="833"/>
      <c r="E417" s="833"/>
      <c r="F417" s="1111"/>
      <c r="G417" s="1111"/>
      <c r="H417" s="834"/>
      <c r="I417" s="832"/>
      <c r="J417" s="1111"/>
      <c r="K417" s="832"/>
      <c r="L417" s="832"/>
      <c r="M417" s="832"/>
      <c r="N417" s="832"/>
      <c r="O417" s="832"/>
      <c r="P417" s="832"/>
      <c r="Q417" s="832"/>
      <c r="R417" s="832"/>
    </row>
    <row r="418" spans="2:18">
      <c r="B418" s="832"/>
      <c r="C418" s="833"/>
      <c r="D418" s="833"/>
      <c r="E418" s="833"/>
      <c r="F418" s="1111"/>
      <c r="G418" s="1111"/>
      <c r="H418" s="834"/>
      <c r="I418" s="832"/>
      <c r="J418" s="1111"/>
      <c r="K418" s="832"/>
      <c r="L418" s="832"/>
      <c r="M418" s="832"/>
      <c r="N418" s="832"/>
      <c r="O418" s="832"/>
      <c r="P418" s="832"/>
      <c r="Q418" s="832"/>
      <c r="R418" s="832"/>
    </row>
    <row r="419" spans="2:18">
      <c r="B419" s="832"/>
      <c r="C419" s="833"/>
      <c r="D419" s="833"/>
      <c r="E419" s="833"/>
      <c r="F419" s="1111"/>
      <c r="G419" s="1111"/>
      <c r="H419" s="834"/>
      <c r="I419" s="832"/>
      <c r="J419" s="1111"/>
      <c r="K419" s="832"/>
      <c r="L419" s="832"/>
      <c r="M419" s="832"/>
      <c r="N419" s="832"/>
      <c r="O419" s="832"/>
      <c r="P419" s="832"/>
      <c r="Q419" s="832"/>
      <c r="R419" s="832"/>
    </row>
    <row r="420" spans="2:18">
      <c r="B420" s="832"/>
      <c r="C420" s="833"/>
      <c r="D420" s="833"/>
      <c r="E420" s="833"/>
      <c r="F420" s="1111"/>
      <c r="G420" s="1111"/>
      <c r="H420" s="834"/>
      <c r="I420" s="832"/>
      <c r="J420" s="1111"/>
      <c r="K420" s="832"/>
      <c r="L420" s="832"/>
      <c r="M420" s="832"/>
      <c r="N420" s="832"/>
      <c r="O420" s="832"/>
      <c r="P420" s="832"/>
      <c r="Q420" s="832"/>
      <c r="R420" s="832"/>
    </row>
    <row r="421" spans="2:18">
      <c r="B421" s="832"/>
      <c r="C421" s="833"/>
      <c r="D421" s="833"/>
      <c r="E421" s="833"/>
      <c r="F421" s="1111"/>
      <c r="G421" s="1111"/>
      <c r="H421" s="834"/>
      <c r="I421" s="832"/>
      <c r="J421" s="1111"/>
      <c r="K421" s="832"/>
      <c r="L421" s="832"/>
      <c r="M421" s="832"/>
      <c r="N421" s="832"/>
      <c r="O421" s="832"/>
      <c r="P421" s="832"/>
      <c r="Q421" s="832"/>
      <c r="R421" s="832"/>
    </row>
    <row r="422" spans="2:18">
      <c r="B422" s="832"/>
      <c r="C422" s="833"/>
      <c r="D422" s="833"/>
      <c r="E422" s="833"/>
      <c r="F422" s="1111"/>
      <c r="G422" s="1111"/>
      <c r="H422" s="834"/>
      <c r="I422" s="832"/>
      <c r="J422" s="1111"/>
      <c r="K422" s="832"/>
      <c r="L422" s="832"/>
      <c r="M422" s="832"/>
      <c r="N422" s="832"/>
      <c r="O422" s="832"/>
      <c r="P422" s="832"/>
      <c r="Q422" s="832"/>
      <c r="R422" s="832"/>
    </row>
    <row r="423" spans="2:18">
      <c r="B423" s="832"/>
      <c r="C423" s="833"/>
      <c r="D423" s="833"/>
      <c r="E423" s="833"/>
      <c r="F423" s="1111"/>
      <c r="G423" s="1111"/>
      <c r="H423" s="834"/>
      <c r="I423" s="832"/>
      <c r="J423" s="1111"/>
      <c r="K423" s="832"/>
      <c r="L423" s="832"/>
      <c r="M423" s="832"/>
      <c r="N423" s="832"/>
      <c r="O423" s="832"/>
      <c r="P423" s="832"/>
      <c r="Q423" s="832"/>
      <c r="R423" s="832"/>
    </row>
    <row r="424" spans="2:18">
      <c r="B424" s="832"/>
      <c r="C424" s="833"/>
      <c r="D424" s="833"/>
      <c r="E424" s="833"/>
      <c r="F424" s="1111"/>
      <c r="G424" s="1111"/>
      <c r="H424" s="834"/>
      <c r="I424" s="832"/>
      <c r="J424" s="1111"/>
      <c r="K424" s="832"/>
      <c r="L424" s="832"/>
      <c r="M424" s="832"/>
      <c r="N424" s="832"/>
      <c r="O424" s="832"/>
      <c r="P424" s="832"/>
      <c r="Q424" s="832"/>
      <c r="R424" s="832"/>
    </row>
    <row r="425" spans="2:18">
      <c r="B425" s="832"/>
      <c r="C425" s="833"/>
      <c r="D425" s="833"/>
      <c r="E425" s="833"/>
      <c r="F425" s="1111"/>
      <c r="G425" s="1111"/>
      <c r="H425" s="834"/>
      <c r="I425" s="832"/>
      <c r="J425" s="1111"/>
      <c r="K425" s="832"/>
      <c r="L425" s="832"/>
      <c r="M425" s="832"/>
      <c r="N425" s="832"/>
      <c r="O425" s="832"/>
      <c r="P425" s="832"/>
      <c r="Q425" s="832"/>
      <c r="R425" s="832"/>
    </row>
    <row r="426" spans="2:18">
      <c r="B426" s="832"/>
      <c r="C426" s="833"/>
      <c r="D426" s="833"/>
      <c r="E426" s="833"/>
      <c r="F426" s="1111"/>
      <c r="G426" s="1111"/>
      <c r="H426" s="834"/>
      <c r="I426" s="832"/>
      <c r="J426" s="1111"/>
      <c r="K426" s="832"/>
      <c r="L426" s="832"/>
      <c r="M426" s="832"/>
      <c r="N426" s="832"/>
      <c r="O426" s="832"/>
      <c r="P426" s="832"/>
      <c r="Q426" s="832"/>
      <c r="R426" s="832"/>
    </row>
    <row r="427" spans="2:18">
      <c r="B427" s="832"/>
      <c r="C427" s="833"/>
      <c r="D427" s="833"/>
      <c r="E427" s="833"/>
      <c r="F427" s="1111"/>
      <c r="G427" s="1111"/>
      <c r="H427" s="834"/>
      <c r="I427" s="832"/>
      <c r="J427" s="1111"/>
      <c r="K427" s="832"/>
      <c r="L427" s="832"/>
      <c r="M427" s="832"/>
      <c r="N427" s="832"/>
      <c r="O427" s="832"/>
      <c r="P427" s="832"/>
      <c r="Q427" s="832"/>
      <c r="R427" s="832"/>
    </row>
    <row r="428" spans="2:18">
      <c r="B428" s="832"/>
      <c r="C428" s="833"/>
      <c r="D428" s="833"/>
      <c r="E428" s="833"/>
      <c r="F428" s="1111"/>
      <c r="G428" s="1111"/>
      <c r="H428" s="834"/>
      <c r="I428" s="832"/>
      <c r="J428" s="1111"/>
      <c r="K428" s="832"/>
      <c r="L428" s="832"/>
      <c r="M428" s="832"/>
      <c r="N428" s="832"/>
      <c r="O428" s="832"/>
      <c r="P428" s="832"/>
      <c r="Q428" s="832"/>
      <c r="R428" s="832"/>
    </row>
    <row r="429" spans="2:18">
      <c r="B429" s="832"/>
      <c r="C429" s="833"/>
      <c r="D429" s="833"/>
      <c r="E429" s="833"/>
      <c r="F429" s="1111"/>
      <c r="G429" s="1111"/>
      <c r="H429" s="834"/>
      <c r="I429" s="832"/>
      <c r="J429" s="1111"/>
      <c r="K429" s="832"/>
      <c r="L429" s="832"/>
      <c r="M429" s="832"/>
      <c r="N429" s="832"/>
      <c r="O429" s="832"/>
      <c r="P429" s="832"/>
      <c r="Q429" s="832"/>
      <c r="R429" s="832"/>
    </row>
    <row r="430" spans="2:18">
      <c r="B430" s="832"/>
      <c r="C430" s="833"/>
      <c r="D430" s="833"/>
      <c r="E430" s="833"/>
      <c r="F430" s="1111"/>
      <c r="G430" s="1111"/>
      <c r="H430" s="834"/>
      <c r="I430" s="832"/>
      <c r="J430" s="1111"/>
      <c r="K430" s="832"/>
      <c r="L430" s="832"/>
      <c r="M430" s="832"/>
      <c r="N430" s="832"/>
      <c r="O430" s="832"/>
      <c r="P430" s="832"/>
      <c r="Q430" s="832"/>
      <c r="R430" s="832"/>
    </row>
    <row r="431" spans="2:18">
      <c r="B431" s="832"/>
      <c r="C431" s="833"/>
      <c r="D431" s="833"/>
      <c r="E431" s="833"/>
      <c r="F431" s="1111"/>
      <c r="G431" s="1111"/>
      <c r="H431" s="834"/>
      <c r="I431" s="832"/>
      <c r="J431" s="1111"/>
      <c r="K431" s="832"/>
      <c r="L431" s="832"/>
      <c r="M431" s="832"/>
      <c r="N431" s="832"/>
      <c r="O431" s="832"/>
      <c r="P431" s="832"/>
      <c r="Q431" s="832"/>
      <c r="R431" s="832"/>
    </row>
    <row r="432" spans="2:18">
      <c r="B432" s="832"/>
      <c r="C432" s="833"/>
      <c r="D432" s="833"/>
      <c r="E432" s="833"/>
      <c r="F432" s="1111"/>
      <c r="G432" s="1111"/>
      <c r="H432" s="834"/>
      <c r="I432" s="832"/>
      <c r="J432" s="1111"/>
      <c r="K432" s="832"/>
      <c r="L432" s="832"/>
      <c r="M432" s="832"/>
      <c r="N432" s="832"/>
      <c r="O432" s="832"/>
      <c r="P432" s="832"/>
      <c r="Q432" s="832"/>
      <c r="R432" s="832"/>
    </row>
    <row r="433" spans="2:18">
      <c r="B433" s="832"/>
      <c r="C433" s="833"/>
      <c r="D433" s="833"/>
      <c r="E433" s="833"/>
      <c r="F433" s="1111"/>
      <c r="G433" s="1111"/>
      <c r="H433" s="834"/>
      <c r="I433" s="832"/>
      <c r="J433" s="1111"/>
      <c r="K433" s="832"/>
      <c r="L433" s="832"/>
      <c r="M433" s="832"/>
      <c r="N433" s="832"/>
      <c r="O433" s="832"/>
      <c r="P433" s="832"/>
      <c r="Q433" s="832"/>
      <c r="R433" s="832"/>
    </row>
    <row r="434" spans="2:18">
      <c r="B434" s="832"/>
      <c r="C434" s="833"/>
      <c r="D434" s="833"/>
      <c r="E434" s="833"/>
      <c r="F434" s="1111"/>
      <c r="G434" s="1111"/>
      <c r="H434" s="834"/>
      <c r="I434" s="832"/>
      <c r="J434" s="1111"/>
      <c r="K434" s="832"/>
      <c r="L434" s="832"/>
      <c r="M434" s="832"/>
      <c r="N434" s="832"/>
      <c r="O434" s="832"/>
      <c r="P434" s="832"/>
      <c r="Q434" s="832"/>
      <c r="R434" s="832"/>
    </row>
    <row r="435" spans="2:18">
      <c r="B435" s="832"/>
      <c r="C435" s="833"/>
      <c r="D435" s="833"/>
      <c r="E435" s="833"/>
      <c r="F435" s="1111"/>
      <c r="G435" s="1111"/>
      <c r="H435" s="834"/>
      <c r="I435" s="832"/>
      <c r="J435" s="1111"/>
      <c r="K435" s="832"/>
      <c r="L435" s="832"/>
      <c r="M435" s="832"/>
      <c r="N435" s="832"/>
      <c r="O435" s="832"/>
      <c r="P435" s="832"/>
      <c r="Q435" s="832"/>
      <c r="R435" s="832"/>
    </row>
    <row r="436" spans="2:18">
      <c r="B436" s="832"/>
      <c r="C436" s="833"/>
      <c r="D436" s="833"/>
      <c r="E436" s="833"/>
      <c r="F436" s="1111"/>
      <c r="G436" s="1111"/>
      <c r="H436" s="834"/>
      <c r="I436" s="832"/>
      <c r="J436" s="1111"/>
      <c r="K436" s="832"/>
      <c r="L436" s="832"/>
      <c r="M436" s="832"/>
      <c r="N436" s="832"/>
      <c r="O436" s="832"/>
      <c r="P436" s="832"/>
      <c r="Q436" s="832"/>
      <c r="R436" s="832"/>
    </row>
    <row r="437" spans="2:18">
      <c r="B437" s="832"/>
      <c r="C437" s="833"/>
      <c r="D437" s="833"/>
      <c r="E437" s="833"/>
      <c r="F437" s="1111"/>
      <c r="G437" s="1111"/>
      <c r="H437" s="834"/>
      <c r="I437" s="832"/>
      <c r="J437" s="1111"/>
      <c r="K437" s="832"/>
      <c r="L437" s="832"/>
      <c r="M437" s="832"/>
      <c r="N437" s="832"/>
      <c r="O437" s="832"/>
      <c r="P437" s="832"/>
      <c r="Q437" s="832"/>
      <c r="R437" s="832"/>
    </row>
    <row r="438" spans="2:18">
      <c r="B438" s="832"/>
      <c r="C438" s="833"/>
      <c r="D438" s="833"/>
      <c r="E438" s="833"/>
      <c r="F438" s="1111"/>
      <c r="G438" s="1111"/>
      <c r="H438" s="834"/>
      <c r="I438" s="832"/>
      <c r="J438" s="1111"/>
      <c r="K438" s="832"/>
      <c r="L438" s="832"/>
      <c r="M438" s="832"/>
      <c r="N438" s="832"/>
      <c r="O438" s="832"/>
      <c r="P438" s="832"/>
      <c r="Q438" s="832"/>
      <c r="R438" s="832"/>
    </row>
    <row r="439" spans="2:18">
      <c r="B439" s="832"/>
      <c r="C439" s="833"/>
      <c r="D439" s="833"/>
      <c r="E439" s="833"/>
      <c r="F439" s="1111"/>
      <c r="G439" s="1111"/>
      <c r="H439" s="834"/>
      <c r="I439" s="832"/>
      <c r="J439" s="1111"/>
      <c r="K439" s="832"/>
      <c r="L439" s="832"/>
      <c r="M439" s="832"/>
      <c r="N439" s="832"/>
      <c r="O439" s="832"/>
      <c r="P439" s="832"/>
      <c r="Q439" s="832"/>
      <c r="R439" s="832"/>
    </row>
    <row r="440" spans="2:18">
      <c r="B440" s="832"/>
      <c r="C440" s="833"/>
      <c r="D440" s="833"/>
      <c r="E440" s="833"/>
      <c r="F440" s="1111"/>
      <c r="G440" s="1111"/>
      <c r="H440" s="834"/>
      <c r="I440" s="832"/>
      <c r="J440" s="1111"/>
      <c r="K440" s="832"/>
      <c r="L440" s="832"/>
      <c r="M440" s="832"/>
      <c r="N440" s="832"/>
      <c r="O440" s="832"/>
      <c r="P440" s="832"/>
      <c r="Q440" s="832"/>
      <c r="R440" s="832"/>
    </row>
    <row r="441" spans="2:18">
      <c r="B441" s="832"/>
      <c r="C441" s="833"/>
      <c r="D441" s="833"/>
      <c r="E441" s="833"/>
      <c r="F441" s="1111"/>
      <c r="G441" s="1111"/>
      <c r="H441" s="834"/>
      <c r="I441" s="832"/>
      <c r="J441" s="1111"/>
      <c r="K441" s="832"/>
      <c r="L441" s="832"/>
      <c r="M441" s="832"/>
      <c r="N441" s="832"/>
      <c r="O441" s="832"/>
      <c r="P441" s="832"/>
      <c r="Q441" s="832"/>
      <c r="R441" s="832"/>
    </row>
    <row r="442" spans="2:18">
      <c r="B442" s="832"/>
      <c r="C442" s="833"/>
      <c r="D442" s="833"/>
      <c r="E442" s="833"/>
      <c r="F442" s="1111"/>
      <c r="G442" s="1111"/>
      <c r="H442" s="834"/>
      <c r="I442" s="832"/>
      <c r="J442" s="1111"/>
      <c r="K442" s="832"/>
      <c r="L442" s="832"/>
      <c r="M442" s="832"/>
      <c r="N442" s="832"/>
      <c r="O442" s="832"/>
      <c r="P442" s="832"/>
      <c r="Q442" s="832"/>
      <c r="R442" s="832"/>
    </row>
    <row r="443" spans="2:18">
      <c r="B443" s="832"/>
      <c r="C443" s="833"/>
      <c r="D443" s="833"/>
      <c r="E443" s="833"/>
      <c r="F443" s="1111"/>
      <c r="G443" s="1111"/>
      <c r="H443" s="834"/>
      <c r="I443" s="832"/>
      <c r="J443" s="1111"/>
      <c r="K443" s="832"/>
      <c r="L443" s="832"/>
      <c r="M443" s="832"/>
      <c r="N443" s="832"/>
      <c r="O443" s="832"/>
      <c r="P443" s="832"/>
      <c r="Q443" s="832"/>
      <c r="R443" s="832"/>
    </row>
    <row r="444" spans="2:18">
      <c r="B444" s="832"/>
      <c r="C444" s="833"/>
      <c r="D444" s="833"/>
      <c r="E444" s="833"/>
      <c r="F444" s="1111"/>
      <c r="G444" s="1111"/>
      <c r="H444" s="834"/>
      <c r="I444" s="832"/>
      <c r="J444" s="1111"/>
      <c r="K444" s="832"/>
      <c r="L444" s="832"/>
      <c r="M444" s="832"/>
      <c r="N444" s="832"/>
      <c r="O444" s="832"/>
      <c r="P444" s="832"/>
      <c r="Q444" s="832"/>
      <c r="R444" s="832"/>
    </row>
    <row r="445" spans="2:18">
      <c r="B445" s="832"/>
      <c r="C445" s="833"/>
      <c r="D445" s="833"/>
      <c r="E445" s="833"/>
      <c r="F445" s="1111"/>
      <c r="G445" s="1111"/>
      <c r="H445" s="834"/>
      <c r="I445" s="832"/>
      <c r="J445" s="1111"/>
      <c r="K445" s="832"/>
      <c r="L445" s="832"/>
      <c r="M445" s="832"/>
      <c r="N445" s="832"/>
      <c r="O445" s="832"/>
      <c r="P445" s="832"/>
      <c r="Q445" s="832"/>
      <c r="R445" s="832"/>
    </row>
    <row r="446" spans="2:18">
      <c r="B446" s="832"/>
      <c r="C446" s="833"/>
      <c r="D446" s="833"/>
      <c r="E446" s="833"/>
      <c r="F446" s="1111"/>
      <c r="G446" s="1111"/>
      <c r="H446" s="834"/>
      <c r="I446" s="832"/>
      <c r="J446" s="1111"/>
      <c r="K446" s="832"/>
      <c r="L446" s="832"/>
      <c r="M446" s="832"/>
      <c r="N446" s="832"/>
      <c r="O446" s="832"/>
      <c r="P446" s="832"/>
      <c r="Q446" s="832"/>
      <c r="R446" s="832"/>
    </row>
    <row r="447" spans="2:18">
      <c r="B447" s="832"/>
      <c r="C447" s="833"/>
      <c r="D447" s="833"/>
      <c r="E447" s="833"/>
      <c r="F447" s="1111"/>
      <c r="G447" s="1111"/>
      <c r="H447" s="834"/>
      <c r="I447" s="832"/>
      <c r="J447" s="1111"/>
      <c r="K447" s="832"/>
      <c r="L447" s="832"/>
      <c r="M447" s="832"/>
      <c r="N447" s="832"/>
      <c r="O447" s="832"/>
      <c r="P447" s="832"/>
      <c r="Q447" s="832"/>
      <c r="R447" s="832"/>
    </row>
    <row r="448" spans="2:18">
      <c r="B448" s="832"/>
      <c r="C448" s="833"/>
      <c r="D448" s="833"/>
      <c r="E448" s="833"/>
      <c r="F448" s="1111"/>
      <c r="G448" s="1111"/>
      <c r="H448" s="834"/>
      <c r="I448" s="832"/>
      <c r="J448" s="1111"/>
      <c r="K448" s="832"/>
      <c r="L448" s="832"/>
      <c r="M448" s="832"/>
      <c r="N448" s="832"/>
      <c r="O448" s="832"/>
      <c r="P448" s="832"/>
      <c r="Q448" s="832"/>
      <c r="R448" s="832"/>
    </row>
    <row r="449" spans="2:18">
      <c r="B449" s="832"/>
      <c r="C449" s="833"/>
      <c r="D449" s="833"/>
      <c r="E449" s="833"/>
      <c r="F449" s="1111"/>
      <c r="G449" s="1111"/>
      <c r="H449" s="834"/>
      <c r="I449" s="832"/>
      <c r="J449" s="1111"/>
      <c r="K449" s="832"/>
      <c r="L449" s="832"/>
      <c r="M449" s="832"/>
      <c r="N449" s="832"/>
      <c r="O449" s="832"/>
      <c r="P449" s="832"/>
      <c r="Q449" s="832"/>
      <c r="R449" s="832"/>
    </row>
    <row r="450" spans="2:18">
      <c r="B450" s="832"/>
      <c r="C450" s="833"/>
      <c r="D450" s="833"/>
      <c r="E450" s="833"/>
      <c r="F450" s="1111"/>
      <c r="G450" s="1111"/>
      <c r="H450" s="834"/>
      <c r="I450" s="832"/>
      <c r="J450" s="1111"/>
      <c r="K450" s="832"/>
      <c r="L450" s="832"/>
      <c r="M450" s="832"/>
      <c r="N450" s="832"/>
      <c r="O450" s="832"/>
      <c r="P450" s="832"/>
      <c r="Q450" s="832"/>
      <c r="R450" s="832"/>
    </row>
    <row r="451" spans="2:18">
      <c r="B451" s="832"/>
      <c r="C451" s="833"/>
      <c r="D451" s="833"/>
      <c r="E451" s="833"/>
      <c r="F451" s="1111"/>
      <c r="G451" s="1111"/>
      <c r="H451" s="834"/>
      <c r="I451" s="832"/>
      <c r="J451" s="1111"/>
      <c r="K451" s="832"/>
      <c r="L451" s="832"/>
      <c r="M451" s="832"/>
      <c r="N451" s="832"/>
      <c r="O451" s="832"/>
      <c r="P451" s="832"/>
      <c r="Q451" s="832"/>
      <c r="R451" s="832"/>
    </row>
    <row r="452" spans="2:18">
      <c r="B452" s="832"/>
      <c r="C452" s="833"/>
      <c r="D452" s="833"/>
      <c r="E452" s="833"/>
      <c r="F452" s="1111"/>
      <c r="G452" s="1111"/>
      <c r="H452" s="834"/>
      <c r="I452" s="832"/>
      <c r="J452" s="1111"/>
      <c r="K452" s="832"/>
      <c r="L452" s="832"/>
      <c r="M452" s="832"/>
      <c r="N452" s="832"/>
      <c r="O452" s="832"/>
      <c r="P452" s="832"/>
      <c r="Q452" s="832"/>
      <c r="R452" s="832"/>
    </row>
    <row r="453" spans="2:18">
      <c r="B453" s="832"/>
      <c r="C453" s="833"/>
      <c r="D453" s="833"/>
      <c r="E453" s="833"/>
      <c r="F453" s="1111"/>
      <c r="G453" s="1111"/>
      <c r="H453" s="834"/>
      <c r="I453" s="832"/>
      <c r="J453" s="1111"/>
      <c r="K453" s="832"/>
      <c r="L453" s="832"/>
      <c r="M453" s="832"/>
      <c r="N453" s="832"/>
      <c r="O453" s="832"/>
      <c r="P453" s="832"/>
      <c r="Q453" s="832"/>
      <c r="R453" s="832"/>
    </row>
    <row r="454" spans="2:18">
      <c r="B454" s="832"/>
      <c r="C454" s="833"/>
      <c r="D454" s="833"/>
      <c r="E454" s="833"/>
      <c r="F454" s="1111"/>
      <c r="G454" s="1111"/>
      <c r="H454" s="834"/>
      <c r="I454" s="832"/>
      <c r="J454" s="1111"/>
      <c r="K454" s="832"/>
      <c r="L454" s="832"/>
      <c r="M454" s="832"/>
      <c r="N454" s="832"/>
      <c r="O454" s="832"/>
      <c r="P454" s="832"/>
      <c r="Q454" s="832"/>
      <c r="R454" s="832"/>
    </row>
    <row r="455" spans="2:18">
      <c r="B455" s="832"/>
      <c r="C455" s="833"/>
      <c r="D455" s="833"/>
      <c r="E455" s="833"/>
      <c r="F455" s="1111"/>
      <c r="G455" s="1111"/>
      <c r="H455" s="834"/>
      <c r="I455" s="832"/>
      <c r="J455" s="1111"/>
      <c r="K455" s="832"/>
      <c r="L455" s="832"/>
      <c r="M455" s="832"/>
      <c r="N455" s="832"/>
      <c r="O455" s="832"/>
      <c r="P455" s="832"/>
      <c r="Q455" s="832"/>
      <c r="R455" s="832"/>
    </row>
    <row r="456" spans="2:18">
      <c r="B456" s="832"/>
      <c r="C456" s="833"/>
      <c r="D456" s="833"/>
      <c r="E456" s="833"/>
      <c r="F456" s="1111"/>
      <c r="G456" s="1111"/>
      <c r="H456" s="834"/>
      <c r="I456" s="832"/>
      <c r="J456" s="1111"/>
      <c r="K456" s="832"/>
      <c r="L456" s="832"/>
      <c r="M456" s="832"/>
      <c r="N456" s="832"/>
      <c r="O456" s="832"/>
      <c r="P456" s="832"/>
      <c r="Q456" s="832"/>
      <c r="R456" s="832"/>
    </row>
    <row r="457" spans="2:18">
      <c r="B457" s="832"/>
      <c r="C457" s="833"/>
      <c r="D457" s="833"/>
      <c r="E457" s="833"/>
      <c r="F457" s="1111"/>
      <c r="G457" s="1111"/>
      <c r="H457" s="834"/>
      <c r="I457" s="832"/>
      <c r="J457" s="1111"/>
      <c r="K457" s="832"/>
      <c r="L457" s="832"/>
      <c r="M457" s="832"/>
      <c r="N457" s="832"/>
      <c r="O457" s="832"/>
      <c r="P457" s="832"/>
      <c r="Q457" s="832"/>
      <c r="R457" s="832"/>
    </row>
    <row r="458" spans="2:18">
      <c r="B458" s="832"/>
      <c r="C458" s="833"/>
      <c r="D458" s="833"/>
      <c r="E458" s="833"/>
      <c r="F458" s="1111"/>
      <c r="G458" s="1111"/>
      <c r="H458" s="834"/>
      <c r="I458" s="832"/>
      <c r="J458" s="1111"/>
      <c r="K458" s="832"/>
      <c r="L458" s="832"/>
      <c r="M458" s="832"/>
      <c r="N458" s="832"/>
      <c r="O458" s="832"/>
      <c r="P458" s="832"/>
      <c r="Q458" s="832"/>
      <c r="R458" s="832"/>
    </row>
    <row r="459" spans="2:18">
      <c r="B459" s="832"/>
      <c r="C459" s="833"/>
      <c r="D459" s="833"/>
      <c r="E459" s="833"/>
      <c r="F459" s="1111"/>
      <c r="G459" s="1111"/>
      <c r="H459" s="834"/>
      <c r="I459" s="832"/>
      <c r="J459" s="1111"/>
      <c r="K459" s="832"/>
      <c r="L459" s="832"/>
      <c r="M459" s="832"/>
      <c r="N459" s="832"/>
      <c r="O459" s="832"/>
      <c r="P459" s="832"/>
      <c r="Q459" s="832"/>
      <c r="R459" s="832"/>
    </row>
    <row r="460" spans="2:18">
      <c r="B460" s="832"/>
      <c r="C460" s="833"/>
      <c r="D460" s="833"/>
      <c r="E460" s="833"/>
      <c r="F460" s="1111"/>
      <c r="G460" s="1111"/>
      <c r="H460" s="834"/>
      <c r="I460" s="832"/>
      <c r="J460" s="1111"/>
      <c r="K460" s="832"/>
      <c r="L460" s="832"/>
      <c r="M460" s="832"/>
      <c r="N460" s="832"/>
      <c r="O460" s="832"/>
      <c r="P460" s="832"/>
      <c r="Q460" s="832"/>
      <c r="R460" s="832"/>
    </row>
    <row r="461" spans="2:18">
      <c r="B461" s="832"/>
      <c r="C461" s="833"/>
      <c r="D461" s="833"/>
      <c r="E461" s="833"/>
      <c r="F461" s="1111"/>
      <c r="G461" s="1111"/>
      <c r="H461" s="834"/>
      <c r="I461" s="832"/>
      <c r="J461" s="1111"/>
      <c r="K461" s="832"/>
      <c r="L461" s="832"/>
      <c r="M461" s="832"/>
      <c r="N461" s="832"/>
      <c r="O461" s="832"/>
      <c r="P461" s="832"/>
      <c r="Q461" s="832"/>
      <c r="R461" s="832"/>
    </row>
    <row r="462" spans="2:18">
      <c r="B462" s="832"/>
      <c r="C462" s="833"/>
      <c r="D462" s="833"/>
      <c r="E462" s="833"/>
      <c r="F462" s="1111"/>
      <c r="G462" s="1111"/>
      <c r="H462" s="834"/>
      <c r="I462" s="832"/>
      <c r="J462" s="1111"/>
      <c r="K462" s="832"/>
      <c r="L462" s="832"/>
      <c r="M462" s="832"/>
      <c r="N462" s="832"/>
      <c r="O462" s="832"/>
      <c r="P462" s="832"/>
      <c r="Q462" s="832"/>
      <c r="R462" s="832"/>
    </row>
    <row r="463" spans="2:18">
      <c r="B463" s="832"/>
      <c r="C463" s="833"/>
      <c r="D463" s="833"/>
      <c r="E463" s="833"/>
      <c r="F463" s="1111"/>
      <c r="G463" s="1111"/>
      <c r="H463" s="834"/>
      <c r="I463" s="832"/>
      <c r="J463" s="1111"/>
      <c r="K463" s="832"/>
      <c r="L463" s="832"/>
      <c r="M463" s="832"/>
      <c r="N463" s="832"/>
      <c r="O463" s="832"/>
      <c r="P463" s="832"/>
      <c r="Q463" s="832"/>
      <c r="R463" s="832"/>
    </row>
    <row r="464" spans="2:18">
      <c r="B464" s="832"/>
      <c r="C464" s="833"/>
      <c r="D464" s="833"/>
      <c r="E464" s="833"/>
      <c r="F464" s="1111"/>
      <c r="G464" s="1111"/>
      <c r="H464" s="834"/>
      <c r="I464" s="832"/>
      <c r="J464" s="1111"/>
      <c r="K464" s="832"/>
      <c r="L464" s="832"/>
      <c r="M464" s="832"/>
      <c r="N464" s="832"/>
      <c r="O464" s="832"/>
      <c r="P464" s="832"/>
      <c r="Q464" s="832"/>
      <c r="R464" s="832"/>
    </row>
    <row r="465" spans="2:18">
      <c r="B465" s="832"/>
      <c r="C465" s="833"/>
      <c r="D465" s="833"/>
      <c r="E465" s="833"/>
      <c r="F465" s="1111"/>
      <c r="G465" s="1111"/>
      <c r="H465" s="834"/>
      <c r="I465" s="832"/>
      <c r="J465" s="1111"/>
      <c r="K465" s="832"/>
      <c r="L465" s="832"/>
      <c r="M465" s="832"/>
      <c r="N465" s="832"/>
      <c r="O465" s="832"/>
      <c r="P465" s="832"/>
      <c r="Q465" s="832"/>
      <c r="R465" s="832"/>
    </row>
    <row r="466" spans="2:18">
      <c r="B466" s="832"/>
      <c r="C466" s="833"/>
      <c r="D466" s="833"/>
      <c r="E466" s="833"/>
      <c r="F466" s="1111"/>
      <c r="G466" s="1111"/>
      <c r="H466" s="834"/>
      <c r="I466" s="832"/>
      <c r="J466" s="1111"/>
      <c r="K466" s="832"/>
      <c r="L466" s="832"/>
      <c r="M466" s="832"/>
      <c r="N466" s="832"/>
      <c r="O466" s="832"/>
      <c r="P466" s="832"/>
      <c r="Q466" s="832"/>
      <c r="R466" s="832"/>
    </row>
    <row r="467" spans="2:18">
      <c r="B467" s="832"/>
      <c r="C467" s="833"/>
      <c r="D467" s="833"/>
      <c r="E467" s="833"/>
      <c r="F467" s="1111"/>
      <c r="G467" s="1111"/>
      <c r="H467" s="834"/>
      <c r="I467" s="832"/>
      <c r="J467" s="1111"/>
      <c r="K467" s="832"/>
      <c r="L467" s="832"/>
      <c r="M467" s="832"/>
      <c r="N467" s="832"/>
      <c r="O467" s="832"/>
      <c r="P467" s="832"/>
      <c r="Q467" s="832"/>
      <c r="R467" s="832"/>
    </row>
    <row r="468" spans="2:18">
      <c r="B468" s="832"/>
      <c r="C468" s="833"/>
      <c r="D468" s="833"/>
      <c r="E468" s="833"/>
      <c r="F468" s="1111"/>
      <c r="G468" s="1111"/>
      <c r="H468" s="834"/>
      <c r="I468" s="832"/>
      <c r="J468" s="1111"/>
      <c r="K468" s="832"/>
      <c r="L468" s="832"/>
      <c r="M468" s="832"/>
      <c r="N468" s="832"/>
      <c r="O468" s="832"/>
      <c r="P468" s="832"/>
      <c r="Q468" s="832"/>
      <c r="R468" s="832"/>
    </row>
    <row r="469" spans="2:18">
      <c r="B469" s="832"/>
      <c r="C469" s="833"/>
      <c r="D469" s="833"/>
      <c r="E469" s="833"/>
      <c r="F469" s="1111"/>
      <c r="G469" s="1111"/>
      <c r="H469" s="834"/>
      <c r="I469" s="832"/>
      <c r="J469" s="1111"/>
      <c r="K469" s="832"/>
      <c r="L469" s="832"/>
      <c r="M469" s="832"/>
      <c r="N469" s="832"/>
      <c r="O469" s="832"/>
      <c r="P469" s="832"/>
      <c r="Q469" s="832"/>
      <c r="R469" s="832"/>
    </row>
    <row r="470" spans="2:18">
      <c r="B470" s="832"/>
      <c r="C470" s="833"/>
      <c r="D470" s="833"/>
      <c r="E470" s="833"/>
      <c r="F470" s="1111"/>
      <c r="G470" s="1111"/>
      <c r="H470" s="834"/>
      <c r="I470" s="832"/>
      <c r="J470" s="1111"/>
      <c r="K470" s="832"/>
      <c r="L470" s="832"/>
      <c r="M470" s="832"/>
      <c r="N470" s="832"/>
      <c r="O470" s="832"/>
      <c r="P470" s="832"/>
      <c r="Q470" s="832"/>
      <c r="R470" s="832"/>
    </row>
    <row r="471" spans="2:18">
      <c r="B471" s="832"/>
      <c r="C471" s="833"/>
      <c r="D471" s="833"/>
      <c r="E471" s="833"/>
      <c r="F471" s="1111"/>
      <c r="G471" s="1111"/>
      <c r="H471" s="834"/>
      <c r="I471" s="832"/>
      <c r="J471" s="1111"/>
      <c r="K471" s="832"/>
      <c r="L471" s="832"/>
      <c r="M471" s="832"/>
      <c r="N471" s="832"/>
      <c r="O471" s="832"/>
      <c r="P471" s="832"/>
      <c r="Q471" s="832"/>
      <c r="R471" s="832"/>
    </row>
    <row r="472" spans="2:18">
      <c r="B472" s="832"/>
      <c r="C472" s="833"/>
      <c r="D472" s="833"/>
      <c r="E472" s="833"/>
      <c r="F472" s="1111"/>
      <c r="G472" s="1111"/>
      <c r="H472" s="834"/>
      <c r="I472" s="832"/>
      <c r="J472" s="1111"/>
      <c r="K472" s="832"/>
      <c r="L472" s="832"/>
      <c r="M472" s="832"/>
      <c r="N472" s="832"/>
      <c r="O472" s="832"/>
      <c r="P472" s="832"/>
      <c r="Q472" s="832"/>
      <c r="R472" s="832"/>
    </row>
    <row r="473" spans="2:18">
      <c r="B473" s="832"/>
      <c r="C473" s="833"/>
      <c r="D473" s="833"/>
      <c r="E473" s="833"/>
      <c r="F473" s="1111"/>
      <c r="G473" s="1111"/>
      <c r="H473" s="834"/>
      <c r="I473" s="832"/>
      <c r="J473" s="1111"/>
      <c r="K473" s="832"/>
      <c r="L473" s="832"/>
      <c r="M473" s="832"/>
      <c r="N473" s="832"/>
      <c r="O473" s="832"/>
      <c r="P473" s="832"/>
      <c r="Q473" s="832"/>
      <c r="R473" s="832"/>
    </row>
    <row r="474" spans="2:18">
      <c r="B474" s="832"/>
      <c r="C474" s="833"/>
      <c r="D474" s="833"/>
      <c r="E474" s="833"/>
      <c r="F474" s="1111"/>
      <c r="G474" s="1111"/>
      <c r="H474" s="834"/>
      <c r="I474" s="832"/>
      <c r="J474" s="1111"/>
      <c r="K474" s="832"/>
      <c r="L474" s="832"/>
      <c r="M474" s="832"/>
      <c r="N474" s="832"/>
      <c r="O474" s="832"/>
      <c r="P474" s="832"/>
      <c r="Q474" s="832"/>
      <c r="R474" s="832"/>
    </row>
    <row r="475" spans="2:18">
      <c r="B475" s="832"/>
      <c r="C475" s="833"/>
      <c r="D475" s="833"/>
      <c r="E475" s="833"/>
      <c r="F475" s="1111"/>
      <c r="G475" s="1111"/>
      <c r="H475" s="834"/>
      <c r="I475" s="832"/>
      <c r="J475" s="1111"/>
      <c r="K475" s="832"/>
      <c r="L475" s="832"/>
      <c r="M475" s="832"/>
      <c r="N475" s="832"/>
      <c r="O475" s="832"/>
      <c r="P475" s="832"/>
      <c r="Q475" s="832"/>
      <c r="R475" s="832"/>
    </row>
    <row r="476" spans="2:18">
      <c r="B476" s="832"/>
      <c r="C476" s="833"/>
      <c r="D476" s="833"/>
      <c r="E476" s="833"/>
      <c r="F476" s="1111"/>
      <c r="G476" s="1111"/>
      <c r="H476" s="834"/>
      <c r="I476" s="832"/>
      <c r="J476" s="1111"/>
      <c r="K476" s="832"/>
      <c r="L476" s="832"/>
      <c r="M476" s="832"/>
      <c r="N476" s="832"/>
      <c r="O476" s="832"/>
      <c r="P476" s="832"/>
      <c r="Q476" s="832"/>
      <c r="R476" s="832"/>
    </row>
    <row r="477" spans="2:18">
      <c r="B477" s="832"/>
      <c r="C477" s="833"/>
      <c r="D477" s="833"/>
      <c r="E477" s="833"/>
      <c r="F477" s="1111"/>
      <c r="G477" s="1111"/>
      <c r="H477" s="834"/>
      <c r="I477" s="832"/>
      <c r="J477" s="1111"/>
      <c r="K477" s="832"/>
      <c r="L477" s="832"/>
      <c r="M477" s="832"/>
      <c r="N477" s="832"/>
      <c r="O477" s="832"/>
      <c r="P477" s="832"/>
      <c r="Q477" s="832"/>
      <c r="R477" s="832"/>
    </row>
    <row r="478" spans="2:18">
      <c r="B478" s="832"/>
      <c r="C478" s="833"/>
      <c r="D478" s="833"/>
      <c r="E478" s="833"/>
      <c r="F478" s="1111"/>
      <c r="G478" s="1111"/>
      <c r="H478" s="834"/>
      <c r="I478" s="832"/>
      <c r="J478" s="1111"/>
      <c r="K478" s="832"/>
      <c r="L478" s="832"/>
      <c r="M478" s="832"/>
      <c r="N478" s="832"/>
      <c r="O478" s="832"/>
      <c r="P478" s="832"/>
      <c r="Q478" s="832"/>
      <c r="R478" s="832"/>
    </row>
    <row r="479" spans="2:18">
      <c r="B479" s="832"/>
      <c r="C479" s="833"/>
      <c r="D479" s="833"/>
      <c r="E479" s="833"/>
      <c r="F479" s="1111"/>
      <c r="G479" s="1111"/>
      <c r="H479" s="834"/>
      <c r="I479" s="832"/>
      <c r="J479" s="1111"/>
      <c r="K479" s="832"/>
      <c r="L479" s="832"/>
      <c r="M479" s="832"/>
      <c r="N479" s="832"/>
      <c r="O479" s="832"/>
      <c r="P479" s="832"/>
      <c r="Q479" s="832"/>
      <c r="R479" s="832"/>
    </row>
    <row r="480" spans="2:18">
      <c r="B480" s="832"/>
      <c r="C480" s="833"/>
      <c r="D480" s="833"/>
      <c r="E480" s="833"/>
      <c r="F480" s="1111"/>
      <c r="G480" s="1111"/>
      <c r="H480" s="834"/>
      <c r="I480" s="832"/>
      <c r="J480" s="1111"/>
      <c r="K480" s="832"/>
      <c r="L480" s="832"/>
      <c r="M480" s="832"/>
      <c r="N480" s="832"/>
      <c r="O480" s="832"/>
      <c r="P480" s="832"/>
      <c r="Q480" s="832"/>
      <c r="R480" s="832"/>
    </row>
    <row r="481" spans="2:18">
      <c r="B481" s="832"/>
      <c r="C481" s="833"/>
      <c r="D481" s="833"/>
      <c r="E481" s="833"/>
      <c r="F481" s="1111"/>
      <c r="G481" s="1111"/>
      <c r="H481" s="834"/>
      <c r="I481" s="832"/>
      <c r="J481" s="1111"/>
      <c r="K481" s="832"/>
      <c r="L481" s="832"/>
      <c r="M481" s="832"/>
      <c r="N481" s="832"/>
      <c r="O481" s="832"/>
      <c r="P481" s="832"/>
      <c r="Q481" s="832"/>
      <c r="R481" s="832"/>
    </row>
    <row r="482" spans="2:18">
      <c r="B482" s="832"/>
      <c r="C482" s="833"/>
      <c r="D482" s="833"/>
      <c r="E482" s="833"/>
      <c r="F482" s="1111"/>
      <c r="G482" s="1111"/>
      <c r="H482" s="834"/>
      <c r="I482" s="832"/>
      <c r="J482" s="1111"/>
      <c r="K482" s="832"/>
      <c r="L482" s="832"/>
      <c r="M482" s="832"/>
      <c r="N482" s="832"/>
      <c r="O482" s="832"/>
      <c r="P482" s="832"/>
      <c r="Q482" s="832"/>
      <c r="R482" s="832"/>
    </row>
    <row r="483" spans="2:18">
      <c r="B483" s="832"/>
      <c r="C483" s="833"/>
      <c r="D483" s="833"/>
      <c r="E483" s="833"/>
      <c r="F483" s="1111"/>
      <c r="G483" s="1111"/>
      <c r="H483" s="834"/>
      <c r="I483" s="832"/>
      <c r="J483" s="1111"/>
      <c r="K483" s="832"/>
      <c r="L483" s="832"/>
      <c r="M483" s="832"/>
      <c r="N483" s="832"/>
      <c r="O483" s="832"/>
      <c r="P483" s="832"/>
      <c r="Q483" s="832"/>
      <c r="R483" s="832"/>
    </row>
    <row r="484" spans="2:18">
      <c r="B484" s="832"/>
      <c r="C484" s="833"/>
      <c r="D484" s="833"/>
      <c r="E484" s="833"/>
      <c r="F484" s="1111"/>
      <c r="G484" s="1111"/>
      <c r="H484" s="834"/>
      <c r="I484" s="832"/>
      <c r="J484" s="1111"/>
      <c r="K484" s="832"/>
      <c r="L484" s="832"/>
      <c r="M484" s="832"/>
      <c r="N484" s="832"/>
      <c r="O484" s="832"/>
      <c r="P484" s="832"/>
      <c r="Q484" s="832"/>
      <c r="R484" s="832"/>
    </row>
    <row r="485" spans="2:18">
      <c r="B485" s="832"/>
      <c r="C485" s="833"/>
      <c r="D485" s="833"/>
      <c r="E485" s="833"/>
      <c r="F485" s="1111"/>
      <c r="G485" s="1111"/>
      <c r="H485" s="834"/>
      <c r="I485" s="832"/>
      <c r="J485" s="1111"/>
      <c r="K485" s="832"/>
      <c r="L485" s="832"/>
      <c r="M485" s="832"/>
      <c r="N485" s="832"/>
      <c r="O485" s="832"/>
      <c r="P485" s="832"/>
      <c r="Q485" s="832"/>
      <c r="R485" s="832"/>
    </row>
    <row r="486" spans="2:18">
      <c r="B486" s="832"/>
      <c r="C486" s="833"/>
      <c r="D486" s="833"/>
      <c r="E486" s="833"/>
      <c r="F486" s="1111"/>
      <c r="G486" s="1111"/>
      <c r="H486" s="834"/>
      <c r="I486" s="832"/>
      <c r="J486" s="1111"/>
      <c r="K486" s="832"/>
      <c r="L486" s="832"/>
      <c r="M486" s="832"/>
      <c r="N486" s="832"/>
      <c r="O486" s="832"/>
      <c r="P486" s="832"/>
      <c r="Q486" s="832"/>
      <c r="R486" s="832"/>
    </row>
    <row r="487" spans="2:18">
      <c r="B487" s="832"/>
      <c r="C487" s="833"/>
      <c r="D487" s="833"/>
      <c r="E487" s="833"/>
      <c r="F487" s="1111"/>
      <c r="G487" s="1111"/>
      <c r="H487" s="834"/>
      <c r="I487" s="832"/>
      <c r="J487" s="1111"/>
      <c r="K487" s="832"/>
      <c r="L487" s="832"/>
      <c r="M487" s="832"/>
      <c r="N487" s="832"/>
      <c r="O487" s="832"/>
      <c r="P487" s="832"/>
      <c r="Q487" s="832"/>
      <c r="R487" s="832"/>
    </row>
    <row r="488" spans="2:18">
      <c r="B488" s="832"/>
      <c r="C488" s="833"/>
      <c r="D488" s="833"/>
      <c r="E488" s="833"/>
      <c r="F488" s="1111"/>
      <c r="G488" s="1111"/>
      <c r="H488" s="834"/>
      <c r="I488" s="832"/>
      <c r="J488" s="1111"/>
      <c r="K488" s="832"/>
      <c r="L488" s="832"/>
      <c r="M488" s="832"/>
      <c r="N488" s="832"/>
      <c r="O488" s="832"/>
      <c r="P488" s="832"/>
      <c r="Q488" s="832"/>
      <c r="R488" s="832"/>
    </row>
    <row r="489" spans="2:18">
      <c r="B489" s="832"/>
      <c r="C489" s="833"/>
      <c r="D489" s="833"/>
      <c r="E489" s="833"/>
      <c r="F489" s="1111"/>
      <c r="G489" s="1111"/>
      <c r="H489" s="834"/>
      <c r="I489" s="832"/>
      <c r="J489" s="1111"/>
      <c r="K489" s="832"/>
      <c r="L489" s="832"/>
      <c r="M489" s="832"/>
      <c r="N489" s="832"/>
      <c r="O489" s="832"/>
      <c r="P489" s="832"/>
      <c r="Q489" s="832"/>
      <c r="R489" s="832"/>
    </row>
    <row r="490" spans="2:18">
      <c r="B490" s="832"/>
      <c r="C490" s="833"/>
      <c r="D490" s="833"/>
      <c r="E490" s="833"/>
      <c r="F490" s="1111"/>
      <c r="G490" s="1111"/>
      <c r="H490" s="834"/>
      <c r="I490" s="832"/>
      <c r="J490" s="1111"/>
      <c r="K490" s="832"/>
      <c r="L490" s="832"/>
      <c r="M490" s="832"/>
      <c r="N490" s="832"/>
      <c r="O490" s="832"/>
      <c r="P490" s="832"/>
      <c r="Q490" s="832"/>
      <c r="R490" s="832"/>
    </row>
    <row r="491" spans="2:18">
      <c r="B491" s="832"/>
      <c r="C491" s="833"/>
      <c r="D491" s="833"/>
      <c r="E491" s="833"/>
      <c r="F491" s="1111"/>
      <c r="G491" s="1111"/>
      <c r="H491" s="834"/>
      <c r="I491" s="832"/>
      <c r="J491" s="1111"/>
      <c r="K491" s="832"/>
      <c r="L491" s="832"/>
      <c r="M491" s="832"/>
      <c r="N491" s="832"/>
      <c r="O491" s="832"/>
      <c r="P491" s="832"/>
      <c r="Q491" s="832"/>
      <c r="R491" s="832"/>
    </row>
    <row r="492" spans="2:18">
      <c r="B492" s="832"/>
      <c r="C492" s="833"/>
      <c r="D492" s="833"/>
      <c r="E492" s="833"/>
      <c r="F492" s="1111"/>
      <c r="G492" s="1111"/>
      <c r="H492" s="834"/>
      <c r="I492" s="832"/>
      <c r="J492" s="1111"/>
      <c r="K492" s="832"/>
      <c r="L492" s="832"/>
      <c r="M492" s="832"/>
      <c r="N492" s="832"/>
      <c r="O492" s="832"/>
      <c r="P492" s="832"/>
      <c r="Q492" s="832"/>
      <c r="R492" s="832"/>
    </row>
    <row r="493" spans="2:18">
      <c r="B493" s="832"/>
      <c r="C493" s="833"/>
      <c r="D493" s="833"/>
      <c r="E493" s="833"/>
      <c r="F493" s="1111"/>
      <c r="G493" s="1111"/>
      <c r="H493" s="834"/>
      <c r="I493" s="832"/>
      <c r="J493" s="1111"/>
      <c r="K493" s="832"/>
      <c r="L493" s="832"/>
      <c r="M493" s="832"/>
      <c r="N493" s="832"/>
      <c r="O493" s="832"/>
      <c r="P493" s="832"/>
      <c r="Q493" s="832"/>
      <c r="R493" s="832"/>
    </row>
    <row r="494" spans="2:18">
      <c r="B494" s="832"/>
      <c r="C494" s="833"/>
      <c r="D494" s="833"/>
      <c r="E494" s="833"/>
      <c r="F494" s="1111"/>
      <c r="G494" s="1111"/>
      <c r="H494" s="834"/>
      <c r="I494" s="832"/>
      <c r="J494" s="1111"/>
      <c r="K494" s="832"/>
      <c r="L494" s="832"/>
      <c r="M494" s="832"/>
      <c r="N494" s="832"/>
      <c r="O494" s="832"/>
      <c r="P494" s="832"/>
      <c r="Q494" s="832"/>
      <c r="R494" s="832"/>
    </row>
    <row r="495" spans="2:18">
      <c r="B495" s="832"/>
      <c r="C495" s="833"/>
      <c r="D495" s="833"/>
      <c r="E495" s="833"/>
      <c r="F495" s="1111"/>
      <c r="G495" s="1111"/>
      <c r="H495" s="834"/>
      <c r="I495" s="832"/>
      <c r="J495" s="1111"/>
      <c r="K495" s="832"/>
      <c r="L495" s="832"/>
      <c r="M495" s="832"/>
      <c r="N495" s="832"/>
      <c r="O495" s="832"/>
      <c r="P495" s="832"/>
      <c r="Q495" s="832"/>
      <c r="R495" s="832"/>
    </row>
    <row r="496" spans="2:18">
      <c r="B496" s="832"/>
      <c r="C496" s="833"/>
      <c r="D496" s="833"/>
      <c r="E496" s="833"/>
      <c r="F496" s="1111"/>
      <c r="G496" s="1111"/>
      <c r="H496" s="834"/>
      <c r="I496" s="832"/>
      <c r="J496" s="1111"/>
      <c r="K496" s="832"/>
      <c r="L496" s="832"/>
      <c r="M496" s="832"/>
      <c r="N496" s="832"/>
      <c r="O496" s="832"/>
      <c r="P496" s="832"/>
      <c r="Q496" s="832"/>
      <c r="R496" s="832"/>
    </row>
    <row r="497" spans="2:18">
      <c r="B497" s="832"/>
      <c r="C497" s="833"/>
      <c r="D497" s="833"/>
      <c r="E497" s="833"/>
      <c r="F497" s="1111"/>
      <c r="G497" s="1111"/>
      <c r="H497" s="834"/>
      <c r="I497" s="832"/>
      <c r="J497" s="1111"/>
      <c r="K497" s="832"/>
      <c r="L497" s="832"/>
      <c r="M497" s="832"/>
      <c r="N497" s="832"/>
      <c r="O497" s="832"/>
      <c r="P497" s="832"/>
      <c r="Q497" s="832"/>
      <c r="R497" s="832"/>
    </row>
    <row r="498" spans="2:18">
      <c r="B498" s="832"/>
      <c r="C498" s="833"/>
      <c r="D498" s="833"/>
      <c r="E498" s="833"/>
      <c r="F498" s="1111"/>
      <c r="G498" s="1111"/>
      <c r="H498" s="834"/>
      <c r="I498" s="832"/>
      <c r="J498" s="1111"/>
      <c r="K498" s="832"/>
      <c r="L498" s="832"/>
      <c r="M498" s="832"/>
      <c r="N498" s="832"/>
      <c r="O498" s="832"/>
      <c r="P498" s="832"/>
      <c r="Q498" s="832"/>
      <c r="R498" s="832"/>
    </row>
    <row r="499" spans="2:18">
      <c r="B499" s="832"/>
      <c r="C499" s="833"/>
      <c r="D499" s="833"/>
      <c r="E499" s="833"/>
      <c r="F499" s="1111"/>
      <c r="G499" s="1111"/>
      <c r="H499" s="834"/>
      <c r="I499" s="832"/>
      <c r="J499" s="1111"/>
      <c r="K499" s="832"/>
      <c r="L499" s="832"/>
      <c r="M499" s="832"/>
      <c r="N499" s="832"/>
      <c r="O499" s="832"/>
      <c r="P499" s="832"/>
      <c r="Q499" s="832"/>
      <c r="R499" s="832"/>
    </row>
    <row r="500" spans="2:18">
      <c r="B500" s="832"/>
      <c r="C500" s="833"/>
      <c r="D500" s="833"/>
      <c r="E500" s="833"/>
      <c r="F500" s="1111"/>
      <c r="G500" s="1111"/>
      <c r="H500" s="834"/>
      <c r="I500" s="832"/>
      <c r="J500" s="1111"/>
      <c r="K500" s="832"/>
      <c r="L500" s="832"/>
      <c r="M500" s="832"/>
      <c r="N500" s="832"/>
      <c r="O500" s="832"/>
      <c r="P500" s="832"/>
      <c r="Q500" s="832"/>
      <c r="R500" s="832"/>
    </row>
    <row r="501" spans="2:18">
      <c r="B501" s="832"/>
      <c r="C501" s="833"/>
      <c r="D501" s="833"/>
      <c r="E501" s="833"/>
      <c r="F501" s="1111"/>
      <c r="G501" s="1111"/>
      <c r="H501" s="834"/>
      <c r="I501" s="832"/>
      <c r="J501" s="1111"/>
      <c r="K501" s="832"/>
      <c r="L501" s="832"/>
      <c r="M501" s="832"/>
      <c r="N501" s="832"/>
      <c r="O501" s="832"/>
      <c r="P501" s="832"/>
      <c r="Q501" s="832"/>
      <c r="R501" s="832"/>
    </row>
    <row r="502" spans="2:18">
      <c r="B502" s="832"/>
      <c r="C502" s="833"/>
      <c r="D502" s="833"/>
      <c r="E502" s="833"/>
      <c r="F502" s="1111"/>
      <c r="G502" s="1111"/>
      <c r="H502" s="834"/>
      <c r="I502" s="832"/>
      <c r="J502" s="1111"/>
      <c r="K502" s="832"/>
      <c r="L502" s="832"/>
      <c r="M502" s="832"/>
      <c r="N502" s="832"/>
      <c r="O502" s="832"/>
      <c r="P502" s="832"/>
      <c r="Q502" s="832"/>
      <c r="R502" s="832"/>
    </row>
    <row r="503" spans="2:18">
      <c r="B503" s="832"/>
      <c r="C503" s="833"/>
      <c r="D503" s="833"/>
      <c r="E503" s="833"/>
      <c r="F503" s="1111"/>
      <c r="G503" s="1111"/>
      <c r="H503" s="834"/>
      <c r="I503" s="832"/>
      <c r="J503" s="1111"/>
      <c r="K503" s="832"/>
      <c r="L503" s="832"/>
      <c r="M503" s="832"/>
      <c r="N503" s="832"/>
      <c r="O503" s="832"/>
      <c r="P503" s="832"/>
      <c r="Q503" s="832"/>
      <c r="R503" s="832"/>
    </row>
    <row r="504" spans="2:18">
      <c r="B504" s="832"/>
      <c r="C504" s="833"/>
      <c r="D504" s="833"/>
      <c r="E504" s="833"/>
      <c r="F504" s="1111"/>
      <c r="G504" s="1111"/>
      <c r="H504" s="834"/>
      <c r="I504" s="832"/>
      <c r="J504" s="1111"/>
      <c r="K504" s="832"/>
      <c r="L504" s="832"/>
      <c r="M504" s="832"/>
      <c r="N504" s="832"/>
      <c r="O504" s="832"/>
      <c r="P504" s="832"/>
      <c r="Q504" s="832"/>
      <c r="R504" s="832"/>
    </row>
    <row r="505" spans="2:18">
      <c r="B505" s="832"/>
      <c r="C505" s="833"/>
      <c r="D505" s="833"/>
      <c r="E505" s="833"/>
      <c r="F505" s="1111"/>
      <c r="G505" s="1111"/>
      <c r="H505" s="834"/>
      <c r="I505" s="832"/>
      <c r="J505" s="1111"/>
      <c r="K505" s="832"/>
      <c r="L505" s="832"/>
      <c r="M505" s="832"/>
      <c r="N505" s="832"/>
      <c r="O505" s="832"/>
      <c r="P505" s="832"/>
      <c r="Q505" s="832"/>
      <c r="R505" s="832"/>
    </row>
    <row r="506" spans="2:18">
      <c r="B506" s="832"/>
      <c r="C506" s="833"/>
      <c r="D506" s="833"/>
      <c r="E506" s="833"/>
      <c r="F506" s="1111"/>
      <c r="G506" s="1111"/>
      <c r="H506" s="834"/>
      <c r="I506" s="832"/>
      <c r="J506" s="1111"/>
      <c r="K506" s="832"/>
      <c r="L506" s="832"/>
      <c r="M506" s="832"/>
      <c r="N506" s="832"/>
      <c r="O506" s="832"/>
      <c r="P506" s="832"/>
      <c r="Q506" s="832"/>
      <c r="R506" s="832"/>
    </row>
    <row r="507" spans="2:18">
      <c r="B507" s="832"/>
      <c r="C507" s="833"/>
      <c r="D507" s="833"/>
      <c r="E507" s="833"/>
      <c r="F507" s="1111"/>
      <c r="G507" s="1111"/>
      <c r="H507" s="834"/>
      <c r="I507" s="832"/>
      <c r="J507" s="1111"/>
      <c r="K507" s="832"/>
      <c r="L507" s="832"/>
      <c r="M507" s="832"/>
      <c r="N507" s="832"/>
      <c r="O507" s="832"/>
      <c r="P507" s="832"/>
      <c r="Q507" s="832"/>
      <c r="R507" s="832"/>
    </row>
    <row r="508" spans="2:18">
      <c r="B508" s="832"/>
      <c r="C508" s="833"/>
      <c r="D508" s="833"/>
      <c r="E508" s="833"/>
      <c r="F508" s="1111"/>
      <c r="G508" s="1111"/>
      <c r="H508" s="834"/>
      <c r="I508" s="832"/>
      <c r="J508" s="1111"/>
      <c r="K508" s="832"/>
      <c r="L508" s="832"/>
      <c r="M508" s="832"/>
      <c r="N508" s="832"/>
      <c r="O508" s="832"/>
      <c r="P508" s="832"/>
      <c r="Q508" s="832"/>
      <c r="R508" s="832"/>
    </row>
    <row r="509" spans="2:18">
      <c r="B509" s="832"/>
      <c r="C509" s="833"/>
      <c r="D509" s="833"/>
      <c r="E509" s="833"/>
      <c r="F509" s="1111"/>
      <c r="G509" s="1111"/>
      <c r="H509" s="834"/>
      <c r="I509" s="832"/>
      <c r="J509" s="1111"/>
      <c r="K509" s="832"/>
      <c r="L509" s="832"/>
      <c r="M509" s="832"/>
      <c r="N509" s="832"/>
      <c r="O509" s="832"/>
      <c r="P509" s="832"/>
      <c r="Q509" s="832"/>
      <c r="R509" s="832"/>
    </row>
    <row r="510" spans="2:18">
      <c r="B510" s="832"/>
      <c r="C510" s="833"/>
      <c r="D510" s="833"/>
      <c r="E510" s="833"/>
      <c r="F510" s="1111"/>
      <c r="G510" s="1111"/>
      <c r="H510" s="834"/>
      <c r="I510" s="832"/>
      <c r="J510" s="1111"/>
      <c r="K510" s="832"/>
      <c r="L510" s="832"/>
      <c r="M510" s="832"/>
      <c r="N510" s="832"/>
      <c r="O510" s="832"/>
      <c r="P510" s="832"/>
      <c r="Q510" s="832"/>
      <c r="R510" s="832"/>
    </row>
    <row r="511" spans="2:18">
      <c r="B511" s="832"/>
      <c r="C511" s="833"/>
      <c r="D511" s="833"/>
      <c r="E511" s="833"/>
      <c r="F511" s="1111"/>
      <c r="G511" s="1111"/>
      <c r="H511" s="834"/>
      <c r="I511" s="832"/>
      <c r="J511" s="1111"/>
      <c r="K511" s="832"/>
      <c r="L511" s="832"/>
      <c r="M511" s="832"/>
      <c r="N511" s="832"/>
      <c r="O511" s="832"/>
      <c r="P511" s="832"/>
      <c r="Q511" s="832"/>
      <c r="R511" s="832"/>
    </row>
    <row r="512" spans="2:18">
      <c r="B512" s="832"/>
      <c r="C512" s="833"/>
      <c r="D512" s="833"/>
      <c r="E512" s="833"/>
      <c r="F512" s="1111"/>
      <c r="G512" s="1111"/>
      <c r="H512" s="834"/>
      <c r="I512" s="832"/>
      <c r="J512" s="1111"/>
      <c r="K512" s="832"/>
      <c r="L512" s="832"/>
      <c r="M512" s="832"/>
      <c r="N512" s="832"/>
      <c r="O512" s="832"/>
      <c r="P512" s="832"/>
      <c r="Q512" s="832"/>
      <c r="R512" s="832"/>
    </row>
    <row r="513" spans="2:18">
      <c r="B513" s="832"/>
      <c r="C513" s="833"/>
      <c r="D513" s="833"/>
      <c r="E513" s="833"/>
      <c r="F513" s="1111"/>
      <c r="G513" s="1111"/>
      <c r="H513" s="834"/>
      <c r="I513" s="832"/>
      <c r="J513" s="1111"/>
      <c r="K513" s="832"/>
      <c r="L513" s="832"/>
      <c r="M513" s="832"/>
      <c r="N513" s="832"/>
      <c r="O513" s="832"/>
      <c r="P513" s="832"/>
      <c r="Q513" s="832"/>
      <c r="R513" s="832"/>
    </row>
    <row r="514" spans="2:18">
      <c r="B514" s="832"/>
      <c r="C514" s="833"/>
      <c r="D514" s="833"/>
      <c r="E514" s="833"/>
      <c r="F514" s="1111"/>
      <c r="G514" s="1111"/>
      <c r="H514" s="834"/>
      <c r="I514" s="832"/>
      <c r="J514" s="1111"/>
      <c r="K514" s="832"/>
      <c r="L514" s="832"/>
      <c r="M514" s="832"/>
      <c r="N514" s="832"/>
      <c r="O514" s="832"/>
      <c r="P514" s="832"/>
      <c r="Q514" s="832"/>
      <c r="R514" s="832"/>
    </row>
    <row r="515" spans="2:18">
      <c r="B515" s="832"/>
      <c r="C515" s="833"/>
      <c r="D515" s="833"/>
      <c r="E515" s="833"/>
      <c r="F515" s="1111"/>
      <c r="G515" s="1111"/>
      <c r="H515" s="834"/>
      <c r="I515" s="832"/>
      <c r="J515" s="1111"/>
      <c r="K515" s="832"/>
      <c r="L515" s="832"/>
      <c r="M515" s="832"/>
      <c r="N515" s="832"/>
      <c r="O515" s="832"/>
      <c r="P515" s="832"/>
      <c r="Q515" s="832"/>
      <c r="R515" s="832"/>
    </row>
    <row r="516" spans="2:18">
      <c r="B516" s="832"/>
      <c r="C516" s="833"/>
      <c r="D516" s="833"/>
      <c r="E516" s="833"/>
      <c r="F516" s="1111"/>
      <c r="G516" s="1111"/>
      <c r="H516" s="834"/>
      <c r="I516" s="832"/>
      <c r="J516" s="1111"/>
      <c r="K516" s="832"/>
      <c r="L516" s="832"/>
      <c r="M516" s="832"/>
      <c r="N516" s="832"/>
      <c r="O516" s="832"/>
      <c r="P516" s="832"/>
      <c r="Q516" s="832"/>
      <c r="R516" s="832"/>
    </row>
    <row r="517" spans="2:18">
      <c r="B517" s="832"/>
      <c r="C517" s="833"/>
      <c r="D517" s="833"/>
      <c r="E517" s="833"/>
      <c r="F517" s="1111"/>
      <c r="G517" s="1111"/>
      <c r="H517" s="834"/>
      <c r="I517" s="832"/>
      <c r="J517" s="1111"/>
      <c r="K517" s="832"/>
      <c r="L517" s="832"/>
      <c r="M517" s="832"/>
      <c r="N517" s="832"/>
      <c r="O517" s="832"/>
      <c r="P517" s="832"/>
      <c r="Q517" s="832"/>
      <c r="R517" s="832"/>
    </row>
    <row r="518" spans="2:18">
      <c r="B518" s="832"/>
      <c r="C518" s="833"/>
      <c r="D518" s="833"/>
      <c r="E518" s="833"/>
      <c r="F518" s="1111"/>
      <c r="G518" s="1111"/>
      <c r="H518" s="834"/>
      <c r="I518" s="832"/>
      <c r="J518" s="1111"/>
      <c r="K518" s="832"/>
      <c r="L518" s="832"/>
      <c r="M518" s="832"/>
      <c r="N518" s="832"/>
      <c r="O518" s="832"/>
      <c r="P518" s="832"/>
      <c r="Q518" s="832"/>
      <c r="R518" s="832"/>
    </row>
    <row r="519" spans="2:18">
      <c r="B519" s="832"/>
      <c r="C519" s="833"/>
      <c r="D519" s="833"/>
      <c r="E519" s="833"/>
      <c r="F519" s="1111"/>
      <c r="G519" s="1111"/>
      <c r="H519" s="834"/>
      <c r="I519" s="832"/>
      <c r="J519" s="1111"/>
      <c r="K519" s="832"/>
      <c r="L519" s="832"/>
      <c r="M519" s="832"/>
      <c r="N519" s="832"/>
      <c r="O519" s="832"/>
      <c r="P519" s="832"/>
      <c r="Q519" s="832"/>
      <c r="R519" s="832"/>
    </row>
    <row r="520" spans="2:18">
      <c r="B520" s="832"/>
      <c r="C520" s="833"/>
      <c r="D520" s="833"/>
      <c r="E520" s="833"/>
      <c r="F520" s="1111"/>
      <c r="G520" s="1111"/>
      <c r="H520" s="834"/>
      <c r="I520" s="832"/>
      <c r="J520" s="1111"/>
      <c r="K520" s="832"/>
      <c r="L520" s="832"/>
      <c r="M520" s="832"/>
      <c r="N520" s="832"/>
      <c r="O520" s="832"/>
      <c r="P520" s="832"/>
      <c r="Q520" s="832"/>
      <c r="R520" s="832"/>
    </row>
    <row r="521" spans="2:18">
      <c r="B521" s="832"/>
      <c r="C521" s="833"/>
      <c r="D521" s="833"/>
      <c r="E521" s="833"/>
      <c r="F521" s="1111"/>
      <c r="G521" s="1111"/>
      <c r="H521" s="834"/>
      <c r="I521" s="832"/>
      <c r="J521" s="1111"/>
      <c r="K521" s="832"/>
      <c r="L521" s="832"/>
      <c r="M521" s="832"/>
      <c r="N521" s="832"/>
      <c r="O521" s="832"/>
      <c r="P521" s="832"/>
      <c r="Q521" s="832"/>
      <c r="R521" s="832"/>
    </row>
    <row r="522" spans="2:18">
      <c r="B522" s="832"/>
      <c r="C522" s="833"/>
      <c r="D522" s="833"/>
      <c r="E522" s="833"/>
      <c r="F522" s="1111"/>
      <c r="G522" s="1111"/>
      <c r="H522" s="834"/>
      <c r="I522" s="832"/>
      <c r="J522" s="1111"/>
      <c r="K522" s="832"/>
      <c r="L522" s="832"/>
      <c r="M522" s="832"/>
      <c r="N522" s="832"/>
      <c r="O522" s="832"/>
      <c r="P522" s="832"/>
      <c r="Q522" s="832"/>
      <c r="R522" s="832"/>
    </row>
    <row r="523" spans="2:18">
      <c r="B523" s="832"/>
      <c r="C523" s="833"/>
      <c r="D523" s="833"/>
      <c r="E523" s="833"/>
      <c r="F523" s="1111"/>
      <c r="G523" s="1111"/>
      <c r="H523" s="834"/>
      <c r="I523" s="832"/>
      <c r="J523" s="1111"/>
      <c r="K523" s="832"/>
      <c r="L523" s="832"/>
      <c r="M523" s="832"/>
      <c r="N523" s="832"/>
      <c r="O523" s="832"/>
      <c r="P523" s="832"/>
      <c r="Q523" s="832"/>
      <c r="R523" s="832"/>
    </row>
    <row r="524" spans="2:18">
      <c r="B524" s="832"/>
      <c r="C524" s="833"/>
      <c r="D524" s="833"/>
      <c r="E524" s="833"/>
      <c r="F524" s="1111"/>
      <c r="G524" s="1111"/>
      <c r="H524" s="834"/>
      <c r="I524" s="832"/>
      <c r="J524" s="1111"/>
      <c r="K524" s="832"/>
      <c r="L524" s="832"/>
      <c r="M524" s="832"/>
      <c r="N524" s="832"/>
      <c r="O524" s="832"/>
      <c r="P524" s="832"/>
      <c r="Q524" s="832"/>
      <c r="R524" s="832"/>
    </row>
    <row r="525" spans="2:18">
      <c r="B525" s="832"/>
      <c r="C525" s="833"/>
      <c r="D525" s="833"/>
      <c r="E525" s="833"/>
      <c r="F525" s="1111"/>
      <c r="G525" s="1111"/>
      <c r="H525" s="834"/>
      <c r="I525" s="832"/>
      <c r="J525" s="1111"/>
      <c r="K525" s="832"/>
      <c r="L525" s="832"/>
      <c r="M525" s="832"/>
      <c r="N525" s="832"/>
      <c r="O525" s="832"/>
      <c r="P525" s="832"/>
      <c r="Q525" s="832"/>
      <c r="R525" s="832"/>
    </row>
    <row r="526" spans="2:18">
      <c r="B526" s="832"/>
      <c r="C526" s="833"/>
      <c r="D526" s="833"/>
      <c r="E526" s="833"/>
      <c r="F526" s="1111"/>
      <c r="G526" s="1111"/>
      <c r="H526" s="834"/>
      <c r="I526" s="832"/>
      <c r="J526" s="1111"/>
      <c r="K526" s="832"/>
      <c r="L526" s="832"/>
      <c r="M526" s="832"/>
      <c r="N526" s="832"/>
      <c r="O526" s="832"/>
      <c r="P526" s="832"/>
      <c r="Q526" s="832"/>
      <c r="R526" s="832"/>
    </row>
    <row r="527" spans="2:18">
      <c r="B527" s="832"/>
      <c r="C527" s="833"/>
      <c r="D527" s="833"/>
      <c r="E527" s="833"/>
      <c r="F527" s="1111"/>
      <c r="G527" s="1111"/>
      <c r="H527" s="834"/>
      <c r="I527" s="832"/>
      <c r="J527" s="1111"/>
      <c r="K527" s="832"/>
      <c r="L527" s="832"/>
      <c r="M527" s="832"/>
      <c r="N527" s="832"/>
      <c r="O527" s="832"/>
      <c r="P527" s="832"/>
      <c r="Q527" s="832"/>
      <c r="R527" s="832"/>
    </row>
    <row r="528" spans="2:18">
      <c r="B528" s="832"/>
      <c r="C528" s="833"/>
      <c r="D528" s="833"/>
      <c r="E528" s="833"/>
      <c r="F528" s="1111"/>
      <c r="G528" s="1111"/>
      <c r="H528" s="834"/>
      <c r="I528" s="832"/>
      <c r="J528" s="1111"/>
      <c r="K528" s="832"/>
      <c r="L528" s="832"/>
      <c r="M528" s="832"/>
      <c r="N528" s="832"/>
      <c r="O528" s="832"/>
      <c r="P528" s="832"/>
      <c r="Q528" s="832"/>
      <c r="R528" s="832"/>
    </row>
    <row r="529" spans="2:18">
      <c r="B529" s="832"/>
      <c r="C529" s="833"/>
      <c r="D529" s="833"/>
      <c r="E529" s="833"/>
      <c r="F529" s="1111"/>
      <c r="G529" s="1111"/>
      <c r="H529" s="834"/>
      <c r="I529" s="832"/>
      <c r="J529" s="1111"/>
      <c r="K529" s="832"/>
      <c r="L529" s="832"/>
      <c r="M529" s="832"/>
      <c r="N529" s="832"/>
      <c r="O529" s="832"/>
      <c r="P529" s="832"/>
      <c r="Q529" s="832"/>
      <c r="R529" s="832"/>
    </row>
    <row r="530" spans="2:18">
      <c r="B530" s="832"/>
      <c r="C530" s="833"/>
      <c r="D530" s="833"/>
      <c r="E530" s="833"/>
      <c r="F530" s="1111"/>
      <c r="G530" s="1111"/>
      <c r="H530" s="834"/>
      <c r="I530" s="832"/>
      <c r="J530" s="1111"/>
      <c r="K530" s="832"/>
      <c r="L530" s="832"/>
      <c r="M530" s="832"/>
      <c r="N530" s="832"/>
      <c r="O530" s="832"/>
      <c r="P530" s="832"/>
      <c r="Q530" s="832"/>
      <c r="R530" s="832"/>
    </row>
    <row r="531" spans="2:18">
      <c r="B531" s="832"/>
      <c r="C531" s="833"/>
      <c r="D531" s="833"/>
      <c r="E531" s="833"/>
      <c r="F531" s="1111"/>
      <c r="G531" s="1111"/>
      <c r="H531" s="834"/>
      <c r="I531" s="832"/>
      <c r="J531" s="1111"/>
      <c r="K531" s="832"/>
      <c r="L531" s="832"/>
      <c r="M531" s="832"/>
      <c r="N531" s="832"/>
      <c r="O531" s="832"/>
      <c r="P531" s="832"/>
      <c r="Q531" s="832"/>
      <c r="R531" s="832"/>
    </row>
    <row r="532" spans="2:18">
      <c r="B532" s="832"/>
      <c r="C532" s="833"/>
      <c r="D532" s="833"/>
      <c r="E532" s="833"/>
      <c r="F532" s="1111"/>
      <c r="G532" s="1111"/>
      <c r="H532" s="834"/>
      <c r="I532" s="832"/>
      <c r="J532" s="1111"/>
      <c r="K532" s="832"/>
      <c r="L532" s="832"/>
      <c r="M532" s="832"/>
      <c r="N532" s="832"/>
      <c r="O532" s="832"/>
      <c r="P532" s="832"/>
      <c r="Q532" s="832"/>
      <c r="R532" s="832"/>
    </row>
    <row r="533" spans="2:18">
      <c r="B533" s="832"/>
      <c r="C533" s="833"/>
      <c r="D533" s="833"/>
      <c r="E533" s="833"/>
      <c r="F533" s="1111"/>
      <c r="G533" s="1111"/>
      <c r="H533" s="834"/>
      <c r="I533" s="832"/>
      <c r="J533" s="1111"/>
      <c r="K533" s="832"/>
      <c r="L533" s="832"/>
      <c r="M533" s="832"/>
      <c r="N533" s="832"/>
      <c r="O533" s="832"/>
      <c r="P533" s="832"/>
      <c r="Q533" s="832"/>
      <c r="R533" s="832"/>
    </row>
    <row r="534" spans="2:18">
      <c r="B534" s="832"/>
      <c r="C534" s="833"/>
      <c r="D534" s="833"/>
      <c r="E534" s="833"/>
      <c r="F534" s="1111"/>
      <c r="G534" s="1111"/>
      <c r="H534" s="834"/>
      <c r="I534" s="832"/>
      <c r="J534" s="1111"/>
      <c r="K534" s="832"/>
      <c r="L534" s="832"/>
      <c r="M534" s="832"/>
      <c r="N534" s="832"/>
      <c r="O534" s="832"/>
      <c r="P534" s="832"/>
      <c r="Q534" s="832"/>
      <c r="R534" s="832"/>
    </row>
    <row r="535" spans="2:18">
      <c r="B535" s="832"/>
      <c r="C535" s="833"/>
      <c r="D535" s="833"/>
      <c r="E535" s="833"/>
      <c r="F535" s="1111"/>
      <c r="G535" s="1111"/>
      <c r="H535" s="834"/>
      <c r="I535" s="832"/>
      <c r="J535" s="1111"/>
      <c r="K535" s="832"/>
      <c r="L535" s="832"/>
      <c r="M535" s="832"/>
      <c r="N535" s="832"/>
      <c r="O535" s="832"/>
      <c r="P535" s="832"/>
      <c r="Q535" s="832"/>
      <c r="R535" s="832"/>
    </row>
    <row r="536" spans="2:18">
      <c r="B536" s="832"/>
      <c r="C536" s="833"/>
      <c r="D536" s="833"/>
      <c r="E536" s="833"/>
      <c r="F536" s="1111"/>
      <c r="G536" s="1111"/>
      <c r="H536" s="834"/>
      <c r="I536" s="832"/>
      <c r="J536" s="1111"/>
      <c r="K536" s="832"/>
      <c r="L536" s="832"/>
      <c r="M536" s="832"/>
      <c r="N536" s="832"/>
      <c r="O536" s="832"/>
      <c r="P536" s="832"/>
      <c r="Q536" s="832"/>
      <c r="R536" s="832"/>
    </row>
    <row r="537" spans="2:18">
      <c r="B537" s="832"/>
      <c r="C537" s="833"/>
      <c r="D537" s="833"/>
      <c r="E537" s="833"/>
      <c r="F537" s="1111"/>
      <c r="G537" s="1111"/>
      <c r="H537" s="834"/>
      <c r="I537" s="832"/>
      <c r="J537" s="1111"/>
      <c r="K537" s="832"/>
      <c r="L537" s="832"/>
      <c r="M537" s="832"/>
      <c r="N537" s="832"/>
      <c r="O537" s="832"/>
      <c r="P537" s="832"/>
      <c r="Q537" s="832"/>
      <c r="R537" s="832"/>
    </row>
    <row r="538" spans="2:18">
      <c r="B538" s="832"/>
      <c r="C538" s="833"/>
      <c r="D538" s="833"/>
      <c r="E538" s="833"/>
      <c r="F538" s="1111"/>
      <c r="G538" s="1111"/>
      <c r="H538" s="834"/>
      <c r="I538" s="832"/>
      <c r="J538" s="1111"/>
      <c r="K538" s="832"/>
      <c r="L538" s="832"/>
      <c r="M538" s="832"/>
      <c r="N538" s="832"/>
      <c r="O538" s="832"/>
      <c r="P538" s="832"/>
      <c r="Q538" s="832"/>
      <c r="R538" s="832"/>
    </row>
    <row r="539" spans="2:18">
      <c r="B539" s="832"/>
      <c r="C539" s="833"/>
      <c r="D539" s="833"/>
      <c r="E539" s="833"/>
      <c r="F539" s="1111"/>
      <c r="G539" s="1111"/>
      <c r="H539" s="834"/>
      <c r="I539" s="832"/>
      <c r="J539" s="1111"/>
      <c r="K539" s="832"/>
      <c r="L539" s="832"/>
      <c r="M539" s="832"/>
      <c r="N539" s="832"/>
      <c r="O539" s="832"/>
      <c r="P539" s="832"/>
      <c r="Q539" s="832"/>
      <c r="R539" s="832"/>
    </row>
    <row r="540" spans="2:18">
      <c r="B540" s="832"/>
      <c r="C540" s="833"/>
      <c r="D540" s="833"/>
      <c r="E540" s="833"/>
      <c r="F540" s="1111"/>
      <c r="G540" s="1111"/>
      <c r="H540" s="834"/>
      <c r="I540" s="832"/>
      <c r="J540" s="1111"/>
      <c r="K540" s="832"/>
      <c r="L540" s="832"/>
      <c r="M540" s="832"/>
      <c r="N540" s="832"/>
      <c r="O540" s="832"/>
      <c r="P540" s="832"/>
      <c r="Q540" s="832"/>
      <c r="R540" s="832"/>
    </row>
    <row r="541" spans="2:18">
      <c r="B541" s="832"/>
      <c r="C541" s="833"/>
      <c r="D541" s="833"/>
      <c r="E541" s="833"/>
      <c r="F541" s="1111"/>
      <c r="G541" s="1111"/>
      <c r="H541" s="834"/>
      <c r="I541" s="832"/>
      <c r="J541" s="1111"/>
      <c r="K541" s="832"/>
      <c r="L541" s="832"/>
      <c r="M541" s="832"/>
      <c r="N541" s="832"/>
      <c r="O541" s="832"/>
      <c r="P541" s="832"/>
      <c r="Q541" s="832"/>
      <c r="R541" s="832"/>
    </row>
    <row r="542" spans="2:18">
      <c r="B542" s="832"/>
      <c r="C542" s="833"/>
      <c r="D542" s="833"/>
      <c r="E542" s="833"/>
      <c r="F542" s="1111"/>
      <c r="G542" s="1111"/>
      <c r="H542" s="834"/>
      <c r="I542" s="832"/>
      <c r="J542" s="1111"/>
      <c r="K542" s="832"/>
      <c r="L542" s="832"/>
      <c r="M542" s="832"/>
      <c r="N542" s="832"/>
      <c r="O542" s="832"/>
      <c r="P542" s="832"/>
      <c r="Q542" s="832"/>
      <c r="R542" s="832"/>
    </row>
    <row r="543" spans="2:18">
      <c r="B543" s="832"/>
      <c r="C543" s="833"/>
      <c r="D543" s="833"/>
      <c r="E543" s="833"/>
      <c r="F543" s="1111"/>
      <c r="G543" s="1111"/>
      <c r="H543" s="834"/>
      <c r="I543" s="832"/>
      <c r="J543" s="1111"/>
      <c r="K543" s="832"/>
      <c r="L543" s="832"/>
      <c r="M543" s="832"/>
      <c r="N543" s="832"/>
      <c r="O543" s="832"/>
      <c r="P543" s="832"/>
      <c r="Q543" s="832"/>
      <c r="R543" s="832"/>
    </row>
    <row r="544" spans="2:18">
      <c r="B544" s="832"/>
      <c r="C544" s="833"/>
      <c r="D544" s="833"/>
      <c r="E544" s="833"/>
      <c r="F544" s="1111"/>
      <c r="G544" s="1111"/>
      <c r="H544" s="834"/>
      <c r="I544" s="832"/>
      <c r="J544" s="1111"/>
      <c r="K544" s="832"/>
      <c r="L544" s="832"/>
      <c r="M544" s="832"/>
      <c r="N544" s="832"/>
      <c r="O544" s="832"/>
      <c r="P544" s="832"/>
      <c r="Q544" s="832"/>
      <c r="R544" s="832"/>
    </row>
    <row r="545" spans="2:18">
      <c r="B545" s="832"/>
      <c r="C545" s="833"/>
      <c r="D545" s="833"/>
      <c r="E545" s="833"/>
      <c r="F545" s="1111"/>
      <c r="G545" s="1111"/>
      <c r="H545" s="834"/>
      <c r="I545" s="832"/>
      <c r="J545" s="1111"/>
      <c r="K545" s="832"/>
      <c r="L545" s="832"/>
      <c r="M545" s="832"/>
      <c r="N545" s="832"/>
      <c r="O545" s="832"/>
      <c r="P545" s="832"/>
      <c r="Q545" s="832"/>
      <c r="R545" s="832"/>
    </row>
    <row r="546" spans="2:18">
      <c r="B546" s="832"/>
      <c r="C546" s="833"/>
      <c r="D546" s="833"/>
      <c r="E546" s="833"/>
      <c r="F546" s="1111"/>
      <c r="G546" s="1111"/>
      <c r="H546" s="834"/>
      <c r="I546" s="832"/>
      <c r="J546" s="1111"/>
      <c r="K546" s="832"/>
      <c r="L546" s="832"/>
      <c r="M546" s="832"/>
      <c r="N546" s="832"/>
      <c r="O546" s="832"/>
      <c r="P546" s="832"/>
      <c r="Q546" s="832"/>
      <c r="R546" s="832"/>
    </row>
    <row r="547" spans="2:18">
      <c r="B547" s="832"/>
      <c r="C547" s="833"/>
      <c r="D547" s="833"/>
      <c r="E547" s="833"/>
      <c r="F547" s="1111"/>
      <c r="G547" s="1111"/>
      <c r="H547" s="834"/>
      <c r="I547" s="832"/>
      <c r="J547" s="1111"/>
      <c r="K547" s="832"/>
      <c r="L547" s="832"/>
      <c r="M547" s="832"/>
      <c r="N547" s="832"/>
      <c r="O547" s="832"/>
      <c r="P547" s="832"/>
      <c r="Q547" s="832"/>
      <c r="R547" s="832"/>
    </row>
    <row r="548" spans="2:18">
      <c r="B548" s="832"/>
      <c r="C548" s="833"/>
      <c r="D548" s="833"/>
      <c r="E548" s="833"/>
      <c r="F548" s="1111"/>
      <c r="G548" s="1111"/>
      <c r="H548" s="834"/>
      <c r="I548" s="832"/>
      <c r="J548" s="1111"/>
      <c r="K548" s="832"/>
      <c r="L548" s="832"/>
      <c r="M548" s="832"/>
      <c r="N548" s="832"/>
      <c r="O548" s="832"/>
      <c r="P548" s="832"/>
      <c r="Q548" s="832"/>
      <c r="R548" s="832"/>
    </row>
    <row r="549" spans="2:18">
      <c r="B549" s="832"/>
      <c r="C549" s="833"/>
      <c r="D549" s="833"/>
      <c r="E549" s="833"/>
      <c r="F549" s="1111"/>
      <c r="G549" s="1111"/>
      <c r="H549" s="834"/>
      <c r="I549" s="832"/>
      <c r="J549" s="1111"/>
      <c r="K549" s="832"/>
      <c r="L549" s="832"/>
      <c r="M549" s="832"/>
      <c r="N549" s="832"/>
      <c r="O549" s="832"/>
      <c r="P549" s="832"/>
      <c r="Q549" s="832"/>
      <c r="R549" s="832"/>
    </row>
    <row r="550" spans="2:18">
      <c r="B550" s="832"/>
      <c r="C550" s="833"/>
      <c r="D550" s="833"/>
      <c r="E550" s="833"/>
      <c r="F550" s="1111"/>
      <c r="G550" s="1111"/>
      <c r="H550" s="834"/>
      <c r="I550" s="832"/>
      <c r="J550" s="1111"/>
      <c r="K550" s="832"/>
      <c r="L550" s="832"/>
      <c r="M550" s="832"/>
      <c r="N550" s="832"/>
      <c r="O550" s="832"/>
      <c r="P550" s="832"/>
      <c r="Q550" s="832"/>
      <c r="R550" s="832"/>
    </row>
    <row r="551" spans="2:18">
      <c r="B551" s="832"/>
      <c r="C551" s="833"/>
      <c r="D551" s="833"/>
      <c r="E551" s="833"/>
      <c r="F551" s="1111"/>
      <c r="G551" s="1111"/>
      <c r="H551" s="834"/>
      <c r="I551" s="832"/>
      <c r="J551" s="1111"/>
      <c r="K551" s="832"/>
      <c r="L551" s="832"/>
      <c r="M551" s="832"/>
      <c r="N551" s="832"/>
      <c r="O551" s="832"/>
      <c r="P551" s="832"/>
      <c r="Q551" s="832"/>
      <c r="R551" s="832"/>
    </row>
    <row r="552" spans="2:18">
      <c r="B552" s="832"/>
      <c r="C552" s="833"/>
      <c r="D552" s="833"/>
      <c r="E552" s="833"/>
      <c r="F552" s="1111"/>
      <c r="G552" s="1111"/>
      <c r="H552" s="834"/>
      <c r="I552" s="832"/>
      <c r="J552" s="1111"/>
      <c r="K552" s="832"/>
      <c r="L552" s="832"/>
      <c r="M552" s="832"/>
      <c r="N552" s="832"/>
      <c r="O552" s="832"/>
      <c r="P552" s="832"/>
      <c r="Q552" s="832"/>
      <c r="R552" s="832"/>
    </row>
    <row r="553" spans="2:18">
      <c r="B553" s="832"/>
      <c r="C553" s="833"/>
      <c r="D553" s="833"/>
      <c r="E553" s="833"/>
      <c r="F553" s="1111"/>
      <c r="G553" s="1111"/>
      <c r="H553" s="834"/>
      <c r="I553" s="832"/>
      <c r="J553" s="1111"/>
      <c r="K553" s="832"/>
      <c r="L553" s="832"/>
      <c r="M553" s="832"/>
      <c r="N553" s="832"/>
      <c r="O553" s="832"/>
      <c r="P553" s="832"/>
      <c r="Q553" s="832"/>
      <c r="R553" s="832"/>
    </row>
    <row r="554" spans="2:18">
      <c r="B554" s="832"/>
      <c r="C554" s="833"/>
      <c r="D554" s="833"/>
      <c r="E554" s="833"/>
      <c r="F554" s="1111"/>
      <c r="G554" s="1111"/>
      <c r="H554" s="834"/>
      <c r="I554" s="832"/>
      <c r="J554" s="1111"/>
      <c r="K554" s="832"/>
      <c r="L554" s="832"/>
      <c r="M554" s="832"/>
      <c r="N554" s="832"/>
      <c r="O554" s="832"/>
      <c r="P554" s="832"/>
      <c r="Q554" s="832"/>
      <c r="R554" s="832"/>
    </row>
    <row r="555" spans="2:18">
      <c r="B555" s="832"/>
      <c r="C555" s="833"/>
      <c r="D555" s="833"/>
      <c r="E555" s="833"/>
      <c r="F555" s="1111"/>
      <c r="G555" s="1111"/>
      <c r="H555" s="834"/>
      <c r="I555" s="832"/>
      <c r="J555" s="1111"/>
      <c r="K555" s="832"/>
      <c r="L555" s="832"/>
      <c r="M555" s="832"/>
      <c r="N555" s="832"/>
      <c r="O555" s="832"/>
      <c r="P555" s="832"/>
      <c r="Q555" s="832"/>
      <c r="R555" s="832"/>
    </row>
    <row r="556" spans="2:18">
      <c r="B556" s="832"/>
      <c r="C556" s="833"/>
      <c r="D556" s="833"/>
      <c r="E556" s="833"/>
      <c r="F556" s="1111"/>
      <c r="G556" s="1111"/>
      <c r="H556" s="834"/>
      <c r="I556" s="832"/>
      <c r="J556" s="1111"/>
      <c r="K556" s="832"/>
      <c r="L556" s="832"/>
      <c r="M556" s="832"/>
      <c r="N556" s="832"/>
      <c r="O556" s="832"/>
      <c r="P556" s="832"/>
      <c r="Q556" s="832"/>
      <c r="R556" s="832"/>
    </row>
    <row r="557" spans="2:18">
      <c r="B557" s="832"/>
      <c r="C557" s="833"/>
      <c r="D557" s="833"/>
      <c r="E557" s="833"/>
      <c r="F557" s="1111"/>
      <c r="G557" s="1111"/>
      <c r="H557" s="834"/>
      <c r="I557" s="832"/>
      <c r="J557" s="1111"/>
      <c r="K557" s="832"/>
      <c r="L557" s="832"/>
      <c r="M557" s="832"/>
      <c r="N557" s="832"/>
      <c r="O557" s="832"/>
      <c r="P557" s="832"/>
      <c r="Q557" s="832"/>
      <c r="R557" s="832"/>
    </row>
    <row r="558" spans="2:18">
      <c r="B558" s="832"/>
      <c r="C558" s="833"/>
      <c r="D558" s="833"/>
      <c r="E558" s="833"/>
      <c r="F558" s="1111"/>
      <c r="G558" s="1111"/>
      <c r="H558" s="834"/>
      <c r="I558" s="832"/>
      <c r="J558" s="1111"/>
      <c r="K558" s="832"/>
      <c r="L558" s="832"/>
      <c r="M558" s="832"/>
      <c r="N558" s="832"/>
      <c r="O558" s="832"/>
      <c r="P558" s="832"/>
      <c r="Q558" s="832"/>
      <c r="R558" s="832"/>
    </row>
    <row r="559" spans="2:18">
      <c r="B559" s="832"/>
      <c r="C559" s="833"/>
      <c r="D559" s="833"/>
      <c r="E559" s="833"/>
      <c r="F559" s="1111"/>
      <c r="G559" s="1111"/>
      <c r="H559" s="834"/>
      <c r="I559" s="832"/>
      <c r="J559" s="1111"/>
      <c r="K559" s="832"/>
      <c r="L559" s="832"/>
      <c r="M559" s="832"/>
      <c r="N559" s="832"/>
      <c r="O559" s="832"/>
      <c r="P559" s="832"/>
      <c r="Q559" s="832"/>
      <c r="R559" s="832"/>
    </row>
    <row r="560" spans="2:18">
      <c r="B560" s="832"/>
      <c r="C560" s="833"/>
      <c r="D560" s="833"/>
      <c r="E560" s="833"/>
      <c r="F560" s="1111"/>
      <c r="G560" s="1111"/>
      <c r="H560" s="834"/>
      <c r="I560" s="832"/>
      <c r="J560" s="1111"/>
      <c r="K560" s="832"/>
      <c r="L560" s="832"/>
      <c r="M560" s="832"/>
      <c r="N560" s="832"/>
      <c r="O560" s="832"/>
      <c r="P560" s="832"/>
      <c r="Q560" s="832"/>
      <c r="R560" s="832"/>
    </row>
    <row r="561" spans="2:18">
      <c r="B561" s="832"/>
      <c r="C561" s="833"/>
      <c r="D561" s="833"/>
      <c r="E561" s="833"/>
      <c r="F561" s="1111"/>
      <c r="G561" s="1111"/>
      <c r="H561" s="834"/>
      <c r="I561" s="832"/>
      <c r="J561" s="1111"/>
      <c r="K561" s="832"/>
      <c r="L561" s="832"/>
      <c r="M561" s="832"/>
      <c r="N561" s="832"/>
      <c r="O561" s="832"/>
      <c r="P561" s="832"/>
      <c r="Q561" s="832"/>
      <c r="R561" s="832"/>
    </row>
    <row r="562" spans="2:18">
      <c r="B562" s="832"/>
      <c r="C562" s="833"/>
      <c r="D562" s="833"/>
      <c r="E562" s="833"/>
      <c r="F562" s="1111"/>
      <c r="G562" s="1111"/>
      <c r="H562" s="834"/>
      <c r="I562" s="832"/>
      <c r="J562" s="1111"/>
      <c r="K562" s="832"/>
      <c r="L562" s="832"/>
      <c r="M562" s="832"/>
      <c r="N562" s="832"/>
      <c r="O562" s="832"/>
      <c r="P562" s="832"/>
      <c r="Q562" s="832"/>
      <c r="R562" s="832"/>
    </row>
    <row r="563" spans="2:18">
      <c r="B563" s="832"/>
      <c r="C563" s="833"/>
      <c r="D563" s="833"/>
      <c r="E563" s="833"/>
      <c r="F563" s="1111"/>
      <c r="G563" s="1111"/>
      <c r="H563" s="834"/>
      <c r="I563" s="832"/>
      <c r="J563" s="1111"/>
      <c r="K563" s="832"/>
      <c r="L563" s="832"/>
      <c r="M563" s="832"/>
      <c r="N563" s="832"/>
      <c r="O563" s="832"/>
      <c r="P563" s="832"/>
      <c r="Q563" s="832"/>
      <c r="R563" s="832"/>
    </row>
    <row r="564" spans="2:18">
      <c r="B564" s="832"/>
      <c r="C564" s="833"/>
      <c r="D564" s="833"/>
      <c r="E564" s="833"/>
      <c r="F564" s="1111"/>
      <c r="G564" s="1111"/>
      <c r="H564" s="834"/>
      <c r="I564" s="832"/>
      <c r="J564" s="1111"/>
      <c r="K564" s="832"/>
      <c r="L564" s="832"/>
      <c r="M564" s="832"/>
      <c r="N564" s="832"/>
      <c r="O564" s="832"/>
      <c r="P564" s="832"/>
      <c r="Q564" s="832"/>
      <c r="R564" s="832"/>
    </row>
    <row r="565" spans="2:18">
      <c r="B565" s="832"/>
      <c r="C565" s="833"/>
      <c r="D565" s="833"/>
      <c r="E565" s="833"/>
      <c r="F565" s="1111"/>
      <c r="G565" s="1111"/>
      <c r="H565" s="834"/>
      <c r="I565" s="832"/>
      <c r="J565" s="1111"/>
      <c r="K565" s="832"/>
      <c r="L565" s="832"/>
      <c r="M565" s="832"/>
      <c r="N565" s="832"/>
      <c r="O565" s="832"/>
      <c r="P565" s="832"/>
      <c r="Q565" s="832"/>
      <c r="R565" s="832"/>
    </row>
    <row r="566" spans="2:18">
      <c r="B566" s="832"/>
      <c r="C566" s="833"/>
      <c r="D566" s="833"/>
      <c r="E566" s="833"/>
      <c r="F566" s="1111"/>
      <c r="G566" s="1111"/>
      <c r="H566" s="834"/>
      <c r="I566" s="832"/>
      <c r="J566" s="1111"/>
      <c r="K566" s="832"/>
      <c r="L566" s="832"/>
      <c r="M566" s="832"/>
      <c r="N566" s="832"/>
      <c r="O566" s="832"/>
      <c r="P566" s="832"/>
      <c r="Q566" s="832"/>
      <c r="R566" s="832"/>
    </row>
    <row r="567" spans="2:18">
      <c r="B567" s="832"/>
      <c r="C567" s="833"/>
      <c r="D567" s="833"/>
      <c r="E567" s="833"/>
      <c r="F567" s="1111"/>
      <c r="G567" s="1111"/>
      <c r="H567" s="834"/>
      <c r="I567" s="832"/>
      <c r="J567" s="1111"/>
      <c r="K567" s="832"/>
      <c r="L567" s="832"/>
      <c r="M567" s="832"/>
      <c r="N567" s="832"/>
      <c r="O567" s="832"/>
      <c r="P567" s="832"/>
      <c r="Q567" s="832"/>
      <c r="R567" s="832"/>
    </row>
    <row r="568" spans="2:18">
      <c r="B568" s="832"/>
      <c r="C568" s="833"/>
      <c r="D568" s="833"/>
      <c r="E568" s="833"/>
      <c r="F568" s="1111"/>
      <c r="G568" s="1111"/>
      <c r="H568" s="834"/>
      <c r="I568" s="832"/>
      <c r="J568" s="1111"/>
      <c r="K568" s="832"/>
      <c r="L568" s="832"/>
      <c r="M568" s="832"/>
      <c r="N568" s="832"/>
      <c r="O568" s="832"/>
      <c r="P568" s="832"/>
      <c r="Q568" s="832"/>
      <c r="R568" s="832"/>
    </row>
    <row r="569" spans="2:18">
      <c r="B569" s="832"/>
      <c r="C569" s="833"/>
      <c r="D569" s="833"/>
      <c r="E569" s="833"/>
      <c r="F569" s="1111"/>
      <c r="G569" s="1111"/>
      <c r="H569" s="834"/>
      <c r="I569" s="832"/>
      <c r="J569" s="1111"/>
      <c r="K569" s="832"/>
      <c r="L569" s="832"/>
      <c r="M569" s="832"/>
      <c r="N569" s="832"/>
      <c r="O569" s="832"/>
      <c r="P569" s="832"/>
      <c r="Q569" s="832"/>
      <c r="R569" s="832"/>
    </row>
    <row r="570" spans="2:18">
      <c r="B570" s="832"/>
      <c r="C570" s="833"/>
      <c r="D570" s="833"/>
      <c r="E570" s="833"/>
      <c r="F570" s="1111"/>
      <c r="G570" s="1111"/>
      <c r="H570" s="834"/>
      <c r="I570" s="832"/>
      <c r="J570" s="1111"/>
      <c r="K570" s="832"/>
      <c r="L570" s="832"/>
      <c r="M570" s="832"/>
      <c r="N570" s="832"/>
      <c r="O570" s="832"/>
      <c r="P570" s="832"/>
      <c r="Q570" s="832"/>
      <c r="R570" s="832"/>
    </row>
    <row r="571" spans="2:18">
      <c r="B571" s="832"/>
      <c r="C571" s="833"/>
      <c r="D571" s="833"/>
      <c r="E571" s="833"/>
      <c r="F571" s="1111"/>
      <c r="G571" s="1111"/>
      <c r="H571" s="834"/>
      <c r="I571" s="832"/>
      <c r="J571" s="1111"/>
      <c r="K571" s="832"/>
      <c r="L571" s="832"/>
      <c r="M571" s="832"/>
      <c r="N571" s="832"/>
      <c r="O571" s="832"/>
      <c r="P571" s="832"/>
      <c r="Q571" s="832"/>
      <c r="R571" s="832"/>
    </row>
    <row r="572" spans="2:18">
      <c r="B572" s="832"/>
      <c r="C572" s="833"/>
      <c r="D572" s="833"/>
      <c r="E572" s="833"/>
      <c r="F572" s="1111"/>
      <c r="G572" s="1111"/>
      <c r="H572" s="834"/>
      <c r="I572" s="832"/>
      <c r="J572" s="1111"/>
      <c r="K572" s="832"/>
      <c r="L572" s="832"/>
      <c r="M572" s="832"/>
      <c r="N572" s="832"/>
      <c r="O572" s="832"/>
      <c r="P572" s="832"/>
      <c r="Q572" s="832"/>
      <c r="R572" s="832"/>
    </row>
    <row r="573" spans="2:18">
      <c r="B573" s="832"/>
      <c r="C573" s="833"/>
      <c r="D573" s="833"/>
      <c r="E573" s="833"/>
      <c r="F573" s="1111"/>
      <c r="G573" s="1111"/>
      <c r="H573" s="834"/>
      <c r="I573" s="832"/>
      <c r="J573" s="1111"/>
      <c r="K573" s="832"/>
      <c r="L573" s="832"/>
      <c r="M573" s="832"/>
      <c r="N573" s="832"/>
      <c r="O573" s="832"/>
      <c r="P573" s="832"/>
      <c r="Q573" s="832"/>
      <c r="R573" s="832"/>
    </row>
    <row r="574" spans="2:18">
      <c r="B574" s="832"/>
      <c r="C574" s="833"/>
      <c r="D574" s="833"/>
      <c r="E574" s="833"/>
      <c r="F574" s="1111"/>
      <c r="G574" s="1111"/>
      <c r="H574" s="834"/>
      <c r="I574" s="832"/>
      <c r="J574" s="1111"/>
      <c r="K574" s="832"/>
      <c r="L574" s="832"/>
      <c r="M574" s="832"/>
      <c r="N574" s="832"/>
      <c r="O574" s="832"/>
      <c r="P574" s="832"/>
      <c r="Q574" s="832"/>
      <c r="R574" s="832"/>
    </row>
    <row r="575" spans="2:18">
      <c r="B575" s="832"/>
      <c r="C575" s="833"/>
      <c r="D575" s="833"/>
      <c r="E575" s="833"/>
      <c r="F575" s="1111"/>
      <c r="G575" s="1111"/>
      <c r="H575" s="834"/>
      <c r="I575" s="832"/>
      <c r="J575" s="1111"/>
      <c r="K575" s="832"/>
      <c r="L575" s="832"/>
      <c r="M575" s="832"/>
      <c r="N575" s="832"/>
      <c r="O575" s="832"/>
      <c r="P575" s="832"/>
      <c r="Q575" s="832"/>
      <c r="R575" s="832"/>
    </row>
    <row r="576" spans="2:18">
      <c r="B576" s="832"/>
      <c r="C576" s="833"/>
      <c r="D576" s="833"/>
      <c r="E576" s="833"/>
      <c r="F576" s="1111"/>
      <c r="G576" s="1111"/>
      <c r="H576" s="834"/>
      <c r="I576" s="832"/>
      <c r="J576" s="1111"/>
      <c r="K576" s="832"/>
      <c r="L576" s="832"/>
      <c r="M576" s="832"/>
      <c r="N576" s="832"/>
      <c r="O576" s="832"/>
      <c r="P576" s="832"/>
      <c r="Q576" s="832"/>
      <c r="R576" s="832"/>
    </row>
    <row r="577" spans="2:18">
      <c r="B577" s="832"/>
      <c r="C577" s="833"/>
      <c r="D577" s="833"/>
      <c r="E577" s="833"/>
      <c r="F577" s="1111"/>
      <c r="G577" s="1111"/>
      <c r="H577" s="834"/>
      <c r="I577" s="832"/>
      <c r="J577" s="1111"/>
      <c r="K577" s="832"/>
      <c r="L577" s="832"/>
      <c r="M577" s="832"/>
      <c r="N577" s="832"/>
      <c r="O577" s="832"/>
      <c r="P577" s="832"/>
      <c r="Q577" s="832"/>
      <c r="R577" s="832"/>
    </row>
    <row r="578" spans="2:18">
      <c r="B578" s="832"/>
      <c r="C578" s="833"/>
      <c r="D578" s="833"/>
      <c r="E578" s="833"/>
      <c r="F578" s="1111"/>
      <c r="G578" s="1111"/>
      <c r="H578" s="834"/>
      <c r="I578" s="832"/>
      <c r="J578" s="1111"/>
      <c r="K578" s="832"/>
      <c r="L578" s="832"/>
      <c r="M578" s="832"/>
      <c r="N578" s="832"/>
      <c r="O578" s="832"/>
      <c r="P578" s="832"/>
      <c r="Q578" s="832"/>
      <c r="R578" s="832"/>
    </row>
    <row r="579" spans="2:18">
      <c r="B579" s="832"/>
      <c r="C579" s="833"/>
      <c r="D579" s="833"/>
      <c r="E579" s="833"/>
      <c r="F579" s="1111"/>
      <c r="G579" s="1111"/>
      <c r="H579" s="834"/>
      <c r="I579" s="832"/>
      <c r="J579" s="1111"/>
      <c r="K579" s="832"/>
      <c r="L579" s="832"/>
      <c r="M579" s="832"/>
      <c r="N579" s="832"/>
      <c r="O579" s="832"/>
      <c r="P579" s="832"/>
      <c r="Q579" s="832"/>
      <c r="R579" s="832"/>
    </row>
    <row r="580" spans="2:18">
      <c r="B580" s="832"/>
      <c r="C580" s="833"/>
      <c r="D580" s="833"/>
      <c r="E580" s="833"/>
      <c r="F580" s="1111"/>
      <c r="G580" s="1111"/>
      <c r="H580" s="834"/>
      <c r="I580" s="832"/>
      <c r="J580" s="1111"/>
      <c r="K580" s="832"/>
      <c r="L580" s="832"/>
      <c r="M580" s="832"/>
      <c r="N580" s="832"/>
      <c r="O580" s="832"/>
      <c r="P580" s="832"/>
      <c r="Q580" s="832"/>
      <c r="R580" s="832"/>
    </row>
    <row r="581" spans="2:18">
      <c r="B581" s="832"/>
      <c r="C581" s="833"/>
      <c r="D581" s="833"/>
      <c r="E581" s="833"/>
      <c r="F581" s="1111"/>
      <c r="G581" s="1111"/>
      <c r="H581" s="834"/>
      <c r="I581" s="832"/>
      <c r="J581" s="1111"/>
      <c r="K581" s="832"/>
      <c r="L581" s="832"/>
      <c r="M581" s="832"/>
      <c r="N581" s="832"/>
      <c r="O581" s="832"/>
      <c r="P581" s="832"/>
      <c r="Q581" s="832"/>
      <c r="R581" s="832"/>
    </row>
    <row r="582" spans="2:18">
      <c r="B582" s="832"/>
      <c r="C582" s="833"/>
      <c r="D582" s="833"/>
      <c r="E582" s="833"/>
      <c r="F582" s="1111"/>
      <c r="G582" s="1111"/>
      <c r="H582" s="834"/>
      <c r="I582" s="832"/>
      <c r="J582" s="1111"/>
      <c r="K582" s="832"/>
      <c r="L582" s="832"/>
      <c r="M582" s="832"/>
      <c r="N582" s="832"/>
      <c r="O582" s="832"/>
      <c r="P582" s="832"/>
      <c r="Q582" s="832"/>
      <c r="R582" s="832"/>
    </row>
    <row r="583" spans="2:18">
      <c r="B583" s="832"/>
      <c r="C583" s="833"/>
      <c r="D583" s="833"/>
      <c r="E583" s="833"/>
      <c r="F583" s="1111"/>
      <c r="G583" s="1111"/>
      <c r="H583" s="834"/>
      <c r="I583" s="832"/>
      <c r="J583" s="1111"/>
      <c r="K583" s="832"/>
      <c r="L583" s="832"/>
      <c r="M583" s="832"/>
      <c r="N583" s="832"/>
      <c r="O583" s="832"/>
      <c r="P583" s="832"/>
      <c r="Q583" s="832"/>
      <c r="R583" s="832"/>
    </row>
    <row r="584" spans="2:18">
      <c r="B584" s="832"/>
      <c r="C584" s="833"/>
      <c r="D584" s="833"/>
      <c r="E584" s="833"/>
      <c r="F584" s="1111"/>
      <c r="G584" s="1111"/>
      <c r="H584" s="834"/>
      <c r="I584" s="832"/>
      <c r="J584" s="1111"/>
      <c r="K584" s="832"/>
      <c r="L584" s="832"/>
      <c r="M584" s="832"/>
      <c r="N584" s="832"/>
      <c r="O584" s="832"/>
      <c r="P584" s="832"/>
      <c r="Q584" s="832"/>
      <c r="R584" s="832"/>
    </row>
    <row r="585" spans="2:18">
      <c r="B585" s="832"/>
      <c r="C585" s="833"/>
      <c r="D585" s="833"/>
      <c r="E585" s="833"/>
      <c r="F585" s="1111"/>
      <c r="G585" s="1111"/>
      <c r="H585" s="834"/>
      <c r="I585" s="832"/>
      <c r="J585" s="1111"/>
      <c r="K585" s="832"/>
      <c r="L585" s="832"/>
      <c r="M585" s="832"/>
      <c r="N585" s="832"/>
      <c r="O585" s="832"/>
      <c r="P585" s="832"/>
      <c r="Q585" s="832"/>
      <c r="R585" s="832"/>
    </row>
    <row r="586" spans="2:18">
      <c r="B586" s="832"/>
      <c r="C586" s="833"/>
      <c r="D586" s="833"/>
      <c r="E586" s="833"/>
      <c r="F586" s="1111"/>
      <c r="G586" s="1111"/>
      <c r="H586" s="834"/>
      <c r="I586" s="832"/>
      <c r="J586" s="1111"/>
      <c r="K586" s="832"/>
      <c r="L586" s="832"/>
      <c r="M586" s="832"/>
      <c r="N586" s="832"/>
      <c r="O586" s="832"/>
      <c r="P586" s="832"/>
      <c r="Q586" s="832"/>
      <c r="R586" s="832"/>
    </row>
    <row r="587" spans="2:18">
      <c r="B587" s="832"/>
      <c r="C587" s="833"/>
      <c r="D587" s="833"/>
      <c r="E587" s="833"/>
      <c r="F587" s="1111"/>
      <c r="G587" s="1111"/>
      <c r="H587" s="834"/>
      <c r="I587" s="832"/>
      <c r="J587" s="1111"/>
      <c r="K587" s="832"/>
      <c r="L587" s="832"/>
      <c r="M587" s="832"/>
      <c r="N587" s="832"/>
      <c r="O587" s="832"/>
      <c r="P587" s="832"/>
      <c r="Q587" s="832"/>
      <c r="R587" s="832"/>
    </row>
    <row r="588" spans="2:18">
      <c r="B588" s="832"/>
      <c r="C588" s="833"/>
      <c r="D588" s="833"/>
      <c r="E588" s="833"/>
      <c r="F588" s="1111"/>
      <c r="G588" s="1111"/>
      <c r="H588" s="834"/>
      <c r="I588" s="832"/>
      <c r="J588" s="1111"/>
      <c r="K588" s="832"/>
      <c r="L588" s="832"/>
      <c r="M588" s="832"/>
      <c r="N588" s="832"/>
      <c r="O588" s="832"/>
      <c r="P588" s="832"/>
      <c r="Q588" s="832"/>
      <c r="R588" s="832"/>
    </row>
    <row r="589" spans="2:18">
      <c r="B589" s="832"/>
      <c r="C589" s="833"/>
      <c r="D589" s="833"/>
      <c r="E589" s="833"/>
      <c r="F589" s="1111"/>
      <c r="G589" s="1111"/>
      <c r="H589" s="834"/>
      <c r="I589" s="832"/>
      <c r="J589" s="1111"/>
      <c r="K589" s="832"/>
      <c r="L589" s="832"/>
      <c r="M589" s="832"/>
      <c r="N589" s="832"/>
      <c r="O589" s="832"/>
      <c r="P589" s="832"/>
      <c r="Q589" s="832"/>
      <c r="R589" s="832"/>
    </row>
    <row r="590" spans="2:18">
      <c r="B590" s="832"/>
      <c r="C590" s="833"/>
      <c r="D590" s="833"/>
      <c r="E590" s="833"/>
      <c r="F590" s="1111"/>
      <c r="G590" s="1111"/>
      <c r="H590" s="834"/>
      <c r="I590" s="832"/>
      <c r="J590" s="1111"/>
      <c r="K590" s="832"/>
      <c r="L590" s="832"/>
      <c r="M590" s="832"/>
      <c r="N590" s="832"/>
      <c r="O590" s="832"/>
      <c r="P590" s="832"/>
      <c r="Q590" s="832"/>
      <c r="R590" s="832"/>
    </row>
    <row r="591" spans="2:18">
      <c r="B591" s="832"/>
      <c r="C591" s="833"/>
      <c r="D591" s="833"/>
      <c r="E591" s="833"/>
      <c r="F591" s="1111"/>
      <c r="G591" s="1111"/>
      <c r="H591" s="834"/>
      <c r="I591" s="832"/>
      <c r="J591" s="1111"/>
      <c r="K591" s="832"/>
      <c r="L591" s="832"/>
      <c r="M591" s="832"/>
      <c r="N591" s="832"/>
      <c r="O591" s="832"/>
      <c r="P591" s="832"/>
      <c r="Q591" s="832"/>
      <c r="R591" s="832"/>
    </row>
    <row r="592" spans="2:18">
      <c r="B592" s="832"/>
      <c r="C592" s="833"/>
      <c r="D592" s="833"/>
      <c r="E592" s="833"/>
      <c r="F592" s="1111"/>
      <c r="G592" s="1111"/>
      <c r="H592" s="834"/>
      <c r="I592" s="832"/>
      <c r="J592" s="1111"/>
      <c r="K592" s="832"/>
      <c r="L592" s="832"/>
      <c r="M592" s="832"/>
      <c r="N592" s="832"/>
      <c r="O592" s="832"/>
      <c r="P592" s="832"/>
      <c r="Q592" s="832"/>
      <c r="R592" s="832"/>
    </row>
    <row r="593" spans="2:18">
      <c r="B593" s="832"/>
      <c r="C593" s="833"/>
      <c r="D593" s="833"/>
      <c r="E593" s="833"/>
      <c r="F593" s="1111"/>
      <c r="G593" s="1111"/>
      <c r="H593" s="834"/>
      <c r="I593" s="832"/>
      <c r="J593" s="1111"/>
      <c r="K593" s="832"/>
      <c r="L593" s="832"/>
      <c r="M593" s="832"/>
      <c r="N593" s="832"/>
      <c r="O593" s="832"/>
      <c r="P593" s="832"/>
      <c r="Q593" s="832"/>
      <c r="R593" s="832"/>
    </row>
    <row r="594" spans="2:18">
      <c r="B594" s="832"/>
      <c r="C594" s="833"/>
      <c r="D594" s="833"/>
      <c r="E594" s="833"/>
      <c r="F594" s="1111"/>
      <c r="G594" s="1111"/>
      <c r="H594" s="834"/>
      <c r="I594" s="832"/>
      <c r="J594" s="1111"/>
      <c r="K594" s="832"/>
      <c r="L594" s="832"/>
      <c r="M594" s="832"/>
      <c r="N594" s="832"/>
      <c r="O594" s="832"/>
      <c r="P594" s="832"/>
      <c r="Q594" s="832"/>
      <c r="R594" s="832"/>
    </row>
    <row r="595" spans="2:18">
      <c r="B595" s="832"/>
      <c r="C595" s="833"/>
      <c r="D595" s="833"/>
      <c r="E595" s="833"/>
      <c r="F595" s="1111"/>
      <c r="G595" s="1111"/>
      <c r="H595" s="834"/>
      <c r="I595" s="832"/>
      <c r="J595" s="1111"/>
      <c r="K595" s="832"/>
      <c r="L595" s="832"/>
      <c r="M595" s="832"/>
      <c r="N595" s="832"/>
      <c r="O595" s="832"/>
      <c r="P595" s="832"/>
      <c r="Q595" s="832"/>
      <c r="R595" s="832"/>
    </row>
    <row r="596" spans="2:18">
      <c r="B596" s="832"/>
      <c r="C596" s="833"/>
      <c r="D596" s="833"/>
      <c r="E596" s="833"/>
      <c r="F596" s="1111"/>
      <c r="G596" s="1111"/>
      <c r="H596" s="834"/>
      <c r="I596" s="832"/>
      <c r="J596" s="1111"/>
      <c r="K596" s="832"/>
      <c r="L596" s="832"/>
      <c r="M596" s="832"/>
      <c r="N596" s="832"/>
      <c r="O596" s="832"/>
      <c r="P596" s="832"/>
      <c r="Q596" s="832"/>
      <c r="R596" s="832"/>
    </row>
    <row r="597" spans="2:18">
      <c r="B597" s="832"/>
      <c r="C597" s="833"/>
      <c r="D597" s="833"/>
      <c r="E597" s="833"/>
      <c r="F597" s="1111"/>
      <c r="G597" s="1111"/>
      <c r="H597" s="834"/>
      <c r="I597" s="832"/>
      <c r="J597" s="1111"/>
      <c r="K597" s="832"/>
      <c r="L597" s="832"/>
      <c r="M597" s="832"/>
      <c r="N597" s="832"/>
      <c r="O597" s="832"/>
      <c r="P597" s="832"/>
      <c r="Q597" s="832"/>
      <c r="R597" s="832"/>
    </row>
    <row r="598" spans="2:18">
      <c r="B598" s="832"/>
      <c r="C598" s="833"/>
      <c r="D598" s="833"/>
      <c r="E598" s="833"/>
      <c r="F598" s="1111"/>
      <c r="G598" s="1111"/>
      <c r="H598" s="834"/>
      <c r="I598" s="832"/>
      <c r="J598" s="1111"/>
      <c r="K598" s="832"/>
      <c r="L598" s="832"/>
      <c r="M598" s="832"/>
      <c r="N598" s="832"/>
      <c r="O598" s="832"/>
      <c r="P598" s="832"/>
      <c r="Q598" s="832"/>
      <c r="R598" s="832"/>
    </row>
    <row r="599" spans="2:18">
      <c r="B599" s="832"/>
      <c r="C599" s="833"/>
      <c r="D599" s="833"/>
      <c r="E599" s="833"/>
      <c r="F599" s="1111"/>
      <c r="G599" s="1111"/>
      <c r="H599" s="834"/>
      <c r="I599" s="832"/>
      <c r="J599" s="1111"/>
      <c r="K599" s="832"/>
      <c r="L599" s="832"/>
      <c r="M599" s="832"/>
      <c r="N599" s="832"/>
      <c r="O599" s="832"/>
      <c r="P599" s="832"/>
      <c r="Q599" s="832"/>
      <c r="R599" s="832"/>
    </row>
    <row r="600" spans="2:18">
      <c r="B600" s="832"/>
      <c r="C600" s="833"/>
      <c r="D600" s="833"/>
      <c r="E600" s="833"/>
      <c r="F600" s="1111"/>
      <c r="G600" s="1111"/>
      <c r="H600" s="834"/>
      <c r="I600" s="832"/>
      <c r="J600" s="1111"/>
      <c r="K600" s="832"/>
      <c r="L600" s="832"/>
      <c r="M600" s="832"/>
      <c r="N600" s="832"/>
      <c r="O600" s="832"/>
      <c r="P600" s="832"/>
      <c r="Q600" s="832"/>
      <c r="R600" s="832"/>
    </row>
    <row r="601" spans="2:18">
      <c r="B601" s="832"/>
      <c r="C601" s="833"/>
      <c r="D601" s="833"/>
      <c r="E601" s="833"/>
      <c r="F601" s="1111"/>
      <c r="G601" s="1111"/>
      <c r="H601" s="834"/>
      <c r="I601" s="832"/>
      <c r="J601" s="1111"/>
      <c r="K601" s="832"/>
      <c r="L601" s="832"/>
      <c r="M601" s="832"/>
      <c r="N601" s="832"/>
      <c r="O601" s="832"/>
      <c r="P601" s="832"/>
      <c r="Q601" s="832"/>
      <c r="R601" s="832"/>
    </row>
    <row r="602" spans="2:18">
      <c r="B602" s="832"/>
      <c r="C602" s="833"/>
      <c r="D602" s="833"/>
      <c r="E602" s="833"/>
      <c r="F602" s="1111"/>
      <c r="G602" s="1111"/>
      <c r="H602" s="834"/>
      <c r="I602" s="832"/>
      <c r="J602" s="1111"/>
      <c r="K602" s="832"/>
      <c r="L602" s="832"/>
      <c r="M602" s="832"/>
      <c r="N602" s="832"/>
      <c r="O602" s="832"/>
      <c r="P602" s="832"/>
      <c r="Q602" s="832"/>
      <c r="R602" s="832"/>
    </row>
    <row r="603" spans="2:18">
      <c r="B603" s="832"/>
      <c r="C603" s="833"/>
      <c r="D603" s="833"/>
      <c r="E603" s="833"/>
      <c r="F603" s="1111"/>
      <c r="G603" s="1111"/>
      <c r="H603" s="834"/>
      <c r="I603" s="832"/>
      <c r="J603" s="1111"/>
      <c r="K603" s="832"/>
      <c r="L603" s="832"/>
      <c r="M603" s="832"/>
      <c r="N603" s="832"/>
      <c r="O603" s="832"/>
      <c r="P603" s="832"/>
      <c r="Q603" s="832"/>
      <c r="R603" s="832"/>
    </row>
    <row r="604" spans="2:18">
      <c r="B604" s="832"/>
      <c r="C604" s="833"/>
      <c r="D604" s="833"/>
      <c r="E604" s="833"/>
      <c r="F604" s="1111"/>
      <c r="G604" s="1111"/>
      <c r="H604" s="834"/>
      <c r="I604" s="832"/>
      <c r="J604" s="1111"/>
      <c r="K604" s="832"/>
      <c r="L604" s="832"/>
      <c r="M604" s="832"/>
      <c r="N604" s="832"/>
      <c r="O604" s="832"/>
      <c r="P604" s="832"/>
      <c r="Q604" s="832"/>
      <c r="R604" s="832"/>
    </row>
    <row r="605" spans="2:18">
      <c r="B605" s="832"/>
      <c r="C605" s="833"/>
      <c r="D605" s="833"/>
      <c r="E605" s="833"/>
      <c r="F605" s="1111"/>
      <c r="G605" s="1111"/>
      <c r="H605" s="834"/>
      <c r="I605" s="832"/>
      <c r="J605" s="1111"/>
      <c r="K605" s="832"/>
      <c r="L605" s="832"/>
      <c r="M605" s="832"/>
      <c r="N605" s="832"/>
      <c r="O605" s="832"/>
      <c r="P605" s="832"/>
      <c r="Q605" s="832"/>
      <c r="R605" s="832"/>
    </row>
    <row r="606" spans="2:18">
      <c r="B606" s="832"/>
      <c r="C606" s="833"/>
      <c r="D606" s="833"/>
      <c r="E606" s="833"/>
      <c r="F606" s="1111"/>
      <c r="G606" s="1111"/>
      <c r="H606" s="834"/>
      <c r="I606" s="832"/>
      <c r="J606" s="1111"/>
      <c r="K606" s="832"/>
      <c r="L606" s="832"/>
      <c r="M606" s="832"/>
      <c r="N606" s="832"/>
      <c r="O606" s="832"/>
      <c r="P606" s="832"/>
      <c r="Q606" s="832"/>
      <c r="R606" s="832"/>
    </row>
    <row r="607" spans="2:18">
      <c r="B607" s="832"/>
      <c r="C607" s="833"/>
      <c r="D607" s="833"/>
      <c r="E607" s="833"/>
      <c r="F607" s="1111"/>
      <c r="G607" s="1111"/>
      <c r="H607" s="834"/>
      <c r="I607" s="832"/>
      <c r="J607" s="1111"/>
      <c r="K607" s="832"/>
      <c r="L607" s="832"/>
      <c r="M607" s="832"/>
      <c r="N607" s="832"/>
      <c r="O607" s="832"/>
      <c r="P607" s="832"/>
      <c r="Q607" s="832"/>
      <c r="R607" s="832"/>
    </row>
    <row r="608" spans="2:18">
      <c r="B608" s="832"/>
      <c r="C608" s="833"/>
      <c r="D608" s="833"/>
      <c r="E608" s="833"/>
      <c r="F608" s="1111"/>
      <c r="G608" s="1111"/>
      <c r="H608" s="834"/>
      <c r="I608" s="832"/>
      <c r="J608" s="1111"/>
      <c r="K608" s="832"/>
      <c r="L608" s="832"/>
      <c r="M608" s="832"/>
      <c r="N608" s="832"/>
      <c r="O608" s="832"/>
      <c r="P608" s="832"/>
      <c r="Q608" s="832"/>
      <c r="R608" s="832"/>
    </row>
    <row r="609" spans="2:18">
      <c r="B609" s="832"/>
      <c r="C609" s="833"/>
      <c r="D609" s="833"/>
      <c r="E609" s="833"/>
      <c r="F609" s="1111"/>
      <c r="G609" s="1111"/>
      <c r="H609" s="834"/>
      <c r="I609" s="832"/>
      <c r="J609" s="1111"/>
      <c r="K609" s="832"/>
      <c r="L609" s="832"/>
      <c r="M609" s="832"/>
      <c r="N609" s="832"/>
      <c r="O609" s="832"/>
      <c r="P609" s="832"/>
      <c r="Q609" s="832"/>
      <c r="R609" s="832"/>
    </row>
    <row r="610" spans="2:18">
      <c r="B610" s="832"/>
      <c r="C610" s="833"/>
      <c r="D610" s="833"/>
      <c r="E610" s="833"/>
      <c r="F610" s="1111"/>
      <c r="G610" s="1111"/>
      <c r="H610" s="834"/>
      <c r="I610" s="832"/>
      <c r="J610" s="1111"/>
      <c r="K610" s="832"/>
      <c r="L610" s="832"/>
      <c r="M610" s="832"/>
      <c r="N610" s="832"/>
      <c r="O610" s="832"/>
      <c r="P610" s="832"/>
      <c r="Q610" s="832"/>
      <c r="R610" s="832"/>
    </row>
    <row r="611" spans="2:18">
      <c r="B611" s="832"/>
      <c r="C611" s="833"/>
      <c r="D611" s="833"/>
      <c r="E611" s="833"/>
      <c r="F611" s="1111"/>
      <c r="G611" s="1111"/>
      <c r="H611" s="834"/>
      <c r="I611" s="832"/>
      <c r="J611" s="1111"/>
      <c r="K611" s="832"/>
      <c r="L611" s="832"/>
      <c r="M611" s="832"/>
      <c r="N611" s="832"/>
      <c r="O611" s="832"/>
      <c r="P611" s="832"/>
      <c r="Q611" s="832"/>
      <c r="R611" s="832"/>
    </row>
    <row r="612" spans="2:18">
      <c r="B612" s="832"/>
      <c r="C612" s="833"/>
      <c r="D612" s="833"/>
      <c r="E612" s="833"/>
      <c r="F612" s="1111"/>
      <c r="G612" s="1111"/>
      <c r="H612" s="834"/>
      <c r="I612" s="832"/>
      <c r="J612" s="1111"/>
      <c r="K612" s="832"/>
      <c r="L612" s="832"/>
      <c r="M612" s="832"/>
      <c r="N612" s="832"/>
      <c r="O612" s="832"/>
      <c r="P612" s="832"/>
      <c r="Q612" s="832"/>
      <c r="R612" s="832"/>
    </row>
    <row r="613" spans="2:18">
      <c r="B613" s="832"/>
      <c r="C613" s="833"/>
      <c r="D613" s="833"/>
      <c r="E613" s="833"/>
      <c r="F613" s="1111"/>
      <c r="G613" s="1111"/>
      <c r="H613" s="834"/>
      <c r="I613" s="832"/>
      <c r="J613" s="1111"/>
      <c r="K613" s="832"/>
      <c r="L613" s="832"/>
      <c r="M613" s="832"/>
      <c r="N613" s="832"/>
      <c r="O613" s="832"/>
      <c r="P613" s="832"/>
      <c r="Q613" s="832"/>
      <c r="R613" s="832"/>
    </row>
    <row r="614" spans="2:18">
      <c r="B614" s="832"/>
      <c r="C614" s="833"/>
      <c r="D614" s="833"/>
      <c r="E614" s="833"/>
      <c r="F614" s="1111"/>
      <c r="G614" s="1111"/>
      <c r="H614" s="834"/>
      <c r="I614" s="832"/>
      <c r="J614" s="1111"/>
      <c r="K614" s="832"/>
      <c r="L614" s="832"/>
      <c r="M614" s="832"/>
      <c r="N614" s="832"/>
      <c r="O614" s="832"/>
      <c r="P614" s="832"/>
      <c r="Q614" s="832"/>
      <c r="R614" s="832"/>
    </row>
    <row r="615" spans="2:18">
      <c r="B615" s="832"/>
      <c r="C615" s="833"/>
      <c r="D615" s="833"/>
      <c r="E615" s="833"/>
      <c r="F615" s="1111"/>
      <c r="G615" s="1111"/>
      <c r="H615" s="834"/>
      <c r="I615" s="832"/>
      <c r="J615" s="1111"/>
      <c r="K615" s="832"/>
      <c r="L615" s="832"/>
      <c r="M615" s="832"/>
      <c r="N615" s="832"/>
      <c r="O615" s="832"/>
      <c r="P615" s="832"/>
      <c r="Q615" s="832"/>
      <c r="R615" s="832"/>
    </row>
    <row r="616" spans="2:18">
      <c r="B616" s="832"/>
      <c r="C616" s="833"/>
      <c r="D616" s="833"/>
      <c r="E616" s="833"/>
      <c r="F616" s="1111"/>
      <c r="G616" s="1111"/>
      <c r="H616" s="834"/>
      <c r="I616" s="832"/>
      <c r="J616" s="1111"/>
      <c r="K616" s="832"/>
      <c r="L616" s="832"/>
      <c r="M616" s="832"/>
      <c r="N616" s="832"/>
      <c r="O616" s="832"/>
      <c r="P616" s="832"/>
      <c r="Q616" s="832"/>
      <c r="R616" s="832"/>
    </row>
    <row r="617" spans="2:18">
      <c r="B617" s="832"/>
      <c r="C617" s="833"/>
      <c r="D617" s="833"/>
      <c r="E617" s="833"/>
      <c r="F617" s="1111"/>
      <c r="G617" s="1111"/>
      <c r="H617" s="834"/>
      <c r="I617" s="832"/>
      <c r="J617" s="1111"/>
      <c r="K617" s="832"/>
      <c r="L617" s="832"/>
      <c r="M617" s="832"/>
      <c r="N617" s="832"/>
      <c r="O617" s="832"/>
      <c r="P617" s="832"/>
      <c r="Q617" s="832"/>
      <c r="R617" s="832"/>
    </row>
    <row r="618" spans="2:18">
      <c r="B618" s="832"/>
      <c r="C618" s="833"/>
      <c r="D618" s="833"/>
      <c r="E618" s="833"/>
      <c r="F618" s="1111"/>
      <c r="G618" s="1111"/>
      <c r="H618" s="834"/>
      <c r="I618" s="832"/>
      <c r="J618" s="1111"/>
      <c r="K618" s="832"/>
      <c r="L618" s="832"/>
      <c r="M618" s="832"/>
      <c r="N618" s="832"/>
      <c r="O618" s="832"/>
      <c r="P618" s="832"/>
      <c r="Q618" s="832"/>
      <c r="R618" s="832"/>
    </row>
    <row r="619" spans="2:18">
      <c r="B619" s="832"/>
      <c r="C619" s="833"/>
      <c r="D619" s="833"/>
      <c r="E619" s="833"/>
      <c r="F619" s="1111"/>
      <c r="G619" s="1111"/>
      <c r="H619" s="834"/>
      <c r="I619" s="832"/>
      <c r="J619" s="1111"/>
      <c r="K619" s="832"/>
      <c r="L619" s="832"/>
      <c r="M619" s="832"/>
      <c r="N619" s="832"/>
      <c r="O619" s="832"/>
      <c r="P619" s="832"/>
      <c r="Q619" s="832"/>
      <c r="R619" s="832"/>
    </row>
    <row r="620" spans="2:18">
      <c r="B620" s="832"/>
      <c r="C620" s="833"/>
      <c r="D620" s="833"/>
      <c r="E620" s="833"/>
      <c r="F620" s="1111"/>
      <c r="G620" s="1111"/>
      <c r="H620" s="834"/>
      <c r="I620" s="832"/>
      <c r="J620" s="1111"/>
      <c r="K620" s="832"/>
      <c r="L620" s="832"/>
      <c r="M620" s="832"/>
      <c r="N620" s="832"/>
      <c r="O620" s="832"/>
      <c r="P620" s="832"/>
      <c r="Q620" s="832"/>
      <c r="R620" s="832"/>
    </row>
    <row r="621" spans="2:18">
      <c r="B621" s="832"/>
      <c r="C621" s="833"/>
      <c r="D621" s="833"/>
      <c r="E621" s="833"/>
      <c r="F621" s="1111"/>
      <c r="G621" s="1111"/>
      <c r="H621" s="834"/>
      <c r="I621" s="832"/>
      <c r="J621" s="1111"/>
      <c r="K621" s="832"/>
      <c r="L621" s="832"/>
      <c r="M621" s="832"/>
      <c r="N621" s="832"/>
      <c r="O621" s="832"/>
      <c r="P621" s="832"/>
      <c r="Q621" s="832"/>
      <c r="R621" s="832"/>
    </row>
    <row r="622" spans="2:18">
      <c r="B622" s="832"/>
      <c r="C622" s="833"/>
      <c r="D622" s="833"/>
      <c r="E622" s="833"/>
      <c r="F622" s="1111"/>
      <c r="G622" s="1111"/>
      <c r="H622" s="834"/>
      <c r="I622" s="832"/>
      <c r="J622" s="1111"/>
      <c r="K622" s="832"/>
      <c r="L622" s="832"/>
      <c r="M622" s="832"/>
      <c r="N622" s="832"/>
      <c r="O622" s="832"/>
      <c r="P622" s="832"/>
      <c r="Q622" s="832"/>
      <c r="R622" s="832"/>
    </row>
    <row r="623" spans="2:18">
      <c r="B623" s="832"/>
      <c r="C623" s="833"/>
      <c r="D623" s="833"/>
      <c r="E623" s="833"/>
      <c r="F623" s="1111"/>
      <c r="G623" s="1111"/>
      <c r="H623" s="834"/>
      <c r="I623" s="832"/>
      <c r="J623" s="1111"/>
      <c r="K623" s="832"/>
      <c r="L623" s="832"/>
      <c r="M623" s="832"/>
      <c r="N623" s="832"/>
      <c r="O623" s="832"/>
      <c r="P623" s="832"/>
      <c r="Q623" s="832"/>
      <c r="R623" s="832"/>
    </row>
    <row r="624" spans="2:18">
      <c r="B624" s="832"/>
      <c r="C624" s="833"/>
      <c r="D624" s="833"/>
      <c r="E624" s="833"/>
      <c r="F624" s="1111"/>
      <c r="G624" s="1111"/>
      <c r="H624" s="834"/>
      <c r="I624" s="832"/>
      <c r="J624" s="1111"/>
      <c r="K624" s="832"/>
      <c r="L624" s="832"/>
      <c r="M624" s="832"/>
      <c r="N624" s="832"/>
      <c r="O624" s="832"/>
      <c r="P624" s="832"/>
      <c r="Q624" s="832"/>
      <c r="R624" s="832"/>
    </row>
    <row r="625" spans="2:18">
      <c r="B625" s="832"/>
      <c r="C625" s="833"/>
      <c r="D625" s="833"/>
      <c r="E625" s="833"/>
      <c r="F625" s="1111"/>
      <c r="G625" s="1111"/>
      <c r="H625" s="834"/>
      <c r="I625" s="832"/>
      <c r="J625" s="1111"/>
      <c r="K625" s="832"/>
      <c r="L625" s="832"/>
      <c r="M625" s="832"/>
      <c r="N625" s="832"/>
      <c r="O625" s="832"/>
      <c r="P625" s="832"/>
      <c r="Q625" s="832"/>
      <c r="R625" s="832"/>
    </row>
    <row r="626" spans="2:18">
      <c r="B626" s="832"/>
      <c r="C626" s="833"/>
      <c r="D626" s="833"/>
      <c r="E626" s="833"/>
      <c r="F626" s="1111"/>
      <c r="G626" s="1111"/>
      <c r="H626" s="834"/>
      <c r="I626" s="832"/>
      <c r="J626" s="1111"/>
      <c r="K626" s="832"/>
      <c r="L626" s="832"/>
      <c r="M626" s="832"/>
      <c r="N626" s="832"/>
      <c r="O626" s="832"/>
      <c r="P626" s="832"/>
      <c r="Q626" s="832"/>
      <c r="R626" s="832"/>
    </row>
    <row r="627" spans="2:18">
      <c r="B627" s="832"/>
      <c r="C627" s="833"/>
      <c r="D627" s="833"/>
      <c r="E627" s="833"/>
      <c r="F627" s="1111"/>
      <c r="G627" s="1111"/>
      <c r="H627" s="834"/>
      <c r="I627" s="832"/>
      <c r="J627" s="1111"/>
      <c r="K627" s="832"/>
      <c r="L627" s="832"/>
      <c r="M627" s="832"/>
      <c r="N627" s="832"/>
      <c r="O627" s="832"/>
      <c r="P627" s="832"/>
      <c r="Q627" s="832"/>
      <c r="R627" s="832"/>
    </row>
    <row r="628" spans="2:18">
      <c r="B628" s="832"/>
      <c r="C628" s="833"/>
      <c r="D628" s="833"/>
      <c r="E628" s="833"/>
      <c r="F628" s="1111"/>
      <c r="G628" s="1111"/>
      <c r="H628" s="834"/>
      <c r="I628" s="832"/>
      <c r="J628" s="1111"/>
      <c r="K628" s="832"/>
      <c r="L628" s="832"/>
      <c r="M628" s="832"/>
      <c r="N628" s="832"/>
      <c r="O628" s="832"/>
      <c r="P628" s="832"/>
      <c r="Q628" s="832"/>
      <c r="R628" s="832"/>
    </row>
    <row r="629" spans="2:18">
      <c r="B629" s="832"/>
      <c r="C629" s="833"/>
      <c r="D629" s="833"/>
      <c r="E629" s="833"/>
      <c r="F629" s="1111"/>
      <c r="G629" s="1111"/>
      <c r="H629" s="834"/>
      <c r="I629" s="832"/>
      <c r="J629" s="1111"/>
      <c r="K629" s="832"/>
      <c r="L629" s="832"/>
      <c r="M629" s="832"/>
      <c r="N629" s="832"/>
      <c r="O629" s="832"/>
      <c r="P629" s="832"/>
      <c r="Q629" s="832"/>
      <c r="R629" s="832"/>
    </row>
    <row r="630" spans="2:18">
      <c r="B630" s="832"/>
      <c r="C630" s="833"/>
      <c r="D630" s="833"/>
      <c r="E630" s="833"/>
      <c r="F630" s="1111"/>
      <c r="G630" s="1111"/>
      <c r="H630" s="834"/>
      <c r="I630" s="832"/>
      <c r="J630" s="1111"/>
      <c r="K630" s="832"/>
      <c r="L630" s="832"/>
      <c r="M630" s="832"/>
      <c r="N630" s="832"/>
      <c r="O630" s="832"/>
      <c r="P630" s="832"/>
      <c r="Q630" s="832"/>
      <c r="R630" s="832"/>
    </row>
    <row r="631" spans="2:18">
      <c r="B631" s="832"/>
      <c r="C631" s="833"/>
      <c r="D631" s="833"/>
      <c r="E631" s="833"/>
      <c r="F631" s="1111"/>
      <c r="G631" s="1111"/>
      <c r="H631" s="834"/>
      <c r="I631" s="832"/>
      <c r="J631" s="1111"/>
      <c r="K631" s="832"/>
      <c r="L631" s="832"/>
      <c r="M631" s="832"/>
      <c r="N631" s="832"/>
      <c r="O631" s="832"/>
      <c r="P631" s="832"/>
      <c r="Q631" s="832"/>
      <c r="R631" s="832"/>
    </row>
    <row r="632" spans="2:18">
      <c r="B632" s="832"/>
      <c r="C632" s="833"/>
      <c r="D632" s="833"/>
      <c r="E632" s="833"/>
      <c r="F632" s="1111"/>
      <c r="G632" s="1111"/>
      <c r="H632" s="834"/>
      <c r="I632" s="832"/>
      <c r="J632" s="1111"/>
      <c r="K632" s="832"/>
      <c r="L632" s="832"/>
      <c r="M632" s="832"/>
      <c r="N632" s="832"/>
      <c r="O632" s="832"/>
      <c r="P632" s="832"/>
      <c r="Q632" s="832"/>
      <c r="R632" s="832"/>
    </row>
    <row r="633" spans="2:18">
      <c r="B633" s="832"/>
      <c r="C633" s="833"/>
      <c r="D633" s="833"/>
      <c r="E633" s="833"/>
      <c r="F633" s="1111"/>
      <c r="G633" s="1111"/>
      <c r="H633" s="834"/>
      <c r="I633" s="832"/>
      <c r="J633" s="1111"/>
      <c r="K633" s="832"/>
      <c r="L633" s="832"/>
      <c r="M633" s="832"/>
      <c r="N633" s="832"/>
      <c r="O633" s="832"/>
      <c r="P633" s="832"/>
      <c r="Q633" s="832"/>
      <c r="R633" s="832"/>
    </row>
    <row r="634" spans="2:18">
      <c r="B634" s="832"/>
      <c r="C634" s="833"/>
      <c r="D634" s="833"/>
      <c r="E634" s="833"/>
      <c r="F634" s="1111"/>
      <c r="G634" s="1111"/>
      <c r="H634" s="834"/>
      <c r="I634" s="832"/>
      <c r="J634" s="1111"/>
      <c r="K634" s="832"/>
      <c r="L634" s="832"/>
      <c r="M634" s="832"/>
      <c r="N634" s="832"/>
      <c r="O634" s="832"/>
      <c r="P634" s="832"/>
      <c r="Q634" s="832"/>
      <c r="R634" s="832"/>
    </row>
    <row r="635" spans="2:18">
      <c r="B635" s="832"/>
      <c r="C635" s="833"/>
      <c r="D635" s="833"/>
      <c r="E635" s="833"/>
      <c r="F635" s="1111"/>
      <c r="G635" s="1111"/>
      <c r="H635" s="834"/>
      <c r="I635" s="832"/>
      <c r="J635" s="1111"/>
      <c r="K635" s="832"/>
      <c r="L635" s="832"/>
      <c r="M635" s="832"/>
      <c r="N635" s="832"/>
      <c r="O635" s="832"/>
      <c r="P635" s="832"/>
      <c r="Q635" s="832"/>
      <c r="R635" s="832"/>
    </row>
    <row r="636" spans="2:18">
      <c r="B636" s="832"/>
      <c r="C636" s="833"/>
      <c r="D636" s="833"/>
      <c r="E636" s="833"/>
      <c r="F636" s="1111"/>
      <c r="G636" s="1111"/>
      <c r="H636" s="834"/>
      <c r="I636" s="832"/>
      <c r="J636" s="1111"/>
      <c r="K636" s="832"/>
      <c r="L636" s="832"/>
      <c r="M636" s="832"/>
      <c r="N636" s="832"/>
      <c r="O636" s="832"/>
      <c r="P636" s="832"/>
      <c r="Q636" s="832"/>
      <c r="R636" s="832"/>
    </row>
    <row r="637" spans="2:18">
      <c r="B637" s="832"/>
      <c r="C637" s="833"/>
      <c r="D637" s="833"/>
      <c r="E637" s="833"/>
      <c r="F637" s="1111"/>
      <c r="G637" s="1111"/>
      <c r="H637" s="834"/>
      <c r="I637" s="832"/>
      <c r="J637" s="1111"/>
      <c r="K637" s="832"/>
      <c r="L637" s="832"/>
      <c r="M637" s="832"/>
      <c r="N637" s="832"/>
      <c r="O637" s="832"/>
      <c r="P637" s="832"/>
      <c r="Q637" s="832"/>
      <c r="R637" s="832"/>
    </row>
    <row r="638" spans="2:18">
      <c r="B638" s="832"/>
      <c r="C638" s="833"/>
      <c r="D638" s="833"/>
      <c r="E638" s="833"/>
      <c r="F638" s="1111"/>
      <c r="G638" s="1111"/>
      <c r="H638" s="834"/>
      <c r="I638" s="832"/>
      <c r="J638" s="1111"/>
      <c r="K638" s="832"/>
      <c r="L638" s="832"/>
      <c r="M638" s="832"/>
      <c r="N638" s="832"/>
      <c r="O638" s="832"/>
      <c r="P638" s="832"/>
      <c r="Q638" s="832"/>
      <c r="R638" s="832"/>
    </row>
    <row r="639" spans="2:18">
      <c r="B639" s="832"/>
      <c r="C639" s="833"/>
      <c r="D639" s="833"/>
      <c r="E639" s="833"/>
      <c r="F639" s="1111"/>
      <c r="G639" s="1111"/>
      <c r="H639" s="834"/>
      <c r="I639" s="832"/>
      <c r="J639" s="1111"/>
      <c r="K639" s="832"/>
      <c r="L639" s="832"/>
      <c r="M639" s="832"/>
      <c r="N639" s="832"/>
      <c r="O639" s="832"/>
      <c r="P639" s="832"/>
      <c r="Q639" s="832"/>
      <c r="R639" s="832"/>
    </row>
    <row r="640" spans="2:18">
      <c r="B640" s="832"/>
      <c r="C640" s="833"/>
      <c r="D640" s="833"/>
      <c r="E640" s="833"/>
      <c r="F640" s="1111"/>
      <c r="G640" s="1111"/>
      <c r="H640" s="834"/>
      <c r="I640" s="832"/>
      <c r="J640" s="1111"/>
      <c r="K640" s="832"/>
      <c r="L640" s="832"/>
      <c r="M640" s="832"/>
      <c r="N640" s="832"/>
      <c r="O640" s="832"/>
      <c r="P640" s="832"/>
      <c r="Q640" s="832"/>
      <c r="R640" s="832"/>
    </row>
    <row r="641" spans="2:18">
      <c r="B641" s="832"/>
      <c r="C641" s="833"/>
      <c r="D641" s="833"/>
      <c r="E641" s="833"/>
      <c r="F641" s="1111"/>
      <c r="G641" s="1111"/>
      <c r="H641" s="834"/>
      <c r="I641" s="832"/>
      <c r="J641" s="1111"/>
      <c r="K641" s="832"/>
      <c r="L641" s="832"/>
      <c r="M641" s="832"/>
      <c r="N641" s="832"/>
      <c r="O641" s="832"/>
      <c r="P641" s="832"/>
      <c r="Q641" s="832"/>
      <c r="R641" s="832"/>
    </row>
    <row r="642" spans="2:18">
      <c r="B642" s="832"/>
      <c r="C642" s="833"/>
      <c r="D642" s="833"/>
      <c r="E642" s="833"/>
      <c r="F642" s="1111"/>
      <c r="G642" s="1111"/>
      <c r="H642" s="834"/>
      <c r="I642" s="832"/>
      <c r="J642" s="1111"/>
      <c r="K642" s="832"/>
      <c r="L642" s="832"/>
      <c r="M642" s="832"/>
      <c r="N642" s="832"/>
      <c r="O642" s="832"/>
      <c r="P642" s="832"/>
      <c r="Q642" s="832"/>
      <c r="R642" s="832"/>
    </row>
    <row r="643" spans="2:18">
      <c r="B643" s="832"/>
      <c r="C643" s="833"/>
      <c r="D643" s="833"/>
      <c r="E643" s="833"/>
      <c r="F643" s="1111"/>
      <c r="G643" s="1111"/>
      <c r="H643" s="834"/>
      <c r="I643" s="832"/>
      <c r="J643" s="1111"/>
      <c r="K643" s="832"/>
      <c r="L643" s="832"/>
      <c r="M643" s="832"/>
      <c r="N643" s="832"/>
      <c r="O643" s="832"/>
      <c r="P643" s="832"/>
      <c r="Q643" s="832"/>
      <c r="R643" s="832"/>
    </row>
    <row r="644" spans="2:18">
      <c r="B644" s="832"/>
      <c r="C644" s="833"/>
      <c r="D644" s="833"/>
      <c r="E644" s="833"/>
      <c r="F644" s="1111"/>
      <c r="G644" s="1111"/>
      <c r="H644" s="834"/>
      <c r="I644" s="832"/>
      <c r="J644" s="1111"/>
      <c r="K644" s="832"/>
      <c r="L644" s="832"/>
      <c r="M644" s="832"/>
      <c r="N644" s="832"/>
      <c r="O644" s="832"/>
      <c r="P644" s="832"/>
      <c r="Q644" s="832"/>
      <c r="R644" s="832"/>
    </row>
    <row r="645" spans="2:18">
      <c r="B645" s="832"/>
      <c r="C645" s="833"/>
      <c r="D645" s="833"/>
      <c r="E645" s="833"/>
      <c r="F645" s="1111"/>
      <c r="G645" s="1111"/>
      <c r="H645" s="834"/>
      <c r="I645" s="832"/>
      <c r="J645" s="1111"/>
      <c r="K645" s="832"/>
      <c r="L645" s="832"/>
      <c r="M645" s="832"/>
      <c r="N645" s="832"/>
      <c r="O645" s="832"/>
      <c r="P645" s="832"/>
      <c r="Q645" s="832"/>
      <c r="R645" s="832"/>
    </row>
    <row r="646" spans="2:18">
      <c r="B646" s="832"/>
      <c r="C646" s="833"/>
      <c r="D646" s="833"/>
      <c r="E646" s="833"/>
      <c r="F646" s="1111"/>
      <c r="G646" s="1111"/>
      <c r="H646" s="834"/>
      <c r="I646" s="832"/>
      <c r="J646" s="1111"/>
      <c r="K646" s="832"/>
      <c r="L646" s="832"/>
      <c r="M646" s="832"/>
      <c r="N646" s="832"/>
      <c r="O646" s="832"/>
      <c r="P646" s="832"/>
      <c r="Q646" s="832"/>
      <c r="R646" s="832"/>
    </row>
    <row r="647" spans="2:18">
      <c r="B647" s="832"/>
      <c r="C647" s="833"/>
      <c r="D647" s="833"/>
      <c r="E647" s="833"/>
      <c r="F647" s="1111"/>
      <c r="G647" s="1111"/>
      <c r="H647" s="834"/>
      <c r="I647" s="832"/>
      <c r="J647" s="1111"/>
      <c r="K647" s="832"/>
      <c r="L647" s="832"/>
      <c r="M647" s="832"/>
      <c r="N647" s="832"/>
      <c r="O647" s="832"/>
      <c r="P647" s="832"/>
      <c r="Q647" s="832"/>
      <c r="R647" s="832"/>
    </row>
    <row r="648" spans="2:18">
      <c r="B648" s="832"/>
      <c r="C648" s="833"/>
      <c r="D648" s="833"/>
      <c r="E648" s="833"/>
      <c r="F648" s="1111"/>
      <c r="G648" s="1111"/>
      <c r="H648" s="834"/>
      <c r="I648" s="832"/>
      <c r="J648" s="1111"/>
      <c r="K648" s="832"/>
      <c r="L648" s="832"/>
      <c r="M648" s="832"/>
      <c r="N648" s="832"/>
      <c r="O648" s="832"/>
      <c r="P648" s="832"/>
      <c r="Q648" s="832"/>
      <c r="R648" s="832"/>
    </row>
    <row r="649" spans="2:18">
      <c r="B649" s="832"/>
      <c r="C649" s="833"/>
      <c r="D649" s="833"/>
      <c r="E649" s="833"/>
      <c r="F649" s="1111"/>
      <c r="G649" s="1111"/>
      <c r="H649" s="834"/>
      <c r="I649" s="832"/>
      <c r="J649" s="1111"/>
      <c r="K649" s="832"/>
      <c r="L649" s="832"/>
      <c r="M649" s="832"/>
      <c r="N649" s="832"/>
      <c r="O649" s="832"/>
      <c r="P649" s="832"/>
      <c r="Q649" s="832"/>
      <c r="R649" s="832"/>
    </row>
    <row r="650" spans="2:18">
      <c r="B650" s="832"/>
      <c r="C650" s="833"/>
      <c r="D650" s="833"/>
      <c r="E650" s="833"/>
      <c r="F650" s="1111"/>
      <c r="G650" s="1111"/>
      <c r="H650" s="834"/>
      <c r="I650" s="832"/>
      <c r="J650" s="1111"/>
      <c r="K650" s="832"/>
      <c r="L650" s="832"/>
      <c r="M650" s="832"/>
      <c r="N650" s="832"/>
      <c r="O650" s="832"/>
      <c r="P650" s="832"/>
      <c r="Q650" s="832"/>
      <c r="R650" s="832"/>
    </row>
    <row r="651" spans="2:18">
      <c r="B651" s="832"/>
      <c r="C651" s="833"/>
      <c r="D651" s="833"/>
      <c r="E651" s="833"/>
      <c r="F651" s="1111"/>
      <c r="G651" s="1111"/>
      <c r="H651" s="834"/>
      <c r="I651" s="832"/>
      <c r="J651" s="1111"/>
      <c r="K651" s="832"/>
      <c r="L651" s="832"/>
      <c r="M651" s="832"/>
      <c r="N651" s="832"/>
      <c r="O651" s="832"/>
      <c r="P651" s="832"/>
      <c r="Q651" s="832"/>
      <c r="R651" s="832"/>
    </row>
    <row r="652" spans="2:18">
      <c r="B652" s="832"/>
      <c r="C652" s="833"/>
      <c r="D652" s="833"/>
      <c r="E652" s="833"/>
      <c r="F652" s="1111"/>
      <c r="G652" s="1111"/>
      <c r="H652" s="834"/>
      <c r="I652" s="832"/>
      <c r="J652" s="1111"/>
      <c r="K652" s="832"/>
      <c r="L652" s="832"/>
      <c r="M652" s="832"/>
      <c r="N652" s="832"/>
      <c r="O652" s="832"/>
      <c r="P652" s="832"/>
      <c r="Q652" s="832"/>
      <c r="R652" s="832"/>
    </row>
    <row r="653" spans="2:18">
      <c r="B653" s="832"/>
      <c r="C653" s="833"/>
      <c r="D653" s="833"/>
      <c r="E653" s="833"/>
      <c r="F653" s="1111"/>
      <c r="G653" s="1111"/>
      <c r="H653" s="834"/>
      <c r="I653" s="832"/>
      <c r="J653" s="1111"/>
      <c r="K653" s="832"/>
      <c r="L653" s="832"/>
      <c r="M653" s="832"/>
      <c r="N653" s="832"/>
      <c r="O653" s="832"/>
      <c r="P653" s="832"/>
      <c r="Q653" s="832"/>
      <c r="R653" s="832"/>
    </row>
    <row r="654" spans="2:18">
      <c r="B654" s="832"/>
      <c r="C654" s="833"/>
      <c r="D654" s="833"/>
      <c r="E654" s="833"/>
      <c r="F654" s="1111"/>
      <c r="G654" s="1111"/>
      <c r="H654" s="834"/>
      <c r="I654" s="832"/>
      <c r="J654" s="1111"/>
      <c r="K654" s="832"/>
      <c r="L654" s="832"/>
      <c r="M654" s="832"/>
      <c r="N654" s="832"/>
      <c r="O654" s="832"/>
      <c r="P654" s="832"/>
      <c r="Q654" s="832"/>
      <c r="R654" s="832"/>
    </row>
    <row r="655" spans="2:18">
      <c r="B655" s="832"/>
      <c r="C655" s="833"/>
      <c r="D655" s="833"/>
      <c r="E655" s="833"/>
      <c r="F655" s="1111"/>
      <c r="G655" s="1111"/>
      <c r="H655" s="834"/>
      <c r="I655" s="832"/>
      <c r="J655" s="1111"/>
      <c r="K655" s="832"/>
      <c r="L655" s="832"/>
      <c r="M655" s="832"/>
      <c r="N655" s="832"/>
      <c r="O655" s="832"/>
      <c r="P655" s="832"/>
      <c r="Q655" s="832"/>
      <c r="R655" s="832"/>
    </row>
    <row r="656" spans="2:18">
      <c r="B656" s="832"/>
      <c r="C656" s="833"/>
      <c r="D656" s="833"/>
      <c r="E656" s="833"/>
      <c r="F656" s="1111"/>
      <c r="G656" s="1111"/>
      <c r="H656" s="834"/>
      <c r="I656" s="832"/>
      <c r="J656" s="1111"/>
      <c r="K656" s="832"/>
      <c r="L656" s="832"/>
      <c r="M656" s="832"/>
      <c r="N656" s="832"/>
      <c r="O656" s="832"/>
      <c r="P656" s="832"/>
      <c r="Q656" s="832"/>
      <c r="R656" s="832"/>
    </row>
    <row r="657" spans="2:18">
      <c r="B657" s="832"/>
      <c r="C657" s="833"/>
      <c r="D657" s="833"/>
      <c r="E657" s="833"/>
      <c r="F657" s="1111"/>
      <c r="G657" s="1111"/>
      <c r="H657" s="834"/>
      <c r="I657" s="832"/>
      <c r="J657" s="1111"/>
      <c r="K657" s="832"/>
      <c r="L657" s="832"/>
      <c r="M657" s="832"/>
      <c r="N657" s="832"/>
      <c r="O657" s="832"/>
      <c r="P657" s="832"/>
      <c r="Q657" s="832"/>
      <c r="R657" s="832"/>
    </row>
    <row r="658" spans="2:18">
      <c r="B658" s="832"/>
      <c r="C658" s="833"/>
      <c r="D658" s="833"/>
      <c r="E658" s="833"/>
      <c r="F658" s="1111"/>
      <c r="G658" s="1111"/>
      <c r="H658" s="834"/>
      <c r="I658" s="832"/>
      <c r="J658" s="1111"/>
      <c r="K658" s="832"/>
      <c r="L658" s="832"/>
      <c r="M658" s="832"/>
      <c r="N658" s="832"/>
      <c r="O658" s="832"/>
      <c r="P658" s="832"/>
      <c r="Q658" s="832"/>
      <c r="R658" s="832"/>
    </row>
    <row r="659" spans="2:18">
      <c r="B659" s="832"/>
      <c r="C659" s="833"/>
      <c r="D659" s="833"/>
      <c r="E659" s="833"/>
      <c r="F659" s="1111"/>
      <c r="G659" s="1111"/>
      <c r="H659" s="834"/>
      <c r="I659" s="832"/>
      <c r="J659" s="1111"/>
      <c r="K659" s="832"/>
      <c r="L659" s="832"/>
      <c r="M659" s="832"/>
      <c r="N659" s="832"/>
      <c r="O659" s="832"/>
      <c r="P659" s="832"/>
      <c r="Q659" s="832"/>
      <c r="R659" s="832"/>
    </row>
    <row r="660" spans="2:18">
      <c r="B660" s="832"/>
      <c r="C660" s="833"/>
      <c r="D660" s="833"/>
      <c r="E660" s="833"/>
      <c r="F660" s="1111"/>
      <c r="G660" s="1111"/>
      <c r="H660" s="834"/>
      <c r="I660" s="832"/>
      <c r="J660" s="1111"/>
      <c r="K660" s="832"/>
      <c r="L660" s="832"/>
      <c r="M660" s="832"/>
      <c r="N660" s="832"/>
      <c r="O660" s="832"/>
      <c r="P660" s="832"/>
      <c r="Q660" s="832"/>
      <c r="R660" s="832"/>
    </row>
    <row r="661" spans="2:18">
      <c r="B661" s="832"/>
      <c r="C661" s="833"/>
      <c r="D661" s="833"/>
      <c r="E661" s="833"/>
      <c r="F661" s="1111"/>
      <c r="G661" s="1111"/>
      <c r="H661" s="834"/>
      <c r="I661" s="832"/>
      <c r="J661" s="1111"/>
      <c r="K661" s="832"/>
      <c r="L661" s="832"/>
      <c r="M661" s="832"/>
      <c r="N661" s="832"/>
      <c r="O661" s="832"/>
      <c r="P661" s="832"/>
      <c r="Q661" s="832"/>
      <c r="R661" s="832"/>
    </row>
    <row r="662" spans="2:18">
      <c r="B662" s="832"/>
      <c r="C662" s="833"/>
      <c r="D662" s="833"/>
      <c r="E662" s="833"/>
      <c r="F662" s="1111"/>
      <c r="G662" s="1111"/>
      <c r="H662" s="834"/>
      <c r="I662" s="832"/>
      <c r="J662" s="1111"/>
      <c r="K662" s="832"/>
      <c r="L662" s="832"/>
      <c r="M662" s="832"/>
      <c r="N662" s="832"/>
      <c r="O662" s="832"/>
      <c r="P662" s="832"/>
      <c r="Q662" s="832"/>
      <c r="R662" s="832"/>
    </row>
    <row r="663" spans="2:18">
      <c r="B663" s="832"/>
      <c r="C663" s="833"/>
      <c r="D663" s="833"/>
      <c r="E663" s="833"/>
      <c r="F663" s="1111"/>
      <c r="G663" s="1111"/>
      <c r="H663" s="834"/>
      <c r="I663" s="832"/>
      <c r="J663" s="1111"/>
      <c r="K663" s="832"/>
      <c r="L663" s="832"/>
      <c r="M663" s="832"/>
      <c r="N663" s="832"/>
      <c r="O663" s="832"/>
      <c r="P663" s="832"/>
      <c r="Q663" s="832"/>
      <c r="R663" s="832"/>
    </row>
    <row r="664" spans="2:18">
      <c r="B664" s="832"/>
      <c r="C664" s="833"/>
      <c r="D664" s="833"/>
      <c r="E664" s="833"/>
      <c r="F664" s="1111"/>
      <c r="G664" s="1111"/>
      <c r="H664" s="834"/>
      <c r="I664" s="832"/>
      <c r="J664" s="1111"/>
      <c r="K664" s="832"/>
      <c r="L664" s="832"/>
      <c r="M664" s="832"/>
      <c r="N664" s="832"/>
      <c r="O664" s="832"/>
      <c r="P664" s="832"/>
      <c r="Q664" s="832"/>
      <c r="R664" s="832"/>
    </row>
    <row r="665" spans="2:18">
      <c r="B665" s="832"/>
      <c r="C665" s="833"/>
      <c r="D665" s="833"/>
      <c r="E665" s="833"/>
      <c r="F665" s="1111"/>
      <c r="G665" s="1111"/>
      <c r="H665" s="834"/>
      <c r="I665" s="832"/>
      <c r="J665" s="1111"/>
      <c r="K665" s="832"/>
      <c r="L665" s="832"/>
      <c r="M665" s="832"/>
      <c r="N665" s="832"/>
      <c r="O665" s="832"/>
      <c r="P665" s="832"/>
      <c r="Q665" s="832"/>
      <c r="R665" s="832"/>
    </row>
    <row r="666" spans="2:18">
      <c r="B666" s="832"/>
      <c r="C666" s="833"/>
      <c r="D666" s="833"/>
      <c r="E666" s="833"/>
      <c r="F666" s="1111"/>
      <c r="G666" s="1111"/>
      <c r="H666" s="834"/>
      <c r="I666" s="832"/>
      <c r="J666" s="1111"/>
      <c r="K666" s="832"/>
      <c r="L666" s="832"/>
      <c r="M666" s="832"/>
      <c r="N666" s="832"/>
      <c r="O666" s="832"/>
      <c r="P666" s="832"/>
      <c r="Q666" s="832"/>
      <c r="R666" s="832"/>
    </row>
    <row r="667" spans="2:18">
      <c r="B667" s="832"/>
      <c r="C667" s="833"/>
      <c r="D667" s="833"/>
      <c r="E667" s="833"/>
      <c r="F667" s="1111"/>
      <c r="G667" s="1111"/>
      <c r="H667" s="834"/>
      <c r="I667" s="832"/>
      <c r="J667" s="1111"/>
      <c r="K667" s="832"/>
      <c r="L667" s="832"/>
      <c r="M667" s="832"/>
      <c r="N667" s="832"/>
      <c r="O667" s="832"/>
      <c r="P667" s="832"/>
      <c r="Q667" s="832"/>
      <c r="R667" s="832"/>
    </row>
    <row r="668" spans="2:18">
      <c r="B668" s="832"/>
      <c r="C668" s="833"/>
      <c r="D668" s="833"/>
      <c r="E668" s="833"/>
      <c r="F668" s="1111"/>
      <c r="G668" s="1111"/>
      <c r="H668" s="834"/>
      <c r="I668" s="832"/>
      <c r="J668" s="1111"/>
      <c r="K668" s="832"/>
      <c r="L668" s="832"/>
      <c r="M668" s="832"/>
      <c r="N668" s="832"/>
      <c r="O668" s="832"/>
      <c r="P668" s="832"/>
      <c r="Q668" s="832"/>
      <c r="R668" s="832"/>
    </row>
    <row r="669" spans="2:18">
      <c r="B669" s="832"/>
      <c r="C669" s="833"/>
      <c r="D669" s="833"/>
      <c r="E669" s="833"/>
      <c r="F669" s="1111"/>
      <c r="G669" s="1111"/>
      <c r="H669" s="834"/>
      <c r="I669" s="832"/>
      <c r="J669" s="1111"/>
      <c r="K669" s="832"/>
      <c r="L669" s="832"/>
      <c r="M669" s="832"/>
      <c r="N669" s="832"/>
      <c r="O669" s="832"/>
      <c r="P669" s="832"/>
      <c r="Q669" s="832"/>
      <c r="R669" s="832"/>
    </row>
    <row r="670" spans="2:18">
      <c r="B670" s="832"/>
      <c r="C670" s="833"/>
      <c r="D670" s="833"/>
      <c r="E670" s="833"/>
      <c r="F670" s="1111"/>
      <c r="G670" s="1111"/>
      <c r="H670" s="834"/>
      <c r="I670" s="832"/>
      <c r="J670" s="1111"/>
      <c r="K670" s="832"/>
      <c r="L670" s="832"/>
      <c r="M670" s="832"/>
      <c r="N670" s="832"/>
      <c r="O670" s="832"/>
      <c r="P670" s="832"/>
      <c r="Q670" s="832"/>
      <c r="R670" s="832"/>
    </row>
    <row r="671" spans="2:18">
      <c r="B671" s="832"/>
      <c r="C671" s="833"/>
      <c r="D671" s="833"/>
      <c r="E671" s="833"/>
      <c r="F671" s="1111"/>
      <c r="G671" s="1111"/>
      <c r="H671" s="834"/>
      <c r="I671" s="832"/>
      <c r="J671" s="1111"/>
      <c r="K671" s="832"/>
      <c r="L671" s="832"/>
      <c r="M671" s="832"/>
      <c r="N671" s="832"/>
      <c r="O671" s="832"/>
      <c r="P671" s="832"/>
      <c r="Q671" s="832"/>
      <c r="R671" s="832"/>
    </row>
    <row r="672" spans="2:18">
      <c r="B672" s="832"/>
      <c r="C672" s="833"/>
      <c r="D672" s="833"/>
      <c r="E672" s="833"/>
      <c r="F672" s="1111"/>
      <c r="G672" s="1111"/>
      <c r="H672" s="834"/>
      <c r="I672" s="832"/>
      <c r="J672" s="1111"/>
      <c r="K672" s="832"/>
      <c r="L672" s="832"/>
      <c r="M672" s="832"/>
      <c r="N672" s="832"/>
      <c r="O672" s="832"/>
      <c r="P672" s="832"/>
      <c r="Q672" s="832"/>
      <c r="R672" s="832"/>
    </row>
    <row r="673" spans="2:18">
      <c r="B673" s="832"/>
      <c r="C673" s="833"/>
      <c r="D673" s="833"/>
      <c r="E673" s="833"/>
      <c r="F673" s="1111"/>
      <c r="G673" s="1111"/>
      <c r="H673" s="834"/>
      <c r="I673" s="832"/>
      <c r="J673" s="1111"/>
      <c r="K673" s="832"/>
      <c r="L673" s="832"/>
      <c r="M673" s="832"/>
      <c r="N673" s="832"/>
      <c r="O673" s="832"/>
      <c r="P673" s="832"/>
      <c r="Q673" s="832"/>
      <c r="R673" s="832"/>
    </row>
    <row r="674" spans="2:18">
      <c r="B674" s="832"/>
      <c r="C674" s="833"/>
      <c r="D674" s="833"/>
      <c r="E674" s="833"/>
      <c r="F674" s="1111"/>
      <c r="G674" s="1111"/>
      <c r="H674" s="834"/>
      <c r="I674" s="832"/>
      <c r="J674" s="1111"/>
      <c r="K674" s="832"/>
      <c r="L674" s="832"/>
      <c r="M674" s="832"/>
      <c r="N674" s="832"/>
      <c r="O674" s="832"/>
      <c r="P674" s="832"/>
      <c r="Q674" s="832"/>
      <c r="R674" s="832"/>
    </row>
    <row r="675" spans="2:18">
      <c r="B675" s="832"/>
      <c r="C675" s="833"/>
      <c r="D675" s="833"/>
      <c r="E675" s="833"/>
      <c r="F675" s="1111"/>
      <c r="G675" s="1111"/>
      <c r="H675" s="834"/>
      <c r="I675" s="832"/>
      <c r="J675" s="1111"/>
      <c r="K675" s="832"/>
      <c r="L675" s="832"/>
      <c r="M675" s="832"/>
      <c r="N675" s="832"/>
      <c r="O675" s="832"/>
      <c r="P675" s="832"/>
      <c r="Q675" s="832"/>
      <c r="R675" s="832"/>
    </row>
    <row r="676" spans="2:18">
      <c r="B676" s="832"/>
      <c r="C676" s="833"/>
      <c r="D676" s="833"/>
      <c r="E676" s="833"/>
      <c r="F676" s="1111"/>
      <c r="G676" s="1111"/>
      <c r="H676" s="834"/>
      <c r="I676" s="832"/>
      <c r="J676" s="1111"/>
      <c r="K676" s="832"/>
      <c r="L676" s="832"/>
      <c r="M676" s="832"/>
      <c r="N676" s="832"/>
      <c r="O676" s="832"/>
      <c r="P676" s="832"/>
      <c r="Q676" s="832"/>
      <c r="R676" s="832"/>
    </row>
    <row r="677" spans="2:18">
      <c r="B677" s="832"/>
      <c r="C677" s="833"/>
      <c r="D677" s="833"/>
      <c r="E677" s="833"/>
      <c r="F677" s="1111"/>
      <c r="G677" s="1111"/>
      <c r="H677" s="834"/>
      <c r="I677" s="832"/>
      <c r="J677" s="1111"/>
      <c r="K677" s="832"/>
      <c r="L677" s="832"/>
      <c r="M677" s="832"/>
      <c r="N677" s="832"/>
      <c r="O677" s="832"/>
      <c r="P677" s="832"/>
      <c r="Q677" s="832"/>
      <c r="R677" s="832"/>
    </row>
    <row r="678" spans="2:18">
      <c r="B678" s="832"/>
      <c r="C678" s="833"/>
      <c r="D678" s="833"/>
      <c r="E678" s="833"/>
      <c r="F678" s="1111"/>
      <c r="G678" s="1111"/>
      <c r="H678" s="834"/>
      <c r="I678" s="832"/>
      <c r="J678" s="1111"/>
      <c r="K678" s="832"/>
      <c r="L678" s="832"/>
      <c r="M678" s="832"/>
      <c r="N678" s="832"/>
      <c r="O678" s="832"/>
      <c r="P678" s="832"/>
      <c r="Q678" s="832"/>
      <c r="R678" s="832"/>
    </row>
    <row r="679" spans="2:18">
      <c r="B679" s="832"/>
      <c r="C679" s="833"/>
      <c r="D679" s="833"/>
      <c r="E679" s="833"/>
      <c r="F679" s="1111"/>
      <c r="G679" s="1111"/>
      <c r="H679" s="834"/>
      <c r="I679" s="832"/>
      <c r="J679" s="1111"/>
      <c r="K679" s="832"/>
      <c r="L679" s="832"/>
      <c r="M679" s="832"/>
      <c r="N679" s="832"/>
      <c r="O679" s="832"/>
      <c r="P679" s="832"/>
      <c r="Q679" s="832"/>
      <c r="R679" s="832"/>
    </row>
    <row r="680" spans="2:18">
      <c r="B680" s="832"/>
      <c r="C680" s="833"/>
      <c r="D680" s="833"/>
      <c r="E680" s="833"/>
      <c r="F680" s="1111"/>
      <c r="G680" s="1111"/>
      <c r="H680" s="834"/>
      <c r="I680" s="832"/>
      <c r="J680" s="1111"/>
      <c r="K680" s="832"/>
      <c r="L680" s="832"/>
      <c r="M680" s="832"/>
      <c r="N680" s="832"/>
      <c r="O680" s="832"/>
      <c r="P680" s="832"/>
      <c r="Q680" s="832"/>
      <c r="R680" s="832"/>
    </row>
    <row r="681" spans="2:18">
      <c r="B681" s="832"/>
      <c r="C681" s="833"/>
      <c r="D681" s="833"/>
      <c r="E681" s="833"/>
      <c r="F681" s="1111"/>
      <c r="G681" s="1111"/>
      <c r="H681" s="834"/>
      <c r="I681" s="832"/>
      <c r="J681" s="1111"/>
      <c r="K681" s="832"/>
      <c r="L681" s="832"/>
      <c r="M681" s="832"/>
      <c r="N681" s="832"/>
      <c r="O681" s="832"/>
      <c r="P681" s="832"/>
      <c r="Q681" s="832"/>
      <c r="R681" s="832"/>
    </row>
    <row r="682" spans="2:18">
      <c r="B682" s="832"/>
      <c r="C682" s="833"/>
      <c r="D682" s="833"/>
      <c r="E682" s="833"/>
      <c r="F682" s="1111"/>
      <c r="G682" s="1111"/>
      <c r="H682" s="834"/>
      <c r="I682" s="832"/>
      <c r="J682" s="1111"/>
      <c r="K682" s="832"/>
      <c r="L682" s="832"/>
      <c r="M682" s="832"/>
      <c r="N682" s="832"/>
      <c r="O682" s="832"/>
      <c r="P682" s="832"/>
      <c r="Q682" s="832"/>
      <c r="R682" s="832"/>
    </row>
    <row r="683" spans="2:18">
      <c r="B683" s="832"/>
      <c r="C683" s="833"/>
      <c r="D683" s="833"/>
      <c r="E683" s="833"/>
      <c r="F683" s="1111"/>
      <c r="G683" s="1111"/>
      <c r="H683" s="834"/>
      <c r="I683" s="832"/>
      <c r="J683" s="1111"/>
      <c r="K683" s="832"/>
      <c r="L683" s="832"/>
      <c r="M683" s="832"/>
      <c r="N683" s="832"/>
      <c r="O683" s="832"/>
      <c r="P683" s="832"/>
      <c r="Q683" s="832"/>
      <c r="R683" s="832"/>
    </row>
    <row r="684" spans="2:18">
      <c r="B684" s="832"/>
      <c r="C684" s="833"/>
      <c r="D684" s="833"/>
      <c r="E684" s="833"/>
      <c r="F684" s="1111"/>
      <c r="G684" s="1111"/>
      <c r="H684" s="834"/>
      <c r="I684" s="832"/>
      <c r="J684" s="1111"/>
      <c r="K684" s="832"/>
      <c r="L684" s="832"/>
      <c r="M684" s="832"/>
      <c r="N684" s="832"/>
      <c r="O684" s="832"/>
      <c r="P684" s="832"/>
      <c r="Q684" s="832"/>
      <c r="R684" s="832"/>
    </row>
    <row r="685" spans="2:18">
      <c r="B685" s="832"/>
      <c r="C685" s="833"/>
      <c r="D685" s="833"/>
      <c r="E685" s="833"/>
      <c r="F685" s="1111"/>
      <c r="G685" s="1111"/>
      <c r="H685" s="834"/>
      <c r="I685" s="832"/>
      <c r="J685" s="1111"/>
      <c r="K685" s="832"/>
      <c r="L685" s="832"/>
      <c r="M685" s="832"/>
      <c r="N685" s="832"/>
      <c r="O685" s="832"/>
      <c r="P685" s="832"/>
      <c r="Q685" s="832"/>
      <c r="R685" s="832"/>
    </row>
    <row r="686" spans="2:18">
      <c r="B686" s="832"/>
      <c r="C686" s="833"/>
      <c r="D686" s="833"/>
      <c r="E686" s="833"/>
      <c r="F686" s="1111"/>
      <c r="G686" s="1111"/>
      <c r="H686" s="834"/>
      <c r="I686" s="832"/>
      <c r="J686" s="1111"/>
      <c r="K686" s="832"/>
      <c r="L686" s="832"/>
      <c r="M686" s="832"/>
      <c r="N686" s="832"/>
      <c r="O686" s="832"/>
      <c r="P686" s="832"/>
      <c r="Q686" s="832"/>
      <c r="R686" s="832"/>
    </row>
    <row r="687" spans="2:18">
      <c r="B687" s="832"/>
      <c r="C687" s="833"/>
      <c r="D687" s="833"/>
      <c r="E687" s="833"/>
      <c r="F687" s="1111"/>
      <c r="G687" s="1111"/>
      <c r="H687" s="834"/>
      <c r="I687" s="832"/>
      <c r="J687" s="1111"/>
      <c r="K687" s="832"/>
      <c r="L687" s="832"/>
      <c r="M687" s="832"/>
      <c r="N687" s="832"/>
      <c r="O687" s="832"/>
      <c r="P687" s="832"/>
      <c r="Q687" s="832"/>
      <c r="R687" s="832"/>
    </row>
    <row r="688" spans="2:18">
      <c r="B688" s="832"/>
      <c r="C688" s="833"/>
      <c r="D688" s="833"/>
      <c r="E688" s="833"/>
      <c r="F688" s="1111"/>
      <c r="G688" s="1111"/>
      <c r="H688" s="834"/>
      <c r="I688" s="832"/>
      <c r="J688" s="1111"/>
      <c r="K688" s="832"/>
      <c r="L688" s="832"/>
      <c r="M688" s="832"/>
      <c r="N688" s="832"/>
      <c r="O688" s="832"/>
      <c r="P688" s="832"/>
      <c r="Q688" s="832"/>
      <c r="R688" s="832"/>
    </row>
    <row r="689" spans="2:18">
      <c r="B689" s="832"/>
      <c r="C689" s="833"/>
      <c r="D689" s="833"/>
      <c r="E689" s="833"/>
      <c r="F689" s="1111"/>
      <c r="G689" s="1111"/>
      <c r="H689" s="834"/>
      <c r="I689" s="832"/>
      <c r="J689" s="1111"/>
      <c r="K689" s="832"/>
      <c r="L689" s="832"/>
      <c r="M689" s="832"/>
      <c r="N689" s="832"/>
      <c r="O689" s="832"/>
      <c r="P689" s="832"/>
      <c r="Q689" s="832"/>
      <c r="R689" s="832"/>
    </row>
    <row r="690" spans="2:18">
      <c r="B690" s="832"/>
      <c r="C690" s="833"/>
      <c r="D690" s="833"/>
      <c r="E690" s="833"/>
      <c r="F690" s="1111"/>
      <c r="G690" s="1111"/>
      <c r="H690" s="834"/>
      <c r="I690" s="832"/>
      <c r="J690" s="1111"/>
      <c r="K690" s="832"/>
      <c r="L690" s="832"/>
      <c r="M690" s="832"/>
      <c r="N690" s="832"/>
      <c r="O690" s="832"/>
      <c r="P690" s="832"/>
      <c r="Q690" s="832"/>
      <c r="R690" s="832"/>
    </row>
    <row r="691" spans="2:18">
      <c r="B691" s="832"/>
      <c r="C691" s="833"/>
      <c r="D691" s="833"/>
      <c r="E691" s="833"/>
      <c r="F691" s="1111"/>
      <c r="G691" s="1111"/>
      <c r="H691" s="834"/>
      <c r="I691" s="832"/>
      <c r="J691" s="1111"/>
      <c r="K691" s="832"/>
      <c r="L691" s="832"/>
      <c r="M691" s="832"/>
      <c r="N691" s="832"/>
      <c r="O691" s="832"/>
      <c r="P691" s="832"/>
      <c r="Q691" s="832"/>
      <c r="R691" s="832"/>
    </row>
    <row r="692" spans="2:18">
      <c r="B692" s="832"/>
      <c r="C692" s="833"/>
      <c r="D692" s="833"/>
      <c r="E692" s="833"/>
      <c r="F692" s="1111"/>
      <c r="G692" s="1111"/>
      <c r="H692" s="834"/>
      <c r="I692" s="832"/>
      <c r="J692" s="1111"/>
      <c r="K692" s="832"/>
      <c r="L692" s="832"/>
      <c r="M692" s="832"/>
      <c r="N692" s="832"/>
      <c r="O692" s="832"/>
      <c r="P692" s="832"/>
      <c r="Q692" s="832"/>
      <c r="R692" s="832"/>
    </row>
    <row r="693" spans="2:18">
      <c r="B693" s="832"/>
      <c r="C693" s="833"/>
      <c r="D693" s="833"/>
      <c r="E693" s="833"/>
      <c r="F693" s="1111"/>
      <c r="G693" s="1111"/>
      <c r="H693" s="834"/>
      <c r="I693" s="832"/>
      <c r="J693" s="1111"/>
      <c r="K693" s="832"/>
      <c r="L693" s="832"/>
      <c r="M693" s="832"/>
      <c r="N693" s="832"/>
      <c r="O693" s="832"/>
      <c r="P693" s="832"/>
      <c r="Q693" s="832"/>
      <c r="R693" s="832"/>
    </row>
    <row r="694" spans="2:18">
      <c r="B694" s="832"/>
      <c r="C694" s="833"/>
      <c r="D694" s="833"/>
      <c r="E694" s="833"/>
      <c r="F694" s="1111"/>
      <c r="G694" s="1111"/>
      <c r="H694" s="834"/>
      <c r="I694" s="832"/>
      <c r="J694" s="1111"/>
      <c r="K694" s="832"/>
      <c r="L694" s="832"/>
      <c r="M694" s="832"/>
      <c r="N694" s="832"/>
      <c r="O694" s="832"/>
      <c r="P694" s="832"/>
      <c r="Q694" s="832"/>
      <c r="R694" s="832"/>
    </row>
    <row r="695" spans="2:18">
      <c r="B695" s="832"/>
      <c r="C695" s="833"/>
      <c r="D695" s="833"/>
      <c r="E695" s="833"/>
      <c r="F695" s="1111"/>
      <c r="G695" s="1111"/>
      <c r="H695" s="834"/>
      <c r="I695" s="832"/>
      <c r="J695" s="1111"/>
      <c r="K695" s="832"/>
      <c r="L695" s="832"/>
      <c r="M695" s="832"/>
      <c r="N695" s="832"/>
      <c r="O695" s="832"/>
      <c r="P695" s="832"/>
      <c r="Q695" s="832"/>
      <c r="R695" s="832"/>
    </row>
    <row r="696" spans="2:18">
      <c r="B696" s="832"/>
      <c r="C696" s="833"/>
      <c r="D696" s="833"/>
      <c r="E696" s="833"/>
      <c r="F696" s="1111"/>
      <c r="G696" s="1111"/>
      <c r="H696" s="834"/>
      <c r="I696" s="832"/>
      <c r="J696" s="1111"/>
      <c r="K696" s="832"/>
      <c r="L696" s="832"/>
      <c r="M696" s="832"/>
      <c r="N696" s="832"/>
      <c r="O696" s="832"/>
      <c r="P696" s="832"/>
      <c r="Q696" s="832"/>
      <c r="R696" s="832"/>
    </row>
    <row r="697" spans="2:18">
      <c r="B697" s="832"/>
      <c r="C697" s="833"/>
      <c r="D697" s="833"/>
      <c r="E697" s="833"/>
      <c r="F697" s="1111"/>
      <c r="G697" s="1111"/>
      <c r="H697" s="834"/>
      <c r="I697" s="832"/>
      <c r="J697" s="1111"/>
      <c r="K697" s="832"/>
      <c r="L697" s="832"/>
      <c r="M697" s="832"/>
      <c r="N697" s="832"/>
      <c r="O697" s="832"/>
      <c r="P697" s="832"/>
      <c r="Q697" s="832"/>
      <c r="R697" s="832"/>
    </row>
    <row r="698" spans="2:18">
      <c r="B698" s="832"/>
      <c r="C698" s="833"/>
      <c r="D698" s="833"/>
      <c r="E698" s="833"/>
      <c r="F698" s="1111"/>
      <c r="G698" s="1111"/>
      <c r="H698" s="834"/>
      <c r="I698" s="832"/>
      <c r="J698" s="1111"/>
      <c r="K698" s="832"/>
      <c r="L698" s="832"/>
      <c r="M698" s="832"/>
      <c r="N698" s="832"/>
      <c r="O698" s="832"/>
      <c r="P698" s="832"/>
      <c r="Q698" s="832"/>
      <c r="R698" s="832"/>
    </row>
    <row r="699" spans="2:18">
      <c r="B699" s="832"/>
      <c r="C699" s="833"/>
      <c r="D699" s="833"/>
      <c r="E699" s="833"/>
      <c r="F699" s="1111"/>
      <c r="G699" s="1111"/>
      <c r="H699" s="834"/>
      <c r="I699" s="832"/>
      <c r="J699" s="1111"/>
      <c r="K699" s="832"/>
      <c r="L699" s="832"/>
      <c r="M699" s="832"/>
      <c r="N699" s="832"/>
      <c r="O699" s="832"/>
      <c r="P699" s="832"/>
      <c r="Q699" s="832"/>
      <c r="R699" s="832"/>
    </row>
    <row r="700" spans="2:18">
      <c r="B700" s="832"/>
      <c r="C700" s="833"/>
      <c r="D700" s="833"/>
      <c r="E700" s="833"/>
      <c r="F700" s="1111"/>
      <c r="G700" s="1111"/>
      <c r="H700" s="834"/>
      <c r="I700" s="832"/>
      <c r="J700" s="1111"/>
      <c r="K700" s="832"/>
      <c r="L700" s="832"/>
      <c r="M700" s="832"/>
      <c r="N700" s="832"/>
      <c r="O700" s="832"/>
      <c r="P700" s="832"/>
      <c r="Q700" s="832"/>
      <c r="R700" s="832"/>
    </row>
    <row r="701" spans="2:18">
      <c r="B701" s="832"/>
      <c r="C701" s="833"/>
      <c r="D701" s="833"/>
      <c r="E701" s="833"/>
      <c r="F701" s="1111"/>
      <c r="G701" s="1111"/>
      <c r="H701" s="834"/>
      <c r="I701" s="832"/>
      <c r="J701" s="1111"/>
      <c r="K701" s="832"/>
      <c r="L701" s="832"/>
      <c r="M701" s="832"/>
      <c r="N701" s="832"/>
      <c r="O701" s="832"/>
      <c r="P701" s="832"/>
      <c r="Q701" s="832"/>
      <c r="R701" s="832"/>
    </row>
    <row r="702" spans="2:18">
      <c r="B702" s="832"/>
      <c r="C702" s="833"/>
      <c r="D702" s="833"/>
      <c r="E702" s="833"/>
      <c r="F702" s="1111"/>
      <c r="G702" s="1111"/>
      <c r="H702" s="834"/>
      <c r="I702" s="832"/>
      <c r="J702" s="1111"/>
      <c r="K702" s="832"/>
      <c r="L702" s="832"/>
      <c r="M702" s="832"/>
      <c r="N702" s="832"/>
      <c r="O702" s="832"/>
      <c r="P702" s="832"/>
      <c r="Q702" s="832"/>
      <c r="R702" s="832"/>
    </row>
    <row r="703" spans="2:18">
      <c r="B703" s="832"/>
      <c r="C703" s="833"/>
      <c r="D703" s="833"/>
      <c r="E703" s="833"/>
      <c r="F703" s="1111"/>
      <c r="G703" s="1111"/>
      <c r="H703" s="834"/>
      <c r="I703" s="832"/>
      <c r="J703" s="1111"/>
      <c r="K703" s="832"/>
      <c r="L703" s="832"/>
      <c r="M703" s="832"/>
      <c r="N703" s="832"/>
      <c r="O703" s="832"/>
      <c r="P703" s="832"/>
      <c r="Q703" s="832"/>
      <c r="R703" s="832"/>
    </row>
    <row r="704" spans="2:18">
      <c r="B704" s="832"/>
      <c r="C704" s="833"/>
      <c r="D704" s="833"/>
      <c r="E704" s="833"/>
      <c r="F704" s="1111"/>
      <c r="G704" s="1111"/>
      <c r="H704" s="834"/>
      <c r="I704" s="832"/>
      <c r="J704" s="1111"/>
      <c r="K704" s="832"/>
      <c r="L704" s="832"/>
      <c r="M704" s="832"/>
      <c r="N704" s="832"/>
      <c r="O704" s="832"/>
      <c r="P704" s="832"/>
      <c r="Q704" s="832"/>
      <c r="R704" s="832"/>
    </row>
    <row r="705" spans="2:18">
      <c r="B705" s="832"/>
      <c r="C705" s="833"/>
      <c r="D705" s="833"/>
      <c r="E705" s="833"/>
      <c r="F705" s="1111"/>
      <c r="G705" s="1111"/>
      <c r="H705" s="834"/>
      <c r="I705" s="832"/>
      <c r="J705" s="1111"/>
      <c r="K705" s="832"/>
      <c r="L705" s="832"/>
      <c r="M705" s="832"/>
      <c r="N705" s="832"/>
      <c r="O705" s="832"/>
      <c r="P705" s="832"/>
      <c r="Q705" s="832"/>
      <c r="R705" s="832"/>
    </row>
    <row r="706" spans="2:18">
      <c r="B706" s="832"/>
      <c r="C706" s="833"/>
      <c r="D706" s="833"/>
      <c r="E706" s="833"/>
      <c r="F706" s="1111"/>
      <c r="G706" s="1111"/>
      <c r="H706" s="834"/>
      <c r="I706" s="832"/>
      <c r="J706" s="1111"/>
      <c r="K706" s="832"/>
      <c r="L706" s="832"/>
      <c r="M706" s="832"/>
      <c r="N706" s="832"/>
      <c r="O706" s="832"/>
      <c r="P706" s="832"/>
      <c r="Q706" s="832"/>
      <c r="R706" s="832"/>
    </row>
    <row r="707" spans="2:18">
      <c r="B707" s="832"/>
      <c r="C707" s="833"/>
      <c r="D707" s="833"/>
      <c r="E707" s="833"/>
      <c r="F707" s="1111"/>
      <c r="G707" s="1111"/>
      <c r="H707" s="834"/>
      <c r="I707" s="832"/>
      <c r="J707" s="1111"/>
      <c r="K707" s="832"/>
      <c r="L707" s="832"/>
      <c r="M707" s="832"/>
      <c r="N707" s="832"/>
      <c r="O707" s="832"/>
      <c r="P707" s="832"/>
      <c r="Q707" s="832"/>
      <c r="R707" s="832"/>
    </row>
    <row r="708" spans="2:18">
      <c r="B708" s="832"/>
      <c r="C708" s="833"/>
      <c r="D708" s="833"/>
      <c r="E708" s="833"/>
      <c r="F708" s="1111"/>
      <c r="G708" s="1111"/>
      <c r="H708" s="834"/>
      <c r="I708" s="832"/>
      <c r="J708" s="1111"/>
      <c r="K708" s="832"/>
      <c r="L708" s="832"/>
      <c r="M708" s="832"/>
      <c r="N708" s="832"/>
      <c r="O708" s="832"/>
      <c r="P708" s="832"/>
      <c r="Q708" s="832"/>
      <c r="R708" s="832"/>
    </row>
    <row r="709" spans="2:18">
      <c r="B709" s="832"/>
      <c r="C709" s="833"/>
      <c r="D709" s="833"/>
      <c r="E709" s="833"/>
      <c r="F709" s="1111"/>
      <c r="G709" s="1111"/>
      <c r="H709" s="834"/>
      <c r="I709" s="832"/>
      <c r="J709" s="1111"/>
      <c r="K709" s="832"/>
      <c r="L709" s="832"/>
      <c r="M709" s="832"/>
      <c r="N709" s="832"/>
      <c r="O709" s="832"/>
      <c r="P709" s="832"/>
      <c r="Q709" s="832"/>
      <c r="R709" s="832"/>
    </row>
    <row r="710" spans="2:18">
      <c r="B710" s="832"/>
      <c r="C710" s="833"/>
      <c r="D710" s="833"/>
      <c r="E710" s="833"/>
      <c r="F710" s="1111"/>
      <c r="G710" s="1111"/>
      <c r="H710" s="834"/>
      <c r="I710" s="832"/>
      <c r="J710" s="1111"/>
      <c r="K710" s="832"/>
      <c r="L710" s="832"/>
      <c r="M710" s="832"/>
      <c r="N710" s="832"/>
      <c r="O710" s="832"/>
      <c r="P710" s="832"/>
      <c r="Q710" s="832"/>
      <c r="R710" s="832"/>
    </row>
    <row r="711" spans="2:18">
      <c r="B711" s="832"/>
      <c r="C711" s="833"/>
      <c r="D711" s="833"/>
      <c r="E711" s="833"/>
      <c r="F711" s="1111"/>
      <c r="G711" s="1111"/>
      <c r="H711" s="834"/>
      <c r="I711" s="832"/>
      <c r="J711" s="1111"/>
      <c r="K711" s="832"/>
      <c r="L711" s="832"/>
      <c r="M711" s="832"/>
      <c r="N711" s="832"/>
      <c r="O711" s="832"/>
      <c r="P711" s="832"/>
      <c r="Q711" s="832"/>
      <c r="R711" s="832"/>
    </row>
    <row r="712" spans="2:18">
      <c r="B712" s="832"/>
      <c r="C712" s="833"/>
      <c r="D712" s="833"/>
      <c r="E712" s="833"/>
      <c r="F712" s="1111"/>
      <c r="G712" s="1111"/>
      <c r="H712" s="834"/>
      <c r="I712" s="832"/>
      <c r="J712" s="1111"/>
      <c r="K712" s="832"/>
      <c r="L712" s="832"/>
      <c r="M712" s="832"/>
      <c r="N712" s="832"/>
      <c r="O712" s="832"/>
      <c r="P712" s="832"/>
      <c r="Q712" s="832"/>
      <c r="R712" s="832"/>
    </row>
    <row r="713" spans="2:18">
      <c r="B713" s="832"/>
      <c r="C713" s="833"/>
      <c r="D713" s="833"/>
      <c r="E713" s="833"/>
      <c r="F713" s="1111"/>
      <c r="G713" s="1111"/>
      <c r="H713" s="834"/>
      <c r="I713" s="832"/>
      <c r="J713" s="1111"/>
      <c r="K713" s="832"/>
      <c r="L713" s="832"/>
      <c r="M713" s="832"/>
      <c r="N713" s="832"/>
      <c r="O713" s="832"/>
      <c r="P713" s="832"/>
      <c r="Q713" s="832"/>
      <c r="R713" s="832"/>
    </row>
    <row r="714" spans="2:18">
      <c r="B714" s="832"/>
      <c r="C714" s="833"/>
      <c r="D714" s="833"/>
      <c r="E714" s="833"/>
      <c r="F714" s="1111"/>
      <c r="G714" s="1111"/>
      <c r="H714" s="834"/>
      <c r="I714" s="832"/>
      <c r="J714" s="1111"/>
      <c r="K714" s="832"/>
      <c r="L714" s="832"/>
      <c r="M714" s="832"/>
      <c r="N714" s="832"/>
      <c r="O714" s="832"/>
      <c r="P714" s="832"/>
      <c r="Q714" s="832"/>
      <c r="R714" s="832"/>
    </row>
    <row r="715" spans="2:18">
      <c r="B715" s="832"/>
      <c r="C715" s="833"/>
      <c r="D715" s="833"/>
      <c r="E715" s="833"/>
      <c r="F715" s="1111"/>
      <c r="G715" s="1111"/>
      <c r="H715" s="834"/>
      <c r="I715" s="832"/>
      <c r="J715" s="1111"/>
      <c r="K715" s="832"/>
      <c r="L715" s="832"/>
      <c r="M715" s="832"/>
      <c r="N715" s="832"/>
      <c r="O715" s="832"/>
      <c r="P715" s="832"/>
      <c r="Q715" s="832"/>
      <c r="R715" s="832"/>
    </row>
    <row r="716" spans="2:18">
      <c r="B716" s="832"/>
      <c r="C716" s="833"/>
      <c r="D716" s="833"/>
      <c r="E716" s="833"/>
      <c r="F716" s="1111"/>
      <c r="G716" s="1111"/>
      <c r="H716" s="834"/>
      <c r="I716" s="832"/>
      <c r="J716" s="1111"/>
      <c r="K716" s="832"/>
      <c r="L716" s="832"/>
      <c r="M716" s="832"/>
      <c r="N716" s="832"/>
      <c r="O716" s="832"/>
      <c r="P716" s="832"/>
      <c r="Q716" s="832"/>
      <c r="R716" s="832"/>
    </row>
    <row r="717" spans="2:18">
      <c r="B717" s="832"/>
      <c r="C717" s="833"/>
      <c r="D717" s="833"/>
      <c r="E717" s="833"/>
      <c r="F717" s="1111"/>
      <c r="G717" s="1111"/>
      <c r="H717" s="834"/>
      <c r="I717" s="832"/>
      <c r="J717" s="1111"/>
      <c r="K717" s="832"/>
      <c r="L717" s="832"/>
      <c r="M717" s="832"/>
      <c r="N717" s="832"/>
      <c r="O717" s="832"/>
      <c r="P717" s="832"/>
      <c r="Q717" s="832"/>
      <c r="R717" s="832"/>
    </row>
    <row r="718" spans="2:18">
      <c r="B718" s="832"/>
      <c r="C718" s="833"/>
      <c r="D718" s="833"/>
      <c r="E718" s="833"/>
      <c r="F718" s="1111"/>
      <c r="G718" s="1111"/>
      <c r="H718" s="834"/>
      <c r="I718" s="832"/>
      <c r="J718" s="1111"/>
      <c r="K718" s="832"/>
      <c r="L718" s="832"/>
      <c r="M718" s="832"/>
      <c r="N718" s="832"/>
      <c r="O718" s="832"/>
      <c r="P718" s="832"/>
      <c r="Q718" s="832"/>
      <c r="R718" s="832"/>
    </row>
    <row r="719" spans="2:18">
      <c r="B719" s="832"/>
      <c r="C719" s="833"/>
      <c r="D719" s="833"/>
      <c r="E719" s="833"/>
      <c r="F719" s="1111"/>
      <c r="G719" s="1111"/>
      <c r="H719" s="834"/>
      <c r="I719" s="832"/>
      <c r="J719" s="1111"/>
      <c r="K719" s="832"/>
      <c r="L719" s="832"/>
      <c r="M719" s="832"/>
      <c r="N719" s="832"/>
      <c r="O719" s="832"/>
      <c r="P719" s="832"/>
      <c r="Q719" s="832"/>
      <c r="R719" s="832"/>
    </row>
    <row r="720" spans="2:18">
      <c r="B720" s="832"/>
      <c r="C720" s="833"/>
      <c r="D720" s="833"/>
      <c r="E720" s="833"/>
      <c r="F720" s="1111"/>
      <c r="G720" s="1111"/>
      <c r="H720" s="834"/>
      <c r="I720" s="832"/>
      <c r="J720" s="1111"/>
      <c r="K720" s="832"/>
      <c r="L720" s="832"/>
      <c r="M720" s="832"/>
      <c r="N720" s="832"/>
      <c r="O720" s="832"/>
      <c r="P720" s="832"/>
      <c r="Q720" s="832"/>
      <c r="R720" s="832"/>
    </row>
    <row r="721" spans="2:18">
      <c r="B721" s="832"/>
      <c r="C721" s="833"/>
      <c r="D721" s="833"/>
      <c r="E721" s="833"/>
      <c r="F721" s="1111"/>
      <c r="G721" s="1111"/>
      <c r="H721" s="834"/>
      <c r="I721" s="832"/>
      <c r="J721" s="1111"/>
      <c r="K721" s="832"/>
      <c r="L721" s="832"/>
      <c r="M721" s="832"/>
      <c r="N721" s="832"/>
      <c r="O721" s="832"/>
      <c r="P721" s="832"/>
      <c r="Q721" s="832"/>
      <c r="R721" s="832"/>
    </row>
    <row r="722" spans="2:18">
      <c r="B722" s="832"/>
      <c r="C722" s="833"/>
      <c r="D722" s="833"/>
      <c r="E722" s="833"/>
      <c r="F722" s="1111"/>
      <c r="G722" s="1111"/>
      <c r="H722" s="834"/>
      <c r="I722" s="832"/>
      <c r="J722" s="1111"/>
      <c r="K722" s="832"/>
      <c r="L722" s="832"/>
      <c r="M722" s="832"/>
      <c r="N722" s="832"/>
      <c r="O722" s="832"/>
      <c r="P722" s="832"/>
      <c r="Q722" s="832"/>
      <c r="R722" s="832"/>
    </row>
    <row r="723" spans="2:18">
      <c r="B723" s="832"/>
      <c r="C723" s="833"/>
      <c r="D723" s="833"/>
      <c r="E723" s="833"/>
      <c r="F723" s="1111"/>
      <c r="G723" s="1111"/>
      <c r="H723" s="834"/>
      <c r="I723" s="832"/>
      <c r="J723" s="1111"/>
      <c r="K723" s="832"/>
      <c r="L723" s="832"/>
      <c r="M723" s="832"/>
      <c r="N723" s="832"/>
      <c r="O723" s="832"/>
      <c r="P723" s="832"/>
      <c r="Q723" s="832"/>
      <c r="R723" s="832"/>
    </row>
    <row r="724" spans="2:18">
      <c r="B724" s="832"/>
      <c r="C724" s="833"/>
      <c r="D724" s="833"/>
      <c r="E724" s="833"/>
      <c r="F724" s="1111"/>
      <c r="G724" s="1111"/>
      <c r="H724" s="834"/>
      <c r="I724" s="832"/>
      <c r="J724" s="1111"/>
      <c r="K724" s="832"/>
      <c r="L724" s="832"/>
      <c r="M724" s="832"/>
      <c r="N724" s="832"/>
      <c r="O724" s="832"/>
      <c r="P724" s="832"/>
      <c r="Q724" s="832"/>
      <c r="R724" s="832"/>
    </row>
    <row r="725" spans="2:18">
      <c r="B725" s="832"/>
      <c r="C725" s="833"/>
      <c r="D725" s="833"/>
      <c r="E725" s="833"/>
      <c r="F725" s="1111"/>
      <c r="G725" s="1111"/>
      <c r="H725" s="834"/>
      <c r="I725" s="832"/>
      <c r="J725" s="1111"/>
      <c r="K725" s="832"/>
      <c r="L725" s="832"/>
      <c r="M725" s="832"/>
      <c r="N725" s="832"/>
      <c r="O725" s="832"/>
      <c r="P725" s="832"/>
      <c r="Q725" s="832"/>
      <c r="R725" s="832"/>
    </row>
    <row r="726" spans="2:18">
      <c r="B726" s="832"/>
      <c r="C726" s="833"/>
      <c r="D726" s="833"/>
      <c r="E726" s="833"/>
      <c r="F726" s="1111"/>
      <c r="G726" s="1111"/>
      <c r="H726" s="834"/>
      <c r="I726" s="832"/>
      <c r="J726" s="1111"/>
      <c r="K726" s="832"/>
      <c r="L726" s="832"/>
      <c r="M726" s="832"/>
      <c r="N726" s="832"/>
      <c r="O726" s="832"/>
      <c r="P726" s="832"/>
      <c r="Q726" s="832"/>
      <c r="R726" s="832"/>
    </row>
    <row r="727" spans="2:18">
      <c r="B727" s="832"/>
      <c r="C727" s="833"/>
      <c r="D727" s="833"/>
      <c r="E727" s="833"/>
      <c r="F727" s="1111"/>
      <c r="G727" s="1111"/>
      <c r="H727" s="834"/>
      <c r="I727" s="832"/>
      <c r="J727" s="1111"/>
      <c r="K727" s="832"/>
      <c r="L727" s="832"/>
      <c r="M727" s="832"/>
      <c r="N727" s="832"/>
      <c r="O727" s="832"/>
      <c r="P727" s="832"/>
      <c r="Q727" s="832"/>
      <c r="R727" s="832"/>
    </row>
    <row r="728" spans="2:18">
      <c r="B728" s="832"/>
      <c r="C728" s="833"/>
      <c r="D728" s="833"/>
      <c r="E728" s="833"/>
      <c r="F728" s="1111"/>
      <c r="G728" s="1111"/>
      <c r="H728" s="834"/>
      <c r="I728" s="832"/>
      <c r="J728" s="1111"/>
      <c r="K728" s="832"/>
      <c r="L728" s="832"/>
      <c r="M728" s="832"/>
      <c r="N728" s="832"/>
      <c r="O728" s="832"/>
      <c r="P728" s="832"/>
      <c r="Q728" s="832"/>
      <c r="R728" s="832"/>
    </row>
    <row r="729" spans="2:18">
      <c r="B729" s="832"/>
      <c r="C729" s="833"/>
      <c r="D729" s="833"/>
      <c r="E729" s="833"/>
      <c r="F729" s="1111"/>
      <c r="G729" s="1111"/>
      <c r="H729" s="834"/>
      <c r="I729" s="832"/>
      <c r="J729" s="1111"/>
      <c r="K729" s="832"/>
      <c r="L729" s="832"/>
      <c r="M729" s="832"/>
      <c r="N729" s="832"/>
      <c r="O729" s="832"/>
      <c r="P729" s="832"/>
      <c r="Q729" s="832"/>
      <c r="R729" s="832"/>
    </row>
    <row r="730" spans="2:18">
      <c r="B730" s="832"/>
      <c r="C730" s="833"/>
      <c r="D730" s="833"/>
      <c r="E730" s="833"/>
      <c r="F730" s="1111"/>
      <c r="G730" s="1111"/>
      <c r="H730" s="834"/>
      <c r="I730" s="832"/>
      <c r="J730" s="1111"/>
      <c r="K730" s="832"/>
      <c r="L730" s="832"/>
      <c r="M730" s="832"/>
      <c r="N730" s="832"/>
      <c r="O730" s="832"/>
      <c r="P730" s="832"/>
      <c r="Q730" s="832"/>
      <c r="R730" s="832"/>
    </row>
    <row r="731" spans="2:18">
      <c r="B731" s="832"/>
      <c r="C731" s="833"/>
      <c r="D731" s="833"/>
      <c r="E731" s="833"/>
      <c r="F731" s="1111"/>
      <c r="G731" s="1111"/>
      <c r="H731" s="834"/>
      <c r="I731" s="832"/>
      <c r="J731" s="1111"/>
      <c r="K731" s="832"/>
      <c r="L731" s="832"/>
      <c r="M731" s="832"/>
      <c r="N731" s="832"/>
      <c r="O731" s="832"/>
      <c r="P731" s="832"/>
      <c r="Q731" s="832"/>
      <c r="R731" s="832"/>
    </row>
    <row r="732" spans="2:18">
      <c r="B732" s="832"/>
      <c r="C732" s="833"/>
      <c r="D732" s="833"/>
      <c r="E732" s="833"/>
      <c r="F732" s="1111"/>
      <c r="G732" s="1111"/>
      <c r="H732" s="834"/>
      <c r="I732" s="832"/>
      <c r="J732" s="1111"/>
      <c r="K732" s="832"/>
      <c r="L732" s="832"/>
      <c r="M732" s="832"/>
      <c r="N732" s="832"/>
      <c r="O732" s="832"/>
      <c r="P732" s="832"/>
      <c r="Q732" s="832"/>
      <c r="R732" s="832"/>
    </row>
    <row r="733" spans="2:18">
      <c r="B733" s="832"/>
      <c r="C733" s="833"/>
      <c r="D733" s="833"/>
      <c r="E733" s="833"/>
      <c r="F733" s="1111"/>
      <c r="G733" s="1111"/>
      <c r="H733" s="834"/>
      <c r="I733" s="832"/>
      <c r="J733" s="1111"/>
      <c r="K733" s="832"/>
      <c r="L733" s="832"/>
      <c r="M733" s="832"/>
      <c r="N733" s="832"/>
      <c r="O733" s="832"/>
      <c r="P733" s="832"/>
      <c r="Q733" s="832"/>
      <c r="R733" s="832"/>
    </row>
    <row r="734" spans="2:18">
      <c r="B734" s="832"/>
      <c r="C734" s="833"/>
      <c r="D734" s="833"/>
      <c r="E734" s="833"/>
      <c r="F734" s="1111"/>
      <c r="G734" s="1111"/>
      <c r="H734" s="834"/>
      <c r="I734" s="832"/>
      <c r="J734" s="1111"/>
      <c r="K734" s="832"/>
      <c r="L734" s="832"/>
      <c r="M734" s="832"/>
      <c r="N734" s="832"/>
      <c r="O734" s="832"/>
      <c r="P734" s="832"/>
      <c r="Q734" s="832"/>
      <c r="R734" s="832"/>
    </row>
    <row r="735" spans="2:18">
      <c r="B735" s="832"/>
      <c r="C735" s="833"/>
      <c r="D735" s="833"/>
      <c r="E735" s="833"/>
      <c r="F735" s="1111"/>
      <c r="G735" s="1111"/>
      <c r="H735" s="834"/>
      <c r="I735" s="832"/>
      <c r="J735" s="1111"/>
      <c r="K735" s="832"/>
      <c r="L735" s="832"/>
      <c r="M735" s="832"/>
      <c r="N735" s="832"/>
      <c r="O735" s="832"/>
      <c r="P735" s="832"/>
      <c r="Q735" s="832"/>
      <c r="R735" s="832"/>
    </row>
    <row r="736" spans="2:18">
      <c r="B736" s="832"/>
      <c r="C736" s="833"/>
      <c r="D736" s="833"/>
      <c r="E736" s="833"/>
      <c r="F736" s="1111"/>
      <c r="G736" s="1111"/>
      <c r="H736" s="834"/>
      <c r="I736" s="832"/>
      <c r="J736" s="1111"/>
      <c r="K736" s="832"/>
      <c r="L736" s="832"/>
      <c r="M736" s="832"/>
      <c r="N736" s="832"/>
      <c r="O736" s="832"/>
      <c r="P736" s="832"/>
      <c r="Q736" s="832"/>
      <c r="R736" s="832"/>
    </row>
    <row r="737" spans="2:18">
      <c r="B737" s="832"/>
      <c r="C737" s="833"/>
      <c r="D737" s="833"/>
      <c r="E737" s="833"/>
      <c r="F737" s="1111"/>
      <c r="G737" s="1111"/>
      <c r="H737" s="834"/>
      <c r="I737" s="832"/>
      <c r="J737" s="1111"/>
      <c r="K737" s="832"/>
      <c r="L737" s="832"/>
      <c r="M737" s="832"/>
      <c r="N737" s="832"/>
      <c r="O737" s="832"/>
      <c r="P737" s="832"/>
      <c r="Q737" s="832"/>
      <c r="R737" s="832"/>
    </row>
    <row r="738" spans="2:18">
      <c r="B738" s="832"/>
      <c r="C738" s="833"/>
      <c r="D738" s="833"/>
      <c r="E738" s="833"/>
      <c r="F738" s="1111"/>
      <c r="G738" s="1111"/>
      <c r="H738" s="834"/>
      <c r="I738" s="832"/>
      <c r="J738" s="1111"/>
      <c r="K738" s="832"/>
      <c r="L738" s="832"/>
      <c r="M738" s="832"/>
      <c r="N738" s="832"/>
      <c r="O738" s="832"/>
      <c r="P738" s="832"/>
      <c r="Q738" s="832"/>
      <c r="R738" s="832"/>
    </row>
    <row r="739" spans="2:18">
      <c r="B739" s="832"/>
      <c r="C739" s="833"/>
      <c r="D739" s="833"/>
      <c r="E739" s="833"/>
      <c r="F739" s="1111"/>
      <c r="G739" s="1111"/>
      <c r="H739" s="834"/>
      <c r="I739" s="832"/>
      <c r="J739" s="1111"/>
      <c r="K739" s="832"/>
      <c r="L739" s="832"/>
      <c r="M739" s="832"/>
      <c r="N739" s="832"/>
      <c r="O739" s="832"/>
      <c r="P739" s="832"/>
      <c r="Q739" s="832"/>
      <c r="R739" s="832"/>
    </row>
    <row r="740" spans="2:18">
      <c r="B740" s="832"/>
      <c r="C740" s="833"/>
      <c r="D740" s="833"/>
      <c r="E740" s="833"/>
      <c r="F740" s="1111"/>
      <c r="G740" s="1111"/>
      <c r="H740" s="834"/>
      <c r="I740" s="832"/>
      <c r="J740" s="1111"/>
      <c r="K740" s="832"/>
      <c r="L740" s="832"/>
      <c r="M740" s="832"/>
      <c r="N740" s="832"/>
      <c r="O740" s="832"/>
      <c r="P740" s="832"/>
      <c r="Q740" s="832"/>
      <c r="R740" s="832"/>
    </row>
    <row r="741" spans="2:18">
      <c r="B741" s="832"/>
      <c r="C741" s="833"/>
      <c r="D741" s="833"/>
      <c r="E741" s="833"/>
      <c r="F741" s="1111"/>
      <c r="G741" s="1111"/>
      <c r="H741" s="834"/>
      <c r="I741" s="832"/>
      <c r="J741" s="1111"/>
      <c r="K741" s="832"/>
      <c r="L741" s="832"/>
      <c r="M741" s="832"/>
      <c r="N741" s="832"/>
      <c r="O741" s="832"/>
      <c r="P741" s="832"/>
      <c r="Q741" s="832"/>
      <c r="R741" s="832"/>
    </row>
    <row r="742" spans="2:18">
      <c r="B742" s="832"/>
      <c r="C742" s="833"/>
      <c r="D742" s="833"/>
      <c r="E742" s="833"/>
      <c r="F742" s="1111"/>
      <c r="G742" s="1111"/>
      <c r="H742" s="834"/>
      <c r="I742" s="832"/>
      <c r="J742" s="1111"/>
      <c r="K742" s="832"/>
      <c r="L742" s="832"/>
      <c r="M742" s="832"/>
      <c r="N742" s="832"/>
      <c r="O742" s="832"/>
      <c r="P742" s="832"/>
      <c r="Q742" s="832"/>
      <c r="R742" s="832"/>
    </row>
    <row r="743" spans="2:18">
      <c r="B743" s="832"/>
      <c r="C743" s="833"/>
      <c r="D743" s="833"/>
      <c r="E743" s="833"/>
      <c r="F743" s="1111"/>
      <c r="G743" s="1111"/>
      <c r="H743" s="834"/>
      <c r="I743" s="832"/>
      <c r="J743" s="1111"/>
      <c r="K743" s="832"/>
      <c r="L743" s="832"/>
      <c r="M743" s="832"/>
      <c r="N743" s="832"/>
      <c r="O743" s="832"/>
      <c r="P743" s="832"/>
      <c r="Q743" s="832"/>
      <c r="R743" s="832"/>
    </row>
    <row r="744" spans="2:18">
      <c r="B744" s="832"/>
      <c r="C744" s="833"/>
      <c r="D744" s="833"/>
      <c r="E744" s="833"/>
      <c r="F744" s="1111"/>
      <c r="G744" s="1111"/>
      <c r="H744" s="834"/>
      <c r="I744" s="832"/>
      <c r="J744" s="1111"/>
      <c r="K744" s="832"/>
      <c r="L744" s="832"/>
      <c r="M744" s="832"/>
      <c r="N744" s="832"/>
      <c r="O744" s="832"/>
      <c r="P744" s="832"/>
      <c r="Q744" s="832"/>
      <c r="R744" s="832"/>
    </row>
    <row r="745" spans="2:18">
      <c r="B745" s="832"/>
      <c r="C745" s="833"/>
      <c r="D745" s="833"/>
      <c r="E745" s="833"/>
      <c r="F745" s="1111"/>
      <c r="G745" s="1111"/>
      <c r="H745" s="834"/>
      <c r="I745" s="832"/>
      <c r="J745" s="1111"/>
      <c r="K745" s="832"/>
      <c r="L745" s="832"/>
      <c r="M745" s="832"/>
      <c r="N745" s="832"/>
      <c r="O745" s="832"/>
      <c r="P745" s="832"/>
      <c r="Q745" s="832"/>
      <c r="R745" s="832"/>
    </row>
    <row r="746" spans="2:18">
      <c r="B746" s="832"/>
      <c r="C746" s="833"/>
      <c r="D746" s="833"/>
      <c r="E746" s="833"/>
      <c r="F746" s="1111"/>
      <c r="G746" s="1111"/>
      <c r="H746" s="834"/>
      <c r="I746" s="832"/>
      <c r="J746" s="1111"/>
      <c r="K746" s="832"/>
      <c r="L746" s="832"/>
      <c r="M746" s="832"/>
      <c r="N746" s="832"/>
      <c r="O746" s="832"/>
      <c r="P746" s="832"/>
      <c r="Q746" s="832"/>
      <c r="R746" s="832"/>
    </row>
    <row r="747" spans="2:18">
      <c r="B747" s="832"/>
      <c r="C747" s="833"/>
      <c r="D747" s="833"/>
      <c r="E747" s="833"/>
      <c r="F747" s="1111"/>
      <c r="G747" s="1111"/>
      <c r="H747" s="834"/>
      <c r="I747" s="832"/>
      <c r="J747" s="1111"/>
      <c r="K747" s="832"/>
      <c r="L747" s="832"/>
      <c r="M747" s="832"/>
      <c r="N747" s="832"/>
      <c r="O747" s="832"/>
      <c r="P747" s="832"/>
      <c r="Q747" s="832"/>
      <c r="R747" s="832"/>
    </row>
    <row r="748" spans="2:18">
      <c r="B748" s="832"/>
      <c r="C748" s="833"/>
      <c r="D748" s="833"/>
      <c r="E748" s="833"/>
      <c r="F748" s="1111"/>
      <c r="G748" s="1111"/>
      <c r="H748" s="834"/>
      <c r="I748" s="832"/>
      <c r="J748" s="1111"/>
      <c r="K748" s="832"/>
      <c r="L748" s="832"/>
      <c r="M748" s="832"/>
      <c r="N748" s="832"/>
      <c r="O748" s="832"/>
      <c r="P748" s="832"/>
      <c r="Q748" s="832"/>
      <c r="R748" s="832"/>
    </row>
    <row r="749" spans="2:18">
      <c r="B749" s="832"/>
      <c r="C749" s="833"/>
      <c r="D749" s="833"/>
      <c r="E749" s="833"/>
      <c r="F749" s="1111"/>
      <c r="G749" s="1111"/>
      <c r="H749" s="834"/>
      <c r="I749" s="832"/>
      <c r="J749" s="1111"/>
      <c r="K749" s="832"/>
      <c r="L749" s="832"/>
      <c r="M749" s="832"/>
      <c r="N749" s="832"/>
      <c r="O749" s="832"/>
      <c r="P749" s="832"/>
      <c r="Q749" s="832"/>
      <c r="R749" s="832"/>
    </row>
    <row r="750" spans="2:18">
      <c r="B750" s="832"/>
      <c r="C750" s="833"/>
      <c r="D750" s="833"/>
      <c r="E750" s="833"/>
      <c r="F750" s="1111"/>
      <c r="G750" s="1111"/>
      <c r="H750" s="834"/>
      <c r="I750" s="832"/>
      <c r="J750" s="1111"/>
      <c r="K750" s="832"/>
      <c r="L750" s="832"/>
      <c r="M750" s="832"/>
      <c r="N750" s="832"/>
      <c r="O750" s="832"/>
      <c r="P750" s="832"/>
      <c r="Q750" s="832"/>
      <c r="R750" s="832"/>
    </row>
    <row r="751" spans="2:18">
      <c r="B751" s="832"/>
      <c r="C751" s="833"/>
      <c r="D751" s="833"/>
      <c r="E751" s="833"/>
      <c r="F751" s="1111"/>
      <c r="G751" s="1111"/>
      <c r="H751" s="834"/>
      <c r="I751" s="832"/>
      <c r="J751" s="1111"/>
      <c r="K751" s="832"/>
      <c r="L751" s="832"/>
      <c r="M751" s="832"/>
      <c r="N751" s="832"/>
      <c r="O751" s="832"/>
      <c r="P751" s="832"/>
      <c r="Q751" s="832"/>
      <c r="R751" s="832"/>
    </row>
    <row r="752" spans="2:18">
      <c r="B752" s="832"/>
      <c r="C752" s="833"/>
      <c r="D752" s="833"/>
      <c r="E752" s="833"/>
      <c r="F752" s="1111"/>
      <c r="G752" s="1111"/>
      <c r="H752" s="834"/>
      <c r="I752" s="832"/>
      <c r="J752" s="1111"/>
      <c r="K752" s="832"/>
      <c r="L752" s="832"/>
      <c r="M752" s="832"/>
      <c r="N752" s="832"/>
      <c r="O752" s="832"/>
      <c r="P752" s="832"/>
      <c r="Q752" s="832"/>
      <c r="R752" s="832"/>
    </row>
    <row r="753" spans="2:18">
      <c r="B753" s="832"/>
      <c r="C753" s="833"/>
      <c r="D753" s="833"/>
      <c r="E753" s="833"/>
      <c r="F753" s="1111"/>
      <c r="G753" s="1111"/>
      <c r="H753" s="834"/>
      <c r="I753" s="832"/>
      <c r="J753" s="1111"/>
      <c r="K753" s="832"/>
      <c r="L753" s="832"/>
      <c r="M753" s="832"/>
      <c r="N753" s="832"/>
      <c r="O753" s="832"/>
      <c r="P753" s="832"/>
      <c r="Q753" s="832"/>
      <c r="R753" s="832"/>
    </row>
    <row r="754" spans="2:18">
      <c r="B754" s="832"/>
      <c r="C754" s="833"/>
      <c r="D754" s="833"/>
      <c r="E754" s="833"/>
      <c r="F754" s="1111"/>
      <c r="G754" s="1111"/>
      <c r="H754" s="834"/>
      <c r="I754" s="832"/>
      <c r="J754" s="1111"/>
      <c r="K754" s="832"/>
      <c r="L754" s="832"/>
      <c r="M754" s="832"/>
      <c r="N754" s="832"/>
      <c r="O754" s="832"/>
      <c r="P754" s="832"/>
      <c r="Q754" s="832"/>
      <c r="R754" s="832"/>
    </row>
    <row r="755" spans="2:18">
      <c r="B755" s="832"/>
      <c r="C755" s="833"/>
      <c r="D755" s="833"/>
      <c r="E755" s="833"/>
      <c r="F755" s="1111"/>
      <c r="G755" s="1111"/>
      <c r="H755" s="834"/>
      <c r="I755" s="832"/>
      <c r="J755" s="1111"/>
      <c r="K755" s="832"/>
      <c r="L755" s="832"/>
      <c r="M755" s="832"/>
      <c r="N755" s="832"/>
      <c r="O755" s="832"/>
      <c r="P755" s="832"/>
      <c r="Q755" s="832"/>
      <c r="R755" s="832"/>
    </row>
    <row r="756" spans="2:18">
      <c r="B756" s="832"/>
      <c r="C756" s="833"/>
      <c r="D756" s="833"/>
      <c r="E756" s="833"/>
      <c r="F756" s="1111"/>
      <c r="G756" s="1111"/>
      <c r="H756" s="834"/>
      <c r="I756" s="832"/>
      <c r="J756" s="1111"/>
      <c r="K756" s="832"/>
      <c r="L756" s="832"/>
      <c r="M756" s="832"/>
      <c r="N756" s="832"/>
      <c r="O756" s="832"/>
      <c r="P756" s="832"/>
      <c r="Q756" s="832"/>
      <c r="R756" s="832"/>
    </row>
    <row r="757" spans="2:18">
      <c r="B757" s="832"/>
      <c r="C757" s="833"/>
      <c r="D757" s="833"/>
      <c r="E757" s="833"/>
      <c r="F757" s="1111"/>
      <c r="G757" s="1111"/>
      <c r="H757" s="834"/>
      <c r="I757" s="832"/>
      <c r="J757" s="1111"/>
      <c r="K757" s="832"/>
      <c r="L757" s="832"/>
      <c r="M757" s="832"/>
      <c r="N757" s="832"/>
      <c r="O757" s="832"/>
      <c r="P757" s="832"/>
      <c r="Q757" s="832"/>
      <c r="R757" s="832"/>
    </row>
    <row r="758" spans="2:18">
      <c r="B758" s="832"/>
      <c r="C758" s="833"/>
      <c r="D758" s="833"/>
      <c r="E758" s="833"/>
      <c r="F758" s="1111"/>
      <c r="G758" s="1111"/>
      <c r="H758" s="834"/>
      <c r="I758" s="832"/>
      <c r="J758" s="1111"/>
      <c r="K758" s="832"/>
      <c r="L758" s="832"/>
      <c r="M758" s="832"/>
      <c r="N758" s="832"/>
      <c r="O758" s="832"/>
      <c r="P758" s="832"/>
      <c r="Q758" s="832"/>
      <c r="R758" s="832"/>
    </row>
    <row r="759" spans="2:18">
      <c r="B759" s="832"/>
      <c r="C759" s="833"/>
      <c r="D759" s="833"/>
      <c r="E759" s="833"/>
      <c r="F759" s="1111"/>
      <c r="G759" s="1111"/>
      <c r="H759" s="834"/>
      <c r="I759" s="832"/>
      <c r="J759" s="1111"/>
      <c r="K759" s="832"/>
      <c r="L759" s="832"/>
      <c r="M759" s="832"/>
      <c r="N759" s="832"/>
      <c r="O759" s="832"/>
      <c r="P759" s="832"/>
      <c r="Q759" s="832"/>
      <c r="R759" s="832"/>
    </row>
    <row r="760" spans="2:18">
      <c r="B760" s="832"/>
      <c r="C760" s="833"/>
      <c r="D760" s="833"/>
      <c r="E760" s="833"/>
      <c r="F760" s="1111"/>
      <c r="G760" s="1111"/>
      <c r="H760" s="834"/>
      <c r="I760" s="832"/>
      <c r="J760" s="1111"/>
      <c r="K760" s="832"/>
      <c r="L760" s="832"/>
      <c r="M760" s="832"/>
      <c r="N760" s="832"/>
      <c r="O760" s="832"/>
      <c r="P760" s="832"/>
      <c r="Q760" s="832"/>
      <c r="R760" s="832"/>
    </row>
    <row r="761" spans="2:18">
      <c r="B761" s="832"/>
      <c r="C761" s="833"/>
      <c r="D761" s="833"/>
      <c r="E761" s="833"/>
      <c r="F761" s="1111"/>
      <c r="G761" s="1111"/>
      <c r="H761" s="834"/>
      <c r="I761" s="832"/>
      <c r="J761" s="1111"/>
      <c r="K761" s="832"/>
      <c r="L761" s="832"/>
      <c r="M761" s="832"/>
      <c r="N761" s="832"/>
      <c r="O761" s="832"/>
      <c r="P761" s="832"/>
      <c r="Q761" s="832"/>
      <c r="R761" s="832"/>
    </row>
    <row r="762" spans="2:18">
      <c r="B762" s="832"/>
      <c r="C762" s="833"/>
      <c r="D762" s="833"/>
      <c r="E762" s="833"/>
      <c r="F762" s="1111"/>
      <c r="G762" s="1111"/>
      <c r="H762" s="834"/>
      <c r="I762" s="832"/>
      <c r="J762" s="1111"/>
      <c r="K762" s="832"/>
      <c r="L762" s="832"/>
      <c r="M762" s="832"/>
      <c r="N762" s="832"/>
      <c r="O762" s="832"/>
      <c r="P762" s="832"/>
      <c r="Q762" s="832"/>
      <c r="R762" s="832"/>
    </row>
    <row r="763" spans="2:18">
      <c r="B763" s="832"/>
      <c r="C763" s="833"/>
      <c r="D763" s="833"/>
      <c r="E763" s="833"/>
      <c r="F763" s="1111"/>
      <c r="G763" s="1111"/>
      <c r="H763" s="834"/>
      <c r="I763" s="832"/>
      <c r="J763" s="1111"/>
      <c r="K763" s="832"/>
      <c r="L763" s="832"/>
      <c r="M763" s="832"/>
      <c r="N763" s="832"/>
      <c r="O763" s="832"/>
      <c r="P763" s="832"/>
      <c r="Q763" s="832"/>
      <c r="R763" s="832"/>
    </row>
    <row r="764" spans="2:18">
      <c r="B764" s="832"/>
      <c r="C764" s="833"/>
      <c r="D764" s="833"/>
      <c r="E764" s="833"/>
      <c r="F764" s="1111"/>
      <c r="G764" s="1111"/>
      <c r="H764" s="834"/>
      <c r="I764" s="832"/>
      <c r="J764" s="1111"/>
      <c r="K764" s="832"/>
      <c r="L764" s="832"/>
      <c r="M764" s="832"/>
      <c r="N764" s="832"/>
      <c r="O764" s="832"/>
      <c r="P764" s="832"/>
      <c r="Q764" s="832"/>
      <c r="R764" s="832"/>
    </row>
    <row r="765" spans="2:18">
      <c r="B765" s="832"/>
      <c r="C765" s="833"/>
      <c r="D765" s="833"/>
      <c r="E765" s="833"/>
      <c r="F765" s="1111"/>
      <c r="G765" s="1111"/>
      <c r="H765" s="834"/>
      <c r="I765" s="832"/>
      <c r="J765" s="1111"/>
      <c r="K765" s="832"/>
      <c r="L765" s="832"/>
      <c r="M765" s="832"/>
      <c r="N765" s="832"/>
      <c r="O765" s="832"/>
      <c r="P765" s="832"/>
      <c r="Q765" s="832"/>
      <c r="R765" s="832"/>
    </row>
    <row r="766" spans="2:18">
      <c r="B766" s="832"/>
      <c r="C766" s="833"/>
      <c r="D766" s="833"/>
      <c r="E766" s="833"/>
      <c r="F766" s="1111"/>
      <c r="G766" s="1111"/>
      <c r="H766" s="834"/>
      <c r="I766" s="832"/>
      <c r="J766" s="1111"/>
      <c r="K766" s="832"/>
      <c r="L766" s="832"/>
      <c r="M766" s="832"/>
      <c r="N766" s="832"/>
      <c r="O766" s="832"/>
      <c r="P766" s="832"/>
      <c r="Q766" s="832"/>
      <c r="R766" s="832"/>
    </row>
    <row r="767" spans="2:18">
      <c r="B767" s="832"/>
      <c r="C767" s="833"/>
      <c r="D767" s="833"/>
      <c r="E767" s="833"/>
      <c r="F767" s="1111"/>
      <c r="G767" s="1111"/>
      <c r="H767" s="834"/>
      <c r="I767" s="832"/>
      <c r="J767" s="1111"/>
      <c r="K767" s="832"/>
      <c r="L767" s="832"/>
      <c r="M767" s="832"/>
      <c r="N767" s="832"/>
      <c r="O767" s="832"/>
      <c r="P767" s="832"/>
      <c r="Q767" s="832"/>
      <c r="R767" s="832"/>
    </row>
    <row r="768" spans="2:18">
      <c r="B768" s="832"/>
      <c r="C768" s="833"/>
      <c r="D768" s="833"/>
      <c r="E768" s="833"/>
      <c r="F768" s="1111"/>
      <c r="G768" s="1111"/>
      <c r="H768" s="834"/>
      <c r="I768" s="832"/>
      <c r="J768" s="1111"/>
      <c r="K768" s="832"/>
      <c r="L768" s="832"/>
      <c r="M768" s="832"/>
      <c r="N768" s="832"/>
      <c r="O768" s="832"/>
      <c r="P768" s="832"/>
      <c r="Q768" s="832"/>
      <c r="R768" s="832"/>
    </row>
    <row r="769" spans="2:18">
      <c r="B769" s="832"/>
      <c r="C769" s="833"/>
      <c r="D769" s="833"/>
      <c r="E769" s="833"/>
      <c r="F769" s="1111"/>
      <c r="G769" s="1111"/>
      <c r="H769" s="834"/>
      <c r="I769" s="832"/>
      <c r="J769" s="1111"/>
      <c r="K769" s="832"/>
      <c r="L769" s="832"/>
      <c r="M769" s="832"/>
      <c r="N769" s="832"/>
      <c r="O769" s="832"/>
      <c r="P769" s="832"/>
      <c r="Q769" s="832"/>
      <c r="R769" s="832"/>
    </row>
    <row r="770" spans="2:18">
      <c r="B770" s="832"/>
      <c r="C770" s="833"/>
      <c r="D770" s="833"/>
      <c r="E770" s="833"/>
      <c r="F770" s="1111"/>
      <c r="G770" s="1111"/>
      <c r="H770" s="834"/>
      <c r="I770" s="832"/>
      <c r="J770" s="1111"/>
      <c r="K770" s="832"/>
      <c r="L770" s="832"/>
      <c r="M770" s="832"/>
      <c r="N770" s="832"/>
      <c r="O770" s="832"/>
      <c r="P770" s="832"/>
      <c r="Q770" s="832"/>
      <c r="R770" s="832"/>
    </row>
    <row r="771" spans="2:18">
      <c r="B771" s="832"/>
      <c r="C771" s="833"/>
      <c r="D771" s="833"/>
      <c r="E771" s="833"/>
      <c r="F771" s="1111"/>
      <c r="G771" s="1111"/>
      <c r="H771" s="834"/>
      <c r="I771" s="832"/>
      <c r="J771" s="1111"/>
      <c r="K771" s="832"/>
      <c r="L771" s="832"/>
      <c r="M771" s="832"/>
      <c r="N771" s="832"/>
      <c r="O771" s="832"/>
      <c r="P771" s="832"/>
      <c r="Q771" s="832"/>
      <c r="R771" s="832"/>
    </row>
    <row r="772" spans="2:18">
      <c r="B772" s="832"/>
      <c r="C772" s="833"/>
      <c r="D772" s="833"/>
      <c r="E772" s="833"/>
      <c r="F772" s="1111"/>
      <c r="G772" s="1111"/>
      <c r="H772" s="834"/>
      <c r="I772" s="832"/>
      <c r="J772" s="1111"/>
      <c r="K772" s="832"/>
      <c r="L772" s="832"/>
      <c r="M772" s="832"/>
      <c r="N772" s="832"/>
      <c r="O772" s="832"/>
      <c r="P772" s="832"/>
      <c r="Q772" s="832"/>
      <c r="R772" s="832"/>
    </row>
    <row r="773" spans="2:18">
      <c r="B773" s="832"/>
      <c r="C773" s="833"/>
      <c r="D773" s="833"/>
      <c r="E773" s="833"/>
      <c r="F773" s="1111"/>
      <c r="G773" s="1111"/>
      <c r="H773" s="834"/>
      <c r="I773" s="832"/>
      <c r="J773" s="1111"/>
      <c r="K773" s="832"/>
      <c r="L773" s="832"/>
      <c r="M773" s="832"/>
      <c r="N773" s="832"/>
      <c r="O773" s="832"/>
      <c r="P773" s="832"/>
      <c r="Q773" s="832"/>
      <c r="R773" s="832"/>
    </row>
    <row r="774" spans="2:18">
      <c r="B774" s="832"/>
      <c r="C774" s="833"/>
      <c r="D774" s="833"/>
      <c r="E774" s="833"/>
      <c r="F774" s="1111"/>
      <c r="G774" s="1111"/>
      <c r="H774" s="834"/>
      <c r="I774" s="832"/>
      <c r="J774" s="1111"/>
      <c r="K774" s="832"/>
      <c r="L774" s="832"/>
      <c r="M774" s="832"/>
      <c r="N774" s="832"/>
      <c r="O774" s="832"/>
      <c r="P774" s="832"/>
      <c r="Q774" s="832"/>
      <c r="R774" s="832"/>
    </row>
    <row r="775" spans="2:18">
      <c r="B775" s="832"/>
      <c r="C775" s="833"/>
      <c r="D775" s="833"/>
      <c r="E775" s="833"/>
      <c r="F775" s="1111"/>
      <c r="G775" s="1111"/>
      <c r="H775" s="834"/>
      <c r="I775" s="832"/>
      <c r="J775" s="1111"/>
      <c r="K775" s="832"/>
      <c r="L775" s="832"/>
      <c r="M775" s="832"/>
      <c r="N775" s="832"/>
      <c r="O775" s="832"/>
      <c r="P775" s="832"/>
      <c r="Q775" s="832"/>
      <c r="R775" s="832"/>
    </row>
    <row r="776" spans="2:18">
      <c r="B776" s="832"/>
      <c r="C776" s="833"/>
      <c r="D776" s="833"/>
      <c r="E776" s="833"/>
      <c r="F776" s="1111"/>
      <c r="G776" s="1111"/>
      <c r="H776" s="834"/>
      <c r="I776" s="832"/>
      <c r="J776" s="1111"/>
      <c r="K776" s="832"/>
      <c r="L776" s="832"/>
      <c r="M776" s="832"/>
      <c r="N776" s="832"/>
      <c r="O776" s="832"/>
      <c r="P776" s="832"/>
      <c r="Q776" s="832"/>
      <c r="R776" s="832"/>
    </row>
    <row r="777" spans="2:18">
      <c r="B777" s="832"/>
      <c r="C777" s="833"/>
      <c r="D777" s="833"/>
      <c r="E777" s="833"/>
      <c r="F777" s="1111"/>
      <c r="G777" s="1111"/>
      <c r="H777" s="834"/>
      <c r="I777" s="832"/>
      <c r="J777" s="1111"/>
      <c r="K777" s="832"/>
      <c r="L777" s="832"/>
      <c r="M777" s="832"/>
      <c r="N777" s="832"/>
      <c r="O777" s="832"/>
      <c r="P777" s="832"/>
      <c r="Q777" s="832"/>
      <c r="R777" s="832"/>
    </row>
    <row r="778" spans="2:18">
      <c r="B778" s="832"/>
      <c r="C778" s="833"/>
      <c r="D778" s="833"/>
      <c r="E778" s="833"/>
      <c r="F778" s="1111"/>
      <c r="G778" s="1111"/>
      <c r="H778" s="834"/>
      <c r="I778" s="832"/>
      <c r="J778" s="1111"/>
      <c r="K778" s="832"/>
      <c r="L778" s="832"/>
      <c r="M778" s="832"/>
      <c r="N778" s="832"/>
      <c r="O778" s="832"/>
      <c r="P778" s="832"/>
      <c r="Q778" s="832"/>
      <c r="R778" s="832"/>
    </row>
    <row r="779" spans="2:18">
      <c r="B779" s="832"/>
      <c r="C779" s="833"/>
      <c r="D779" s="833"/>
      <c r="E779" s="833"/>
      <c r="F779" s="1111"/>
      <c r="G779" s="1111"/>
      <c r="H779" s="834"/>
      <c r="I779" s="832"/>
      <c r="J779" s="1111"/>
      <c r="K779" s="832"/>
      <c r="L779" s="832"/>
      <c r="M779" s="832"/>
      <c r="N779" s="832"/>
      <c r="O779" s="832"/>
      <c r="P779" s="832"/>
      <c r="Q779" s="832"/>
      <c r="R779" s="832"/>
    </row>
    <row r="780" spans="2:18">
      <c r="B780" s="832"/>
      <c r="C780" s="833"/>
      <c r="D780" s="833"/>
      <c r="E780" s="833"/>
      <c r="F780" s="1111"/>
      <c r="G780" s="1111"/>
      <c r="H780" s="834"/>
      <c r="I780" s="832"/>
      <c r="J780" s="1111"/>
      <c r="K780" s="832"/>
      <c r="L780" s="832"/>
      <c r="M780" s="832"/>
      <c r="N780" s="832"/>
      <c r="O780" s="832"/>
      <c r="P780" s="832"/>
      <c r="Q780" s="832"/>
      <c r="R780" s="832"/>
    </row>
    <row r="781" spans="2:18">
      <c r="B781" s="832"/>
      <c r="C781" s="833"/>
      <c r="D781" s="833"/>
      <c r="E781" s="833"/>
      <c r="F781" s="1111"/>
      <c r="G781" s="1111"/>
      <c r="H781" s="834"/>
      <c r="I781" s="832"/>
      <c r="J781" s="1111"/>
      <c r="K781" s="832"/>
      <c r="L781" s="832"/>
      <c r="M781" s="832"/>
      <c r="N781" s="832"/>
      <c r="O781" s="832"/>
      <c r="P781" s="832"/>
      <c r="Q781" s="832"/>
      <c r="R781" s="832"/>
    </row>
    <row r="782" spans="2:18">
      <c r="B782" s="832"/>
      <c r="C782" s="833"/>
      <c r="D782" s="833"/>
      <c r="E782" s="833"/>
      <c r="F782" s="1111"/>
      <c r="G782" s="1111"/>
      <c r="H782" s="834"/>
      <c r="I782" s="832"/>
      <c r="J782" s="1111"/>
      <c r="K782" s="832"/>
      <c r="L782" s="832"/>
      <c r="M782" s="832"/>
      <c r="N782" s="832"/>
      <c r="O782" s="832"/>
      <c r="P782" s="832"/>
      <c r="Q782" s="832"/>
      <c r="R782" s="832"/>
    </row>
    <row r="783" spans="2:18">
      <c r="B783" s="832"/>
      <c r="C783" s="833"/>
      <c r="D783" s="833"/>
      <c r="E783" s="833"/>
      <c r="F783" s="1111"/>
      <c r="G783" s="1111"/>
      <c r="H783" s="834"/>
      <c r="I783" s="832"/>
      <c r="J783" s="1111"/>
      <c r="K783" s="832"/>
      <c r="L783" s="832"/>
      <c r="M783" s="832"/>
      <c r="N783" s="832"/>
      <c r="O783" s="832"/>
      <c r="P783" s="832"/>
      <c r="Q783" s="832"/>
      <c r="R783" s="832"/>
    </row>
    <row r="784" spans="2:18">
      <c r="B784" s="832"/>
      <c r="C784" s="833"/>
      <c r="D784" s="833"/>
      <c r="E784" s="833"/>
      <c r="F784" s="1111"/>
      <c r="G784" s="1111"/>
      <c r="H784" s="834"/>
      <c r="I784" s="832"/>
      <c r="J784" s="1111"/>
      <c r="K784" s="832"/>
      <c r="L784" s="832"/>
      <c r="M784" s="832"/>
      <c r="N784" s="832"/>
      <c r="O784" s="832"/>
      <c r="P784" s="832"/>
      <c r="Q784" s="832"/>
      <c r="R784" s="832"/>
    </row>
    <row r="785" spans="2:18">
      <c r="B785" s="832"/>
      <c r="C785" s="833"/>
      <c r="D785" s="833"/>
      <c r="E785" s="833"/>
      <c r="F785" s="1111"/>
      <c r="G785" s="1111"/>
      <c r="H785" s="834"/>
      <c r="I785" s="832"/>
      <c r="J785" s="1111"/>
      <c r="K785" s="832"/>
      <c r="L785" s="832"/>
      <c r="M785" s="832"/>
      <c r="N785" s="832"/>
      <c r="O785" s="832"/>
      <c r="P785" s="832"/>
      <c r="Q785" s="832"/>
      <c r="R785" s="832"/>
    </row>
    <row r="786" spans="2:18">
      <c r="B786" s="832"/>
      <c r="C786" s="833"/>
      <c r="D786" s="833"/>
      <c r="E786" s="833"/>
      <c r="F786" s="1111"/>
      <c r="G786" s="1111"/>
      <c r="H786" s="834"/>
      <c r="I786" s="832"/>
      <c r="J786" s="1111"/>
      <c r="K786" s="832"/>
      <c r="L786" s="832"/>
      <c r="M786" s="832"/>
      <c r="N786" s="832"/>
      <c r="O786" s="832"/>
      <c r="P786" s="832"/>
      <c r="Q786" s="832"/>
      <c r="R786" s="832"/>
    </row>
    <row r="787" spans="2:18">
      <c r="B787" s="832"/>
      <c r="C787" s="833"/>
      <c r="D787" s="833"/>
      <c r="E787" s="833"/>
      <c r="F787" s="1111"/>
      <c r="G787" s="1111"/>
      <c r="H787" s="834"/>
      <c r="I787" s="832"/>
      <c r="J787" s="1111"/>
      <c r="K787" s="832"/>
      <c r="L787" s="832"/>
      <c r="M787" s="832"/>
      <c r="N787" s="832"/>
      <c r="O787" s="832"/>
      <c r="P787" s="832"/>
      <c r="Q787" s="832"/>
      <c r="R787" s="832"/>
    </row>
    <row r="788" spans="2:18">
      <c r="B788" s="832"/>
      <c r="C788" s="833"/>
      <c r="D788" s="833"/>
      <c r="E788" s="833"/>
      <c r="F788" s="1111"/>
      <c r="G788" s="1111"/>
      <c r="H788" s="834"/>
      <c r="I788" s="832"/>
      <c r="J788" s="1111"/>
      <c r="K788" s="832"/>
      <c r="L788" s="832"/>
      <c r="M788" s="832"/>
      <c r="N788" s="832"/>
      <c r="O788" s="832"/>
      <c r="P788" s="832"/>
      <c r="Q788" s="832"/>
      <c r="R788" s="832"/>
    </row>
    <row r="789" spans="2:18">
      <c r="B789" s="832"/>
      <c r="C789" s="833"/>
      <c r="D789" s="833"/>
      <c r="E789" s="833"/>
      <c r="F789" s="1111"/>
      <c r="G789" s="1111"/>
      <c r="H789" s="834"/>
      <c r="I789" s="832"/>
      <c r="J789" s="1111"/>
      <c r="K789" s="832"/>
      <c r="L789" s="832"/>
      <c r="M789" s="832"/>
      <c r="N789" s="832"/>
      <c r="O789" s="832"/>
      <c r="P789" s="832"/>
      <c r="Q789" s="832"/>
      <c r="R789" s="832"/>
    </row>
    <row r="790" spans="2:18">
      <c r="B790" s="832"/>
      <c r="C790" s="833"/>
      <c r="D790" s="833"/>
      <c r="E790" s="833"/>
      <c r="F790" s="1111"/>
      <c r="G790" s="1111"/>
      <c r="H790" s="834"/>
      <c r="I790" s="832"/>
      <c r="J790" s="1111"/>
      <c r="K790" s="832"/>
      <c r="L790" s="832"/>
      <c r="M790" s="832"/>
      <c r="N790" s="832"/>
      <c r="O790" s="832"/>
      <c r="P790" s="832"/>
      <c r="Q790" s="832"/>
      <c r="R790" s="832"/>
    </row>
    <row r="791" spans="2:18">
      <c r="B791" s="832"/>
      <c r="C791" s="833"/>
      <c r="D791" s="833"/>
      <c r="E791" s="833"/>
      <c r="F791" s="1111"/>
      <c r="G791" s="1111"/>
      <c r="H791" s="834"/>
      <c r="I791" s="832"/>
      <c r="J791" s="1111"/>
      <c r="K791" s="832"/>
      <c r="L791" s="832"/>
      <c r="M791" s="832"/>
      <c r="N791" s="832"/>
      <c r="O791" s="832"/>
      <c r="P791" s="832"/>
      <c r="Q791" s="832"/>
      <c r="R791" s="832"/>
    </row>
    <row r="792" spans="2:18">
      <c r="B792" s="832"/>
      <c r="C792" s="833"/>
      <c r="D792" s="833"/>
      <c r="E792" s="833"/>
      <c r="F792" s="1111"/>
      <c r="G792" s="1111"/>
      <c r="H792" s="834"/>
      <c r="I792" s="832"/>
      <c r="J792" s="1111"/>
      <c r="K792" s="832"/>
      <c r="L792" s="832"/>
      <c r="M792" s="832"/>
      <c r="N792" s="832"/>
      <c r="O792" s="832"/>
      <c r="P792" s="832"/>
      <c r="Q792" s="832"/>
      <c r="R792" s="832"/>
    </row>
    <row r="793" spans="2:18">
      <c r="B793" s="832"/>
      <c r="C793" s="833"/>
      <c r="D793" s="833"/>
      <c r="E793" s="833"/>
      <c r="F793" s="1111"/>
      <c r="G793" s="1111"/>
      <c r="H793" s="834"/>
      <c r="I793" s="832"/>
      <c r="J793" s="1111"/>
      <c r="K793" s="832"/>
      <c r="L793" s="832"/>
      <c r="M793" s="832"/>
      <c r="N793" s="832"/>
      <c r="O793" s="832"/>
      <c r="P793" s="832"/>
      <c r="Q793" s="832"/>
      <c r="R793" s="832"/>
    </row>
    <row r="794" spans="2:18">
      <c r="B794" s="832"/>
      <c r="C794" s="833"/>
      <c r="D794" s="833"/>
      <c r="E794" s="833"/>
      <c r="F794" s="1111"/>
      <c r="G794" s="1111"/>
      <c r="H794" s="834"/>
      <c r="I794" s="832"/>
      <c r="J794" s="1111"/>
      <c r="K794" s="832"/>
      <c r="L794" s="832"/>
      <c r="M794" s="832"/>
      <c r="N794" s="832"/>
      <c r="O794" s="832"/>
      <c r="P794" s="832"/>
      <c r="Q794" s="832"/>
      <c r="R794" s="832"/>
    </row>
    <row r="795" spans="2:18">
      <c r="B795" s="832"/>
      <c r="C795" s="833"/>
      <c r="D795" s="833"/>
      <c r="E795" s="833"/>
      <c r="F795" s="1111"/>
      <c r="G795" s="1111"/>
      <c r="H795" s="834"/>
      <c r="I795" s="832"/>
      <c r="J795" s="1111"/>
      <c r="K795" s="832"/>
      <c r="L795" s="832"/>
      <c r="M795" s="832"/>
      <c r="N795" s="832"/>
      <c r="O795" s="832"/>
      <c r="P795" s="832"/>
      <c r="Q795" s="832"/>
      <c r="R795" s="832"/>
    </row>
    <row r="796" spans="2:18">
      <c r="B796" s="832"/>
      <c r="C796" s="833"/>
      <c r="D796" s="833"/>
      <c r="E796" s="833"/>
      <c r="F796" s="1111"/>
      <c r="G796" s="1111"/>
      <c r="H796" s="834"/>
      <c r="I796" s="832"/>
      <c r="J796" s="1111"/>
      <c r="K796" s="832"/>
      <c r="L796" s="832"/>
      <c r="M796" s="832"/>
      <c r="N796" s="832"/>
      <c r="O796" s="832"/>
      <c r="P796" s="832"/>
      <c r="Q796" s="832"/>
      <c r="R796" s="832"/>
    </row>
    <row r="797" spans="2:18">
      <c r="B797" s="832"/>
      <c r="C797" s="833"/>
      <c r="D797" s="833"/>
      <c r="E797" s="833"/>
      <c r="F797" s="1111"/>
      <c r="G797" s="1111"/>
      <c r="H797" s="834"/>
      <c r="I797" s="832"/>
      <c r="J797" s="1111"/>
      <c r="K797" s="832"/>
      <c r="L797" s="832"/>
      <c r="M797" s="832"/>
      <c r="N797" s="832"/>
      <c r="O797" s="832"/>
      <c r="P797" s="832"/>
      <c r="Q797" s="832"/>
      <c r="R797" s="832"/>
    </row>
    <row r="798" spans="2:18">
      <c r="B798" s="832"/>
      <c r="C798" s="833"/>
      <c r="D798" s="833"/>
      <c r="E798" s="833"/>
      <c r="F798" s="1111"/>
      <c r="G798" s="1111"/>
      <c r="H798" s="834"/>
      <c r="I798" s="832"/>
      <c r="J798" s="1111"/>
      <c r="K798" s="832"/>
      <c r="L798" s="832"/>
      <c r="M798" s="832"/>
      <c r="N798" s="832"/>
      <c r="O798" s="832"/>
      <c r="P798" s="832"/>
      <c r="Q798" s="832"/>
      <c r="R798" s="832"/>
    </row>
    <row r="799" spans="2:18">
      <c r="B799" s="832"/>
      <c r="C799" s="833"/>
      <c r="D799" s="833"/>
      <c r="E799" s="833"/>
      <c r="F799" s="1111"/>
      <c r="G799" s="1111"/>
      <c r="H799" s="834"/>
      <c r="I799" s="832"/>
      <c r="J799" s="1111"/>
      <c r="K799" s="832"/>
      <c r="L799" s="832"/>
      <c r="M799" s="832"/>
      <c r="N799" s="832"/>
      <c r="O799" s="832"/>
      <c r="P799" s="832"/>
      <c r="Q799" s="832"/>
      <c r="R799" s="832"/>
    </row>
    <row r="800" spans="2:18">
      <c r="B800" s="832"/>
      <c r="C800" s="833"/>
      <c r="D800" s="833"/>
      <c r="E800" s="833"/>
      <c r="F800" s="1111"/>
      <c r="G800" s="1111"/>
      <c r="H800" s="834"/>
      <c r="I800" s="832"/>
      <c r="J800" s="1111"/>
      <c r="K800" s="832"/>
      <c r="L800" s="832"/>
      <c r="M800" s="832"/>
      <c r="N800" s="832"/>
      <c r="O800" s="832"/>
      <c r="P800" s="832"/>
      <c r="Q800" s="832"/>
      <c r="R800" s="832"/>
    </row>
    <row r="801" spans="2:18">
      <c r="B801" s="832"/>
      <c r="C801" s="833"/>
      <c r="D801" s="833"/>
      <c r="E801" s="833"/>
      <c r="F801" s="1111"/>
      <c r="G801" s="1111"/>
      <c r="H801" s="834"/>
      <c r="I801" s="832"/>
      <c r="J801" s="1111"/>
      <c r="K801" s="832"/>
      <c r="L801" s="832"/>
      <c r="M801" s="832"/>
      <c r="N801" s="832"/>
      <c r="O801" s="832"/>
      <c r="P801" s="832"/>
      <c r="Q801" s="832"/>
      <c r="R801" s="832"/>
    </row>
    <row r="802" spans="2:18">
      <c r="B802" s="832"/>
      <c r="C802" s="833"/>
      <c r="D802" s="833"/>
      <c r="E802" s="833"/>
      <c r="F802" s="1111"/>
      <c r="G802" s="1111"/>
      <c r="H802" s="834"/>
      <c r="I802" s="832"/>
      <c r="J802" s="1111"/>
      <c r="K802" s="832"/>
      <c r="L802" s="832"/>
      <c r="M802" s="832"/>
      <c r="N802" s="832"/>
      <c r="O802" s="832"/>
      <c r="P802" s="832"/>
      <c r="Q802" s="832"/>
      <c r="R802" s="832"/>
    </row>
    <row r="803" spans="2:18">
      <c r="B803" s="832"/>
      <c r="C803" s="833"/>
      <c r="D803" s="833"/>
      <c r="E803" s="833"/>
      <c r="F803" s="1111"/>
      <c r="G803" s="1111"/>
      <c r="H803" s="834"/>
      <c r="I803" s="832"/>
      <c r="J803" s="1111"/>
      <c r="K803" s="832"/>
      <c r="L803" s="832"/>
      <c r="M803" s="832"/>
      <c r="N803" s="832"/>
      <c r="O803" s="832"/>
      <c r="P803" s="832"/>
      <c r="Q803" s="832"/>
      <c r="R803" s="832"/>
    </row>
    <row r="804" spans="2:18">
      <c r="B804" s="832"/>
      <c r="C804" s="833"/>
      <c r="D804" s="833"/>
      <c r="E804" s="833"/>
      <c r="F804" s="1111"/>
      <c r="G804" s="1111"/>
      <c r="H804" s="834"/>
      <c r="I804" s="832"/>
      <c r="J804" s="1111"/>
      <c r="K804" s="832"/>
      <c r="L804" s="832"/>
      <c r="M804" s="832"/>
      <c r="N804" s="832"/>
      <c r="O804" s="832"/>
      <c r="P804" s="832"/>
      <c r="Q804" s="832"/>
      <c r="R804" s="832"/>
    </row>
    <row r="805" spans="2:18">
      <c r="B805" s="832"/>
      <c r="C805" s="833"/>
      <c r="D805" s="833"/>
      <c r="E805" s="833"/>
      <c r="F805" s="1111"/>
      <c r="G805" s="1111"/>
      <c r="H805" s="834"/>
      <c r="I805" s="832"/>
      <c r="J805" s="1111"/>
      <c r="K805" s="832"/>
      <c r="L805" s="832"/>
      <c r="M805" s="832"/>
      <c r="N805" s="832"/>
      <c r="O805" s="832"/>
      <c r="P805" s="832"/>
      <c r="Q805" s="832"/>
      <c r="R805" s="832"/>
    </row>
    <row r="806" spans="2:18">
      <c r="B806" s="832"/>
      <c r="C806" s="833"/>
      <c r="D806" s="833"/>
      <c r="E806" s="833"/>
      <c r="F806" s="1111"/>
      <c r="G806" s="1111"/>
      <c r="H806" s="834"/>
      <c r="I806" s="832"/>
      <c r="J806" s="1111"/>
      <c r="K806" s="832"/>
      <c r="L806" s="832"/>
      <c r="M806" s="832"/>
      <c r="N806" s="832"/>
      <c r="O806" s="832"/>
      <c r="P806" s="832"/>
      <c r="Q806" s="832"/>
      <c r="R806" s="832"/>
    </row>
    <row r="807" spans="2:18">
      <c r="B807" s="832"/>
      <c r="C807" s="833"/>
      <c r="D807" s="833"/>
      <c r="E807" s="833"/>
      <c r="F807" s="1111"/>
      <c r="G807" s="1111"/>
      <c r="H807" s="834"/>
      <c r="I807" s="832"/>
      <c r="J807" s="1111"/>
      <c r="K807" s="832"/>
      <c r="L807" s="832"/>
      <c r="M807" s="832"/>
      <c r="N807" s="832"/>
      <c r="O807" s="832"/>
      <c r="P807" s="832"/>
      <c r="Q807" s="832"/>
      <c r="R807" s="832"/>
    </row>
    <row r="808" spans="2:18">
      <c r="B808" s="832"/>
      <c r="C808" s="833"/>
      <c r="D808" s="833"/>
      <c r="E808" s="833"/>
      <c r="F808" s="1111"/>
      <c r="G808" s="1111"/>
      <c r="H808" s="834"/>
      <c r="I808" s="832"/>
      <c r="J808" s="1111"/>
      <c r="K808" s="832"/>
      <c r="L808" s="832"/>
      <c r="M808" s="832"/>
      <c r="N808" s="832"/>
      <c r="O808" s="832"/>
      <c r="P808" s="832"/>
      <c r="Q808" s="832"/>
      <c r="R808" s="832"/>
    </row>
    <row r="809" spans="2:18">
      <c r="B809" s="832"/>
      <c r="C809" s="833"/>
      <c r="D809" s="833"/>
      <c r="E809" s="833"/>
      <c r="F809" s="1111"/>
      <c r="G809" s="1111"/>
      <c r="H809" s="834"/>
      <c r="I809" s="832"/>
      <c r="J809" s="1111"/>
      <c r="K809" s="832"/>
      <c r="L809" s="832"/>
      <c r="M809" s="832"/>
      <c r="N809" s="832"/>
      <c r="O809" s="832"/>
      <c r="P809" s="832"/>
      <c r="Q809" s="832"/>
      <c r="R809" s="832"/>
    </row>
    <row r="810" spans="2:18">
      <c r="B810" s="832"/>
      <c r="C810" s="833"/>
      <c r="D810" s="833"/>
      <c r="E810" s="833"/>
      <c r="F810" s="1111"/>
      <c r="G810" s="1111"/>
      <c r="H810" s="834"/>
      <c r="I810" s="832"/>
      <c r="J810" s="1111"/>
      <c r="K810" s="832"/>
      <c r="L810" s="832"/>
      <c r="M810" s="832"/>
      <c r="N810" s="832"/>
      <c r="O810" s="832"/>
      <c r="P810" s="832"/>
      <c r="Q810" s="832"/>
      <c r="R810" s="832"/>
    </row>
    <row r="811" spans="2:18">
      <c r="B811" s="832"/>
      <c r="C811" s="833"/>
      <c r="D811" s="833"/>
      <c r="E811" s="833"/>
      <c r="F811" s="1111"/>
      <c r="G811" s="1111"/>
      <c r="H811" s="834"/>
      <c r="I811" s="832"/>
      <c r="J811" s="1111"/>
      <c r="K811" s="832"/>
      <c r="L811" s="832"/>
      <c r="M811" s="832"/>
      <c r="N811" s="832"/>
      <c r="O811" s="832"/>
      <c r="P811" s="832"/>
      <c r="Q811" s="832"/>
      <c r="R811" s="832"/>
    </row>
    <row r="812" spans="2:18">
      <c r="B812" s="832"/>
      <c r="C812" s="833"/>
      <c r="D812" s="833"/>
      <c r="E812" s="833"/>
      <c r="F812" s="1111"/>
      <c r="G812" s="1111"/>
      <c r="H812" s="834"/>
      <c r="I812" s="832"/>
      <c r="J812" s="1111"/>
      <c r="K812" s="832"/>
      <c r="L812" s="832"/>
      <c r="M812" s="832"/>
      <c r="N812" s="832"/>
      <c r="O812" s="832"/>
      <c r="P812" s="832"/>
      <c r="Q812" s="832"/>
      <c r="R812" s="832"/>
    </row>
    <row r="813" spans="2:18">
      <c r="B813" s="832"/>
      <c r="C813" s="833"/>
      <c r="D813" s="833"/>
      <c r="E813" s="833"/>
      <c r="F813" s="1111"/>
      <c r="G813" s="1111"/>
      <c r="H813" s="834"/>
      <c r="I813" s="832"/>
      <c r="J813" s="1111"/>
      <c r="K813" s="832"/>
      <c r="L813" s="832"/>
      <c r="M813" s="832"/>
      <c r="N813" s="832"/>
      <c r="O813" s="832"/>
      <c r="P813" s="832"/>
      <c r="Q813" s="832"/>
      <c r="R813" s="832"/>
    </row>
    <row r="814" spans="2:18">
      <c r="B814" s="832"/>
      <c r="C814" s="833"/>
      <c r="D814" s="833"/>
      <c r="E814" s="833"/>
      <c r="F814" s="1111"/>
      <c r="G814" s="1111"/>
      <c r="H814" s="834"/>
      <c r="I814" s="832"/>
      <c r="J814" s="1111"/>
      <c r="K814" s="832"/>
      <c r="L814" s="832"/>
      <c r="M814" s="832"/>
      <c r="N814" s="832"/>
      <c r="O814" s="832"/>
      <c r="P814" s="832"/>
      <c r="Q814" s="832"/>
      <c r="R814" s="832"/>
    </row>
    <row r="815" spans="2:18">
      <c r="B815" s="832"/>
      <c r="C815" s="833"/>
      <c r="D815" s="833"/>
      <c r="E815" s="833"/>
      <c r="F815" s="1111"/>
      <c r="G815" s="1111"/>
      <c r="H815" s="834"/>
      <c r="I815" s="832"/>
      <c r="J815" s="1111"/>
      <c r="K815" s="832"/>
      <c r="L815" s="832"/>
      <c r="M815" s="832"/>
      <c r="N815" s="832"/>
      <c r="O815" s="832"/>
      <c r="P815" s="832"/>
      <c r="Q815" s="832"/>
      <c r="R815" s="832"/>
    </row>
    <row r="816" spans="2:18">
      <c r="B816" s="832"/>
      <c r="C816" s="833"/>
      <c r="D816" s="833"/>
      <c r="E816" s="833"/>
      <c r="F816" s="1111"/>
      <c r="G816" s="1111"/>
      <c r="H816" s="834"/>
      <c r="I816" s="832"/>
      <c r="J816" s="1111"/>
      <c r="K816" s="832"/>
      <c r="L816" s="832"/>
      <c r="M816" s="832"/>
      <c r="N816" s="832"/>
      <c r="O816" s="832"/>
      <c r="P816" s="832"/>
      <c r="Q816" s="832"/>
      <c r="R816" s="832"/>
    </row>
    <row r="817" spans="2:18">
      <c r="B817" s="832"/>
      <c r="C817" s="833"/>
      <c r="D817" s="833"/>
      <c r="E817" s="833"/>
      <c r="F817" s="1111"/>
      <c r="G817" s="1111"/>
      <c r="H817" s="834"/>
      <c r="I817" s="832"/>
      <c r="J817" s="1111"/>
      <c r="K817" s="832"/>
      <c r="L817" s="832"/>
      <c r="M817" s="832"/>
      <c r="N817" s="832"/>
      <c r="O817" s="832"/>
      <c r="P817" s="832"/>
      <c r="Q817" s="832"/>
      <c r="R817" s="832"/>
    </row>
    <row r="818" spans="2:18">
      <c r="B818" s="832"/>
      <c r="C818" s="833"/>
      <c r="D818" s="833"/>
      <c r="E818" s="833"/>
      <c r="F818" s="1111"/>
      <c r="G818" s="1111"/>
      <c r="H818" s="834"/>
      <c r="I818" s="832"/>
      <c r="J818" s="1111"/>
      <c r="K818" s="832"/>
      <c r="L818" s="832"/>
      <c r="M818" s="832"/>
      <c r="N818" s="832"/>
      <c r="O818" s="832"/>
      <c r="P818" s="832"/>
      <c r="Q818" s="832"/>
      <c r="R818" s="832"/>
    </row>
    <row r="819" spans="2:18">
      <c r="B819" s="832"/>
      <c r="C819" s="833"/>
      <c r="D819" s="833"/>
      <c r="E819" s="833"/>
      <c r="F819" s="1111"/>
      <c r="G819" s="1111"/>
      <c r="H819" s="834"/>
      <c r="I819" s="832"/>
      <c r="J819" s="1111"/>
      <c r="K819" s="832"/>
      <c r="L819" s="832"/>
      <c r="M819" s="832"/>
      <c r="N819" s="832"/>
      <c r="O819" s="832"/>
      <c r="P819" s="832"/>
      <c r="Q819" s="832"/>
      <c r="R819" s="832"/>
    </row>
    <row r="820" spans="2:18">
      <c r="B820" s="832"/>
      <c r="C820" s="833"/>
      <c r="D820" s="833"/>
      <c r="E820" s="833"/>
      <c r="F820" s="1111"/>
      <c r="G820" s="1111"/>
      <c r="H820" s="834"/>
      <c r="I820" s="832"/>
      <c r="J820" s="1111"/>
      <c r="K820" s="832"/>
      <c r="L820" s="832"/>
      <c r="M820" s="832"/>
      <c r="N820" s="832"/>
      <c r="O820" s="832"/>
      <c r="P820" s="832"/>
      <c r="Q820" s="832"/>
      <c r="R820" s="832"/>
    </row>
    <row r="821" spans="2:18">
      <c r="B821" s="832"/>
      <c r="C821" s="833"/>
      <c r="D821" s="833"/>
      <c r="E821" s="833"/>
      <c r="F821" s="1111"/>
      <c r="G821" s="1111"/>
      <c r="H821" s="834"/>
      <c r="I821" s="832"/>
      <c r="J821" s="1111"/>
      <c r="K821" s="832"/>
      <c r="L821" s="832"/>
      <c r="M821" s="832"/>
      <c r="N821" s="832"/>
      <c r="O821" s="832"/>
      <c r="P821" s="832"/>
      <c r="Q821" s="832"/>
      <c r="R821" s="832"/>
    </row>
    <row r="822" spans="2:18">
      <c r="B822" s="832"/>
      <c r="C822" s="833"/>
      <c r="D822" s="833"/>
      <c r="E822" s="833"/>
      <c r="F822" s="1111"/>
      <c r="G822" s="1111"/>
      <c r="H822" s="834"/>
      <c r="I822" s="832"/>
      <c r="J822" s="1111"/>
      <c r="K822" s="832"/>
      <c r="L822" s="832"/>
      <c r="M822" s="832"/>
      <c r="N822" s="832"/>
      <c r="O822" s="832"/>
      <c r="P822" s="832"/>
      <c r="Q822" s="832"/>
      <c r="R822" s="832"/>
    </row>
    <row r="823" spans="2:18">
      <c r="B823" s="832"/>
      <c r="C823" s="833"/>
      <c r="D823" s="833"/>
      <c r="E823" s="833"/>
      <c r="F823" s="1111"/>
      <c r="G823" s="1111"/>
      <c r="H823" s="834"/>
      <c r="I823" s="832"/>
      <c r="J823" s="1111"/>
      <c r="K823" s="832"/>
      <c r="L823" s="832"/>
      <c r="M823" s="832"/>
      <c r="N823" s="832"/>
      <c r="O823" s="832"/>
      <c r="P823" s="832"/>
      <c r="Q823" s="832"/>
      <c r="R823" s="832"/>
    </row>
    <row r="824" spans="2:18">
      <c r="B824" s="832"/>
      <c r="C824" s="833"/>
      <c r="D824" s="833"/>
      <c r="E824" s="833"/>
      <c r="F824" s="1111"/>
      <c r="G824" s="1111"/>
      <c r="H824" s="834"/>
      <c r="I824" s="832"/>
      <c r="J824" s="1111"/>
      <c r="K824" s="832"/>
      <c r="L824" s="832"/>
      <c r="M824" s="832"/>
      <c r="N824" s="832"/>
      <c r="O824" s="832"/>
      <c r="P824" s="832"/>
      <c r="Q824" s="832"/>
      <c r="R824" s="832"/>
    </row>
    <row r="825" spans="2:18">
      <c r="B825" s="832"/>
      <c r="C825" s="833"/>
      <c r="D825" s="833"/>
      <c r="E825" s="833"/>
      <c r="F825" s="1111"/>
      <c r="G825" s="1111"/>
      <c r="H825" s="834"/>
      <c r="I825" s="832"/>
      <c r="J825" s="1111"/>
      <c r="K825" s="832"/>
      <c r="L825" s="832"/>
      <c r="M825" s="832"/>
      <c r="N825" s="832"/>
      <c r="O825" s="832"/>
      <c r="P825" s="832"/>
      <c r="Q825" s="832"/>
      <c r="R825" s="832"/>
    </row>
    <row r="826" spans="2:18">
      <c r="B826" s="832"/>
      <c r="C826" s="833"/>
      <c r="D826" s="833"/>
      <c r="E826" s="833"/>
      <c r="F826" s="1111"/>
      <c r="G826" s="1111"/>
      <c r="H826" s="834"/>
      <c r="I826" s="832"/>
      <c r="J826" s="1111"/>
      <c r="K826" s="832"/>
      <c r="L826" s="832"/>
      <c r="M826" s="832"/>
      <c r="N826" s="832"/>
      <c r="O826" s="832"/>
      <c r="P826" s="832"/>
      <c r="Q826" s="832"/>
      <c r="R826" s="832"/>
    </row>
    <row r="827" spans="2:18">
      <c r="B827" s="832"/>
      <c r="C827" s="833"/>
      <c r="D827" s="833"/>
      <c r="E827" s="833"/>
      <c r="F827" s="1111"/>
      <c r="G827" s="1111"/>
      <c r="H827" s="834"/>
      <c r="I827" s="832"/>
      <c r="J827" s="1111"/>
      <c r="K827" s="832"/>
      <c r="L827" s="832"/>
      <c r="M827" s="832"/>
      <c r="N827" s="832"/>
      <c r="O827" s="832"/>
      <c r="P827" s="832"/>
      <c r="Q827" s="832"/>
      <c r="R827" s="832"/>
    </row>
    <row r="828" spans="2:18">
      <c r="B828" s="832"/>
      <c r="C828" s="833"/>
      <c r="D828" s="833"/>
      <c r="E828" s="833"/>
      <c r="F828" s="1111"/>
      <c r="G828" s="1111"/>
      <c r="H828" s="834"/>
      <c r="I828" s="832"/>
      <c r="J828" s="1111"/>
      <c r="K828" s="832"/>
      <c r="L828" s="832"/>
      <c r="M828" s="832"/>
      <c r="N828" s="832"/>
      <c r="O828" s="832"/>
      <c r="P828" s="832"/>
      <c r="Q828" s="832"/>
      <c r="R828" s="832"/>
    </row>
    <row r="829" spans="2:18">
      <c r="B829" s="832"/>
      <c r="C829" s="833"/>
      <c r="D829" s="833"/>
      <c r="E829" s="833"/>
      <c r="F829" s="1111"/>
      <c r="G829" s="1111"/>
      <c r="H829" s="834"/>
      <c r="I829" s="832"/>
      <c r="J829" s="1111"/>
      <c r="K829" s="832"/>
      <c r="L829" s="832"/>
      <c r="M829" s="832"/>
      <c r="N829" s="832"/>
      <c r="O829" s="832"/>
      <c r="P829" s="832"/>
      <c r="Q829" s="832"/>
      <c r="R829" s="832"/>
    </row>
    <row r="830" spans="2:18">
      <c r="B830" s="832"/>
      <c r="C830" s="833"/>
      <c r="D830" s="833"/>
      <c r="E830" s="833"/>
      <c r="F830" s="1111"/>
      <c r="G830" s="1111"/>
      <c r="H830" s="834"/>
      <c r="I830" s="832"/>
      <c r="J830" s="1111"/>
      <c r="K830" s="832"/>
      <c r="L830" s="832"/>
      <c r="M830" s="832"/>
      <c r="N830" s="832"/>
      <c r="O830" s="832"/>
      <c r="P830" s="832"/>
      <c r="Q830" s="832"/>
      <c r="R830" s="832"/>
    </row>
    <row r="831" spans="2:18">
      <c r="B831" s="832"/>
      <c r="C831" s="833"/>
      <c r="D831" s="833"/>
      <c r="E831" s="833"/>
      <c r="F831" s="1111"/>
      <c r="G831" s="1111"/>
      <c r="H831" s="834"/>
      <c r="I831" s="832"/>
      <c r="J831" s="1111"/>
      <c r="K831" s="832"/>
      <c r="L831" s="832"/>
      <c r="M831" s="832"/>
      <c r="N831" s="832"/>
      <c r="O831" s="832"/>
      <c r="P831" s="832"/>
      <c r="Q831" s="832"/>
      <c r="R831" s="832"/>
    </row>
    <row r="832" spans="2:18">
      <c r="B832" s="832"/>
      <c r="C832" s="833"/>
      <c r="D832" s="833"/>
      <c r="E832" s="833"/>
      <c r="F832" s="1111"/>
      <c r="G832" s="1111"/>
      <c r="H832" s="834"/>
      <c r="I832" s="832"/>
      <c r="J832" s="1111"/>
      <c r="K832" s="832"/>
      <c r="L832" s="832"/>
      <c r="M832" s="832"/>
      <c r="N832" s="832"/>
      <c r="O832" s="832"/>
      <c r="P832" s="832"/>
      <c r="Q832" s="832"/>
      <c r="R832" s="832"/>
    </row>
    <row r="833" spans="2:18">
      <c r="B833" s="832"/>
      <c r="C833" s="833"/>
      <c r="D833" s="833"/>
      <c r="E833" s="833"/>
      <c r="F833" s="1111"/>
      <c r="G833" s="1111"/>
      <c r="H833" s="834"/>
      <c r="I833" s="832"/>
      <c r="J833" s="1111"/>
      <c r="K833" s="832"/>
      <c r="L833" s="832"/>
      <c r="M833" s="832"/>
      <c r="N833" s="832"/>
      <c r="O833" s="832"/>
      <c r="P833" s="832"/>
      <c r="Q833" s="832"/>
      <c r="R833" s="832"/>
    </row>
    <row r="834" spans="2:18">
      <c r="B834" s="832"/>
      <c r="C834" s="833"/>
      <c r="D834" s="833"/>
      <c r="E834" s="833"/>
      <c r="F834" s="1111"/>
      <c r="G834" s="1111"/>
      <c r="H834" s="834"/>
      <c r="I834" s="832"/>
      <c r="J834" s="1111"/>
      <c r="K834" s="832"/>
      <c r="L834" s="832"/>
      <c r="M834" s="832"/>
      <c r="N834" s="832"/>
      <c r="O834" s="832"/>
      <c r="P834" s="832"/>
      <c r="Q834" s="832"/>
      <c r="R834" s="832"/>
    </row>
    <row r="835" spans="2:18">
      <c r="B835" s="832"/>
      <c r="C835" s="833"/>
      <c r="D835" s="833"/>
      <c r="E835" s="833"/>
      <c r="F835" s="1111"/>
      <c r="G835" s="1111"/>
      <c r="H835" s="834"/>
      <c r="I835" s="832"/>
      <c r="J835" s="1111"/>
      <c r="K835" s="832"/>
      <c r="L835" s="832"/>
      <c r="M835" s="832"/>
      <c r="N835" s="832"/>
      <c r="O835" s="832"/>
      <c r="P835" s="832"/>
      <c r="Q835" s="832"/>
      <c r="R835" s="832"/>
    </row>
    <row r="836" spans="2:18">
      <c r="B836" s="832"/>
      <c r="C836" s="833"/>
      <c r="D836" s="833"/>
      <c r="E836" s="833"/>
      <c r="F836" s="1111"/>
      <c r="G836" s="1111"/>
      <c r="H836" s="834"/>
      <c r="I836" s="832"/>
      <c r="J836" s="1111"/>
      <c r="K836" s="832"/>
      <c r="L836" s="832"/>
      <c r="M836" s="832"/>
      <c r="N836" s="832"/>
      <c r="O836" s="832"/>
      <c r="P836" s="832"/>
      <c r="Q836" s="832"/>
      <c r="R836" s="832"/>
    </row>
    <row r="837" spans="2:18">
      <c r="B837" s="832"/>
      <c r="C837" s="833"/>
      <c r="D837" s="833"/>
      <c r="E837" s="833"/>
      <c r="F837" s="1111"/>
      <c r="G837" s="1111"/>
      <c r="H837" s="834"/>
      <c r="I837" s="832"/>
      <c r="J837" s="1111"/>
      <c r="K837" s="832"/>
      <c r="L837" s="832"/>
      <c r="M837" s="832"/>
      <c r="N837" s="832"/>
      <c r="O837" s="832"/>
      <c r="P837" s="832"/>
      <c r="Q837" s="832"/>
      <c r="R837" s="832"/>
    </row>
    <row r="838" spans="2:18">
      <c r="B838" s="832"/>
      <c r="C838" s="833"/>
      <c r="D838" s="833"/>
      <c r="E838" s="833"/>
      <c r="F838" s="1111"/>
      <c r="G838" s="1111"/>
      <c r="H838" s="834"/>
      <c r="I838" s="832"/>
      <c r="J838" s="1111"/>
      <c r="K838" s="832"/>
      <c r="L838" s="832"/>
      <c r="M838" s="832"/>
      <c r="N838" s="832"/>
      <c r="O838" s="832"/>
      <c r="P838" s="832"/>
      <c r="Q838" s="832"/>
      <c r="R838" s="832"/>
    </row>
    <row r="839" spans="2:18">
      <c r="B839" s="832"/>
      <c r="C839" s="833"/>
      <c r="D839" s="833"/>
      <c r="E839" s="833"/>
      <c r="F839" s="1111"/>
      <c r="G839" s="1111"/>
      <c r="H839" s="834"/>
      <c r="I839" s="832"/>
      <c r="J839" s="1111"/>
      <c r="K839" s="832"/>
      <c r="L839" s="832"/>
      <c r="M839" s="832"/>
      <c r="N839" s="832"/>
      <c r="O839" s="832"/>
      <c r="P839" s="832"/>
      <c r="Q839" s="832"/>
      <c r="R839" s="832"/>
    </row>
    <row r="840" spans="2:18">
      <c r="B840" s="832"/>
      <c r="C840" s="833"/>
      <c r="D840" s="833"/>
      <c r="E840" s="833"/>
      <c r="F840" s="1111"/>
      <c r="G840" s="1111"/>
      <c r="H840" s="834"/>
      <c r="I840" s="832"/>
      <c r="J840" s="1111"/>
      <c r="K840" s="832"/>
      <c r="L840" s="832"/>
      <c r="M840" s="832"/>
      <c r="N840" s="832"/>
      <c r="O840" s="832"/>
      <c r="P840" s="832"/>
      <c r="Q840" s="832"/>
      <c r="R840" s="832"/>
    </row>
    <row r="841" spans="2:18">
      <c r="B841" s="832"/>
      <c r="C841" s="833"/>
      <c r="D841" s="833"/>
      <c r="E841" s="833"/>
      <c r="F841" s="1111"/>
      <c r="G841" s="1111"/>
      <c r="H841" s="834"/>
      <c r="I841" s="832"/>
      <c r="J841" s="1111"/>
      <c r="K841" s="832"/>
      <c r="L841" s="832"/>
      <c r="M841" s="832"/>
      <c r="N841" s="832"/>
      <c r="O841" s="832"/>
      <c r="P841" s="832"/>
      <c r="Q841" s="832"/>
      <c r="R841" s="832"/>
    </row>
    <row r="842" spans="2:18">
      <c r="B842" s="832"/>
      <c r="C842" s="833"/>
      <c r="D842" s="833"/>
      <c r="E842" s="833"/>
      <c r="F842" s="1111"/>
      <c r="G842" s="1111"/>
      <c r="H842" s="834"/>
      <c r="I842" s="832"/>
      <c r="J842" s="1111"/>
      <c r="K842" s="832"/>
      <c r="L842" s="832"/>
      <c r="M842" s="832"/>
      <c r="N842" s="832"/>
      <c r="O842" s="832"/>
      <c r="P842" s="832"/>
      <c r="Q842" s="832"/>
      <c r="R842" s="832"/>
    </row>
    <row r="843" spans="2:18">
      <c r="B843" s="832"/>
      <c r="C843" s="833"/>
      <c r="D843" s="833"/>
      <c r="E843" s="833"/>
      <c r="F843" s="1111"/>
      <c r="G843" s="1111"/>
      <c r="H843" s="834"/>
      <c r="I843" s="832"/>
      <c r="J843" s="1111"/>
      <c r="K843" s="832"/>
      <c r="L843" s="832"/>
      <c r="M843" s="832"/>
      <c r="N843" s="832"/>
      <c r="O843" s="832"/>
      <c r="P843" s="832"/>
      <c r="Q843" s="832"/>
      <c r="R843" s="832"/>
    </row>
    <row r="844" spans="2:18">
      <c r="B844" s="832"/>
      <c r="C844" s="833"/>
      <c r="D844" s="833"/>
      <c r="E844" s="833"/>
      <c r="F844" s="1111"/>
      <c r="G844" s="1111"/>
      <c r="H844" s="834"/>
      <c r="I844" s="832"/>
      <c r="J844" s="1111"/>
      <c r="K844" s="832"/>
      <c r="L844" s="832"/>
      <c r="M844" s="832"/>
      <c r="N844" s="832"/>
      <c r="O844" s="832"/>
      <c r="P844" s="832"/>
      <c r="Q844" s="832"/>
      <c r="R844" s="832"/>
    </row>
    <row r="845" spans="2:18">
      <c r="B845" s="832"/>
      <c r="C845" s="833"/>
      <c r="D845" s="833"/>
      <c r="E845" s="833"/>
      <c r="F845" s="1111"/>
      <c r="G845" s="1111"/>
      <c r="H845" s="834"/>
      <c r="I845" s="832"/>
      <c r="J845" s="1111"/>
      <c r="K845" s="832"/>
      <c r="L845" s="832"/>
      <c r="M845" s="832"/>
      <c r="N845" s="832"/>
      <c r="O845" s="832"/>
      <c r="P845" s="832"/>
      <c r="Q845" s="832"/>
      <c r="R845" s="832"/>
    </row>
    <row r="846" spans="2:18">
      <c r="B846" s="832"/>
      <c r="C846" s="833"/>
      <c r="D846" s="833"/>
      <c r="E846" s="833"/>
      <c r="F846" s="1111"/>
      <c r="G846" s="1111"/>
      <c r="H846" s="834"/>
      <c r="I846" s="832"/>
      <c r="J846" s="1111"/>
      <c r="K846" s="832"/>
      <c r="L846" s="832"/>
      <c r="M846" s="832"/>
      <c r="N846" s="832"/>
      <c r="O846" s="832"/>
      <c r="P846" s="832"/>
      <c r="Q846" s="832"/>
      <c r="R846" s="832"/>
    </row>
    <row r="847" spans="2:18">
      <c r="B847" s="832"/>
      <c r="C847" s="833"/>
      <c r="D847" s="833"/>
      <c r="E847" s="833"/>
      <c r="F847" s="1111"/>
      <c r="G847" s="1111"/>
      <c r="H847" s="834"/>
      <c r="I847" s="832"/>
      <c r="J847" s="1111"/>
      <c r="K847" s="832"/>
      <c r="L847" s="832"/>
      <c r="M847" s="832"/>
      <c r="N847" s="832"/>
      <c r="O847" s="832"/>
      <c r="P847" s="832"/>
      <c r="Q847" s="832"/>
      <c r="R847" s="832"/>
    </row>
    <row r="848" spans="2:18">
      <c r="B848" s="832"/>
      <c r="C848" s="833"/>
      <c r="D848" s="833"/>
      <c r="E848" s="833"/>
      <c r="F848" s="1111"/>
      <c r="G848" s="1111"/>
      <c r="H848" s="834"/>
      <c r="I848" s="832"/>
      <c r="J848" s="1111"/>
      <c r="K848" s="832"/>
      <c r="L848" s="832"/>
      <c r="M848" s="832"/>
      <c r="N848" s="832"/>
      <c r="O848" s="832"/>
      <c r="P848" s="832"/>
      <c r="Q848" s="832"/>
      <c r="R848" s="832"/>
    </row>
    <row r="849" spans="2:18">
      <c r="B849" s="832"/>
      <c r="C849" s="833"/>
      <c r="D849" s="833"/>
      <c r="E849" s="833"/>
      <c r="F849" s="1111"/>
      <c r="G849" s="1111"/>
      <c r="H849" s="834"/>
      <c r="I849" s="832"/>
      <c r="J849" s="1111"/>
      <c r="K849" s="832"/>
      <c r="L849" s="832"/>
      <c r="M849" s="832"/>
      <c r="N849" s="832"/>
      <c r="O849" s="832"/>
      <c r="P849" s="832"/>
      <c r="Q849" s="832"/>
      <c r="R849" s="832"/>
    </row>
    <row r="850" spans="2:18">
      <c r="B850" s="832"/>
      <c r="C850" s="833"/>
      <c r="D850" s="833"/>
      <c r="E850" s="833"/>
      <c r="F850" s="1111"/>
      <c r="G850" s="1111"/>
      <c r="H850" s="834"/>
      <c r="I850" s="832"/>
      <c r="J850" s="1111"/>
      <c r="K850" s="832"/>
      <c r="L850" s="832"/>
      <c r="M850" s="832"/>
      <c r="N850" s="832"/>
      <c r="O850" s="832"/>
      <c r="P850" s="832"/>
      <c r="Q850" s="832"/>
      <c r="R850" s="832"/>
    </row>
    <row r="851" spans="2:18">
      <c r="B851" s="832"/>
      <c r="C851" s="833"/>
      <c r="D851" s="833"/>
      <c r="E851" s="833"/>
      <c r="F851" s="1111"/>
      <c r="G851" s="1111"/>
      <c r="H851" s="834"/>
      <c r="I851" s="832"/>
      <c r="J851" s="1111"/>
      <c r="K851" s="832"/>
      <c r="L851" s="832"/>
      <c r="M851" s="832"/>
      <c r="N851" s="832"/>
      <c r="O851" s="832"/>
      <c r="P851" s="832"/>
      <c r="Q851" s="832"/>
      <c r="R851" s="832"/>
    </row>
    <row r="852" spans="2:18">
      <c r="B852" s="832"/>
      <c r="C852" s="833"/>
      <c r="D852" s="833"/>
      <c r="E852" s="833"/>
      <c r="F852" s="1111"/>
      <c r="G852" s="1111"/>
      <c r="H852" s="834"/>
      <c r="I852" s="832"/>
      <c r="J852" s="1111"/>
      <c r="K852" s="832"/>
      <c r="L852" s="832"/>
      <c r="M852" s="832"/>
      <c r="N852" s="832"/>
      <c r="O852" s="832"/>
      <c r="P852" s="832"/>
      <c r="Q852" s="832"/>
      <c r="R852" s="832"/>
    </row>
    <row r="853" spans="2:18">
      <c r="B853" s="832"/>
      <c r="C853" s="833"/>
      <c r="D853" s="833"/>
      <c r="E853" s="833"/>
      <c r="F853" s="1111"/>
      <c r="G853" s="1111"/>
      <c r="H853" s="834"/>
      <c r="I853" s="832"/>
      <c r="J853" s="1111"/>
      <c r="K853" s="832"/>
      <c r="L853" s="832"/>
      <c r="M853" s="832"/>
      <c r="N853" s="832"/>
      <c r="O853" s="832"/>
      <c r="P853" s="832"/>
      <c r="Q853" s="832"/>
      <c r="R853" s="832"/>
    </row>
    <row r="854" spans="2:18">
      <c r="B854" s="832"/>
      <c r="C854" s="833"/>
      <c r="D854" s="833"/>
      <c r="E854" s="833"/>
      <c r="F854" s="1111"/>
      <c r="G854" s="1111"/>
      <c r="H854" s="834"/>
      <c r="I854" s="832"/>
      <c r="J854" s="1111"/>
      <c r="K854" s="832"/>
      <c r="L854" s="832"/>
      <c r="M854" s="832"/>
      <c r="N854" s="832"/>
      <c r="O854" s="832"/>
      <c r="P854" s="832"/>
      <c r="Q854" s="832"/>
      <c r="R854" s="832"/>
    </row>
    <row r="855" spans="2:18">
      <c r="B855" s="832"/>
      <c r="C855" s="833"/>
      <c r="D855" s="833"/>
      <c r="E855" s="833"/>
      <c r="F855" s="1111"/>
      <c r="G855" s="1111"/>
      <c r="H855" s="834"/>
      <c r="I855" s="832"/>
      <c r="J855" s="1111"/>
      <c r="K855" s="832"/>
      <c r="L855" s="832"/>
      <c r="M855" s="832"/>
      <c r="N855" s="832"/>
      <c r="O855" s="832"/>
      <c r="P855" s="832"/>
      <c r="Q855" s="832"/>
      <c r="R855" s="832"/>
    </row>
    <row r="856" spans="2:18">
      <c r="B856" s="832"/>
      <c r="C856" s="833"/>
      <c r="D856" s="833"/>
      <c r="E856" s="833"/>
      <c r="F856" s="1111"/>
      <c r="G856" s="1111"/>
      <c r="H856" s="834"/>
      <c r="I856" s="832"/>
      <c r="J856" s="1111"/>
      <c r="K856" s="832"/>
      <c r="L856" s="832"/>
      <c r="M856" s="832"/>
      <c r="N856" s="832"/>
      <c r="O856" s="832"/>
      <c r="P856" s="832"/>
      <c r="Q856" s="832"/>
      <c r="R856" s="832"/>
    </row>
    <row r="857" spans="2:18">
      <c r="B857" s="832"/>
      <c r="C857" s="833"/>
      <c r="D857" s="833"/>
      <c r="E857" s="833"/>
      <c r="F857" s="1111"/>
      <c r="G857" s="1111"/>
      <c r="H857" s="834"/>
      <c r="I857" s="832"/>
      <c r="J857" s="1111"/>
      <c r="K857" s="832"/>
      <c r="L857" s="832"/>
      <c r="M857" s="832"/>
      <c r="N857" s="832"/>
      <c r="O857" s="832"/>
      <c r="P857" s="832"/>
      <c r="Q857" s="832"/>
      <c r="R857" s="832"/>
    </row>
    <row r="858" spans="2:18">
      <c r="B858" s="832"/>
      <c r="C858" s="833"/>
      <c r="D858" s="833"/>
      <c r="E858" s="833"/>
      <c r="F858" s="1111"/>
      <c r="G858" s="1111"/>
      <c r="H858" s="834"/>
      <c r="I858" s="832"/>
      <c r="J858" s="1111"/>
      <c r="K858" s="832"/>
      <c r="L858" s="832"/>
      <c r="M858" s="832"/>
      <c r="N858" s="832"/>
      <c r="O858" s="832"/>
      <c r="P858" s="832"/>
      <c r="Q858" s="832"/>
      <c r="R858" s="832"/>
    </row>
    <row r="859" spans="2:18">
      <c r="B859" s="832"/>
      <c r="C859" s="833"/>
      <c r="D859" s="833"/>
      <c r="E859" s="833"/>
      <c r="F859" s="1111"/>
      <c r="G859" s="1111"/>
      <c r="H859" s="834"/>
      <c r="I859" s="832"/>
      <c r="J859" s="1111"/>
      <c r="K859" s="832"/>
      <c r="L859" s="832"/>
      <c r="M859" s="832"/>
      <c r="N859" s="832"/>
      <c r="O859" s="832"/>
      <c r="P859" s="832"/>
      <c r="Q859" s="832"/>
      <c r="R859" s="832"/>
    </row>
    <row r="860" spans="2:18">
      <c r="B860" s="832"/>
      <c r="C860" s="833"/>
      <c r="D860" s="833"/>
      <c r="E860" s="833"/>
      <c r="F860" s="1111"/>
      <c r="G860" s="1111"/>
      <c r="H860" s="834"/>
      <c r="I860" s="832"/>
      <c r="J860" s="1111"/>
      <c r="K860" s="832"/>
      <c r="L860" s="832"/>
      <c r="M860" s="832"/>
      <c r="N860" s="832"/>
      <c r="O860" s="832"/>
      <c r="P860" s="832"/>
      <c r="Q860" s="832"/>
      <c r="R860" s="832"/>
    </row>
    <row r="861" spans="2:18">
      <c r="B861" s="832"/>
      <c r="C861" s="833"/>
      <c r="D861" s="833"/>
      <c r="E861" s="833"/>
      <c r="F861" s="1111"/>
      <c r="G861" s="1111"/>
      <c r="H861" s="834"/>
      <c r="I861" s="832"/>
      <c r="J861" s="1111"/>
      <c r="K861" s="832"/>
      <c r="L861" s="832"/>
      <c r="M861" s="832"/>
      <c r="N861" s="832"/>
      <c r="O861" s="832"/>
      <c r="P861" s="832"/>
      <c r="Q861" s="832"/>
      <c r="R861" s="832"/>
    </row>
    <row r="862" spans="2:18">
      <c r="B862" s="832"/>
      <c r="C862" s="833"/>
      <c r="D862" s="833"/>
      <c r="E862" s="833"/>
      <c r="F862" s="1111"/>
      <c r="G862" s="1111"/>
      <c r="H862" s="834"/>
      <c r="I862" s="832"/>
      <c r="J862" s="1111"/>
      <c r="K862" s="832"/>
      <c r="L862" s="832"/>
      <c r="M862" s="832"/>
      <c r="N862" s="832"/>
      <c r="O862" s="832"/>
      <c r="P862" s="832"/>
      <c r="Q862" s="832"/>
      <c r="R862" s="832"/>
    </row>
    <row r="863" spans="2:18">
      <c r="B863" s="832"/>
      <c r="C863" s="833"/>
      <c r="D863" s="833"/>
      <c r="E863" s="833"/>
      <c r="F863" s="1111"/>
      <c r="G863" s="1111"/>
      <c r="H863" s="834"/>
      <c r="I863" s="832"/>
      <c r="J863" s="1111"/>
      <c r="K863" s="832"/>
      <c r="L863" s="832"/>
      <c r="M863" s="832"/>
      <c r="N863" s="832"/>
      <c r="O863" s="832"/>
      <c r="P863" s="832"/>
      <c r="Q863" s="832"/>
      <c r="R863" s="832"/>
    </row>
    <row r="864" spans="2:18">
      <c r="B864" s="832"/>
      <c r="C864" s="833"/>
      <c r="D864" s="833"/>
      <c r="E864" s="833"/>
      <c r="F864" s="1111"/>
      <c r="G864" s="1111"/>
      <c r="H864" s="834"/>
      <c r="I864" s="832"/>
      <c r="J864" s="1111"/>
      <c r="K864" s="832"/>
      <c r="L864" s="832"/>
      <c r="M864" s="832"/>
      <c r="N864" s="832"/>
      <c r="O864" s="832"/>
      <c r="P864" s="832"/>
      <c r="Q864" s="832"/>
      <c r="R864" s="832"/>
    </row>
    <row r="865" spans="2:18">
      <c r="B865" s="832"/>
      <c r="C865" s="833"/>
      <c r="D865" s="833"/>
      <c r="E865" s="833"/>
      <c r="F865" s="1111"/>
      <c r="G865" s="1111"/>
      <c r="H865" s="834"/>
      <c r="I865" s="832"/>
      <c r="J865" s="1111"/>
      <c r="K865" s="832"/>
      <c r="L865" s="832"/>
      <c r="M865" s="832"/>
      <c r="N865" s="832"/>
      <c r="O865" s="832"/>
      <c r="P865" s="832"/>
      <c r="Q865" s="832"/>
      <c r="R865" s="832"/>
    </row>
    <row r="866" spans="2:18">
      <c r="B866" s="832"/>
      <c r="C866" s="833"/>
      <c r="D866" s="833"/>
      <c r="E866" s="833"/>
      <c r="F866" s="1111"/>
      <c r="G866" s="1111"/>
      <c r="H866" s="834"/>
      <c r="I866" s="832"/>
      <c r="J866" s="1111"/>
      <c r="K866" s="832"/>
      <c r="L866" s="832"/>
      <c r="M866" s="832"/>
      <c r="N866" s="832"/>
      <c r="O866" s="832"/>
      <c r="P866" s="832"/>
      <c r="Q866" s="832"/>
      <c r="R866" s="832"/>
    </row>
    <row r="867" spans="2:18">
      <c r="B867" s="832"/>
      <c r="C867" s="833"/>
      <c r="D867" s="833"/>
      <c r="E867" s="833"/>
      <c r="F867" s="1111"/>
      <c r="G867" s="1111"/>
      <c r="H867" s="834"/>
      <c r="I867" s="832"/>
      <c r="J867" s="1111"/>
      <c r="K867" s="832"/>
      <c r="L867" s="832"/>
      <c r="M867" s="832"/>
      <c r="N867" s="832"/>
      <c r="O867" s="832"/>
      <c r="P867" s="832"/>
      <c r="Q867" s="832"/>
      <c r="R867" s="832"/>
    </row>
    <row r="868" spans="2:18">
      <c r="B868" s="832"/>
      <c r="C868" s="833"/>
      <c r="D868" s="833"/>
      <c r="E868" s="833"/>
      <c r="F868" s="1111"/>
      <c r="G868" s="1111"/>
      <c r="H868" s="834"/>
      <c r="I868" s="832"/>
      <c r="J868" s="1111"/>
      <c r="K868" s="832"/>
      <c r="L868" s="832"/>
      <c r="M868" s="832"/>
      <c r="N868" s="832"/>
      <c r="O868" s="832"/>
      <c r="P868" s="832"/>
      <c r="Q868" s="832"/>
      <c r="R868" s="832"/>
    </row>
    <row r="869" spans="2:18">
      <c r="B869" s="832"/>
      <c r="C869" s="833"/>
      <c r="D869" s="833"/>
      <c r="E869" s="833"/>
      <c r="F869" s="1111"/>
      <c r="G869" s="1111"/>
      <c r="H869" s="834"/>
      <c r="I869" s="832"/>
      <c r="J869" s="1111"/>
      <c r="K869" s="832"/>
      <c r="L869" s="832"/>
      <c r="M869" s="832"/>
      <c r="N869" s="832"/>
      <c r="O869" s="832"/>
      <c r="P869" s="832"/>
      <c r="Q869" s="832"/>
      <c r="R869" s="832"/>
    </row>
    <row r="870" spans="2:18">
      <c r="B870" s="832"/>
      <c r="C870" s="833"/>
      <c r="D870" s="833"/>
      <c r="E870" s="833"/>
      <c r="F870" s="1111"/>
      <c r="G870" s="1111"/>
      <c r="H870" s="834"/>
      <c r="I870" s="832"/>
      <c r="J870" s="1111"/>
      <c r="K870" s="832"/>
      <c r="L870" s="832"/>
      <c r="M870" s="832"/>
      <c r="N870" s="832"/>
      <c r="O870" s="832"/>
      <c r="P870" s="832"/>
      <c r="Q870" s="832"/>
      <c r="R870" s="832"/>
    </row>
    <row r="871" spans="2:18">
      <c r="B871" s="832"/>
      <c r="C871" s="833"/>
      <c r="D871" s="833"/>
      <c r="E871" s="833"/>
      <c r="F871" s="1111"/>
      <c r="G871" s="1111"/>
      <c r="H871" s="834"/>
      <c r="I871" s="832"/>
      <c r="J871" s="1111"/>
      <c r="K871" s="832"/>
      <c r="L871" s="832"/>
      <c r="M871" s="832"/>
      <c r="N871" s="832"/>
      <c r="O871" s="832"/>
      <c r="P871" s="832"/>
      <c r="Q871" s="832"/>
      <c r="R871" s="832"/>
    </row>
    <row r="872" spans="2:18">
      <c r="B872" s="832"/>
      <c r="C872" s="833"/>
      <c r="D872" s="833"/>
      <c r="E872" s="833"/>
      <c r="F872" s="1111"/>
      <c r="G872" s="1111"/>
      <c r="H872" s="834"/>
      <c r="I872" s="832"/>
      <c r="J872" s="1111"/>
      <c r="K872" s="832"/>
      <c r="L872" s="832"/>
      <c r="M872" s="832"/>
      <c r="N872" s="832"/>
      <c r="O872" s="832"/>
      <c r="P872" s="832"/>
      <c r="Q872" s="832"/>
      <c r="R872" s="832"/>
    </row>
    <row r="873" spans="2:18">
      <c r="B873" s="832"/>
      <c r="C873" s="833"/>
      <c r="D873" s="833"/>
      <c r="E873" s="833"/>
      <c r="F873" s="1111"/>
      <c r="G873" s="1111"/>
      <c r="H873" s="834"/>
      <c r="I873" s="832"/>
      <c r="J873" s="1111"/>
      <c r="K873" s="832"/>
      <c r="L873" s="832"/>
      <c r="M873" s="832"/>
      <c r="N873" s="832"/>
      <c r="O873" s="832"/>
      <c r="P873" s="832"/>
      <c r="Q873" s="832"/>
      <c r="R873" s="832"/>
    </row>
    <row r="874" spans="2:18">
      <c r="B874" s="832"/>
      <c r="C874" s="833"/>
      <c r="D874" s="833"/>
      <c r="E874" s="833"/>
      <c r="F874" s="1111"/>
      <c r="G874" s="1111"/>
      <c r="H874" s="834"/>
      <c r="I874" s="832"/>
      <c r="J874" s="1111"/>
      <c r="K874" s="832"/>
      <c r="L874" s="832"/>
      <c r="M874" s="832"/>
      <c r="N874" s="832"/>
      <c r="O874" s="832"/>
      <c r="P874" s="832"/>
      <c r="Q874" s="832"/>
      <c r="R874" s="832"/>
    </row>
    <row r="875" spans="2:18">
      <c r="B875" s="832"/>
      <c r="C875" s="833"/>
      <c r="D875" s="833"/>
      <c r="E875" s="833"/>
      <c r="F875" s="1111"/>
      <c r="G875" s="1111"/>
      <c r="H875" s="834"/>
      <c r="I875" s="832"/>
      <c r="J875" s="1111"/>
      <c r="K875" s="832"/>
      <c r="L875" s="832"/>
      <c r="M875" s="832"/>
      <c r="N875" s="832"/>
      <c r="O875" s="832"/>
      <c r="P875" s="832"/>
      <c r="Q875" s="832"/>
      <c r="R875" s="832"/>
    </row>
    <row r="876" spans="2:18">
      <c r="B876" s="832"/>
      <c r="C876" s="833"/>
      <c r="D876" s="833"/>
      <c r="E876" s="833"/>
      <c r="F876" s="1111"/>
      <c r="G876" s="1111"/>
      <c r="H876" s="834"/>
      <c r="I876" s="832"/>
      <c r="J876" s="1111"/>
      <c r="K876" s="832"/>
      <c r="L876" s="832"/>
      <c r="M876" s="832"/>
      <c r="N876" s="832"/>
      <c r="O876" s="832"/>
      <c r="P876" s="832"/>
      <c r="Q876" s="832"/>
      <c r="R876" s="832"/>
    </row>
    <row r="877" spans="2:18">
      <c r="B877" s="832"/>
      <c r="C877" s="833"/>
      <c r="D877" s="833"/>
      <c r="E877" s="833"/>
      <c r="F877" s="1111"/>
      <c r="G877" s="1111"/>
      <c r="H877" s="834"/>
      <c r="I877" s="832"/>
      <c r="J877" s="1111"/>
      <c r="K877" s="832"/>
      <c r="L877" s="832"/>
      <c r="M877" s="832"/>
      <c r="N877" s="832"/>
      <c r="O877" s="832"/>
      <c r="P877" s="832"/>
      <c r="Q877" s="832"/>
      <c r="R877" s="832"/>
    </row>
    <row r="878" spans="2:18">
      <c r="B878" s="832"/>
      <c r="C878" s="833"/>
      <c r="D878" s="833"/>
      <c r="E878" s="833"/>
      <c r="F878" s="1111"/>
      <c r="G878" s="1111"/>
      <c r="H878" s="834"/>
      <c r="I878" s="832"/>
      <c r="J878" s="1111"/>
      <c r="K878" s="832"/>
      <c r="L878" s="832"/>
      <c r="M878" s="832"/>
      <c r="N878" s="832"/>
      <c r="O878" s="832"/>
      <c r="P878" s="832"/>
      <c r="Q878" s="832"/>
      <c r="R878" s="832"/>
    </row>
    <row r="879" spans="2:18">
      <c r="B879" s="832"/>
      <c r="C879" s="833"/>
      <c r="D879" s="833"/>
      <c r="E879" s="833"/>
      <c r="F879" s="1111"/>
      <c r="G879" s="1111"/>
      <c r="H879" s="834"/>
      <c r="I879" s="832"/>
      <c r="J879" s="1111"/>
      <c r="K879" s="832"/>
      <c r="L879" s="832"/>
      <c r="M879" s="832"/>
      <c r="N879" s="832"/>
      <c r="O879" s="832"/>
      <c r="P879" s="832"/>
      <c r="Q879" s="832"/>
      <c r="R879" s="832"/>
    </row>
    <row r="880" spans="2:18">
      <c r="B880" s="832"/>
      <c r="C880" s="833"/>
      <c r="D880" s="833"/>
      <c r="E880" s="833"/>
      <c r="F880" s="1111"/>
      <c r="G880" s="1111"/>
      <c r="H880" s="834"/>
      <c r="I880" s="832"/>
      <c r="J880" s="1111"/>
      <c r="K880" s="832"/>
      <c r="L880" s="832"/>
      <c r="M880" s="832"/>
      <c r="N880" s="832"/>
      <c r="O880" s="832"/>
      <c r="P880" s="832"/>
      <c r="Q880" s="832"/>
      <c r="R880" s="832"/>
    </row>
    <row r="881" spans="2:18">
      <c r="B881" s="832"/>
      <c r="C881" s="833"/>
      <c r="D881" s="833"/>
      <c r="E881" s="833"/>
      <c r="F881" s="1111"/>
      <c r="G881" s="1111"/>
      <c r="H881" s="834"/>
      <c r="I881" s="832"/>
      <c r="J881" s="1111"/>
      <c r="K881" s="832"/>
      <c r="L881" s="832"/>
      <c r="M881" s="832"/>
      <c r="N881" s="832"/>
      <c r="O881" s="832"/>
      <c r="P881" s="832"/>
      <c r="Q881" s="832"/>
      <c r="R881" s="832"/>
    </row>
    <row r="882" spans="2:18">
      <c r="B882" s="832"/>
      <c r="C882" s="833"/>
      <c r="D882" s="833"/>
      <c r="E882" s="833"/>
      <c r="F882" s="1111"/>
      <c r="G882" s="1111"/>
      <c r="H882" s="834"/>
      <c r="I882" s="832"/>
      <c r="J882" s="1111"/>
      <c r="K882" s="832"/>
      <c r="L882" s="832"/>
      <c r="M882" s="832"/>
      <c r="N882" s="832"/>
      <c r="O882" s="832"/>
      <c r="P882" s="832"/>
      <c r="Q882" s="832"/>
      <c r="R882" s="832"/>
    </row>
    <row r="883" spans="2:18">
      <c r="B883" s="832"/>
      <c r="C883" s="833"/>
      <c r="D883" s="833"/>
      <c r="E883" s="833"/>
      <c r="F883" s="1111"/>
      <c r="G883" s="1111"/>
      <c r="H883" s="834"/>
      <c r="I883" s="832"/>
      <c r="J883" s="1111"/>
      <c r="K883" s="832"/>
      <c r="L883" s="832"/>
      <c r="M883" s="832"/>
      <c r="N883" s="832"/>
      <c r="O883" s="832"/>
      <c r="P883" s="832"/>
      <c r="Q883" s="832"/>
      <c r="R883" s="832"/>
    </row>
    <row r="884" spans="2:18">
      <c r="B884" s="832"/>
      <c r="C884" s="833"/>
      <c r="D884" s="833"/>
      <c r="E884" s="833"/>
      <c r="F884" s="1111"/>
      <c r="G884" s="1111"/>
      <c r="H884" s="834"/>
      <c r="I884" s="832"/>
      <c r="J884" s="1111"/>
      <c r="K884" s="832"/>
      <c r="L884" s="832"/>
      <c r="M884" s="832"/>
      <c r="N884" s="832"/>
      <c r="O884" s="832"/>
      <c r="P884" s="832"/>
      <c r="Q884" s="832"/>
      <c r="R884" s="832"/>
    </row>
    <row r="885" spans="2:18">
      <c r="B885" s="832"/>
      <c r="C885" s="833"/>
      <c r="D885" s="833"/>
      <c r="E885" s="833"/>
      <c r="F885" s="1111"/>
      <c r="G885" s="1111"/>
      <c r="H885" s="834"/>
      <c r="I885" s="832"/>
      <c r="J885" s="1111"/>
      <c r="K885" s="832"/>
      <c r="L885" s="832"/>
      <c r="M885" s="832"/>
      <c r="N885" s="832"/>
      <c r="O885" s="832"/>
      <c r="P885" s="832"/>
      <c r="Q885" s="832"/>
      <c r="R885" s="832"/>
    </row>
    <row r="886" spans="2:18">
      <c r="B886" s="832"/>
      <c r="C886" s="833"/>
      <c r="D886" s="833"/>
      <c r="E886" s="833"/>
      <c r="F886" s="1111"/>
      <c r="G886" s="1111"/>
      <c r="H886" s="834"/>
      <c r="I886" s="832"/>
      <c r="J886" s="1111"/>
      <c r="K886" s="832"/>
      <c r="L886" s="832"/>
      <c r="M886" s="832"/>
      <c r="N886" s="832"/>
      <c r="O886" s="832"/>
      <c r="P886" s="832"/>
      <c r="Q886" s="832"/>
      <c r="R886" s="832"/>
    </row>
    <row r="887" spans="2:18">
      <c r="B887" s="832"/>
      <c r="C887" s="833"/>
      <c r="D887" s="833"/>
      <c r="E887" s="833"/>
      <c r="F887" s="1111"/>
      <c r="G887" s="1111"/>
      <c r="H887" s="834"/>
      <c r="I887" s="832"/>
      <c r="J887" s="1111"/>
      <c r="K887" s="832"/>
      <c r="L887" s="832"/>
      <c r="M887" s="832"/>
      <c r="N887" s="832"/>
      <c r="O887" s="832"/>
      <c r="P887" s="832"/>
      <c r="Q887" s="832"/>
      <c r="R887" s="832"/>
    </row>
    <row r="888" spans="2:18">
      <c r="B888" s="832"/>
      <c r="C888" s="833"/>
      <c r="D888" s="833"/>
      <c r="E888" s="833"/>
      <c r="F888" s="1111"/>
      <c r="G888" s="1111"/>
      <c r="H888" s="834"/>
      <c r="I888" s="832"/>
      <c r="J888" s="1111"/>
      <c r="K888" s="832"/>
      <c r="L888" s="832"/>
      <c r="M888" s="832"/>
      <c r="N888" s="832"/>
      <c r="O888" s="832"/>
      <c r="P888" s="832"/>
      <c r="Q888" s="832"/>
      <c r="R888" s="832"/>
    </row>
    <row r="889" spans="2:18">
      <c r="B889" s="832"/>
      <c r="C889" s="833"/>
      <c r="D889" s="833"/>
      <c r="E889" s="833"/>
      <c r="F889" s="1111"/>
      <c r="G889" s="1111"/>
      <c r="H889" s="834"/>
      <c r="I889" s="832"/>
      <c r="J889" s="1111"/>
      <c r="K889" s="832"/>
      <c r="L889" s="832"/>
      <c r="M889" s="832"/>
      <c r="N889" s="832"/>
      <c r="O889" s="832"/>
      <c r="P889" s="832"/>
      <c r="Q889" s="832"/>
      <c r="R889" s="832"/>
    </row>
    <row r="890" spans="2:18">
      <c r="B890" s="832"/>
      <c r="C890" s="833"/>
      <c r="D890" s="833"/>
      <c r="E890" s="833"/>
      <c r="F890" s="1111"/>
      <c r="G890" s="1111"/>
      <c r="H890" s="834"/>
      <c r="I890" s="832"/>
      <c r="J890" s="1111"/>
      <c r="K890" s="832"/>
      <c r="L890" s="832"/>
      <c r="M890" s="832"/>
      <c r="N890" s="832"/>
      <c r="O890" s="832"/>
      <c r="P890" s="832"/>
      <c r="Q890" s="832"/>
      <c r="R890" s="832"/>
    </row>
    <row r="891" spans="2:18">
      <c r="B891" s="832"/>
      <c r="C891" s="833"/>
      <c r="D891" s="833"/>
      <c r="E891" s="833"/>
      <c r="F891" s="1111"/>
      <c r="G891" s="1111"/>
      <c r="H891" s="834"/>
      <c r="I891" s="832"/>
      <c r="J891" s="1111"/>
      <c r="K891" s="832"/>
      <c r="L891" s="832"/>
      <c r="M891" s="832"/>
      <c r="N891" s="832"/>
      <c r="O891" s="832"/>
      <c r="P891" s="832"/>
      <c r="Q891" s="832"/>
      <c r="R891" s="832"/>
    </row>
    <row r="892" spans="2:18">
      <c r="B892" s="832"/>
      <c r="C892" s="833"/>
      <c r="D892" s="833"/>
      <c r="E892" s="833"/>
      <c r="F892" s="1111"/>
      <c r="G892" s="1111"/>
      <c r="H892" s="834"/>
      <c r="I892" s="832"/>
      <c r="J892" s="1111"/>
      <c r="K892" s="832"/>
      <c r="L892" s="832"/>
      <c r="M892" s="832"/>
      <c r="N892" s="832"/>
      <c r="O892" s="832"/>
      <c r="P892" s="832"/>
      <c r="Q892" s="832"/>
      <c r="R892" s="832"/>
    </row>
    <row r="893" spans="2:18">
      <c r="B893" s="832"/>
      <c r="C893" s="833"/>
      <c r="D893" s="833"/>
      <c r="E893" s="833"/>
      <c r="F893" s="1111"/>
      <c r="G893" s="1111"/>
      <c r="H893" s="834"/>
      <c r="I893" s="832"/>
      <c r="J893" s="1111"/>
      <c r="K893" s="832"/>
      <c r="L893" s="832"/>
      <c r="M893" s="832"/>
      <c r="N893" s="832"/>
      <c r="O893" s="832"/>
      <c r="P893" s="832"/>
      <c r="Q893" s="832"/>
      <c r="R893" s="832"/>
    </row>
    <row r="894" spans="2:18">
      <c r="B894" s="832"/>
      <c r="C894" s="833"/>
      <c r="D894" s="833"/>
      <c r="E894" s="833"/>
      <c r="F894" s="1111"/>
      <c r="G894" s="1111"/>
      <c r="H894" s="834"/>
      <c r="I894" s="832"/>
      <c r="J894" s="1111"/>
      <c r="K894" s="832"/>
      <c r="L894" s="832"/>
      <c r="M894" s="832"/>
      <c r="N894" s="832"/>
      <c r="O894" s="832"/>
      <c r="P894" s="832"/>
      <c r="Q894" s="832"/>
      <c r="R894" s="832"/>
    </row>
    <row r="895" spans="2:18">
      <c r="B895" s="832"/>
      <c r="C895" s="833"/>
      <c r="D895" s="833"/>
      <c r="E895" s="833"/>
      <c r="F895" s="1111"/>
      <c r="G895" s="1111"/>
      <c r="H895" s="834"/>
      <c r="I895" s="832"/>
      <c r="J895" s="1111"/>
      <c r="K895" s="832"/>
      <c r="L895" s="832"/>
      <c r="M895" s="832"/>
      <c r="N895" s="832"/>
      <c r="O895" s="832"/>
      <c r="P895" s="832"/>
      <c r="Q895" s="832"/>
      <c r="R895" s="832"/>
    </row>
    <row r="896" spans="2:18">
      <c r="B896" s="832"/>
      <c r="C896" s="833"/>
      <c r="D896" s="833"/>
      <c r="E896" s="833"/>
      <c r="F896" s="1111"/>
      <c r="G896" s="1111"/>
      <c r="H896" s="834"/>
      <c r="I896" s="832"/>
      <c r="J896" s="1111"/>
      <c r="K896" s="832"/>
      <c r="L896" s="832"/>
      <c r="M896" s="832"/>
      <c r="N896" s="832"/>
      <c r="O896" s="832"/>
      <c r="P896" s="832"/>
      <c r="Q896" s="832"/>
      <c r="R896" s="832"/>
    </row>
    <row r="897" spans="2:18">
      <c r="B897" s="832"/>
      <c r="C897" s="833"/>
      <c r="D897" s="833"/>
      <c r="E897" s="833"/>
      <c r="F897" s="1111"/>
      <c r="G897" s="1111"/>
      <c r="H897" s="834"/>
      <c r="I897" s="832"/>
      <c r="J897" s="1111"/>
      <c r="K897" s="832"/>
      <c r="L897" s="832"/>
      <c r="M897" s="832"/>
      <c r="N897" s="832"/>
      <c r="O897" s="832"/>
      <c r="P897" s="832"/>
      <c r="Q897" s="832"/>
      <c r="R897" s="832"/>
    </row>
    <row r="898" spans="2:18">
      <c r="B898" s="832"/>
      <c r="C898" s="833"/>
      <c r="D898" s="833"/>
      <c r="E898" s="833"/>
      <c r="F898" s="1111"/>
      <c r="G898" s="1111"/>
      <c r="H898" s="834"/>
      <c r="I898" s="832"/>
      <c r="J898" s="1111"/>
      <c r="K898" s="832"/>
      <c r="L898" s="832"/>
      <c r="M898" s="832"/>
      <c r="N898" s="832"/>
      <c r="O898" s="832"/>
      <c r="P898" s="832"/>
      <c r="Q898" s="832"/>
      <c r="R898" s="832"/>
    </row>
    <row r="899" spans="2:18">
      <c r="B899" s="832"/>
      <c r="C899" s="833"/>
      <c r="D899" s="833"/>
      <c r="E899" s="833"/>
      <c r="F899" s="1111"/>
      <c r="G899" s="1111"/>
      <c r="H899" s="834"/>
      <c r="I899" s="832"/>
      <c r="J899" s="1111"/>
      <c r="K899" s="832"/>
      <c r="L899" s="832"/>
      <c r="M899" s="832"/>
      <c r="N899" s="832"/>
      <c r="O899" s="832"/>
      <c r="P899" s="832"/>
      <c r="Q899" s="832"/>
      <c r="R899" s="832"/>
    </row>
    <row r="900" spans="2:18">
      <c r="B900" s="832"/>
      <c r="C900" s="833"/>
      <c r="D900" s="833"/>
      <c r="E900" s="833"/>
      <c r="F900" s="1111"/>
      <c r="G900" s="1111"/>
      <c r="H900" s="834"/>
      <c r="I900" s="832"/>
      <c r="J900" s="1111"/>
      <c r="K900" s="832"/>
      <c r="L900" s="832"/>
      <c r="M900" s="832"/>
      <c r="N900" s="832"/>
      <c r="O900" s="832"/>
      <c r="P900" s="832"/>
      <c r="Q900" s="832"/>
      <c r="R900" s="832"/>
    </row>
    <row r="901" spans="2:18">
      <c r="B901" s="832"/>
      <c r="C901" s="833"/>
      <c r="D901" s="833"/>
      <c r="E901" s="833"/>
      <c r="F901" s="1111"/>
      <c r="G901" s="1111"/>
      <c r="H901" s="834"/>
      <c r="I901" s="832"/>
      <c r="J901" s="1111"/>
      <c r="K901" s="832"/>
      <c r="L901" s="832"/>
      <c r="M901" s="832"/>
      <c r="N901" s="832"/>
      <c r="O901" s="832"/>
      <c r="P901" s="832"/>
      <c r="Q901" s="832"/>
      <c r="R901" s="832"/>
    </row>
    <row r="902" spans="2:18">
      <c r="B902" s="832"/>
      <c r="C902" s="833"/>
      <c r="D902" s="833"/>
      <c r="E902" s="833"/>
      <c r="F902" s="1111"/>
      <c r="G902" s="1111"/>
      <c r="H902" s="834"/>
      <c r="I902" s="832"/>
      <c r="J902" s="1111"/>
      <c r="K902" s="832"/>
      <c r="L902" s="832"/>
      <c r="M902" s="832"/>
      <c r="N902" s="832"/>
      <c r="O902" s="832"/>
      <c r="P902" s="832"/>
      <c r="Q902" s="832"/>
      <c r="R902" s="832"/>
    </row>
    <row r="903" spans="2:18">
      <c r="B903" s="832"/>
      <c r="C903" s="833"/>
      <c r="D903" s="833"/>
      <c r="E903" s="833"/>
      <c r="F903" s="1111"/>
      <c r="G903" s="1111"/>
      <c r="H903" s="834"/>
      <c r="I903" s="832"/>
      <c r="J903" s="1111"/>
      <c r="K903" s="832"/>
      <c r="L903" s="832"/>
      <c r="M903" s="832"/>
      <c r="N903" s="832"/>
      <c r="O903" s="832"/>
      <c r="P903" s="832"/>
      <c r="Q903" s="832"/>
      <c r="R903" s="832"/>
    </row>
    <row r="904" spans="2:18">
      <c r="B904" s="832"/>
      <c r="C904" s="833"/>
      <c r="D904" s="833"/>
      <c r="E904" s="833"/>
      <c r="F904" s="1111"/>
      <c r="G904" s="1111"/>
      <c r="H904" s="834"/>
      <c r="I904" s="832"/>
      <c r="J904" s="1111"/>
      <c r="K904" s="832"/>
      <c r="L904" s="832"/>
      <c r="M904" s="832"/>
      <c r="N904" s="832"/>
      <c r="O904" s="832"/>
      <c r="P904" s="832"/>
      <c r="Q904" s="832"/>
      <c r="R904" s="832"/>
    </row>
    <row r="905" spans="2:18">
      <c r="B905" s="832"/>
      <c r="C905" s="833"/>
      <c r="D905" s="833"/>
      <c r="E905" s="833"/>
      <c r="F905" s="1111"/>
      <c r="G905" s="1111"/>
      <c r="H905" s="834"/>
      <c r="I905" s="832"/>
      <c r="J905" s="1111"/>
      <c r="K905" s="832"/>
      <c r="L905" s="832"/>
      <c r="M905" s="832"/>
      <c r="N905" s="832"/>
      <c r="O905" s="832"/>
      <c r="P905" s="832"/>
      <c r="Q905" s="832"/>
      <c r="R905" s="832"/>
    </row>
    <row r="906" spans="2:18">
      <c r="B906" s="832"/>
      <c r="C906" s="833"/>
      <c r="D906" s="833"/>
      <c r="E906" s="833"/>
      <c r="F906" s="1111"/>
      <c r="G906" s="1111"/>
      <c r="H906" s="834"/>
      <c r="I906" s="832"/>
      <c r="J906" s="1111"/>
      <c r="K906" s="832"/>
      <c r="L906" s="832"/>
      <c r="M906" s="832"/>
      <c r="N906" s="832"/>
      <c r="O906" s="832"/>
      <c r="P906" s="832"/>
      <c r="Q906" s="832"/>
      <c r="R906" s="832"/>
    </row>
    <row r="907" spans="2:18">
      <c r="B907" s="832"/>
      <c r="C907" s="833"/>
      <c r="D907" s="833"/>
      <c r="E907" s="833"/>
      <c r="F907" s="1111"/>
      <c r="G907" s="1111"/>
      <c r="H907" s="834"/>
      <c r="I907" s="832"/>
      <c r="J907" s="1111"/>
      <c r="K907" s="832"/>
      <c r="L907" s="832"/>
      <c r="M907" s="832"/>
      <c r="N907" s="832"/>
      <c r="O907" s="832"/>
      <c r="P907" s="832"/>
      <c r="Q907" s="832"/>
      <c r="R907" s="832"/>
    </row>
    <row r="908" spans="2:18">
      <c r="B908" s="832"/>
      <c r="C908" s="833"/>
      <c r="D908" s="833"/>
      <c r="E908" s="833"/>
      <c r="F908" s="1111"/>
      <c r="G908" s="1111"/>
      <c r="H908" s="834"/>
      <c r="I908" s="832"/>
      <c r="J908" s="1111"/>
      <c r="K908" s="832"/>
      <c r="L908" s="832"/>
      <c r="M908" s="832"/>
      <c r="N908" s="832"/>
      <c r="O908" s="832"/>
      <c r="P908" s="832"/>
      <c r="Q908" s="832"/>
      <c r="R908" s="832"/>
    </row>
    <row r="909" spans="2:18">
      <c r="B909" s="832"/>
      <c r="C909" s="833"/>
      <c r="D909" s="833"/>
      <c r="E909" s="833"/>
      <c r="F909" s="1111"/>
      <c r="G909" s="1111"/>
      <c r="H909" s="834"/>
      <c r="I909" s="832"/>
      <c r="J909" s="1111"/>
      <c r="K909" s="832"/>
      <c r="L909" s="832"/>
      <c r="M909" s="832"/>
      <c r="N909" s="832"/>
      <c r="O909" s="832"/>
      <c r="P909" s="832"/>
      <c r="Q909" s="832"/>
      <c r="R909" s="832"/>
    </row>
    <row r="910" spans="2:18">
      <c r="B910" s="832"/>
      <c r="C910" s="833"/>
      <c r="D910" s="833"/>
      <c r="E910" s="833"/>
      <c r="F910" s="1111"/>
      <c r="G910" s="1111"/>
      <c r="H910" s="834"/>
      <c r="I910" s="832"/>
      <c r="J910" s="1111"/>
      <c r="K910" s="832"/>
      <c r="L910" s="832"/>
      <c r="M910" s="832"/>
      <c r="N910" s="832"/>
      <c r="O910" s="832"/>
      <c r="P910" s="832"/>
      <c r="Q910" s="832"/>
      <c r="R910" s="832"/>
    </row>
    <row r="911" spans="2:18">
      <c r="B911" s="832"/>
      <c r="C911" s="833"/>
      <c r="D911" s="833"/>
      <c r="E911" s="833"/>
      <c r="F911" s="1111"/>
      <c r="G911" s="1111"/>
      <c r="H911" s="834"/>
      <c r="I911" s="832"/>
      <c r="J911" s="1111"/>
      <c r="K911" s="832"/>
      <c r="L911" s="832"/>
      <c r="M911" s="832"/>
      <c r="N911" s="832"/>
      <c r="O911" s="832"/>
      <c r="P911" s="832"/>
      <c r="Q911" s="832"/>
      <c r="R911" s="832"/>
    </row>
    <row r="912" spans="2:18">
      <c r="B912" s="832"/>
      <c r="C912" s="833"/>
      <c r="D912" s="833"/>
      <c r="E912" s="833"/>
      <c r="F912" s="1111"/>
      <c r="G912" s="1111"/>
      <c r="H912" s="834"/>
      <c r="I912" s="832"/>
      <c r="J912" s="1111"/>
      <c r="K912" s="832"/>
      <c r="L912" s="832"/>
      <c r="M912" s="832"/>
      <c r="N912" s="832"/>
      <c r="O912" s="832"/>
      <c r="P912" s="832"/>
      <c r="Q912" s="832"/>
      <c r="R912" s="832"/>
    </row>
    <row r="913" spans="2:18">
      <c r="B913" s="832"/>
      <c r="C913" s="833"/>
      <c r="D913" s="833"/>
      <c r="E913" s="833"/>
      <c r="F913" s="1111"/>
      <c r="G913" s="1111"/>
      <c r="H913" s="834"/>
      <c r="I913" s="832"/>
      <c r="J913" s="1111"/>
      <c r="K913" s="832"/>
      <c r="L913" s="832"/>
      <c r="M913" s="832"/>
      <c r="N913" s="832"/>
      <c r="O913" s="832"/>
      <c r="P913" s="832"/>
      <c r="Q913" s="832"/>
      <c r="R913" s="832"/>
    </row>
    <row r="914" spans="2:18">
      <c r="B914" s="832"/>
      <c r="C914" s="833"/>
      <c r="D914" s="833"/>
      <c r="E914" s="833"/>
      <c r="F914" s="1111"/>
      <c r="G914" s="1111"/>
      <c r="H914" s="834"/>
      <c r="I914" s="832"/>
      <c r="J914" s="1111"/>
      <c r="K914" s="832"/>
      <c r="L914" s="832"/>
      <c r="M914" s="832"/>
      <c r="N914" s="832"/>
      <c r="O914" s="832"/>
      <c r="P914" s="832"/>
      <c r="Q914" s="832"/>
      <c r="R914" s="832"/>
    </row>
    <row r="915" spans="2:18">
      <c r="B915" s="832"/>
      <c r="C915" s="833"/>
      <c r="D915" s="833"/>
      <c r="E915" s="833"/>
      <c r="F915" s="1111"/>
      <c r="G915" s="1111"/>
      <c r="H915" s="834"/>
      <c r="I915" s="832"/>
      <c r="J915" s="1111"/>
      <c r="K915" s="832"/>
      <c r="L915" s="832"/>
      <c r="M915" s="832"/>
      <c r="N915" s="832"/>
      <c r="O915" s="832"/>
      <c r="P915" s="832"/>
      <c r="Q915" s="832"/>
      <c r="R915" s="832"/>
    </row>
    <row r="916" spans="2:18">
      <c r="B916" s="832"/>
      <c r="C916" s="833"/>
      <c r="D916" s="833"/>
      <c r="E916" s="833"/>
      <c r="F916" s="1111"/>
      <c r="G916" s="1111"/>
      <c r="H916" s="834"/>
      <c r="I916" s="832"/>
      <c r="J916" s="1111"/>
      <c r="K916" s="832"/>
      <c r="L916" s="832"/>
      <c r="M916" s="832"/>
      <c r="N916" s="832"/>
      <c r="O916" s="832"/>
      <c r="P916" s="832"/>
      <c r="Q916" s="832"/>
      <c r="R916" s="832"/>
    </row>
    <row r="917" spans="2:18">
      <c r="B917" s="832"/>
      <c r="C917" s="833"/>
      <c r="D917" s="833"/>
      <c r="E917" s="833"/>
      <c r="F917" s="1111"/>
      <c r="G917" s="1111"/>
      <c r="H917" s="834"/>
      <c r="I917" s="832"/>
      <c r="J917" s="1111"/>
      <c r="K917" s="832"/>
      <c r="L917" s="832"/>
      <c r="M917" s="832"/>
      <c r="N917" s="832"/>
      <c r="O917" s="832"/>
      <c r="P917" s="832"/>
      <c r="Q917" s="832"/>
      <c r="R917" s="832"/>
    </row>
    <row r="918" spans="2:18">
      <c r="B918" s="832"/>
      <c r="C918" s="833"/>
      <c r="D918" s="833"/>
      <c r="E918" s="833"/>
      <c r="F918" s="1111"/>
      <c r="G918" s="1111"/>
      <c r="H918" s="834"/>
      <c r="I918" s="832"/>
      <c r="J918" s="1111"/>
      <c r="K918" s="832"/>
      <c r="L918" s="832"/>
      <c r="M918" s="832"/>
      <c r="N918" s="832"/>
      <c r="O918" s="832"/>
      <c r="P918" s="832"/>
      <c r="Q918" s="832"/>
      <c r="R918" s="832"/>
    </row>
    <row r="919" spans="2:18">
      <c r="B919" s="832"/>
      <c r="C919" s="833"/>
      <c r="D919" s="833"/>
      <c r="E919" s="833"/>
      <c r="F919" s="1111"/>
      <c r="G919" s="1111"/>
      <c r="H919" s="834"/>
      <c r="I919" s="832"/>
      <c r="J919" s="1111"/>
      <c r="K919" s="832"/>
      <c r="L919" s="832"/>
      <c r="M919" s="832"/>
      <c r="N919" s="832"/>
      <c r="O919" s="832"/>
      <c r="P919" s="832"/>
      <c r="Q919" s="832"/>
      <c r="R919" s="832"/>
    </row>
    <row r="920" spans="2:18">
      <c r="B920" s="832"/>
      <c r="C920" s="833"/>
      <c r="D920" s="833"/>
      <c r="E920" s="833"/>
      <c r="F920" s="1111"/>
      <c r="G920" s="1111"/>
      <c r="H920" s="834"/>
      <c r="I920" s="832"/>
      <c r="J920" s="1111"/>
      <c r="K920" s="832"/>
      <c r="L920" s="832"/>
      <c r="M920" s="832"/>
      <c r="N920" s="832"/>
      <c r="O920" s="832"/>
      <c r="P920" s="832"/>
      <c r="Q920" s="832"/>
      <c r="R920" s="832"/>
    </row>
    <row r="921" spans="2:18">
      <c r="B921" s="832"/>
      <c r="C921" s="833"/>
      <c r="D921" s="833"/>
      <c r="E921" s="833"/>
      <c r="F921" s="1111"/>
      <c r="G921" s="1111"/>
      <c r="H921" s="834"/>
      <c r="I921" s="832"/>
      <c r="J921" s="1111"/>
      <c r="K921" s="832"/>
      <c r="L921" s="832"/>
      <c r="M921" s="832"/>
      <c r="N921" s="832"/>
      <c r="O921" s="832"/>
      <c r="P921" s="832"/>
      <c r="Q921" s="832"/>
      <c r="R921" s="832"/>
    </row>
    <row r="922" spans="2:18">
      <c r="B922" s="832"/>
      <c r="C922" s="833"/>
      <c r="D922" s="833"/>
      <c r="E922" s="833"/>
      <c r="F922" s="1111"/>
      <c r="G922" s="1111"/>
      <c r="H922" s="834"/>
      <c r="I922" s="832"/>
      <c r="J922" s="1111"/>
      <c r="K922" s="832"/>
      <c r="L922" s="832"/>
      <c r="M922" s="832"/>
      <c r="N922" s="832"/>
      <c r="O922" s="832"/>
      <c r="P922" s="832"/>
      <c r="Q922" s="832"/>
      <c r="R922" s="832"/>
    </row>
    <row r="923" spans="2:18">
      <c r="B923" s="832"/>
      <c r="C923" s="833"/>
      <c r="D923" s="833"/>
      <c r="E923" s="833"/>
      <c r="F923" s="1111"/>
      <c r="G923" s="1111"/>
      <c r="H923" s="834"/>
      <c r="I923" s="832"/>
      <c r="J923" s="1111"/>
      <c r="K923" s="832"/>
      <c r="L923" s="832"/>
      <c r="M923" s="832"/>
      <c r="N923" s="832"/>
      <c r="O923" s="832"/>
      <c r="P923" s="832"/>
      <c r="Q923" s="832"/>
      <c r="R923" s="832"/>
    </row>
    <row r="924" spans="2:18">
      <c r="B924" s="832"/>
      <c r="C924" s="833"/>
      <c r="D924" s="833"/>
      <c r="E924" s="833"/>
      <c r="F924" s="1111"/>
      <c r="G924" s="1111"/>
      <c r="H924" s="834"/>
      <c r="I924" s="832"/>
      <c r="J924" s="1111"/>
      <c r="K924" s="832"/>
      <c r="L924" s="832"/>
      <c r="M924" s="832"/>
      <c r="N924" s="832"/>
      <c r="O924" s="832"/>
      <c r="P924" s="832"/>
      <c r="Q924" s="832"/>
      <c r="R924" s="832"/>
    </row>
    <row r="925" spans="2:18">
      <c r="B925" s="832"/>
      <c r="C925" s="833"/>
      <c r="D925" s="833"/>
      <c r="E925" s="833"/>
      <c r="F925" s="1111"/>
      <c r="G925" s="1111"/>
      <c r="H925" s="834"/>
      <c r="I925" s="832"/>
      <c r="J925" s="1111"/>
      <c r="K925" s="832"/>
      <c r="L925" s="832"/>
      <c r="M925" s="832"/>
      <c r="N925" s="832"/>
      <c r="O925" s="832"/>
      <c r="P925" s="832"/>
      <c r="Q925" s="832"/>
      <c r="R925" s="832"/>
    </row>
    <row r="926" spans="2:18">
      <c r="B926" s="832"/>
      <c r="C926" s="833"/>
      <c r="D926" s="833"/>
      <c r="E926" s="833"/>
      <c r="F926" s="1111"/>
      <c r="G926" s="1111"/>
      <c r="H926" s="834"/>
      <c r="I926" s="832"/>
      <c r="J926" s="1111"/>
      <c r="K926" s="832"/>
      <c r="L926" s="832"/>
      <c r="M926" s="832"/>
      <c r="N926" s="832"/>
      <c r="O926" s="832"/>
      <c r="P926" s="832"/>
      <c r="Q926" s="832"/>
      <c r="R926" s="832"/>
    </row>
    <row r="927" spans="2:18">
      <c r="B927" s="832"/>
      <c r="C927" s="833"/>
      <c r="D927" s="833"/>
      <c r="E927" s="833"/>
      <c r="F927" s="1111"/>
      <c r="G927" s="1111"/>
      <c r="H927" s="834"/>
      <c r="I927" s="832"/>
      <c r="J927" s="1111"/>
      <c r="K927" s="832"/>
      <c r="L927" s="832"/>
      <c r="M927" s="832"/>
      <c r="N927" s="832"/>
      <c r="O927" s="832"/>
      <c r="P927" s="832"/>
      <c r="Q927" s="832"/>
      <c r="R927" s="832"/>
    </row>
    <row r="928" spans="2:18">
      <c r="B928" s="832"/>
      <c r="C928" s="833"/>
      <c r="D928" s="833"/>
      <c r="E928" s="833"/>
      <c r="F928" s="1111"/>
      <c r="G928" s="1111"/>
      <c r="H928" s="834"/>
      <c r="I928" s="832"/>
      <c r="J928" s="1111"/>
      <c r="K928" s="832"/>
      <c r="L928" s="832"/>
      <c r="M928" s="832"/>
      <c r="N928" s="832"/>
      <c r="O928" s="832"/>
      <c r="P928" s="832"/>
      <c r="Q928" s="832"/>
      <c r="R928" s="832"/>
    </row>
    <row r="929" spans="2:18">
      <c r="B929" s="832"/>
      <c r="C929" s="833"/>
      <c r="D929" s="833"/>
      <c r="E929" s="833"/>
      <c r="F929" s="1111"/>
      <c r="G929" s="1111"/>
      <c r="H929" s="834"/>
      <c r="I929" s="832"/>
      <c r="J929" s="1111"/>
      <c r="K929" s="832"/>
      <c r="L929" s="832"/>
      <c r="M929" s="832"/>
      <c r="N929" s="832"/>
      <c r="O929" s="832"/>
      <c r="P929" s="832"/>
      <c r="Q929" s="832"/>
      <c r="R929" s="832"/>
    </row>
    <row r="930" spans="2:18">
      <c r="B930" s="832"/>
      <c r="C930" s="833"/>
      <c r="D930" s="833"/>
      <c r="E930" s="833"/>
      <c r="F930" s="1111"/>
      <c r="G930" s="1111"/>
      <c r="H930" s="834"/>
      <c r="I930" s="832"/>
      <c r="J930" s="1111"/>
      <c r="K930" s="832"/>
      <c r="L930" s="832"/>
      <c r="M930" s="832"/>
      <c r="N930" s="832"/>
      <c r="O930" s="832"/>
      <c r="P930" s="832"/>
      <c r="Q930" s="832"/>
      <c r="R930" s="832"/>
    </row>
    <row r="931" spans="2:18">
      <c r="B931" s="832"/>
      <c r="C931" s="833"/>
      <c r="D931" s="833"/>
      <c r="E931" s="833"/>
      <c r="F931" s="1111"/>
      <c r="G931" s="1111"/>
      <c r="H931" s="834"/>
      <c r="I931" s="832"/>
      <c r="J931" s="1111"/>
      <c r="K931" s="832"/>
      <c r="L931" s="832"/>
      <c r="M931" s="832"/>
      <c r="N931" s="832"/>
      <c r="O931" s="832"/>
      <c r="P931" s="832"/>
      <c r="Q931" s="832"/>
      <c r="R931" s="832"/>
    </row>
    <row r="932" spans="2:18">
      <c r="B932" s="832"/>
      <c r="C932" s="833"/>
      <c r="D932" s="833"/>
      <c r="E932" s="833"/>
      <c r="F932" s="1111"/>
      <c r="G932" s="1111"/>
      <c r="H932" s="834"/>
      <c r="I932" s="832"/>
      <c r="J932" s="1111"/>
      <c r="K932" s="832"/>
      <c r="L932" s="832"/>
      <c r="M932" s="832"/>
      <c r="N932" s="832"/>
      <c r="O932" s="832"/>
      <c r="P932" s="832"/>
      <c r="Q932" s="832"/>
      <c r="R932" s="832"/>
    </row>
    <row r="933" spans="2:18">
      <c r="B933" s="832"/>
      <c r="C933" s="833"/>
      <c r="D933" s="833"/>
      <c r="E933" s="833"/>
      <c r="F933" s="1111"/>
      <c r="G933" s="1111"/>
      <c r="H933" s="834"/>
      <c r="I933" s="832"/>
      <c r="J933" s="1111"/>
      <c r="K933" s="832"/>
      <c r="L933" s="832"/>
      <c r="M933" s="832"/>
      <c r="N933" s="832"/>
      <c r="O933" s="832"/>
      <c r="P933" s="832"/>
      <c r="Q933" s="832"/>
      <c r="R933" s="832"/>
    </row>
    <row r="934" spans="2:18">
      <c r="B934" s="832"/>
      <c r="C934" s="833"/>
      <c r="D934" s="833"/>
      <c r="E934" s="833"/>
      <c r="F934" s="1111"/>
      <c r="G934" s="1111"/>
      <c r="H934" s="834"/>
      <c r="I934" s="832"/>
      <c r="J934" s="1111"/>
      <c r="K934" s="832"/>
      <c r="L934" s="832"/>
      <c r="M934" s="832"/>
      <c r="N934" s="832"/>
      <c r="O934" s="832"/>
      <c r="P934" s="832"/>
      <c r="Q934" s="832"/>
      <c r="R934" s="832"/>
    </row>
    <row r="935" spans="2:18">
      <c r="B935" s="832"/>
      <c r="C935" s="833"/>
      <c r="D935" s="833"/>
      <c r="E935" s="833"/>
      <c r="F935" s="1111"/>
      <c r="G935" s="1111"/>
      <c r="H935" s="834"/>
      <c r="I935" s="832"/>
      <c r="J935" s="1111"/>
      <c r="K935" s="832"/>
      <c r="L935" s="832"/>
      <c r="M935" s="832"/>
      <c r="N935" s="832"/>
      <c r="O935" s="832"/>
      <c r="P935" s="832"/>
      <c r="Q935" s="832"/>
      <c r="R935" s="832"/>
    </row>
    <row r="936" spans="2:18">
      <c r="B936" s="832"/>
      <c r="C936" s="833"/>
      <c r="D936" s="833"/>
      <c r="E936" s="833"/>
      <c r="F936" s="1111"/>
      <c r="G936" s="1111"/>
      <c r="H936" s="834"/>
      <c r="I936" s="832"/>
      <c r="J936" s="1111"/>
      <c r="K936" s="832"/>
      <c r="L936" s="832"/>
      <c r="M936" s="832"/>
      <c r="N936" s="832"/>
      <c r="O936" s="832"/>
      <c r="P936" s="832"/>
      <c r="Q936" s="832"/>
      <c r="R936" s="832"/>
    </row>
    <row r="937" spans="2:18">
      <c r="B937" s="832"/>
      <c r="C937" s="833"/>
      <c r="D937" s="833"/>
      <c r="E937" s="833"/>
      <c r="F937" s="1111"/>
      <c r="G937" s="1111"/>
      <c r="H937" s="834"/>
      <c r="I937" s="832"/>
      <c r="J937" s="1111"/>
      <c r="K937" s="832"/>
      <c r="L937" s="832"/>
      <c r="M937" s="832"/>
      <c r="N937" s="832"/>
      <c r="O937" s="832"/>
      <c r="P937" s="832"/>
      <c r="Q937" s="832"/>
      <c r="R937" s="832"/>
    </row>
    <row r="938" spans="2:18">
      <c r="B938" s="832"/>
      <c r="C938" s="833"/>
      <c r="D938" s="833"/>
      <c r="E938" s="833"/>
      <c r="F938" s="1111"/>
      <c r="G938" s="1111"/>
      <c r="H938" s="834"/>
      <c r="I938" s="832"/>
      <c r="J938" s="1111"/>
      <c r="K938" s="832"/>
      <c r="L938" s="832"/>
      <c r="M938" s="832"/>
      <c r="N938" s="832"/>
      <c r="O938" s="832"/>
      <c r="P938" s="832"/>
      <c r="Q938" s="832"/>
      <c r="R938" s="832"/>
    </row>
    <row r="939" spans="2:18">
      <c r="B939" s="832"/>
      <c r="C939" s="833"/>
      <c r="D939" s="833"/>
      <c r="E939" s="833"/>
      <c r="F939" s="1111"/>
      <c r="G939" s="1111"/>
      <c r="H939" s="834"/>
      <c r="I939" s="832"/>
      <c r="J939" s="1111"/>
      <c r="K939" s="832"/>
      <c r="L939" s="832"/>
      <c r="M939" s="832"/>
      <c r="N939" s="832"/>
      <c r="O939" s="832"/>
      <c r="P939" s="832"/>
      <c r="Q939" s="832"/>
      <c r="R939" s="832"/>
    </row>
    <row r="940" spans="2:18">
      <c r="B940" s="832"/>
      <c r="C940" s="833"/>
      <c r="D940" s="833"/>
      <c r="E940" s="833"/>
      <c r="F940" s="1111"/>
      <c r="G940" s="1111"/>
      <c r="H940" s="834"/>
      <c r="I940" s="832"/>
      <c r="J940" s="1111"/>
      <c r="K940" s="832"/>
      <c r="L940" s="832"/>
      <c r="M940" s="832"/>
      <c r="N940" s="832"/>
      <c r="O940" s="832"/>
      <c r="P940" s="832"/>
      <c r="Q940" s="832"/>
      <c r="R940" s="832"/>
    </row>
    <row r="941" spans="2:18">
      <c r="B941" s="832"/>
      <c r="C941" s="833"/>
      <c r="D941" s="833"/>
      <c r="E941" s="833"/>
      <c r="F941" s="1111"/>
      <c r="G941" s="1111"/>
      <c r="H941" s="834"/>
      <c r="I941" s="832"/>
      <c r="J941" s="1111"/>
      <c r="K941" s="832"/>
      <c r="L941" s="832"/>
      <c r="M941" s="832"/>
      <c r="N941" s="832"/>
      <c r="O941" s="832"/>
      <c r="P941" s="832"/>
      <c r="Q941" s="832"/>
      <c r="R941" s="832"/>
    </row>
    <row r="942" spans="2:18">
      <c r="B942" s="832"/>
      <c r="C942" s="833"/>
      <c r="D942" s="833"/>
      <c r="E942" s="833"/>
      <c r="F942" s="1111"/>
      <c r="G942" s="1111"/>
      <c r="H942" s="834"/>
      <c r="I942" s="832"/>
      <c r="J942" s="1111"/>
      <c r="K942" s="832"/>
      <c r="L942" s="832"/>
      <c r="M942" s="832"/>
      <c r="N942" s="832"/>
      <c r="O942" s="832"/>
      <c r="P942" s="832"/>
      <c r="Q942" s="832"/>
      <c r="R942" s="832"/>
    </row>
    <row r="943" spans="2:18">
      <c r="B943" s="832"/>
      <c r="C943" s="833"/>
      <c r="D943" s="833"/>
      <c r="E943" s="833"/>
      <c r="F943" s="1111"/>
      <c r="G943" s="1111"/>
      <c r="H943" s="834"/>
      <c r="I943" s="832"/>
      <c r="J943" s="1111"/>
      <c r="K943" s="832"/>
      <c r="L943" s="832"/>
      <c r="M943" s="832"/>
      <c r="N943" s="832"/>
      <c r="O943" s="832"/>
      <c r="P943" s="832"/>
      <c r="Q943" s="832"/>
      <c r="R943" s="832"/>
    </row>
    <row r="944" spans="2:18">
      <c r="B944" s="832"/>
      <c r="C944" s="833"/>
      <c r="D944" s="833"/>
      <c r="E944" s="833"/>
      <c r="F944" s="1111"/>
      <c r="G944" s="1111"/>
      <c r="H944" s="834"/>
      <c r="I944" s="832"/>
      <c r="J944" s="1111"/>
      <c r="K944" s="832"/>
      <c r="L944" s="832"/>
      <c r="M944" s="832"/>
      <c r="N944" s="832"/>
      <c r="O944" s="832"/>
      <c r="P944" s="832"/>
      <c r="Q944" s="832"/>
      <c r="R944" s="832"/>
    </row>
    <row r="945" spans="2:18">
      <c r="B945" s="832"/>
      <c r="C945" s="833"/>
      <c r="D945" s="833"/>
      <c r="E945" s="833"/>
      <c r="F945" s="1111"/>
      <c r="G945" s="1111"/>
      <c r="H945" s="834"/>
      <c r="I945" s="832"/>
      <c r="J945" s="1111"/>
      <c r="K945" s="832"/>
      <c r="L945" s="832"/>
      <c r="M945" s="832"/>
      <c r="N945" s="832"/>
      <c r="O945" s="832"/>
      <c r="P945" s="832"/>
      <c r="Q945" s="832"/>
      <c r="R945" s="832"/>
    </row>
    <row r="946" spans="2:18">
      <c r="B946" s="832"/>
      <c r="C946" s="833"/>
      <c r="D946" s="833"/>
      <c r="E946" s="833"/>
      <c r="F946" s="1111"/>
      <c r="G946" s="1111"/>
      <c r="H946" s="834"/>
      <c r="I946" s="832"/>
      <c r="J946" s="1111"/>
      <c r="K946" s="832"/>
      <c r="L946" s="832"/>
      <c r="M946" s="832"/>
      <c r="N946" s="832"/>
      <c r="O946" s="832"/>
      <c r="P946" s="832"/>
      <c r="Q946" s="832"/>
      <c r="R946" s="832"/>
    </row>
    <row r="947" spans="2:18">
      <c r="B947" s="832"/>
      <c r="C947" s="833"/>
      <c r="D947" s="833"/>
      <c r="E947" s="833"/>
      <c r="F947" s="1111"/>
      <c r="G947" s="1111"/>
      <c r="H947" s="834"/>
      <c r="I947" s="832"/>
      <c r="J947" s="1111"/>
      <c r="K947" s="832"/>
      <c r="L947" s="832"/>
      <c r="M947" s="832"/>
      <c r="N947" s="832"/>
      <c r="O947" s="832"/>
      <c r="P947" s="832"/>
      <c r="Q947" s="832"/>
      <c r="R947" s="832"/>
    </row>
    <row r="948" spans="2:18">
      <c r="B948" s="832"/>
      <c r="C948" s="833"/>
      <c r="D948" s="833"/>
      <c r="E948" s="833"/>
      <c r="F948" s="1111"/>
      <c r="G948" s="1111"/>
      <c r="H948" s="834"/>
      <c r="I948" s="832"/>
      <c r="J948" s="1111"/>
      <c r="K948" s="832"/>
      <c r="L948" s="832"/>
      <c r="M948" s="832"/>
      <c r="N948" s="832"/>
      <c r="O948" s="832"/>
      <c r="P948" s="832"/>
      <c r="Q948" s="832"/>
      <c r="R948" s="832"/>
    </row>
    <row r="949" spans="2:18">
      <c r="B949" s="832"/>
      <c r="C949" s="833"/>
      <c r="D949" s="833"/>
      <c r="E949" s="833"/>
      <c r="F949" s="1111"/>
      <c r="G949" s="1111"/>
      <c r="H949" s="834"/>
      <c r="I949" s="832"/>
      <c r="J949" s="1111"/>
      <c r="K949" s="832"/>
      <c r="L949" s="832"/>
      <c r="M949" s="832"/>
      <c r="N949" s="832"/>
      <c r="O949" s="832"/>
      <c r="P949" s="832"/>
      <c r="Q949" s="832"/>
      <c r="R949" s="832"/>
    </row>
    <row r="950" spans="2:18">
      <c r="B950" s="832"/>
      <c r="C950" s="833"/>
      <c r="D950" s="833"/>
      <c r="E950" s="833"/>
      <c r="F950" s="1111"/>
      <c r="G950" s="1111"/>
      <c r="H950" s="834"/>
      <c r="I950" s="832"/>
      <c r="J950" s="1111"/>
      <c r="K950" s="832"/>
      <c r="L950" s="832"/>
      <c r="M950" s="832"/>
      <c r="N950" s="832"/>
      <c r="O950" s="832"/>
      <c r="P950" s="832"/>
      <c r="Q950" s="832"/>
      <c r="R950" s="832"/>
    </row>
    <row r="951" spans="2:18">
      <c r="B951" s="832"/>
      <c r="C951" s="833"/>
      <c r="D951" s="833"/>
      <c r="E951" s="833"/>
      <c r="F951" s="1111"/>
      <c r="G951" s="1111"/>
      <c r="H951" s="834"/>
      <c r="I951" s="832"/>
      <c r="J951" s="1111"/>
      <c r="K951" s="832"/>
      <c r="L951" s="832"/>
      <c r="M951" s="832"/>
      <c r="N951" s="832"/>
      <c r="O951" s="832"/>
      <c r="P951" s="832"/>
      <c r="Q951" s="832"/>
      <c r="R951" s="832"/>
    </row>
    <row r="952" spans="2:18">
      <c r="B952" s="832"/>
      <c r="C952" s="833"/>
      <c r="D952" s="833"/>
      <c r="E952" s="833"/>
      <c r="F952" s="1111"/>
      <c r="G952" s="1111"/>
      <c r="H952" s="834"/>
      <c r="I952" s="832"/>
      <c r="J952" s="1111"/>
      <c r="K952" s="832"/>
      <c r="L952" s="832"/>
      <c r="M952" s="832"/>
      <c r="N952" s="832"/>
      <c r="O952" s="832"/>
      <c r="P952" s="832"/>
      <c r="Q952" s="832"/>
      <c r="R952" s="832"/>
    </row>
    <row r="953" spans="2:18">
      <c r="B953" s="832"/>
      <c r="C953" s="833"/>
      <c r="D953" s="833"/>
      <c r="E953" s="833"/>
      <c r="F953" s="1111"/>
      <c r="G953" s="1111"/>
      <c r="H953" s="834"/>
      <c r="I953" s="832"/>
      <c r="J953" s="1111"/>
      <c r="K953" s="832"/>
      <c r="L953" s="832"/>
      <c r="M953" s="832"/>
      <c r="N953" s="832"/>
      <c r="O953" s="832"/>
      <c r="P953" s="832"/>
      <c r="Q953" s="832"/>
      <c r="R953" s="832"/>
    </row>
    <row r="954" spans="2:18">
      <c r="B954" s="832"/>
      <c r="C954" s="833"/>
      <c r="D954" s="833"/>
      <c r="E954" s="833"/>
      <c r="F954" s="1111"/>
      <c r="G954" s="1111"/>
      <c r="H954" s="834"/>
      <c r="I954" s="832"/>
      <c r="J954" s="1111"/>
      <c r="K954" s="832"/>
      <c r="L954" s="832"/>
      <c r="M954" s="832"/>
      <c r="N954" s="832"/>
      <c r="O954" s="832"/>
      <c r="P954" s="832"/>
      <c r="Q954" s="832"/>
      <c r="R954" s="832"/>
    </row>
    <row r="955" spans="2:18">
      <c r="B955" s="832"/>
      <c r="C955" s="833"/>
      <c r="D955" s="833"/>
      <c r="E955" s="833"/>
      <c r="F955" s="1111"/>
      <c r="G955" s="1111"/>
      <c r="H955" s="834"/>
      <c r="I955" s="832"/>
      <c r="J955" s="1111"/>
      <c r="K955" s="832"/>
      <c r="L955" s="832"/>
      <c r="M955" s="832"/>
      <c r="N955" s="832"/>
      <c r="O955" s="832"/>
      <c r="P955" s="832"/>
      <c r="Q955" s="832"/>
      <c r="R955" s="832"/>
    </row>
    <row r="956" spans="2:18">
      <c r="B956" s="832"/>
      <c r="C956" s="833"/>
      <c r="D956" s="833"/>
      <c r="E956" s="833"/>
      <c r="F956" s="1111"/>
      <c r="G956" s="1111"/>
      <c r="H956" s="834"/>
      <c r="I956" s="832"/>
      <c r="J956" s="1111"/>
      <c r="K956" s="832"/>
      <c r="L956" s="832"/>
      <c r="M956" s="832"/>
      <c r="N956" s="832"/>
      <c r="O956" s="832"/>
      <c r="P956" s="832"/>
      <c r="Q956" s="832"/>
      <c r="R956" s="832"/>
    </row>
    <row r="957" spans="2:18">
      <c r="B957" s="832"/>
      <c r="C957" s="833"/>
      <c r="D957" s="833"/>
      <c r="E957" s="833"/>
      <c r="F957" s="1111"/>
      <c r="G957" s="1111"/>
      <c r="H957" s="834"/>
      <c r="I957" s="832"/>
      <c r="J957" s="1111"/>
      <c r="K957" s="832"/>
      <c r="L957" s="832"/>
      <c r="M957" s="832"/>
      <c r="N957" s="832"/>
      <c r="O957" s="832"/>
      <c r="P957" s="832"/>
      <c r="Q957" s="832"/>
      <c r="R957" s="832"/>
    </row>
    <row r="958" spans="2:18">
      <c r="B958" s="832"/>
      <c r="C958" s="833"/>
      <c r="D958" s="833"/>
      <c r="E958" s="833"/>
      <c r="F958" s="1111"/>
      <c r="G958" s="1111"/>
      <c r="H958" s="834"/>
      <c r="I958" s="832"/>
      <c r="J958" s="1111"/>
      <c r="K958" s="832"/>
      <c r="L958" s="832"/>
      <c r="M958" s="832"/>
      <c r="N958" s="832"/>
      <c r="O958" s="832"/>
      <c r="P958" s="832"/>
      <c r="Q958" s="832"/>
      <c r="R958" s="832"/>
    </row>
    <row r="959" spans="2:18">
      <c r="B959" s="832"/>
      <c r="C959" s="833"/>
      <c r="D959" s="833"/>
      <c r="E959" s="833"/>
      <c r="F959" s="1111"/>
      <c r="G959" s="1111"/>
      <c r="H959" s="834"/>
      <c r="I959" s="832"/>
      <c r="J959" s="1111"/>
      <c r="K959" s="832"/>
      <c r="L959" s="832"/>
      <c r="M959" s="832"/>
      <c r="N959" s="832"/>
      <c r="O959" s="832"/>
      <c r="P959" s="832"/>
      <c r="Q959" s="832"/>
      <c r="R959" s="832"/>
    </row>
    <row r="960" spans="2:18">
      <c r="B960" s="832"/>
      <c r="C960" s="833"/>
      <c r="D960" s="833"/>
      <c r="E960" s="833"/>
      <c r="F960" s="1111"/>
      <c r="G960" s="1111"/>
      <c r="H960" s="834"/>
      <c r="I960" s="832"/>
      <c r="J960" s="1111"/>
      <c r="K960" s="832"/>
      <c r="L960" s="832"/>
      <c r="M960" s="832"/>
      <c r="N960" s="832"/>
      <c r="O960" s="832"/>
      <c r="P960" s="832"/>
      <c r="Q960" s="832"/>
      <c r="R960" s="832"/>
    </row>
    <row r="961" spans="2:18">
      <c r="B961" s="832"/>
      <c r="C961" s="833"/>
      <c r="D961" s="833"/>
      <c r="E961" s="833"/>
      <c r="F961" s="1111"/>
      <c r="G961" s="1111"/>
      <c r="H961" s="834"/>
      <c r="I961" s="832"/>
      <c r="J961" s="1111"/>
      <c r="K961" s="832"/>
      <c r="L961" s="832"/>
      <c r="M961" s="832"/>
      <c r="N961" s="832"/>
      <c r="O961" s="832"/>
      <c r="P961" s="832"/>
      <c r="Q961" s="832"/>
      <c r="R961" s="832"/>
    </row>
    <row r="962" spans="2:18">
      <c r="B962" s="832"/>
      <c r="C962" s="833"/>
      <c r="D962" s="833"/>
      <c r="E962" s="833"/>
      <c r="F962" s="1111"/>
      <c r="G962" s="1111"/>
      <c r="H962" s="834"/>
      <c r="I962" s="832"/>
      <c r="J962" s="1111"/>
      <c r="K962" s="832"/>
      <c r="L962" s="832"/>
      <c r="M962" s="832"/>
      <c r="N962" s="832"/>
      <c r="O962" s="832"/>
      <c r="P962" s="832"/>
      <c r="Q962" s="832"/>
      <c r="R962" s="832"/>
    </row>
    <row r="963" spans="2:18">
      <c r="B963" s="832"/>
      <c r="C963" s="833"/>
      <c r="D963" s="833"/>
      <c r="E963" s="833"/>
      <c r="F963" s="1111"/>
      <c r="G963" s="1111"/>
      <c r="H963" s="834"/>
      <c r="I963" s="832"/>
      <c r="J963" s="1111"/>
      <c r="K963" s="832"/>
      <c r="L963" s="832"/>
      <c r="M963" s="832"/>
      <c r="N963" s="832"/>
      <c r="O963" s="832"/>
      <c r="P963" s="832"/>
      <c r="Q963" s="832"/>
      <c r="R963" s="832"/>
    </row>
    <row r="964" spans="2:18">
      <c r="B964" s="832"/>
      <c r="C964" s="833"/>
      <c r="D964" s="833"/>
      <c r="E964" s="833"/>
      <c r="F964" s="1111"/>
      <c r="G964" s="1111"/>
      <c r="H964" s="834"/>
      <c r="I964" s="832"/>
      <c r="J964" s="1111"/>
      <c r="K964" s="832"/>
      <c r="L964" s="832"/>
      <c r="M964" s="832"/>
      <c r="N964" s="832"/>
      <c r="O964" s="832"/>
      <c r="P964" s="832"/>
      <c r="Q964" s="832"/>
      <c r="R964" s="832"/>
    </row>
    <row r="965" spans="2:18">
      <c r="B965" s="832"/>
      <c r="C965" s="833"/>
      <c r="D965" s="833"/>
      <c r="E965" s="833"/>
      <c r="F965" s="1111"/>
      <c r="G965" s="1111"/>
      <c r="H965" s="834"/>
      <c r="I965" s="832"/>
      <c r="J965" s="1111"/>
      <c r="K965" s="832"/>
      <c r="L965" s="832"/>
      <c r="M965" s="832"/>
      <c r="N965" s="832"/>
      <c r="O965" s="832"/>
      <c r="P965" s="832"/>
      <c r="Q965" s="832"/>
      <c r="R965" s="832"/>
    </row>
    <row r="966" spans="2:18">
      <c r="B966" s="832"/>
      <c r="C966" s="833"/>
      <c r="D966" s="833"/>
      <c r="E966" s="833"/>
      <c r="F966" s="1111"/>
      <c r="G966" s="1111"/>
      <c r="H966" s="834"/>
      <c r="I966" s="832"/>
      <c r="J966" s="1111"/>
      <c r="K966" s="832"/>
      <c r="L966" s="832"/>
      <c r="M966" s="832"/>
      <c r="N966" s="832"/>
      <c r="O966" s="832"/>
      <c r="P966" s="832"/>
      <c r="Q966" s="832"/>
      <c r="R966" s="832"/>
    </row>
    <row r="967" spans="2:18">
      <c r="B967" s="832"/>
      <c r="C967" s="833"/>
      <c r="D967" s="833"/>
      <c r="E967" s="833"/>
      <c r="F967" s="1111"/>
      <c r="G967" s="1111"/>
      <c r="H967" s="834"/>
      <c r="I967" s="832"/>
      <c r="J967" s="1111"/>
      <c r="K967" s="832"/>
      <c r="L967" s="832"/>
      <c r="M967" s="832"/>
      <c r="N967" s="832"/>
      <c r="O967" s="832"/>
      <c r="P967" s="832"/>
      <c r="Q967" s="832"/>
      <c r="R967" s="832"/>
    </row>
    <row r="968" spans="2:18">
      <c r="B968" s="832"/>
      <c r="C968" s="833"/>
      <c r="D968" s="833"/>
      <c r="E968" s="833"/>
      <c r="F968" s="1111"/>
      <c r="G968" s="1111"/>
      <c r="H968" s="834"/>
      <c r="I968" s="832"/>
      <c r="J968" s="1111"/>
      <c r="K968" s="832"/>
      <c r="L968" s="832"/>
      <c r="M968" s="832"/>
      <c r="N968" s="832"/>
      <c r="O968" s="832"/>
      <c r="P968" s="832"/>
      <c r="Q968" s="832"/>
      <c r="R968" s="832"/>
    </row>
    <row r="969" spans="2:18">
      <c r="B969" s="832"/>
      <c r="C969" s="833"/>
      <c r="D969" s="833"/>
      <c r="E969" s="833"/>
      <c r="F969" s="1111"/>
      <c r="G969" s="1111"/>
      <c r="H969" s="834"/>
      <c r="I969" s="832"/>
      <c r="J969" s="1111"/>
      <c r="K969" s="832"/>
      <c r="L969" s="832"/>
      <c r="M969" s="832"/>
      <c r="N969" s="832"/>
      <c r="O969" s="832"/>
      <c r="P969" s="832"/>
      <c r="Q969" s="832"/>
      <c r="R969" s="832"/>
    </row>
    <row r="970" spans="2:18">
      <c r="B970" s="832"/>
      <c r="C970" s="833"/>
      <c r="D970" s="833"/>
      <c r="E970" s="833"/>
      <c r="F970" s="1111"/>
      <c r="G970" s="1111"/>
      <c r="H970" s="834"/>
      <c r="I970" s="832"/>
      <c r="J970" s="1111"/>
      <c r="K970" s="832"/>
      <c r="L970" s="832"/>
      <c r="M970" s="832"/>
      <c r="N970" s="832"/>
      <c r="O970" s="832"/>
      <c r="P970" s="832"/>
      <c r="Q970" s="832"/>
      <c r="R970" s="832"/>
    </row>
    <row r="971" spans="2:18">
      <c r="B971" s="832"/>
      <c r="C971" s="833"/>
      <c r="D971" s="833"/>
      <c r="E971" s="833"/>
      <c r="F971" s="1111"/>
      <c r="G971" s="1111"/>
      <c r="H971" s="834"/>
      <c r="I971" s="832"/>
      <c r="J971" s="1111"/>
      <c r="K971" s="832"/>
      <c r="L971" s="832"/>
      <c r="M971" s="832"/>
      <c r="N971" s="832"/>
      <c r="O971" s="832"/>
      <c r="P971" s="832"/>
      <c r="Q971" s="832"/>
      <c r="R971" s="832"/>
    </row>
    <row r="972" spans="2:18">
      <c r="B972" s="832"/>
      <c r="C972" s="833"/>
      <c r="D972" s="833"/>
      <c r="E972" s="833"/>
      <c r="F972" s="1111"/>
      <c r="G972" s="1111"/>
      <c r="H972" s="834"/>
      <c r="I972" s="832"/>
      <c r="J972" s="1111"/>
      <c r="K972" s="832"/>
      <c r="L972" s="832"/>
      <c r="M972" s="832"/>
      <c r="N972" s="832"/>
      <c r="O972" s="832"/>
      <c r="P972" s="832"/>
      <c r="Q972" s="832"/>
      <c r="R972" s="832"/>
    </row>
    <row r="973" spans="2:18">
      <c r="B973" s="832"/>
      <c r="C973" s="833"/>
      <c r="D973" s="833"/>
      <c r="E973" s="833"/>
      <c r="F973" s="1111"/>
      <c r="G973" s="1111"/>
      <c r="H973" s="834"/>
      <c r="I973" s="832"/>
      <c r="J973" s="1111"/>
      <c r="K973" s="832"/>
      <c r="L973" s="832"/>
      <c r="M973" s="832"/>
      <c r="N973" s="832"/>
      <c r="O973" s="832"/>
      <c r="P973" s="832"/>
      <c r="Q973" s="832"/>
      <c r="R973" s="832"/>
    </row>
    <row r="974" spans="2:18">
      <c r="B974" s="832"/>
      <c r="C974" s="833"/>
      <c r="D974" s="833"/>
      <c r="E974" s="833"/>
      <c r="F974" s="1111"/>
      <c r="G974" s="1111"/>
      <c r="H974" s="834"/>
      <c r="I974" s="832"/>
      <c r="J974" s="1111"/>
      <c r="K974" s="832"/>
      <c r="L974" s="832"/>
      <c r="M974" s="832"/>
      <c r="N974" s="832"/>
      <c r="O974" s="832"/>
      <c r="P974" s="832"/>
      <c r="Q974" s="832"/>
      <c r="R974" s="832"/>
    </row>
    <row r="975" spans="2:18">
      <c r="B975" s="832"/>
      <c r="C975" s="833"/>
      <c r="D975" s="833"/>
      <c r="E975" s="833"/>
      <c r="F975" s="1111"/>
      <c r="G975" s="1111"/>
      <c r="H975" s="834"/>
      <c r="I975" s="832"/>
      <c r="J975" s="1111"/>
      <c r="K975" s="832"/>
      <c r="L975" s="832"/>
      <c r="M975" s="832"/>
      <c r="N975" s="832"/>
      <c r="O975" s="832"/>
      <c r="P975" s="832"/>
      <c r="Q975" s="832"/>
      <c r="R975" s="832"/>
    </row>
    <row r="976" spans="2:18">
      <c r="B976" s="832"/>
      <c r="C976" s="833"/>
      <c r="D976" s="833"/>
      <c r="E976" s="833"/>
      <c r="F976" s="1111"/>
      <c r="G976" s="1111"/>
      <c r="H976" s="834"/>
      <c r="I976" s="832"/>
      <c r="J976" s="1111"/>
      <c r="K976" s="832"/>
      <c r="L976" s="832"/>
      <c r="M976" s="832"/>
      <c r="N976" s="832"/>
      <c r="O976" s="832"/>
      <c r="P976" s="832"/>
      <c r="Q976" s="832"/>
      <c r="R976" s="832"/>
    </row>
    <row r="977" spans="2:18">
      <c r="B977" s="832"/>
      <c r="C977" s="833"/>
      <c r="D977" s="833"/>
      <c r="E977" s="833"/>
      <c r="F977" s="1111"/>
      <c r="G977" s="1111"/>
      <c r="H977" s="834"/>
      <c r="I977" s="832"/>
      <c r="J977" s="1111"/>
      <c r="K977" s="832"/>
      <c r="L977" s="832"/>
      <c r="M977" s="832"/>
      <c r="N977" s="832"/>
      <c r="O977" s="832"/>
      <c r="P977" s="832"/>
      <c r="Q977" s="832"/>
      <c r="R977" s="832"/>
    </row>
    <row r="978" spans="2:18">
      <c r="B978" s="832"/>
      <c r="C978" s="833"/>
      <c r="D978" s="833"/>
      <c r="E978" s="833"/>
      <c r="F978" s="1111"/>
      <c r="G978" s="1111"/>
      <c r="H978" s="834"/>
      <c r="I978" s="832"/>
      <c r="J978" s="1111"/>
      <c r="K978" s="832"/>
      <c r="L978" s="832"/>
      <c r="M978" s="832"/>
      <c r="N978" s="832"/>
      <c r="O978" s="832"/>
      <c r="P978" s="832"/>
      <c r="Q978" s="832"/>
      <c r="R978" s="832"/>
    </row>
    <row r="979" spans="2:18">
      <c r="B979" s="832"/>
      <c r="C979" s="833"/>
      <c r="D979" s="833"/>
      <c r="E979" s="833"/>
      <c r="F979" s="1111"/>
      <c r="G979" s="1111"/>
      <c r="H979" s="834"/>
      <c r="I979" s="832"/>
      <c r="J979" s="1111"/>
      <c r="K979" s="832"/>
      <c r="L979" s="832"/>
      <c r="M979" s="832"/>
      <c r="N979" s="832"/>
      <c r="O979" s="832"/>
      <c r="P979" s="832"/>
      <c r="Q979" s="832"/>
      <c r="R979" s="832"/>
    </row>
    <row r="980" spans="2:18">
      <c r="B980" s="832"/>
      <c r="C980" s="833"/>
      <c r="D980" s="833"/>
      <c r="E980" s="833"/>
      <c r="F980" s="1111"/>
      <c r="G980" s="1111"/>
      <c r="H980" s="834"/>
      <c r="I980" s="832"/>
      <c r="J980" s="1111"/>
      <c r="K980" s="832"/>
      <c r="L980" s="832"/>
      <c r="M980" s="832"/>
      <c r="N980" s="832"/>
      <c r="O980" s="832"/>
      <c r="P980" s="832"/>
      <c r="Q980" s="832"/>
      <c r="R980" s="832"/>
    </row>
    <row r="981" spans="2:18">
      <c r="B981" s="832"/>
      <c r="C981" s="833"/>
      <c r="D981" s="833"/>
      <c r="E981" s="833"/>
      <c r="F981" s="1111"/>
      <c r="G981" s="1111"/>
      <c r="H981" s="834"/>
      <c r="I981" s="832"/>
      <c r="J981" s="1111"/>
      <c r="K981" s="832"/>
      <c r="L981" s="832"/>
      <c r="M981" s="832"/>
      <c r="N981" s="832"/>
      <c r="O981" s="832"/>
      <c r="P981" s="832"/>
      <c r="Q981" s="832"/>
      <c r="R981" s="832"/>
    </row>
    <row r="982" spans="2:18">
      <c r="B982" s="832"/>
      <c r="C982" s="833"/>
      <c r="D982" s="833"/>
      <c r="E982" s="833"/>
      <c r="F982" s="1111"/>
      <c r="G982" s="1111"/>
      <c r="H982" s="834"/>
      <c r="I982" s="832"/>
      <c r="J982" s="1111"/>
      <c r="K982" s="832"/>
      <c r="L982" s="832"/>
      <c r="M982" s="832"/>
      <c r="N982" s="832"/>
      <c r="O982" s="832"/>
      <c r="P982" s="832"/>
      <c r="Q982" s="832"/>
      <c r="R982" s="832"/>
    </row>
    <row r="983" spans="2:18">
      <c r="B983" s="832"/>
      <c r="C983" s="833"/>
      <c r="D983" s="833"/>
      <c r="E983" s="833"/>
      <c r="F983" s="1111"/>
      <c r="G983" s="1111"/>
      <c r="H983" s="834"/>
      <c r="I983" s="832"/>
      <c r="J983" s="1111"/>
      <c r="K983" s="832"/>
      <c r="L983" s="832"/>
      <c r="M983" s="832"/>
      <c r="N983" s="832"/>
      <c r="O983" s="832"/>
      <c r="P983" s="832"/>
      <c r="Q983" s="832"/>
      <c r="R983" s="832"/>
    </row>
    <row r="984" spans="2:18">
      <c r="B984" s="832"/>
      <c r="C984" s="833"/>
      <c r="D984" s="833"/>
      <c r="E984" s="833"/>
      <c r="F984" s="1111"/>
      <c r="G984" s="1111"/>
      <c r="H984" s="834"/>
      <c r="I984" s="832"/>
      <c r="J984" s="1111"/>
      <c r="K984" s="832"/>
      <c r="L984" s="832"/>
      <c r="M984" s="832"/>
      <c r="N984" s="832"/>
      <c r="O984" s="832"/>
      <c r="P984" s="832"/>
      <c r="Q984" s="832"/>
      <c r="R984" s="832"/>
    </row>
    <row r="985" spans="2:18">
      <c r="B985" s="832"/>
      <c r="C985" s="833"/>
      <c r="D985" s="833"/>
      <c r="E985" s="833"/>
      <c r="F985" s="1111"/>
      <c r="G985" s="1111"/>
      <c r="H985" s="834"/>
      <c r="I985" s="832"/>
      <c r="J985" s="1111"/>
      <c r="K985" s="832"/>
      <c r="L985" s="832"/>
      <c r="M985" s="832"/>
      <c r="N985" s="832"/>
      <c r="O985" s="832"/>
      <c r="P985" s="832"/>
      <c r="Q985" s="832"/>
      <c r="R985" s="832"/>
    </row>
    <row r="986" spans="2:18">
      <c r="B986" s="832"/>
      <c r="C986" s="833"/>
      <c r="D986" s="833"/>
      <c r="E986" s="833"/>
      <c r="F986" s="1111"/>
      <c r="G986" s="1111"/>
      <c r="H986" s="834"/>
      <c r="I986" s="832"/>
      <c r="J986" s="1111"/>
      <c r="K986" s="832"/>
      <c r="L986" s="832"/>
      <c r="M986" s="832"/>
      <c r="N986" s="832"/>
      <c r="O986" s="832"/>
      <c r="P986" s="832"/>
      <c r="Q986" s="832"/>
      <c r="R986" s="832"/>
    </row>
    <row r="987" spans="2:18">
      <c r="B987" s="832"/>
      <c r="C987" s="833"/>
      <c r="D987" s="833"/>
      <c r="E987" s="833"/>
      <c r="F987" s="1111"/>
      <c r="G987" s="1111"/>
      <c r="H987" s="834"/>
      <c r="I987" s="832"/>
      <c r="J987" s="1111"/>
      <c r="K987" s="832"/>
      <c r="L987" s="832"/>
      <c r="M987" s="832"/>
      <c r="N987" s="832"/>
      <c r="O987" s="832"/>
      <c r="P987" s="832"/>
      <c r="Q987" s="832"/>
      <c r="R987" s="832"/>
    </row>
    <row r="988" spans="2:18">
      <c r="B988" s="832"/>
      <c r="C988" s="833"/>
      <c r="D988" s="833"/>
      <c r="E988" s="833"/>
      <c r="F988" s="1111"/>
      <c r="G988" s="1111"/>
      <c r="H988" s="834"/>
      <c r="I988" s="832"/>
      <c r="J988" s="1111"/>
      <c r="K988" s="832"/>
      <c r="L988" s="832"/>
      <c r="M988" s="832"/>
      <c r="N988" s="832"/>
      <c r="O988" s="832"/>
      <c r="P988" s="832"/>
      <c r="Q988" s="832"/>
      <c r="R988" s="832"/>
    </row>
    <row r="989" spans="2:18">
      <c r="B989" s="832"/>
      <c r="C989" s="833"/>
      <c r="D989" s="833"/>
      <c r="E989" s="833"/>
      <c r="F989" s="1111"/>
      <c r="G989" s="1111"/>
      <c r="H989" s="834"/>
      <c r="I989" s="832"/>
      <c r="J989" s="1111"/>
      <c r="K989" s="832"/>
      <c r="L989" s="832"/>
      <c r="M989" s="832"/>
      <c r="N989" s="832"/>
      <c r="O989" s="832"/>
      <c r="P989" s="832"/>
      <c r="Q989" s="832"/>
      <c r="R989" s="832"/>
    </row>
    <row r="990" spans="2:18">
      <c r="B990" s="832"/>
      <c r="C990" s="833"/>
      <c r="D990" s="833"/>
      <c r="E990" s="833"/>
      <c r="F990" s="1111"/>
      <c r="G990" s="1111"/>
      <c r="H990" s="834"/>
      <c r="I990" s="832"/>
      <c r="J990" s="1111"/>
      <c r="K990" s="832"/>
      <c r="L990" s="832"/>
      <c r="M990" s="832"/>
      <c r="N990" s="832"/>
      <c r="O990" s="832"/>
      <c r="P990" s="832"/>
      <c r="Q990" s="832"/>
      <c r="R990" s="832"/>
    </row>
    <row r="991" spans="2:18">
      <c r="B991" s="832"/>
      <c r="C991" s="833"/>
      <c r="D991" s="833"/>
      <c r="E991" s="833"/>
      <c r="F991" s="1111"/>
      <c r="G991" s="1111"/>
      <c r="H991" s="834"/>
      <c r="I991" s="832"/>
      <c r="J991" s="1111"/>
      <c r="K991" s="832"/>
      <c r="L991" s="832"/>
      <c r="M991" s="832"/>
      <c r="N991" s="832"/>
      <c r="O991" s="832"/>
      <c r="P991" s="832"/>
      <c r="Q991" s="832"/>
      <c r="R991" s="832"/>
    </row>
    <row r="992" spans="2:18">
      <c r="B992" s="832"/>
      <c r="C992" s="833"/>
      <c r="D992" s="833"/>
      <c r="E992" s="833"/>
      <c r="F992" s="1111"/>
      <c r="G992" s="1111"/>
      <c r="H992" s="834"/>
      <c r="I992" s="832"/>
      <c r="J992" s="1111"/>
      <c r="K992" s="832"/>
      <c r="L992" s="832"/>
      <c r="M992" s="832"/>
      <c r="N992" s="832"/>
      <c r="O992" s="832"/>
      <c r="P992" s="832"/>
      <c r="Q992" s="832"/>
      <c r="R992" s="832"/>
    </row>
    <row r="993" spans="2:18">
      <c r="B993" s="832"/>
      <c r="C993" s="833"/>
      <c r="D993" s="833"/>
      <c r="E993" s="833"/>
      <c r="F993" s="1111"/>
      <c r="G993" s="1111"/>
      <c r="H993" s="834"/>
      <c r="I993" s="832"/>
      <c r="J993" s="1111"/>
      <c r="K993" s="832"/>
      <c r="L993" s="832"/>
      <c r="M993" s="832"/>
      <c r="N993" s="832"/>
      <c r="O993" s="832"/>
      <c r="P993" s="832"/>
      <c r="Q993" s="832"/>
      <c r="R993" s="832"/>
    </row>
    <row r="994" spans="2:18">
      <c r="B994" s="832"/>
      <c r="C994" s="833"/>
      <c r="D994" s="833"/>
      <c r="E994" s="833"/>
      <c r="F994" s="1111"/>
      <c r="G994" s="1111"/>
      <c r="H994" s="834"/>
      <c r="I994" s="832"/>
      <c r="J994" s="1111"/>
      <c r="K994" s="832"/>
      <c r="L994" s="832"/>
      <c r="M994" s="832"/>
      <c r="N994" s="832"/>
      <c r="O994" s="832"/>
      <c r="P994" s="832"/>
      <c r="Q994" s="832"/>
      <c r="R994" s="832"/>
    </row>
    <row r="995" spans="2:18">
      <c r="B995" s="832"/>
      <c r="C995" s="833"/>
      <c r="D995" s="833"/>
      <c r="E995" s="833"/>
      <c r="F995" s="1111"/>
      <c r="G995" s="1111"/>
      <c r="H995" s="834"/>
      <c r="I995" s="832"/>
      <c r="J995" s="1111"/>
      <c r="K995" s="832"/>
      <c r="L995" s="832"/>
      <c r="M995" s="832"/>
      <c r="N995" s="832"/>
      <c r="O995" s="832"/>
      <c r="P995" s="832"/>
      <c r="Q995" s="832"/>
      <c r="R995" s="832"/>
    </row>
    <row r="996" spans="2:18">
      <c r="B996" s="832"/>
      <c r="C996" s="833"/>
      <c r="D996" s="833"/>
      <c r="E996" s="833"/>
      <c r="F996" s="1111"/>
      <c r="G996" s="1111"/>
      <c r="H996" s="834"/>
      <c r="I996" s="832"/>
      <c r="J996" s="1111"/>
      <c r="K996" s="832"/>
      <c r="L996" s="832"/>
      <c r="M996" s="832"/>
      <c r="N996" s="832"/>
      <c r="O996" s="832"/>
      <c r="P996" s="832"/>
      <c r="Q996" s="832"/>
      <c r="R996" s="832"/>
    </row>
    <row r="997" spans="2:18">
      <c r="B997" s="832"/>
      <c r="C997" s="833"/>
      <c r="D997" s="833"/>
      <c r="E997" s="833"/>
      <c r="F997" s="1111"/>
      <c r="G997" s="1111"/>
      <c r="H997" s="834"/>
      <c r="I997" s="832"/>
      <c r="J997" s="1111"/>
      <c r="K997" s="832"/>
      <c r="L997" s="832"/>
      <c r="M997" s="832"/>
      <c r="N997" s="832"/>
      <c r="O997" s="832"/>
      <c r="P997" s="832"/>
      <c r="Q997" s="832"/>
      <c r="R997" s="832"/>
    </row>
    <row r="998" spans="2:18">
      <c r="B998" s="832"/>
      <c r="C998" s="833"/>
      <c r="D998" s="833"/>
      <c r="E998" s="833"/>
      <c r="F998" s="1111"/>
      <c r="G998" s="1111"/>
      <c r="H998" s="834"/>
      <c r="I998" s="832"/>
      <c r="J998" s="1111"/>
      <c r="K998" s="832"/>
      <c r="L998" s="832"/>
      <c r="M998" s="832"/>
      <c r="N998" s="832"/>
      <c r="O998" s="832"/>
      <c r="P998" s="832"/>
      <c r="Q998" s="832"/>
      <c r="R998" s="832"/>
    </row>
    <row r="999" spans="2:18">
      <c r="B999" s="832"/>
      <c r="C999" s="833"/>
      <c r="D999" s="833"/>
      <c r="E999" s="833"/>
      <c r="F999" s="1111"/>
      <c r="G999" s="1111"/>
      <c r="H999" s="834"/>
      <c r="I999" s="832"/>
      <c r="J999" s="1111"/>
      <c r="K999" s="832"/>
      <c r="L999" s="832"/>
      <c r="M999" s="832"/>
      <c r="N999" s="832"/>
      <c r="O999" s="832"/>
      <c r="P999" s="832"/>
      <c r="Q999" s="832"/>
      <c r="R999" s="832"/>
    </row>
    <row r="1000" spans="2:18">
      <c r="B1000" s="832"/>
      <c r="C1000" s="833"/>
      <c r="D1000" s="833"/>
      <c r="E1000" s="833"/>
      <c r="F1000" s="1111"/>
      <c r="G1000" s="1111"/>
      <c r="H1000" s="834"/>
      <c r="I1000" s="832"/>
      <c r="J1000" s="1111"/>
      <c r="K1000" s="832"/>
      <c r="L1000" s="832"/>
      <c r="M1000" s="832"/>
      <c r="N1000" s="832"/>
      <c r="O1000" s="832"/>
      <c r="P1000" s="832"/>
      <c r="Q1000" s="832"/>
      <c r="R1000" s="832"/>
    </row>
    <row r="1001" spans="2:18">
      <c r="B1001" s="832"/>
      <c r="C1001" s="833"/>
      <c r="D1001" s="833"/>
      <c r="E1001" s="833"/>
      <c r="F1001" s="1111"/>
      <c r="G1001" s="1111"/>
      <c r="H1001" s="834"/>
      <c r="I1001" s="832"/>
      <c r="J1001" s="1111"/>
      <c r="K1001" s="832"/>
      <c r="L1001" s="832"/>
      <c r="M1001" s="832"/>
      <c r="N1001" s="832"/>
      <c r="O1001" s="832"/>
      <c r="P1001" s="832"/>
      <c r="Q1001" s="832"/>
      <c r="R1001" s="832"/>
    </row>
    <row r="1002" spans="2:18">
      <c r="B1002" s="832"/>
      <c r="C1002" s="833"/>
      <c r="D1002" s="833"/>
      <c r="E1002" s="833"/>
      <c r="F1002" s="1111"/>
      <c r="G1002" s="1111"/>
      <c r="H1002" s="834"/>
      <c r="I1002" s="832"/>
      <c r="J1002" s="1111"/>
      <c r="K1002" s="832"/>
      <c r="L1002" s="832"/>
      <c r="M1002" s="832"/>
      <c r="N1002" s="832"/>
      <c r="O1002" s="832"/>
      <c r="P1002" s="832"/>
      <c r="Q1002" s="832"/>
      <c r="R1002" s="832"/>
    </row>
    <row r="1003" spans="2:18">
      <c r="B1003" s="832"/>
      <c r="C1003" s="833"/>
      <c r="D1003" s="833"/>
      <c r="E1003" s="833"/>
      <c r="F1003" s="1111"/>
      <c r="G1003" s="1111"/>
      <c r="H1003" s="834"/>
      <c r="I1003" s="832"/>
      <c r="J1003" s="1111"/>
      <c r="K1003" s="832"/>
      <c r="L1003" s="832"/>
      <c r="M1003" s="832"/>
      <c r="N1003" s="832"/>
      <c r="O1003" s="832"/>
      <c r="P1003" s="832"/>
      <c r="Q1003" s="832"/>
      <c r="R1003" s="832"/>
    </row>
    <row r="1004" spans="2:18">
      <c r="B1004" s="832"/>
      <c r="C1004" s="833"/>
      <c r="D1004" s="833"/>
      <c r="E1004" s="833"/>
      <c r="F1004" s="1111"/>
      <c r="G1004" s="1111"/>
      <c r="H1004" s="834"/>
      <c r="I1004" s="832"/>
      <c r="J1004" s="1111"/>
      <c r="K1004" s="832"/>
      <c r="L1004" s="832"/>
      <c r="M1004" s="832"/>
      <c r="N1004" s="832"/>
      <c r="O1004" s="832"/>
      <c r="P1004" s="832"/>
      <c r="Q1004" s="832"/>
      <c r="R1004" s="832"/>
    </row>
    <row r="1005" spans="2:18">
      <c r="B1005" s="832"/>
      <c r="C1005" s="833"/>
      <c r="D1005" s="833"/>
      <c r="E1005" s="833"/>
      <c r="F1005" s="1111"/>
      <c r="G1005" s="1111"/>
      <c r="H1005" s="834"/>
      <c r="I1005" s="832"/>
      <c r="J1005" s="1111"/>
      <c r="K1005" s="832"/>
      <c r="L1005" s="832"/>
      <c r="M1005" s="832"/>
      <c r="N1005" s="832"/>
      <c r="O1005" s="832"/>
      <c r="P1005" s="832"/>
      <c r="Q1005" s="832"/>
      <c r="R1005" s="832"/>
    </row>
    <row r="1006" spans="2:18">
      <c r="B1006" s="832"/>
      <c r="C1006" s="833"/>
      <c r="D1006" s="833"/>
      <c r="E1006" s="833"/>
      <c r="F1006" s="1111"/>
      <c r="G1006" s="1111"/>
      <c r="H1006" s="834"/>
      <c r="I1006" s="832"/>
      <c r="J1006" s="1111"/>
      <c r="K1006" s="832"/>
      <c r="L1006" s="832"/>
      <c r="M1006" s="832"/>
      <c r="N1006" s="832"/>
      <c r="O1006" s="832"/>
      <c r="P1006" s="832"/>
      <c r="Q1006" s="832"/>
      <c r="R1006" s="832"/>
    </row>
    <row r="1007" spans="2:18">
      <c r="B1007" s="832"/>
      <c r="C1007" s="833"/>
      <c r="D1007" s="833"/>
      <c r="E1007" s="833"/>
      <c r="F1007" s="1111"/>
      <c r="G1007" s="1111"/>
      <c r="H1007" s="834"/>
      <c r="I1007" s="832"/>
      <c r="J1007" s="1111"/>
      <c r="K1007" s="832"/>
      <c r="L1007" s="832"/>
      <c r="M1007" s="832"/>
      <c r="N1007" s="832"/>
      <c r="O1007" s="832"/>
      <c r="P1007" s="832"/>
      <c r="Q1007" s="832"/>
      <c r="R1007" s="832"/>
    </row>
    <row r="1008" spans="2:18">
      <c r="B1008" s="832"/>
      <c r="C1008" s="833"/>
      <c r="D1008" s="833"/>
      <c r="E1008" s="833"/>
      <c r="F1008" s="1111"/>
      <c r="G1008" s="1111"/>
      <c r="H1008" s="834"/>
      <c r="I1008" s="832"/>
      <c r="J1008" s="1111"/>
      <c r="K1008" s="832"/>
      <c r="L1008" s="832"/>
      <c r="M1008" s="832"/>
      <c r="N1008" s="832"/>
      <c r="O1008" s="832"/>
      <c r="P1008" s="832"/>
      <c r="Q1008" s="832"/>
      <c r="R1008" s="832"/>
    </row>
    <row r="1009" spans="2:18">
      <c r="B1009" s="832"/>
      <c r="C1009" s="833"/>
      <c r="D1009" s="833"/>
      <c r="E1009" s="833"/>
      <c r="F1009" s="1111"/>
      <c r="G1009" s="1111"/>
      <c r="H1009" s="834"/>
      <c r="I1009" s="832"/>
      <c r="J1009" s="1111"/>
      <c r="K1009" s="832"/>
      <c r="L1009" s="832"/>
      <c r="M1009" s="832"/>
      <c r="N1009" s="832"/>
      <c r="O1009" s="832"/>
      <c r="P1009" s="832"/>
      <c r="Q1009" s="832"/>
      <c r="R1009" s="832"/>
    </row>
    <row r="1010" spans="2:18">
      <c r="B1010" s="832"/>
      <c r="C1010" s="833"/>
      <c r="D1010" s="833"/>
      <c r="E1010" s="833"/>
      <c r="F1010" s="1111"/>
      <c r="G1010" s="1111"/>
      <c r="H1010" s="834"/>
      <c r="I1010" s="832"/>
      <c r="J1010" s="1111"/>
      <c r="K1010" s="832"/>
      <c r="L1010" s="832"/>
      <c r="M1010" s="832"/>
      <c r="N1010" s="832"/>
      <c r="O1010" s="832"/>
      <c r="P1010" s="832"/>
      <c r="Q1010" s="832"/>
      <c r="R1010" s="832"/>
    </row>
    <row r="1011" spans="2:18">
      <c r="B1011" s="832"/>
      <c r="C1011" s="833"/>
      <c r="D1011" s="833"/>
      <c r="E1011" s="833"/>
      <c r="F1011" s="1111"/>
      <c r="G1011" s="1111"/>
      <c r="H1011" s="834"/>
      <c r="I1011" s="832"/>
      <c r="J1011" s="1111"/>
      <c r="K1011" s="832"/>
      <c r="L1011" s="832"/>
      <c r="M1011" s="832"/>
      <c r="N1011" s="832"/>
      <c r="O1011" s="832"/>
      <c r="P1011" s="832"/>
      <c r="Q1011" s="832"/>
      <c r="R1011" s="832"/>
    </row>
    <row r="1012" spans="2:18">
      <c r="B1012" s="832"/>
      <c r="C1012" s="833"/>
      <c r="D1012" s="833"/>
      <c r="E1012" s="833"/>
      <c r="F1012" s="1111"/>
      <c r="G1012" s="1111"/>
      <c r="H1012" s="834"/>
      <c r="I1012" s="832"/>
      <c r="J1012" s="1111"/>
      <c r="K1012" s="832"/>
      <c r="L1012" s="832"/>
      <c r="M1012" s="832"/>
      <c r="N1012" s="832"/>
      <c r="O1012" s="832"/>
      <c r="P1012" s="832"/>
      <c r="Q1012" s="832"/>
      <c r="R1012" s="832"/>
    </row>
    <row r="1013" spans="2:18">
      <c r="B1013" s="832"/>
      <c r="C1013" s="833"/>
      <c r="D1013" s="833"/>
      <c r="E1013" s="833"/>
      <c r="F1013" s="1111"/>
      <c r="G1013" s="1111"/>
      <c r="H1013" s="834"/>
      <c r="I1013" s="832"/>
      <c r="J1013" s="1111"/>
      <c r="K1013" s="832"/>
      <c r="L1013" s="832"/>
      <c r="M1013" s="832"/>
      <c r="N1013" s="832"/>
      <c r="O1013" s="832"/>
      <c r="P1013" s="832"/>
      <c r="Q1013" s="832"/>
      <c r="R1013" s="832"/>
    </row>
    <row r="1014" spans="2:18">
      <c r="B1014" s="832"/>
      <c r="C1014" s="833"/>
      <c r="D1014" s="833"/>
      <c r="E1014" s="833"/>
      <c r="F1014" s="1111"/>
      <c r="G1014" s="1111"/>
      <c r="H1014" s="834"/>
      <c r="I1014" s="832"/>
      <c r="J1014" s="1111"/>
      <c r="K1014" s="832"/>
      <c r="L1014" s="832"/>
      <c r="M1014" s="832"/>
      <c r="N1014" s="832"/>
      <c r="O1014" s="832"/>
      <c r="P1014" s="832"/>
      <c r="Q1014" s="832"/>
      <c r="R1014" s="832"/>
    </row>
    <row r="1015" spans="2:18">
      <c r="B1015" s="832"/>
      <c r="C1015" s="833"/>
      <c r="D1015" s="833"/>
      <c r="E1015" s="833"/>
      <c r="F1015" s="1111"/>
      <c r="G1015" s="1111"/>
      <c r="H1015" s="834"/>
      <c r="I1015" s="832"/>
      <c r="J1015" s="1111"/>
      <c r="K1015" s="832"/>
      <c r="L1015" s="832"/>
      <c r="M1015" s="832"/>
      <c r="N1015" s="832"/>
      <c r="O1015" s="832"/>
      <c r="P1015" s="832"/>
      <c r="Q1015" s="832"/>
      <c r="R1015" s="832"/>
    </row>
    <row r="1016" spans="2:18">
      <c r="B1016" s="832"/>
      <c r="C1016" s="833"/>
      <c r="D1016" s="833"/>
      <c r="E1016" s="833"/>
      <c r="F1016" s="1111"/>
      <c r="G1016" s="1111"/>
      <c r="H1016" s="834"/>
      <c r="I1016" s="832"/>
      <c r="J1016" s="1111"/>
      <c r="K1016" s="832"/>
      <c r="L1016" s="832"/>
      <c r="M1016" s="832"/>
      <c r="N1016" s="832"/>
      <c r="O1016" s="832"/>
      <c r="P1016" s="832"/>
      <c r="Q1016" s="832"/>
      <c r="R1016" s="832"/>
    </row>
    <row r="1017" spans="2:18">
      <c r="B1017" s="832"/>
      <c r="C1017" s="833"/>
      <c r="D1017" s="833"/>
      <c r="E1017" s="833"/>
      <c r="F1017" s="1111"/>
      <c r="G1017" s="1111"/>
      <c r="H1017" s="834"/>
      <c r="I1017" s="832"/>
      <c r="J1017" s="1111"/>
      <c r="K1017" s="832"/>
      <c r="L1017" s="832"/>
      <c r="M1017" s="832"/>
      <c r="N1017" s="832"/>
      <c r="O1017" s="832"/>
      <c r="P1017" s="832"/>
      <c r="Q1017" s="832"/>
      <c r="R1017" s="832"/>
    </row>
    <row r="1018" spans="2:18">
      <c r="B1018" s="832"/>
      <c r="C1018" s="833"/>
      <c r="D1018" s="833"/>
      <c r="E1018" s="833"/>
      <c r="F1018" s="1111"/>
      <c r="G1018" s="1111"/>
      <c r="H1018" s="834"/>
      <c r="I1018" s="832"/>
      <c r="J1018" s="1111"/>
      <c r="K1018" s="832"/>
      <c r="L1018" s="832"/>
      <c r="M1018" s="832"/>
      <c r="N1018" s="832"/>
      <c r="O1018" s="832"/>
      <c r="P1018" s="832"/>
      <c r="Q1018" s="832"/>
      <c r="R1018" s="832"/>
    </row>
    <row r="1019" spans="2:18">
      <c r="B1019" s="832"/>
      <c r="C1019" s="833"/>
      <c r="D1019" s="833"/>
      <c r="E1019" s="833"/>
      <c r="F1019" s="1111"/>
      <c r="G1019" s="1111"/>
      <c r="H1019" s="834"/>
      <c r="I1019" s="832"/>
      <c r="J1019" s="1111"/>
      <c r="K1019" s="832"/>
      <c r="L1019" s="832"/>
      <c r="M1019" s="832"/>
      <c r="N1019" s="832"/>
      <c r="O1019" s="832"/>
      <c r="P1019" s="832"/>
      <c r="Q1019" s="832"/>
      <c r="R1019" s="832"/>
    </row>
    <row r="1020" spans="2:18">
      <c r="B1020" s="832"/>
      <c r="C1020" s="833"/>
      <c r="D1020" s="833"/>
      <c r="E1020" s="833"/>
      <c r="F1020" s="1111"/>
      <c r="G1020" s="1111"/>
      <c r="H1020" s="834"/>
      <c r="I1020" s="832"/>
      <c r="J1020" s="1111"/>
      <c r="K1020" s="832"/>
      <c r="L1020" s="832"/>
      <c r="M1020" s="832"/>
      <c r="N1020" s="832"/>
      <c r="O1020" s="832"/>
      <c r="P1020" s="832"/>
      <c r="Q1020" s="832"/>
      <c r="R1020" s="832"/>
    </row>
    <row r="1021" spans="2:18">
      <c r="B1021" s="832"/>
      <c r="C1021" s="833"/>
      <c r="D1021" s="833"/>
      <c r="E1021" s="833"/>
      <c r="F1021" s="1111"/>
      <c r="G1021" s="1111"/>
      <c r="H1021" s="834"/>
      <c r="I1021" s="832"/>
      <c r="J1021" s="1111"/>
      <c r="K1021" s="832"/>
      <c r="L1021" s="832"/>
      <c r="M1021" s="832"/>
      <c r="N1021" s="832"/>
      <c r="O1021" s="832"/>
      <c r="P1021" s="832"/>
      <c r="Q1021" s="832"/>
      <c r="R1021" s="832"/>
    </row>
    <row r="1022" spans="2:18">
      <c r="B1022" s="832"/>
      <c r="C1022" s="833"/>
      <c r="D1022" s="833"/>
      <c r="E1022" s="833"/>
      <c r="F1022" s="1111"/>
      <c r="G1022" s="1111"/>
      <c r="H1022" s="834"/>
      <c r="I1022" s="832"/>
      <c r="J1022" s="1111"/>
      <c r="K1022" s="832"/>
      <c r="L1022" s="832"/>
      <c r="M1022" s="832"/>
      <c r="N1022" s="832"/>
      <c r="O1022" s="832"/>
      <c r="P1022" s="832"/>
      <c r="Q1022" s="832"/>
      <c r="R1022" s="832"/>
    </row>
    <row r="1023" spans="2:18">
      <c r="B1023" s="832"/>
      <c r="C1023" s="833"/>
      <c r="D1023" s="833"/>
      <c r="E1023" s="833"/>
      <c r="F1023" s="1111"/>
      <c r="G1023" s="1111"/>
      <c r="H1023" s="834"/>
      <c r="I1023" s="832"/>
      <c r="J1023" s="1111"/>
      <c r="K1023" s="832"/>
      <c r="L1023" s="832"/>
      <c r="M1023" s="832"/>
      <c r="N1023" s="832"/>
      <c r="O1023" s="832"/>
      <c r="P1023" s="832"/>
      <c r="Q1023" s="832"/>
      <c r="R1023" s="832"/>
    </row>
    <row r="1024" spans="2:18">
      <c r="B1024" s="832"/>
      <c r="C1024" s="833"/>
      <c r="D1024" s="833"/>
      <c r="E1024" s="833"/>
      <c r="F1024" s="1111"/>
      <c r="G1024" s="1111"/>
      <c r="H1024" s="834"/>
      <c r="I1024" s="832"/>
      <c r="J1024" s="1111"/>
      <c r="K1024" s="832"/>
      <c r="L1024" s="832"/>
      <c r="M1024" s="832"/>
      <c r="N1024" s="832"/>
      <c r="O1024" s="832"/>
      <c r="P1024" s="832"/>
      <c r="Q1024" s="832"/>
      <c r="R1024" s="832"/>
    </row>
    <row r="1025" spans="2:18">
      <c r="B1025" s="832"/>
      <c r="C1025" s="833"/>
      <c r="D1025" s="833"/>
      <c r="E1025" s="833"/>
      <c r="F1025" s="1111"/>
      <c r="G1025" s="1111"/>
      <c r="H1025" s="834"/>
      <c r="I1025" s="832"/>
      <c r="J1025" s="1111"/>
      <c r="K1025" s="832"/>
      <c r="L1025" s="832"/>
      <c r="M1025" s="832"/>
      <c r="N1025" s="832"/>
      <c r="O1025" s="832"/>
      <c r="P1025" s="832"/>
      <c r="Q1025" s="832"/>
      <c r="R1025" s="832"/>
    </row>
    <row r="1026" spans="2:18">
      <c r="B1026" s="832"/>
      <c r="C1026" s="833"/>
      <c r="D1026" s="833"/>
      <c r="E1026" s="833"/>
      <c r="F1026" s="1111"/>
      <c r="G1026" s="1111"/>
      <c r="H1026" s="834"/>
      <c r="I1026" s="832"/>
      <c r="J1026" s="1111"/>
      <c r="K1026" s="832"/>
      <c r="L1026" s="832"/>
      <c r="M1026" s="832"/>
      <c r="N1026" s="832"/>
      <c r="O1026" s="832"/>
      <c r="P1026" s="832"/>
      <c r="Q1026" s="832"/>
      <c r="R1026" s="832"/>
    </row>
    <row r="1027" spans="2:18">
      <c r="B1027" s="832"/>
      <c r="C1027" s="833"/>
      <c r="D1027" s="833"/>
      <c r="E1027" s="833"/>
      <c r="F1027" s="1111"/>
      <c r="G1027" s="1111"/>
      <c r="H1027" s="834"/>
      <c r="I1027" s="832"/>
      <c r="J1027" s="1111"/>
      <c r="K1027" s="832"/>
      <c r="L1027" s="832"/>
      <c r="M1027" s="832"/>
      <c r="N1027" s="832"/>
      <c r="O1027" s="832"/>
      <c r="P1027" s="832"/>
      <c r="Q1027" s="832"/>
      <c r="R1027" s="832"/>
    </row>
    <row r="1028" spans="2:18">
      <c r="B1028" s="832"/>
      <c r="C1028" s="833"/>
      <c r="D1028" s="833"/>
      <c r="E1028" s="833"/>
      <c r="F1028" s="1111"/>
      <c r="G1028" s="1111"/>
      <c r="H1028" s="834"/>
      <c r="I1028" s="832"/>
      <c r="J1028" s="1111"/>
      <c r="K1028" s="832"/>
      <c r="L1028" s="832"/>
      <c r="M1028" s="832"/>
      <c r="N1028" s="832"/>
      <c r="O1028" s="832"/>
      <c r="P1028" s="832"/>
      <c r="Q1028" s="832"/>
      <c r="R1028" s="832"/>
    </row>
    <row r="1029" spans="2:18">
      <c r="B1029" s="832"/>
      <c r="C1029" s="833"/>
      <c r="D1029" s="833"/>
      <c r="E1029" s="833"/>
      <c r="F1029" s="1111"/>
      <c r="G1029" s="1111"/>
      <c r="H1029" s="834"/>
      <c r="I1029" s="832"/>
      <c r="J1029" s="1111"/>
      <c r="K1029" s="832"/>
      <c r="L1029" s="832"/>
      <c r="M1029" s="832"/>
      <c r="N1029" s="832"/>
      <c r="O1029" s="832"/>
      <c r="P1029" s="832"/>
      <c r="Q1029" s="832"/>
      <c r="R1029" s="832"/>
    </row>
    <row r="1030" spans="2:18">
      <c r="B1030" s="832"/>
      <c r="C1030" s="833"/>
      <c r="D1030" s="833"/>
      <c r="E1030" s="833"/>
      <c r="F1030" s="1111"/>
      <c r="G1030" s="1111"/>
      <c r="H1030" s="834"/>
      <c r="I1030" s="832"/>
      <c r="J1030" s="1111"/>
      <c r="K1030" s="832"/>
      <c r="L1030" s="832"/>
      <c r="M1030" s="832"/>
      <c r="N1030" s="832"/>
      <c r="O1030" s="832"/>
      <c r="P1030" s="832"/>
      <c r="Q1030" s="832"/>
      <c r="R1030" s="832"/>
    </row>
    <row r="1031" spans="2:18">
      <c r="B1031" s="832"/>
      <c r="C1031" s="833"/>
      <c r="D1031" s="833"/>
      <c r="E1031" s="833"/>
      <c r="F1031" s="1111"/>
      <c r="G1031" s="1111"/>
      <c r="H1031" s="834"/>
      <c r="I1031" s="832"/>
      <c r="J1031" s="1111"/>
      <c r="K1031" s="832"/>
      <c r="L1031" s="832"/>
      <c r="M1031" s="832"/>
      <c r="N1031" s="832"/>
      <c r="O1031" s="832"/>
      <c r="P1031" s="832"/>
      <c r="Q1031" s="832"/>
      <c r="R1031" s="832"/>
    </row>
    <row r="1032" spans="2:18">
      <c r="B1032" s="832"/>
      <c r="C1032" s="833"/>
      <c r="D1032" s="833"/>
      <c r="E1032" s="833"/>
      <c r="F1032" s="1111"/>
      <c r="G1032" s="1111"/>
      <c r="H1032" s="834"/>
      <c r="I1032" s="832"/>
      <c r="J1032" s="1111"/>
      <c r="K1032" s="832"/>
      <c r="L1032" s="832"/>
      <c r="M1032" s="832"/>
      <c r="N1032" s="832"/>
      <c r="O1032" s="832"/>
      <c r="P1032" s="832"/>
      <c r="Q1032" s="832"/>
      <c r="R1032" s="832"/>
    </row>
    <row r="1033" spans="2:18">
      <c r="B1033" s="832"/>
      <c r="C1033" s="833"/>
      <c r="D1033" s="833"/>
      <c r="E1033" s="833"/>
      <c r="F1033" s="1111"/>
      <c r="G1033" s="1111"/>
      <c r="H1033" s="834"/>
      <c r="I1033" s="832"/>
      <c r="J1033" s="1111"/>
      <c r="K1033" s="832"/>
      <c r="L1033" s="832"/>
      <c r="M1033" s="832"/>
      <c r="N1033" s="832"/>
      <c r="O1033" s="832"/>
      <c r="P1033" s="832"/>
      <c r="Q1033" s="832"/>
      <c r="R1033" s="832"/>
    </row>
    <row r="1034" spans="2:18">
      <c r="B1034" s="832"/>
      <c r="C1034" s="833"/>
      <c r="D1034" s="833"/>
      <c r="E1034" s="833"/>
      <c r="F1034" s="1111"/>
      <c r="G1034" s="1111"/>
      <c r="H1034" s="834"/>
      <c r="I1034" s="832"/>
      <c r="J1034" s="1111"/>
      <c r="K1034" s="832"/>
      <c r="L1034" s="832"/>
      <c r="M1034" s="832"/>
      <c r="N1034" s="832"/>
      <c r="O1034" s="832"/>
      <c r="P1034" s="832"/>
      <c r="Q1034" s="832"/>
      <c r="R1034" s="832"/>
    </row>
    <row r="1035" spans="2:18">
      <c r="B1035" s="832"/>
      <c r="C1035" s="833"/>
      <c r="D1035" s="833"/>
      <c r="E1035" s="833"/>
      <c r="F1035" s="1111"/>
      <c r="G1035" s="1111"/>
      <c r="H1035" s="834"/>
      <c r="I1035" s="832"/>
      <c r="J1035" s="1111"/>
      <c r="K1035" s="832"/>
      <c r="L1035" s="832"/>
      <c r="M1035" s="832"/>
      <c r="N1035" s="832"/>
      <c r="O1035" s="832"/>
      <c r="P1035" s="832"/>
      <c r="Q1035" s="832"/>
      <c r="R1035" s="832"/>
    </row>
    <row r="1036" spans="2:18">
      <c r="B1036" s="832"/>
      <c r="C1036" s="833"/>
      <c r="D1036" s="833"/>
      <c r="E1036" s="833"/>
      <c r="F1036" s="1111"/>
      <c r="G1036" s="1111"/>
      <c r="H1036" s="834"/>
      <c r="I1036" s="832"/>
      <c r="J1036" s="1111"/>
      <c r="K1036" s="832"/>
      <c r="L1036" s="832"/>
      <c r="M1036" s="832"/>
      <c r="N1036" s="832"/>
      <c r="O1036" s="832"/>
      <c r="P1036" s="832"/>
      <c r="Q1036" s="832"/>
      <c r="R1036" s="832"/>
    </row>
    <row r="1037" spans="2:18">
      <c r="B1037" s="832"/>
      <c r="C1037" s="833"/>
      <c r="D1037" s="833"/>
      <c r="E1037" s="833"/>
      <c r="F1037" s="1111"/>
      <c r="G1037" s="1111"/>
      <c r="H1037" s="834"/>
      <c r="I1037" s="832"/>
      <c r="J1037" s="1111"/>
      <c r="K1037" s="832"/>
      <c r="L1037" s="832"/>
      <c r="M1037" s="832"/>
      <c r="N1037" s="832"/>
      <c r="O1037" s="832"/>
      <c r="P1037" s="832"/>
      <c r="Q1037" s="832"/>
      <c r="R1037" s="832"/>
    </row>
    <row r="1038" spans="2:18">
      <c r="B1038" s="832"/>
      <c r="C1038" s="833"/>
      <c r="D1038" s="833"/>
      <c r="E1038" s="833"/>
      <c r="F1038" s="1111"/>
      <c r="G1038" s="1111"/>
      <c r="H1038" s="834"/>
      <c r="I1038" s="832"/>
      <c r="J1038" s="1111"/>
      <c r="K1038" s="832"/>
      <c r="L1038" s="832"/>
      <c r="M1038" s="832"/>
      <c r="N1038" s="832"/>
      <c r="O1038" s="832"/>
      <c r="P1038" s="832"/>
      <c r="Q1038" s="832"/>
      <c r="R1038" s="832"/>
    </row>
    <row r="1039" spans="2:18">
      <c r="B1039" s="832"/>
      <c r="C1039" s="833"/>
      <c r="D1039" s="833"/>
      <c r="E1039" s="833"/>
      <c r="F1039" s="1111"/>
      <c r="G1039" s="1111"/>
      <c r="H1039" s="834"/>
      <c r="I1039" s="832"/>
      <c r="J1039" s="1111"/>
      <c r="K1039" s="832"/>
      <c r="L1039" s="832"/>
      <c r="M1039" s="832"/>
      <c r="N1039" s="832"/>
      <c r="O1039" s="832"/>
      <c r="P1039" s="832"/>
      <c r="Q1039" s="832"/>
      <c r="R1039" s="832"/>
    </row>
    <row r="1040" spans="2:18">
      <c r="B1040" s="832"/>
      <c r="C1040" s="833"/>
      <c r="D1040" s="833"/>
      <c r="E1040" s="833"/>
      <c r="F1040" s="1111"/>
      <c r="G1040" s="1111"/>
      <c r="H1040" s="834"/>
      <c r="I1040" s="832"/>
      <c r="J1040" s="1111"/>
      <c r="K1040" s="832"/>
      <c r="L1040" s="832"/>
      <c r="M1040" s="832"/>
      <c r="N1040" s="832"/>
      <c r="O1040" s="832"/>
      <c r="P1040" s="832"/>
      <c r="Q1040" s="832"/>
      <c r="R1040" s="832"/>
    </row>
    <row r="1041" spans="2:18">
      <c r="B1041" s="832"/>
      <c r="C1041" s="833"/>
      <c r="D1041" s="833"/>
      <c r="E1041" s="833"/>
      <c r="F1041" s="1111"/>
      <c r="G1041" s="1111"/>
      <c r="H1041" s="834"/>
      <c r="I1041" s="832"/>
      <c r="J1041" s="1111"/>
      <c r="K1041" s="832"/>
      <c r="L1041" s="832"/>
      <c r="M1041" s="832"/>
      <c r="N1041" s="832"/>
      <c r="O1041" s="832"/>
      <c r="P1041" s="832"/>
      <c r="Q1041" s="832"/>
      <c r="R1041" s="832"/>
    </row>
    <row r="1042" spans="2:18">
      <c r="B1042" s="832"/>
      <c r="C1042" s="833"/>
      <c r="D1042" s="833"/>
      <c r="E1042" s="833"/>
      <c r="F1042" s="1111"/>
      <c r="G1042" s="1111"/>
      <c r="H1042" s="834"/>
      <c r="I1042" s="832"/>
      <c r="J1042" s="1111"/>
      <c r="K1042" s="832"/>
      <c r="L1042" s="832"/>
      <c r="M1042" s="832"/>
      <c r="N1042" s="832"/>
      <c r="O1042" s="832"/>
      <c r="P1042" s="832"/>
      <c r="Q1042" s="832"/>
      <c r="R1042" s="832"/>
    </row>
    <row r="1043" spans="2:18">
      <c r="B1043" s="832"/>
      <c r="C1043" s="833"/>
      <c r="D1043" s="833"/>
      <c r="E1043" s="833"/>
      <c r="F1043" s="1111"/>
      <c r="G1043" s="1111"/>
      <c r="H1043" s="834"/>
      <c r="I1043" s="832"/>
      <c r="J1043" s="1111"/>
      <c r="K1043" s="832"/>
      <c r="L1043" s="832"/>
      <c r="M1043" s="832"/>
      <c r="N1043" s="832"/>
      <c r="O1043" s="832"/>
      <c r="P1043" s="832"/>
      <c r="Q1043" s="832"/>
      <c r="R1043" s="832"/>
    </row>
    <row r="1044" spans="2:18">
      <c r="B1044" s="832"/>
      <c r="C1044" s="833"/>
      <c r="D1044" s="833"/>
      <c r="E1044" s="833"/>
      <c r="F1044" s="1111"/>
      <c r="G1044" s="1111"/>
      <c r="H1044" s="834"/>
      <c r="I1044" s="832"/>
      <c r="J1044" s="1111"/>
      <c r="K1044" s="832"/>
      <c r="L1044" s="832"/>
      <c r="M1044" s="832"/>
      <c r="N1044" s="832"/>
      <c r="O1044" s="832"/>
      <c r="P1044" s="832"/>
      <c r="Q1044" s="832"/>
      <c r="R1044" s="832"/>
    </row>
    <row r="1045" spans="2:18">
      <c r="B1045" s="832"/>
      <c r="C1045" s="833"/>
      <c r="D1045" s="833"/>
      <c r="E1045" s="833"/>
      <c r="F1045" s="1111"/>
      <c r="G1045" s="1111"/>
      <c r="H1045" s="834"/>
      <c r="I1045" s="832"/>
      <c r="J1045" s="1111"/>
      <c r="K1045" s="832"/>
      <c r="L1045" s="832"/>
      <c r="M1045" s="832"/>
      <c r="N1045" s="832"/>
      <c r="O1045" s="832"/>
      <c r="P1045" s="832"/>
      <c r="Q1045" s="832"/>
      <c r="R1045" s="832"/>
    </row>
    <row r="1046" spans="2:18">
      <c r="B1046" s="832"/>
      <c r="C1046" s="833"/>
      <c r="D1046" s="833"/>
      <c r="E1046" s="833"/>
      <c r="F1046" s="1111"/>
      <c r="G1046" s="1111"/>
      <c r="H1046" s="834"/>
      <c r="I1046" s="832"/>
      <c r="J1046" s="1111"/>
      <c r="K1046" s="832"/>
      <c r="L1046" s="832"/>
      <c r="M1046" s="832"/>
      <c r="N1046" s="832"/>
      <c r="O1046" s="832"/>
      <c r="P1046" s="832"/>
      <c r="Q1046" s="832"/>
      <c r="R1046" s="832"/>
    </row>
    <row r="1047" spans="2:18">
      <c r="B1047" s="832"/>
      <c r="C1047" s="833"/>
      <c r="D1047" s="833"/>
      <c r="E1047" s="833"/>
      <c r="F1047" s="1111"/>
      <c r="G1047" s="1111"/>
      <c r="H1047" s="834"/>
      <c r="I1047" s="832"/>
      <c r="J1047" s="1111"/>
      <c r="K1047" s="832"/>
      <c r="L1047" s="832"/>
      <c r="M1047" s="832"/>
      <c r="N1047" s="832"/>
      <c r="O1047" s="832"/>
      <c r="P1047" s="832"/>
      <c r="Q1047" s="832"/>
      <c r="R1047" s="832"/>
    </row>
    <row r="1048" spans="2:18">
      <c r="B1048" s="832"/>
      <c r="C1048" s="833"/>
      <c r="D1048" s="833"/>
      <c r="E1048" s="833"/>
      <c r="F1048" s="1111"/>
      <c r="G1048" s="1111"/>
      <c r="H1048" s="834"/>
      <c r="I1048" s="832"/>
      <c r="J1048" s="1111"/>
      <c r="K1048" s="832"/>
      <c r="L1048" s="832"/>
      <c r="M1048" s="832"/>
      <c r="N1048" s="832"/>
      <c r="O1048" s="832"/>
      <c r="P1048" s="832"/>
      <c r="Q1048" s="832"/>
      <c r="R1048" s="832"/>
    </row>
    <row r="1049" spans="2:18">
      <c r="B1049" s="832"/>
      <c r="C1049" s="833"/>
      <c r="D1049" s="833"/>
      <c r="E1049" s="833"/>
      <c r="F1049" s="1111"/>
      <c r="G1049" s="1111"/>
      <c r="H1049" s="834"/>
      <c r="I1049" s="832"/>
      <c r="J1049" s="1111"/>
      <c r="K1049" s="832"/>
      <c r="L1049" s="832"/>
      <c r="M1049" s="832"/>
      <c r="N1049" s="832"/>
      <c r="O1049" s="832"/>
      <c r="P1049" s="832"/>
      <c r="Q1049" s="832"/>
      <c r="R1049" s="832"/>
    </row>
    <row r="1050" spans="2:18">
      <c r="B1050" s="832"/>
      <c r="C1050" s="833"/>
      <c r="D1050" s="833"/>
      <c r="E1050" s="833"/>
      <c r="F1050" s="1111"/>
      <c r="G1050" s="1111"/>
      <c r="H1050" s="834"/>
      <c r="I1050" s="832"/>
      <c r="J1050" s="1111"/>
      <c r="K1050" s="832"/>
      <c r="L1050" s="832"/>
      <c r="M1050" s="832"/>
      <c r="N1050" s="832"/>
      <c r="O1050" s="832"/>
      <c r="P1050" s="832"/>
      <c r="Q1050" s="832"/>
      <c r="R1050" s="832"/>
    </row>
    <row r="1051" spans="2:18">
      <c r="B1051" s="832"/>
      <c r="C1051" s="833"/>
      <c r="D1051" s="833"/>
      <c r="E1051" s="833"/>
      <c r="F1051" s="1111"/>
      <c r="G1051" s="1111"/>
      <c r="H1051" s="834"/>
      <c r="I1051" s="832"/>
      <c r="J1051" s="1111"/>
      <c r="K1051" s="832"/>
      <c r="L1051" s="832"/>
      <c r="M1051" s="832"/>
      <c r="N1051" s="832"/>
      <c r="O1051" s="832"/>
      <c r="P1051" s="832"/>
      <c r="Q1051" s="832"/>
      <c r="R1051" s="832"/>
    </row>
    <row r="1052" spans="2:18">
      <c r="B1052" s="832"/>
      <c r="C1052" s="833"/>
      <c r="D1052" s="833"/>
      <c r="E1052" s="833"/>
      <c r="F1052" s="1111"/>
      <c r="G1052" s="1111"/>
      <c r="H1052" s="834"/>
      <c r="I1052" s="832"/>
      <c r="J1052" s="1111"/>
      <c r="K1052" s="832"/>
      <c r="L1052" s="832"/>
      <c r="M1052" s="832"/>
      <c r="N1052" s="832"/>
      <c r="O1052" s="832"/>
      <c r="P1052" s="832"/>
      <c r="Q1052" s="832"/>
      <c r="R1052" s="832"/>
    </row>
    <row r="1053" spans="2:18">
      <c r="B1053" s="832"/>
      <c r="C1053" s="833"/>
      <c r="D1053" s="833"/>
      <c r="E1053" s="833"/>
      <c r="F1053" s="1111"/>
      <c r="G1053" s="1111"/>
      <c r="H1053" s="834"/>
      <c r="I1053" s="832"/>
      <c r="J1053" s="1111"/>
      <c r="K1053" s="832"/>
      <c r="L1053" s="832"/>
      <c r="M1053" s="832"/>
      <c r="N1053" s="832"/>
      <c r="O1053" s="832"/>
      <c r="P1053" s="832"/>
      <c r="Q1053" s="832"/>
      <c r="R1053" s="832"/>
    </row>
    <row r="1054" spans="2:18">
      <c r="B1054" s="832"/>
      <c r="C1054" s="833"/>
      <c r="D1054" s="833"/>
      <c r="E1054" s="833"/>
      <c r="F1054" s="1111"/>
      <c r="G1054" s="1111"/>
      <c r="H1054" s="834"/>
      <c r="I1054" s="832"/>
      <c r="J1054" s="1111"/>
      <c r="K1054" s="832"/>
      <c r="L1054" s="832"/>
      <c r="M1054" s="832"/>
      <c r="N1054" s="832"/>
      <c r="O1054" s="832"/>
      <c r="P1054" s="832"/>
      <c r="Q1054" s="832"/>
      <c r="R1054" s="832"/>
    </row>
    <row r="1055" spans="2:18">
      <c r="B1055" s="832"/>
      <c r="C1055" s="833"/>
      <c r="D1055" s="833"/>
      <c r="E1055" s="833"/>
      <c r="F1055" s="1111"/>
      <c r="G1055" s="1111"/>
      <c r="H1055" s="834"/>
      <c r="I1055" s="832"/>
      <c r="J1055" s="1111"/>
      <c r="K1055" s="832"/>
      <c r="L1055" s="832"/>
      <c r="M1055" s="832"/>
      <c r="N1055" s="832"/>
      <c r="O1055" s="832"/>
      <c r="P1055" s="832"/>
      <c r="Q1055" s="832"/>
      <c r="R1055" s="832"/>
    </row>
    <row r="1056" spans="2:18">
      <c r="B1056" s="832"/>
      <c r="C1056" s="833"/>
      <c r="D1056" s="833"/>
      <c r="E1056" s="833"/>
      <c r="F1056" s="1111"/>
      <c r="G1056" s="1111"/>
      <c r="H1056" s="834"/>
      <c r="I1056" s="832"/>
      <c r="J1056" s="1111"/>
      <c r="K1056" s="832"/>
      <c r="L1056" s="832"/>
      <c r="M1056" s="832"/>
      <c r="N1056" s="832"/>
      <c r="O1056" s="832"/>
      <c r="P1056" s="832"/>
      <c r="Q1056" s="832"/>
      <c r="R1056" s="832"/>
    </row>
    <row r="1057" spans="2:18">
      <c r="B1057" s="832"/>
      <c r="C1057" s="833"/>
      <c r="D1057" s="833"/>
      <c r="E1057" s="833"/>
      <c r="F1057" s="1111"/>
      <c r="G1057" s="1111"/>
      <c r="H1057" s="834"/>
      <c r="I1057" s="832"/>
      <c r="J1057" s="1111"/>
      <c r="K1057" s="832"/>
      <c r="L1057" s="832"/>
      <c r="M1057" s="832"/>
      <c r="N1057" s="832"/>
      <c r="O1057" s="832"/>
      <c r="P1057" s="832"/>
      <c r="Q1057" s="832"/>
      <c r="R1057" s="832"/>
    </row>
    <row r="1058" spans="2:18">
      <c r="B1058" s="832"/>
      <c r="C1058" s="833"/>
      <c r="D1058" s="833"/>
      <c r="E1058" s="833"/>
      <c r="F1058" s="1111"/>
      <c r="G1058" s="1111"/>
      <c r="H1058" s="834"/>
      <c r="I1058" s="832"/>
      <c r="J1058" s="1111"/>
      <c r="K1058" s="832"/>
      <c r="L1058" s="832"/>
      <c r="M1058" s="832"/>
      <c r="N1058" s="832"/>
      <c r="O1058" s="832"/>
      <c r="P1058" s="832"/>
      <c r="Q1058" s="832"/>
      <c r="R1058" s="832"/>
    </row>
    <row r="1059" spans="2:18">
      <c r="B1059" s="832"/>
      <c r="C1059" s="833"/>
      <c r="D1059" s="833"/>
      <c r="E1059" s="833"/>
      <c r="F1059" s="1111"/>
      <c r="G1059" s="1111"/>
      <c r="H1059" s="834"/>
      <c r="I1059" s="832"/>
      <c r="J1059" s="1111"/>
      <c r="K1059" s="832"/>
      <c r="L1059" s="832"/>
      <c r="M1059" s="832"/>
      <c r="N1059" s="832"/>
      <c r="O1059" s="832"/>
      <c r="P1059" s="832"/>
      <c r="Q1059" s="832"/>
      <c r="R1059" s="832"/>
    </row>
    <row r="1060" spans="2:18">
      <c r="B1060" s="832"/>
      <c r="C1060" s="833"/>
      <c r="D1060" s="833"/>
      <c r="E1060" s="833"/>
      <c r="F1060" s="1111"/>
      <c r="G1060" s="1111"/>
      <c r="H1060" s="834"/>
      <c r="I1060" s="832"/>
      <c r="J1060" s="1111"/>
      <c r="K1060" s="832"/>
      <c r="L1060" s="832"/>
      <c r="M1060" s="832"/>
      <c r="N1060" s="832"/>
      <c r="O1060" s="832"/>
      <c r="P1060" s="832"/>
      <c r="Q1060" s="832"/>
      <c r="R1060" s="832"/>
    </row>
    <row r="1061" spans="2:18">
      <c r="B1061" s="832"/>
      <c r="C1061" s="833"/>
      <c r="D1061" s="833"/>
      <c r="E1061" s="833"/>
      <c r="F1061" s="1111"/>
      <c r="G1061" s="1111"/>
      <c r="H1061" s="834"/>
      <c r="I1061" s="832"/>
      <c r="J1061" s="1111"/>
      <c r="K1061" s="832"/>
      <c r="L1061" s="832"/>
      <c r="M1061" s="832"/>
      <c r="N1061" s="832"/>
      <c r="O1061" s="832"/>
      <c r="P1061" s="832"/>
      <c r="Q1061" s="832"/>
      <c r="R1061" s="832"/>
    </row>
    <row r="1062" spans="2:18">
      <c r="B1062" s="832"/>
      <c r="C1062" s="833"/>
      <c r="D1062" s="833"/>
      <c r="E1062" s="833"/>
      <c r="F1062" s="1111"/>
      <c r="G1062" s="1111"/>
      <c r="H1062" s="834"/>
      <c r="I1062" s="832"/>
      <c r="J1062" s="1111"/>
      <c r="K1062" s="832"/>
      <c r="L1062" s="832"/>
      <c r="M1062" s="832"/>
      <c r="N1062" s="832"/>
      <c r="O1062" s="832"/>
      <c r="P1062" s="832"/>
      <c r="Q1062" s="832"/>
      <c r="R1062" s="832"/>
    </row>
    <row r="1063" spans="2:18">
      <c r="B1063" s="832"/>
      <c r="C1063" s="833"/>
      <c r="D1063" s="833"/>
      <c r="E1063" s="833"/>
      <c r="F1063" s="1111"/>
      <c r="G1063" s="1111"/>
      <c r="H1063" s="834"/>
      <c r="I1063" s="832"/>
      <c r="J1063" s="1111"/>
      <c r="K1063" s="832"/>
      <c r="L1063" s="832"/>
      <c r="M1063" s="832"/>
      <c r="N1063" s="832"/>
      <c r="O1063" s="832"/>
      <c r="P1063" s="832"/>
      <c r="Q1063" s="832"/>
      <c r="R1063" s="832"/>
    </row>
    <row r="1064" spans="2:18">
      <c r="B1064" s="832"/>
      <c r="C1064" s="833"/>
      <c r="D1064" s="833"/>
      <c r="E1064" s="833"/>
      <c r="F1064" s="1111"/>
      <c r="G1064" s="1111"/>
      <c r="H1064" s="834"/>
      <c r="I1064" s="832"/>
      <c r="J1064" s="1111"/>
      <c r="K1064" s="832"/>
      <c r="L1064" s="832"/>
      <c r="M1064" s="832"/>
      <c r="N1064" s="832"/>
      <c r="O1064" s="832"/>
      <c r="P1064" s="832"/>
      <c r="Q1064" s="832"/>
      <c r="R1064" s="832"/>
    </row>
    <row r="1065" spans="2:18">
      <c r="B1065" s="832"/>
      <c r="C1065" s="833"/>
      <c r="D1065" s="833"/>
      <c r="E1065" s="833"/>
      <c r="F1065" s="1111"/>
      <c r="G1065" s="1111"/>
      <c r="H1065" s="834"/>
      <c r="I1065" s="832"/>
      <c r="J1065" s="1111"/>
      <c r="K1065" s="832"/>
      <c r="L1065" s="832"/>
      <c r="M1065" s="832"/>
      <c r="N1065" s="832"/>
      <c r="O1065" s="832"/>
      <c r="P1065" s="832"/>
      <c r="Q1065" s="832"/>
      <c r="R1065" s="832"/>
    </row>
    <row r="1066" spans="2:18">
      <c r="B1066" s="832"/>
      <c r="C1066" s="833"/>
      <c r="D1066" s="833"/>
      <c r="E1066" s="833"/>
      <c r="F1066" s="1111"/>
      <c r="G1066" s="1111"/>
      <c r="H1066" s="834"/>
      <c r="I1066" s="832"/>
      <c r="J1066" s="1111"/>
      <c r="K1066" s="832"/>
      <c r="L1066" s="832"/>
      <c r="M1066" s="832"/>
      <c r="N1066" s="832"/>
      <c r="O1066" s="832"/>
      <c r="P1066" s="832"/>
      <c r="Q1066" s="832"/>
      <c r="R1066" s="832"/>
    </row>
    <row r="1067" spans="2:18">
      <c r="B1067" s="832"/>
      <c r="C1067" s="833"/>
      <c r="D1067" s="833"/>
      <c r="E1067" s="833"/>
      <c r="F1067" s="1111"/>
      <c r="G1067" s="1111"/>
      <c r="H1067" s="834"/>
      <c r="I1067" s="832"/>
      <c r="J1067" s="1111"/>
      <c r="K1067" s="832"/>
      <c r="L1067" s="832"/>
      <c r="M1067" s="832"/>
      <c r="N1067" s="832"/>
      <c r="O1067" s="832"/>
      <c r="P1067" s="832"/>
      <c r="Q1067" s="832"/>
      <c r="R1067" s="832"/>
    </row>
    <row r="1068" spans="2:18">
      <c r="B1068" s="832"/>
      <c r="C1068" s="833"/>
      <c r="D1068" s="833"/>
      <c r="E1068" s="833"/>
      <c r="F1068" s="1111"/>
      <c r="G1068" s="1111"/>
      <c r="H1068" s="834"/>
      <c r="I1068" s="832"/>
      <c r="J1068" s="1111"/>
      <c r="K1068" s="832"/>
      <c r="L1068" s="832"/>
      <c r="M1068" s="832"/>
      <c r="N1068" s="832"/>
      <c r="O1068" s="832"/>
      <c r="P1068" s="832"/>
      <c r="Q1068" s="832"/>
      <c r="R1068" s="832"/>
    </row>
    <row r="1069" spans="2:18">
      <c r="B1069" s="832"/>
      <c r="C1069" s="833"/>
      <c r="D1069" s="833"/>
      <c r="E1069" s="833"/>
      <c r="F1069" s="1111"/>
      <c r="G1069" s="1111"/>
      <c r="H1069" s="834"/>
      <c r="I1069" s="832"/>
      <c r="J1069" s="1111"/>
      <c r="K1069" s="832"/>
      <c r="L1069" s="832"/>
      <c r="M1069" s="832"/>
      <c r="N1069" s="832"/>
      <c r="O1069" s="832"/>
      <c r="P1069" s="832"/>
      <c r="Q1069" s="832"/>
      <c r="R1069" s="832"/>
    </row>
    <row r="1070" spans="2:18">
      <c r="B1070" s="832"/>
      <c r="C1070" s="833"/>
      <c r="D1070" s="833"/>
      <c r="E1070" s="833"/>
      <c r="F1070" s="1111"/>
      <c r="G1070" s="1111"/>
      <c r="H1070" s="834"/>
      <c r="I1070" s="832"/>
      <c r="J1070" s="1111"/>
      <c r="K1070" s="832"/>
      <c r="L1070" s="832"/>
      <c r="M1070" s="832"/>
      <c r="N1070" s="832"/>
      <c r="O1070" s="832"/>
      <c r="P1070" s="832"/>
      <c r="Q1070" s="832"/>
      <c r="R1070" s="832"/>
    </row>
    <row r="1071" spans="2:18">
      <c r="B1071" s="832"/>
      <c r="C1071" s="833"/>
      <c r="D1071" s="833"/>
      <c r="E1071" s="833"/>
      <c r="F1071" s="1111"/>
      <c r="G1071" s="1111"/>
      <c r="H1071" s="834"/>
      <c r="I1071" s="832"/>
      <c r="J1071" s="1111"/>
      <c r="K1071" s="832"/>
      <c r="L1071" s="832"/>
      <c r="M1071" s="832"/>
      <c r="N1071" s="832"/>
      <c r="O1071" s="832"/>
      <c r="P1071" s="832"/>
      <c r="Q1071" s="832"/>
      <c r="R1071" s="832"/>
    </row>
    <row r="1072" spans="2:18">
      <c r="B1072" s="832"/>
      <c r="C1072" s="833"/>
      <c r="D1072" s="833"/>
      <c r="E1072" s="833"/>
      <c r="F1072" s="1111"/>
      <c r="G1072" s="1111"/>
      <c r="H1072" s="834"/>
      <c r="I1072" s="832"/>
      <c r="J1072" s="1111"/>
      <c r="K1072" s="832"/>
      <c r="L1072" s="832"/>
      <c r="M1072" s="832"/>
      <c r="N1072" s="832"/>
      <c r="O1072" s="832"/>
      <c r="P1072" s="832"/>
      <c r="Q1072" s="832"/>
      <c r="R1072" s="832"/>
    </row>
    <row r="1073" spans="2:18">
      <c r="B1073" s="832"/>
      <c r="C1073" s="833"/>
      <c r="D1073" s="833"/>
      <c r="E1073" s="833"/>
      <c r="F1073" s="1111"/>
      <c r="G1073" s="1111"/>
      <c r="H1073" s="834"/>
      <c r="I1073" s="832"/>
      <c r="J1073" s="1111"/>
      <c r="K1073" s="832"/>
      <c r="L1073" s="832"/>
      <c r="M1073" s="832"/>
      <c r="N1073" s="832"/>
      <c r="O1073" s="832"/>
      <c r="P1073" s="832"/>
      <c r="Q1073" s="832"/>
      <c r="R1073" s="832"/>
    </row>
    <row r="1074" spans="2:18">
      <c r="B1074" s="832"/>
      <c r="C1074" s="833"/>
      <c r="D1074" s="833"/>
      <c r="E1074" s="833"/>
      <c r="F1074" s="1111"/>
      <c r="G1074" s="1111"/>
      <c r="H1074" s="834"/>
      <c r="I1074" s="832"/>
      <c r="J1074" s="1111"/>
      <c r="K1074" s="832"/>
      <c r="L1074" s="832"/>
      <c r="M1074" s="832"/>
      <c r="N1074" s="832"/>
      <c r="O1074" s="832"/>
      <c r="P1074" s="832"/>
      <c r="Q1074" s="832"/>
      <c r="R1074" s="832"/>
    </row>
    <row r="1075" spans="2:18">
      <c r="B1075" s="832"/>
      <c r="C1075" s="833"/>
      <c r="D1075" s="833"/>
      <c r="E1075" s="833"/>
      <c r="F1075" s="1111"/>
      <c r="G1075" s="1111"/>
      <c r="H1075" s="834"/>
      <c r="I1075" s="832"/>
      <c r="J1075" s="1111"/>
      <c r="K1075" s="832"/>
      <c r="L1075" s="832"/>
      <c r="M1075" s="832"/>
      <c r="N1075" s="832"/>
      <c r="O1075" s="832"/>
      <c r="P1075" s="832"/>
      <c r="Q1075" s="832"/>
      <c r="R1075" s="832"/>
    </row>
    <row r="1076" spans="2:18">
      <c r="B1076" s="832"/>
      <c r="C1076" s="833"/>
      <c r="D1076" s="833"/>
      <c r="E1076" s="833"/>
      <c r="F1076" s="1111"/>
      <c r="G1076" s="1111"/>
      <c r="H1076" s="834"/>
      <c r="I1076" s="832"/>
      <c r="J1076" s="1111"/>
      <c r="K1076" s="832"/>
      <c r="L1076" s="832"/>
      <c r="M1076" s="832"/>
      <c r="N1076" s="832"/>
      <c r="O1076" s="832"/>
      <c r="P1076" s="832"/>
      <c r="Q1076" s="832"/>
      <c r="R1076" s="832"/>
    </row>
    <row r="1077" spans="2:18">
      <c r="B1077" s="832"/>
      <c r="C1077" s="833"/>
      <c r="D1077" s="833"/>
      <c r="E1077" s="833"/>
      <c r="F1077" s="1111"/>
      <c r="G1077" s="1111"/>
      <c r="H1077" s="834"/>
      <c r="I1077" s="832"/>
      <c r="J1077" s="1111"/>
      <c r="K1077" s="832"/>
      <c r="L1077" s="832"/>
      <c r="M1077" s="832"/>
      <c r="N1077" s="832"/>
      <c r="O1077" s="832"/>
      <c r="P1077" s="832"/>
      <c r="Q1077" s="832"/>
      <c r="R1077" s="832"/>
    </row>
    <row r="1078" spans="2:18">
      <c r="B1078" s="832"/>
      <c r="C1078" s="833"/>
      <c r="D1078" s="833"/>
      <c r="E1078" s="833"/>
      <c r="F1078" s="1111"/>
      <c r="G1078" s="1111"/>
      <c r="H1078" s="834"/>
      <c r="I1078" s="832"/>
      <c r="J1078" s="1111"/>
      <c r="K1078" s="832"/>
      <c r="L1078" s="832"/>
      <c r="M1078" s="832"/>
      <c r="N1078" s="832"/>
      <c r="O1078" s="832"/>
      <c r="P1078" s="832"/>
      <c r="Q1078" s="832"/>
      <c r="R1078" s="832"/>
    </row>
    <row r="1079" spans="2:18">
      <c r="B1079" s="832"/>
      <c r="C1079" s="833"/>
      <c r="D1079" s="833"/>
      <c r="E1079" s="833"/>
      <c r="F1079" s="1111"/>
      <c r="G1079" s="1111"/>
      <c r="H1079" s="834"/>
      <c r="I1079" s="832"/>
      <c r="J1079" s="1111"/>
      <c r="K1079" s="832"/>
      <c r="L1079" s="832"/>
      <c r="M1079" s="832"/>
      <c r="N1079" s="832"/>
      <c r="O1079" s="832"/>
      <c r="P1079" s="832"/>
      <c r="Q1079" s="832"/>
      <c r="R1079" s="832"/>
    </row>
    <row r="1080" spans="2:18">
      <c r="B1080" s="832"/>
      <c r="C1080" s="833"/>
      <c r="D1080" s="833"/>
      <c r="E1080" s="833"/>
      <c r="F1080" s="1111"/>
      <c r="G1080" s="1111"/>
      <c r="H1080" s="834"/>
      <c r="I1080" s="832"/>
      <c r="J1080" s="1111"/>
      <c r="K1080" s="832"/>
      <c r="L1080" s="832"/>
      <c r="M1080" s="832"/>
      <c r="N1080" s="832"/>
      <c r="O1080" s="832"/>
      <c r="P1080" s="832"/>
      <c r="Q1080" s="832"/>
      <c r="R1080" s="832"/>
    </row>
    <row r="1081" spans="2:18">
      <c r="B1081" s="832"/>
      <c r="C1081" s="833"/>
      <c r="D1081" s="833"/>
      <c r="E1081" s="833"/>
      <c r="F1081" s="1111"/>
      <c r="G1081" s="1111"/>
      <c r="H1081" s="834"/>
      <c r="I1081" s="832"/>
      <c r="J1081" s="1111"/>
      <c r="K1081" s="832"/>
      <c r="L1081" s="832"/>
      <c r="M1081" s="832"/>
      <c r="N1081" s="832"/>
      <c r="O1081" s="832"/>
      <c r="P1081" s="832"/>
      <c r="Q1081" s="832"/>
      <c r="R1081" s="832"/>
    </row>
    <row r="1082" spans="2:18">
      <c r="B1082" s="832"/>
      <c r="C1082" s="833"/>
      <c r="D1082" s="833"/>
      <c r="E1082" s="833"/>
      <c r="F1082" s="1111"/>
      <c r="G1082" s="1111"/>
      <c r="H1082" s="834"/>
      <c r="I1082" s="832"/>
      <c r="J1082" s="1111"/>
      <c r="K1082" s="832"/>
      <c r="L1082" s="832"/>
      <c r="M1082" s="832"/>
      <c r="N1082" s="832"/>
      <c r="O1082" s="832"/>
      <c r="P1082" s="832"/>
      <c r="Q1082" s="832"/>
      <c r="R1082" s="832"/>
    </row>
    <row r="1083" spans="2:18">
      <c r="B1083" s="832"/>
      <c r="C1083" s="833"/>
      <c r="D1083" s="833"/>
      <c r="E1083" s="833"/>
      <c r="F1083" s="1111"/>
      <c r="G1083" s="1111"/>
      <c r="H1083" s="834"/>
      <c r="I1083" s="832"/>
      <c r="J1083" s="1111"/>
      <c r="K1083" s="832"/>
      <c r="L1083" s="832"/>
      <c r="M1083" s="832"/>
      <c r="N1083" s="832"/>
      <c r="O1083" s="832"/>
      <c r="P1083" s="832"/>
      <c r="Q1083" s="832"/>
      <c r="R1083" s="832"/>
    </row>
    <row r="1084" spans="2:18">
      <c r="B1084" s="832"/>
      <c r="C1084" s="833"/>
      <c r="D1084" s="833"/>
      <c r="E1084" s="833"/>
      <c r="F1084" s="1111"/>
      <c r="G1084" s="1111"/>
      <c r="H1084" s="834"/>
      <c r="I1084" s="832"/>
      <c r="J1084" s="1111"/>
      <c r="K1084" s="832"/>
      <c r="L1084" s="832"/>
      <c r="M1084" s="832"/>
      <c r="N1084" s="832"/>
      <c r="O1084" s="832"/>
      <c r="P1084" s="832"/>
      <c r="Q1084" s="832"/>
      <c r="R1084" s="832"/>
    </row>
    <row r="1085" spans="2:18">
      <c r="B1085" s="832"/>
      <c r="C1085" s="833"/>
      <c r="D1085" s="833"/>
      <c r="E1085" s="833"/>
      <c r="F1085" s="1111"/>
      <c r="G1085" s="1111"/>
      <c r="H1085" s="834"/>
      <c r="I1085" s="832"/>
      <c r="J1085" s="1111"/>
      <c r="K1085" s="832"/>
      <c r="L1085" s="832"/>
      <c r="M1085" s="832"/>
      <c r="N1085" s="832"/>
      <c r="O1085" s="832"/>
      <c r="P1085" s="832"/>
      <c r="Q1085" s="832"/>
      <c r="R1085" s="832"/>
    </row>
    <row r="1086" spans="2:18">
      <c r="B1086" s="832"/>
      <c r="C1086" s="833"/>
      <c r="D1086" s="833"/>
      <c r="E1086" s="833"/>
      <c r="F1086" s="1111"/>
      <c r="G1086" s="1111"/>
      <c r="H1086" s="834"/>
      <c r="I1086" s="832"/>
      <c r="J1086" s="1111"/>
      <c r="K1086" s="832"/>
      <c r="L1086" s="832"/>
      <c r="M1086" s="832"/>
      <c r="N1086" s="832"/>
      <c r="O1086" s="832"/>
      <c r="P1086" s="832"/>
      <c r="Q1086" s="832"/>
      <c r="R1086" s="832"/>
    </row>
    <row r="1087" spans="2:18">
      <c r="B1087" s="832"/>
      <c r="C1087" s="833"/>
      <c r="D1087" s="833"/>
      <c r="E1087" s="833"/>
      <c r="F1087" s="1111"/>
      <c r="G1087" s="1111"/>
      <c r="H1087" s="834"/>
      <c r="I1087" s="832"/>
      <c r="J1087" s="1111"/>
      <c r="K1087" s="832"/>
      <c r="L1087" s="832"/>
      <c r="M1087" s="832"/>
      <c r="N1087" s="832"/>
      <c r="O1087" s="832"/>
      <c r="P1087" s="832"/>
      <c r="Q1087" s="832"/>
      <c r="R1087" s="832"/>
    </row>
    <row r="1088" spans="2:18">
      <c r="B1088" s="832"/>
      <c r="C1088" s="833"/>
      <c r="D1088" s="833"/>
      <c r="E1088" s="833"/>
      <c r="F1088" s="1111"/>
      <c r="G1088" s="1111"/>
      <c r="H1088" s="834"/>
      <c r="I1088" s="832"/>
      <c r="J1088" s="1111"/>
      <c r="K1088" s="832"/>
      <c r="L1088" s="832"/>
      <c r="M1088" s="832"/>
      <c r="N1088" s="832"/>
      <c r="O1088" s="832"/>
      <c r="P1088" s="832"/>
      <c r="Q1088" s="832"/>
      <c r="R1088" s="832"/>
    </row>
    <row r="1089" spans="2:18">
      <c r="B1089" s="832"/>
      <c r="C1089" s="833"/>
      <c r="D1089" s="833"/>
      <c r="E1089" s="833"/>
      <c r="F1089" s="1111"/>
      <c r="G1089" s="1111"/>
      <c r="H1089" s="834"/>
      <c r="I1089" s="832"/>
      <c r="J1089" s="1111"/>
      <c r="K1089" s="832"/>
      <c r="L1089" s="832"/>
      <c r="M1089" s="832"/>
      <c r="N1089" s="832"/>
      <c r="O1089" s="832"/>
      <c r="P1089" s="832"/>
      <c r="Q1089" s="832"/>
      <c r="R1089" s="832"/>
    </row>
    <row r="1090" spans="2:18">
      <c r="B1090" s="832"/>
      <c r="C1090" s="833"/>
      <c r="D1090" s="833"/>
      <c r="E1090" s="833"/>
      <c r="F1090" s="1111"/>
      <c r="G1090" s="1111"/>
      <c r="H1090" s="834"/>
      <c r="I1090" s="832"/>
      <c r="J1090" s="1111"/>
      <c r="K1090" s="832"/>
      <c r="L1090" s="832"/>
      <c r="M1090" s="832"/>
      <c r="N1090" s="832"/>
      <c r="O1090" s="832"/>
      <c r="P1090" s="832"/>
      <c r="Q1090" s="832"/>
      <c r="R1090" s="832"/>
    </row>
    <row r="1091" spans="2:18">
      <c r="B1091" s="832"/>
      <c r="C1091" s="833"/>
      <c r="D1091" s="833"/>
      <c r="E1091" s="833"/>
      <c r="F1091" s="1111"/>
      <c r="G1091" s="1111"/>
      <c r="H1091" s="834"/>
      <c r="I1091" s="832"/>
      <c r="J1091" s="1111"/>
      <c r="K1091" s="832"/>
      <c r="L1091" s="832"/>
      <c r="M1091" s="832"/>
      <c r="N1091" s="832"/>
      <c r="O1091" s="832"/>
      <c r="P1091" s="832"/>
      <c r="Q1091" s="832"/>
      <c r="R1091" s="832"/>
    </row>
    <row r="1092" spans="2:18">
      <c r="B1092" s="832"/>
      <c r="C1092" s="833"/>
      <c r="D1092" s="833"/>
      <c r="E1092" s="833"/>
      <c r="F1092" s="1111"/>
      <c r="G1092" s="1111"/>
      <c r="H1092" s="834"/>
      <c r="I1092" s="832"/>
      <c r="J1092" s="1111"/>
      <c r="K1092" s="832"/>
      <c r="L1092" s="832"/>
      <c r="M1092" s="832"/>
      <c r="N1092" s="832"/>
      <c r="O1092" s="832"/>
      <c r="P1092" s="832"/>
      <c r="Q1092" s="832"/>
      <c r="R1092" s="832"/>
    </row>
    <row r="1093" spans="2:18">
      <c r="B1093" s="832"/>
      <c r="C1093" s="833"/>
      <c r="D1093" s="833"/>
      <c r="E1093" s="833"/>
      <c r="F1093" s="1111"/>
      <c r="G1093" s="1111"/>
      <c r="H1093" s="834"/>
      <c r="I1093" s="832"/>
      <c r="J1093" s="1111"/>
      <c r="K1093" s="832"/>
      <c r="L1093" s="832"/>
      <c r="M1093" s="832"/>
      <c r="N1093" s="832"/>
      <c r="O1093" s="832"/>
      <c r="P1093" s="832"/>
      <c r="Q1093" s="832"/>
      <c r="R1093" s="832"/>
    </row>
    <row r="1094" spans="2:18">
      <c r="B1094" s="832"/>
      <c r="C1094" s="833"/>
      <c r="D1094" s="833"/>
      <c r="E1094" s="833"/>
      <c r="F1094" s="1111"/>
      <c r="G1094" s="1111"/>
      <c r="H1094" s="834"/>
      <c r="I1094" s="832"/>
      <c r="J1094" s="1111"/>
      <c r="K1094" s="832"/>
      <c r="L1094" s="832"/>
      <c r="M1094" s="832"/>
      <c r="N1094" s="832"/>
      <c r="O1094" s="832"/>
      <c r="P1094" s="832"/>
      <c r="Q1094" s="832"/>
      <c r="R1094" s="832"/>
    </row>
    <row r="1095" spans="2:18">
      <c r="B1095" s="832"/>
      <c r="C1095" s="833"/>
      <c r="D1095" s="833"/>
      <c r="E1095" s="833"/>
      <c r="F1095" s="1111"/>
      <c r="G1095" s="1111"/>
      <c r="H1095" s="834"/>
      <c r="I1095" s="832"/>
      <c r="J1095" s="1111"/>
      <c r="K1095" s="832"/>
      <c r="L1095" s="832"/>
      <c r="M1095" s="832"/>
      <c r="N1095" s="832"/>
      <c r="O1095" s="832"/>
      <c r="P1095" s="832"/>
      <c r="Q1095" s="832"/>
      <c r="R1095" s="832"/>
    </row>
    <row r="1096" spans="2:18">
      <c r="B1096" s="832"/>
      <c r="C1096" s="833"/>
      <c r="D1096" s="833"/>
      <c r="E1096" s="833"/>
      <c r="F1096" s="1111"/>
      <c r="G1096" s="1111"/>
      <c r="H1096" s="834"/>
      <c r="I1096" s="832"/>
      <c r="J1096" s="1111"/>
      <c r="K1096" s="832"/>
      <c r="L1096" s="832"/>
      <c r="M1096" s="832"/>
      <c r="N1096" s="832"/>
      <c r="O1096" s="832"/>
      <c r="P1096" s="832"/>
      <c r="Q1096" s="832"/>
      <c r="R1096" s="832"/>
    </row>
    <row r="1097" spans="2:18">
      <c r="B1097" s="832"/>
      <c r="C1097" s="833"/>
      <c r="D1097" s="833"/>
      <c r="E1097" s="833"/>
      <c r="F1097" s="1111"/>
      <c r="G1097" s="1111"/>
      <c r="H1097" s="834"/>
      <c r="I1097" s="832"/>
      <c r="J1097" s="1111"/>
      <c r="K1097" s="832"/>
      <c r="L1097" s="832"/>
      <c r="M1097" s="832"/>
      <c r="N1097" s="832"/>
      <c r="O1097" s="832"/>
      <c r="P1097" s="832"/>
      <c r="Q1097" s="832"/>
      <c r="R1097" s="832"/>
    </row>
    <row r="1098" spans="2:18">
      <c r="B1098" s="832"/>
      <c r="C1098" s="833"/>
      <c r="D1098" s="833"/>
      <c r="E1098" s="833"/>
      <c r="F1098" s="1111"/>
      <c r="G1098" s="1111"/>
      <c r="H1098" s="834"/>
      <c r="I1098" s="832"/>
      <c r="J1098" s="1111"/>
      <c r="K1098" s="832"/>
      <c r="L1098" s="832"/>
      <c r="M1098" s="832"/>
      <c r="N1098" s="832"/>
      <c r="O1098" s="832"/>
      <c r="P1098" s="832"/>
      <c r="Q1098" s="832"/>
      <c r="R1098" s="832"/>
    </row>
    <row r="1099" spans="2:18">
      <c r="B1099" s="832"/>
      <c r="C1099" s="833"/>
      <c r="D1099" s="833"/>
      <c r="E1099" s="833"/>
      <c r="F1099" s="1111"/>
      <c r="G1099" s="1111"/>
      <c r="H1099" s="834"/>
      <c r="I1099" s="832"/>
      <c r="J1099" s="1111"/>
      <c r="K1099" s="832"/>
      <c r="L1099" s="832"/>
      <c r="M1099" s="832"/>
      <c r="N1099" s="832"/>
      <c r="O1099" s="832"/>
      <c r="P1099" s="832"/>
      <c r="Q1099" s="832"/>
      <c r="R1099" s="832"/>
    </row>
    <row r="1100" spans="2:18">
      <c r="B1100" s="832"/>
      <c r="C1100" s="833"/>
      <c r="D1100" s="833"/>
      <c r="E1100" s="833"/>
      <c r="F1100" s="1111"/>
      <c r="G1100" s="1111"/>
      <c r="H1100" s="834"/>
      <c r="I1100" s="832"/>
      <c r="J1100" s="1111"/>
      <c r="K1100" s="832"/>
      <c r="L1100" s="832"/>
      <c r="M1100" s="832"/>
      <c r="N1100" s="832"/>
      <c r="O1100" s="832"/>
      <c r="P1100" s="832"/>
      <c r="Q1100" s="832"/>
      <c r="R1100" s="832"/>
    </row>
    <row r="1101" spans="2:18">
      <c r="B1101" s="832"/>
      <c r="C1101" s="833"/>
      <c r="D1101" s="833"/>
      <c r="E1101" s="833"/>
      <c r="F1101" s="1111"/>
      <c r="G1101" s="1111"/>
      <c r="H1101" s="834"/>
      <c r="I1101" s="832"/>
      <c r="J1101" s="1111"/>
      <c r="K1101" s="832"/>
      <c r="L1101" s="832"/>
      <c r="M1101" s="832"/>
      <c r="N1101" s="832"/>
      <c r="O1101" s="832"/>
      <c r="P1101" s="832"/>
      <c r="Q1101" s="832"/>
      <c r="R1101" s="832"/>
    </row>
    <row r="1102" spans="2:18">
      <c r="B1102" s="832"/>
      <c r="C1102" s="833"/>
      <c r="D1102" s="833"/>
      <c r="E1102" s="833"/>
      <c r="F1102" s="1111"/>
      <c r="G1102" s="1111"/>
      <c r="H1102" s="834"/>
      <c r="I1102" s="832"/>
      <c r="J1102" s="1111"/>
      <c r="K1102" s="832"/>
      <c r="L1102" s="832"/>
      <c r="M1102" s="832"/>
      <c r="N1102" s="832"/>
      <c r="O1102" s="832"/>
      <c r="P1102" s="832"/>
      <c r="Q1102" s="832"/>
      <c r="R1102" s="832"/>
    </row>
    <row r="1103" spans="2:18">
      <c r="B1103" s="832"/>
      <c r="C1103" s="833"/>
      <c r="D1103" s="833"/>
      <c r="E1103" s="833"/>
      <c r="F1103" s="1111"/>
      <c r="G1103" s="1111"/>
      <c r="H1103" s="834"/>
      <c r="I1103" s="832"/>
      <c r="J1103" s="1111"/>
      <c r="K1103" s="832"/>
      <c r="L1103" s="832"/>
      <c r="M1103" s="832"/>
      <c r="N1103" s="832"/>
      <c r="O1103" s="832"/>
      <c r="P1103" s="832"/>
      <c r="Q1103" s="832"/>
      <c r="R1103" s="832"/>
    </row>
    <row r="1104" spans="2:18">
      <c r="B1104" s="832"/>
      <c r="C1104" s="833"/>
      <c r="D1104" s="833"/>
      <c r="E1104" s="833"/>
      <c r="F1104" s="1111"/>
      <c r="G1104" s="1111"/>
      <c r="H1104" s="834"/>
      <c r="I1104" s="832"/>
      <c r="J1104" s="1111"/>
      <c r="K1104" s="832"/>
      <c r="L1104" s="832"/>
      <c r="M1104" s="832"/>
      <c r="N1104" s="832"/>
      <c r="O1104" s="832"/>
      <c r="P1104" s="832"/>
      <c r="Q1104" s="832"/>
      <c r="R1104" s="832"/>
    </row>
    <row r="1105" spans="2:18">
      <c r="B1105" s="832"/>
      <c r="C1105" s="833"/>
      <c r="D1105" s="833"/>
      <c r="E1105" s="833"/>
      <c r="F1105" s="1111"/>
      <c r="G1105" s="1111"/>
      <c r="H1105" s="834"/>
      <c r="I1105" s="832"/>
      <c r="J1105" s="1111"/>
      <c r="K1105" s="832"/>
      <c r="L1105" s="832"/>
      <c r="M1105" s="832"/>
      <c r="N1105" s="832"/>
      <c r="O1105" s="832"/>
      <c r="P1105" s="832"/>
      <c r="Q1105" s="832"/>
      <c r="R1105" s="832"/>
    </row>
    <row r="1106" spans="2:18">
      <c r="B1106" s="832"/>
      <c r="C1106" s="833"/>
      <c r="D1106" s="833"/>
      <c r="E1106" s="833"/>
      <c r="F1106" s="1111"/>
      <c r="G1106" s="1111"/>
      <c r="H1106" s="834"/>
      <c r="I1106" s="832"/>
      <c r="J1106" s="1111"/>
      <c r="K1106" s="832"/>
      <c r="L1106" s="832"/>
      <c r="M1106" s="832"/>
      <c r="N1106" s="832"/>
      <c r="O1106" s="832"/>
      <c r="P1106" s="832"/>
      <c r="Q1106" s="832"/>
      <c r="R1106" s="832"/>
    </row>
    <row r="1107" spans="2:18">
      <c r="B1107" s="832"/>
      <c r="C1107" s="833"/>
      <c r="D1107" s="833"/>
      <c r="E1107" s="833"/>
      <c r="F1107" s="1111"/>
      <c r="G1107" s="1111"/>
      <c r="H1107" s="834"/>
      <c r="I1107" s="832"/>
      <c r="J1107" s="1111"/>
      <c r="K1107" s="832"/>
      <c r="L1107" s="832"/>
      <c r="M1107" s="832"/>
      <c r="N1107" s="832"/>
      <c r="O1107" s="832"/>
      <c r="P1107" s="832"/>
      <c r="Q1107" s="832"/>
      <c r="R1107" s="832"/>
    </row>
    <row r="1108" spans="2:18">
      <c r="B1108" s="832"/>
      <c r="C1108" s="833"/>
      <c r="D1108" s="833"/>
      <c r="E1108" s="833"/>
      <c r="F1108" s="1111"/>
      <c r="G1108" s="1111"/>
      <c r="H1108" s="834"/>
      <c r="I1108" s="832"/>
      <c r="J1108" s="1111"/>
      <c r="K1108" s="832"/>
      <c r="L1108" s="832"/>
      <c r="M1108" s="832"/>
      <c r="N1108" s="832"/>
      <c r="O1108" s="832"/>
      <c r="P1108" s="832"/>
      <c r="Q1108" s="832"/>
      <c r="R1108" s="832"/>
    </row>
    <row r="1109" spans="2:18">
      <c r="B1109" s="832"/>
      <c r="C1109" s="833"/>
      <c r="D1109" s="833"/>
      <c r="E1109" s="833"/>
      <c r="F1109" s="1111"/>
      <c r="G1109" s="1111"/>
      <c r="H1109" s="834"/>
      <c r="I1109" s="832"/>
      <c r="J1109" s="1111"/>
      <c r="K1109" s="832"/>
      <c r="L1109" s="832"/>
      <c r="M1109" s="832"/>
      <c r="N1109" s="832"/>
      <c r="O1109" s="832"/>
      <c r="P1109" s="832"/>
      <c r="Q1109" s="832"/>
      <c r="R1109" s="832"/>
    </row>
    <row r="1110" spans="2:18">
      <c r="B1110" s="832"/>
      <c r="C1110" s="833"/>
      <c r="D1110" s="833"/>
      <c r="E1110" s="833"/>
      <c r="F1110" s="1111"/>
      <c r="G1110" s="1111"/>
      <c r="H1110" s="834"/>
      <c r="I1110" s="832"/>
      <c r="J1110" s="1111"/>
      <c r="K1110" s="832"/>
      <c r="L1110" s="832"/>
      <c r="M1110" s="832"/>
      <c r="N1110" s="832"/>
      <c r="O1110" s="832"/>
      <c r="P1110" s="832"/>
      <c r="Q1110" s="832"/>
      <c r="R1110" s="832"/>
    </row>
    <row r="1111" spans="2:18">
      <c r="B1111" s="832"/>
      <c r="C1111" s="833"/>
      <c r="D1111" s="833"/>
      <c r="E1111" s="833"/>
      <c r="F1111" s="1111"/>
      <c r="G1111" s="1111"/>
      <c r="H1111" s="834"/>
      <c r="I1111" s="832"/>
      <c r="J1111" s="1111"/>
      <c r="K1111" s="832"/>
      <c r="L1111" s="832"/>
      <c r="M1111" s="832"/>
      <c r="N1111" s="832"/>
      <c r="O1111" s="832"/>
      <c r="P1111" s="832"/>
      <c r="Q1111" s="832"/>
      <c r="R1111" s="832"/>
    </row>
    <row r="1112" spans="2:18">
      <c r="B1112" s="832"/>
      <c r="C1112" s="833"/>
      <c r="D1112" s="833"/>
      <c r="E1112" s="833"/>
      <c r="F1112" s="1111"/>
      <c r="G1112" s="1111"/>
      <c r="H1112" s="834"/>
      <c r="I1112" s="832"/>
      <c r="J1112" s="1111"/>
      <c r="K1112" s="832"/>
      <c r="L1112" s="832"/>
      <c r="M1112" s="832"/>
      <c r="N1112" s="832"/>
      <c r="O1112" s="832"/>
      <c r="P1112" s="832"/>
      <c r="Q1112" s="832"/>
      <c r="R1112" s="832"/>
    </row>
    <row r="1113" spans="2:18">
      <c r="B1113" s="832"/>
      <c r="C1113" s="833"/>
      <c r="D1113" s="833"/>
      <c r="E1113" s="833"/>
      <c r="F1113" s="1111"/>
      <c r="G1113" s="1111"/>
      <c r="H1113" s="834"/>
      <c r="I1113" s="832"/>
      <c r="J1113" s="1111"/>
      <c r="K1113" s="832"/>
      <c r="L1113" s="832"/>
      <c r="M1113" s="832"/>
      <c r="N1113" s="832"/>
      <c r="O1113" s="832"/>
      <c r="P1113" s="832"/>
      <c r="Q1113" s="832"/>
      <c r="R1113" s="832"/>
    </row>
    <row r="1114" spans="2:18">
      <c r="B1114" s="832"/>
      <c r="C1114" s="833"/>
      <c r="D1114" s="833"/>
      <c r="E1114" s="833"/>
      <c r="F1114" s="1111"/>
      <c r="G1114" s="1111"/>
      <c r="H1114" s="834"/>
      <c r="I1114" s="832"/>
      <c r="J1114" s="1111"/>
      <c r="K1114" s="832"/>
      <c r="L1114" s="832"/>
      <c r="M1114" s="832"/>
      <c r="N1114" s="832"/>
      <c r="O1114" s="832"/>
      <c r="P1114" s="832"/>
      <c r="Q1114" s="832"/>
      <c r="R1114" s="832"/>
    </row>
    <row r="1115" spans="2:18">
      <c r="B1115" s="832"/>
      <c r="C1115" s="833"/>
      <c r="D1115" s="833"/>
      <c r="E1115" s="833"/>
      <c r="F1115" s="1111"/>
      <c r="G1115" s="1111"/>
      <c r="H1115" s="834"/>
      <c r="I1115" s="832"/>
      <c r="J1115" s="1111"/>
      <c r="K1115" s="832"/>
      <c r="L1115" s="832"/>
      <c r="M1115" s="832"/>
      <c r="N1115" s="832"/>
      <c r="O1115" s="832"/>
      <c r="P1115" s="832"/>
      <c r="Q1115" s="832"/>
      <c r="R1115" s="832"/>
    </row>
    <row r="1116" spans="2:18">
      <c r="B1116" s="832"/>
      <c r="C1116" s="833"/>
      <c r="D1116" s="833"/>
      <c r="E1116" s="833"/>
      <c r="F1116" s="1111"/>
      <c r="G1116" s="1111"/>
      <c r="H1116" s="834"/>
      <c r="I1116" s="832"/>
      <c r="J1116" s="1111"/>
      <c r="K1116" s="832"/>
      <c r="L1116" s="832"/>
      <c r="M1116" s="832"/>
      <c r="N1116" s="832"/>
      <c r="O1116" s="832"/>
      <c r="P1116" s="832"/>
      <c r="Q1116" s="832"/>
      <c r="R1116" s="832"/>
    </row>
    <row r="1117" spans="2:18">
      <c r="B1117" s="832"/>
      <c r="C1117" s="833"/>
      <c r="D1117" s="833"/>
      <c r="E1117" s="833"/>
      <c r="F1117" s="1111"/>
      <c r="G1117" s="1111"/>
      <c r="H1117" s="834"/>
      <c r="I1117" s="832"/>
      <c r="J1117" s="1111"/>
      <c r="K1117" s="832"/>
      <c r="L1117" s="832"/>
      <c r="M1117" s="832"/>
      <c r="N1117" s="832"/>
      <c r="O1117" s="832"/>
      <c r="P1117" s="832"/>
      <c r="Q1117" s="832"/>
      <c r="R1117" s="832"/>
    </row>
    <row r="1118" spans="2:18">
      <c r="B1118" s="832"/>
      <c r="C1118" s="833"/>
      <c r="D1118" s="833"/>
      <c r="E1118" s="833"/>
      <c r="F1118" s="1111"/>
      <c r="G1118" s="1111"/>
      <c r="H1118" s="834"/>
      <c r="I1118" s="832"/>
      <c r="J1118" s="1111"/>
      <c r="K1118" s="832"/>
      <c r="L1118" s="832"/>
      <c r="M1118" s="832"/>
      <c r="N1118" s="832"/>
      <c r="O1118" s="832"/>
      <c r="P1118" s="832"/>
      <c r="Q1118" s="832"/>
      <c r="R1118" s="832"/>
    </row>
    <row r="1119" spans="2:18">
      <c r="B1119" s="832"/>
      <c r="C1119" s="833"/>
      <c r="D1119" s="833"/>
      <c r="E1119" s="833"/>
      <c r="F1119" s="1111"/>
      <c r="G1119" s="1111"/>
      <c r="H1119" s="834"/>
      <c r="I1119" s="832"/>
      <c r="J1119" s="1111"/>
      <c r="K1119" s="832"/>
      <c r="L1119" s="832"/>
      <c r="M1119" s="832"/>
      <c r="N1119" s="832"/>
      <c r="O1119" s="832"/>
      <c r="P1119" s="832"/>
      <c r="Q1119" s="832"/>
      <c r="R1119" s="832"/>
    </row>
    <row r="1120" spans="2:18">
      <c r="B1120" s="832"/>
      <c r="C1120" s="833"/>
      <c r="D1120" s="833"/>
      <c r="E1120" s="833"/>
      <c r="F1120" s="1111"/>
      <c r="G1120" s="1111"/>
      <c r="H1120" s="834"/>
      <c r="I1120" s="832"/>
      <c r="J1120" s="1111"/>
      <c r="K1120" s="832"/>
      <c r="L1120" s="832"/>
      <c r="M1120" s="832"/>
      <c r="N1120" s="832"/>
      <c r="O1120" s="832"/>
      <c r="P1120" s="832"/>
      <c r="Q1120" s="832"/>
      <c r="R1120" s="832"/>
    </row>
    <row r="1121" spans="2:18">
      <c r="B1121" s="832"/>
      <c r="C1121" s="833"/>
      <c r="D1121" s="833"/>
      <c r="E1121" s="833"/>
      <c r="F1121" s="1111"/>
      <c r="G1121" s="1111"/>
      <c r="H1121" s="834"/>
      <c r="I1121" s="832"/>
      <c r="J1121" s="1111"/>
      <c r="K1121" s="832"/>
      <c r="L1121" s="832"/>
      <c r="M1121" s="832"/>
      <c r="N1121" s="832"/>
      <c r="O1121" s="832"/>
      <c r="P1121" s="832"/>
      <c r="Q1121" s="832"/>
      <c r="R1121" s="832"/>
    </row>
    <row r="1122" spans="2:18">
      <c r="B1122" s="832"/>
      <c r="C1122" s="833"/>
      <c r="D1122" s="833"/>
      <c r="E1122" s="833"/>
      <c r="F1122" s="1111"/>
      <c r="G1122" s="1111"/>
      <c r="H1122" s="834"/>
      <c r="I1122" s="832"/>
      <c r="J1122" s="1111"/>
      <c r="K1122" s="832"/>
      <c r="L1122" s="832"/>
      <c r="M1122" s="832"/>
      <c r="N1122" s="832"/>
      <c r="O1122" s="832"/>
      <c r="P1122" s="832"/>
      <c r="Q1122" s="832"/>
      <c r="R1122" s="832"/>
    </row>
    <row r="1123" spans="2:18">
      <c r="B1123" s="832"/>
      <c r="C1123" s="833"/>
      <c r="D1123" s="833"/>
      <c r="E1123" s="833"/>
      <c r="F1123" s="1111"/>
      <c r="G1123" s="1111"/>
      <c r="H1123" s="834"/>
      <c r="I1123" s="832"/>
      <c r="J1123" s="1111"/>
      <c r="K1123" s="832"/>
      <c r="L1123" s="832"/>
      <c r="M1123" s="832"/>
      <c r="N1123" s="832"/>
      <c r="O1123" s="832"/>
      <c r="P1123" s="832"/>
      <c r="Q1123" s="832"/>
      <c r="R1123" s="832"/>
    </row>
    <row r="1124" spans="2:18">
      <c r="B1124" s="832"/>
      <c r="C1124" s="833"/>
      <c r="D1124" s="833"/>
      <c r="E1124" s="833"/>
      <c r="F1124" s="1111"/>
      <c r="G1124" s="1111"/>
      <c r="H1124" s="834"/>
      <c r="I1124" s="832"/>
      <c r="J1124" s="1111"/>
      <c r="K1124" s="832"/>
      <c r="L1124" s="832"/>
      <c r="M1124" s="832"/>
      <c r="N1124" s="832"/>
      <c r="O1124" s="832"/>
      <c r="P1124" s="832"/>
      <c r="Q1124" s="832"/>
      <c r="R1124" s="832"/>
    </row>
    <row r="1125" spans="2:18">
      <c r="B1125" s="832"/>
      <c r="C1125" s="833"/>
      <c r="D1125" s="833"/>
      <c r="E1125" s="833"/>
      <c r="F1125" s="1111"/>
      <c r="G1125" s="1111"/>
      <c r="H1125" s="834"/>
      <c r="I1125" s="832"/>
      <c r="J1125" s="1111"/>
      <c r="K1125" s="832"/>
      <c r="L1125" s="832"/>
      <c r="M1125" s="832"/>
      <c r="N1125" s="832"/>
      <c r="O1125" s="832"/>
      <c r="P1125" s="832"/>
      <c r="Q1125" s="832"/>
      <c r="R1125" s="832"/>
    </row>
    <row r="1126" spans="2:18">
      <c r="B1126" s="832"/>
      <c r="C1126" s="833"/>
      <c r="D1126" s="833"/>
      <c r="E1126" s="833"/>
      <c r="F1126" s="1111"/>
      <c r="G1126" s="1111"/>
      <c r="H1126" s="834"/>
      <c r="I1126" s="832"/>
      <c r="J1126" s="1111"/>
      <c r="K1126" s="832"/>
      <c r="L1126" s="832"/>
      <c r="M1126" s="832"/>
      <c r="N1126" s="832"/>
      <c r="O1126" s="832"/>
      <c r="P1126" s="832"/>
      <c r="Q1126" s="832"/>
      <c r="R1126" s="832"/>
    </row>
    <row r="1127" spans="2:18">
      <c r="B1127" s="832"/>
      <c r="C1127" s="833"/>
      <c r="D1127" s="833"/>
      <c r="E1127" s="833"/>
      <c r="F1127" s="1111"/>
      <c r="G1127" s="1111"/>
      <c r="H1127" s="834"/>
      <c r="I1127" s="832"/>
      <c r="J1127" s="1111"/>
      <c r="K1127" s="832"/>
      <c r="L1127" s="832"/>
      <c r="M1127" s="832"/>
      <c r="N1127" s="832"/>
      <c r="O1127" s="832"/>
      <c r="P1127" s="832"/>
      <c r="Q1127" s="832"/>
      <c r="R1127" s="832"/>
    </row>
    <row r="1128" spans="2:18">
      <c r="B1128" s="832"/>
      <c r="C1128" s="833"/>
      <c r="D1128" s="833"/>
      <c r="E1128" s="833"/>
      <c r="F1128" s="1111"/>
      <c r="G1128" s="1111"/>
      <c r="H1128" s="834"/>
      <c r="I1128" s="832"/>
      <c r="J1128" s="1111"/>
      <c r="K1128" s="832"/>
      <c r="L1128" s="832"/>
      <c r="M1128" s="832"/>
      <c r="N1128" s="832"/>
      <c r="O1128" s="832"/>
      <c r="P1128" s="832"/>
      <c r="Q1128" s="832"/>
      <c r="R1128" s="832"/>
    </row>
    <row r="1129" spans="2:18">
      <c r="B1129" s="832"/>
      <c r="C1129" s="833"/>
      <c r="D1129" s="833"/>
      <c r="E1129" s="833"/>
      <c r="F1129" s="1111"/>
      <c r="G1129" s="1111"/>
      <c r="H1129" s="834"/>
      <c r="I1129" s="832"/>
      <c r="J1129" s="1111"/>
      <c r="K1129" s="832"/>
      <c r="L1129" s="832"/>
      <c r="M1129" s="832"/>
      <c r="N1129" s="832"/>
      <c r="O1129" s="832"/>
      <c r="P1129" s="832"/>
      <c r="Q1129" s="832"/>
      <c r="R1129" s="832"/>
    </row>
    <row r="1130" spans="2:18">
      <c r="B1130" s="832"/>
      <c r="C1130" s="833"/>
      <c r="D1130" s="833"/>
      <c r="E1130" s="833"/>
      <c r="F1130" s="1111"/>
      <c r="G1130" s="1111"/>
      <c r="H1130" s="834"/>
      <c r="I1130" s="832"/>
      <c r="J1130" s="1111"/>
      <c r="K1130" s="832"/>
      <c r="L1130" s="832"/>
      <c r="M1130" s="832"/>
      <c r="N1130" s="832"/>
      <c r="O1130" s="832"/>
      <c r="P1130" s="832"/>
      <c r="Q1130" s="832"/>
      <c r="R1130" s="832"/>
    </row>
    <row r="1131" spans="2:18">
      <c r="B1131" s="832"/>
      <c r="C1131" s="833"/>
      <c r="D1131" s="833"/>
      <c r="E1131" s="833"/>
      <c r="F1131" s="1111"/>
      <c r="G1131" s="1111"/>
      <c r="H1131" s="834"/>
      <c r="I1131" s="832"/>
      <c r="J1131" s="1111"/>
      <c r="K1131" s="832"/>
      <c r="L1131" s="832"/>
      <c r="M1131" s="832"/>
      <c r="N1131" s="832"/>
      <c r="O1131" s="832"/>
      <c r="P1131" s="832"/>
      <c r="Q1131" s="832"/>
      <c r="R1131" s="832"/>
    </row>
    <row r="1132" spans="2:18">
      <c r="B1132" s="832"/>
      <c r="C1132" s="833"/>
      <c r="D1132" s="833"/>
      <c r="E1132" s="833"/>
      <c r="F1132" s="1111"/>
      <c r="G1132" s="1111"/>
      <c r="H1132" s="834"/>
      <c r="I1132" s="832"/>
      <c r="J1132" s="1111"/>
      <c r="K1132" s="832"/>
      <c r="L1132" s="832"/>
      <c r="M1132" s="832"/>
      <c r="N1132" s="832"/>
      <c r="O1132" s="832"/>
      <c r="P1132" s="832"/>
      <c r="Q1132" s="832"/>
      <c r="R1132" s="832"/>
    </row>
    <row r="1133" spans="2:18">
      <c r="B1133" s="832"/>
      <c r="C1133" s="833"/>
      <c r="D1133" s="833"/>
      <c r="E1133" s="833"/>
      <c r="F1133" s="1111"/>
      <c r="G1133" s="1111"/>
      <c r="H1133" s="834"/>
      <c r="I1133" s="832"/>
      <c r="J1133" s="1111"/>
      <c r="K1133" s="832"/>
      <c r="L1133" s="832"/>
      <c r="M1133" s="832"/>
      <c r="N1133" s="832"/>
      <c r="O1133" s="832"/>
      <c r="P1133" s="832"/>
      <c r="Q1133" s="832"/>
      <c r="R1133" s="832"/>
    </row>
    <row r="1134" spans="2:18">
      <c r="B1134" s="832"/>
      <c r="C1134" s="833"/>
      <c r="D1134" s="833"/>
      <c r="E1134" s="833"/>
      <c r="F1134" s="1111"/>
      <c r="G1134" s="1111"/>
      <c r="H1134" s="834"/>
      <c r="I1134" s="832"/>
      <c r="J1134" s="1111"/>
      <c r="K1134" s="832"/>
      <c r="L1134" s="832"/>
      <c r="M1134" s="832"/>
      <c r="N1134" s="832"/>
      <c r="O1134" s="832"/>
      <c r="P1134" s="832"/>
      <c r="Q1134" s="832"/>
      <c r="R1134" s="832"/>
    </row>
    <row r="1135" spans="2:18">
      <c r="B1135" s="832"/>
      <c r="C1135" s="833"/>
      <c r="D1135" s="833"/>
      <c r="E1135" s="833"/>
      <c r="F1135" s="1111"/>
      <c r="G1135" s="1111"/>
      <c r="H1135" s="834"/>
      <c r="I1135" s="832"/>
      <c r="J1135" s="1111"/>
      <c r="K1135" s="832"/>
      <c r="L1135" s="832"/>
      <c r="M1135" s="832"/>
      <c r="N1135" s="832"/>
      <c r="O1135" s="832"/>
      <c r="P1135" s="832"/>
      <c r="Q1135" s="832"/>
      <c r="R1135" s="832"/>
    </row>
    <row r="1136" spans="2:18">
      <c r="B1136" s="832"/>
      <c r="C1136" s="833"/>
      <c r="D1136" s="833"/>
      <c r="E1136" s="833"/>
      <c r="F1136" s="1111"/>
      <c r="G1136" s="1111"/>
      <c r="H1136" s="834"/>
      <c r="I1136" s="832"/>
      <c r="J1136" s="1111"/>
      <c r="K1136" s="832"/>
      <c r="L1136" s="832"/>
      <c r="M1136" s="832"/>
      <c r="N1136" s="832"/>
      <c r="O1136" s="832"/>
      <c r="P1136" s="832"/>
      <c r="Q1136" s="832"/>
      <c r="R1136" s="832"/>
    </row>
    <row r="1137" spans="2:18">
      <c r="B1137" s="832"/>
      <c r="C1137" s="833"/>
      <c r="D1137" s="833"/>
      <c r="E1137" s="833"/>
      <c r="F1137" s="1111"/>
      <c r="G1137" s="1111"/>
      <c r="H1137" s="834"/>
      <c r="I1137" s="832"/>
      <c r="J1137" s="1111"/>
      <c r="K1137" s="832"/>
      <c r="L1137" s="832"/>
      <c r="M1137" s="832"/>
      <c r="N1137" s="832"/>
      <c r="O1137" s="832"/>
      <c r="P1137" s="832"/>
      <c r="Q1137" s="832"/>
      <c r="R1137" s="832"/>
    </row>
    <row r="1138" spans="2:18">
      <c r="B1138" s="832"/>
      <c r="C1138" s="833"/>
      <c r="D1138" s="833"/>
      <c r="E1138" s="833"/>
      <c r="F1138" s="1111"/>
      <c r="G1138" s="1111"/>
      <c r="H1138" s="834"/>
      <c r="I1138" s="832"/>
      <c r="J1138" s="1111"/>
      <c r="K1138" s="832"/>
      <c r="L1138" s="832"/>
      <c r="M1138" s="832"/>
      <c r="N1138" s="832"/>
      <c r="O1138" s="832"/>
      <c r="P1138" s="832"/>
      <c r="Q1138" s="832"/>
      <c r="R1138" s="832"/>
    </row>
    <row r="1139" spans="2:18">
      <c r="B1139" s="832"/>
      <c r="C1139" s="833"/>
      <c r="D1139" s="833"/>
      <c r="E1139" s="833"/>
      <c r="F1139" s="1111"/>
      <c r="G1139" s="1111"/>
      <c r="H1139" s="834"/>
      <c r="I1139" s="832"/>
      <c r="J1139" s="1111"/>
      <c r="K1139" s="832"/>
      <c r="L1139" s="832"/>
      <c r="M1139" s="832"/>
      <c r="N1139" s="832"/>
      <c r="O1139" s="832"/>
      <c r="P1139" s="832"/>
      <c r="Q1139" s="832"/>
      <c r="R1139" s="832"/>
    </row>
    <row r="1140" spans="2:18">
      <c r="B1140" s="832"/>
      <c r="C1140" s="833"/>
      <c r="D1140" s="833"/>
      <c r="E1140" s="833"/>
      <c r="F1140" s="1111"/>
      <c r="G1140" s="1111"/>
      <c r="H1140" s="834"/>
      <c r="I1140" s="832"/>
      <c r="J1140" s="1111"/>
      <c r="K1140" s="832"/>
      <c r="L1140" s="832"/>
      <c r="M1140" s="832"/>
      <c r="N1140" s="832"/>
      <c r="O1140" s="832"/>
      <c r="P1140" s="832"/>
      <c r="Q1140" s="832"/>
      <c r="R1140" s="832"/>
    </row>
    <row r="1141" spans="2:18">
      <c r="B1141" s="832"/>
      <c r="C1141" s="833"/>
      <c r="D1141" s="833"/>
      <c r="E1141" s="833"/>
      <c r="F1141" s="1111"/>
      <c r="G1141" s="1111"/>
      <c r="H1141" s="834"/>
      <c r="I1141" s="832"/>
      <c r="J1141" s="1111"/>
      <c r="K1141" s="832"/>
      <c r="L1141" s="832"/>
      <c r="M1141" s="832"/>
      <c r="N1141" s="832"/>
      <c r="O1141" s="832"/>
      <c r="P1141" s="832"/>
      <c r="Q1141" s="832"/>
      <c r="R1141" s="832"/>
    </row>
    <row r="1142" spans="2:18">
      <c r="B1142" s="832"/>
      <c r="C1142" s="833"/>
      <c r="D1142" s="833"/>
      <c r="E1142" s="833"/>
      <c r="F1142" s="1111"/>
      <c r="G1142" s="1111"/>
      <c r="H1142" s="834"/>
      <c r="I1142" s="832"/>
      <c r="J1142" s="1111"/>
      <c r="K1142" s="832"/>
      <c r="L1142" s="832"/>
      <c r="M1142" s="832"/>
      <c r="N1142" s="832"/>
      <c r="O1142" s="832"/>
      <c r="P1142" s="832"/>
      <c r="Q1142" s="832"/>
      <c r="R1142" s="832"/>
    </row>
    <row r="1143" spans="2:18">
      <c r="B1143" s="832"/>
      <c r="C1143" s="833"/>
      <c r="D1143" s="833"/>
      <c r="E1143" s="833"/>
      <c r="F1143" s="1111"/>
      <c r="G1143" s="1111"/>
      <c r="H1143" s="834"/>
      <c r="I1143" s="832"/>
      <c r="J1143" s="1111"/>
      <c r="K1143" s="832"/>
      <c r="L1143" s="832"/>
      <c r="M1143" s="832"/>
      <c r="N1143" s="832"/>
      <c r="O1143" s="832"/>
      <c r="P1143" s="832"/>
      <c r="Q1143" s="832"/>
      <c r="R1143" s="832"/>
    </row>
    <row r="1144" spans="2:18">
      <c r="B1144" s="832"/>
      <c r="C1144" s="833"/>
      <c r="D1144" s="833"/>
      <c r="E1144" s="833"/>
      <c r="F1144" s="1111"/>
      <c r="G1144" s="1111"/>
      <c r="H1144" s="834"/>
      <c r="I1144" s="832"/>
      <c r="J1144" s="1111"/>
      <c r="K1144" s="832"/>
      <c r="L1144" s="832"/>
      <c r="M1144" s="832"/>
      <c r="N1144" s="832"/>
      <c r="O1144" s="832"/>
      <c r="P1144" s="832"/>
      <c r="Q1144" s="832"/>
      <c r="R1144" s="832"/>
    </row>
    <row r="1145" spans="2:18">
      <c r="B1145" s="832"/>
      <c r="C1145" s="833"/>
      <c r="D1145" s="833"/>
      <c r="E1145" s="833"/>
      <c r="F1145" s="1111"/>
      <c r="G1145" s="1111"/>
      <c r="H1145" s="834"/>
      <c r="I1145" s="832"/>
      <c r="J1145" s="1111"/>
      <c r="K1145" s="832"/>
      <c r="L1145" s="832"/>
      <c r="M1145" s="832"/>
      <c r="N1145" s="832"/>
      <c r="O1145" s="832"/>
      <c r="P1145" s="832"/>
      <c r="Q1145" s="832"/>
      <c r="R1145" s="832"/>
    </row>
    <row r="1146" spans="2:18">
      <c r="B1146" s="832"/>
      <c r="C1146" s="833"/>
      <c r="D1146" s="833"/>
      <c r="E1146" s="833"/>
      <c r="F1146" s="1111"/>
      <c r="G1146" s="1111"/>
      <c r="H1146" s="834"/>
      <c r="I1146" s="832"/>
      <c r="J1146" s="1111"/>
      <c r="K1146" s="832"/>
      <c r="L1146" s="832"/>
      <c r="M1146" s="832"/>
      <c r="N1146" s="832"/>
      <c r="O1146" s="832"/>
      <c r="P1146" s="832"/>
      <c r="Q1146" s="832"/>
      <c r="R1146" s="832"/>
    </row>
    <row r="1147" spans="2:18">
      <c r="B1147" s="832"/>
      <c r="C1147" s="833"/>
      <c r="D1147" s="833"/>
      <c r="E1147" s="833"/>
      <c r="F1147" s="1111"/>
      <c r="G1147" s="1111"/>
      <c r="H1147" s="834"/>
      <c r="I1147" s="832"/>
      <c r="J1147" s="1111"/>
      <c r="K1147" s="832"/>
      <c r="L1147" s="832"/>
      <c r="M1147" s="832"/>
      <c r="N1147" s="832"/>
      <c r="O1147" s="832"/>
      <c r="P1147" s="832"/>
      <c r="Q1147" s="832"/>
      <c r="R1147" s="832"/>
    </row>
    <row r="1148" spans="2:18">
      <c r="B1148" s="832"/>
      <c r="C1148" s="833"/>
      <c r="D1148" s="833"/>
      <c r="E1148" s="833"/>
      <c r="F1148" s="1111"/>
      <c r="G1148" s="1111"/>
      <c r="H1148" s="834"/>
      <c r="I1148" s="832"/>
      <c r="J1148" s="1111"/>
      <c r="K1148" s="832"/>
      <c r="L1148" s="832"/>
      <c r="M1148" s="832"/>
      <c r="N1148" s="832"/>
      <c r="O1148" s="832"/>
      <c r="P1148" s="832"/>
      <c r="Q1148" s="832"/>
      <c r="R1148" s="832"/>
    </row>
    <row r="1149" spans="2:18">
      <c r="B1149" s="832"/>
      <c r="C1149" s="833"/>
      <c r="D1149" s="833"/>
      <c r="E1149" s="833"/>
      <c r="F1149" s="1111"/>
      <c r="G1149" s="1111"/>
      <c r="H1149" s="834"/>
      <c r="I1149" s="832"/>
      <c r="J1149" s="1111"/>
      <c r="K1149" s="832"/>
      <c r="L1149" s="832"/>
      <c r="M1149" s="832"/>
      <c r="N1149" s="832"/>
      <c r="O1149" s="832"/>
      <c r="P1149" s="832"/>
      <c r="Q1149" s="832"/>
      <c r="R1149" s="832"/>
    </row>
    <row r="1150" spans="2:18">
      <c r="B1150" s="832"/>
      <c r="C1150" s="833"/>
      <c r="D1150" s="833"/>
      <c r="E1150" s="833"/>
      <c r="F1150" s="1111"/>
      <c r="G1150" s="1111"/>
      <c r="H1150" s="834"/>
      <c r="I1150" s="832"/>
      <c r="J1150" s="1111"/>
      <c r="K1150" s="832"/>
      <c r="L1150" s="832"/>
      <c r="M1150" s="832"/>
      <c r="N1150" s="832"/>
      <c r="O1150" s="832"/>
      <c r="P1150" s="832"/>
      <c r="Q1150" s="832"/>
      <c r="R1150" s="832"/>
    </row>
    <row r="1151" spans="2:18">
      <c r="B1151" s="832"/>
      <c r="C1151" s="833"/>
      <c r="D1151" s="833"/>
      <c r="E1151" s="833"/>
      <c r="F1151" s="1111"/>
      <c r="G1151" s="1111"/>
      <c r="H1151" s="834"/>
      <c r="I1151" s="832"/>
      <c r="J1151" s="1111"/>
      <c r="K1151" s="832"/>
      <c r="L1151" s="832"/>
      <c r="M1151" s="832"/>
      <c r="N1151" s="832"/>
      <c r="O1151" s="832"/>
      <c r="P1151" s="832"/>
      <c r="Q1151" s="832"/>
      <c r="R1151" s="832"/>
    </row>
    <row r="1152" spans="2:18">
      <c r="B1152" s="832"/>
      <c r="C1152" s="833"/>
      <c r="D1152" s="833"/>
      <c r="E1152" s="833"/>
      <c r="F1152" s="1111"/>
      <c r="G1152" s="1111"/>
      <c r="H1152" s="834"/>
      <c r="I1152" s="832"/>
      <c r="J1152" s="1111"/>
      <c r="K1152" s="832"/>
      <c r="L1152" s="832"/>
      <c r="M1152" s="832"/>
      <c r="N1152" s="832"/>
      <c r="O1152" s="832"/>
      <c r="P1152" s="832"/>
      <c r="Q1152" s="832"/>
      <c r="R1152" s="832"/>
    </row>
    <row r="1153" spans="2:18">
      <c r="B1153" s="832"/>
      <c r="C1153" s="833"/>
      <c r="D1153" s="833"/>
      <c r="E1153" s="833"/>
      <c r="F1153" s="1111"/>
      <c r="G1153" s="1111"/>
      <c r="H1153" s="834"/>
      <c r="I1153" s="832"/>
      <c r="J1153" s="1111"/>
      <c r="K1153" s="832"/>
      <c r="L1153" s="832"/>
      <c r="M1153" s="832"/>
      <c r="N1153" s="832"/>
      <c r="O1153" s="832"/>
      <c r="P1153" s="832"/>
      <c r="Q1153" s="832"/>
      <c r="R1153" s="832"/>
    </row>
    <row r="1154" spans="2:18">
      <c r="B1154" s="832"/>
      <c r="C1154" s="833"/>
      <c r="D1154" s="833"/>
      <c r="E1154" s="833"/>
      <c r="F1154" s="1111"/>
      <c r="G1154" s="1111"/>
      <c r="H1154" s="834"/>
      <c r="I1154" s="832"/>
      <c r="J1154" s="1111"/>
      <c r="K1154" s="832"/>
      <c r="L1154" s="832"/>
      <c r="M1154" s="832"/>
      <c r="N1154" s="832"/>
      <c r="O1154" s="832"/>
      <c r="P1154" s="832"/>
      <c r="Q1154" s="832"/>
      <c r="R1154" s="832"/>
    </row>
    <row r="1155" spans="2:18">
      <c r="B1155" s="832"/>
      <c r="C1155" s="833"/>
      <c r="D1155" s="833"/>
      <c r="E1155" s="833"/>
      <c r="F1155" s="1111"/>
      <c r="G1155" s="1111"/>
      <c r="H1155" s="834"/>
      <c r="I1155" s="832"/>
      <c r="J1155" s="1111"/>
      <c r="K1155" s="832"/>
      <c r="L1155" s="832"/>
      <c r="M1155" s="832"/>
      <c r="N1155" s="832"/>
      <c r="O1155" s="832"/>
      <c r="P1155" s="832"/>
      <c r="Q1155" s="832"/>
      <c r="R1155" s="832"/>
    </row>
    <row r="1156" spans="2:18">
      <c r="B1156" s="832"/>
      <c r="C1156" s="833"/>
      <c r="D1156" s="833"/>
      <c r="E1156" s="833"/>
      <c r="F1156" s="1111"/>
      <c r="G1156" s="1111"/>
      <c r="H1156" s="834"/>
      <c r="I1156" s="832"/>
      <c r="J1156" s="1111"/>
      <c r="K1156" s="832"/>
      <c r="L1156" s="832"/>
      <c r="M1156" s="832"/>
      <c r="N1156" s="832"/>
      <c r="O1156" s="832"/>
      <c r="P1156" s="832"/>
      <c r="Q1156" s="832"/>
      <c r="R1156" s="832"/>
    </row>
    <row r="1157" spans="2:18">
      <c r="B1157" s="832"/>
      <c r="C1157" s="833"/>
      <c r="D1157" s="833"/>
      <c r="E1157" s="833"/>
      <c r="F1157" s="1111"/>
      <c r="G1157" s="1111"/>
      <c r="H1157" s="834"/>
      <c r="I1157" s="832"/>
      <c r="J1157" s="1111"/>
      <c r="K1157" s="832"/>
      <c r="L1157" s="832"/>
      <c r="M1157" s="832"/>
      <c r="N1157" s="832"/>
      <c r="O1157" s="832"/>
      <c r="P1157" s="832"/>
      <c r="Q1157" s="832"/>
      <c r="R1157" s="832"/>
    </row>
    <row r="1158" spans="2:18">
      <c r="B1158" s="832"/>
      <c r="C1158" s="833"/>
      <c r="D1158" s="833"/>
      <c r="E1158" s="833"/>
      <c r="F1158" s="1111"/>
      <c r="G1158" s="1111"/>
      <c r="H1158" s="834"/>
      <c r="I1158" s="832"/>
      <c r="J1158" s="1111"/>
      <c r="K1158" s="832"/>
      <c r="L1158" s="832"/>
      <c r="M1158" s="832"/>
      <c r="N1158" s="832"/>
      <c r="O1158" s="832"/>
      <c r="P1158" s="832"/>
      <c r="Q1158" s="832"/>
      <c r="R1158" s="832"/>
    </row>
    <row r="1159" spans="2:18">
      <c r="B1159" s="832"/>
      <c r="C1159" s="833"/>
      <c r="D1159" s="833"/>
      <c r="E1159" s="833"/>
      <c r="F1159" s="1111"/>
      <c r="G1159" s="1111"/>
      <c r="H1159" s="834"/>
      <c r="I1159" s="832"/>
      <c r="J1159" s="1111"/>
      <c r="K1159" s="832"/>
      <c r="L1159" s="832"/>
      <c r="M1159" s="832"/>
      <c r="N1159" s="832"/>
      <c r="O1159" s="832"/>
      <c r="P1159" s="832"/>
      <c r="Q1159" s="832"/>
      <c r="R1159" s="832"/>
    </row>
    <row r="1160" spans="2:18">
      <c r="B1160" s="832"/>
      <c r="C1160" s="833"/>
      <c r="D1160" s="833"/>
      <c r="E1160" s="833"/>
      <c r="F1160" s="1111"/>
      <c r="G1160" s="1111"/>
      <c r="H1160" s="834"/>
      <c r="I1160" s="832"/>
      <c r="J1160" s="1111"/>
      <c r="K1160" s="832"/>
      <c r="L1160" s="832"/>
      <c r="M1160" s="832"/>
      <c r="N1160" s="832"/>
      <c r="O1160" s="832"/>
      <c r="P1160" s="832"/>
      <c r="Q1160" s="832"/>
      <c r="R1160" s="832"/>
    </row>
    <row r="1161" spans="2:18">
      <c r="B1161" s="832"/>
      <c r="C1161" s="833"/>
      <c r="D1161" s="833"/>
      <c r="E1161" s="833"/>
      <c r="F1161" s="1111"/>
      <c r="G1161" s="1111"/>
      <c r="H1161" s="834"/>
      <c r="I1161" s="832"/>
      <c r="J1161" s="1111"/>
      <c r="K1161" s="832"/>
      <c r="L1161" s="832"/>
      <c r="M1161" s="832"/>
      <c r="N1161" s="832"/>
      <c r="O1161" s="832"/>
      <c r="P1161" s="832"/>
      <c r="Q1161" s="832"/>
      <c r="R1161" s="832"/>
    </row>
    <row r="1162" spans="2:18">
      <c r="B1162" s="832"/>
      <c r="C1162" s="833"/>
      <c r="D1162" s="833"/>
      <c r="E1162" s="833"/>
      <c r="F1162" s="1111"/>
      <c r="G1162" s="1111"/>
      <c r="H1162" s="834"/>
      <c r="I1162" s="832"/>
      <c r="J1162" s="1111"/>
      <c r="K1162" s="832"/>
      <c r="L1162" s="832"/>
      <c r="M1162" s="832"/>
      <c r="N1162" s="832"/>
      <c r="O1162" s="832"/>
      <c r="P1162" s="832"/>
      <c r="Q1162" s="832"/>
      <c r="R1162" s="832"/>
    </row>
    <row r="1163" spans="2:18">
      <c r="B1163" s="832"/>
      <c r="C1163" s="833"/>
      <c r="D1163" s="833"/>
      <c r="E1163" s="833"/>
      <c r="F1163" s="1111"/>
      <c r="G1163" s="1111"/>
      <c r="H1163" s="834"/>
      <c r="I1163" s="832"/>
      <c r="J1163" s="1111"/>
      <c r="K1163" s="832"/>
      <c r="L1163" s="832"/>
      <c r="M1163" s="832"/>
      <c r="N1163" s="832"/>
      <c r="O1163" s="832"/>
      <c r="P1163" s="832"/>
      <c r="Q1163" s="832"/>
      <c r="R1163" s="832"/>
    </row>
    <row r="1164" spans="2:18">
      <c r="B1164" s="832"/>
      <c r="C1164" s="833"/>
      <c r="D1164" s="833"/>
      <c r="E1164" s="833"/>
      <c r="F1164" s="1111"/>
      <c r="G1164" s="1111"/>
      <c r="H1164" s="834"/>
      <c r="I1164" s="832"/>
      <c r="J1164" s="1111"/>
      <c r="K1164" s="832"/>
      <c r="L1164" s="832"/>
      <c r="M1164" s="832"/>
      <c r="N1164" s="832"/>
      <c r="O1164" s="832"/>
      <c r="P1164" s="832"/>
      <c r="Q1164" s="832"/>
      <c r="R1164" s="832"/>
    </row>
    <row r="1165" spans="2:18">
      <c r="B1165" s="832"/>
      <c r="C1165" s="833"/>
      <c r="D1165" s="833"/>
      <c r="E1165" s="833"/>
      <c r="F1165" s="1111"/>
      <c r="G1165" s="1111"/>
      <c r="H1165" s="834"/>
      <c r="I1165" s="832"/>
      <c r="J1165" s="1111"/>
      <c r="K1165" s="832"/>
      <c r="L1165" s="832"/>
      <c r="M1165" s="832"/>
      <c r="N1165" s="832"/>
      <c r="O1165" s="832"/>
      <c r="P1165" s="832"/>
      <c r="Q1165" s="832"/>
      <c r="R1165" s="832"/>
    </row>
    <row r="1166" spans="2:18">
      <c r="B1166" s="832"/>
      <c r="C1166" s="833"/>
      <c r="D1166" s="833"/>
      <c r="E1166" s="833"/>
      <c r="F1166" s="1111"/>
      <c r="G1166" s="1111"/>
      <c r="H1166" s="834"/>
      <c r="I1166" s="832"/>
      <c r="J1166" s="1111"/>
      <c r="K1166" s="832"/>
      <c r="L1166" s="832"/>
      <c r="M1166" s="832"/>
      <c r="N1166" s="832"/>
      <c r="O1166" s="832"/>
      <c r="P1166" s="832"/>
      <c r="Q1166" s="832"/>
      <c r="R1166" s="832"/>
    </row>
    <row r="1167" spans="2:18">
      <c r="B1167" s="832"/>
      <c r="C1167" s="833"/>
      <c r="D1167" s="833"/>
      <c r="E1167" s="833"/>
      <c r="F1167" s="1111"/>
      <c r="G1167" s="1111"/>
      <c r="H1167" s="834"/>
      <c r="I1167" s="832"/>
      <c r="J1167" s="1111"/>
      <c r="K1167" s="832"/>
      <c r="L1167" s="832"/>
      <c r="M1167" s="832"/>
      <c r="N1167" s="832"/>
      <c r="O1167" s="832"/>
      <c r="P1167" s="832"/>
      <c r="Q1167" s="832"/>
      <c r="R1167" s="832"/>
    </row>
    <row r="1168" spans="2:18">
      <c r="B1168" s="832"/>
      <c r="C1168" s="833"/>
      <c r="D1168" s="833"/>
      <c r="E1168" s="833"/>
      <c r="F1168" s="1111"/>
      <c r="G1168" s="1111"/>
      <c r="H1168" s="834"/>
      <c r="I1168" s="832"/>
      <c r="J1168" s="1111"/>
      <c r="K1168" s="832"/>
      <c r="L1168" s="832"/>
      <c r="M1168" s="832"/>
      <c r="N1168" s="832"/>
      <c r="O1168" s="832"/>
      <c r="P1168" s="832"/>
      <c r="Q1168" s="832"/>
      <c r="R1168" s="832"/>
    </row>
    <row r="1169" spans="2:18">
      <c r="B1169" s="832"/>
      <c r="C1169" s="833"/>
      <c r="D1169" s="833"/>
      <c r="E1169" s="833"/>
      <c r="F1169" s="1111"/>
      <c r="G1169" s="1111"/>
      <c r="H1169" s="834"/>
      <c r="I1169" s="832"/>
      <c r="J1169" s="1111"/>
      <c r="K1169" s="832"/>
      <c r="L1169" s="832"/>
      <c r="M1169" s="832"/>
      <c r="N1169" s="832"/>
      <c r="O1169" s="832"/>
      <c r="P1169" s="832"/>
      <c r="Q1169" s="832"/>
      <c r="R1169" s="832"/>
    </row>
    <row r="1170" spans="2:18">
      <c r="B1170" s="832"/>
      <c r="C1170" s="833"/>
      <c r="D1170" s="833"/>
      <c r="E1170" s="833"/>
      <c r="F1170" s="1111"/>
      <c r="G1170" s="1111"/>
      <c r="H1170" s="834"/>
      <c r="I1170" s="832"/>
      <c r="J1170" s="1111"/>
      <c r="K1170" s="832"/>
      <c r="L1170" s="832"/>
      <c r="M1170" s="832"/>
      <c r="N1170" s="832"/>
      <c r="O1170" s="832"/>
      <c r="P1170" s="832"/>
      <c r="Q1170" s="832"/>
      <c r="R1170" s="832"/>
    </row>
    <row r="1171" spans="2:18">
      <c r="B1171" s="832"/>
      <c r="C1171" s="833"/>
      <c r="D1171" s="833"/>
      <c r="E1171" s="833"/>
      <c r="F1171" s="1111"/>
      <c r="G1171" s="1111"/>
      <c r="H1171" s="834"/>
      <c r="I1171" s="832"/>
      <c r="J1171" s="1111"/>
      <c r="K1171" s="832"/>
      <c r="L1171" s="832"/>
      <c r="M1171" s="832"/>
      <c r="N1171" s="832"/>
      <c r="O1171" s="832"/>
      <c r="P1171" s="832"/>
      <c r="Q1171" s="832"/>
      <c r="R1171" s="832"/>
    </row>
    <row r="1172" spans="2:18">
      <c r="B1172" s="832"/>
      <c r="C1172" s="833"/>
      <c r="D1172" s="833"/>
      <c r="E1172" s="833"/>
      <c r="F1172" s="1111"/>
      <c r="G1172" s="1111"/>
      <c r="H1172" s="834"/>
      <c r="I1172" s="832"/>
      <c r="J1172" s="1111"/>
      <c r="K1172" s="832"/>
      <c r="L1172" s="832"/>
      <c r="M1172" s="832"/>
      <c r="N1172" s="832"/>
      <c r="O1172" s="832"/>
      <c r="P1172" s="832"/>
      <c r="Q1172" s="832"/>
      <c r="R1172" s="832"/>
    </row>
    <row r="1173" spans="2:18">
      <c r="B1173" s="832"/>
      <c r="C1173" s="833"/>
      <c r="D1173" s="833"/>
      <c r="E1173" s="833"/>
      <c r="F1173" s="1111"/>
      <c r="G1173" s="1111"/>
      <c r="H1173" s="834"/>
      <c r="I1173" s="832"/>
      <c r="J1173" s="1111"/>
      <c r="K1173" s="832"/>
      <c r="L1173" s="832"/>
      <c r="M1173" s="832"/>
      <c r="N1173" s="832"/>
      <c r="O1173" s="832"/>
      <c r="P1173" s="832"/>
      <c r="Q1173" s="832"/>
      <c r="R1173" s="832"/>
    </row>
    <row r="1174" spans="2:18">
      <c r="B1174" s="832"/>
      <c r="C1174" s="833"/>
      <c r="D1174" s="833"/>
      <c r="E1174" s="833"/>
      <c r="F1174" s="1111"/>
      <c r="G1174" s="1111"/>
      <c r="H1174" s="834"/>
      <c r="I1174" s="832"/>
      <c r="J1174" s="1111"/>
      <c r="K1174" s="832"/>
      <c r="L1174" s="832"/>
      <c r="M1174" s="832"/>
      <c r="N1174" s="832"/>
      <c r="O1174" s="832"/>
      <c r="P1174" s="832"/>
      <c r="Q1174" s="832"/>
      <c r="R1174" s="832"/>
    </row>
    <row r="1175" spans="2:18">
      <c r="B1175" s="832"/>
      <c r="C1175" s="833"/>
      <c r="D1175" s="833"/>
      <c r="E1175" s="833"/>
      <c r="F1175" s="1111"/>
      <c r="G1175" s="1111"/>
      <c r="H1175" s="834"/>
      <c r="I1175" s="832"/>
      <c r="J1175" s="1111"/>
      <c r="K1175" s="832"/>
      <c r="L1175" s="832"/>
      <c r="M1175" s="832"/>
      <c r="N1175" s="832"/>
      <c r="O1175" s="832"/>
      <c r="P1175" s="832"/>
      <c r="Q1175" s="832"/>
      <c r="R1175" s="832"/>
    </row>
    <row r="1176" spans="2:18">
      <c r="B1176" s="832"/>
      <c r="C1176" s="833"/>
      <c r="D1176" s="833"/>
      <c r="E1176" s="833"/>
      <c r="F1176" s="1111"/>
      <c r="G1176" s="1111"/>
      <c r="H1176" s="834"/>
      <c r="I1176" s="832"/>
      <c r="J1176" s="1111"/>
      <c r="K1176" s="832"/>
      <c r="L1176" s="832"/>
      <c r="M1176" s="832"/>
      <c r="N1176" s="832"/>
      <c r="O1176" s="832"/>
      <c r="P1176" s="832"/>
      <c r="Q1176" s="832"/>
      <c r="R1176" s="832"/>
    </row>
    <row r="1177" spans="2:18">
      <c r="B1177" s="832"/>
      <c r="C1177" s="833"/>
      <c r="D1177" s="833"/>
      <c r="E1177" s="833"/>
      <c r="F1177" s="1111"/>
      <c r="G1177" s="1111"/>
      <c r="H1177" s="834"/>
      <c r="I1177" s="832"/>
      <c r="J1177" s="1111"/>
      <c r="K1177" s="832"/>
      <c r="L1177" s="832"/>
      <c r="M1177" s="832"/>
      <c r="N1177" s="832"/>
      <c r="O1177" s="832"/>
      <c r="P1177" s="832"/>
      <c r="Q1177" s="832"/>
      <c r="R1177" s="832"/>
    </row>
    <row r="1178" spans="2:18">
      <c r="B1178" s="832"/>
      <c r="C1178" s="833"/>
      <c r="D1178" s="833"/>
      <c r="E1178" s="833"/>
      <c r="F1178" s="1111"/>
      <c r="G1178" s="1111"/>
      <c r="H1178" s="834"/>
      <c r="I1178" s="832"/>
      <c r="J1178" s="1111"/>
      <c r="K1178" s="832"/>
      <c r="L1178" s="832"/>
      <c r="M1178" s="832"/>
      <c r="N1178" s="832"/>
      <c r="O1178" s="832"/>
      <c r="P1178" s="832"/>
      <c r="Q1178" s="832"/>
      <c r="R1178" s="832"/>
    </row>
    <row r="1179" spans="2:18">
      <c r="B1179" s="832"/>
      <c r="C1179" s="833"/>
      <c r="D1179" s="833"/>
      <c r="E1179" s="833"/>
      <c r="F1179" s="1111"/>
      <c r="G1179" s="1111"/>
      <c r="H1179" s="834"/>
      <c r="I1179" s="832"/>
      <c r="J1179" s="1111"/>
      <c r="K1179" s="832"/>
      <c r="L1179" s="832"/>
      <c r="M1179" s="832"/>
      <c r="N1179" s="832"/>
      <c r="O1179" s="832"/>
      <c r="P1179" s="832"/>
      <c r="Q1179" s="832"/>
      <c r="R1179" s="832"/>
    </row>
    <row r="1180" spans="2:18">
      <c r="B1180" s="832"/>
      <c r="C1180" s="833"/>
      <c r="D1180" s="833"/>
      <c r="E1180" s="833"/>
      <c r="F1180" s="1111"/>
      <c r="G1180" s="1111"/>
      <c r="H1180" s="834"/>
      <c r="I1180" s="832"/>
      <c r="J1180" s="1111"/>
      <c r="K1180" s="832"/>
      <c r="L1180" s="832"/>
      <c r="M1180" s="832"/>
      <c r="N1180" s="832"/>
      <c r="O1180" s="832"/>
      <c r="P1180" s="832"/>
      <c r="Q1180" s="832"/>
      <c r="R1180" s="832"/>
    </row>
    <row r="1181" spans="2:18">
      <c r="B1181" s="832"/>
      <c r="C1181" s="833"/>
      <c r="D1181" s="833"/>
      <c r="E1181" s="833"/>
      <c r="F1181" s="1111"/>
      <c r="G1181" s="1111"/>
      <c r="H1181" s="834"/>
      <c r="I1181" s="832"/>
      <c r="J1181" s="1111"/>
      <c r="K1181" s="832"/>
      <c r="L1181" s="832"/>
      <c r="M1181" s="832"/>
      <c r="N1181" s="832"/>
      <c r="O1181" s="832"/>
      <c r="P1181" s="832"/>
      <c r="Q1181" s="832"/>
      <c r="R1181" s="832"/>
    </row>
    <row r="1182" spans="2:18">
      <c r="B1182" s="832"/>
      <c r="C1182" s="833"/>
      <c r="D1182" s="833"/>
      <c r="E1182" s="833"/>
      <c r="F1182" s="1111"/>
      <c r="G1182" s="1111"/>
      <c r="H1182" s="834"/>
      <c r="I1182" s="832"/>
      <c r="J1182" s="1111"/>
      <c r="K1182" s="832"/>
      <c r="L1182" s="832"/>
      <c r="M1182" s="832"/>
      <c r="N1182" s="832"/>
      <c r="O1182" s="832"/>
      <c r="P1182" s="832"/>
      <c r="Q1182" s="832"/>
      <c r="R1182" s="832"/>
    </row>
    <row r="1183" spans="2:18">
      <c r="B1183" s="832"/>
      <c r="C1183" s="833"/>
      <c r="D1183" s="833"/>
      <c r="E1183" s="833"/>
      <c r="F1183" s="1111"/>
      <c r="G1183" s="1111"/>
      <c r="H1183" s="834"/>
      <c r="I1183" s="832"/>
      <c r="J1183" s="1111"/>
      <c r="K1183" s="832"/>
      <c r="L1183" s="832"/>
      <c r="M1183" s="832"/>
      <c r="N1183" s="832"/>
      <c r="O1183" s="832"/>
      <c r="P1183" s="832"/>
      <c r="Q1183" s="832"/>
      <c r="R1183" s="832"/>
    </row>
    <row r="1184" spans="2:18">
      <c r="B1184" s="832"/>
      <c r="C1184" s="833"/>
      <c r="D1184" s="833"/>
      <c r="E1184" s="833"/>
      <c r="F1184" s="1111"/>
      <c r="G1184" s="1111"/>
      <c r="H1184" s="834"/>
      <c r="I1184" s="832"/>
      <c r="J1184" s="1111"/>
      <c r="K1184" s="832"/>
      <c r="L1184" s="832"/>
      <c r="M1184" s="832"/>
      <c r="N1184" s="832"/>
      <c r="O1184" s="832"/>
      <c r="P1184" s="832"/>
      <c r="Q1184" s="832"/>
      <c r="R1184" s="832"/>
    </row>
    <row r="1185" spans="2:18">
      <c r="B1185" s="832"/>
      <c r="C1185" s="833"/>
      <c r="D1185" s="833"/>
      <c r="E1185" s="833"/>
      <c r="F1185" s="1111"/>
      <c r="G1185" s="1111"/>
      <c r="H1185" s="834"/>
      <c r="I1185" s="832"/>
      <c r="J1185" s="1111"/>
      <c r="K1185" s="832"/>
      <c r="L1185" s="832"/>
      <c r="M1185" s="832"/>
      <c r="N1185" s="832"/>
      <c r="O1185" s="832"/>
      <c r="P1185" s="832"/>
      <c r="Q1185" s="832"/>
      <c r="R1185" s="832"/>
    </row>
    <row r="1186" spans="2:18">
      <c r="B1186" s="832"/>
      <c r="C1186" s="833"/>
      <c r="D1186" s="833"/>
      <c r="E1186" s="833"/>
      <c r="F1186" s="1111"/>
      <c r="G1186" s="1111"/>
      <c r="H1186" s="834"/>
      <c r="I1186" s="832"/>
      <c r="J1186" s="1111"/>
      <c r="K1186" s="832"/>
      <c r="L1186" s="832"/>
      <c r="M1186" s="832"/>
      <c r="N1186" s="832"/>
      <c r="O1186" s="832"/>
      <c r="P1186" s="832"/>
      <c r="Q1186" s="832"/>
      <c r="R1186" s="832"/>
    </row>
    <row r="1187" spans="2:18">
      <c r="B1187" s="832"/>
      <c r="C1187" s="833"/>
      <c r="D1187" s="833"/>
      <c r="E1187" s="833"/>
      <c r="F1187" s="1111"/>
      <c r="G1187" s="1111"/>
      <c r="H1187" s="834"/>
      <c r="I1187" s="832"/>
      <c r="J1187" s="1111"/>
      <c r="K1187" s="832"/>
      <c r="L1187" s="832"/>
      <c r="M1187" s="832"/>
      <c r="N1187" s="832"/>
      <c r="O1187" s="832"/>
      <c r="P1187" s="832"/>
      <c r="Q1187" s="832"/>
      <c r="R1187" s="832"/>
    </row>
    <row r="1188" spans="2:18">
      <c r="B1188" s="832"/>
      <c r="C1188" s="833"/>
      <c r="D1188" s="833"/>
      <c r="E1188" s="833"/>
      <c r="F1188" s="1111"/>
      <c r="G1188" s="1111"/>
      <c r="H1188" s="834"/>
      <c r="I1188" s="832"/>
      <c r="J1188" s="1111"/>
      <c r="K1188" s="832"/>
      <c r="L1188" s="832"/>
      <c r="M1188" s="832"/>
      <c r="N1188" s="832"/>
      <c r="O1188" s="832"/>
      <c r="P1188" s="832"/>
      <c r="Q1188" s="832"/>
      <c r="R1188" s="832"/>
    </row>
    <row r="1189" spans="2:18">
      <c r="B1189" s="832"/>
      <c r="C1189" s="833"/>
      <c r="D1189" s="833"/>
      <c r="E1189" s="833"/>
      <c r="F1189" s="1111"/>
      <c r="G1189" s="1111"/>
      <c r="H1189" s="834"/>
      <c r="I1189" s="832"/>
      <c r="J1189" s="1111"/>
      <c r="K1189" s="832"/>
      <c r="L1189" s="832"/>
      <c r="M1189" s="832"/>
      <c r="N1189" s="832"/>
      <c r="O1189" s="832"/>
      <c r="P1189" s="832"/>
      <c r="Q1189" s="832"/>
      <c r="R1189" s="832"/>
    </row>
    <row r="1190" spans="2:18">
      <c r="B1190" s="832"/>
      <c r="C1190" s="833"/>
      <c r="D1190" s="833"/>
      <c r="E1190" s="833"/>
      <c r="F1190" s="1111"/>
      <c r="G1190" s="1111"/>
      <c r="H1190" s="834"/>
      <c r="I1190" s="832"/>
      <c r="J1190" s="1111"/>
      <c r="K1190" s="832"/>
      <c r="L1190" s="832"/>
      <c r="M1190" s="832"/>
      <c r="N1190" s="832"/>
      <c r="O1190" s="832"/>
      <c r="P1190" s="832"/>
      <c r="Q1190" s="832"/>
      <c r="R1190" s="832"/>
    </row>
    <row r="1191" spans="2:18">
      <c r="B1191" s="832"/>
      <c r="C1191" s="833"/>
      <c r="D1191" s="833"/>
      <c r="E1191" s="833"/>
      <c r="F1191" s="1111"/>
      <c r="G1191" s="1111"/>
      <c r="H1191" s="834"/>
      <c r="I1191" s="832"/>
      <c r="J1191" s="1111"/>
      <c r="K1191" s="832"/>
      <c r="L1191" s="832"/>
      <c r="M1191" s="832"/>
      <c r="N1191" s="832"/>
      <c r="O1191" s="832"/>
      <c r="P1191" s="832"/>
      <c r="Q1191" s="832"/>
      <c r="R1191" s="832"/>
    </row>
    <row r="1192" spans="2:18">
      <c r="B1192" s="832"/>
      <c r="C1192" s="833"/>
      <c r="D1192" s="833"/>
      <c r="E1192" s="833"/>
      <c r="F1192" s="1111"/>
      <c r="G1192" s="1111"/>
      <c r="H1192" s="834"/>
      <c r="I1192" s="832"/>
      <c r="J1192" s="1111"/>
      <c r="K1192" s="832"/>
      <c r="L1192" s="832"/>
      <c r="M1192" s="832"/>
      <c r="N1192" s="832"/>
      <c r="O1192" s="832"/>
      <c r="P1192" s="832"/>
      <c r="Q1192" s="832"/>
      <c r="R1192" s="832"/>
    </row>
    <row r="1193" spans="2:18">
      <c r="B1193" s="832"/>
      <c r="C1193" s="833"/>
      <c r="D1193" s="833"/>
      <c r="E1193" s="833"/>
      <c r="F1193" s="1111"/>
      <c r="G1193" s="1111"/>
      <c r="H1193" s="834"/>
      <c r="I1193" s="832"/>
      <c r="J1193" s="1111"/>
      <c r="K1193" s="832"/>
      <c r="L1193" s="832"/>
      <c r="M1193" s="832"/>
      <c r="N1193" s="832"/>
      <c r="O1193" s="832"/>
      <c r="P1193" s="832"/>
      <c r="Q1193" s="832"/>
      <c r="R1193" s="832"/>
    </row>
    <row r="1194" spans="2:18">
      <c r="B1194" s="832"/>
      <c r="C1194" s="833"/>
      <c r="D1194" s="833"/>
      <c r="E1194" s="833"/>
      <c r="F1194" s="1111"/>
      <c r="G1194" s="1111"/>
      <c r="H1194" s="834"/>
      <c r="I1194" s="832"/>
      <c r="J1194" s="1111"/>
      <c r="K1194" s="832"/>
      <c r="L1194" s="832"/>
      <c r="M1194" s="832"/>
      <c r="N1194" s="832"/>
      <c r="O1194" s="832"/>
      <c r="P1194" s="832"/>
      <c r="Q1194" s="832"/>
      <c r="R1194" s="832"/>
    </row>
    <row r="1195" spans="2:18">
      <c r="B1195" s="832"/>
      <c r="C1195" s="833"/>
      <c r="D1195" s="833"/>
      <c r="E1195" s="833"/>
      <c r="F1195" s="1111"/>
      <c r="G1195" s="1111"/>
      <c r="H1195" s="834"/>
      <c r="I1195" s="832"/>
      <c r="J1195" s="1111"/>
      <c r="K1195" s="832"/>
      <c r="L1195" s="832"/>
      <c r="M1195" s="832"/>
      <c r="N1195" s="832"/>
      <c r="O1195" s="832"/>
      <c r="P1195" s="832"/>
      <c r="Q1195" s="832"/>
      <c r="R1195" s="832"/>
    </row>
    <row r="1196" spans="2:18">
      <c r="B1196" s="832"/>
      <c r="C1196" s="833"/>
      <c r="D1196" s="833"/>
      <c r="E1196" s="833"/>
      <c r="F1196" s="1111"/>
      <c r="G1196" s="1111"/>
      <c r="H1196" s="834"/>
      <c r="I1196" s="832"/>
      <c r="J1196" s="1111"/>
      <c r="K1196" s="832"/>
      <c r="L1196" s="832"/>
      <c r="M1196" s="832"/>
      <c r="N1196" s="832"/>
      <c r="O1196" s="832"/>
      <c r="P1196" s="832"/>
      <c r="Q1196" s="832"/>
      <c r="R1196" s="832"/>
    </row>
    <row r="1197" spans="2:18">
      <c r="B1197" s="832"/>
      <c r="C1197" s="833"/>
      <c r="D1197" s="833"/>
      <c r="E1197" s="833"/>
      <c r="F1197" s="1111"/>
      <c r="G1197" s="1111"/>
      <c r="H1197" s="834"/>
      <c r="I1197" s="832"/>
      <c r="J1197" s="1111"/>
      <c r="K1197" s="832"/>
      <c r="L1197" s="832"/>
      <c r="M1197" s="832"/>
      <c r="N1197" s="832"/>
      <c r="O1197" s="832"/>
      <c r="P1197" s="832"/>
      <c r="Q1197" s="832"/>
      <c r="R1197" s="832"/>
    </row>
    <row r="1198" spans="2:18">
      <c r="B1198" s="832"/>
      <c r="C1198" s="833"/>
      <c r="D1198" s="833"/>
      <c r="E1198" s="833"/>
      <c r="F1198" s="1111"/>
      <c r="G1198" s="1111"/>
      <c r="H1198" s="834"/>
      <c r="I1198" s="832"/>
      <c r="J1198" s="1111"/>
      <c r="K1198" s="832"/>
      <c r="L1198" s="832"/>
      <c r="M1198" s="832"/>
      <c r="N1198" s="832"/>
      <c r="O1198" s="832"/>
      <c r="P1198" s="832"/>
      <c r="Q1198" s="832"/>
      <c r="R1198" s="832"/>
    </row>
    <row r="1199" spans="2:18">
      <c r="B1199" s="832"/>
      <c r="C1199" s="833"/>
      <c r="D1199" s="833"/>
      <c r="E1199" s="833"/>
      <c r="F1199" s="1111"/>
      <c r="G1199" s="1111"/>
      <c r="H1199" s="834"/>
      <c r="I1199" s="832"/>
      <c r="J1199" s="1111"/>
      <c r="K1199" s="832"/>
      <c r="L1199" s="832"/>
      <c r="M1199" s="832"/>
      <c r="N1199" s="832"/>
      <c r="O1199" s="832"/>
      <c r="P1199" s="832"/>
      <c r="Q1199" s="832"/>
      <c r="R1199" s="832"/>
    </row>
    <row r="1200" spans="2:18">
      <c r="B1200" s="832"/>
      <c r="C1200" s="833"/>
      <c r="D1200" s="833"/>
      <c r="E1200" s="833"/>
      <c r="F1200" s="1111"/>
      <c r="G1200" s="1111"/>
      <c r="H1200" s="834"/>
      <c r="I1200" s="832"/>
      <c r="J1200" s="1111"/>
      <c r="K1200" s="832"/>
      <c r="L1200" s="832"/>
      <c r="M1200" s="832"/>
      <c r="N1200" s="832"/>
      <c r="O1200" s="832"/>
      <c r="P1200" s="832"/>
      <c r="Q1200" s="832"/>
      <c r="R1200" s="832"/>
    </row>
    <row r="1201" spans="2:18">
      <c r="B1201" s="832"/>
      <c r="C1201" s="833"/>
      <c r="D1201" s="833"/>
      <c r="E1201" s="833"/>
      <c r="F1201" s="1111"/>
      <c r="G1201" s="1111"/>
      <c r="H1201" s="834"/>
      <c r="I1201" s="832"/>
      <c r="J1201" s="1111"/>
      <c r="K1201" s="832"/>
      <c r="L1201" s="832"/>
      <c r="M1201" s="832"/>
      <c r="N1201" s="832"/>
      <c r="O1201" s="832"/>
      <c r="P1201" s="832"/>
      <c r="Q1201" s="832"/>
      <c r="R1201" s="832"/>
    </row>
    <row r="1202" spans="2:18">
      <c r="B1202" s="832"/>
      <c r="C1202" s="833"/>
      <c r="D1202" s="833"/>
      <c r="E1202" s="833"/>
      <c r="F1202" s="1111"/>
      <c r="G1202" s="1111"/>
      <c r="H1202" s="834"/>
      <c r="I1202" s="832"/>
      <c r="J1202" s="1111"/>
      <c r="K1202" s="832"/>
      <c r="L1202" s="832"/>
      <c r="M1202" s="832"/>
      <c r="N1202" s="832"/>
      <c r="O1202" s="832"/>
      <c r="P1202" s="832"/>
      <c r="Q1202" s="832"/>
      <c r="R1202" s="832"/>
    </row>
    <row r="1203" spans="2:18">
      <c r="B1203" s="832"/>
      <c r="C1203" s="833"/>
      <c r="D1203" s="833"/>
      <c r="E1203" s="833"/>
      <c r="F1203" s="1111"/>
      <c r="G1203" s="1111"/>
      <c r="H1203" s="834"/>
      <c r="I1203" s="832"/>
      <c r="J1203" s="1111"/>
      <c r="K1203" s="832"/>
      <c r="L1203" s="832"/>
      <c r="M1203" s="832"/>
      <c r="N1203" s="832"/>
      <c r="O1203" s="832"/>
      <c r="P1203" s="832"/>
      <c r="Q1203" s="832"/>
      <c r="R1203" s="832"/>
    </row>
    <row r="1204" spans="2:18">
      <c r="B1204" s="832"/>
      <c r="C1204" s="833"/>
      <c r="D1204" s="833"/>
      <c r="E1204" s="833"/>
      <c r="F1204" s="1111"/>
      <c r="G1204" s="1111"/>
      <c r="H1204" s="834"/>
      <c r="I1204" s="832"/>
      <c r="J1204" s="1111"/>
      <c r="K1204" s="832"/>
      <c r="L1204" s="832"/>
      <c r="M1204" s="832"/>
      <c r="N1204" s="832"/>
      <c r="O1204" s="832"/>
      <c r="P1204" s="832"/>
      <c r="Q1204" s="832"/>
      <c r="R1204" s="832"/>
    </row>
    <row r="1205" spans="2:18">
      <c r="B1205" s="832"/>
      <c r="C1205" s="833"/>
      <c r="D1205" s="833"/>
      <c r="E1205" s="833"/>
      <c r="F1205" s="1111"/>
      <c r="G1205" s="1111"/>
      <c r="H1205" s="834"/>
      <c r="I1205" s="832"/>
      <c r="J1205" s="1111"/>
      <c r="K1205" s="832"/>
      <c r="L1205" s="832"/>
      <c r="M1205" s="832"/>
      <c r="N1205" s="832"/>
      <c r="O1205" s="832"/>
      <c r="P1205" s="832"/>
      <c r="Q1205" s="832"/>
      <c r="R1205" s="832"/>
    </row>
    <row r="1206" spans="2:18">
      <c r="B1206" s="832"/>
      <c r="C1206" s="833"/>
      <c r="D1206" s="833"/>
      <c r="E1206" s="833"/>
      <c r="F1206" s="1111"/>
      <c r="G1206" s="1111"/>
      <c r="H1206" s="834"/>
      <c r="I1206" s="832"/>
      <c r="J1206" s="1111"/>
      <c r="K1206" s="832"/>
      <c r="L1206" s="832"/>
      <c r="M1206" s="832"/>
      <c r="N1206" s="832"/>
      <c r="O1206" s="832"/>
      <c r="P1206" s="832"/>
      <c r="Q1206" s="832"/>
      <c r="R1206" s="832"/>
    </row>
    <row r="1207" spans="2:18">
      <c r="B1207" s="832"/>
      <c r="C1207" s="833"/>
      <c r="D1207" s="833"/>
      <c r="E1207" s="833"/>
      <c r="F1207" s="1111"/>
      <c r="G1207" s="1111"/>
      <c r="H1207" s="834"/>
      <c r="I1207" s="832"/>
      <c r="J1207" s="1111"/>
      <c r="K1207" s="832"/>
      <c r="L1207" s="832"/>
      <c r="M1207" s="832"/>
      <c r="N1207" s="832"/>
      <c r="O1207" s="832"/>
      <c r="P1207" s="832"/>
      <c r="Q1207" s="832"/>
      <c r="R1207" s="832"/>
    </row>
    <row r="1208" spans="2:18">
      <c r="B1208" s="832"/>
      <c r="C1208" s="833"/>
      <c r="D1208" s="833"/>
      <c r="E1208" s="833"/>
      <c r="F1208" s="1111"/>
      <c r="G1208" s="1111"/>
      <c r="H1208" s="834"/>
      <c r="I1208" s="832"/>
      <c r="J1208" s="1111"/>
      <c r="K1208" s="832"/>
      <c r="L1208" s="832"/>
      <c r="M1208" s="832"/>
      <c r="N1208" s="832"/>
      <c r="O1208" s="832"/>
      <c r="P1208" s="832"/>
      <c r="Q1208" s="832"/>
      <c r="R1208" s="832"/>
    </row>
    <row r="1209" spans="2:18">
      <c r="B1209" s="832"/>
      <c r="C1209" s="833"/>
      <c r="D1209" s="833"/>
      <c r="E1209" s="833"/>
      <c r="F1209" s="1111"/>
      <c r="G1209" s="1111"/>
      <c r="H1209" s="834"/>
      <c r="I1209" s="832"/>
      <c r="J1209" s="1111"/>
      <c r="K1209" s="832"/>
      <c r="L1209" s="832"/>
      <c r="M1209" s="832"/>
      <c r="N1209" s="832"/>
      <c r="O1209" s="832"/>
      <c r="P1209" s="832"/>
      <c r="Q1209" s="832"/>
      <c r="R1209" s="832"/>
    </row>
    <row r="1210" spans="2:18">
      <c r="B1210" s="832"/>
      <c r="C1210" s="833"/>
      <c r="D1210" s="833"/>
      <c r="E1210" s="833"/>
      <c r="F1210" s="1111"/>
      <c r="G1210" s="1111"/>
      <c r="H1210" s="834"/>
      <c r="I1210" s="832"/>
      <c r="J1210" s="1111"/>
      <c r="K1210" s="832"/>
      <c r="L1210" s="832"/>
      <c r="M1210" s="832"/>
      <c r="N1210" s="832"/>
      <c r="O1210" s="832"/>
      <c r="P1210" s="832"/>
      <c r="Q1210" s="832"/>
      <c r="R1210" s="832"/>
    </row>
    <row r="1211" spans="2:18">
      <c r="B1211" s="832"/>
      <c r="C1211" s="833"/>
      <c r="D1211" s="833"/>
      <c r="E1211" s="833"/>
      <c r="F1211" s="1111"/>
      <c r="G1211" s="1111"/>
      <c r="H1211" s="834"/>
      <c r="I1211" s="832"/>
      <c r="J1211" s="1111"/>
      <c r="K1211" s="832"/>
      <c r="L1211" s="832"/>
      <c r="M1211" s="832"/>
      <c r="N1211" s="832"/>
      <c r="O1211" s="832"/>
      <c r="P1211" s="832"/>
      <c r="Q1211" s="832"/>
      <c r="R1211" s="832"/>
    </row>
    <row r="1212" spans="2:18">
      <c r="B1212" s="832"/>
      <c r="C1212" s="833"/>
      <c r="D1212" s="833"/>
      <c r="E1212" s="833"/>
      <c r="F1212" s="1111"/>
      <c r="G1212" s="1111"/>
      <c r="H1212" s="834"/>
      <c r="I1212" s="832"/>
      <c r="J1212" s="1111"/>
      <c r="K1212" s="832"/>
      <c r="L1212" s="832"/>
      <c r="M1212" s="832"/>
      <c r="N1212" s="832"/>
      <c r="O1212" s="832"/>
      <c r="P1212" s="832"/>
      <c r="Q1212" s="832"/>
      <c r="R1212" s="832"/>
    </row>
    <row r="1213" spans="2:18">
      <c r="B1213" s="832"/>
      <c r="C1213" s="833"/>
      <c r="D1213" s="833"/>
      <c r="E1213" s="833"/>
      <c r="F1213" s="1111"/>
      <c r="G1213" s="1111"/>
      <c r="H1213" s="834"/>
      <c r="I1213" s="832"/>
      <c r="J1213" s="1111"/>
      <c r="K1213" s="832"/>
      <c r="L1213" s="832"/>
      <c r="M1213" s="832"/>
      <c r="N1213" s="832"/>
      <c r="O1213" s="832"/>
      <c r="P1213" s="832"/>
      <c r="Q1213" s="832"/>
      <c r="R1213" s="832"/>
    </row>
    <row r="1214" spans="2:18">
      <c r="B1214" s="832"/>
      <c r="C1214" s="833"/>
      <c r="D1214" s="833"/>
      <c r="E1214" s="833"/>
      <c r="F1214" s="1111"/>
      <c r="G1214" s="1111"/>
      <c r="H1214" s="834"/>
      <c r="I1214" s="832"/>
      <c r="J1214" s="1111"/>
      <c r="K1214" s="832"/>
      <c r="L1214" s="832"/>
      <c r="M1214" s="832"/>
      <c r="N1214" s="832"/>
      <c r="O1214" s="832"/>
      <c r="P1214" s="832"/>
      <c r="Q1214" s="832"/>
      <c r="R1214" s="832"/>
    </row>
    <row r="1215" spans="2:18">
      <c r="B1215" s="832"/>
      <c r="C1215" s="833"/>
      <c r="D1215" s="833"/>
      <c r="E1215" s="833"/>
      <c r="F1215" s="1111"/>
      <c r="G1215" s="1111"/>
      <c r="H1215" s="834"/>
      <c r="I1215" s="832"/>
      <c r="J1215" s="1111"/>
      <c r="K1215" s="832"/>
      <c r="L1215" s="832"/>
      <c r="M1215" s="832"/>
      <c r="N1215" s="832"/>
      <c r="O1215" s="832"/>
      <c r="P1215" s="832"/>
      <c r="Q1215" s="832"/>
      <c r="R1215" s="832"/>
    </row>
    <row r="1216" spans="2:18">
      <c r="B1216" s="832"/>
      <c r="C1216" s="833"/>
      <c r="D1216" s="833"/>
      <c r="E1216" s="833"/>
      <c r="F1216" s="1111"/>
      <c r="G1216" s="1111"/>
      <c r="H1216" s="834"/>
      <c r="I1216" s="832"/>
      <c r="J1216" s="1111"/>
      <c r="K1216" s="832"/>
      <c r="L1216" s="832"/>
      <c r="M1216" s="832"/>
      <c r="N1216" s="832"/>
      <c r="O1216" s="832"/>
      <c r="P1216" s="832"/>
      <c r="Q1216" s="832"/>
      <c r="R1216" s="832"/>
    </row>
    <row r="1217" spans="2:18">
      <c r="B1217" s="832"/>
      <c r="C1217" s="833"/>
      <c r="D1217" s="833"/>
      <c r="E1217" s="833"/>
      <c r="F1217" s="1111"/>
      <c r="G1217" s="1111"/>
      <c r="H1217" s="834"/>
      <c r="I1217" s="832"/>
      <c r="J1217" s="1111"/>
      <c r="K1217" s="832"/>
      <c r="L1217" s="832"/>
      <c r="M1217" s="832"/>
      <c r="N1217" s="832"/>
      <c r="O1217" s="832"/>
      <c r="P1217" s="832"/>
      <c r="Q1217" s="832"/>
      <c r="R1217" s="832"/>
    </row>
    <row r="1218" spans="2:18">
      <c r="B1218" s="832"/>
      <c r="C1218" s="833"/>
      <c r="D1218" s="833"/>
      <c r="E1218" s="833"/>
      <c r="F1218" s="1111"/>
      <c r="G1218" s="1111"/>
      <c r="H1218" s="834"/>
      <c r="I1218" s="832"/>
      <c r="J1218" s="1111"/>
      <c r="K1218" s="832"/>
      <c r="L1218" s="832"/>
      <c r="M1218" s="832"/>
      <c r="N1218" s="832"/>
      <c r="O1218" s="832"/>
      <c r="P1218" s="832"/>
      <c r="Q1218" s="832"/>
      <c r="R1218" s="832"/>
    </row>
    <row r="1219" spans="2:18">
      <c r="B1219" s="832"/>
      <c r="C1219" s="833"/>
      <c r="D1219" s="833"/>
      <c r="E1219" s="833"/>
      <c r="F1219" s="1111"/>
      <c r="G1219" s="1111"/>
      <c r="H1219" s="834"/>
      <c r="I1219" s="832"/>
      <c r="J1219" s="1111"/>
      <c r="K1219" s="832"/>
      <c r="L1219" s="832"/>
      <c r="M1219" s="832"/>
      <c r="N1219" s="832"/>
      <c r="O1219" s="832"/>
      <c r="P1219" s="832"/>
      <c r="Q1219" s="832"/>
      <c r="R1219" s="832"/>
    </row>
    <row r="1220" spans="2:18">
      <c r="B1220" s="832"/>
      <c r="C1220" s="833"/>
      <c r="D1220" s="833"/>
      <c r="E1220" s="833"/>
      <c r="F1220" s="1111"/>
      <c r="G1220" s="1111"/>
      <c r="H1220" s="834"/>
      <c r="I1220" s="832"/>
      <c r="J1220" s="1111"/>
      <c r="K1220" s="832"/>
      <c r="L1220" s="832"/>
      <c r="M1220" s="832"/>
      <c r="N1220" s="832"/>
      <c r="O1220" s="832"/>
      <c r="P1220" s="832"/>
      <c r="Q1220" s="832"/>
      <c r="R1220" s="832"/>
    </row>
    <row r="1221" spans="2:18">
      <c r="B1221" s="832"/>
      <c r="C1221" s="833"/>
      <c r="D1221" s="833"/>
      <c r="E1221" s="833"/>
      <c r="F1221" s="1111"/>
      <c r="G1221" s="1111"/>
      <c r="H1221" s="834"/>
      <c r="I1221" s="832"/>
      <c r="J1221" s="1111"/>
      <c r="K1221" s="832"/>
      <c r="L1221" s="832"/>
      <c r="M1221" s="832"/>
      <c r="N1221" s="832"/>
      <c r="O1221" s="832"/>
      <c r="P1221" s="832"/>
      <c r="Q1221" s="832"/>
      <c r="R1221" s="832"/>
    </row>
    <row r="1222" spans="2:18">
      <c r="B1222" s="832"/>
      <c r="C1222" s="833"/>
      <c r="D1222" s="833"/>
      <c r="E1222" s="833"/>
      <c r="F1222" s="1111"/>
      <c r="G1222" s="1111"/>
      <c r="H1222" s="834"/>
      <c r="I1222" s="832"/>
      <c r="J1222" s="1111"/>
      <c r="K1222" s="832"/>
      <c r="L1222" s="832"/>
      <c r="M1222" s="832"/>
      <c r="N1222" s="832"/>
      <c r="O1222" s="832"/>
      <c r="P1222" s="832"/>
      <c r="Q1222" s="832"/>
      <c r="R1222" s="832"/>
    </row>
    <row r="1223" spans="2:18">
      <c r="B1223" s="832"/>
      <c r="C1223" s="833"/>
      <c r="D1223" s="833"/>
      <c r="E1223" s="833"/>
      <c r="F1223" s="1111"/>
      <c r="G1223" s="1111"/>
      <c r="H1223" s="834"/>
      <c r="I1223" s="832"/>
      <c r="J1223" s="1111"/>
      <c r="K1223" s="832"/>
      <c r="L1223" s="832"/>
      <c r="M1223" s="832"/>
      <c r="N1223" s="832"/>
      <c r="O1223" s="832"/>
      <c r="P1223" s="832"/>
      <c r="Q1223" s="832"/>
      <c r="R1223" s="832"/>
    </row>
    <row r="1224" spans="2:18">
      <c r="B1224" s="832"/>
      <c r="C1224" s="833"/>
      <c r="D1224" s="833"/>
      <c r="E1224" s="833"/>
      <c r="F1224" s="1111"/>
      <c r="G1224" s="1111"/>
      <c r="H1224" s="834"/>
      <c r="I1224" s="832"/>
      <c r="J1224" s="1111"/>
      <c r="K1224" s="832"/>
      <c r="L1224" s="832"/>
      <c r="M1224" s="832"/>
      <c r="N1224" s="832"/>
      <c r="O1224" s="832"/>
      <c r="P1224" s="832"/>
      <c r="Q1224" s="832"/>
      <c r="R1224" s="832"/>
    </row>
    <row r="1225" spans="2:18">
      <c r="B1225" s="832"/>
      <c r="C1225" s="833"/>
      <c r="D1225" s="833"/>
      <c r="E1225" s="833"/>
      <c r="F1225" s="1111"/>
      <c r="G1225" s="1111"/>
      <c r="H1225" s="834"/>
      <c r="I1225" s="832"/>
      <c r="J1225" s="1111"/>
      <c r="K1225" s="832"/>
      <c r="L1225" s="832"/>
      <c r="M1225" s="832"/>
      <c r="N1225" s="832"/>
      <c r="O1225" s="832"/>
      <c r="P1225" s="832"/>
      <c r="Q1225" s="832"/>
      <c r="R1225" s="832"/>
    </row>
    <row r="1226" spans="2:18">
      <c r="B1226" s="832"/>
      <c r="C1226" s="833"/>
      <c r="D1226" s="833"/>
      <c r="E1226" s="833"/>
      <c r="F1226" s="1111"/>
      <c r="G1226" s="1111"/>
      <c r="H1226" s="834"/>
      <c r="I1226" s="832"/>
      <c r="J1226" s="1111"/>
      <c r="K1226" s="832"/>
      <c r="L1226" s="832"/>
      <c r="M1226" s="832"/>
      <c r="N1226" s="832"/>
      <c r="O1226" s="832"/>
      <c r="P1226" s="832"/>
      <c r="Q1226" s="832"/>
      <c r="R1226" s="832"/>
    </row>
    <row r="1227" spans="2:18">
      <c r="B1227" s="832"/>
      <c r="C1227" s="833"/>
      <c r="D1227" s="833"/>
      <c r="E1227" s="833"/>
      <c r="F1227" s="1111"/>
      <c r="G1227" s="1111"/>
      <c r="H1227" s="834"/>
      <c r="I1227" s="832"/>
      <c r="J1227" s="1111"/>
      <c r="K1227" s="832"/>
      <c r="L1227" s="832"/>
      <c r="M1227" s="832"/>
      <c r="N1227" s="832"/>
      <c r="O1227" s="832"/>
      <c r="P1227" s="832"/>
      <c r="Q1227" s="832"/>
      <c r="R1227" s="832"/>
    </row>
    <row r="1228" spans="2:18">
      <c r="B1228" s="832"/>
      <c r="C1228" s="833"/>
      <c r="D1228" s="833"/>
      <c r="E1228" s="833"/>
      <c r="F1228" s="1111"/>
      <c r="G1228" s="1111"/>
      <c r="H1228" s="834"/>
      <c r="I1228" s="832"/>
      <c r="J1228" s="1111"/>
      <c r="K1228" s="832"/>
      <c r="L1228" s="832"/>
      <c r="M1228" s="832"/>
      <c r="N1228" s="832"/>
      <c r="O1228" s="832"/>
      <c r="P1228" s="832"/>
      <c r="Q1228" s="832"/>
      <c r="R1228" s="832"/>
    </row>
    <row r="1229" spans="2:18">
      <c r="B1229" s="832"/>
      <c r="C1229" s="833"/>
      <c r="D1229" s="833"/>
      <c r="E1229" s="833"/>
      <c r="F1229" s="1111"/>
      <c r="G1229" s="1111"/>
      <c r="H1229" s="834"/>
      <c r="I1229" s="832"/>
      <c r="J1229" s="1111"/>
      <c r="K1229" s="832"/>
      <c r="L1229" s="832"/>
      <c r="M1229" s="832"/>
      <c r="N1229" s="832"/>
      <c r="O1229" s="832"/>
      <c r="P1229" s="832"/>
      <c r="Q1229" s="832"/>
      <c r="R1229" s="832"/>
    </row>
    <row r="1230" spans="2:18">
      <c r="B1230" s="832"/>
      <c r="C1230" s="833"/>
      <c r="D1230" s="833"/>
      <c r="E1230" s="833"/>
      <c r="F1230" s="1111"/>
      <c r="G1230" s="1111"/>
      <c r="H1230" s="834"/>
      <c r="I1230" s="832"/>
      <c r="J1230" s="1111"/>
      <c r="K1230" s="832"/>
      <c r="L1230" s="832"/>
      <c r="M1230" s="832"/>
      <c r="N1230" s="832"/>
      <c r="O1230" s="832"/>
      <c r="P1230" s="832"/>
      <c r="Q1230" s="832"/>
      <c r="R1230" s="832"/>
    </row>
    <row r="1231" spans="2:18">
      <c r="B1231" s="832"/>
      <c r="C1231" s="833"/>
      <c r="D1231" s="833"/>
      <c r="E1231" s="833"/>
      <c r="F1231" s="1111"/>
      <c r="G1231" s="1111"/>
      <c r="H1231" s="834"/>
      <c r="I1231" s="832"/>
      <c r="J1231" s="1111"/>
      <c r="K1231" s="832"/>
      <c r="L1231" s="832"/>
      <c r="M1231" s="832"/>
      <c r="N1231" s="832"/>
      <c r="O1231" s="832"/>
      <c r="P1231" s="832"/>
      <c r="Q1231" s="832"/>
      <c r="R1231" s="832"/>
    </row>
    <row r="1232" spans="2:18">
      <c r="B1232" s="832"/>
      <c r="C1232" s="833"/>
      <c r="D1232" s="833"/>
      <c r="E1232" s="833"/>
      <c r="F1232" s="1111"/>
      <c r="G1232" s="1111"/>
      <c r="H1232" s="834"/>
      <c r="I1232" s="832"/>
      <c r="J1232" s="1111"/>
      <c r="K1232" s="832"/>
      <c r="L1232" s="832"/>
      <c r="M1232" s="832"/>
      <c r="N1232" s="832"/>
      <c r="O1232" s="832"/>
      <c r="P1232" s="832"/>
      <c r="Q1232" s="832"/>
      <c r="R1232" s="832"/>
    </row>
    <row r="1233" spans="2:18">
      <c r="B1233" s="832"/>
      <c r="C1233" s="833"/>
      <c r="D1233" s="833"/>
      <c r="E1233" s="833"/>
      <c r="F1233" s="1111"/>
      <c r="G1233" s="1111"/>
      <c r="H1233" s="834"/>
      <c r="I1233" s="832"/>
      <c r="J1233" s="1111"/>
      <c r="K1233" s="832"/>
      <c r="L1233" s="832"/>
      <c r="M1233" s="832"/>
      <c r="N1233" s="832"/>
      <c r="O1233" s="832"/>
      <c r="P1233" s="832"/>
      <c r="Q1233" s="832"/>
      <c r="R1233" s="832"/>
    </row>
    <row r="1234" spans="2:18">
      <c r="B1234" s="832"/>
      <c r="C1234" s="833"/>
      <c r="D1234" s="833"/>
      <c r="E1234" s="833"/>
      <c r="F1234" s="1111"/>
      <c r="G1234" s="1111"/>
      <c r="H1234" s="834"/>
      <c r="I1234" s="832"/>
      <c r="J1234" s="1111"/>
      <c r="K1234" s="832"/>
      <c r="L1234" s="832"/>
      <c r="M1234" s="832"/>
      <c r="N1234" s="832"/>
      <c r="O1234" s="832"/>
      <c r="P1234" s="832"/>
      <c r="Q1234" s="832"/>
      <c r="R1234" s="832"/>
    </row>
    <row r="1235" spans="2:18">
      <c r="B1235" s="832"/>
      <c r="C1235" s="833"/>
      <c r="D1235" s="833"/>
      <c r="E1235" s="833"/>
      <c r="F1235" s="1111"/>
      <c r="G1235" s="1111"/>
      <c r="H1235" s="834"/>
      <c r="I1235" s="832"/>
      <c r="J1235" s="1111"/>
      <c r="K1235" s="832"/>
      <c r="L1235" s="832"/>
      <c r="M1235" s="832"/>
      <c r="N1235" s="832"/>
      <c r="O1235" s="832"/>
      <c r="P1235" s="832"/>
      <c r="Q1235" s="832"/>
      <c r="R1235" s="832"/>
    </row>
    <row r="1236" spans="2:18">
      <c r="B1236" s="832"/>
      <c r="C1236" s="833"/>
      <c r="D1236" s="833"/>
      <c r="E1236" s="833"/>
      <c r="F1236" s="1111"/>
      <c r="G1236" s="1111"/>
      <c r="H1236" s="834"/>
      <c r="I1236" s="832"/>
      <c r="J1236" s="1111"/>
      <c r="K1236" s="832"/>
      <c r="L1236" s="832"/>
      <c r="M1236" s="832"/>
      <c r="N1236" s="832"/>
      <c r="O1236" s="832"/>
      <c r="P1236" s="832"/>
      <c r="Q1236" s="832"/>
      <c r="R1236" s="832"/>
    </row>
    <row r="1237" spans="2:18">
      <c r="B1237" s="832"/>
      <c r="C1237" s="833"/>
      <c r="D1237" s="833"/>
      <c r="E1237" s="833"/>
      <c r="F1237" s="1111"/>
      <c r="G1237" s="1111"/>
      <c r="H1237" s="834"/>
      <c r="I1237" s="832"/>
      <c r="J1237" s="1111"/>
      <c r="K1237" s="832"/>
      <c r="L1237" s="832"/>
      <c r="M1237" s="832"/>
      <c r="N1237" s="832"/>
      <c r="O1237" s="832"/>
      <c r="P1237" s="832"/>
      <c r="Q1237" s="832"/>
      <c r="R1237" s="832"/>
    </row>
    <row r="1238" spans="2:18">
      <c r="B1238" s="832"/>
      <c r="C1238" s="833"/>
      <c r="D1238" s="833"/>
      <c r="E1238" s="833"/>
      <c r="F1238" s="1111"/>
      <c r="G1238" s="1111"/>
      <c r="H1238" s="834"/>
      <c r="I1238" s="832"/>
      <c r="J1238" s="1111"/>
      <c r="K1238" s="832"/>
      <c r="L1238" s="832"/>
      <c r="M1238" s="832"/>
      <c r="N1238" s="832"/>
      <c r="O1238" s="832"/>
      <c r="P1238" s="832"/>
      <c r="Q1238" s="832"/>
      <c r="R1238" s="832"/>
    </row>
    <row r="1239" spans="2:18">
      <c r="B1239" s="832"/>
      <c r="C1239" s="833"/>
      <c r="D1239" s="833"/>
      <c r="E1239" s="833"/>
      <c r="F1239" s="1111"/>
      <c r="G1239" s="1111"/>
      <c r="H1239" s="834"/>
      <c r="I1239" s="832"/>
      <c r="J1239" s="1111"/>
      <c r="K1239" s="832"/>
      <c r="L1239" s="832"/>
      <c r="M1239" s="832"/>
      <c r="N1239" s="832"/>
      <c r="O1239" s="832"/>
      <c r="P1239" s="832"/>
      <c r="Q1239" s="832"/>
      <c r="R1239" s="832"/>
    </row>
    <row r="1240" spans="2:18">
      <c r="B1240" s="832"/>
      <c r="C1240" s="833"/>
      <c r="D1240" s="833"/>
      <c r="E1240" s="833"/>
      <c r="F1240" s="1111"/>
      <c r="G1240" s="1111"/>
      <c r="H1240" s="834"/>
      <c r="I1240" s="832"/>
      <c r="J1240" s="1111"/>
      <c r="K1240" s="832"/>
      <c r="L1240" s="832"/>
      <c r="M1240" s="832"/>
      <c r="N1240" s="832"/>
      <c r="O1240" s="832"/>
      <c r="P1240" s="832"/>
      <c r="Q1240" s="832"/>
      <c r="R1240" s="832"/>
    </row>
    <row r="1241" spans="2:18">
      <c r="B1241" s="832"/>
      <c r="C1241" s="833"/>
      <c r="D1241" s="833"/>
      <c r="E1241" s="833"/>
      <c r="F1241" s="1111"/>
      <c r="G1241" s="1111"/>
      <c r="H1241" s="834"/>
      <c r="I1241" s="832"/>
      <c r="J1241" s="1111"/>
      <c r="K1241" s="832"/>
      <c r="L1241" s="832"/>
      <c r="M1241" s="832"/>
      <c r="N1241" s="832"/>
      <c r="O1241" s="832"/>
      <c r="P1241" s="832"/>
      <c r="Q1241" s="832"/>
      <c r="R1241" s="832"/>
    </row>
    <row r="1242" spans="2:18">
      <c r="B1242" s="832"/>
      <c r="C1242" s="833"/>
      <c r="D1242" s="833"/>
      <c r="E1242" s="833"/>
      <c r="F1242" s="1111"/>
      <c r="G1242" s="1111"/>
      <c r="H1242" s="834"/>
      <c r="I1242" s="832"/>
      <c r="J1242" s="1111"/>
      <c r="K1242" s="832"/>
      <c r="L1242" s="832"/>
      <c r="M1242" s="832"/>
      <c r="N1242" s="832"/>
      <c r="O1242" s="832"/>
      <c r="P1242" s="832"/>
      <c r="Q1242" s="832"/>
      <c r="R1242" s="832"/>
    </row>
    <row r="1243" spans="2:18">
      <c r="B1243" s="832"/>
      <c r="C1243" s="833"/>
      <c r="D1243" s="833"/>
      <c r="E1243" s="833"/>
      <c r="F1243" s="1111"/>
      <c r="G1243" s="1111"/>
      <c r="H1243" s="834"/>
      <c r="I1243" s="832"/>
      <c r="J1243" s="1111"/>
      <c r="K1243" s="832"/>
      <c r="L1243" s="832"/>
      <c r="M1243" s="832"/>
      <c r="N1243" s="832"/>
      <c r="O1243" s="832"/>
      <c r="P1243" s="832"/>
      <c r="Q1243" s="832"/>
      <c r="R1243" s="832"/>
    </row>
    <row r="1244" spans="2:18">
      <c r="B1244" s="832"/>
      <c r="C1244" s="833"/>
      <c r="D1244" s="833"/>
      <c r="E1244" s="833"/>
      <c r="F1244" s="1111"/>
      <c r="G1244" s="1111"/>
      <c r="H1244" s="834"/>
      <c r="I1244" s="832"/>
      <c r="J1244" s="1111"/>
      <c r="K1244" s="832"/>
      <c r="L1244" s="832"/>
      <c r="M1244" s="832"/>
      <c r="N1244" s="832"/>
      <c r="O1244" s="832"/>
      <c r="P1244" s="832"/>
      <c r="Q1244" s="832"/>
      <c r="R1244" s="832"/>
    </row>
    <row r="1245" spans="2:18">
      <c r="B1245" s="832"/>
      <c r="C1245" s="833"/>
      <c r="D1245" s="833"/>
      <c r="E1245" s="833"/>
      <c r="F1245" s="1111"/>
      <c r="G1245" s="1111"/>
      <c r="H1245" s="834"/>
      <c r="I1245" s="832"/>
      <c r="J1245" s="1111"/>
      <c r="K1245" s="832"/>
      <c r="L1245" s="832"/>
      <c r="M1245" s="832"/>
      <c r="N1245" s="832"/>
      <c r="O1245" s="832"/>
      <c r="P1245" s="832"/>
      <c r="Q1245" s="832"/>
      <c r="R1245" s="832"/>
    </row>
    <row r="1246" spans="2:18">
      <c r="B1246" s="832"/>
      <c r="C1246" s="833"/>
      <c r="D1246" s="833"/>
      <c r="E1246" s="833"/>
      <c r="F1246" s="1111"/>
      <c r="G1246" s="1111"/>
      <c r="H1246" s="834"/>
      <c r="I1246" s="832"/>
      <c r="J1246" s="1111"/>
      <c r="K1246" s="832"/>
      <c r="L1246" s="832"/>
      <c r="M1246" s="832"/>
      <c r="N1246" s="832"/>
      <c r="O1246" s="832"/>
      <c r="P1246" s="832"/>
      <c r="Q1246" s="832"/>
      <c r="R1246" s="832"/>
    </row>
    <row r="1247" spans="2:18">
      <c r="B1247" s="832"/>
      <c r="C1247" s="833"/>
      <c r="D1247" s="833"/>
      <c r="E1247" s="833"/>
      <c r="F1247" s="1111"/>
      <c r="G1247" s="1111"/>
      <c r="H1247" s="834"/>
      <c r="I1247" s="832"/>
      <c r="J1247" s="1111"/>
      <c r="K1247" s="832"/>
      <c r="L1247" s="832"/>
      <c r="M1247" s="832"/>
      <c r="N1247" s="832"/>
      <c r="O1247" s="832"/>
      <c r="P1247" s="832"/>
      <c r="Q1247" s="832"/>
      <c r="R1247" s="832"/>
    </row>
    <row r="1248" spans="2:18">
      <c r="B1248" s="832"/>
      <c r="C1248" s="833"/>
      <c r="D1248" s="833"/>
      <c r="E1248" s="833"/>
      <c r="F1248" s="1111"/>
      <c r="G1248" s="1111"/>
      <c r="H1248" s="834"/>
      <c r="I1248" s="832"/>
      <c r="J1248" s="1111"/>
      <c r="K1248" s="832"/>
      <c r="L1248" s="832"/>
      <c r="M1248" s="832"/>
      <c r="N1248" s="832"/>
      <c r="O1248" s="832"/>
      <c r="P1248" s="832"/>
      <c r="Q1248" s="832"/>
      <c r="R1248" s="832"/>
    </row>
    <row r="1249" spans="2:18">
      <c r="B1249" s="832"/>
      <c r="C1249" s="833"/>
      <c r="D1249" s="833"/>
      <c r="E1249" s="833"/>
      <c r="F1249" s="1111"/>
      <c r="G1249" s="1111"/>
      <c r="H1249" s="834"/>
      <c r="I1249" s="832"/>
      <c r="J1249" s="1111"/>
      <c r="K1249" s="832"/>
      <c r="L1249" s="832"/>
      <c r="M1249" s="832"/>
      <c r="N1249" s="832"/>
      <c r="O1249" s="832"/>
      <c r="P1249" s="832"/>
      <c r="Q1249" s="832"/>
      <c r="R1249" s="832"/>
    </row>
    <row r="1250" spans="2:18">
      <c r="B1250" s="832"/>
      <c r="C1250" s="833"/>
      <c r="D1250" s="833"/>
      <c r="E1250" s="833"/>
      <c r="F1250" s="1111"/>
      <c r="G1250" s="1111"/>
      <c r="H1250" s="834"/>
      <c r="I1250" s="832"/>
      <c r="J1250" s="1111"/>
      <c r="K1250" s="832"/>
      <c r="L1250" s="832"/>
      <c r="M1250" s="832"/>
      <c r="N1250" s="832"/>
      <c r="O1250" s="832"/>
      <c r="P1250" s="832"/>
      <c r="Q1250" s="832"/>
      <c r="R1250" s="832"/>
    </row>
    <row r="1251" spans="2:18">
      <c r="B1251" s="832"/>
      <c r="C1251" s="833"/>
      <c r="D1251" s="833"/>
      <c r="E1251" s="833"/>
      <c r="F1251" s="1111"/>
      <c r="G1251" s="1111"/>
      <c r="H1251" s="834"/>
      <c r="I1251" s="832"/>
      <c r="J1251" s="1111"/>
      <c r="K1251" s="832"/>
      <c r="L1251" s="832"/>
      <c r="M1251" s="832"/>
      <c r="N1251" s="832"/>
      <c r="O1251" s="832"/>
      <c r="P1251" s="832"/>
      <c r="Q1251" s="832"/>
      <c r="R1251" s="832"/>
    </row>
    <row r="1252" spans="2:18">
      <c r="B1252" s="832"/>
      <c r="C1252" s="833"/>
      <c r="D1252" s="833"/>
      <c r="E1252" s="833"/>
      <c r="F1252" s="1111"/>
      <c r="G1252" s="1111"/>
      <c r="H1252" s="834"/>
      <c r="I1252" s="832"/>
      <c r="J1252" s="1111"/>
      <c r="K1252" s="832"/>
      <c r="L1252" s="832"/>
      <c r="M1252" s="832"/>
      <c r="N1252" s="832"/>
      <c r="O1252" s="832"/>
      <c r="P1252" s="832"/>
      <c r="Q1252" s="832"/>
      <c r="R1252" s="832"/>
    </row>
    <row r="1253" spans="2:18">
      <c r="B1253" s="832"/>
      <c r="C1253" s="833"/>
      <c r="D1253" s="833"/>
      <c r="E1253" s="833"/>
      <c r="F1253" s="1111"/>
      <c r="G1253" s="1111"/>
      <c r="H1253" s="834"/>
      <c r="I1253" s="832"/>
      <c r="J1253" s="1111"/>
      <c r="K1253" s="832"/>
      <c r="L1253" s="832"/>
      <c r="M1253" s="832"/>
      <c r="N1253" s="832"/>
      <c r="O1253" s="832"/>
      <c r="P1253" s="832"/>
      <c r="Q1253" s="832"/>
      <c r="R1253" s="832"/>
    </row>
    <row r="1254" spans="2:18">
      <c r="B1254" s="832"/>
      <c r="C1254" s="833"/>
      <c r="D1254" s="833"/>
      <c r="E1254" s="833"/>
      <c r="F1254" s="1111"/>
      <c r="G1254" s="1111"/>
      <c r="H1254" s="834"/>
      <c r="I1254" s="832"/>
      <c r="J1254" s="1111"/>
      <c r="K1254" s="832"/>
      <c r="L1254" s="832"/>
      <c r="M1254" s="832"/>
      <c r="N1254" s="832"/>
      <c r="O1254" s="832"/>
      <c r="P1254" s="832"/>
      <c r="Q1254" s="832"/>
      <c r="R1254" s="832"/>
    </row>
    <row r="1255" spans="2:18">
      <c r="B1255" s="832"/>
      <c r="C1255" s="833"/>
      <c r="D1255" s="833"/>
      <c r="E1255" s="833"/>
      <c r="F1255" s="1111"/>
      <c r="G1255" s="1111"/>
      <c r="H1255" s="834"/>
      <c r="I1255" s="832"/>
      <c r="J1255" s="1111"/>
      <c r="K1255" s="832"/>
      <c r="L1255" s="832"/>
      <c r="M1255" s="832"/>
      <c r="N1255" s="832"/>
      <c r="O1255" s="832"/>
      <c r="P1255" s="832"/>
      <c r="Q1255" s="832"/>
      <c r="R1255" s="832"/>
    </row>
    <row r="1256" spans="2:18">
      <c r="B1256" s="832"/>
      <c r="C1256" s="833"/>
      <c r="D1256" s="833"/>
      <c r="E1256" s="833"/>
      <c r="F1256" s="1111"/>
      <c r="G1256" s="1111"/>
      <c r="H1256" s="834"/>
      <c r="I1256" s="832"/>
      <c r="J1256" s="1111"/>
      <c r="K1256" s="832"/>
      <c r="L1256" s="832"/>
      <c r="M1256" s="832"/>
      <c r="N1256" s="832"/>
      <c r="O1256" s="832"/>
      <c r="P1256" s="832"/>
      <c r="Q1256" s="832"/>
      <c r="R1256" s="832"/>
    </row>
    <row r="1257" spans="2:18">
      <c r="B1257" s="832"/>
      <c r="C1257" s="833"/>
      <c r="D1257" s="833"/>
      <c r="E1257" s="833"/>
      <c r="F1257" s="1111"/>
      <c r="G1257" s="1111"/>
      <c r="H1257" s="834"/>
      <c r="I1257" s="832"/>
      <c r="J1257" s="1111"/>
      <c r="K1257" s="832"/>
      <c r="L1257" s="832"/>
      <c r="M1257" s="832"/>
      <c r="N1257" s="832"/>
      <c r="O1257" s="832"/>
      <c r="P1257" s="832"/>
      <c r="Q1257" s="832"/>
      <c r="R1257" s="832"/>
    </row>
    <row r="1258" spans="2:18">
      <c r="B1258" s="832"/>
      <c r="C1258" s="833"/>
      <c r="D1258" s="833"/>
      <c r="E1258" s="833"/>
      <c r="F1258" s="1111"/>
      <c r="G1258" s="1111"/>
      <c r="H1258" s="834"/>
      <c r="I1258" s="832"/>
      <c r="J1258" s="1111"/>
      <c r="K1258" s="832"/>
      <c r="L1258" s="832"/>
      <c r="M1258" s="832"/>
      <c r="N1258" s="832"/>
      <c r="O1258" s="832"/>
      <c r="P1258" s="832"/>
      <c r="Q1258" s="832"/>
      <c r="R1258" s="832"/>
    </row>
    <row r="1259" spans="2:18">
      <c r="B1259" s="832"/>
      <c r="C1259" s="833"/>
      <c r="D1259" s="833"/>
      <c r="E1259" s="833"/>
      <c r="F1259" s="1111"/>
      <c r="G1259" s="1111"/>
      <c r="H1259" s="834"/>
      <c r="I1259" s="832"/>
      <c r="J1259" s="1111"/>
      <c r="K1259" s="832"/>
      <c r="L1259" s="832"/>
      <c r="M1259" s="832"/>
      <c r="N1259" s="832"/>
      <c r="O1259" s="832"/>
      <c r="P1259" s="832"/>
      <c r="Q1259" s="832"/>
      <c r="R1259" s="832"/>
    </row>
    <row r="1260" spans="2:18">
      <c r="B1260" s="832"/>
      <c r="C1260" s="833"/>
      <c r="D1260" s="833"/>
      <c r="E1260" s="833"/>
      <c r="F1260" s="1111"/>
      <c r="G1260" s="1111"/>
      <c r="H1260" s="834"/>
      <c r="I1260" s="832"/>
      <c r="J1260" s="1111"/>
      <c r="K1260" s="832"/>
      <c r="L1260" s="832"/>
      <c r="M1260" s="832"/>
      <c r="N1260" s="832"/>
      <c r="O1260" s="832"/>
      <c r="P1260" s="832"/>
      <c r="Q1260" s="832"/>
      <c r="R1260" s="832"/>
    </row>
    <row r="1261" spans="2:18">
      <c r="B1261" s="832"/>
      <c r="C1261" s="833"/>
      <c r="D1261" s="833"/>
      <c r="E1261" s="833"/>
      <c r="F1261" s="1111"/>
      <c r="G1261" s="1111"/>
      <c r="H1261" s="834"/>
      <c r="I1261" s="832"/>
      <c r="J1261" s="1111"/>
      <c r="K1261" s="832"/>
      <c r="L1261" s="832"/>
      <c r="M1261" s="832"/>
      <c r="N1261" s="832"/>
      <c r="O1261" s="832"/>
      <c r="P1261" s="832"/>
      <c r="Q1261" s="832"/>
      <c r="R1261" s="832"/>
    </row>
    <row r="1262" spans="2:18">
      <c r="B1262" s="832"/>
      <c r="C1262" s="833"/>
      <c r="D1262" s="833"/>
      <c r="E1262" s="833"/>
      <c r="F1262" s="1111"/>
      <c r="G1262" s="1111"/>
      <c r="H1262" s="834"/>
      <c r="I1262" s="832"/>
      <c r="J1262" s="1111"/>
      <c r="K1262" s="832"/>
      <c r="L1262" s="832"/>
      <c r="M1262" s="832"/>
      <c r="N1262" s="832"/>
      <c r="O1262" s="832"/>
      <c r="P1262" s="832"/>
      <c r="Q1262" s="832"/>
      <c r="R1262" s="832"/>
    </row>
    <row r="1263" spans="2:18">
      <c r="B1263" s="832"/>
      <c r="C1263" s="833"/>
      <c r="D1263" s="833"/>
      <c r="E1263" s="833"/>
      <c r="F1263" s="1111"/>
      <c r="G1263" s="1111"/>
      <c r="H1263" s="834"/>
      <c r="I1263" s="832"/>
      <c r="J1263" s="1111"/>
      <c r="K1263" s="832"/>
      <c r="L1263" s="832"/>
      <c r="M1263" s="832"/>
      <c r="N1263" s="832"/>
      <c r="O1263" s="832"/>
      <c r="P1263" s="832"/>
      <c r="Q1263" s="832"/>
      <c r="R1263" s="832"/>
    </row>
    <row r="1264" spans="2:18">
      <c r="B1264" s="832"/>
      <c r="C1264" s="833"/>
      <c r="D1264" s="833"/>
      <c r="E1264" s="833"/>
      <c r="F1264" s="1111"/>
      <c r="G1264" s="1111"/>
      <c r="H1264" s="834"/>
      <c r="I1264" s="832"/>
      <c r="J1264" s="1111"/>
      <c r="K1264" s="832"/>
      <c r="L1264" s="832"/>
      <c r="M1264" s="832"/>
      <c r="N1264" s="832"/>
      <c r="O1264" s="832"/>
      <c r="P1264" s="832"/>
      <c r="Q1264" s="832"/>
      <c r="R1264" s="832"/>
    </row>
    <row r="1265" spans="2:18">
      <c r="B1265" s="832"/>
      <c r="C1265" s="833"/>
      <c r="D1265" s="833"/>
      <c r="E1265" s="833"/>
      <c r="F1265" s="1111"/>
      <c r="G1265" s="1111"/>
      <c r="H1265" s="834"/>
      <c r="I1265" s="832"/>
      <c r="J1265" s="1111"/>
      <c r="K1265" s="832"/>
      <c r="L1265" s="832"/>
      <c r="M1265" s="832"/>
      <c r="N1265" s="832"/>
      <c r="O1265" s="832"/>
      <c r="P1265" s="832"/>
      <c r="Q1265" s="832"/>
      <c r="R1265" s="832"/>
    </row>
    <row r="1266" spans="2:18">
      <c r="B1266" s="832"/>
      <c r="C1266" s="833"/>
      <c r="D1266" s="833"/>
      <c r="E1266" s="833"/>
      <c r="F1266" s="1111"/>
      <c r="G1266" s="1111"/>
      <c r="H1266" s="834"/>
      <c r="I1266" s="832"/>
      <c r="J1266" s="1111"/>
      <c r="K1266" s="832"/>
      <c r="L1266" s="832"/>
      <c r="M1266" s="832"/>
      <c r="N1266" s="832"/>
      <c r="O1266" s="832"/>
      <c r="P1266" s="832"/>
      <c r="Q1266" s="832"/>
      <c r="R1266" s="832"/>
    </row>
    <row r="1267" spans="2:18">
      <c r="B1267" s="832"/>
      <c r="C1267" s="833"/>
      <c r="D1267" s="833"/>
      <c r="E1267" s="833"/>
      <c r="F1267" s="1111"/>
      <c r="G1267" s="1111"/>
      <c r="H1267" s="834"/>
      <c r="I1267" s="832"/>
      <c r="J1267" s="1111"/>
      <c r="K1267" s="832"/>
      <c r="L1267" s="832"/>
      <c r="M1267" s="832"/>
      <c r="N1267" s="832"/>
      <c r="O1267" s="832"/>
      <c r="P1267" s="832"/>
      <c r="Q1267" s="832"/>
      <c r="R1267" s="832"/>
    </row>
    <row r="1268" spans="2:18">
      <c r="B1268" s="832"/>
      <c r="C1268" s="833"/>
      <c r="D1268" s="833"/>
      <c r="E1268" s="833"/>
      <c r="F1268" s="1111"/>
      <c r="G1268" s="1111"/>
      <c r="H1268" s="834"/>
      <c r="I1268" s="832"/>
      <c r="J1268" s="1111"/>
      <c r="K1268" s="832"/>
      <c r="L1268" s="832"/>
      <c r="M1268" s="832"/>
      <c r="N1268" s="832"/>
      <c r="O1268" s="832"/>
      <c r="P1268" s="832"/>
      <c r="Q1268" s="832"/>
      <c r="R1268" s="832"/>
    </row>
    <row r="1269" spans="2:18">
      <c r="B1269" s="832"/>
      <c r="C1269" s="833"/>
      <c r="D1269" s="833"/>
      <c r="E1269" s="833"/>
      <c r="F1269" s="1111"/>
      <c r="G1269" s="1111"/>
      <c r="H1269" s="834"/>
      <c r="I1269" s="832"/>
      <c r="J1269" s="1111"/>
      <c r="K1269" s="832"/>
      <c r="L1269" s="832"/>
      <c r="M1269" s="832"/>
      <c r="N1269" s="832"/>
      <c r="O1269" s="832"/>
      <c r="P1269" s="832"/>
      <c r="Q1269" s="832"/>
      <c r="R1269" s="832"/>
    </row>
    <row r="1270" spans="2:18">
      <c r="B1270" s="832"/>
      <c r="C1270" s="833"/>
      <c r="D1270" s="833"/>
      <c r="E1270" s="833"/>
      <c r="F1270" s="1111"/>
      <c r="G1270" s="1111"/>
      <c r="H1270" s="834"/>
      <c r="I1270" s="832"/>
      <c r="J1270" s="1111"/>
      <c r="K1270" s="832"/>
      <c r="L1270" s="832"/>
      <c r="M1270" s="832"/>
      <c r="N1270" s="832"/>
      <c r="O1270" s="832"/>
      <c r="P1270" s="832"/>
      <c r="Q1270" s="832"/>
      <c r="R1270" s="832"/>
    </row>
    <row r="1271" spans="2:18">
      <c r="B1271" s="832"/>
      <c r="C1271" s="833"/>
      <c r="D1271" s="833"/>
      <c r="E1271" s="833"/>
      <c r="F1271" s="1111"/>
      <c r="G1271" s="1111"/>
      <c r="H1271" s="834"/>
      <c r="I1271" s="832"/>
      <c r="J1271" s="1111"/>
      <c r="K1271" s="832"/>
      <c r="L1271" s="832"/>
      <c r="M1271" s="832"/>
      <c r="N1271" s="832"/>
      <c r="O1271" s="832"/>
      <c r="P1271" s="832"/>
      <c r="Q1271" s="832"/>
      <c r="R1271" s="832"/>
    </row>
    <row r="1272" spans="2:18">
      <c r="B1272" s="832"/>
      <c r="C1272" s="833"/>
      <c r="D1272" s="833"/>
      <c r="E1272" s="833"/>
      <c r="F1272" s="1111"/>
      <c r="G1272" s="1111"/>
      <c r="H1272" s="834"/>
      <c r="I1272" s="832"/>
      <c r="J1272" s="1111"/>
      <c r="K1272" s="832"/>
      <c r="L1272" s="832"/>
      <c r="M1272" s="832"/>
      <c r="N1272" s="832"/>
      <c r="O1272" s="832"/>
      <c r="P1272" s="832"/>
      <c r="Q1272" s="832"/>
      <c r="R1272" s="832"/>
    </row>
    <row r="1273" spans="2:18">
      <c r="B1273" s="832"/>
      <c r="C1273" s="833"/>
      <c r="D1273" s="833"/>
      <c r="E1273" s="833"/>
      <c r="F1273" s="1111"/>
      <c r="G1273" s="1111"/>
      <c r="H1273" s="834"/>
      <c r="I1273" s="832"/>
      <c r="J1273" s="1111"/>
      <c r="K1273" s="832"/>
      <c r="L1273" s="832"/>
      <c r="M1273" s="832"/>
      <c r="N1273" s="832"/>
      <c r="O1273" s="832"/>
      <c r="P1273" s="832"/>
      <c r="Q1273" s="832"/>
      <c r="R1273" s="832"/>
    </row>
    <row r="1274" spans="2:18">
      <c r="B1274" s="832"/>
      <c r="C1274" s="833"/>
      <c r="D1274" s="833"/>
      <c r="E1274" s="833"/>
      <c r="F1274" s="1111"/>
      <c r="G1274" s="1111"/>
      <c r="H1274" s="834"/>
      <c r="I1274" s="832"/>
      <c r="J1274" s="1111"/>
      <c r="K1274" s="832"/>
      <c r="L1274" s="832"/>
      <c r="M1274" s="832"/>
      <c r="N1274" s="832"/>
      <c r="O1274" s="832"/>
      <c r="P1274" s="832"/>
      <c r="Q1274" s="832"/>
      <c r="R1274" s="832"/>
    </row>
    <row r="1275" spans="2:18">
      <c r="B1275" s="832"/>
      <c r="C1275" s="833"/>
      <c r="D1275" s="833"/>
      <c r="E1275" s="833"/>
      <c r="F1275" s="1111"/>
      <c r="G1275" s="1111"/>
      <c r="H1275" s="834"/>
      <c r="I1275" s="832"/>
      <c r="J1275" s="1111"/>
      <c r="K1275" s="832"/>
      <c r="L1275" s="832"/>
      <c r="M1275" s="832"/>
      <c r="N1275" s="832"/>
      <c r="O1275" s="832"/>
      <c r="P1275" s="832"/>
      <c r="Q1275" s="832"/>
      <c r="R1275" s="832"/>
    </row>
    <row r="1276" spans="2:18">
      <c r="B1276" s="832"/>
      <c r="C1276" s="833"/>
      <c r="D1276" s="833"/>
      <c r="E1276" s="833"/>
      <c r="F1276" s="1111"/>
      <c r="G1276" s="1111"/>
      <c r="H1276" s="834"/>
      <c r="I1276" s="832"/>
      <c r="J1276" s="1111"/>
      <c r="K1276" s="832"/>
      <c r="L1276" s="832"/>
      <c r="M1276" s="832"/>
      <c r="N1276" s="832"/>
      <c r="O1276" s="832"/>
      <c r="P1276" s="832"/>
      <c r="Q1276" s="832"/>
      <c r="R1276" s="832"/>
    </row>
    <row r="1277" spans="2:18">
      <c r="B1277" s="832"/>
      <c r="C1277" s="833"/>
      <c r="D1277" s="833"/>
      <c r="E1277" s="833"/>
      <c r="F1277" s="1111"/>
      <c r="G1277" s="1111"/>
      <c r="H1277" s="834"/>
      <c r="I1277" s="832"/>
      <c r="J1277" s="1111"/>
      <c r="K1277" s="832"/>
      <c r="L1277" s="832"/>
      <c r="M1277" s="832"/>
      <c r="N1277" s="832"/>
      <c r="O1277" s="832"/>
      <c r="P1277" s="832"/>
      <c r="Q1277" s="832"/>
      <c r="R1277" s="832"/>
    </row>
    <row r="1278" spans="2:18">
      <c r="B1278" s="832"/>
      <c r="C1278" s="833"/>
      <c r="D1278" s="833"/>
      <c r="E1278" s="833"/>
      <c r="F1278" s="1111"/>
      <c r="G1278" s="1111"/>
      <c r="H1278" s="834"/>
      <c r="I1278" s="832"/>
      <c r="J1278" s="1111"/>
      <c r="K1278" s="832"/>
      <c r="L1278" s="832"/>
      <c r="M1278" s="832"/>
      <c r="N1278" s="832"/>
      <c r="O1278" s="832"/>
      <c r="P1278" s="832"/>
      <c r="Q1278" s="832"/>
      <c r="R1278" s="832"/>
    </row>
    <row r="1279" spans="2:18">
      <c r="B1279" s="832"/>
      <c r="C1279" s="833"/>
      <c r="D1279" s="833"/>
      <c r="E1279" s="833"/>
      <c r="F1279" s="1111"/>
      <c r="G1279" s="1111"/>
      <c r="H1279" s="834"/>
      <c r="I1279" s="832"/>
      <c r="J1279" s="1111"/>
      <c r="K1279" s="832"/>
      <c r="L1279" s="832"/>
      <c r="M1279" s="832"/>
      <c r="N1279" s="832"/>
      <c r="O1279" s="832"/>
      <c r="P1279" s="832"/>
      <c r="Q1279" s="832"/>
      <c r="R1279" s="832"/>
    </row>
    <row r="1280" spans="2:18">
      <c r="B1280" s="832"/>
      <c r="C1280" s="833"/>
      <c r="D1280" s="833"/>
      <c r="E1280" s="833"/>
      <c r="F1280" s="1111"/>
      <c r="G1280" s="1111"/>
      <c r="H1280" s="834"/>
      <c r="I1280" s="832"/>
      <c r="J1280" s="1111"/>
      <c r="K1280" s="832"/>
      <c r="L1280" s="832"/>
      <c r="M1280" s="832"/>
      <c r="N1280" s="832"/>
      <c r="O1280" s="832"/>
      <c r="P1280" s="832"/>
      <c r="Q1280" s="832"/>
      <c r="R1280" s="832"/>
    </row>
    <row r="1281" spans="2:18">
      <c r="B1281" s="832"/>
      <c r="C1281" s="833"/>
      <c r="D1281" s="833"/>
      <c r="E1281" s="833"/>
      <c r="F1281" s="1111"/>
      <c r="G1281" s="1111"/>
      <c r="H1281" s="834"/>
      <c r="I1281" s="832"/>
      <c r="J1281" s="1111"/>
      <c r="K1281" s="832"/>
      <c r="L1281" s="832"/>
      <c r="M1281" s="832"/>
      <c r="N1281" s="832"/>
      <c r="O1281" s="832"/>
      <c r="P1281" s="832"/>
      <c r="Q1281" s="832"/>
      <c r="R1281" s="832"/>
    </row>
    <row r="1282" spans="2:18">
      <c r="B1282" s="832"/>
      <c r="C1282" s="833"/>
      <c r="D1282" s="833"/>
      <c r="E1282" s="833"/>
      <c r="F1282" s="1111"/>
      <c r="G1282" s="1111"/>
      <c r="H1282" s="834"/>
      <c r="I1282" s="832"/>
      <c r="J1282" s="1111"/>
      <c r="K1282" s="832"/>
      <c r="L1282" s="832"/>
      <c r="M1282" s="832"/>
      <c r="N1282" s="832"/>
      <c r="O1282" s="832"/>
      <c r="P1282" s="832"/>
      <c r="Q1282" s="832"/>
      <c r="R1282" s="832"/>
    </row>
    <row r="1283" spans="2:18">
      <c r="B1283" s="832"/>
      <c r="C1283" s="833"/>
      <c r="D1283" s="833"/>
      <c r="E1283" s="833"/>
      <c r="F1283" s="1111"/>
      <c r="G1283" s="1111"/>
      <c r="H1283" s="834"/>
      <c r="I1283" s="832"/>
      <c r="J1283" s="1111"/>
      <c r="K1283" s="832"/>
      <c r="L1283" s="832"/>
      <c r="M1283" s="832"/>
      <c r="N1283" s="832"/>
      <c r="O1283" s="832"/>
      <c r="P1283" s="832"/>
      <c r="Q1283" s="832"/>
      <c r="R1283" s="832"/>
    </row>
    <row r="1284" spans="2:18">
      <c r="B1284" s="832"/>
      <c r="C1284" s="833"/>
      <c r="D1284" s="833"/>
      <c r="E1284" s="833"/>
      <c r="F1284" s="1111"/>
      <c r="G1284" s="1111"/>
      <c r="H1284" s="834"/>
      <c r="I1284" s="832"/>
      <c r="J1284" s="1111"/>
      <c r="K1284" s="832"/>
      <c r="L1284" s="832"/>
      <c r="M1284" s="832"/>
      <c r="N1284" s="832"/>
      <c r="O1284" s="832"/>
      <c r="P1284" s="832"/>
      <c r="Q1284" s="832"/>
      <c r="R1284" s="832"/>
    </row>
    <row r="1285" spans="2:18">
      <c r="B1285" s="832"/>
      <c r="C1285" s="833"/>
      <c r="D1285" s="833"/>
      <c r="E1285" s="833"/>
      <c r="F1285" s="1111"/>
      <c r="G1285" s="1111"/>
      <c r="H1285" s="834"/>
      <c r="I1285" s="832"/>
      <c r="J1285" s="1111"/>
      <c r="K1285" s="832"/>
      <c r="L1285" s="832"/>
      <c r="M1285" s="832"/>
      <c r="N1285" s="832"/>
      <c r="O1285" s="832"/>
      <c r="P1285" s="832"/>
      <c r="Q1285" s="832"/>
      <c r="R1285" s="832"/>
    </row>
    <row r="1286" spans="2:18">
      <c r="B1286" s="832"/>
      <c r="C1286" s="833"/>
      <c r="D1286" s="833"/>
      <c r="E1286" s="833"/>
      <c r="F1286" s="1111"/>
      <c r="G1286" s="1111"/>
      <c r="H1286" s="834"/>
      <c r="I1286" s="832"/>
      <c r="J1286" s="1111"/>
      <c r="K1286" s="832"/>
      <c r="L1286" s="832"/>
      <c r="M1286" s="832"/>
      <c r="N1286" s="832"/>
      <c r="O1286" s="832"/>
      <c r="P1286" s="832"/>
      <c r="Q1286" s="832"/>
      <c r="R1286" s="832"/>
    </row>
    <row r="1287" spans="2:18">
      <c r="B1287" s="832"/>
      <c r="C1287" s="833"/>
      <c r="D1287" s="833"/>
      <c r="E1287" s="833"/>
      <c r="F1287" s="1111"/>
      <c r="G1287" s="1111"/>
      <c r="H1287" s="834"/>
      <c r="I1287" s="832"/>
      <c r="J1287" s="1111"/>
      <c r="K1287" s="832"/>
      <c r="L1287" s="832"/>
      <c r="M1287" s="832"/>
      <c r="N1287" s="832"/>
      <c r="O1287" s="832"/>
      <c r="P1287" s="832"/>
      <c r="Q1287" s="832"/>
      <c r="R1287" s="832"/>
    </row>
    <row r="1288" spans="2:18">
      <c r="B1288" s="832"/>
      <c r="C1288" s="833"/>
      <c r="D1288" s="833"/>
      <c r="E1288" s="833"/>
      <c r="F1288" s="1111"/>
      <c r="G1288" s="1111"/>
      <c r="H1288" s="834"/>
      <c r="I1288" s="832"/>
      <c r="J1288" s="1111"/>
      <c r="K1288" s="832"/>
      <c r="L1288" s="832"/>
      <c r="M1288" s="832"/>
      <c r="N1288" s="832"/>
      <c r="O1288" s="832"/>
      <c r="P1288" s="832"/>
      <c r="Q1288" s="832"/>
      <c r="R1288" s="832"/>
    </row>
    <row r="1289" spans="2:18">
      <c r="B1289" s="832"/>
      <c r="C1289" s="833"/>
      <c r="D1289" s="833"/>
      <c r="E1289" s="833"/>
      <c r="F1289" s="1111"/>
      <c r="G1289" s="1111"/>
      <c r="H1289" s="834"/>
      <c r="I1289" s="832"/>
      <c r="J1289" s="1111"/>
      <c r="K1289" s="832"/>
      <c r="L1289" s="832"/>
      <c r="M1289" s="832"/>
      <c r="N1289" s="832"/>
      <c r="O1289" s="832"/>
      <c r="P1289" s="832"/>
      <c r="Q1289" s="832"/>
      <c r="R1289" s="832"/>
    </row>
    <row r="1290" spans="2:18">
      <c r="B1290" s="832"/>
      <c r="C1290" s="833"/>
      <c r="D1290" s="833"/>
      <c r="E1290" s="833"/>
      <c r="F1290" s="1111"/>
      <c r="G1290" s="1111"/>
      <c r="H1290" s="834"/>
      <c r="I1290" s="832"/>
      <c r="J1290" s="1111"/>
      <c r="K1290" s="832"/>
      <c r="L1290" s="832"/>
      <c r="M1290" s="832"/>
      <c r="N1290" s="832"/>
      <c r="O1290" s="832"/>
      <c r="P1290" s="832"/>
      <c r="Q1290" s="832"/>
      <c r="R1290" s="832"/>
    </row>
    <row r="1291" spans="2:18">
      <c r="B1291" s="832"/>
      <c r="C1291" s="833"/>
      <c r="D1291" s="833"/>
      <c r="E1291" s="833"/>
      <c r="F1291" s="1111"/>
      <c r="G1291" s="1111"/>
      <c r="H1291" s="834"/>
      <c r="I1291" s="832"/>
      <c r="J1291" s="1111"/>
      <c r="K1291" s="832"/>
      <c r="L1291" s="832"/>
      <c r="M1291" s="832"/>
      <c r="N1291" s="832"/>
      <c r="O1291" s="832"/>
      <c r="P1291" s="832"/>
      <c r="Q1291" s="832"/>
      <c r="R1291" s="832"/>
    </row>
    <row r="1292" spans="2:18">
      <c r="B1292" s="832"/>
      <c r="C1292" s="833"/>
      <c r="D1292" s="833"/>
      <c r="E1292" s="833"/>
      <c r="F1292" s="1111"/>
      <c r="G1292" s="1111"/>
      <c r="H1292" s="834"/>
      <c r="I1292" s="832"/>
      <c r="J1292" s="1111"/>
      <c r="K1292" s="832"/>
      <c r="L1292" s="832"/>
      <c r="M1292" s="832"/>
      <c r="N1292" s="832"/>
      <c r="O1292" s="832"/>
      <c r="P1292" s="832"/>
      <c r="Q1292" s="832"/>
      <c r="R1292" s="832"/>
    </row>
    <row r="1293" spans="2:18">
      <c r="B1293" s="832"/>
      <c r="C1293" s="833"/>
      <c r="D1293" s="833"/>
      <c r="E1293" s="833"/>
      <c r="F1293" s="1111"/>
      <c r="G1293" s="1111"/>
      <c r="H1293" s="834"/>
      <c r="I1293" s="832"/>
      <c r="J1293" s="1111"/>
      <c r="K1293" s="832"/>
      <c r="L1293" s="832"/>
      <c r="M1293" s="832"/>
      <c r="N1293" s="832"/>
      <c r="O1293" s="832"/>
      <c r="P1293" s="832"/>
      <c r="Q1293" s="832"/>
      <c r="R1293" s="832"/>
    </row>
    <row r="1294" spans="2:18">
      <c r="B1294" s="832"/>
      <c r="C1294" s="833"/>
      <c r="D1294" s="833"/>
      <c r="E1294" s="833"/>
      <c r="F1294" s="1111"/>
      <c r="G1294" s="1111"/>
      <c r="H1294" s="834"/>
      <c r="I1294" s="832"/>
      <c r="J1294" s="1111"/>
      <c r="K1294" s="832"/>
      <c r="L1294" s="832"/>
      <c r="M1294" s="832"/>
      <c r="N1294" s="832"/>
      <c r="O1294" s="832"/>
      <c r="P1294" s="832"/>
      <c r="Q1294" s="832"/>
      <c r="R1294" s="832"/>
    </row>
    <row r="1295" spans="2:18">
      <c r="B1295" s="832"/>
      <c r="C1295" s="833"/>
      <c r="D1295" s="833"/>
      <c r="E1295" s="833"/>
      <c r="F1295" s="1111"/>
      <c r="G1295" s="1111"/>
      <c r="H1295" s="834"/>
      <c r="I1295" s="832"/>
      <c r="J1295" s="1111"/>
      <c r="K1295" s="832"/>
      <c r="L1295" s="832"/>
      <c r="M1295" s="832"/>
      <c r="N1295" s="832"/>
      <c r="O1295" s="832"/>
      <c r="P1295" s="832"/>
      <c r="Q1295" s="832"/>
      <c r="R1295" s="832"/>
    </row>
    <row r="1296" spans="2:18">
      <c r="B1296" s="832"/>
      <c r="C1296" s="833"/>
      <c r="D1296" s="833"/>
      <c r="E1296" s="833"/>
      <c r="F1296" s="1111"/>
      <c r="G1296" s="1111"/>
      <c r="H1296" s="834"/>
      <c r="I1296" s="832"/>
      <c r="J1296" s="1111"/>
      <c r="K1296" s="832"/>
      <c r="L1296" s="832"/>
      <c r="M1296" s="832"/>
      <c r="N1296" s="832"/>
      <c r="O1296" s="832"/>
      <c r="P1296" s="832"/>
      <c r="Q1296" s="832"/>
      <c r="R1296" s="832"/>
    </row>
    <row r="1297" spans="2:18">
      <c r="B1297" s="832"/>
      <c r="C1297" s="833"/>
      <c r="D1297" s="833"/>
      <c r="E1297" s="833"/>
      <c r="F1297" s="1111"/>
      <c r="G1297" s="1111"/>
      <c r="H1297" s="834"/>
      <c r="I1297" s="832"/>
      <c r="J1297" s="1111"/>
      <c r="K1297" s="832"/>
      <c r="L1297" s="832"/>
      <c r="M1297" s="832"/>
      <c r="N1297" s="832"/>
      <c r="O1297" s="832"/>
      <c r="P1297" s="832"/>
      <c r="Q1297" s="832"/>
      <c r="R1297" s="832"/>
    </row>
    <row r="1298" spans="2:18">
      <c r="B1298" s="832"/>
      <c r="C1298" s="833"/>
      <c r="D1298" s="833"/>
      <c r="E1298" s="833"/>
      <c r="F1298" s="1111"/>
      <c r="G1298" s="1111"/>
      <c r="H1298" s="834"/>
      <c r="I1298" s="832"/>
      <c r="J1298" s="1111"/>
      <c r="K1298" s="832"/>
      <c r="L1298" s="832"/>
      <c r="M1298" s="832"/>
      <c r="N1298" s="832"/>
      <c r="O1298" s="832"/>
      <c r="P1298" s="832"/>
      <c r="Q1298" s="832"/>
      <c r="R1298" s="832"/>
    </row>
    <row r="1299" spans="2:18">
      <c r="B1299" s="832"/>
      <c r="C1299" s="833"/>
      <c r="D1299" s="833"/>
      <c r="E1299" s="833"/>
      <c r="F1299" s="1111"/>
      <c r="G1299" s="1111"/>
      <c r="H1299" s="834"/>
      <c r="I1299" s="832"/>
      <c r="J1299" s="1111"/>
      <c r="K1299" s="832"/>
      <c r="L1299" s="832"/>
      <c r="M1299" s="832"/>
      <c r="N1299" s="832"/>
      <c r="O1299" s="832"/>
      <c r="P1299" s="832"/>
      <c r="Q1299" s="832"/>
      <c r="R1299" s="832"/>
    </row>
    <row r="1300" spans="2:18">
      <c r="B1300" s="832"/>
      <c r="C1300" s="833"/>
      <c r="D1300" s="833"/>
      <c r="E1300" s="833"/>
      <c r="F1300" s="1111"/>
      <c r="G1300" s="1111"/>
      <c r="H1300" s="834"/>
      <c r="I1300" s="832"/>
      <c r="J1300" s="1111"/>
      <c r="K1300" s="832"/>
      <c r="L1300" s="832"/>
      <c r="M1300" s="832"/>
      <c r="N1300" s="832"/>
      <c r="O1300" s="832"/>
      <c r="P1300" s="832"/>
      <c r="Q1300" s="832"/>
      <c r="R1300" s="832"/>
    </row>
    <row r="1301" spans="2:18">
      <c r="B1301" s="832"/>
      <c r="C1301" s="833"/>
      <c r="D1301" s="833"/>
      <c r="E1301" s="833"/>
      <c r="F1301" s="1111"/>
      <c r="G1301" s="1111"/>
      <c r="H1301" s="834"/>
      <c r="I1301" s="832"/>
      <c r="J1301" s="1111"/>
      <c r="K1301" s="832"/>
      <c r="L1301" s="832"/>
      <c r="M1301" s="832"/>
      <c r="N1301" s="832"/>
      <c r="O1301" s="832"/>
      <c r="P1301" s="832"/>
      <c r="Q1301" s="832"/>
      <c r="R1301" s="832"/>
    </row>
    <row r="1302" spans="2:18">
      <c r="B1302" s="832"/>
      <c r="C1302" s="833"/>
      <c r="D1302" s="833"/>
      <c r="E1302" s="833"/>
      <c r="F1302" s="1111"/>
      <c r="G1302" s="1111"/>
      <c r="H1302" s="834"/>
      <c r="I1302" s="832"/>
      <c r="J1302" s="1111"/>
      <c r="K1302" s="832"/>
      <c r="L1302" s="832"/>
      <c r="M1302" s="832"/>
      <c r="N1302" s="832"/>
      <c r="O1302" s="832"/>
      <c r="P1302" s="832"/>
      <c r="Q1302" s="832"/>
      <c r="R1302" s="832"/>
    </row>
    <row r="1303" spans="2:18">
      <c r="B1303" s="832"/>
      <c r="C1303" s="833"/>
      <c r="D1303" s="833"/>
      <c r="E1303" s="833"/>
      <c r="F1303" s="1111"/>
      <c r="G1303" s="1111"/>
      <c r="H1303" s="834"/>
      <c r="I1303" s="832"/>
      <c r="J1303" s="1111"/>
      <c r="K1303" s="832"/>
      <c r="L1303" s="832"/>
      <c r="M1303" s="832"/>
      <c r="N1303" s="832"/>
      <c r="O1303" s="832"/>
      <c r="P1303" s="832"/>
      <c r="Q1303" s="832"/>
      <c r="R1303" s="832"/>
    </row>
    <row r="1304" spans="2:18">
      <c r="B1304" s="832"/>
      <c r="C1304" s="833"/>
      <c r="D1304" s="833"/>
      <c r="E1304" s="833"/>
      <c r="F1304" s="1111"/>
      <c r="G1304" s="1111"/>
      <c r="H1304" s="834"/>
      <c r="I1304" s="832"/>
      <c r="J1304" s="1111"/>
      <c r="K1304" s="832"/>
      <c r="L1304" s="832"/>
      <c r="M1304" s="832"/>
      <c r="N1304" s="832"/>
      <c r="O1304" s="832"/>
      <c r="P1304" s="832"/>
      <c r="Q1304" s="832"/>
      <c r="R1304" s="832"/>
    </row>
    <row r="1305" spans="2:18">
      <c r="B1305" s="832"/>
      <c r="C1305" s="833"/>
      <c r="D1305" s="833"/>
      <c r="E1305" s="833"/>
      <c r="F1305" s="1111"/>
      <c r="G1305" s="1111"/>
      <c r="H1305" s="834"/>
      <c r="I1305" s="832"/>
      <c r="J1305" s="1111"/>
      <c r="K1305" s="832"/>
      <c r="L1305" s="832"/>
      <c r="M1305" s="832"/>
      <c r="N1305" s="832"/>
      <c r="O1305" s="832"/>
      <c r="P1305" s="832"/>
      <c r="Q1305" s="832"/>
      <c r="R1305" s="832"/>
    </row>
    <row r="1306" spans="2:18">
      <c r="B1306" s="832"/>
      <c r="C1306" s="833"/>
      <c r="D1306" s="833"/>
      <c r="E1306" s="833"/>
      <c r="F1306" s="1111"/>
      <c r="G1306" s="1111"/>
      <c r="H1306" s="834"/>
      <c r="I1306" s="832"/>
      <c r="J1306" s="1111"/>
      <c r="K1306" s="832"/>
      <c r="L1306" s="832"/>
      <c r="M1306" s="832"/>
      <c r="N1306" s="832"/>
      <c r="O1306" s="832"/>
      <c r="P1306" s="832"/>
      <c r="Q1306" s="832"/>
      <c r="R1306" s="832"/>
    </row>
    <row r="1307" spans="2:18">
      <c r="B1307" s="832"/>
      <c r="C1307" s="833"/>
      <c r="D1307" s="833"/>
      <c r="E1307" s="833"/>
      <c r="F1307" s="1111"/>
      <c r="G1307" s="1111"/>
      <c r="H1307" s="834"/>
      <c r="I1307" s="832"/>
      <c r="J1307" s="1111"/>
      <c r="K1307" s="832"/>
      <c r="L1307" s="832"/>
      <c r="M1307" s="832"/>
      <c r="N1307" s="832"/>
      <c r="O1307" s="832"/>
      <c r="P1307" s="832"/>
      <c r="Q1307" s="832"/>
      <c r="R1307" s="832"/>
    </row>
    <row r="1308" spans="2:18">
      <c r="B1308" s="832"/>
      <c r="C1308" s="833"/>
      <c r="D1308" s="833"/>
      <c r="E1308" s="833"/>
      <c r="F1308" s="1111"/>
      <c r="G1308" s="1111"/>
      <c r="H1308" s="834"/>
      <c r="I1308" s="832"/>
      <c r="J1308" s="1111"/>
      <c r="K1308" s="832"/>
      <c r="L1308" s="832"/>
      <c r="M1308" s="832"/>
      <c r="N1308" s="832"/>
      <c r="O1308" s="832"/>
      <c r="P1308" s="832"/>
      <c r="Q1308" s="832"/>
      <c r="R1308" s="832"/>
    </row>
    <row r="1309" spans="2:18">
      <c r="B1309" s="832"/>
      <c r="C1309" s="833"/>
      <c r="D1309" s="833"/>
      <c r="E1309" s="833"/>
      <c r="F1309" s="1111"/>
      <c r="G1309" s="1111"/>
      <c r="H1309" s="834"/>
      <c r="I1309" s="832"/>
      <c r="J1309" s="1111"/>
      <c r="K1309" s="832"/>
      <c r="L1309" s="832"/>
      <c r="M1309" s="832"/>
      <c r="N1309" s="832"/>
      <c r="O1309" s="832"/>
      <c r="P1309" s="832"/>
      <c r="Q1309" s="832"/>
      <c r="R1309" s="832"/>
    </row>
    <row r="1310" spans="2:18">
      <c r="B1310" s="832"/>
      <c r="C1310" s="833"/>
      <c r="D1310" s="833"/>
      <c r="E1310" s="833"/>
      <c r="F1310" s="1111"/>
      <c r="G1310" s="1111"/>
      <c r="H1310" s="834"/>
      <c r="I1310" s="832"/>
      <c r="J1310" s="1111"/>
      <c r="K1310" s="832"/>
      <c r="L1310" s="832"/>
      <c r="M1310" s="832"/>
      <c r="N1310" s="832"/>
      <c r="O1310" s="832"/>
      <c r="P1310" s="832"/>
      <c r="Q1310" s="832"/>
      <c r="R1310" s="832"/>
    </row>
    <row r="1311" spans="2:18">
      <c r="B1311" s="832"/>
      <c r="C1311" s="833"/>
      <c r="D1311" s="833"/>
      <c r="E1311" s="833"/>
      <c r="F1311" s="1111"/>
      <c r="G1311" s="1111"/>
      <c r="H1311" s="834"/>
      <c r="I1311" s="832"/>
      <c r="J1311" s="1111"/>
      <c r="K1311" s="832"/>
      <c r="L1311" s="832"/>
      <c r="M1311" s="832"/>
      <c r="N1311" s="832"/>
      <c r="O1311" s="832"/>
      <c r="P1311" s="832"/>
      <c r="Q1311" s="832"/>
      <c r="R1311" s="832"/>
    </row>
    <row r="1312" spans="2:18">
      <c r="B1312" s="832"/>
      <c r="C1312" s="833"/>
      <c r="D1312" s="833"/>
      <c r="E1312" s="833"/>
      <c r="F1312" s="1111"/>
      <c r="G1312" s="1111"/>
      <c r="H1312" s="834"/>
      <c r="I1312" s="832"/>
      <c r="J1312" s="1111"/>
      <c r="K1312" s="832"/>
      <c r="L1312" s="832"/>
      <c r="M1312" s="832"/>
      <c r="N1312" s="832"/>
      <c r="O1312" s="832"/>
      <c r="P1312" s="832"/>
      <c r="Q1312" s="832"/>
      <c r="R1312" s="832"/>
    </row>
    <row r="1313" spans="2:18">
      <c r="B1313" s="832"/>
      <c r="C1313" s="833"/>
      <c r="D1313" s="833"/>
      <c r="E1313" s="833"/>
      <c r="F1313" s="1111"/>
      <c r="G1313" s="1111"/>
      <c r="H1313" s="834"/>
      <c r="I1313" s="832"/>
      <c r="J1313" s="1111"/>
      <c r="K1313" s="832"/>
      <c r="L1313" s="832"/>
      <c r="M1313" s="832"/>
      <c r="N1313" s="832"/>
      <c r="O1313" s="832"/>
      <c r="P1313" s="832"/>
      <c r="Q1313" s="832"/>
      <c r="R1313" s="832"/>
    </row>
    <row r="1314" spans="2:18">
      <c r="B1314" s="832"/>
      <c r="C1314" s="833"/>
      <c r="D1314" s="833"/>
      <c r="E1314" s="833"/>
      <c r="F1314" s="1111"/>
      <c r="G1314" s="1111"/>
      <c r="H1314" s="834"/>
      <c r="I1314" s="832"/>
      <c r="J1314" s="1111"/>
      <c r="K1314" s="832"/>
      <c r="L1314" s="832"/>
      <c r="M1314" s="832"/>
      <c r="N1314" s="832"/>
      <c r="O1314" s="832"/>
      <c r="P1314" s="832"/>
      <c r="Q1314" s="832"/>
      <c r="R1314" s="832"/>
    </row>
    <row r="1315" spans="2:18">
      <c r="B1315" s="832"/>
      <c r="C1315" s="833"/>
      <c r="D1315" s="833"/>
      <c r="E1315" s="833"/>
      <c r="F1315" s="1111"/>
      <c r="G1315" s="1111"/>
      <c r="H1315" s="834"/>
      <c r="I1315" s="832"/>
      <c r="J1315" s="1111"/>
      <c r="K1315" s="832"/>
      <c r="L1315" s="832"/>
      <c r="M1315" s="832"/>
      <c r="N1315" s="832"/>
      <c r="O1315" s="832"/>
      <c r="P1315" s="832"/>
      <c r="Q1315" s="832"/>
      <c r="R1315" s="832"/>
    </row>
    <row r="1316" spans="2:18">
      <c r="B1316" s="832"/>
      <c r="C1316" s="833"/>
      <c r="D1316" s="833"/>
      <c r="E1316" s="833"/>
      <c r="F1316" s="1111"/>
      <c r="G1316" s="1111"/>
      <c r="H1316" s="834"/>
      <c r="I1316" s="832"/>
      <c r="J1316" s="1111"/>
      <c r="K1316" s="832"/>
      <c r="L1316" s="832"/>
      <c r="M1316" s="832"/>
      <c r="N1316" s="832"/>
      <c r="O1316" s="832"/>
      <c r="P1316" s="832"/>
      <c r="Q1316" s="832"/>
      <c r="R1316" s="832"/>
    </row>
    <row r="1317" spans="2:18">
      <c r="B1317" s="832"/>
      <c r="C1317" s="833"/>
      <c r="D1317" s="833"/>
      <c r="E1317" s="833"/>
      <c r="F1317" s="1111"/>
      <c r="G1317" s="1111"/>
      <c r="H1317" s="834"/>
      <c r="I1317" s="832"/>
      <c r="J1317" s="1111"/>
      <c r="K1317" s="832"/>
      <c r="L1317" s="832"/>
      <c r="M1317" s="832"/>
      <c r="N1317" s="832"/>
      <c r="O1317" s="832"/>
      <c r="P1317" s="832"/>
      <c r="Q1317" s="832"/>
      <c r="R1317" s="832"/>
    </row>
    <row r="1318" spans="2:18">
      <c r="B1318" s="832"/>
      <c r="C1318" s="833"/>
      <c r="D1318" s="833"/>
      <c r="E1318" s="833"/>
      <c r="F1318" s="1111"/>
      <c r="G1318" s="1111"/>
      <c r="H1318" s="834"/>
      <c r="I1318" s="832"/>
      <c r="J1318" s="1111"/>
      <c r="K1318" s="832"/>
      <c r="L1318" s="832"/>
      <c r="M1318" s="832"/>
      <c r="N1318" s="832"/>
      <c r="O1318" s="832"/>
      <c r="P1318" s="832"/>
      <c r="Q1318" s="832"/>
      <c r="R1318" s="832"/>
    </row>
    <row r="1319" spans="2:18">
      <c r="B1319" s="832"/>
      <c r="C1319" s="833"/>
      <c r="D1319" s="833"/>
      <c r="E1319" s="833"/>
      <c r="F1319" s="1111"/>
      <c r="G1319" s="1111"/>
      <c r="H1319" s="834"/>
      <c r="I1319" s="832"/>
      <c r="J1319" s="1111"/>
      <c r="K1319" s="832"/>
      <c r="L1319" s="832"/>
      <c r="M1319" s="832"/>
      <c r="N1319" s="832"/>
      <c r="O1319" s="832"/>
      <c r="P1319" s="832"/>
      <c r="Q1319" s="832"/>
      <c r="R1319" s="832"/>
    </row>
    <row r="1320" spans="2:18">
      <c r="B1320" s="832"/>
      <c r="C1320" s="833"/>
      <c r="D1320" s="833"/>
      <c r="E1320" s="833"/>
      <c r="F1320" s="1111"/>
      <c r="G1320" s="1111"/>
      <c r="H1320" s="834"/>
      <c r="I1320" s="832"/>
      <c r="J1320" s="1111"/>
      <c r="K1320" s="832"/>
      <c r="L1320" s="832"/>
      <c r="M1320" s="832"/>
      <c r="N1320" s="832"/>
      <c r="O1320" s="832"/>
      <c r="P1320" s="832"/>
      <c r="Q1320" s="832"/>
      <c r="R1320" s="832"/>
    </row>
    <row r="1321" spans="2:18">
      <c r="B1321" s="832"/>
      <c r="C1321" s="833"/>
      <c r="D1321" s="833"/>
      <c r="E1321" s="833"/>
      <c r="F1321" s="1111"/>
      <c r="G1321" s="1111"/>
      <c r="H1321" s="834"/>
      <c r="I1321" s="832"/>
      <c r="J1321" s="1111"/>
      <c r="K1321" s="832"/>
      <c r="L1321" s="832"/>
      <c r="M1321" s="832"/>
      <c r="N1321" s="832"/>
      <c r="O1321" s="832"/>
      <c r="P1321" s="832"/>
      <c r="Q1321" s="832"/>
      <c r="R1321" s="832"/>
    </row>
    <row r="1322" spans="2:18">
      <c r="B1322" s="832"/>
      <c r="C1322" s="833"/>
      <c r="D1322" s="833"/>
      <c r="E1322" s="833"/>
      <c r="F1322" s="1111"/>
      <c r="G1322" s="1111"/>
      <c r="H1322" s="834"/>
      <c r="I1322" s="832"/>
      <c r="J1322" s="1111"/>
      <c r="K1322" s="832"/>
      <c r="L1322" s="832"/>
      <c r="M1322" s="832"/>
      <c r="N1322" s="832"/>
      <c r="O1322" s="832"/>
      <c r="P1322" s="832"/>
      <c r="Q1322" s="832"/>
      <c r="R1322" s="832"/>
    </row>
    <row r="1323" spans="2:18">
      <c r="B1323" s="832"/>
      <c r="C1323" s="833"/>
      <c r="D1323" s="833"/>
      <c r="E1323" s="833"/>
      <c r="F1323" s="1111"/>
      <c r="G1323" s="1111"/>
      <c r="H1323" s="834"/>
      <c r="I1323" s="832"/>
      <c r="J1323" s="1111"/>
      <c r="K1323" s="832"/>
      <c r="L1323" s="832"/>
      <c r="M1323" s="832"/>
      <c r="N1323" s="832"/>
      <c r="O1323" s="832"/>
      <c r="P1323" s="832"/>
      <c r="Q1323" s="832"/>
      <c r="R1323" s="832"/>
    </row>
    <row r="1324" spans="2:18">
      <c r="B1324" s="832"/>
      <c r="C1324" s="833"/>
      <c r="D1324" s="833"/>
      <c r="E1324" s="833"/>
      <c r="F1324" s="1111"/>
      <c r="G1324" s="1111"/>
      <c r="H1324" s="834"/>
      <c r="I1324" s="832"/>
      <c r="J1324" s="1111"/>
      <c r="K1324" s="832"/>
      <c r="L1324" s="832"/>
      <c r="M1324" s="832"/>
      <c r="N1324" s="832"/>
      <c r="O1324" s="832"/>
      <c r="P1324" s="832"/>
      <c r="Q1324" s="832"/>
      <c r="R1324" s="832"/>
    </row>
    <row r="1325" spans="2:18">
      <c r="B1325" s="832"/>
      <c r="C1325" s="833"/>
      <c r="D1325" s="833"/>
      <c r="E1325" s="833"/>
      <c r="F1325" s="1111"/>
      <c r="G1325" s="1111"/>
      <c r="H1325" s="834"/>
      <c r="I1325" s="832"/>
      <c r="J1325" s="1111"/>
      <c r="K1325" s="832"/>
      <c r="L1325" s="832"/>
      <c r="M1325" s="832"/>
      <c r="N1325" s="832"/>
      <c r="O1325" s="832"/>
      <c r="P1325" s="832"/>
      <c r="Q1325" s="832"/>
      <c r="R1325" s="832"/>
    </row>
    <row r="1326" spans="2:18">
      <c r="B1326" s="832"/>
      <c r="C1326" s="833"/>
      <c r="D1326" s="833"/>
      <c r="E1326" s="833"/>
      <c r="F1326" s="1111"/>
      <c r="G1326" s="1111"/>
      <c r="H1326" s="834"/>
      <c r="I1326" s="832"/>
      <c r="J1326" s="1111"/>
      <c r="K1326" s="832"/>
      <c r="L1326" s="832"/>
      <c r="M1326" s="832"/>
      <c r="N1326" s="832"/>
      <c r="O1326" s="832"/>
      <c r="P1326" s="832"/>
      <c r="Q1326" s="832"/>
      <c r="R1326" s="832"/>
    </row>
    <row r="1327" spans="2:18">
      <c r="B1327" s="832"/>
      <c r="C1327" s="833"/>
      <c r="D1327" s="833"/>
      <c r="E1327" s="833"/>
      <c r="F1327" s="1111"/>
      <c r="G1327" s="1111"/>
      <c r="H1327" s="834"/>
      <c r="I1327" s="832"/>
      <c r="J1327" s="1111"/>
      <c r="K1327" s="832"/>
      <c r="L1327" s="832"/>
      <c r="M1327" s="832"/>
      <c r="N1327" s="832"/>
      <c r="O1327" s="832"/>
      <c r="P1327" s="832"/>
      <c r="Q1327" s="832"/>
      <c r="R1327" s="832"/>
    </row>
    <row r="1328" spans="2:18">
      <c r="B1328" s="832"/>
      <c r="C1328" s="833"/>
      <c r="D1328" s="833"/>
      <c r="E1328" s="833"/>
      <c r="F1328" s="1111"/>
      <c r="G1328" s="1111"/>
      <c r="H1328" s="834"/>
      <c r="I1328" s="832"/>
      <c r="J1328" s="1111"/>
      <c r="K1328" s="832"/>
      <c r="L1328" s="832"/>
      <c r="M1328" s="832"/>
      <c r="N1328" s="832"/>
      <c r="O1328" s="832"/>
      <c r="P1328" s="832"/>
      <c r="Q1328" s="832"/>
      <c r="R1328" s="832"/>
    </row>
    <row r="1329" spans="2:18">
      <c r="B1329" s="832"/>
      <c r="C1329" s="833"/>
      <c r="D1329" s="833"/>
      <c r="E1329" s="833"/>
      <c r="F1329" s="1111"/>
      <c r="G1329" s="1111"/>
      <c r="H1329" s="834"/>
      <c r="I1329" s="832"/>
      <c r="J1329" s="1111"/>
      <c r="K1329" s="832"/>
      <c r="L1329" s="832"/>
      <c r="M1329" s="832"/>
      <c r="N1329" s="832"/>
      <c r="O1329" s="832"/>
      <c r="P1329" s="832"/>
      <c r="Q1329" s="832"/>
      <c r="R1329" s="832"/>
    </row>
    <row r="1330" spans="2:18">
      <c r="B1330" s="832"/>
      <c r="C1330" s="833"/>
      <c r="D1330" s="833"/>
      <c r="E1330" s="833"/>
      <c r="F1330" s="1111"/>
      <c r="G1330" s="1111"/>
      <c r="H1330" s="834"/>
      <c r="I1330" s="832"/>
      <c r="J1330" s="1111"/>
      <c r="K1330" s="832"/>
      <c r="L1330" s="832"/>
      <c r="M1330" s="832"/>
      <c r="N1330" s="832"/>
      <c r="O1330" s="832"/>
      <c r="P1330" s="832"/>
      <c r="Q1330" s="832"/>
      <c r="R1330" s="832"/>
    </row>
    <row r="1331" spans="2:18">
      <c r="B1331" s="832"/>
      <c r="C1331" s="833"/>
      <c r="D1331" s="833"/>
      <c r="E1331" s="833"/>
      <c r="F1331" s="1111"/>
      <c r="G1331" s="1111"/>
      <c r="H1331" s="834"/>
      <c r="I1331" s="832"/>
      <c r="J1331" s="1111"/>
      <c r="K1331" s="832"/>
      <c r="L1331" s="832"/>
      <c r="M1331" s="832"/>
      <c r="N1331" s="832"/>
      <c r="O1331" s="832"/>
      <c r="P1331" s="832"/>
      <c r="Q1331" s="832"/>
      <c r="R1331" s="832"/>
    </row>
    <row r="1332" spans="2:18">
      <c r="B1332" s="832"/>
      <c r="C1332" s="833"/>
      <c r="D1332" s="833"/>
      <c r="E1332" s="833"/>
      <c r="F1332" s="1111"/>
      <c r="G1332" s="1111"/>
      <c r="H1332" s="834"/>
      <c r="I1332" s="832"/>
      <c r="J1332" s="1111"/>
      <c r="K1332" s="832"/>
      <c r="L1332" s="832"/>
      <c r="M1332" s="832"/>
      <c r="N1332" s="832"/>
      <c r="O1332" s="832"/>
      <c r="P1332" s="832"/>
      <c r="Q1332" s="832"/>
      <c r="R1332" s="832"/>
    </row>
    <row r="1333" spans="2:18">
      <c r="B1333" s="832"/>
      <c r="C1333" s="833"/>
      <c r="D1333" s="833"/>
      <c r="E1333" s="833"/>
      <c r="F1333" s="1111"/>
      <c r="G1333" s="1111"/>
      <c r="H1333" s="834"/>
      <c r="I1333" s="832"/>
      <c r="J1333" s="1111"/>
      <c r="K1333" s="832"/>
      <c r="L1333" s="832"/>
      <c r="M1333" s="832"/>
      <c r="N1333" s="832"/>
      <c r="O1333" s="832"/>
      <c r="P1333" s="832"/>
      <c r="Q1333" s="832"/>
      <c r="R1333" s="832"/>
    </row>
    <row r="1334" spans="2:18">
      <c r="B1334" s="832"/>
      <c r="C1334" s="833"/>
      <c r="D1334" s="833"/>
      <c r="E1334" s="833"/>
      <c r="F1334" s="1111"/>
      <c r="G1334" s="1111"/>
      <c r="H1334" s="834"/>
      <c r="I1334" s="832"/>
      <c r="J1334" s="1111"/>
      <c r="K1334" s="832"/>
      <c r="L1334" s="832"/>
      <c r="M1334" s="832"/>
      <c r="N1334" s="832"/>
      <c r="O1334" s="832"/>
      <c r="P1334" s="832"/>
      <c r="Q1334" s="832"/>
      <c r="R1334" s="832"/>
    </row>
    <row r="1335" spans="2:18">
      <c r="B1335" s="832"/>
      <c r="C1335" s="833"/>
      <c r="D1335" s="833"/>
      <c r="E1335" s="833"/>
      <c r="F1335" s="1111"/>
      <c r="G1335" s="1111"/>
      <c r="H1335" s="834"/>
      <c r="I1335" s="832"/>
      <c r="J1335" s="1111"/>
      <c r="K1335" s="832"/>
      <c r="L1335" s="832"/>
      <c r="M1335" s="832"/>
      <c r="N1335" s="832"/>
      <c r="O1335" s="832"/>
      <c r="P1335" s="832"/>
      <c r="Q1335" s="832"/>
      <c r="R1335" s="832"/>
    </row>
    <row r="1336" spans="2:18">
      <c r="B1336" s="832"/>
      <c r="C1336" s="833"/>
      <c r="D1336" s="833"/>
      <c r="E1336" s="833"/>
      <c r="F1336" s="1111"/>
      <c r="G1336" s="1111"/>
      <c r="H1336" s="834"/>
      <c r="I1336" s="832"/>
      <c r="J1336" s="1111"/>
      <c r="K1336" s="832"/>
      <c r="L1336" s="832"/>
      <c r="M1336" s="832"/>
      <c r="N1336" s="832"/>
      <c r="O1336" s="832"/>
      <c r="P1336" s="832"/>
      <c r="Q1336" s="832"/>
      <c r="R1336" s="832"/>
    </row>
    <row r="1337" spans="2:18">
      <c r="B1337" s="832"/>
      <c r="C1337" s="833"/>
      <c r="D1337" s="833"/>
      <c r="E1337" s="833"/>
      <c r="F1337" s="1111"/>
      <c r="G1337" s="1111"/>
      <c r="H1337" s="834"/>
      <c r="I1337" s="832"/>
      <c r="J1337" s="1111"/>
      <c r="K1337" s="832"/>
      <c r="L1337" s="832"/>
      <c r="M1337" s="832"/>
      <c r="N1337" s="832"/>
      <c r="O1337" s="832"/>
      <c r="P1337" s="832"/>
      <c r="Q1337" s="832"/>
      <c r="R1337" s="832"/>
    </row>
    <row r="1338" spans="2:18">
      <c r="B1338" s="832"/>
      <c r="C1338" s="833"/>
      <c r="D1338" s="833"/>
      <c r="E1338" s="833"/>
      <c r="F1338" s="1111"/>
      <c r="G1338" s="1111"/>
      <c r="H1338" s="834"/>
      <c r="I1338" s="832"/>
      <c r="J1338" s="1111"/>
      <c r="K1338" s="832"/>
      <c r="L1338" s="832"/>
      <c r="M1338" s="832"/>
      <c r="N1338" s="832"/>
      <c r="O1338" s="832"/>
      <c r="P1338" s="832"/>
      <c r="Q1338" s="832"/>
      <c r="R1338" s="832"/>
    </row>
    <row r="1339" spans="2:18">
      <c r="B1339" s="832"/>
      <c r="C1339" s="833"/>
      <c r="D1339" s="833"/>
      <c r="E1339" s="833"/>
      <c r="F1339" s="1111"/>
      <c r="G1339" s="1111"/>
      <c r="H1339" s="834"/>
      <c r="I1339" s="832"/>
      <c r="J1339" s="1111"/>
      <c r="K1339" s="832"/>
      <c r="L1339" s="832"/>
      <c r="M1339" s="832"/>
      <c r="N1339" s="832"/>
      <c r="O1339" s="832"/>
      <c r="P1339" s="832"/>
      <c r="Q1339" s="832"/>
      <c r="R1339" s="832"/>
    </row>
    <row r="1340" spans="2:18">
      <c r="B1340" s="832"/>
      <c r="C1340" s="833"/>
      <c r="D1340" s="833"/>
      <c r="E1340" s="833"/>
      <c r="F1340" s="1111"/>
      <c r="G1340" s="1111"/>
      <c r="H1340" s="834"/>
      <c r="I1340" s="832"/>
      <c r="J1340" s="1111"/>
      <c r="K1340" s="832"/>
      <c r="L1340" s="832"/>
      <c r="M1340" s="832"/>
      <c r="N1340" s="832"/>
      <c r="O1340" s="832"/>
      <c r="P1340" s="832"/>
      <c r="Q1340" s="832"/>
      <c r="R1340" s="832"/>
    </row>
    <row r="1341" spans="2:18">
      <c r="B1341" s="832"/>
      <c r="C1341" s="833"/>
      <c r="D1341" s="833"/>
      <c r="E1341" s="833"/>
      <c r="F1341" s="1111"/>
      <c r="G1341" s="1111"/>
      <c r="H1341" s="834"/>
      <c r="I1341" s="832"/>
      <c r="J1341" s="1111"/>
      <c r="K1341" s="832"/>
      <c r="L1341" s="832"/>
      <c r="M1341" s="832"/>
      <c r="N1341" s="832"/>
      <c r="O1341" s="832"/>
      <c r="P1341" s="832"/>
      <c r="Q1341" s="832"/>
      <c r="R1341" s="832"/>
    </row>
    <row r="1342" spans="2:18">
      <c r="B1342" s="832"/>
      <c r="C1342" s="833"/>
      <c r="D1342" s="833"/>
      <c r="E1342" s="833"/>
      <c r="F1342" s="1111"/>
      <c r="G1342" s="1111"/>
      <c r="H1342" s="834"/>
      <c r="I1342" s="832"/>
      <c r="J1342" s="1111"/>
      <c r="K1342" s="832"/>
      <c r="L1342" s="832"/>
      <c r="M1342" s="832"/>
      <c r="N1342" s="832"/>
      <c r="O1342" s="832"/>
      <c r="P1342" s="832"/>
      <c r="Q1342" s="832"/>
      <c r="R1342" s="832"/>
    </row>
    <row r="1343" spans="2:18">
      <c r="B1343" s="832"/>
      <c r="C1343" s="833"/>
      <c r="D1343" s="833"/>
      <c r="E1343" s="833"/>
      <c r="F1343" s="1111"/>
      <c r="G1343" s="1111"/>
      <c r="H1343" s="834"/>
      <c r="I1343" s="832"/>
      <c r="J1343" s="1111"/>
      <c r="K1343" s="832"/>
      <c r="L1343" s="832"/>
      <c r="M1343" s="832"/>
      <c r="N1343" s="832"/>
      <c r="O1343" s="832"/>
      <c r="P1343" s="832"/>
      <c r="Q1343" s="832"/>
      <c r="R1343" s="832"/>
    </row>
    <row r="1344" spans="2:18">
      <c r="B1344" s="832"/>
      <c r="C1344" s="833"/>
      <c r="D1344" s="833"/>
      <c r="E1344" s="833"/>
      <c r="F1344" s="1111"/>
      <c r="G1344" s="1111"/>
      <c r="H1344" s="834"/>
      <c r="I1344" s="832"/>
      <c r="J1344" s="1111"/>
      <c r="K1344" s="832"/>
      <c r="L1344" s="832"/>
      <c r="M1344" s="832"/>
      <c r="N1344" s="832"/>
      <c r="O1344" s="832"/>
      <c r="P1344" s="832"/>
      <c r="Q1344" s="832"/>
      <c r="R1344" s="832"/>
    </row>
    <row r="1345" spans="2:18">
      <c r="B1345" s="832"/>
      <c r="C1345" s="833"/>
      <c r="D1345" s="833"/>
      <c r="E1345" s="833"/>
      <c r="F1345" s="1111"/>
      <c r="G1345" s="1111"/>
      <c r="H1345" s="834"/>
      <c r="I1345" s="832"/>
      <c r="J1345" s="1111"/>
      <c r="K1345" s="832"/>
      <c r="L1345" s="832"/>
      <c r="M1345" s="832"/>
      <c r="N1345" s="832"/>
      <c r="O1345" s="832"/>
      <c r="P1345" s="832"/>
      <c r="Q1345" s="832"/>
      <c r="R1345" s="832"/>
    </row>
    <row r="1346" spans="2:18">
      <c r="B1346" s="832"/>
      <c r="C1346" s="833"/>
      <c r="D1346" s="833"/>
      <c r="E1346" s="833"/>
      <c r="F1346" s="1111"/>
      <c r="G1346" s="1111"/>
      <c r="H1346" s="834"/>
      <c r="I1346" s="832"/>
      <c r="J1346" s="1111"/>
      <c r="K1346" s="832"/>
      <c r="L1346" s="832"/>
      <c r="M1346" s="832"/>
      <c r="N1346" s="832"/>
      <c r="O1346" s="832"/>
      <c r="P1346" s="832"/>
      <c r="Q1346" s="832"/>
      <c r="R1346" s="832"/>
    </row>
    <row r="1347" spans="2:18">
      <c r="B1347" s="832"/>
      <c r="C1347" s="833"/>
      <c r="D1347" s="833"/>
      <c r="E1347" s="833"/>
      <c r="F1347" s="1111"/>
      <c r="G1347" s="1111"/>
      <c r="H1347" s="834"/>
      <c r="I1347" s="832"/>
      <c r="J1347" s="1111"/>
      <c r="K1347" s="832"/>
      <c r="L1347" s="832"/>
      <c r="M1347" s="832"/>
      <c r="N1347" s="832"/>
      <c r="O1347" s="832"/>
      <c r="P1347" s="832"/>
      <c r="Q1347" s="832"/>
      <c r="R1347" s="832"/>
    </row>
    <row r="1348" spans="2:18">
      <c r="B1348" s="832"/>
      <c r="C1348" s="833"/>
      <c r="D1348" s="833"/>
      <c r="E1348" s="833"/>
      <c r="F1348" s="1111"/>
      <c r="G1348" s="1111"/>
      <c r="H1348" s="834"/>
      <c r="I1348" s="832"/>
      <c r="J1348" s="1111"/>
      <c r="K1348" s="832"/>
      <c r="L1348" s="832"/>
      <c r="M1348" s="832"/>
      <c r="N1348" s="832"/>
      <c r="O1348" s="832"/>
      <c r="P1348" s="832"/>
      <c r="Q1348" s="832"/>
      <c r="R1348" s="832"/>
    </row>
    <row r="1349" spans="2:18">
      <c r="B1349" s="832"/>
      <c r="C1349" s="833"/>
      <c r="D1349" s="833"/>
      <c r="E1349" s="833"/>
      <c r="F1349" s="1111"/>
      <c r="G1349" s="1111"/>
      <c r="H1349" s="834"/>
      <c r="I1349" s="832"/>
      <c r="J1349" s="1111"/>
      <c r="K1349" s="832"/>
      <c r="L1349" s="832"/>
      <c r="M1349" s="832"/>
      <c r="N1349" s="832"/>
      <c r="O1349" s="832"/>
      <c r="P1349" s="832"/>
      <c r="Q1349" s="832"/>
      <c r="R1349" s="832"/>
    </row>
    <row r="1350" spans="2:18">
      <c r="B1350" s="832"/>
      <c r="C1350" s="833"/>
      <c r="D1350" s="833"/>
      <c r="E1350" s="833"/>
      <c r="F1350" s="1111"/>
      <c r="G1350" s="1111"/>
      <c r="H1350" s="834"/>
      <c r="I1350" s="832"/>
      <c r="J1350" s="1111"/>
      <c r="K1350" s="832"/>
      <c r="L1350" s="832"/>
      <c r="M1350" s="832"/>
      <c r="N1350" s="832"/>
      <c r="O1350" s="832"/>
      <c r="P1350" s="832"/>
      <c r="Q1350" s="832"/>
      <c r="R1350" s="832"/>
    </row>
    <row r="1351" spans="2:18">
      <c r="B1351" s="832"/>
      <c r="C1351" s="833"/>
      <c r="D1351" s="833"/>
      <c r="E1351" s="833"/>
      <c r="F1351" s="1111"/>
      <c r="G1351" s="1111"/>
      <c r="H1351" s="834"/>
      <c r="I1351" s="832"/>
      <c r="J1351" s="1111"/>
      <c r="K1351" s="832"/>
      <c r="L1351" s="832"/>
      <c r="M1351" s="832"/>
      <c r="N1351" s="832"/>
      <c r="O1351" s="832"/>
      <c r="P1351" s="832"/>
      <c r="Q1351" s="832"/>
      <c r="R1351" s="832"/>
    </row>
    <row r="1352" spans="2:18">
      <c r="B1352" s="832"/>
      <c r="C1352" s="833"/>
      <c r="D1352" s="833"/>
      <c r="E1352" s="833"/>
      <c r="F1352" s="1111"/>
      <c r="G1352" s="1111"/>
      <c r="H1352" s="834"/>
      <c r="I1352" s="832"/>
      <c r="J1352" s="1111"/>
      <c r="K1352" s="832"/>
      <c r="L1352" s="832"/>
      <c r="M1352" s="832"/>
      <c r="N1352" s="832"/>
      <c r="O1352" s="832"/>
      <c r="P1352" s="832"/>
      <c r="Q1352" s="832"/>
      <c r="R1352" s="832"/>
    </row>
    <row r="1353" spans="2:18">
      <c r="B1353" s="832"/>
      <c r="C1353" s="833"/>
      <c r="D1353" s="833"/>
      <c r="E1353" s="833"/>
      <c r="F1353" s="1111"/>
      <c r="G1353" s="1111"/>
      <c r="H1353" s="834"/>
      <c r="I1353" s="832"/>
      <c r="J1353" s="1111"/>
      <c r="K1353" s="832"/>
      <c r="L1353" s="832"/>
      <c r="M1353" s="832"/>
      <c r="N1353" s="832"/>
      <c r="O1353" s="832"/>
      <c r="P1353" s="832"/>
      <c r="Q1353" s="832"/>
      <c r="R1353" s="832"/>
    </row>
    <row r="1354" spans="2:18">
      <c r="B1354" s="832"/>
      <c r="C1354" s="833"/>
      <c r="D1354" s="833"/>
      <c r="E1354" s="833"/>
      <c r="F1354" s="1111"/>
      <c r="G1354" s="1111"/>
      <c r="H1354" s="834"/>
      <c r="I1354" s="832"/>
      <c r="J1354" s="1111"/>
      <c r="K1354" s="832"/>
      <c r="L1354" s="832"/>
      <c r="M1354" s="832"/>
      <c r="N1354" s="832"/>
      <c r="O1354" s="832"/>
      <c r="P1354" s="832"/>
      <c r="Q1354" s="832"/>
      <c r="R1354" s="832"/>
    </row>
    <row r="1355" spans="2:18">
      <c r="B1355" s="832"/>
      <c r="C1355" s="833"/>
      <c r="D1355" s="833"/>
      <c r="E1355" s="833"/>
      <c r="F1355" s="1111"/>
      <c r="G1355" s="1111"/>
      <c r="H1355" s="834"/>
      <c r="I1355" s="832"/>
      <c r="J1355" s="1111"/>
      <c r="K1355" s="832"/>
      <c r="L1355" s="832"/>
      <c r="M1355" s="832"/>
      <c r="N1355" s="832"/>
      <c r="O1355" s="832"/>
      <c r="P1355" s="832"/>
      <c r="Q1355" s="832"/>
      <c r="R1355" s="832"/>
    </row>
    <row r="1356" spans="2:18">
      <c r="B1356" s="832"/>
      <c r="C1356" s="833"/>
      <c r="D1356" s="833"/>
      <c r="E1356" s="833"/>
      <c r="F1356" s="1111"/>
      <c r="G1356" s="1111"/>
      <c r="H1356" s="834"/>
      <c r="I1356" s="832"/>
      <c r="J1356" s="1111"/>
      <c r="K1356" s="832"/>
      <c r="L1356" s="832"/>
      <c r="M1356" s="832"/>
      <c r="N1356" s="832"/>
      <c r="O1356" s="832"/>
      <c r="P1356" s="832"/>
      <c r="Q1356" s="832"/>
      <c r="R1356" s="832"/>
    </row>
    <row r="1357" spans="2:18">
      <c r="B1357" s="832"/>
      <c r="C1357" s="833"/>
      <c r="D1357" s="833"/>
      <c r="E1357" s="833"/>
      <c r="F1357" s="1111"/>
      <c r="G1357" s="1111"/>
      <c r="H1357" s="834"/>
      <c r="I1357" s="832"/>
      <c r="J1357" s="1111"/>
      <c r="K1357" s="832"/>
      <c r="L1357" s="832"/>
      <c r="M1357" s="832"/>
      <c r="N1357" s="832"/>
      <c r="O1357" s="832"/>
      <c r="P1357" s="832"/>
      <c r="Q1357" s="832"/>
      <c r="R1357" s="832"/>
    </row>
    <row r="1358" spans="2:18">
      <c r="B1358" s="832"/>
      <c r="C1358" s="833"/>
      <c r="D1358" s="833"/>
      <c r="E1358" s="833"/>
      <c r="F1358" s="1111"/>
      <c r="G1358" s="1111"/>
      <c r="H1358" s="834"/>
      <c r="I1358" s="832"/>
      <c r="J1358" s="1111"/>
      <c r="K1358" s="832"/>
      <c r="L1358" s="832"/>
      <c r="M1358" s="832"/>
      <c r="N1358" s="832"/>
      <c r="O1358" s="832"/>
      <c r="P1358" s="832"/>
      <c r="Q1358" s="832"/>
      <c r="R1358" s="832"/>
    </row>
    <row r="1359" spans="2:18">
      <c r="B1359" s="832"/>
      <c r="C1359" s="833"/>
      <c r="D1359" s="833"/>
      <c r="E1359" s="833"/>
      <c r="F1359" s="1111"/>
      <c r="G1359" s="1111"/>
      <c r="H1359" s="834"/>
      <c r="I1359" s="832"/>
      <c r="J1359" s="1111"/>
      <c r="K1359" s="832"/>
      <c r="L1359" s="832"/>
      <c r="M1359" s="832"/>
      <c r="N1359" s="832"/>
      <c r="O1359" s="832"/>
      <c r="P1359" s="832"/>
      <c r="Q1359" s="832"/>
      <c r="R1359" s="832"/>
    </row>
    <row r="1360" spans="2:18">
      <c r="B1360" s="832"/>
      <c r="C1360" s="833"/>
      <c r="D1360" s="833"/>
      <c r="E1360" s="833"/>
      <c r="F1360" s="1111"/>
      <c r="G1360" s="1111"/>
      <c r="H1360" s="834"/>
      <c r="I1360" s="832"/>
      <c r="J1360" s="1111"/>
      <c r="K1360" s="832"/>
      <c r="L1360" s="832"/>
      <c r="M1360" s="832"/>
      <c r="N1360" s="832"/>
      <c r="O1360" s="832"/>
      <c r="P1360" s="832"/>
      <c r="Q1360" s="832"/>
      <c r="R1360" s="832"/>
    </row>
    <row r="1361" spans="2:18">
      <c r="B1361" s="832"/>
      <c r="C1361" s="833"/>
      <c r="D1361" s="833"/>
      <c r="E1361" s="833"/>
      <c r="F1361" s="1111"/>
      <c r="G1361" s="1111"/>
      <c r="H1361" s="834"/>
      <c r="I1361" s="832"/>
      <c r="J1361" s="1111"/>
      <c r="K1361" s="832"/>
      <c r="L1361" s="832"/>
      <c r="M1361" s="832"/>
      <c r="N1361" s="832"/>
      <c r="O1361" s="832"/>
      <c r="P1361" s="832"/>
      <c r="Q1361" s="832"/>
      <c r="R1361" s="832"/>
    </row>
    <row r="1362" spans="2:18">
      <c r="B1362" s="832"/>
      <c r="C1362" s="833"/>
      <c r="D1362" s="833"/>
      <c r="E1362" s="833"/>
      <c r="F1362" s="1111"/>
      <c r="G1362" s="1111"/>
      <c r="H1362" s="834"/>
      <c r="I1362" s="832"/>
      <c r="J1362" s="1111"/>
      <c r="K1362" s="832"/>
      <c r="L1362" s="832"/>
      <c r="M1362" s="832"/>
      <c r="N1362" s="832"/>
      <c r="O1362" s="832"/>
      <c r="P1362" s="832"/>
      <c r="Q1362" s="832"/>
      <c r="R1362" s="832"/>
    </row>
    <row r="1363" spans="2:18">
      <c r="B1363" s="832"/>
      <c r="C1363" s="833"/>
      <c r="D1363" s="833"/>
      <c r="E1363" s="833"/>
      <c r="F1363" s="1111"/>
      <c r="G1363" s="1111"/>
      <c r="H1363" s="834"/>
      <c r="I1363" s="832"/>
      <c r="J1363" s="1111"/>
      <c r="K1363" s="832"/>
      <c r="L1363" s="832"/>
      <c r="M1363" s="832"/>
      <c r="N1363" s="832"/>
      <c r="O1363" s="832"/>
      <c r="P1363" s="832"/>
      <c r="Q1363" s="832"/>
      <c r="R1363" s="832"/>
    </row>
    <row r="1364" spans="2:18">
      <c r="B1364" s="832"/>
      <c r="C1364" s="833"/>
      <c r="D1364" s="833"/>
      <c r="E1364" s="833"/>
      <c r="F1364" s="1111"/>
      <c r="G1364" s="1111"/>
      <c r="H1364" s="834"/>
      <c r="I1364" s="832"/>
      <c r="J1364" s="1111"/>
      <c r="K1364" s="832"/>
      <c r="L1364" s="832"/>
      <c r="M1364" s="832"/>
      <c r="N1364" s="832"/>
      <c r="O1364" s="832"/>
      <c r="P1364" s="832"/>
      <c r="Q1364" s="832"/>
      <c r="R1364" s="832"/>
    </row>
    <row r="1365" spans="2:18">
      <c r="B1365" s="832"/>
      <c r="C1365" s="833"/>
      <c r="D1365" s="833"/>
      <c r="E1365" s="833"/>
      <c r="F1365" s="1111"/>
      <c r="G1365" s="1111"/>
      <c r="H1365" s="834"/>
      <c r="I1365" s="832"/>
      <c r="J1365" s="1111"/>
      <c r="K1365" s="832"/>
      <c r="L1365" s="832"/>
      <c r="M1365" s="832"/>
      <c r="N1365" s="832"/>
      <c r="O1365" s="832"/>
      <c r="P1365" s="832"/>
      <c r="Q1365" s="832"/>
      <c r="R1365" s="832"/>
    </row>
    <row r="1366" spans="2:18">
      <c r="B1366" s="832"/>
      <c r="C1366" s="833"/>
      <c r="D1366" s="833"/>
      <c r="E1366" s="833"/>
      <c r="F1366" s="1111"/>
      <c r="G1366" s="1111"/>
      <c r="H1366" s="834"/>
      <c r="I1366" s="832"/>
      <c r="J1366" s="1111"/>
      <c r="K1366" s="832"/>
      <c r="L1366" s="832"/>
      <c r="M1366" s="832"/>
      <c r="N1366" s="832"/>
      <c r="O1366" s="832"/>
      <c r="P1366" s="832"/>
      <c r="Q1366" s="832"/>
      <c r="R1366" s="832"/>
    </row>
    <row r="1367" spans="2:18">
      <c r="B1367" s="832"/>
      <c r="C1367" s="833"/>
      <c r="D1367" s="833"/>
      <c r="E1367" s="833"/>
      <c r="F1367" s="1111"/>
      <c r="G1367" s="1111"/>
      <c r="H1367" s="834"/>
      <c r="I1367" s="832"/>
      <c r="J1367" s="1111"/>
      <c r="K1367" s="832"/>
      <c r="L1367" s="832"/>
      <c r="M1367" s="832"/>
      <c r="N1367" s="832"/>
      <c r="O1367" s="832"/>
      <c r="P1367" s="832"/>
      <c r="Q1367" s="832"/>
      <c r="R1367" s="832"/>
    </row>
    <row r="1368" spans="2:18">
      <c r="B1368" s="832"/>
      <c r="C1368" s="833"/>
      <c r="D1368" s="833"/>
      <c r="E1368" s="833"/>
      <c r="F1368" s="1111"/>
      <c r="G1368" s="1111"/>
      <c r="H1368" s="834"/>
      <c r="I1368" s="832"/>
      <c r="J1368" s="1111"/>
      <c r="K1368" s="832"/>
      <c r="L1368" s="832"/>
      <c r="M1368" s="832"/>
      <c r="N1368" s="832"/>
      <c r="O1368" s="832"/>
      <c r="P1368" s="832"/>
      <c r="Q1368" s="832"/>
      <c r="R1368" s="832"/>
    </row>
    <row r="1369" spans="2:18">
      <c r="B1369" s="832"/>
      <c r="C1369" s="833"/>
      <c r="D1369" s="833"/>
      <c r="E1369" s="833"/>
      <c r="F1369" s="1111"/>
      <c r="G1369" s="1111"/>
      <c r="H1369" s="834"/>
      <c r="I1369" s="832"/>
      <c r="J1369" s="1111"/>
      <c r="K1369" s="832"/>
      <c r="L1369" s="832"/>
      <c r="M1369" s="832"/>
      <c r="N1369" s="832"/>
      <c r="O1369" s="832"/>
      <c r="P1369" s="832"/>
      <c r="Q1369" s="832"/>
      <c r="R1369" s="832"/>
    </row>
    <row r="1370" spans="2:18">
      <c r="B1370" s="832"/>
      <c r="C1370" s="833"/>
      <c r="D1370" s="833"/>
      <c r="E1370" s="833"/>
      <c r="F1370" s="1111"/>
      <c r="G1370" s="1111"/>
      <c r="H1370" s="834"/>
      <c r="I1370" s="832"/>
      <c r="J1370" s="1111"/>
      <c r="K1370" s="832"/>
      <c r="L1370" s="832"/>
      <c r="M1370" s="832"/>
      <c r="N1370" s="832"/>
      <c r="O1370" s="832"/>
      <c r="P1370" s="832"/>
      <c r="Q1370" s="832"/>
      <c r="R1370" s="832"/>
    </row>
    <row r="1371" spans="2:18">
      <c r="B1371" s="832"/>
      <c r="C1371" s="833"/>
      <c r="D1371" s="833"/>
      <c r="E1371" s="833"/>
      <c r="F1371" s="1111"/>
      <c r="G1371" s="1111"/>
      <c r="H1371" s="834"/>
      <c r="I1371" s="832"/>
      <c r="J1371" s="1111"/>
      <c r="K1371" s="832"/>
      <c r="L1371" s="832"/>
      <c r="M1371" s="832"/>
      <c r="N1371" s="832"/>
      <c r="O1371" s="832"/>
      <c r="P1371" s="832"/>
      <c r="Q1371" s="832"/>
      <c r="R1371" s="832"/>
    </row>
    <row r="1372" spans="2:18">
      <c r="B1372" s="832"/>
      <c r="C1372" s="833"/>
      <c r="D1372" s="833"/>
      <c r="E1372" s="833"/>
      <c r="F1372" s="1111"/>
      <c r="G1372" s="1111"/>
      <c r="H1372" s="834"/>
      <c r="I1372" s="832"/>
      <c r="J1372" s="1111"/>
      <c r="K1372" s="832"/>
      <c r="L1372" s="832"/>
      <c r="M1372" s="832"/>
      <c r="N1372" s="832"/>
      <c r="O1372" s="832"/>
      <c r="P1372" s="832"/>
      <c r="Q1372" s="832"/>
      <c r="R1372" s="832"/>
    </row>
    <row r="1373" spans="2:18">
      <c r="B1373" s="832"/>
      <c r="C1373" s="833"/>
      <c r="D1373" s="833"/>
      <c r="E1373" s="833"/>
      <c r="F1373" s="1111"/>
      <c r="G1373" s="1111"/>
      <c r="H1373" s="834"/>
      <c r="I1373" s="832"/>
      <c r="J1373" s="1111"/>
      <c r="K1373" s="832"/>
      <c r="L1373" s="832"/>
      <c r="M1373" s="832"/>
      <c r="N1373" s="832"/>
      <c r="O1373" s="832"/>
      <c r="P1373" s="832"/>
      <c r="Q1373" s="832"/>
      <c r="R1373" s="832"/>
    </row>
    <row r="1374" spans="2:18">
      <c r="B1374" s="832"/>
      <c r="C1374" s="833"/>
      <c r="D1374" s="833"/>
      <c r="E1374" s="833"/>
      <c r="F1374" s="1111"/>
      <c r="G1374" s="1111"/>
      <c r="H1374" s="834"/>
      <c r="I1374" s="832"/>
      <c r="J1374" s="1111"/>
      <c r="K1374" s="832"/>
      <c r="L1374" s="832"/>
      <c r="M1374" s="832"/>
      <c r="N1374" s="832"/>
      <c r="O1374" s="832"/>
      <c r="P1374" s="832"/>
      <c r="Q1374" s="832"/>
      <c r="R1374" s="832"/>
    </row>
    <row r="1375" spans="2:18">
      <c r="B1375" s="832"/>
      <c r="C1375" s="833"/>
      <c r="D1375" s="833"/>
      <c r="E1375" s="833"/>
      <c r="F1375" s="1111"/>
      <c r="G1375" s="1111"/>
      <c r="H1375" s="834"/>
      <c r="I1375" s="832"/>
      <c r="J1375" s="1111"/>
      <c r="K1375" s="832"/>
      <c r="L1375" s="832"/>
      <c r="M1375" s="832"/>
      <c r="N1375" s="832"/>
      <c r="O1375" s="832"/>
      <c r="P1375" s="832"/>
      <c r="Q1375" s="832"/>
      <c r="R1375" s="832"/>
    </row>
    <row r="1376" spans="2:18">
      <c r="B1376" s="832"/>
      <c r="C1376" s="833"/>
      <c r="D1376" s="833"/>
      <c r="E1376" s="833"/>
      <c r="F1376" s="1111"/>
      <c r="G1376" s="1111"/>
      <c r="H1376" s="834"/>
      <c r="I1376" s="832"/>
      <c r="J1376" s="1111"/>
      <c r="K1376" s="832"/>
      <c r="L1376" s="832"/>
      <c r="M1376" s="832"/>
      <c r="N1376" s="832"/>
      <c r="O1376" s="832"/>
      <c r="P1376" s="832"/>
      <c r="Q1376" s="832"/>
      <c r="R1376" s="832"/>
    </row>
    <row r="1377" spans="2:18">
      <c r="B1377" s="832"/>
      <c r="C1377" s="833"/>
      <c r="D1377" s="833"/>
      <c r="E1377" s="833"/>
      <c r="F1377" s="1111"/>
      <c r="G1377" s="1111"/>
      <c r="H1377" s="834"/>
      <c r="I1377" s="832"/>
      <c r="J1377" s="1111"/>
      <c r="K1377" s="832"/>
      <c r="L1377" s="832"/>
      <c r="M1377" s="832"/>
      <c r="N1377" s="832"/>
      <c r="O1377" s="832"/>
      <c r="P1377" s="832"/>
      <c r="Q1377" s="832"/>
      <c r="R1377" s="832"/>
    </row>
    <row r="1378" spans="2:18">
      <c r="B1378" s="832"/>
      <c r="C1378" s="833"/>
      <c r="D1378" s="833"/>
      <c r="E1378" s="833"/>
      <c r="F1378" s="1111"/>
      <c r="G1378" s="1111"/>
      <c r="H1378" s="834"/>
      <c r="I1378" s="832"/>
      <c r="J1378" s="1111"/>
      <c r="K1378" s="832"/>
      <c r="L1378" s="832"/>
      <c r="M1378" s="832"/>
      <c r="N1378" s="832"/>
      <c r="O1378" s="832"/>
      <c r="P1378" s="832"/>
      <c r="Q1378" s="832"/>
      <c r="R1378" s="832"/>
    </row>
    <row r="1379" spans="2:18">
      <c r="B1379" s="832"/>
      <c r="C1379" s="833"/>
      <c r="D1379" s="833"/>
      <c r="E1379" s="833"/>
      <c r="F1379" s="1111"/>
      <c r="G1379" s="1111"/>
      <c r="H1379" s="834"/>
      <c r="I1379" s="832"/>
      <c r="J1379" s="1111"/>
      <c r="K1379" s="832"/>
      <c r="L1379" s="832"/>
      <c r="M1379" s="832"/>
      <c r="N1379" s="832"/>
      <c r="O1379" s="832"/>
      <c r="P1379" s="832"/>
      <c r="Q1379" s="832"/>
      <c r="R1379" s="832"/>
    </row>
    <row r="1380" spans="2:18">
      <c r="B1380" s="832"/>
      <c r="C1380" s="833"/>
      <c r="D1380" s="833"/>
      <c r="E1380" s="833"/>
      <c r="F1380" s="1111"/>
      <c r="G1380" s="1111"/>
      <c r="H1380" s="834"/>
      <c r="I1380" s="832"/>
      <c r="J1380" s="1111"/>
      <c r="K1380" s="832"/>
      <c r="L1380" s="832"/>
      <c r="M1380" s="832"/>
      <c r="N1380" s="832"/>
      <c r="O1380" s="832"/>
      <c r="P1380" s="832"/>
      <c r="Q1380" s="832"/>
      <c r="R1380" s="832"/>
    </row>
    <row r="1381" spans="2:18">
      <c r="B1381" s="832"/>
      <c r="C1381" s="833"/>
      <c r="D1381" s="833"/>
      <c r="E1381" s="833"/>
      <c r="F1381" s="1111"/>
      <c r="G1381" s="1111"/>
      <c r="H1381" s="834"/>
      <c r="I1381" s="832"/>
      <c r="J1381" s="1111"/>
      <c r="K1381" s="832"/>
      <c r="L1381" s="832"/>
      <c r="M1381" s="832"/>
      <c r="N1381" s="832"/>
      <c r="O1381" s="832"/>
      <c r="P1381" s="832"/>
      <c r="Q1381" s="832"/>
      <c r="R1381" s="832"/>
    </row>
    <row r="1382" spans="2:18">
      <c r="B1382" s="832"/>
      <c r="C1382" s="833"/>
      <c r="D1382" s="833"/>
      <c r="E1382" s="833"/>
      <c r="F1382" s="1111"/>
      <c r="G1382" s="1111"/>
      <c r="H1382" s="834"/>
      <c r="I1382" s="832"/>
      <c r="J1382" s="1111"/>
      <c r="K1382" s="832"/>
      <c r="L1382" s="832"/>
      <c r="M1382" s="832"/>
      <c r="N1382" s="832"/>
      <c r="O1382" s="832"/>
      <c r="P1382" s="832"/>
      <c r="Q1382" s="832"/>
      <c r="R1382" s="832"/>
    </row>
    <row r="1383" spans="2:18">
      <c r="B1383" s="832"/>
      <c r="C1383" s="833"/>
      <c r="D1383" s="833"/>
      <c r="E1383" s="833"/>
      <c r="F1383" s="1111"/>
      <c r="G1383" s="1111"/>
      <c r="H1383" s="834"/>
      <c r="I1383" s="832"/>
      <c r="J1383" s="1111"/>
      <c r="K1383" s="832"/>
      <c r="L1383" s="832"/>
      <c r="M1383" s="832"/>
      <c r="N1383" s="832"/>
      <c r="O1383" s="832"/>
      <c r="P1383" s="832"/>
      <c r="Q1383" s="832"/>
      <c r="R1383" s="832"/>
    </row>
    <row r="1384" spans="2:18">
      <c r="B1384" s="832"/>
      <c r="C1384" s="833"/>
      <c r="D1384" s="833"/>
      <c r="E1384" s="833"/>
      <c r="F1384" s="1111"/>
      <c r="G1384" s="1111"/>
      <c r="H1384" s="834"/>
      <c r="I1384" s="832"/>
      <c r="J1384" s="1111"/>
      <c r="K1384" s="832"/>
      <c r="L1384" s="832"/>
      <c r="M1384" s="832"/>
      <c r="N1384" s="832"/>
      <c r="O1384" s="832"/>
      <c r="P1384" s="832"/>
      <c r="Q1384" s="832"/>
      <c r="R1384" s="832"/>
    </row>
    <row r="1385" spans="2:18">
      <c r="B1385" s="832"/>
      <c r="C1385" s="833"/>
      <c r="D1385" s="833"/>
      <c r="E1385" s="833"/>
      <c r="F1385" s="1111"/>
      <c r="G1385" s="1111"/>
      <c r="H1385" s="834"/>
      <c r="I1385" s="832"/>
      <c r="J1385" s="1111"/>
      <c r="K1385" s="832"/>
      <c r="L1385" s="832"/>
      <c r="M1385" s="832"/>
      <c r="N1385" s="832"/>
      <c r="O1385" s="832"/>
      <c r="P1385" s="832"/>
      <c r="Q1385" s="832"/>
      <c r="R1385" s="832"/>
    </row>
    <row r="1386" spans="2:18">
      <c r="B1386" s="832"/>
      <c r="C1386" s="833"/>
      <c r="D1386" s="833"/>
      <c r="E1386" s="833"/>
      <c r="F1386" s="1111"/>
      <c r="G1386" s="1111"/>
      <c r="H1386" s="834"/>
      <c r="I1386" s="832"/>
      <c r="J1386" s="1111"/>
      <c r="K1386" s="832"/>
      <c r="L1386" s="832"/>
      <c r="M1386" s="832"/>
      <c r="N1386" s="832"/>
      <c r="O1386" s="832"/>
      <c r="P1386" s="832"/>
      <c r="Q1386" s="832"/>
      <c r="R1386" s="832"/>
    </row>
    <row r="1387" spans="2:18">
      <c r="B1387" s="832"/>
      <c r="C1387" s="833"/>
      <c r="D1387" s="833"/>
      <c r="E1387" s="833"/>
      <c r="F1387" s="1111"/>
      <c r="G1387" s="1111"/>
      <c r="H1387" s="834"/>
      <c r="I1387" s="832"/>
      <c r="J1387" s="1111"/>
      <c r="K1387" s="832"/>
      <c r="L1387" s="832"/>
      <c r="M1387" s="832"/>
      <c r="N1387" s="832"/>
      <c r="O1387" s="832"/>
      <c r="P1387" s="832"/>
      <c r="Q1387" s="832"/>
      <c r="R1387" s="832"/>
    </row>
    <row r="1388" spans="2:18">
      <c r="B1388" s="832"/>
      <c r="C1388" s="833"/>
      <c r="D1388" s="833"/>
      <c r="E1388" s="833"/>
      <c r="F1388" s="1111"/>
      <c r="G1388" s="1111"/>
      <c r="H1388" s="834"/>
      <c r="I1388" s="832"/>
      <c r="J1388" s="1111"/>
      <c r="K1388" s="832"/>
      <c r="L1388" s="832"/>
      <c r="M1388" s="832"/>
      <c r="N1388" s="832"/>
      <c r="O1388" s="832"/>
      <c r="P1388" s="832"/>
      <c r="Q1388" s="832"/>
      <c r="R1388" s="832"/>
    </row>
    <row r="1389" spans="2:18">
      <c r="B1389" s="832"/>
      <c r="C1389" s="833"/>
      <c r="D1389" s="833"/>
      <c r="E1389" s="833"/>
      <c r="F1389" s="1111"/>
      <c r="G1389" s="1111"/>
      <c r="H1389" s="834"/>
      <c r="I1389" s="832"/>
      <c r="J1389" s="1111"/>
      <c r="K1389" s="832"/>
      <c r="L1389" s="832"/>
      <c r="M1389" s="832"/>
      <c r="N1389" s="832"/>
      <c r="O1389" s="832"/>
      <c r="P1389" s="832"/>
      <c r="Q1389" s="832"/>
      <c r="R1389" s="832"/>
    </row>
    <row r="1390" spans="2:18">
      <c r="B1390" s="832"/>
      <c r="C1390" s="833"/>
      <c r="D1390" s="833"/>
      <c r="E1390" s="833"/>
      <c r="F1390" s="1111"/>
      <c r="G1390" s="1111"/>
      <c r="H1390" s="834"/>
      <c r="I1390" s="832"/>
      <c r="J1390" s="1111"/>
      <c r="K1390" s="832"/>
      <c r="L1390" s="832"/>
      <c r="M1390" s="832"/>
      <c r="N1390" s="832"/>
      <c r="O1390" s="832"/>
      <c r="P1390" s="832"/>
      <c r="Q1390" s="832"/>
      <c r="R1390" s="832"/>
    </row>
    <row r="1391" spans="2:18">
      <c r="B1391" s="832"/>
      <c r="C1391" s="833"/>
      <c r="D1391" s="833"/>
      <c r="E1391" s="833"/>
      <c r="F1391" s="1111"/>
      <c r="G1391" s="1111"/>
      <c r="H1391" s="834"/>
      <c r="I1391" s="832"/>
      <c r="J1391" s="1111"/>
      <c r="K1391" s="832"/>
      <c r="L1391" s="832"/>
      <c r="M1391" s="832"/>
      <c r="N1391" s="832"/>
      <c r="O1391" s="832"/>
      <c r="P1391" s="832"/>
      <c r="Q1391" s="832"/>
      <c r="R1391" s="832"/>
    </row>
    <row r="1392" spans="2:18">
      <c r="B1392" s="832"/>
      <c r="C1392" s="833"/>
      <c r="D1392" s="833"/>
      <c r="E1392" s="833"/>
      <c r="F1392" s="1111"/>
      <c r="G1392" s="1111"/>
      <c r="H1392" s="834"/>
      <c r="I1392" s="832"/>
      <c r="J1392" s="1111"/>
      <c r="K1392" s="832"/>
      <c r="L1392" s="832"/>
      <c r="M1392" s="832"/>
      <c r="N1392" s="832"/>
      <c r="O1392" s="832"/>
      <c r="P1392" s="832"/>
      <c r="Q1392" s="832"/>
      <c r="R1392" s="832"/>
    </row>
    <row r="1393" spans="2:18">
      <c r="B1393" s="832"/>
      <c r="C1393" s="833"/>
      <c r="D1393" s="833"/>
      <c r="E1393" s="833"/>
      <c r="F1393" s="1111"/>
      <c r="G1393" s="1111"/>
      <c r="H1393" s="834"/>
      <c r="I1393" s="832"/>
      <c r="J1393" s="1111"/>
      <c r="K1393" s="832"/>
      <c r="L1393" s="832"/>
      <c r="M1393" s="832"/>
      <c r="N1393" s="832"/>
      <c r="O1393" s="832"/>
      <c r="P1393" s="832"/>
      <c r="Q1393" s="832"/>
      <c r="R1393" s="832"/>
    </row>
    <row r="1394" spans="2:18">
      <c r="B1394" s="832"/>
      <c r="C1394" s="833"/>
      <c r="D1394" s="833"/>
      <c r="E1394" s="833"/>
      <c r="F1394" s="1111"/>
      <c r="G1394" s="1111"/>
      <c r="H1394" s="834"/>
      <c r="I1394" s="832"/>
      <c r="J1394" s="1111"/>
      <c r="K1394" s="832"/>
      <c r="L1394" s="832"/>
      <c r="M1394" s="832"/>
      <c r="N1394" s="832"/>
      <c r="O1394" s="832"/>
      <c r="P1394" s="832"/>
      <c r="Q1394" s="832"/>
      <c r="R1394" s="832"/>
    </row>
    <row r="1395" spans="2:18">
      <c r="B1395" s="832"/>
      <c r="C1395" s="833"/>
      <c r="D1395" s="833"/>
      <c r="E1395" s="833"/>
      <c r="F1395" s="1111"/>
      <c r="G1395" s="1111"/>
      <c r="H1395" s="834"/>
      <c r="I1395" s="832"/>
      <c r="J1395" s="1111"/>
      <c r="K1395" s="832"/>
      <c r="L1395" s="832"/>
      <c r="M1395" s="832"/>
      <c r="N1395" s="832"/>
      <c r="O1395" s="832"/>
      <c r="P1395" s="832"/>
      <c r="Q1395" s="832"/>
      <c r="R1395" s="832"/>
    </row>
    <row r="1396" spans="2:18">
      <c r="B1396" s="832"/>
      <c r="C1396" s="833"/>
      <c r="D1396" s="833"/>
      <c r="E1396" s="833"/>
      <c r="F1396" s="1111"/>
      <c r="G1396" s="1111"/>
      <c r="H1396" s="834"/>
      <c r="I1396" s="832"/>
      <c r="J1396" s="1111"/>
      <c r="K1396" s="832"/>
      <c r="L1396" s="832"/>
      <c r="M1396" s="832"/>
      <c r="N1396" s="832"/>
      <c r="O1396" s="832"/>
      <c r="P1396" s="832"/>
      <c r="Q1396" s="832"/>
      <c r="R1396" s="832"/>
    </row>
    <row r="1397" spans="2:18">
      <c r="B1397" s="832"/>
      <c r="C1397" s="833"/>
      <c r="D1397" s="833"/>
      <c r="E1397" s="833"/>
      <c r="F1397" s="1111"/>
      <c r="G1397" s="1111"/>
      <c r="H1397" s="834"/>
      <c r="I1397" s="832"/>
      <c r="J1397" s="1111"/>
      <c r="K1397" s="832"/>
      <c r="L1397" s="832"/>
      <c r="M1397" s="832"/>
      <c r="N1397" s="832"/>
      <c r="O1397" s="832"/>
      <c r="P1397" s="832"/>
      <c r="Q1397" s="832"/>
      <c r="R1397" s="832"/>
    </row>
    <row r="1398" spans="2:18">
      <c r="B1398" s="832"/>
      <c r="C1398" s="833"/>
      <c r="D1398" s="833"/>
      <c r="E1398" s="833"/>
      <c r="F1398" s="1111"/>
      <c r="G1398" s="1111"/>
      <c r="H1398" s="834"/>
      <c r="I1398" s="832"/>
      <c r="J1398" s="1111"/>
      <c r="K1398" s="832"/>
      <c r="L1398" s="832"/>
      <c r="M1398" s="832"/>
      <c r="N1398" s="832"/>
      <c r="O1398" s="832"/>
      <c r="P1398" s="832"/>
      <c r="Q1398" s="832"/>
      <c r="R1398" s="832"/>
    </row>
    <row r="1399" spans="2:18">
      <c r="B1399" s="832"/>
      <c r="C1399" s="833"/>
      <c r="D1399" s="833"/>
      <c r="E1399" s="833"/>
      <c r="F1399" s="1111"/>
      <c r="G1399" s="1111"/>
      <c r="H1399" s="834"/>
      <c r="I1399" s="832"/>
      <c r="J1399" s="1111"/>
      <c r="K1399" s="832"/>
      <c r="L1399" s="832"/>
      <c r="M1399" s="832"/>
      <c r="N1399" s="832"/>
      <c r="O1399" s="832"/>
      <c r="P1399" s="832"/>
      <c r="Q1399" s="832"/>
      <c r="R1399" s="832"/>
    </row>
    <row r="1400" spans="2:18">
      <c r="B1400" s="832"/>
      <c r="C1400" s="833"/>
      <c r="D1400" s="833"/>
      <c r="E1400" s="833"/>
      <c r="F1400" s="1111"/>
      <c r="G1400" s="1111"/>
      <c r="H1400" s="834"/>
      <c r="I1400" s="832"/>
      <c r="J1400" s="1111"/>
      <c r="K1400" s="832"/>
      <c r="L1400" s="832"/>
      <c r="M1400" s="832"/>
      <c r="N1400" s="832"/>
      <c r="O1400" s="832"/>
      <c r="P1400" s="832"/>
      <c r="Q1400" s="832"/>
      <c r="R1400" s="832"/>
    </row>
    <row r="1401" spans="2:18">
      <c r="B1401" s="832"/>
      <c r="C1401" s="833"/>
      <c r="D1401" s="833"/>
      <c r="E1401" s="833"/>
      <c r="F1401" s="1111"/>
      <c r="G1401" s="1111"/>
      <c r="H1401" s="834"/>
      <c r="I1401" s="832"/>
      <c r="J1401" s="1111"/>
      <c r="K1401" s="832"/>
      <c r="L1401" s="832"/>
      <c r="M1401" s="832"/>
      <c r="N1401" s="832"/>
      <c r="O1401" s="832"/>
      <c r="P1401" s="832"/>
      <c r="Q1401" s="832"/>
      <c r="R1401" s="832"/>
    </row>
    <row r="1402" spans="2:18">
      <c r="B1402" s="832"/>
      <c r="C1402" s="833"/>
      <c r="D1402" s="833"/>
      <c r="E1402" s="833"/>
      <c r="F1402" s="1111"/>
      <c r="G1402" s="1111"/>
      <c r="H1402" s="834"/>
      <c r="I1402" s="832"/>
      <c r="J1402" s="1111"/>
      <c r="K1402" s="832"/>
      <c r="L1402" s="832"/>
      <c r="M1402" s="832"/>
      <c r="N1402" s="832"/>
      <c r="O1402" s="832"/>
      <c r="P1402" s="832"/>
      <c r="Q1402" s="832"/>
      <c r="R1402" s="832"/>
    </row>
    <row r="1403" spans="2:18">
      <c r="B1403" s="832"/>
      <c r="C1403" s="833"/>
      <c r="D1403" s="833"/>
      <c r="E1403" s="833"/>
      <c r="F1403" s="1111"/>
      <c r="G1403" s="1111"/>
      <c r="H1403" s="834"/>
      <c r="I1403" s="832"/>
      <c r="J1403" s="1111"/>
      <c r="K1403" s="832"/>
      <c r="L1403" s="832"/>
      <c r="M1403" s="832"/>
      <c r="N1403" s="832"/>
      <c r="O1403" s="832"/>
      <c r="P1403" s="832"/>
      <c r="Q1403" s="832"/>
      <c r="R1403" s="832"/>
    </row>
    <row r="1404" spans="2:18">
      <c r="B1404" s="832"/>
      <c r="C1404" s="833"/>
      <c r="D1404" s="833"/>
      <c r="E1404" s="833"/>
      <c r="F1404" s="1111"/>
      <c r="G1404" s="1111"/>
      <c r="H1404" s="834"/>
      <c r="I1404" s="832"/>
      <c r="J1404" s="1111"/>
      <c r="K1404" s="832"/>
      <c r="L1404" s="832"/>
      <c r="M1404" s="832"/>
      <c r="N1404" s="832"/>
      <c r="O1404" s="832"/>
      <c r="P1404" s="832"/>
      <c r="Q1404" s="832"/>
      <c r="R1404" s="832"/>
    </row>
    <row r="1405" spans="2:18">
      <c r="B1405" s="832"/>
      <c r="C1405" s="833"/>
      <c r="D1405" s="833"/>
      <c r="E1405" s="833"/>
      <c r="F1405" s="1111"/>
      <c r="G1405" s="1111"/>
      <c r="H1405" s="834"/>
      <c r="I1405" s="832"/>
      <c r="J1405" s="1111"/>
      <c r="K1405" s="832"/>
      <c r="L1405" s="832"/>
      <c r="M1405" s="832"/>
      <c r="N1405" s="832"/>
      <c r="O1405" s="832"/>
      <c r="P1405" s="832"/>
      <c r="Q1405" s="832"/>
      <c r="R1405" s="832"/>
    </row>
    <row r="1406" spans="2:18">
      <c r="B1406" s="832"/>
      <c r="C1406" s="833"/>
      <c r="D1406" s="833"/>
      <c r="E1406" s="833"/>
      <c r="F1406" s="1111"/>
      <c r="G1406" s="1111"/>
      <c r="H1406" s="834"/>
      <c r="I1406" s="832"/>
      <c r="J1406" s="1111"/>
      <c r="K1406" s="832"/>
      <c r="L1406" s="832"/>
      <c r="M1406" s="832"/>
      <c r="N1406" s="832"/>
      <c r="O1406" s="832"/>
      <c r="P1406" s="832"/>
      <c r="Q1406" s="832"/>
      <c r="R1406" s="832"/>
    </row>
    <row r="1407" spans="2:18">
      <c r="B1407" s="832"/>
      <c r="C1407" s="833"/>
      <c r="D1407" s="833"/>
      <c r="E1407" s="833"/>
      <c r="F1407" s="1111"/>
      <c r="G1407" s="1111"/>
      <c r="H1407" s="834"/>
      <c r="I1407" s="832"/>
      <c r="J1407" s="1111"/>
      <c r="K1407" s="832"/>
      <c r="L1407" s="832"/>
      <c r="M1407" s="832"/>
      <c r="N1407" s="832"/>
      <c r="O1407" s="832"/>
      <c r="P1407" s="832"/>
      <c r="Q1407" s="832"/>
      <c r="R1407" s="832"/>
    </row>
    <row r="1408" spans="2:18">
      <c r="B1408" s="832"/>
      <c r="C1408" s="833"/>
      <c r="D1408" s="833"/>
      <c r="E1408" s="833"/>
      <c r="F1408" s="1111"/>
      <c r="G1408" s="1111"/>
      <c r="H1408" s="834"/>
      <c r="I1408" s="832"/>
      <c r="J1408" s="1111"/>
      <c r="K1408" s="832"/>
      <c r="L1408" s="832"/>
      <c r="M1408" s="832"/>
      <c r="N1408" s="832"/>
      <c r="O1408" s="832"/>
      <c r="P1408" s="832"/>
      <c r="Q1408" s="832"/>
      <c r="R1408" s="832"/>
    </row>
    <row r="1409" spans="2:18">
      <c r="B1409" s="832"/>
      <c r="C1409" s="833"/>
      <c r="D1409" s="833"/>
      <c r="E1409" s="833"/>
      <c r="F1409" s="1111"/>
      <c r="G1409" s="1111"/>
      <c r="H1409" s="834"/>
      <c r="I1409" s="832"/>
      <c r="J1409" s="1111"/>
      <c r="K1409" s="832"/>
      <c r="L1409" s="832"/>
      <c r="M1409" s="832"/>
      <c r="N1409" s="832"/>
      <c r="O1409" s="832"/>
      <c r="P1409" s="832"/>
      <c r="Q1409" s="832"/>
      <c r="R1409" s="832"/>
    </row>
    <row r="1410" spans="2:18">
      <c r="B1410" s="832"/>
      <c r="C1410" s="833"/>
      <c r="D1410" s="833"/>
      <c r="E1410" s="833"/>
      <c r="F1410" s="1111"/>
      <c r="G1410" s="1111"/>
      <c r="H1410" s="834"/>
      <c r="I1410" s="832"/>
      <c r="J1410" s="1111"/>
      <c r="K1410" s="832"/>
      <c r="L1410" s="832"/>
      <c r="M1410" s="832"/>
      <c r="N1410" s="832"/>
      <c r="O1410" s="832"/>
      <c r="P1410" s="832"/>
      <c r="Q1410" s="832"/>
      <c r="R1410" s="832"/>
    </row>
    <row r="1411" spans="2:18">
      <c r="B1411" s="832"/>
      <c r="C1411" s="833"/>
      <c r="D1411" s="833"/>
      <c r="E1411" s="833"/>
      <c r="F1411" s="1111"/>
      <c r="G1411" s="1111"/>
      <c r="H1411" s="834"/>
      <c r="I1411" s="832"/>
      <c r="J1411" s="1111"/>
      <c r="K1411" s="832"/>
      <c r="L1411" s="832"/>
      <c r="M1411" s="832"/>
      <c r="N1411" s="832"/>
      <c r="O1411" s="832"/>
      <c r="P1411" s="832"/>
      <c r="Q1411" s="832"/>
      <c r="R1411" s="832"/>
    </row>
    <row r="1412" spans="2:18">
      <c r="B1412" s="832"/>
      <c r="C1412" s="833"/>
      <c r="D1412" s="833"/>
      <c r="E1412" s="833"/>
      <c r="F1412" s="1111"/>
      <c r="G1412" s="1111"/>
      <c r="H1412" s="834"/>
      <c r="I1412" s="832"/>
      <c r="J1412" s="1111"/>
      <c r="K1412" s="832"/>
      <c r="L1412" s="832"/>
      <c r="M1412" s="832"/>
      <c r="N1412" s="832"/>
      <c r="O1412" s="832"/>
      <c r="P1412" s="832"/>
      <c r="Q1412" s="832"/>
      <c r="R1412" s="832"/>
    </row>
    <row r="1413" spans="2:18">
      <c r="B1413" s="832"/>
      <c r="C1413" s="833"/>
      <c r="D1413" s="833"/>
      <c r="E1413" s="833"/>
      <c r="F1413" s="1111"/>
      <c r="G1413" s="1111"/>
      <c r="H1413" s="834"/>
      <c r="I1413" s="832"/>
      <c r="J1413" s="1111"/>
      <c r="K1413" s="832"/>
      <c r="L1413" s="832"/>
      <c r="M1413" s="832"/>
      <c r="N1413" s="832"/>
      <c r="O1413" s="832"/>
      <c r="P1413" s="832"/>
      <c r="Q1413" s="832"/>
      <c r="R1413" s="832"/>
    </row>
    <row r="1414" spans="2:18">
      <c r="B1414" s="832"/>
      <c r="C1414" s="833"/>
      <c r="D1414" s="833"/>
      <c r="E1414" s="833"/>
      <c r="F1414" s="1111"/>
      <c r="G1414" s="1111"/>
      <c r="H1414" s="834"/>
      <c r="I1414" s="832"/>
      <c r="J1414" s="1111"/>
      <c r="K1414" s="832"/>
      <c r="L1414" s="832"/>
      <c r="M1414" s="832"/>
      <c r="N1414" s="832"/>
      <c r="O1414" s="832"/>
      <c r="P1414" s="832"/>
      <c r="Q1414" s="832"/>
      <c r="R1414" s="832"/>
    </row>
    <row r="1415" spans="2:18">
      <c r="B1415" s="832"/>
      <c r="C1415" s="833"/>
      <c r="D1415" s="833"/>
      <c r="E1415" s="833"/>
      <c r="F1415" s="1111"/>
      <c r="G1415" s="1111"/>
      <c r="H1415" s="834"/>
      <c r="I1415" s="832"/>
      <c r="J1415" s="1111"/>
      <c r="K1415" s="832"/>
      <c r="L1415" s="832"/>
      <c r="M1415" s="832"/>
      <c r="N1415" s="832"/>
      <c r="O1415" s="832"/>
      <c r="P1415" s="832"/>
      <c r="Q1415" s="832"/>
      <c r="R1415" s="832"/>
    </row>
    <row r="1416" spans="2:18">
      <c r="B1416" s="832"/>
      <c r="C1416" s="833"/>
      <c r="D1416" s="833"/>
      <c r="E1416" s="833"/>
      <c r="F1416" s="1111"/>
      <c r="G1416" s="1111"/>
      <c r="H1416" s="834"/>
      <c r="I1416" s="832"/>
      <c r="J1416" s="1111"/>
      <c r="K1416" s="832"/>
      <c r="L1416" s="832"/>
      <c r="M1416" s="832"/>
      <c r="N1416" s="832"/>
      <c r="O1416" s="832"/>
      <c r="P1416" s="832"/>
      <c r="Q1416" s="832"/>
      <c r="R1416" s="832"/>
    </row>
    <row r="1417" spans="2:18">
      <c r="B1417" s="832"/>
      <c r="C1417" s="833"/>
      <c r="D1417" s="833"/>
      <c r="E1417" s="833"/>
      <c r="F1417" s="1111"/>
      <c r="G1417" s="1111"/>
      <c r="H1417" s="834"/>
      <c r="I1417" s="832"/>
      <c r="J1417" s="1111"/>
      <c r="K1417" s="832"/>
      <c r="L1417" s="832"/>
      <c r="M1417" s="832"/>
      <c r="N1417" s="832"/>
      <c r="O1417" s="832"/>
      <c r="P1417" s="832"/>
      <c r="Q1417" s="832"/>
      <c r="R1417" s="832"/>
    </row>
    <row r="1418" spans="2:18">
      <c r="B1418" s="832"/>
      <c r="C1418" s="833"/>
      <c r="D1418" s="833"/>
      <c r="E1418" s="833"/>
      <c r="F1418" s="1111"/>
      <c r="G1418" s="1111"/>
      <c r="H1418" s="834"/>
      <c r="I1418" s="832"/>
      <c r="J1418" s="1111"/>
      <c r="K1418" s="832"/>
      <c r="L1418" s="832"/>
      <c r="M1418" s="832"/>
      <c r="N1418" s="832"/>
      <c r="O1418" s="832"/>
      <c r="P1418" s="832"/>
      <c r="Q1418" s="832"/>
      <c r="R1418" s="832"/>
    </row>
    <row r="1419" spans="2:18">
      <c r="B1419" s="832"/>
      <c r="C1419" s="833"/>
      <c r="D1419" s="833"/>
      <c r="E1419" s="833"/>
      <c r="F1419" s="1111"/>
      <c r="G1419" s="1111"/>
      <c r="H1419" s="834"/>
      <c r="I1419" s="832"/>
      <c r="J1419" s="1111"/>
      <c r="K1419" s="832"/>
      <c r="L1419" s="832"/>
      <c r="M1419" s="832"/>
      <c r="N1419" s="832"/>
      <c r="O1419" s="832"/>
      <c r="P1419" s="832"/>
      <c r="Q1419" s="832"/>
      <c r="R1419" s="832"/>
    </row>
    <row r="1420" spans="2:18">
      <c r="B1420" s="832"/>
      <c r="C1420" s="833"/>
      <c r="D1420" s="833"/>
      <c r="E1420" s="833"/>
      <c r="F1420" s="1111"/>
      <c r="G1420" s="1111"/>
      <c r="H1420" s="834"/>
      <c r="I1420" s="832"/>
      <c r="J1420" s="1111"/>
      <c r="K1420" s="832"/>
      <c r="L1420" s="832"/>
      <c r="M1420" s="832"/>
      <c r="N1420" s="832"/>
      <c r="O1420" s="832"/>
      <c r="P1420" s="832"/>
      <c r="Q1420" s="832"/>
      <c r="R1420" s="832"/>
    </row>
    <row r="1421" spans="2:18">
      <c r="B1421" s="832"/>
      <c r="C1421" s="833"/>
      <c r="D1421" s="833"/>
      <c r="E1421" s="833"/>
      <c r="F1421" s="1111"/>
      <c r="G1421" s="1111"/>
      <c r="H1421" s="834"/>
      <c r="I1421" s="832"/>
      <c r="J1421" s="1111"/>
      <c r="K1421" s="832"/>
      <c r="L1421" s="832"/>
      <c r="M1421" s="832"/>
      <c r="N1421" s="832"/>
      <c r="O1421" s="832"/>
      <c r="P1421" s="832"/>
      <c r="Q1421" s="832"/>
      <c r="R1421" s="832"/>
    </row>
    <row r="1422" spans="2:18">
      <c r="B1422" s="832"/>
      <c r="C1422" s="833"/>
      <c r="D1422" s="833"/>
      <c r="E1422" s="833"/>
      <c r="F1422" s="1111"/>
      <c r="G1422" s="1111"/>
      <c r="H1422" s="834"/>
      <c r="I1422" s="832"/>
      <c r="J1422" s="1111"/>
      <c r="K1422" s="832"/>
      <c r="L1422" s="832"/>
      <c r="M1422" s="832"/>
      <c r="N1422" s="832"/>
      <c r="O1422" s="832"/>
      <c r="P1422" s="832"/>
      <c r="Q1422" s="832"/>
      <c r="R1422" s="832"/>
    </row>
    <row r="1423" spans="2:18">
      <c r="B1423" s="832"/>
      <c r="C1423" s="833"/>
      <c r="D1423" s="833"/>
      <c r="E1423" s="833"/>
      <c r="F1423" s="1111"/>
      <c r="G1423" s="1111"/>
      <c r="H1423" s="834"/>
      <c r="I1423" s="832"/>
      <c r="J1423" s="1111"/>
      <c r="K1423" s="832"/>
      <c r="L1423" s="832"/>
      <c r="M1423" s="832"/>
      <c r="N1423" s="832"/>
      <c r="O1423" s="832"/>
      <c r="P1423" s="832"/>
      <c r="Q1423" s="832"/>
      <c r="R1423" s="832"/>
    </row>
    <row r="1424" spans="2:18">
      <c r="B1424" s="832"/>
      <c r="C1424" s="833"/>
      <c r="D1424" s="833"/>
      <c r="E1424" s="833"/>
      <c r="F1424" s="1111"/>
      <c r="G1424" s="1111"/>
      <c r="H1424" s="834"/>
      <c r="I1424" s="832"/>
      <c r="J1424" s="1111"/>
      <c r="K1424" s="832"/>
      <c r="L1424" s="832"/>
      <c r="M1424" s="832"/>
      <c r="N1424" s="832"/>
      <c r="O1424" s="832"/>
      <c r="P1424" s="832"/>
      <c r="Q1424" s="832"/>
      <c r="R1424" s="832"/>
    </row>
    <row r="1425" spans="2:18">
      <c r="B1425" s="832"/>
      <c r="C1425" s="833"/>
      <c r="D1425" s="833"/>
      <c r="E1425" s="833"/>
      <c r="F1425" s="1111"/>
      <c r="G1425" s="1111"/>
      <c r="H1425" s="834"/>
      <c r="I1425" s="832"/>
      <c r="J1425" s="1111"/>
      <c r="K1425" s="832"/>
      <c r="L1425" s="832"/>
      <c r="M1425" s="832"/>
      <c r="N1425" s="832"/>
      <c r="O1425" s="832"/>
      <c r="P1425" s="832"/>
      <c r="Q1425" s="832"/>
      <c r="R1425" s="832"/>
    </row>
    <row r="1426" spans="2:18">
      <c r="B1426" s="832"/>
      <c r="C1426" s="833"/>
      <c r="D1426" s="833"/>
      <c r="E1426" s="833"/>
      <c r="F1426" s="1111"/>
      <c r="G1426" s="1111"/>
      <c r="H1426" s="834"/>
      <c r="I1426" s="832"/>
      <c r="J1426" s="1111"/>
      <c r="K1426" s="832"/>
      <c r="L1426" s="832"/>
      <c r="M1426" s="832"/>
      <c r="N1426" s="832"/>
      <c r="O1426" s="832"/>
      <c r="P1426" s="832"/>
      <c r="Q1426" s="832"/>
      <c r="R1426" s="832"/>
    </row>
    <row r="1427" spans="2:18">
      <c r="B1427" s="832"/>
      <c r="C1427" s="833"/>
      <c r="D1427" s="833"/>
      <c r="E1427" s="833"/>
      <c r="F1427" s="1111"/>
      <c r="G1427" s="1111"/>
      <c r="H1427" s="834"/>
      <c r="I1427" s="832"/>
      <c r="J1427" s="1111"/>
      <c r="K1427" s="832"/>
      <c r="L1427" s="832"/>
      <c r="M1427" s="832"/>
      <c r="N1427" s="832"/>
      <c r="O1427" s="832"/>
      <c r="P1427" s="832"/>
      <c r="Q1427" s="832"/>
      <c r="R1427" s="832"/>
    </row>
    <row r="1428" spans="2:18">
      <c r="B1428" s="832"/>
      <c r="C1428" s="833"/>
      <c r="D1428" s="833"/>
      <c r="E1428" s="833"/>
      <c r="F1428" s="1111"/>
      <c r="G1428" s="1111"/>
      <c r="H1428" s="834"/>
      <c r="I1428" s="832"/>
      <c r="J1428" s="1111"/>
      <c r="K1428" s="832"/>
      <c r="L1428" s="832"/>
      <c r="M1428" s="832"/>
      <c r="N1428" s="832"/>
      <c r="O1428" s="832"/>
      <c r="P1428" s="832"/>
      <c r="Q1428" s="832"/>
      <c r="R1428" s="832"/>
    </row>
    <row r="1429" spans="2:18">
      <c r="B1429" s="832"/>
      <c r="C1429" s="833"/>
      <c r="D1429" s="833"/>
      <c r="E1429" s="833"/>
      <c r="F1429" s="1111"/>
      <c r="G1429" s="1111"/>
      <c r="H1429" s="834"/>
      <c r="I1429" s="832"/>
      <c r="J1429" s="1111"/>
      <c r="K1429" s="832"/>
      <c r="L1429" s="832"/>
      <c r="M1429" s="832"/>
      <c r="N1429" s="832"/>
      <c r="O1429" s="832"/>
      <c r="P1429" s="832"/>
      <c r="Q1429" s="832"/>
      <c r="R1429" s="832"/>
    </row>
    <row r="1430" spans="2:18">
      <c r="B1430" s="832"/>
      <c r="C1430" s="833"/>
      <c r="D1430" s="833"/>
      <c r="E1430" s="833"/>
      <c r="F1430" s="1111"/>
      <c r="G1430" s="1111"/>
      <c r="H1430" s="834"/>
      <c r="I1430" s="832"/>
      <c r="J1430" s="1111"/>
      <c r="K1430" s="832"/>
      <c r="L1430" s="832"/>
      <c r="M1430" s="832"/>
      <c r="N1430" s="832"/>
      <c r="O1430" s="832"/>
      <c r="P1430" s="832"/>
      <c r="Q1430" s="832"/>
      <c r="R1430" s="832"/>
    </row>
    <row r="1431" spans="2:18">
      <c r="B1431" s="832"/>
      <c r="C1431" s="833"/>
      <c r="D1431" s="833"/>
      <c r="E1431" s="833"/>
      <c r="F1431" s="1111"/>
      <c r="G1431" s="1111"/>
      <c r="H1431" s="834"/>
      <c r="I1431" s="832"/>
      <c r="J1431" s="1111"/>
      <c r="K1431" s="832"/>
      <c r="L1431" s="832"/>
      <c r="M1431" s="832"/>
      <c r="N1431" s="832"/>
      <c r="O1431" s="832"/>
      <c r="P1431" s="832"/>
      <c r="Q1431" s="832"/>
      <c r="R1431" s="832"/>
    </row>
    <row r="1432" spans="2:18">
      <c r="B1432" s="832"/>
      <c r="C1432" s="833"/>
      <c r="D1432" s="833"/>
      <c r="E1432" s="833"/>
      <c r="F1432" s="1111"/>
      <c r="G1432" s="1111"/>
      <c r="H1432" s="834"/>
      <c r="I1432" s="832"/>
      <c r="J1432" s="1111"/>
      <c r="K1432" s="832"/>
      <c r="L1432" s="832"/>
      <c r="M1432" s="832"/>
      <c r="N1432" s="832"/>
      <c r="O1432" s="832"/>
      <c r="P1432" s="832"/>
      <c r="Q1432" s="832"/>
      <c r="R1432" s="832"/>
    </row>
    <row r="1433" spans="2:18">
      <c r="B1433" s="832"/>
      <c r="C1433" s="833"/>
      <c r="D1433" s="833"/>
      <c r="E1433" s="833"/>
      <c r="F1433" s="1111"/>
      <c r="G1433" s="1111"/>
      <c r="H1433" s="834"/>
      <c r="I1433" s="832"/>
      <c r="J1433" s="1111"/>
      <c r="K1433" s="832"/>
      <c r="L1433" s="832"/>
      <c r="M1433" s="832"/>
      <c r="N1433" s="832"/>
      <c r="O1433" s="832"/>
      <c r="P1433" s="832"/>
      <c r="Q1433" s="832"/>
      <c r="R1433" s="832"/>
    </row>
    <row r="1434" spans="2:18">
      <c r="B1434" s="832"/>
      <c r="C1434" s="833"/>
      <c r="D1434" s="833"/>
      <c r="E1434" s="833"/>
      <c r="F1434" s="1111"/>
      <c r="G1434" s="1111"/>
      <c r="H1434" s="834"/>
      <c r="I1434" s="832"/>
      <c r="J1434" s="1111"/>
      <c r="K1434" s="832"/>
      <c r="L1434" s="832"/>
      <c r="M1434" s="832"/>
      <c r="N1434" s="832"/>
      <c r="O1434" s="832"/>
      <c r="P1434" s="832"/>
      <c r="Q1434" s="832"/>
      <c r="R1434" s="832"/>
    </row>
    <row r="1435" spans="2:18">
      <c r="B1435" s="832"/>
      <c r="C1435" s="833"/>
      <c r="D1435" s="833"/>
      <c r="E1435" s="833"/>
      <c r="F1435" s="1111"/>
      <c r="G1435" s="1111"/>
      <c r="H1435" s="834"/>
      <c r="I1435" s="832"/>
      <c r="J1435" s="1111"/>
      <c r="K1435" s="832"/>
      <c r="L1435" s="832"/>
      <c r="M1435" s="832"/>
      <c r="N1435" s="832"/>
      <c r="O1435" s="832"/>
      <c r="P1435" s="832"/>
      <c r="Q1435" s="832"/>
      <c r="R1435" s="832"/>
    </row>
    <row r="1436" spans="2:18">
      <c r="B1436" s="832"/>
      <c r="C1436" s="833"/>
      <c r="D1436" s="833"/>
      <c r="E1436" s="833"/>
      <c r="F1436" s="1111"/>
      <c r="G1436" s="1111"/>
      <c r="H1436" s="834"/>
      <c r="I1436" s="832"/>
      <c r="J1436" s="1111"/>
      <c r="K1436" s="832"/>
      <c r="L1436" s="832"/>
      <c r="M1436" s="832"/>
      <c r="N1436" s="832"/>
      <c r="O1436" s="832"/>
      <c r="P1436" s="832"/>
      <c r="Q1436" s="832"/>
      <c r="R1436" s="832"/>
    </row>
    <row r="1437" spans="2:18">
      <c r="B1437" s="832"/>
      <c r="C1437" s="833"/>
      <c r="D1437" s="833"/>
      <c r="E1437" s="833"/>
      <c r="F1437" s="1111"/>
      <c r="G1437" s="1111"/>
      <c r="H1437" s="834"/>
      <c r="I1437" s="832"/>
      <c r="J1437" s="1111"/>
      <c r="K1437" s="832"/>
      <c r="L1437" s="832"/>
      <c r="M1437" s="832"/>
      <c r="N1437" s="832"/>
      <c r="O1437" s="832"/>
      <c r="P1437" s="832"/>
      <c r="Q1437" s="832"/>
      <c r="R1437" s="832"/>
    </row>
    <row r="1438" spans="2:18">
      <c r="B1438" s="832"/>
      <c r="C1438" s="833"/>
      <c r="D1438" s="833"/>
      <c r="E1438" s="833"/>
      <c r="F1438" s="1111"/>
      <c r="G1438" s="1111"/>
      <c r="H1438" s="834"/>
      <c r="I1438" s="832"/>
      <c r="J1438" s="1111"/>
      <c r="K1438" s="832"/>
      <c r="L1438" s="832"/>
      <c r="M1438" s="832"/>
      <c r="N1438" s="832"/>
      <c r="O1438" s="832"/>
      <c r="P1438" s="832"/>
      <c r="Q1438" s="832"/>
      <c r="R1438" s="832"/>
    </row>
    <row r="1439" spans="2:18">
      <c r="B1439" s="832"/>
      <c r="C1439" s="833"/>
      <c r="D1439" s="833"/>
      <c r="E1439" s="833"/>
      <c r="F1439" s="1111"/>
      <c r="G1439" s="1111"/>
      <c r="H1439" s="834"/>
      <c r="I1439" s="832"/>
      <c r="J1439" s="1111"/>
      <c r="K1439" s="832"/>
      <c r="L1439" s="832"/>
      <c r="M1439" s="832"/>
      <c r="N1439" s="832"/>
      <c r="O1439" s="832"/>
      <c r="P1439" s="832"/>
      <c r="Q1439" s="832"/>
      <c r="R1439" s="832"/>
    </row>
    <row r="1440" spans="2:18">
      <c r="B1440" s="832"/>
      <c r="C1440" s="833"/>
      <c r="D1440" s="833"/>
      <c r="E1440" s="833"/>
      <c r="F1440" s="1111"/>
      <c r="G1440" s="1111"/>
      <c r="H1440" s="834"/>
      <c r="I1440" s="832"/>
      <c r="J1440" s="1111"/>
      <c r="K1440" s="832"/>
      <c r="L1440" s="832"/>
      <c r="M1440" s="832"/>
      <c r="N1440" s="832"/>
      <c r="O1440" s="832"/>
      <c r="P1440" s="832"/>
      <c r="Q1440" s="832"/>
      <c r="R1440" s="832"/>
    </row>
    <row r="1441" spans="2:18">
      <c r="B1441" s="832"/>
      <c r="C1441" s="833"/>
      <c r="D1441" s="833"/>
      <c r="E1441" s="833"/>
      <c r="F1441" s="1111"/>
      <c r="G1441" s="1111"/>
      <c r="H1441" s="834"/>
      <c r="I1441" s="832"/>
      <c r="J1441" s="1111"/>
      <c r="K1441" s="832"/>
      <c r="L1441" s="832"/>
      <c r="M1441" s="832"/>
      <c r="N1441" s="832"/>
      <c r="O1441" s="832"/>
      <c r="P1441" s="832"/>
      <c r="Q1441" s="832"/>
      <c r="R1441" s="832"/>
    </row>
    <row r="1442" spans="2:18">
      <c r="B1442" s="832"/>
      <c r="C1442" s="833"/>
      <c r="D1442" s="833"/>
      <c r="E1442" s="833"/>
      <c r="F1442" s="1111"/>
      <c r="G1442" s="1111"/>
      <c r="H1442" s="834"/>
      <c r="I1442" s="832"/>
      <c r="J1442" s="1111"/>
      <c r="K1442" s="832"/>
      <c r="L1442" s="832"/>
      <c r="M1442" s="832"/>
      <c r="N1442" s="832"/>
      <c r="O1442" s="832"/>
      <c r="P1442" s="832"/>
      <c r="Q1442" s="832"/>
      <c r="R1442" s="832"/>
    </row>
    <row r="1443" spans="2:18">
      <c r="B1443" s="832"/>
      <c r="C1443" s="833"/>
      <c r="D1443" s="833"/>
      <c r="E1443" s="833"/>
      <c r="F1443" s="1111"/>
      <c r="G1443" s="1111"/>
      <c r="H1443" s="834"/>
      <c r="I1443" s="832"/>
      <c r="J1443" s="1111"/>
      <c r="K1443" s="832"/>
      <c r="L1443" s="832"/>
      <c r="M1443" s="832"/>
      <c r="N1443" s="832"/>
      <c r="O1443" s="832"/>
      <c r="P1443" s="832"/>
      <c r="Q1443" s="832"/>
      <c r="R1443" s="832"/>
    </row>
    <row r="1444" spans="2:18">
      <c r="B1444" s="832"/>
      <c r="C1444" s="833"/>
      <c r="D1444" s="833"/>
      <c r="E1444" s="833"/>
      <c r="F1444" s="1111"/>
      <c r="G1444" s="1111"/>
      <c r="H1444" s="834"/>
      <c r="I1444" s="832"/>
      <c r="J1444" s="1111"/>
      <c r="K1444" s="832"/>
      <c r="L1444" s="832"/>
      <c r="M1444" s="832"/>
      <c r="N1444" s="832"/>
      <c r="O1444" s="832"/>
      <c r="P1444" s="832"/>
      <c r="Q1444" s="832"/>
      <c r="R1444" s="832"/>
    </row>
    <row r="1445" spans="2:18">
      <c r="B1445" s="832"/>
      <c r="C1445" s="833"/>
      <c r="D1445" s="833"/>
      <c r="E1445" s="833"/>
      <c r="F1445" s="1111"/>
      <c r="G1445" s="1111"/>
      <c r="H1445" s="834"/>
      <c r="I1445" s="832"/>
      <c r="J1445" s="1111"/>
      <c r="K1445" s="832"/>
      <c r="L1445" s="832"/>
      <c r="M1445" s="832"/>
      <c r="N1445" s="832"/>
      <c r="O1445" s="832"/>
      <c r="P1445" s="832"/>
      <c r="Q1445" s="832"/>
      <c r="R1445" s="832"/>
    </row>
    <row r="1446" spans="2:18">
      <c r="B1446" s="832"/>
      <c r="C1446" s="833"/>
      <c r="D1446" s="833"/>
      <c r="E1446" s="833"/>
      <c r="F1446" s="1111"/>
      <c r="G1446" s="1111"/>
      <c r="H1446" s="834"/>
      <c r="I1446" s="832"/>
      <c r="J1446" s="1111"/>
      <c r="K1446" s="832"/>
      <c r="L1446" s="832"/>
      <c r="M1446" s="832"/>
      <c r="N1446" s="832"/>
      <c r="O1446" s="832"/>
      <c r="P1446" s="832"/>
      <c r="Q1446" s="832"/>
      <c r="R1446" s="832"/>
    </row>
    <row r="1447" spans="2:18">
      <c r="B1447" s="832"/>
      <c r="C1447" s="833"/>
      <c r="D1447" s="833"/>
      <c r="E1447" s="833"/>
      <c r="F1447" s="1111"/>
      <c r="G1447" s="1111"/>
      <c r="H1447" s="834"/>
      <c r="I1447" s="832"/>
      <c r="J1447" s="1111"/>
      <c r="K1447" s="832"/>
      <c r="L1447" s="832"/>
      <c r="M1447" s="832"/>
      <c r="N1447" s="832"/>
      <c r="O1447" s="832"/>
      <c r="P1447" s="832"/>
      <c r="Q1447" s="832"/>
      <c r="R1447" s="832"/>
    </row>
    <row r="1448" spans="2:18">
      <c r="B1448" s="832"/>
      <c r="C1448" s="833"/>
      <c r="D1448" s="833"/>
      <c r="E1448" s="833"/>
      <c r="F1448" s="1111"/>
      <c r="G1448" s="1111"/>
      <c r="H1448" s="834"/>
      <c r="I1448" s="832"/>
      <c r="J1448" s="1111"/>
      <c r="K1448" s="832"/>
      <c r="L1448" s="832"/>
      <c r="M1448" s="832"/>
      <c r="N1448" s="832"/>
      <c r="O1448" s="832"/>
      <c r="P1448" s="832"/>
      <c r="Q1448" s="832"/>
      <c r="R1448" s="832"/>
    </row>
    <row r="1449" spans="2:18">
      <c r="B1449" s="832"/>
      <c r="C1449" s="833"/>
      <c r="D1449" s="833"/>
      <c r="E1449" s="833"/>
      <c r="F1449" s="1111"/>
      <c r="G1449" s="1111"/>
      <c r="H1449" s="834"/>
      <c r="I1449" s="832"/>
      <c r="J1449" s="1111"/>
      <c r="K1449" s="832"/>
      <c r="L1449" s="832"/>
      <c r="M1449" s="832"/>
      <c r="N1449" s="832"/>
      <c r="O1449" s="832"/>
      <c r="P1449" s="832"/>
      <c r="Q1449" s="832"/>
      <c r="R1449" s="832"/>
    </row>
    <row r="1450" spans="2:18">
      <c r="B1450" s="832"/>
      <c r="C1450" s="833"/>
      <c r="D1450" s="833"/>
      <c r="E1450" s="833"/>
      <c r="F1450" s="1111"/>
      <c r="G1450" s="1111"/>
      <c r="H1450" s="834"/>
      <c r="I1450" s="832"/>
      <c r="J1450" s="1111"/>
      <c r="K1450" s="832"/>
      <c r="L1450" s="832"/>
      <c r="M1450" s="832"/>
      <c r="N1450" s="832"/>
      <c r="O1450" s="832"/>
      <c r="P1450" s="832"/>
      <c r="Q1450" s="832"/>
      <c r="R1450" s="832"/>
    </row>
    <row r="1451" spans="2:18">
      <c r="B1451" s="832"/>
      <c r="C1451" s="833"/>
      <c r="D1451" s="833"/>
      <c r="E1451" s="833"/>
      <c r="F1451" s="1111"/>
      <c r="G1451" s="1111"/>
      <c r="H1451" s="834"/>
      <c r="I1451" s="832"/>
      <c r="J1451" s="1111"/>
      <c r="K1451" s="832"/>
      <c r="L1451" s="832"/>
      <c r="M1451" s="832"/>
      <c r="N1451" s="832"/>
      <c r="O1451" s="832"/>
      <c r="P1451" s="832"/>
      <c r="Q1451" s="832"/>
      <c r="R1451" s="832"/>
    </row>
    <row r="1452" spans="2:18">
      <c r="B1452" s="832"/>
      <c r="C1452" s="833"/>
      <c r="D1452" s="833"/>
      <c r="E1452" s="833"/>
      <c r="F1452" s="1111"/>
      <c r="G1452" s="1111"/>
      <c r="H1452" s="834"/>
      <c r="I1452" s="832"/>
      <c r="J1452" s="1111"/>
      <c r="K1452" s="832"/>
      <c r="L1452" s="832"/>
      <c r="M1452" s="832"/>
      <c r="N1452" s="832"/>
      <c r="O1452" s="832"/>
      <c r="P1452" s="832"/>
      <c r="Q1452" s="832"/>
      <c r="R1452" s="832"/>
    </row>
    <row r="1453" spans="2:18">
      <c r="B1453" s="832"/>
      <c r="C1453" s="833"/>
      <c r="D1453" s="833"/>
      <c r="E1453" s="833"/>
      <c r="F1453" s="1111"/>
      <c r="G1453" s="1111"/>
      <c r="H1453" s="834"/>
      <c r="I1453" s="832"/>
      <c r="J1453" s="1111"/>
      <c r="K1453" s="832"/>
      <c r="L1453" s="832"/>
      <c r="M1453" s="832"/>
      <c r="N1453" s="832"/>
      <c r="O1453" s="832"/>
      <c r="P1453" s="832"/>
      <c r="Q1453" s="832"/>
      <c r="R1453" s="832"/>
    </row>
    <row r="1454" spans="2:18">
      <c r="B1454" s="832"/>
      <c r="C1454" s="833"/>
      <c r="D1454" s="833"/>
      <c r="E1454" s="833"/>
      <c r="F1454" s="1111"/>
      <c r="G1454" s="1111"/>
      <c r="H1454" s="834"/>
      <c r="I1454" s="832"/>
      <c r="J1454" s="1111"/>
      <c r="K1454" s="832"/>
      <c r="L1454" s="832"/>
      <c r="M1454" s="832"/>
      <c r="N1454" s="832"/>
      <c r="O1454" s="832"/>
      <c r="P1454" s="832"/>
      <c r="Q1454" s="832"/>
      <c r="R1454" s="832"/>
    </row>
    <row r="1455" spans="2:18">
      <c r="B1455" s="832"/>
      <c r="C1455" s="833"/>
      <c r="D1455" s="833"/>
      <c r="E1455" s="833"/>
      <c r="F1455" s="1111"/>
      <c r="G1455" s="1111"/>
      <c r="H1455" s="834"/>
      <c r="I1455" s="832"/>
      <c r="J1455" s="1111"/>
      <c r="K1455" s="832"/>
      <c r="L1455" s="832"/>
      <c r="M1455" s="832"/>
      <c r="N1455" s="832"/>
      <c r="O1455" s="832"/>
      <c r="P1455" s="832"/>
      <c r="Q1455" s="832"/>
      <c r="R1455" s="832"/>
    </row>
    <row r="1456" spans="2:18">
      <c r="B1456" s="832"/>
      <c r="C1456" s="833"/>
      <c r="D1456" s="833"/>
      <c r="E1456" s="833"/>
      <c r="F1456" s="1111"/>
      <c r="G1456" s="1111"/>
      <c r="H1456" s="834"/>
      <c r="I1456" s="832"/>
      <c r="J1456" s="1111"/>
      <c r="K1456" s="832"/>
      <c r="L1456" s="832"/>
      <c r="M1456" s="832"/>
      <c r="N1456" s="832"/>
      <c r="O1456" s="832"/>
      <c r="P1456" s="832"/>
      <c r="Q1456" s="832"/>
      <c r="R1456" s="832"/>
    </row>
    <row r="1457" spans="2:18">
      <c r="B1457" s="832"/>
      <c r="C1457" s="833"/>
      <c r="D1457" s="833"/>
      <c r="E1457" s="833"/>
      <c r="F1457" s="1111"/>
      <c r="G1457" s="1111"/>
      <c r="H1457" s="834"/>
      <c r="I1457" s="832"/>
      <c r="J1457" s="1111"/>
      <c r="K1457" s="832"/>
      <c r="L1457" s="832"/>
      <c r="M1457" s="832"/>
      <c r="N1457" s="832"/>
      <c r="O1457" s="832"/>
      <c r="P1457" s="832"/>
      <c r="Q1457" s="832"/>
      <c r="R1457" s="832"/>
    </row>
    <row r="1458" spans="2:18">
      <c r="B1458" s="832"/>
      <c r="C1458" s="833"/>
      <c r="D1458" s="833"/>
      <c r="E1458" s="833"/>
      <c r="F1458" s="1111"/>
      <c r="G1458" s="1111"/>
      <c r="H1458" s="834"/>
      <c r="I1458" s="832"/>
      <c r="J1458" s="1111"/>
      <c r="K1458" s="832"/>
      <c r="L1458" s="832"/>
      <c r="M1458" s="832"/>
      <c r="N1458" s="832"/>
      <c r="O1458" s="832"/>
      <c r="P1458" s="832"/>
      <c r="Q1458" s="832"/>
      <c r="R1458" s="832"/>
    </row>
    <row r="1459" spans="2:18">
      <c r="B1459" s="832"/>
      <c r="C1459" s="833"/>
      <c r="D1459" s="833"/>
      <c r="E1459" s="833"/>
      <c r="F1459" s="1111"/>
      <c r="G1459" s="1111"/>
      <c r="H1459" s="834"/>
      <c r="I1459" s="832"/>
      <c r="J1459" s="1111"/>
      <c r="K1459" s="832"/>
      <c r="L1459" s="832"/>
      <c r="M1459" s="832"/>
      <c r="N1459" s="832"/>
      <c r="O1459" s="832"/>
      <c r="P1459" s="832"/>
      <c r="Q1459" s="832"/>
      <c r="R1459" s="832"/>
    </row>
    <row r="1460" spans="2:18">
      <c r="B1460" s="832"/>
      <c r="C1460" s="833"/>
      <c r="D1460" s="833"/>
      <c r="E1460" s="833"/>
      <c r="F1460" s="1111"/>
      <c r="G1460" s="1111"/>
      <c r="H1460" s="834"/>
      <c r="I1460" s="832"/>
      <c r="J1460" s="1111"/>
      <c r="K1460" s="832"/>
      <c r="L1460" s="832"/>
      <c r="M1460" s="832"/>
      <c r="N1460" s="832"/>
      <c r="O1460" s="832"/>
      <c r="P1460" s="832"/>
      <c r="Q1460" s="832"/>
      <c r="R1460" s="832"/>
    </row>
    <row r="1461" spans="2:18">
      <c r="B1461" s="832"/>
      <c r="C1461" s="833"/>
      <c r="D1461" s="833"/>
      <c r="E1461" s="833"/>
      <c r="F1461" s="1111"/>
      <c r="G1461" s="1111"/>
      <c r="H1461" s="834"/>
      <c r="I1461" s="832"/>
      <c r="J1461" s="1111"/>
      <c r="K1461" s="832"/>
      <c r="L1461" s="832"/>
      <c r="M1461" s="832"/>
      <c r="N1461" s="832"/>
      <c r="O1461" s="832"/>
      <c r="P1461" s="832"/>
      <c r="Q1461" s="832"/>
      <c r="R1461" s="832"/>
    </row>
    <row r="1462" spans="2:18">
      <c r="B1462" s="832"/>
      <c r="C1462" s="833"/>
      <c r="D1462" s="833"/>
      <c r="E1462" s="833"/>
      <c r="F1462" s="1111"/>
      <c r="G1462" s="1111"/>
      <c r="H1462" s="834"/>
      <c r="I1462" s="832"/>
      <c r="J1462" s="1111"/>
      <c r="K1462" s="832"/>
      <c r="L1462" s="832"/>
      <c r="M1462" s="832"/>
      <c r="N1462" s="832"/>
      <c r="O1462" s="832"/>
      <c r="P1462" s="832"/>
      <c r="Q1462" s="832"/>
      <c r="R1462" s="832"/>
    </row>
    <row r="1463" spans="2:18">
      <c r="B1463" s="832"/>
      <c r="C1463" s="833"/>
      <c r="D1463" s="833"/>
      <c r="E1463" s="833"/>
      <c r="F1463" s="1111"/>
      <c r="G1463" s="1111"/>
      <c r="H1463" s="834"/>
      <c r="I1463" s="832"/>
      <c r="J1463" s="1111"/>
      <c r="K1463" s="832"/>
      <c r="L1463" s="832"/>
      <c r="M1463" s="832"/>
      <c r="N1463" s="832"/>
      <c r="O1463" s="832"/>
      <c r="P1463" s="832"/>
      <c r="Q1463" s="832"/>
      <c r="R1463" s="832"/>
    </row>
    <row r="1464" spans="2:18">
      <c r="B1464" s="832"/>
      <c r="C1464" s="833"/>
      <c r="D1464" s="833"/>
      <c r="E1464" s="833"/>
      <c r="F1464" s="1111"/>
      <c r="G1464" s="1111"/>
      <c r="H1464" s="834"/>
      <c r="I1464" s="832"/>
      <c r="J1464" s="1111"/>
      <c r="K1464" s="832"/>
      <c r="L1464" s="832"/>
      <c r="M1464" s="832"/>
      <c r="N1464" s="832"/>
      <c r="O1464" s="832"/>
      <c r="P1464" s="832"/>
      <c r="Q1464" s="832"/>
      <c r="R1464" s="832"/>
    </row>
    <row r="1465" spans="2:18">
      <c r="B1465" s="832"/>
      <c r="C1465" s="833"/>
      <c r="D1465" s="833"/>
      <c r="E1465" s="833"/>
      <c r="F1465" s="1111"/>
      <c r="G1465" s="1111"/>
      <c r="H1465" s="834"/>
      <c r="I1465" s="832"/>
      <c r="J1465" s="1111"/>
      <c r="K1465" s="832"/>
      <c r="L1465" s="832"/>
      <c r="M1465" s="832"/>
      <c r="N1465" s="832"/>
      <c r="O1465" s="832"/>
      <c r="P1465" s="832"/>
      <c r="Q1465" s="832"/>
      <c r="R1465" s="832"/>
    </row>
    <row r="1466" spans="2:18">
      <c r="B1466" s="832"/>
      <c r="C1466" s="833"/>
      <c r="D1466" s="833"/>
      <c r="E1466" s="833"/>
      <c r="F1466" s="1111"/>
      <c r="G1466" s="1111"/>
      <c r="H1466" s="834"/>
      <c r="I1466" s="832"/>
      <c r="J1466" s="1111"/>
      <c r="K1466" s="832"/>
      <c r="L1466" s="832"/>
      <c r="M1466" s="832"/>
      <c r="N1466" s="832"/>
      <c r="O1466" s="832"/>
      <c r="P1466" s="832"/>
      <c r="Q1466" s="832"/>
      <c r="R1466" s="832"/>
    </row>
    <row r="1467" spans="2:18">
      <c r="B1467" s="832"/>
      <c r="C1467" s="833"/>
      <c r="D1467" s="833"/>
      <c r="E1467" s="833"/>
      <c r="F1467" s="1111"/>
      <c r="G1467" s="1111"/>
      <c r="H1467" s="834"/>
      <c r="I1467" s="832"/>
      <c r="J1467" s="1111"/>
      <c r="K1467" s="832"/>
      <c r="L1467" s="832"/>
      <c r="M1467" s="832"/>
      <c r="N1467" s="832"/>
      <c r="O1467" s="832"/>
      <c r="P1467" s="832"/>
      <c r="Q1467" s="832"/>
      <c r="R1467" s="832"/>
    </row>
    <row r="1468" spans="2:18">
      <c r="B1468" s="832"/>
      <c r="C1468" s="833"/>
      <c r="D1468" s="833"/>
      <c r="E1468" s="833"/>
      <c r="F1468" s="1111"/>
      <c r="G1468" s="1111"/>
      <c r="H1468" s="834"/>
      <c r="I1468" s="832"/>
      <c r="J1468" s="1111"/>
      <c r="K1468" s="832"/>
      <c r="L1468" s="832"/>
      <c r="M1468" s="832"/>
      <c r="N1468" s="832"/>
      <c r="O1468" s="832"/>
      <c r="P1468" s="832"/>
      <c r="Q1468" s="832"/>
      <c r="R1468" s="832"/>
    </row>
    <row r="1469" spans="2:18">
      <c r="B1469" s="832"/>
      <c r="C1469" s="833"/>
      <c r="D1469" s="833"/>
      <c r="E1469" s="833"/>
      <c r="F1469" s="1111"/>
      <c r="G1469" s="1111"/>
      <c r="H1469" s="834"/>
      <c r="I1469" s="832"/>
      <c r="J1469" s="1111"/>
      <c r="K1469" s="832"/>
      <c r="L1469" s="832"/>
      <c r="M1469" s="832"/>
      <c r="N1469" s="832"/>
      <c r="O1469" s="832"/>
      <c r="P1469" s="832"/>
      <c r="Q1469" s="832"/>
      <c r="R1469" s="832"/>
    </row>
    <row r="1470" spans="2:18">
      <c r="B1470" s="832"/>
      <c r="C1470" s="833"/>
      <c r="D1470" s="833"/>
      <c r="E1470" s="833"/>
      <c r="F1470" s="1111"/>
      <c r="G1470" s="1111"/>
      <c r="H1470" s="834"/>
      <c r="I1470" s="832"/>
      <c r="J1470" s="1111"/>
      <c r="K1470" s="832"/>
      <c r="L1470" s="832"/>
      <c r="M1470" s="832"/>
      <c r="N1470" s="832"/>
      <c r="O1470" s="832"/>
      <c r="P1470" s="832"/>
      <c r="Q1470" s="832"/>
      <c r="R1470" s="832"/>
    </row>
    <row r="1471" spans="2:18">
      <c r="B1471" s="832"/>
      <c r="C1471" s="833"/>
      <c r="D1471" s="833"/>
      <c r="E1471" s="833"/>
      <c r="F1471" s="1111"/>
      <c r="G1471" s="1111"/>
      <c r="H1471" s="834"/>
      <c r="I1471" s="832"/>
      <c r="J1471" s="1111"/>
      <c r="K1471" s="832"/>
      <c r="L1471" s="832"/>
      <c r="M1471" s="832"/>
      <c r="N1471" s="832"/>
      <c r="O1471" s="832"/>
      <c r="P1471" s="832"/>
      <c r="Q1471" s="832"/>
      <c r="R1471" s="832"/>
    </row>
    <row r="1472" spans="2:18">
      <c r="B1472" s="832"/>
      <c r="C1472" s="833"/>
      <c r="D1472" s="833"/>
      <c r="E1472" s="833"/>
      <c r="F1472" s="1111"/>
      <c r="G1472" s="1111"/>
      <c r="H1472" s="834"/>
      <c r="I1472" s="832"/>
      <c r="J1472" s="1111"/>
      <c r="K1472" s="832"/>
      <c r="L1472" s="832"/>
      <c r="M1472" s="832"/>
      <c r="N1472" s="832"/>
      <c r="O1472" s="832"/>
      <c r="P1472" s="832"/>
      <c r="Q1472" s="832"/>
      <c r="R1472" s="832"/>
    </row>
    <row r="1473" spans="2:18">
      <c r="B1473" s="832"/>
      <c r="C1473" s="833"/>
      <c r="D1473" s="833"/>
      <c r="E1473" s="833"/>
      <c r="F1473" s="1111"/>
      <c r="G1473" s="1111"/>
      <c r="H1473" s="834"/>
      <c r="I1473" s="832"/>
      <c r="J1473" s="1111"/>
      <c r="K1473" s="832"/>
      <c r="L1473" s="832"/>
      <c r="M1473" s="832"/>
      <c r="N1473" s="832"/>
      <c r="O1473" s="832"/>
      <c r="P1473" s="832"/>
      <c r="Q1473" s="832"/>
      <c r="R1473" s="832"/>
    </row>
    <row r="1474" spans="2:18">
      <c r="B1474" s="832"/>
      <c r="C1474" s="833"/>
      <c r="D1474" s="833"/>
      <c r="E1474" s="833"/>
      <c r="F1474" s="1111"/>
      <c r="G1474" s="1111"/>
      <c r="H1474" s="834"/>
      <c r="I1474" s="832"/>
      <c r="J1474" s="1111"/>
      <c r="K1474" s="832"/>
      <c r="L1474" s="832"/>
      <c r="M1474" s="832"/>
      <c r="N1474" s="832"/>
      <c r="O1474" s="832"/>
      <c r="P1474" s="832"/>
      <c r="Q1474" s="832"/>
      <c r="R1474" s="832"/>
    </row>
    <row r="1475" spans="2:18">
      <c r="B1475" s="832"/>
      <c r="C1475" s="833"/>
      <c r="D1475" s="833"/>
      <c r="E1475" s="833"/>
      <c r="F1475" s="1111"/>
      <c r="G1475" s="1111"/>
      <c r="H1475" s="834"/>
      <c r="I1475" s="832"/>
      <c r="J1475" s="1111"/>
      <c r="K1475" s="832"/>
      <c r="L1475" s="832"/>
      <c r="M1475" s="832"/>
      <c r="N1475" s="832"/>
      <c r="O1475" s="832"/>
      <c r="P1475" s="832"/>
      <c r="Q1475" s="832"/>
      <c r="R1475" s="832"/>
    </row>
    <row r="1476" spans="2:18">
      <c r="B1476" s="832"/>
      <c r="C1476" s="833"/>
      <c r="D1476" s="833"/>
      <c r="E1476" s="833"/>
      <c r="F1476" s="1111"/>
      <c r="G1476" s="1111"/>
      <c r="H1476" s="834"/>
      <c r="I1476" s="832"/>
      <c r="J1476" s="1111"/>
      <c r="K1476" s="832"/>
      <c r="L1476" s="832"/>
      <c r="M1476" s="832"/>
      <c r="N1476" s="832"/>
      <c r="O1476" s="832"/>
      <c r="P1476" s="832"/>
      <c r="Q1476" s="832"/>
      <c r="R1476" s="832"/>
    </row>
    <row r="1477" spans="2:18">
      <c r="B1477" s="832"/>
      <c r="C1477" s="833"/>
      <c r="D1477" s="833"/>
      <c r="E1477" s="833"/>
      <c r="F1477" s="1111"/>
      <c r="G1477" s="1111"/>
      <c r="H1477" s="834"/>
      <c r="I1477" s="832"/>
      <c r="J1477" s="1111"/>
      <c r="K1477" s="832"/>
      <c r="L1477" s="832"/>
      <c r="M1477" s="832"/>
      <c r="N1477" s="832"/>
      <c r="O1477" s="832"/>
      <c r="P1477" s="832"/>
      <c r="Q1477" s="832"/>
      <c r="R1477" s="832"/>
    </row>
    <row r="1478" spans="2:18">
      <c r="B1478" s="832"/>
      <c r="C1478" s="833"/>
      <c r="D1478" s="833"/>
      <c r="E1478" s="833"/>
      <c r="F1478" s="1111"/>
      <c r="G1478" s="1111"/>
      <c r="H1478" s="834"/>
      <c r="I1478" s="832"/>
      <c r="J1478" s="1111"/>
      <c r="K1478" s="832"/>
      <c r="L1478" s="832"/>
      <c r="M1478" s="832"/>
      <c r="N1478" s="832"/>
      <c r="O1478" s="832"/>
      <c r="P1478" s="832"/>
      <c r="Q1478" s="832"/>
      <c r="R1478" s="832"/>
    </row>
    <row r="1479" spans="2:18">
      <c r="B1479" s="832"/>
      <c r="C1479" s="833"/>
      <c r="D1479" s="833"/>
      <c r="E1479" s="833"/>
      <c r="F1479" s="1111"/>
      <c r="G1479" s="1111"/>
      <c r="H1479" s="834"/>
      <c r="I1479" s="832"/>
      <c r="J1479" s="1111"/>
      <c r="K1479" s="832"/>
      <c r="L1479" s="832"/>
      <c r="M1479" s="832"/>
      <c r="N1479" s="832"/>
      <c r="O1479" s="832"/>
      <c r="P1479" s="832"/>
      <c r="Q1479" s="832"/>
      <c r="R1479" s="832"/>
    </row>
    <row r="1480" spans="2:18">
      <c r="B1480" s="832"/>
      <c r="C1480" s="833"/>
      <c r="D1480" s="833"/>
      <c r="E1480" s="833"/>
      <c r="F1480" s="1111"/>
      <c r="G1480" s="1111"/>
      <c r="H1480" s="834"/>
      <c r="I1480" s="832"/>
      <c r="J1480" s="1111"/>
      <c r="K1480" s="832"/>
      <c r="L1480" s="832"/>
      <c r="M1480" s="832"/>
      <c r="N1480" s="832"/>
      <c r="O1480" s="832"/>
      <c r="P1480" s="832"/>
      <c r="Q1480" s="832"/>
      <c r="R1480" s="832"/>
    </row>
    <row r="1481" spans="2:18">
      <c r="B1481" s="832"/>
      <c r="C1481" s="833"/>
      <c r="D1481" s="833"/>
      <c r="E1481" s="833"/>
      <c r="F1481" s="1111"/>
      <c r="G1481" s="1111"/>
      <c r="H1481" s="834"/>
      <c r="I1481" s="832"/>
      <c r="J1481" s="1111"/>
      <c r="K1481" s="832"/>
      <c r="L1481" s="832"/>
      <c r="M1481" s="832"/>
      <c r="N1481" s="832"/>
      <c r="O1481" s="832"/>
      <c r="P1481" s="832"/>
      <c r="Q1481" s="832"/>
      <c r="R1481" s="832"/>
    </row>
    <row r="1482" spans="2:18">
      <c r="B1482" s="832"/>
      <c r="C1482" s="833"/>
      <c r="D1482" s="833"/>
      <c r="E1482" s="833"/>
      <c r="F1482" s="1111"/>
      <c r="G1482" s="1111"/>
      <c r="H1482" s="834"/>
      <c r="I1482" s="832"/>
      <c r="J1482" s="1111"/>
      <c r="K1482" s="832"/>
      <c r="L1482" s="832"/>
      <c r="M1482" s="832"/>
      <c r="N1482" s="832"/>
      <c r="O1482" s="832"/>
      <c r="P1482" s="832"/>
      <c r="Q1482" s="832"/>
      <c r="R1482" s="832"/>
    </row>
    <row r="1483" spans="2:18">
      <c r="B1483" s="832"/>
      <c r="C1483" s="833"/>
      <c r="D1483" s="833"/>
      <c r="E1483" s="833"/>
      <c r="F1483" s="1111"/>
      <c r="G1483" s="1111"/>
      <c r="H1483" s="834"/>
      <c r="I1483" s="832"/>
      <c r="J1483" s="1111"/>
      <c r="K1483" s="832"/>
      <c r="L1483" s="832"/>
      <c r="M1483" s="832"/>
      <c r="N1483" s="832"/>
      <c r="O1483" s="832"/>
      <c r="P1483" s="832"/>
      <c r="Q1483" s="832"/>
      <c r="R1483" s="832"/>
    </row>
    <row r="1484" spans="2:18">
      <c r="B1484" s="832"/>
      <c r="C1484" s="833"/>
      <c r="D1484" s="833"/>
      <c r="E1484" s="833"/>
      <c r="F1484" s="1111"/>
      <c r="G1484" s="1111"/>
      <c r="H1484" s="834"/>
      <c r="I1484" s="832"/>
      <c r="J1484" s="1111"/>
      <c r="K1484" s="832"/>
      <c r="L1484" s="832"/>
      <c r="M1484" s="832"/>
      <c r="N1484" s="832"/>
      <c r="O1484" s="832"/>
      <c r="P1484" s="832"/>
      <c r="Q1484" s="832"/>
      <c r="R1484" s="832"/>
    </row>
    <row r="1485" spans="2:18">
      <c r="B1485" s="832"/>
      <c r="C1485" s="833"/>
      <c r="D1485" s="833"/>
      <c r="E1485" s="833"/>
      <c r="F1485" s="1111"/>
      <c r="G1485" s="1111"/>
      <c r="H1485" s="834"/>
      <c r="I1485" s="832"/>
      <c r="J1485" s="1111"/>
      <c r="K1485" s="832"/>
      <c r="L1485" s="832"/>
      <c r="M1485" s="832"/>
      <c r="N1485" s="832"/>
      <c r="O1485" s="832"/>
      <c r="P1485" s="832"/>
      <c r="Q1485" s="832"/>
      <c r="R1485" s="832"/>
    </row>
    <row r="1486" spans="2:18">
      <c r="B1486" s="832"/>
      <c r="C1486" s="833"/>
      <c r="D1486" s="833"/>
      <c r="E1486" s="833"/>
      <c r="F1486" s="1111"/>
      <c r="G1486" s="1111"/>
      <c r="H1486" s="834"/>
      <c r="I1486" s="832"/>
      <c r="J1486" s="1111"/>
      <c r="K1486" s="832"/>
      <c r="L1486" s="832"/>
      <c r="M1486" s="832"/>
      <c r="N1486" s="832"/>
      <c r="O1486" s="832"/>
      <c r="P1486" s="832"/>
      <c r="Q1486" s="832"/>
      <c r="R1486" s="832"/>
    </row>
    <row r="1487" spans="2:18">
      <c r="B1487" s="832"/>
      <c r="C1487" s="833"/>
      <c r="D1487" s="833"/>
      <c r="E1487" s="833"/>
      <c r="F1487" s="1111"/>
      <c r="G1487" s="1111"/>
      <c r="H1487" s="834"/>
      <c r="I1487" s="832"/>
      <c r="J1487" s="1111"/>
      <c r="K1487" s="832"/>
      <c r="L1487" s="832"/>
      <c r="M1487" s="832"/>
      <c r="N1487" s="832"/>
      <c r="O1487" s="832"/>
      <c r="P1487" s="832"/>
      <c r="Q1487" s="832"/>
      <c r="R1487" s="832"/>
    </row>
    <row r="1488" spans="2:18">
      <c r="B1488" s="832"/>
      <c r="C1488" s="833"/>
      <c r="D1488" s="833"/>
      <c r="E1488" s="833"/>
      <c r="F1488" s="1111"/>
      <c r="G1488" s="1111"/>
      <c r="H1488" s="834"/>
      <c r="I1488" s="832"/>
      <c r="J1488" s="1111"/>
      <c r="K1488" s="832"/>
      <c r="L1488" s="832"/>
      <c r="M1488" s="832"/>
      <c r="N1488" s="832"/>
      <c r="O1488" s="832"/>
      <c r="P1488" s="832"/>
      <c r="Q1488" s="832"/>
      <c r="R1488" s="832"/>
    </row>
    <row r="1489" spans="2:18">
      <c r="B1489" s="832"/>
      <c r="C1489" s="833"/>
      <c r="D1489" s="833"/>
      <c r="E1489" s="833"/>
      <c r="F1489" s="1111"/>
      <c r="G1489" s="1111"/>
      <c r="H1489" s="834"/>
      <c r="I1489" s="832"/>
      <c r="J1489" s="1111"/>
      <c r="K1489" s="832"/>
      <c r="L1489" s="832"/>
      <c r="M1489" s="832"/>
      <c r="N1489" s="832"/>
      <c r="O1489" s="832"/>
      <c r="P1489" s="832"/>
      <c r="Q1489" s="832"/>
      <c r="R1489" s="832"/>
    </row>
    <row r="1490" spans="2:18">
      <c r="B1490" s="832"/>
      <c r="C1490" s="833"/>
      <c r="D1490" s="833"/>
      <c r="E1490" s="833"/>
      <c r="F1490" s="1111"/>
      <c r="G1490" s="1111"/>
      <c r="H1490" s="834"/>
      <c r="I1490" s="832"/>
      <c r="J1490" s="1111"/>
      <c r="K1490" s="832"/>
      <c r="L1490" s="832"/>
      <c r="M1490" s="832"/>
      <c r="N1490" s="832"/>
      <c r="O1490" s="832"/>
      <c r="P1490" s="832"/>
      <c r="Q1490" s="832"/>
      <c r="R1490" s="832"/>
    </row>
    <row r="1491" spans="2:18">
      <c r="B1491" s="832"/>
      <c r="C1491" s="833"/>
      <c r="D1491" s="833"/>
      <c r="E1491" s="833"/>
      <c r="F1491" s="1111"/>
      <c r="G1491" s="1111"/>
      <c r="H1491" s="834"/>
      <c r="I1491" s="832"/>
      <c r="J1491" s="1111"/>
      <c r="K1491" s="832"/>
      <c r="L1491" s="832"/>
      <c r="M1491" s="832"/>
      <c r="N1491" s="832"/>
      <c r="O1491" s="832"/>
      <c r="P1491" s="832"/>
      <c r="Q1491" s="832"/>
      <c r="R1491" s="832"/>
    </row>
    <row r="1492" spans="2:18">
      <c r="B1492" s="832"/>
      <c r="C1492" s="833"/>
      <c r="D1492" s="833"/>
      <c r="E1492" s="833"/>
      <c r="F1492" s="1111"/>
      <c r="G1492" s="1111"/>
      <c r="H1492" s="834"/>
      <c r="I1492" s="832"/>
      <c r="J1492" s="1111"/>
      <c r="K1492" s="832"/>
      <c r="L1492" s="832"/>
      <c r="M1492" s="832"/>
      <c r="N1492" s="832"/>
      <c r="O1492" s="832"/>
      <c r="P1492" s="832"/>
      <c r="Q1492" s="832"/>
      <c r="R1492" s="832"/>
    </row>
    <row r="1493" spans="2:18">
      <c r="B1493" s="832"/>
      <c r="C1493" s="833"/>
      <c r="D1493" s="833"/>
      <c r="E1493" s="833"/>
      <c r="F1493" s="1111"/>
      <c r="G1493" s="1111"/>
      <c r="H1493" s="834"/>
      <c r="I1493" s="832"/>
      <c r="J1493" s="1111"/>
      <c r="K1493" s="832"/>
      <c r="L1493" s="832"/>
      <c r="M1493" s="832"/>
      <c r="N1493" s="832"/>
      <c r="O1493" s="832"/>
      <c r="P1493" s="832"/>
      <c r="Q1493" s="832"/>
      <c r="R1493" s="832"/>
    </row>
    <row r="1494" spans="2:18">
      <c r="B1494" s="832"/>
      <c r="C1494" s="833"/>
      <c r="D1494" s="833"/>
      <c r="E1494" s="833"/>
      <c r="F1494" s="1111"/>
      <c r="G1494" s="1111"/>
      <c r="H1494" s="834"/>
      <c r="I1494" s="832"/>
      <c r="J1494" s="1111"/>
      <c r="K1494" s="832"/>
      <c r="L1494" s="832"/>
      <c r="M1494" s="832"/>
      <c r="N1494" s="832"/>
      <c r="O1494" s="832"/>
      <c r="P1494" s="832"/>
      <c r="Q1494" s="832"/>
      <c r="R1494" s="832"/>
    </row>
    <row r="1495" spans="2:18">
      <c r="B1495" s="832"/>
      <c r="C1495" s="833"/>
      <c r="D1495" s="833"/>
      <c r="E1495" s="833"/>
      <c r="F1495" s="1111"/>
      <c r="G1495" s="1111"/>
      <c r="H1495" s="834"/>
      <c r="I1495" s="832"/>
      <c r="J1495" s="1111"/>
      <c r="K1495" s="832"/>
      <c r="L1495" s="832"/>
      <c r="M1495" s="832"/>
      <c r="N1495" s="832"/>
      <c r="O1495" s="832"/>
      <c r="P1495" s="832"/>
      <c r="Q1495" s="832"/>
      <c r="R1495" s="832"/>
    </row>
    <row r="1496" spans="2:18">
      <c r="B1496" s="832"/>
      <c r="C1496" s="833"/>
      <c r="D1496" s="833"/>
      <c r="E1496" s="833"/>
      <c r="F1496" s="1111"/>
      <c r="G1496" s="1111"/>
      <c r="H1496" s="834"/>
      <c r="I1496" s="832"/>
      <c r="J1496" s="1111"/>
      <c r="K1496" s="832"/>
      <c r="L1496" s="832"/>
      <c r="M1496" s="832"/>
      <c r="N1496" s="832"/>
      <c r="O1496" s="832"/>
      <c r="P1496" s="832"/>
      <c r="Q1496" s="832"/>
      <c r="R1496" s="832"/>
    </row>
    <row r="1497" spans="2:18">
      <c r="B1497" s="832"/>
      <c r="C1497" s="833"/>
      <c r="D1497" s="833"/>
      <c r="E1497" s="833"/>
      <c r="F1497" s="1111"/>
      <c r="G1497" s="1111"/>
      <c r="H1497" s="834"/>
      <c r="I1497" s="832"/>
      <c r="J1497" s="1111"/>
      <c r="K1497" s="832"/>
      <c r="L1497" s="832"/>
      <c r="M1497" s="832"/>
      <c r="N1497" s="832"/>
      <c r="O1497" s="832"/>
      <c r="P1497" s="832"/>
      <c r="Q1497" s="832"/>
      <c r="R1497" s="832"/>
    </row>
    <row r="1498" spans="2:18">
      <c r="B1498" s="832"/>
      <c r="C1498" s="833"/>
      <c r="D1498" s="833"/>
      <c r="E1498" s="833"/>
      <c r="F1498" s="1111"/>
      <c r="G1498" s="1111"/>
      <c r="H1498" s="834"/>
      <c r="I1498" s="832"/>
      <c r="J1498" s="1111"/>
      <c r="K1498" s="832"/>
      <c r="L1498" s="832"/>
      <c r="M1498" s="832"/>
      <c r="N1498" s="832"/>
      <c r="O1498" s="832"/>
      <c r="P1498" s="832"/>
      <c r="Q1498" s="832"/>
      <c r="R1498" s="832"/>
    </row>
    <row r="1499" spans="2:18">
      <c r="B1499" s="832"/>
      <c r="C1499" s="833"/>
      <c r="D1499" s="833"/>
      <c r="E1499" s="833"/>
      <c r="F1499" s="1111"/>
      <c r="G1499" s="1111"/>
      <c r="H1499" s="834"/>
      <c r="I1499" s="832"/>
      <c r="J1499" s="1111"/>
      <c r="K1499" s="832"/>
      <c r="L1499" s="832"/>
      <c r="M1499" s="832"/>
      <c r="N1499" s="832"/>
      <c r="O1499" s="832"/>
      <c r="P1499" s="832"/>
      <c r="Q1499" s="832"/>
      <c r="R1499" s="832"/>
    </row>
    <row r="1500" spans="2:18">
      <c r="B1500" s="832"/>
      <c r="C1500" s="833"/>
      <c r="D1500" s="833"/>
      <c r="E1500" s="833"/>
      <c r="F1500" s="1111"/>
      <c r="G1500" s="1111"/>
      <c r="H1500" s="834"/>
      <c r="I1500" s="832"/>
      <c r="J1500" s="1111"/>
      <c r="K1500" s="832"/>
      <c r="L1500" s="832"/>
      <c r="M1500" s="832"/>
      <c r="N1500" s="832"/>
      <c r="O1500" s="832"/>
      <c r="P1500" s="832"/>
      <c r="Q1500" s="832"/>
      <c r="R1500" s="832"/>
    </row>
    <row r="1501" spans="2:18">
      <c r="B1501" s="832"/>
      <c r="C1501" s="833"/>
      <c r="D1501" s="833"/>
      <c r="E1501" s="833"/>
      <c r="F1501" s="1111"/>
      <c r="G1501" s="1111"/>
      <c r="H1501" s="834"/>
      <c r="I1501" s="832"/>
      <c r="J1501" s="1111"/>
      <c r="K1501" s="832"/>
      <c r="L1501" s="832"/>
      <c r="M1501" s="832"/>
      <c r="N1501" s="832"/>
      <c r="O1501" s="832"/>
      <c r="P1501" s="832"/>
      <c r="Q1501" s="832"/>
      <c r="R1501" s="832"/>
    </row>
    <row r="1502" spans="2:18">
      <c r="B1502" s="832"/>
      <c r="C1502" s="833"/>
      <c r="D1502" s="833"/>
      <c r="E1502" s="833"/>
      <c r="F1502" s="1111"/>
      <c r="G1502" s="1111"/>
      <c r="H1502" s="834"/>
      <c r="I1502" s="832"/>
      <c r="J1502" s="1111"/>
      <c r="K1502" s="832"/>
      <c r="L1502" s="832"/>
      <c r="M1502" s="832"/>
      <c r="N1502" s="832"/>
      <c r="O1502" s="832"/>
      <c r="P1502" s="832"/>
      <c r="Q1502" s="832"/>
      <c r="R1502" s="832"/>
    </row>
    <row r="1503" spans="2:18">
      <c r="B1503" s="832"/>
      <c r="C1503" s="833"/>
      <c r="D1503" s="833"/>
      <c r="E1503" s="833"/>
      <c r="F1503" s="1111"/>
      <c r="G1503" s="1111"/>
      <c r="H1503" s="834"/>
      <c r="I1503" s="832"/>
      <c r="J1503" s="1111"/>
      <c r="K1503" s="832"/>
      <c r="L1503" s="832"/>
      <c r="M1503" s="832"/>
      <c r="N1503" s="832"/>
      <c r="O1503" s="832"/>
      <c r="P1503" s="832"/>
      <c r="Q1503" s="832"/>
      <c r="R1503" s="832"/>
    </row>
    <row r="1504" spans="2:18">
      <c r="B1504" s="832"/>
      <c r="C1504" s="833"/>
      <c r="D1504" s="833"/>
      <c r="E1504" s="833"/>
      <c r="F1504" s="1111"/>
      <c r="G1504" s="1111"/>
      <c r="H1504" s="834"/>
      <c r="I1504" s="832"/>
      <c r="J1504" s="1111"/>
      <c r="K1504" s="832"/>
      <c r="L1504" s="832"/>
      <c r="M1504" s="832"/>
      <c r="N1504" s="832"/>
      <c r="O1504" s="832"/>
      <c r="P1504" s="832"/>
      <c r="Q1504" s="832"/>
      <c r="R1504" s="832"/>
    </row>
    <row r="1505" spans="2:18">
      <c r="B1505" s="832"/>
      <c r="C1505" s="833"/>
      <c r="D1505" s="833"/>
      <c r="E1505" s="833"/>
      <c r="F1505" s="1111"/>
      <c r="G1505" s="1111"/>
      <c r="H1505" s="834"/>
      <c r="I1505" s="832"/>
      <c r="J1505" s="1111"/>
      <c r="K1505" s="832"/>
      <c r="L1505" s="832"/>
      <c r="M1505" s="832"/>
      <c r="N1505" s="832"/>
      <c r="O1505" s="832"/>
      <c r="P1505" s="832"/>
      <c r="Q1505" s="832"/>
      <c r="R1505" s="832"/>
    </row>
    <row r="1506" spans="2:18">
      <c r="B1506" s="832"/>
      <c r="C1506" s="833"/>
      <c r="D1506" s="833"/>
      <c r="E1506" s="833"/>
      <c r="F1506" s="1111"/>
      <c r="G1506" s="1111"/>
      <c r="H1506" s="834"/>
      <c r="I1506" s="832"/>
      <c r="J1506" s="1111"/>
      <c r="K1506" s="832"/>
      <c r="L1506" s="832"/>
      <c r="M1506" s="832"/>
      <c r="N1506" s="832"/>
      <c r="O1506" s="832"/>
      <c r="P1506" s="832"/>
      <c r="Q1506" s="832"/>
      <c r="R1506" s="832"/>
    </row>
    <row r="1507" spans="2:18">
      <c r="B1507" s="832"/>
      <c r="C1507" s="833"/>
      <c r="D1507" s="833"/>
      <c r="E1507" s="833"/>
      <c r="F1507" s="1111"/>
      <c r="G1507" s="1111"/>
      <c r="H1507" s="834"/>
      <c r="I1507" s="832"/>
      <c r="J1507" s="1111"/>
      <c r="K1507" s="832"/>
      <c r="L1507" s="832"/>
      <c r="M1507" s="832"/>
      <c r="N1507" s="832"/>
      <c r="O1507" s="832"/>
      <c r="P1507" s="832"/>
      <c r="Q1507" s="832"/>
      <c r="R1507" s="832"/>
    </row>
    <row r="1508" spans="2:18">
      <c r="B1508" s="832"/>
      <c r="C1508" s="833"/>
      <c r="D1508" s="833"/>
      <c r="E1508" s="833"/>
      <c r="F1508" s="1111"/>
      <c r="G1508" s="1111"/>
      <c r="H1508" s="834"/>
      <c r="I1508" s="832"/>
      <c r="J1508" s="1111"/>
      <c r="K1508" s="832"/>
      <c r="L1508" s="832"/>
      <c r="M1508" s="832"/>
      <c r="N1508" s="832"/>
      <c r="O1508" s="832"/>
      <c r="P1508" s="832"/>
      <c r="Q1508" s="832"/>
      <c r="R1508" s="832"/>
    </row>
    <row r="1509" spans="2:18">
      <c r="B1509" s="832"/>
      <c r="C1509" s="833"/>
      <c r="D1509" s="833"/>
      <c r="E1509" s="833"/>
      <c r="F1509" s="1111"/>
      <c r="G1509" s="1111"/>
      <c r="H1509" s="834"/>
      <c r="I1509" s="832"/>
      <c r="J1509" s="1111"/>
      <c r="K1509" s="832"/>
      <c r="L1509" s="832"/>
      <c r="M1509" s="832"/>
      <c r="N1509" s="832"/>
      <c r="O1509" s="832"/>
      <c r="P1509" s="832"/>
      <c r="Q1509" s="832"/>
      <c r="R1509" s="832"/>
    </row>
    <row r="1510" spans="2:18">
      <c r="B1510" s="832"/>
      <c r="C1510" s="833"/>
      <c r="D1510" s="833"/>
      <c r="E1510" s="833"/>
      <c r="F1510" s="1111"/>
      <c r="G1510" s="1111"/>
      <c r="H1510" s="834"/>
      <c r="I1510" s="832"/>
      <c r="J1510" s="1111"/>
      <c r="K1510" s="832"/>
      <c r="L1510" s="832"/>
      <c r="M1510" s="832"/>
      <c r="N1510" s="832"/>
      <c r="O1510" s="832"/>
      <c r="P1510" s="832"/>
      <c r="Q1510" s="832"/>
      <c r="R1510" s="832"/>
    </row>
    <row r="1511" spans="2:18">
      <c r="B1511" s="832"/>
      <c r="C1511" s="833"/>
      <c r="D1511" s="833"/>
      <c r="E1511" s="833"/>
      <c r="F1511" s="1111"/>
      <c r="G1511" s="1111"/>
      <c r="H1511" s="834"/>
      <c r="I1511" s="832"/>
      <c r="J1511" s="1111"/>
      <c r="K1511" s="832"/>
      <c r="L1511" s="832"/>
      <c r="M1511" s="832"/>
      <c r="N1511" s="832"/>
      <c r="O1511" s="832"/>
      <c r="P1511" s="832"/>
      <c r="Q1511" s="832"/>
      <c r="R1511" s="832"/>
    </row>
    <row r="1512" spans="2:18">
      <c r="B1512" s="832"/>
      <c r="C1512" s="833"/>
      <c r="D1512" s="833"/>
      <c r="E1512" s="833"/>
      <c r="F1512" s="1111"/>
      <c r="G1512" s="1111"/>
      <c r="H1512" s="834"/>
      <c r="I1512" s="832"/>
      <c r="J1512" s="1111"/>
      <c r="K1512" s="832"/>
      <c r="L1512" s="832"/>
      <c r="M1512" s="832"/>
      <c r="N1512" s="832"/>
      <c r="O1512" s="832"/>
      <c r="P1512" s="832"/>
      <c r="Q1512" s="832"/>
      <c r="R1512" s="832"/>
    </row>
    <row r="1513" spans="2:18">
      <c r="B1513" s="832"/>
      <c r="C1513" s="833"/>
      <c r="D1513" s="833"/>
      <c r="E1513" s="833"/>
      <c r="F1513" s="1111"/>
      <c r="G1513" s="1111"/>
      <c r="H1513" s="834"/>
      <c r="I1513" s="832"/>
      <c r="J1513" s="1111"/>
      <c r="K1513" s="832"/>
      <c r="L1513" s="832"/>
      <c r="M1513" s="832"/>
      <c r="N1513" s="832"/>
      <c r="O1513" s="832"/>
      <c r="P1513" s="832"/>
      <c r="Q1513" s="832"/>
      <c r="R1513" s="832"/>
    </row>
    <row r="1514" spans="2:18">
      <c r="B1514" s="832"/>
      <c r="C1514" s="833"/>
      <c r="D1514" s="833"/>
      <c r="E1514" s="833"/>
      <c r="F1514" s="1111"/>
      <c r="G1514" s="1111"/>
      <c r="H1514" s="834"/>
      <c r="I1514" s="832"/>
      <c r="J1514" s="1111"/>
      <c r="K1514" s="832"/>
      <c r="L1514" s="832"/>
      <c r="M1514" s="832"/>
      <c r="N1514" s="832"/>
      <c r="O1514" s="832"/>
      <c r="P1514" s="832"/>
      <c r="Q1514" s="832"/>
      <c r="R1514" s="832"/>
    </row>
    <row r="1515" spans="2:18">
      <c r="B1515" s="832"/>
      <c r="C1515" s="833"/>
      <c r="D1515" s="833"/>
      <c r="E1515" s="833"/>
      <c r="F1515" s="1111"/>
      <c r="G1515" s="1111"/>
      <c r="H1515" s="834"/>
      <c r="I1515" s="832"/>
      <c r="J1515" s="1111"/>
      <c r="K1515" s="832"/>
      <c r="L1515" s="832"/>
      <c r="M1515" s="832"/>
      <c r="N1515" s="832"/>
      <c r="O1515" s="832"/>
      <c r="P1515" s="832"/>
      <c r="Q1515" s="832"/>
      <c r="R1515" s="832"/>
    </row>
    <row r="1516" spans="2:18">
      <c r="B1516" s="832"/>
      <c r="C1516" s="833"/>
      <c r="D1516" s="833"/>
      <c r="E1516" s="833"/>
      <c r="F1516" s="1111"/>
      <c r="G1516" s="1111"/>
      <c r="H1516" s="834"/>
      <c r="I1516" s="832"/>
      <c r="J1516" s="1111"/>
      <c r="K1516" s="832"/>
      <c r="L1516" s="832"/>
      <c r="M1516" s="832"/>
      <c r="N1516" s="832"/>
      <c r="O1516" s="832"/>
      <c r="P1516" s="832"/>
      <c r="Q1516" s="832"/>
      <c r="R1516" s="832"/>
    </row>
    <row r="1517" spans="2:18">
      <c r="B1517" s="832"/>
      <c r="C1517" s="833"/>
      <c r="D1517" s="833"/>
      <c r="E1517" s="833"/>
      <c r="F1517" s="1111"/>
      <c r="G1517" s="1111"/>
      <c r="H1517" s="834"/>
      <c r="I1517" s="832"/>
      <c r="J1517" s="1111"/>
      <c r="K1517" s="832"/>
      <c r="L1517" s="832"/>
      <c r="M1517" s="832"/>
      <c r="N1517" s="832"/>
      <c r="O1517" s="832"/>
      <c r="P1517" s="832"/>
      <c r="Q1517" s="832"/>
      <c r="R1517" s="832"/>
    </row>
    <row r="1518" spans="2:18">
      <c r="B1518" s="832"/>
      <c r="C1518" s="833"/>
      <c r="D1518" s="833"/>
      <c r="E1518" s="833"/>
      <c r="F1518" s="1111"/>
      <c r="G1518" s="1111"/>
      <c r="H1518" s="834"/>
      <c r="I1518" s="832"/>
      <c r="J1518" s="1111"/>
      <c r="K1518" s="832"/>
      <c r="L1518" s="832"/>
      <c r="M1518" s="832"/>
      <c r="N1518" s="832"/>
      <c r="O1518" s="832"/>
      <c r="P1518" s="832"/>
      <c r="Q1518" s="832"/>
      <c r="R1518" s="832"/>
    </row>
    <row r="1519" spans="2:18">
      <c r="B1519" s="832"/>
      <c r="C1519" s="833"/>
      <c r="D1519" s="833"/>
      <c r="E1519" s="833"/>
      <c r="F1519" s="1111"/>
      <c r="G1519" s="1111"/>
      <c r="H1519" s="834"/>
      <c r="I1519" s="832"/>
      <c r="J1519" s="1111"/>
      <c r="K1519" s="832"/>
      <c r="L1519" s="832"/>
      <c r="M1519" s="832"/>
      <c r="N1519" s="832"/>
      <c r="O1519" s="832"/>
      <c r="P1519" s="832"/>
      <c r="Q1519" s="832"/>
      <c r="R1519" s="832"/>
    </row>
    <row r="1520" spans="2:18">
      <c r="B1520" s="832"/>
      <c r="C1520" s="833"/>
      <c r="D1520" s="833"/>
      <c r="E1520" s="833"/>
      <c r="F1520" s="1111"/>
      <c r="G1520" s="1111"/>
      <c r="H1520" s="834"/>
      <c r="I1520" s="832"/>
      <c r="J1520" s="1111"/>
      <c r="K1520" s="832"/>
      <c r="L1520" s="832"/>
      <c r="M1520" s="832"/>
      <c r="N1520" s="832"/>
      <c r="O1520" s="832"/>
      <c r="P1520" s="832"/>
      <c r="Q1520" s="832"/>
      <c r="R1520" s="832"/>
    </row>
    <row r="1521" spans="2:18">
      <c r="B1521" s="832"/>
      <c r="C1521" s="833"/>
      <c r="D1521" s="833"/>
      <c r="E1521" s="833"/>
      <c r="F1521" s="1111"/>
      <c r="G1521" s="1111"/>
      <c r="H1521" s="834"/>
      <c r="I1521" s="832"/>
      <c r="J1521" s="1111"/>
      <c r="K1521" s="832"/>
      <c r="L1521" s="832"/>
      <c r="M1521" s="832"/>
      <c r="N1521" s="832"/>
      <c r="O1521" s="832"/>
      <c r="P1521" s="832"/>
      <c r="Q1521" s="832"/>
      <c r="R1521" s="832"/>
    </row>
    <row r="1522" spans="2:18">
      <c r="B1522" s="832"/>
      <c r="C1522" s="833"/>
      <c r="D1522" s="833"/>
      <c r="E1522" s="833"/>
      <c r="F1522" s="1111"/>
      <c r="G1522" s="1111"/>
      <c r="H1522" s="834"/>
      <c r="I1522" s="832"/>
      <c r="J1522" s="1111"/>
      <c r="K1522" s="832"/>
      <c r="L1522" s="832"/>
      <c r="M1522" s="832"/>
      <c r="N1522" s="832"/>
      <c r="O1522" s="832"/>
      <c r="P1522" s="832"/>
      <c r="Q1522" s="832"/>
      <c r="R1522" s="832"/>
    </row>
    <row r="1523" spans="2:18">
      <c r="B1523" s="832"/>
      <c r="C1523" s="833"/>
      <c r="D1523" s="833"/>
      <c r="E1523" s="833"/>
      <c r="F1523" s="1111"/>
      <c r="G1523" s="1111"/>
      <c r="H1523" s="834"/>
      <c r="I1523" s="832"/>
      <c r="J1523" s="1111"/>
      <c r="K1523" s="832"/>
      <c r="L1523" s="832"/>
      <c r="M1523" s="832"/>
      <c r="N1523" s="832"/>
      <c r="O1523" s="832"/>
      <c r="P1523" s="832"/>
      <c r="Q1523" s="832"/>
      <c r="R1523" s="832"/>
    </row>
    <row r="1524" spans="2:18">
      <c r="B1524" s="832"/>
      <c r="C1524" s="833"/>
      <c r="D1524" s="833"/>
      <c r="E1524" s="833"/>
      <c r="F1524" s="1111"/>
      <c r="G1524" s="1111"/>
      <c r="H1524" s="834"/>
      <c r="I1524" s="832"/>
      <c r="J1524" s="1111"/>
      <c r="K1524" s="832"/>
      <c r="L1524" s="832"/>
      <c r="M1524" s="832"/>
      <c r="N1524" s="832"/>
      <c r="O1524" s="832"/>
      <c r="P1524" s="832"/>
      <c r="Q1524" s="832"/>
      <c r="R1524" s="832"/>
    </row>
    <row r="1525" spans="2:18">
      <c r="B1525" s="832"/>
      <c r="C1525" s="833"/>
      <c r="D1525" s="833"/>
      <c r="E1525" s="833"/>
      <c r="F1525" s="1111"/>
      <c r="G1525" s="1111"/>
      <c r="H1525" s="834"/>
      <c r="I1525" s="832"/>
      <c r="J1525" s="1111"/>
      <c r="K1525" s="832"/>
      <c r="L1525" s="832"/>
      <c r="M1525" s="832"/>
      <c r="N1525" s="832"/>
      <c r="O1525" s="832"/>
      <c r="P1525" s="832"/>
      <c r="Q1525" s="832"/>
      <c r="R1525" s="832"/>
    </row>
    <row r="1526" spans="2:18">
      <c r="B1526" s="832"/>
      <c r="C1526" s="833"/>
      <c r="D1526" s="833"/>
      <c r="E1526" s="833"/>
      <c r="F1526" s="1111"/>
      <c r="G1526" s="1111"/>
      <c r="H1526" s="834"/>
      <c r="I1526" s="832"/>
      <c r="J1526" s="1111"/>
      <c r="K1526" s="832"/>
      <c r="L1526" s="832"/>
      <c r="M1526" s="832"/>
      <c r="N1526" s="832"/>
      <c r="O1526" s="832"/>
      <c r="P1526" s="832"/>
      <c r="Q1526" s="832"/>
      <c r="R1526" s="832"/>
    </row>
    <row r="1527" spans="2:18">
      <c r="B1527" s="832"/>
      <c r="C1527" s="833"/>
      <c r="D1527" s="833"/>
      <c r="E1527" s="833"/>
      <c r="F1527" s="1111"/>
      <c r="G1527" s="1111"/>
      <c r="H1527" s="834"/>
      <c r="I1527" s="832"/>
      <c r="J1527" s="1111"/>
      <c r="K1527" s="832"/>
      <c r="L1527" s="832"/>
      <c r="M1527" s="832"/>
      <c r="N1527" s="832"/>
      <c r="O1527" s="832"/>
      <c r="P1527" s="832"/>
      <c r="Q1527" s="832"/>
      <c r="R1527" s="832"/>
    </row>
    <row r="1528" spans="2:18">
      <c r="B1528" s="832"/>
      <c r="C1528" s="833"/>
      <c r="D1528" s="833"/>
      <c r="E1528" s="833"/>
      <c r="F1528" s="1111"/>
      <c r="G1528" s="1111"/>
      <c r="H1528" s="834"/>
      <c r="I1528" s="832"/>
      <c r="J1528" s="1111"/>
      <c r="K1528" s="832"/>
      <c r="L1528" s="832"/>
      <c r="M1528" s="832"/>
      <c r="N1528" s="832"/>
      <c r="O1528" s="832"/>
      <c r="P1528" s="832"/>
      <c r="Q1528" s="832"/>
      <c r="R1528" s="832"/>
    </row>
    <row r="1529" spans="2:18">
      <c r="B1529" s="832"/>
      <c r="C1529" s="833"/>
      <c r="D1529" s="833"/>
      <c r="E1529" s="833"/>
      <c r="F1529" s="1111"/>
      <c r="G1529" s="1111"/>
      <c r="H1529" s="834"/>
      <c r="I1529" s="832"/>
      <c r="J1529" s="1111"/>
      <c r="K1529" s="832"/>
      <c r="L1529" s="832"/>
      <c r="M1529" s="832"/>
      <c r="N1529" s="832"/>
      <c r="O1529" s="832"/>
      <c r="P1529" s="832"/>
      <c r="Q1529" s="832"/>
      <c r="R1529" s="832"/>
    </row>
    <row r="1530" spans="2:18">
      <c r="B1530" s="832"/>
      <c r="C1530" s="833"/>
      <c r="D1530" s="833"/>
      <c r="E1530" s="833"/>
      <c r="F1530" s="1111"/>
      <c r="G1530" s="1111"/>
      <c r="H1530" s="834"/>
      <c r="I1530" s="832"/>
      <c r="J1530" s="1111"/>
      <c r="K1530" s="832"/>
      <c r="L1530" s="832"/>
      <c r="M1530" s="832"/>
      <c r="N1530" s="832"/>
      <c r="O1530" s="832"/>
      <c r="P1530" s="832"/>
      <c r="Q1530" s="832"/>
      <c r="R1530" s="832"/>
    </row>
    <row r="1531" spans="2:18">
      <c r="B1531" s="832"/>
      <c r="C1531" s="833"/>
      <c r="D1531" s="833"/>
      <c r="E1531" s="833"/>
      <c r="F1531" s="1111"/>
      <c r="G1531" s="1111"/>
      <c r="H1531" s="834"/>
      <c r="I1531" s="832"/>
      <c r="J1531" s="1111"/>
      <c r="K1531" s="832"/>
      <c r="L1531" s="832"/>
      <c r="M1531" s="832"/>
      <c r="N1531" s="832"/>
      <c r="O1531" s="832"/>
      <c r="P1531" s="832"/>
      <c r="Q1531" s="832"/>
      <c r="R1531" s="832"/>
    </row>
    <row r="1532" spans="2:18">
      <c r="B1532" s="832"/>
      <c r="C1532" s="833"/>
      <c r="D1532" s="833"/>
      <c r="E1532" s="833"/>
      <c r="F1532" s="1111"/>
      <c r="G1532" s="1111"/>
      <c r="H1532" s="834"/>
      <c r="I1532" s="832"/>
      <c r="J1532" s="1111"/>
      <c r="K1532" s="832"/>
      <c r="L1532" s="832"/>
      <c r="M1532" s="832"/>
      <c r="N1532" s="832"/>
      <c r="O1532" s="832"/>
      <c r="P1532" s="832"/>
      <c r="Q1532" s="832"/>
      <c r="R1532" s="832"/>
    </row>
    <row r="1533" spans="2:18">
      <c r="B1533" s="832"/>
      <c r="C1533" s="833"/>
      <c r="D1533" s="833"/>
      <c r="E1533" s="833"/>
      <c r="F1533" s="1111"/>
      <c r="G1533" s="1111"/>
      <c r="H1533" s="834"/>
      <c r="I1533" s="832"/>
      <c r="J1533" s="1111"/>
      <c r="K1533" s="832"/>
      <c r="L1533" s="832"/>
      <c r="M1533" s="832"/>
      <c r="N1533" s="832"/>
      <c r="O1533" s="832"/>
      <c r="P1533" s="832"/>
      <c r="Q1533" s="832"/>
      <c r="R1533" s="832"/>
    </row>
    <row r="1534" spans="2:18">
      <c r="B1534" s="832"/>
      <c r="C1534" s="833"/>
      <c r="D1534" s="833"/>
      <c r="E1534" s="833"/>
      <c r="F1534" s="1111"/>
      <c r="G1534" s="1111"/>
      <c r="H1534" s="834"/>
      <c r="I1534" s="832"/>
      <c r="J1534" s="1111"/>
      <c r="K1534" s="832"/>
      <c r="L1534" s="832"/>
      <c r="M1534" s="832"/>
      <c r="N1534" s="832"/>
      <c r="O1534" s="832"/>
      <c r="P1534" s="832"/>
      <c r="Q1534" s="832"/>
      <c r="R1534" s="832"/>
    </row>
    <row r="1535" spans="2:18">
      <c r="B1535" s="832"/>
      <c r="C1535" s="833"/>
      <c r="D1535" s="833"/>
      <c r="E1535" s="833"/>
      <c r="F1535" s="1111"/>
      <c r="G1535" s="1111"/>
      <c r="H1535" s="834"/>
      <c r="I1535" s="832"/>
      <c r="J1535" s="1111"/>
      <c r="K1535" s="832"/>
      <c r="L1535" s="832"/>
      <c r="M1535" s="832"/>
      <c r="N1535" s="832"/>
      <c r="O1535" s="832"/>
      <c r="P1535" s="832"/>
      <c r="Q1535" s="832"/>
      <c r="R1535" s="832"/>
    </row>
    <row r="1536" spans="2:18">
      <c r="B1536" s="832"/>
      <c r="C1536" s="833"/>
      <c r="D1536" s="833"/>
      <c r="E1536" s="833"/>
      <c r="F1536" s="1111"/>
      <c r="G1536" s="1111"/>
      <c r="H1536" s="834"/>
      <c r="I1536" s="832"/>
      <c r="J1536" s="1111"/>
      <c r="K1536" s="832"/>
      <c r="L1536" s="832"/>
      <c r="M1536" s="832"/>
      <c r="N1536" s="832"/>
      <c r="O1536" s="832"/>
      <c r="P1536" s="832"/>
      <c r="Q1536" s="832"/>
      <c r="R1536" s="832"/>
    </row>
    <row r="1537" spans="2:18">
      <c r="B1537" s="832"/>
      <c r="C1537" s="833"/>
      <c r="D1537" s="833"/>
      <c r="E1537" s="833"/>
      <c r="F1537" s="1111"/>
      <c r="G1537" s="1111"/>
      <c r="H1537" s="834"/>
      <c r="I1537" s="832"/>
      <c r="J1537" s="1111"/>
      <c r="K1537" s="832"/>
      <c r="L1537" s="832"/>
      <c r="M1537" s="832"/>
      <c r="N1537" s="832"/>
      <c r="O1537" s="832"/>
      <c r="P1537" s="832"/>
      <c r="Q1537" s="832"/>
      <c r="R1537" s="832"/>
    </row>
    <row r="1538" spans="2:18">
      <c r="B1538" s="832"/>
      <c r="C1538" s="833"/>
      <c r="D1538" s="833"/>
      <c r="E1538" s="833"/>
      <c r="F1538" s="1111"/>
      <c r="G1538" s="1111"/>
      <c r="H1538" s="834"/>
      <c r="I1538" s="832"/>
      <c r="J1538" s="1111"/>
      <c r="K1538" s="832"/>
      <c r="L1538" s="832"/>
      <c r="M1538" s="832"/>
      <c r="N1538" s="832"/>
      <c r="O1538" s="832"/>
      <c r="P1538" s="832"/>
      <c r="Q1538" s="832"/>
      <c r="R1538" s="832"/>
    </row>
    <row r="1539" spans="2:18">
      <c r="B1539" s="832"/>
      <c r="C1539" s="833"/>
      <c r="D1539" s="833"/>
      <c r="E1539" s="833"/>
      <c r="F1539" s="1111"/>
      <c r="G1539" s="1111"/>
      <c r="H1539" s="834"/>
      <c r="I1539" s="832"/>
      <c r="J1539" s="1111"/>
      <c r="K1539" s="832"/>
      <c r="L1539" s="832"/>
      <c r="M1539" s="832"/>
      <c r="N1539" s="832"/>
      <c r="O1539" s="832"/>
      <c r="P1539" s="832"/>
      <c r="Q1539" s="832"/>
      <c r="R1539" s="832"/>
    </row>
    <row r="1540" spans="2:18">
      <c r="B1540" s="832"/>
      <c r="C1540" s="833"/>
      <c r="D1540" s="833"/>
      <c r="E1540" s="833"/>
      <c r="F1540" s="1111"/>
      <c r="G1540" s="1111"/>
      <c r="H1540" s="834"/>
      <c r="I1540" s="832"/>
      <c r="J1540" s="1111"/>
      <c r="K1540" s="832"/>
      <c r="L1540" s="832"/>
      <c r="M1540" s="832"/>
      <c r="N1540" s="832"/>
      <c r="O1540" s="832"/>
      <c r="P1540" s="832"/>
      <c r="Q1540" s="832"/>
      <c r="R1540" s="832"/>
    </row>
    <row r="1541" spans="2:18">
      <c r="B1541" s="832"/>
      <c r="C1541" s="833"/>
      <c r="D1541" s="833"/>
      <c r="E1541" s="833"/>
      <c r="F1541" s="1111"/>
      <c r="G1541" s="1111"/>
      <c r="H1541" s="834"/>
      <c r="I1541" s="832"/>
      <c r="J1541" s="1111"/>
      <c r="K1541" s="832"/>
      <c r="L1541" s="832"/>
      <c r="M1541" s="832"/>
      <c r="N1541" s="832"/>
      <c r="O1541" s="832"/>
      <c r="P1541" s="832"/>
      <c r="Q1541" s="832"/>
      <c r="R1541" s="832"/>
    </row>
    <row r="1542" spans="2:18">
      <c r="B1542" s="832"/>
      <c r="C1542" s="833"/>
      <c r="D1542" s="833"/>
      <c r="E1542" s="833"/>
      <c r="F1542" s="1111"/>
      <c r="G1542" s="1111"/>
      <c r="H1542" s="834"/>
      <c r="I1542" s="832"/>
      <c r="J1542" s="1111"/>
      <c r="K1542" s="832"/>
      <c r="L1542" s="832"/>
      <c r="M1542" s="832"/>
      <c r="N1542" s="832"/>
      <c r="O1542" s="832"/>
      <c r="P1542" s="832"/>
      <c r="Q1542" s="832"/>
      <c r="R1542" s="832"/>
    </row>
    <row r="1543" spans="2:18">
      <c r="B1543" s="832"/>
      <c r="C1543" s="833"/>
      <c r="D1543" s="833"/>
      <c r="E1543" s="833"/>
      <c r="F1543" s="1111"/>
      <c r="G1543" s="1111"/>
      <c r="H1543" s="834"/>
      <c r="I1543" s="832"/>
      <c r="J1543" s="1111"/>
      <c r="K1543" s="832"/>
      <c r="L1543" s="832"/>
      <c r="M1543" s="832"/>
      <c r="N1543" s="832"/>
      <c r="O1543" s="832"/>
      <c r="P1543" s="832"/>
      <c r="Q1543" s="832"/>
      <c r="R1543" s="832"/>
    </row>
    <row r="1544" spans="2:18">
      <c r="B1544" s="832"/>
      <c r="C1544" s="833"/>
      <c r="D1544" s="833"/>
      <c r="E1544" s="833"/>
      <c r="F1544" s="1111"/>
      <c r="G1544" s="1111"/>
      <c r="H1544" s="834"/>
      <c r="I1544" s="832"/>
      <c r="J1544" s="1111"/>
      <c r="K1544" s="832"/>
      <c r="L1544" s="832"/>
      <c r="M1544" s="832"/>
      <c r="N1544" s="832"/>
      <c r="O1544" s="832"/>
      <c r="P1544" s="832"/>
      <c r="Q1544" s="832"/>
      <c r="R1544" s="832"/>
    </row>
    <row r="1545" spans="2:18">
      <c r="B1545" s="832"/>
      <c r="C1545" s="833"/>
      <c r="D1545" s="833"/>
      <c r="E1545" s="833"/>
      <c r="F1545" s="1111"/>
      <c r="G1545" s="1111"/>
      <c r="H1545" s="834"/>
      <c r="I1545" s="832"/>
      <c r="J1545" s="1111"/>
      <c r="K1545" s="832"/>
      <c r="L1545" s="832"/>
      <c r="M1545" s="832"/>
      <c r="N1545" s="832"/>
      <c r="O1545" s="832"/>
      <c r="P1545" s="832"/>
      <c r="Q1545" s="832"/>
      <c r="R1545" s="832"/>
    </row>
    <row r="1546" spans="2:18">
      <c r="B1546" s="832"/>
      <c r="C1546" s="833"/>
      <c r="D1546" s="833"/>
      <c r="E1546" s="833"/>
      <c r="F1546" s="1111"/>
      <c r="G1546" s="1111"/>
      <c r="H1546" s="834"/>
      <c r="I1546" s="832"/>
      <c r="J1546" s="1111"/>
      <c r="K1546" s="832"/>
      <c r="L1546" s="832"/>
      <c r="M1546" s="832"/>
      <c r="N1546" s="832"/>
      <c r="O1546" s="832"/>
      <c r="P1546" s="832"/>
      <c r="Q1546" s="832"/>
      <c r="R1546" s="832"/>
    </row>
    <row r="1547" spans="2:18">
      <c r="B1547" s="832"/>
      <c r="C1547" s="833"/>
      <c r="D1547" s="833"/>
      <c r="E1547" s="833"/>
      <c r="F1547" s="1111"/>
      <c r="G1547" s="1111"/>
      <c r="H1547" s="834"/>
      <c r="I1547" s="832"/>
      <c r="J1547" s="1111"/>
      <c r="K1547" s="832"/>
      <c r="L1547" s="832"/>
      <c r="M1547" s="832"/>
      <c r="N1547" s="832"/>
      <c r="O1547" s="832"/>
      <c r="P1547" s="832"/>
      <c r="Q1547" s="832"/>
      <c r="R1547" s="832"/>
    </row>
    <row r="1548" spans="2:18">
      <c r="B1548" s="832"/>
      <c r="C1548" s="833"/>
      <c r="D1548" s="833"/>
      <c r="E1548" s="833"/>
      <c r="F1548" s="1111"/>
      <c r="G1548" s="1111"/>
      <c r="H1548" s="834"/>
      <c r="I1548" s="832"/>
      <c r="J1548" s="1111"/>
      <c r="K1548" s="832"/>
      <c r="L1548" s="832"/>
      <c r="M1548" s="832"/>
      <c r="N1548" s="832"/>
      <c r="O1548" s="832"/>
      <c r="P1548" s="832"/>
      <c r="Q1548" s="832"/>
      <c r="R1548" s="832"/>
    </row>
    <row r="1549" spans="2:18">
      <c r="B1549" s="832"/>
      <c r="C1549" s="833"/>
      <c r="D1549" s="833"/>
      <c r="E1549" s="833"/>
      <c r="F1549" s="1111"/>
      <c r="G1549" s="1111"/>
      <c r="H1549" s="834"/>
      <c r="I1549" s="832"/>
      <c r="J1549" s="1111"/>
      <c r="K1549" s="832"/>
      <c r="L1549" s="832"/>
      <c r="M1549" s="832"/>
      <c r="N1549" s="832"/>
      <c r="O1549" s="832"/>
      <c r="P1549" s="832"/>
      <c r="Q1549" s="832"/>
      <c r="R1549" s="832"/>
    </row>
    <row r="1550" spans="2:18">
      <c r="B1550" s="832"/>
      <c r="C1550" s="833"/>
      <c r="D1550" s="833"/>
      <c r="E1550" s="833"/>
      <c r="F1550" s="1111"/>
      <c r="G1550" s="1111"/>
      <c r="H1550" s="834"/>
      <c r="I1550" s="832"/>
      <c r="J1550" s="1111"/>
      <c r="K1550" s="832"/>
      <c r="L1550" s="832"/>
      <c r="M1550" s="832"/>
      <c r="N1550" s="832"/>
      <c r="O1550" s="832"/>
      <c r="P1550" s="832"/>
      <c r="Q1550" s="832"/>
      <c r="R1550" s="832"/>
    </row>
    <row r="1551" spans="2:18">
      <c r="B1551" s="832"/>
      <c r="C1551" s="833"/>
      <c r="D1551" s="833"/>
      <c r="E1551" s="833"/>
      <c r="F1551" s="1111"/>
      <c r="G1551" s="1111"/>
      <c r="H1551" s="834"/>
      <c r="I1551" s="832"/>
      <c r="J1551" s="1111"/>
      <c r="K1551" s="832"/>
      <c r="L1551" s="832"/>
      <c r="M1551" s="832"/>
      <c r="N1551" s="832"/>
      <c r="O1551" s="832"/>
      <c r="P1551" s="832"/>
      <c r="Q1551" s="832"/>
      <c r="R1551" s="832"/>
    </row>
    <row r="1552" spans="2:18">
      <c r="B1552" s="832"/>
      <c r="C1552" s="833"/>
      <c r="D1552" s="833"/>
      <c r="E1552" s="833"/>
      <c r="F1552" s="1111"/>
      <c r="G1552" s="1111"/>
      <c r="H1552" s="834"/>
      <c r="I1552" s="832"/>
      <c r="J1552" s="1111"/>
      <c r="K1552" s="832"/>
      <c r="L1552" s="832"/>
      <c r="M1552" s="832"/>
      <c r="N1552" s="832"/>
      <c r="O1552" s="832"/>
      <c r="P1552" s="832"/>
      <c r="Q1552" s="832"/>
      <c r="R1552" s="832"/>
    </row>
    <row r="1553" spans="2:18">
      <c r="B1553" s="832"/>
      <c r="C1553" s="833"/>
      <c r="D1553" s="833"/>
      <c r="E1553" s="833"/>
      <c r="F1553" s="1111"/>
      <c r="G1553" s="1111"/>
      <c r="H1553" s="834"/>
      <c r="I1553" s="832"/>
      <c r="J1553" s="1111"/>
      <c r="K1553" s="832"/>
      <c r="L1553" s="832"/>
      <c r="M1553" s="832"/>
      <c r="N1553" s="832"/>
      <c r="O1553" s="832"/>
      <c r="P1553" s="832"/>
      <c r="Q1553" s="832"/>
      <c r="R1553" s="832"/>
    </row>
    <row r="1554" spans="2:18">
      <c r="B1554" s="832"/>
      <c r="C1554" s="833"/>
      <c r="D1554" s="833"/>
      <c r="E1554" s="833"/>
      <c r="F1554" s="1111"/>
      <c r="G1554" s="1111"/>
      <c r="H1554" s="834"/>
      <c r="I1554" s="832"/>
      <c r="J1554" s="1111"/>
      <c r="K1554" s="832"/>
      <c r="L1554" s="832"/>
      <c r="M1554" s="832"/>
      <c r="N1554" s="832"/>
      <c r="O1554" s="832"/>
      <c r="P1554" s="832"/>
      <c r="Q1554" s="832"/>
      <c r="R1554" s="832"/>
    </row>
    <row r="1555" spans="2:18">
      <c r="B1555" s="832"/>
      <c r="C1555" s="833"/>
      <c r="D1555" s="833"/>
      <c r="E1555" s="833"/>
      <c r="F1555" s="1111"/>
      <c r="G1555" s="1111"/>
      <c r="H1555" s="834"/>
      <c r="I1555" s="832"/>
      <c r="J1555" s="1111"/>
      <c r="K1555" s="832"/>
      <c r="L1555" s="832"/>
      <c r="M1555" s="832"/>
      <c r="N1555" s="832"/>
      <c r="O1555" s="832"/>
      <c r="P1555" s="832"/>
      <c r="Q1555" s="832"/>
      <c r="R1555" s="832"/>
    </row>
    <row r="1556" spans="2:18">
      <c r="B1556" s="832"/>
      <c r="C1556" s="833"/>
      <c r="D1556" s="833"/>
      <c r="E1556" s="833"/>
      <c r="F1556" s="1111"/>
      <c r="G1556" s="1111"/>
      <c r="H1556" s="834"/>
      <c r="I1556" s="832"/>
      <c r="J1556" s="1111"/>
      <c r="K1556" s="832"/>
      <c r="L1556" s="832"/>
      <c r="M1556" s="832"/>
      <c r="N1556" s="832"/>
      <c r="O1556" s="832"/>
      <c r="P1556" s="832"/>
      <c r="Q1556" s="832"/>
      <c r="R1556" s="832"/>
    </row>
    <row r="1557" spans="2:18">
      <c r="B1557" s="832"/>
      <c r="C1557" s="833"/>
      <c r="D1557" s="833"/>
      <c r="E1557" s="833"/>
      <c r="F1557" s="1111"/>
      <c r="G1557" s="1111"/>
      <c r="H1557" s="834"/>
      <c r="I1557" s="832"/>
      <c r="J1557" s="1111"/>
      <c r="K1557" s="832"/>
      <c r="L1557" s="832"/>
      <c r="M1557" s="832"/>
      <c r="N1557" s="832"/>
      <c r="O1557" s="832"/>
      <c r="P1557" s="832"/>
      <c r="Q1557" s="832"/>
      <c r="R1557" s="832"/>
    </row>
    <row r="1558" spans="2:18">
      <c r="B1558" s="832"/>
      <c r="C1558" s="833"/>
      <c r="D1558" s="833"/>
      <c r="E1558" s="833"/>
      <c r="F1558" s="1111"/>
      <c r="G1558" s="1111"/>
      <c r="H1558" s="834"/>
      <c r="I1558" s="832"/>
      <c r="J1558" s="1111"/>
      <c r="K1558" s="832"/>
      <c r="L1558" s="832"/>
      <c r="M1558" s="832"/>
      <c r="N1558" s="832"/>
      <c r="O1558" s="832"/>
      <c r="P1558" s="832"/>
      <c r="Q1558" s="832"/>
      <c r="R1558" s="832"/>
    </row>
    <row r="1559" spans="2:18">
      <c r="B1559" s="832"/>
      <c r="C1559" s="833"/>
      <c r="D1559" s="833"/>
      <c r="E1559" s="833"/>
      <c r="F1559" s="1111"/>
      <c r="G1559" s="1111"/>
      <c r="H1559" s="834"/>
      <c r="I1559" s="832"/>
      <c r="J1559" s="1111"/>
      <c r="K1559" s="832"/>
      <c r="L1559" s="832"/>
      <c r="M1559" s="832"/>
      <c r="N1559" s="832"/>
      <c r="O1559" s="832"/>
      <c r="P1559" s="832"/>
      <c r="Q1559" s="832"/>
      <c r="R1559" s="832"/>
    </row>
    <row r="1560" spans="2:18">
      <c r="B1560" s="832"/>
      <c r="C1560" s="833"/>
      <c r="D1560" s="833"/>
      <c r="E1560" s="833"/>
      <c r="F1560" s="1111"/>
      <c r="G1560" s="1111"/>
      <c r="H1560" s="834"/>
      <c r="I1560" s="832"/>
      <c r="J1560" s="1111"/>
      <c r="K1560" s="832"/>
      <c r="L1560" s="832"/>
      <c r="M1560" s="832"/>
      <c r="N1560" s="832"/>
      <c r="O1560" s="832"/>
      <c r="P1560" s="832"/>
      <c r="Q1560" s="832"/>
      <c r="R1560" s="832"/>
    </row>
    <row r="1561" spans="2:18">
      <c r="B1561" s="832"/>
      <c r="C1561" s="833"/>
      <c r="D1561" s="833"/>
      <c r="E1561" s="833"/>
      <c r="F1561" s="1111"/>
      <c r="G1561" s="1111"/>
      <c r="H1561" s="834"/>
      <c r="I1561" s="832"/>
      <c r="J1561" s="1111"/>
      <c r="K1561" s="832"/>
      <c r="L1561" s="832"/>
      <c r="M1561" s="832"/>
      <c r="N1561" s="832"/>
      <c r="O1561" s="832"/>
      <c r="P1561" s="832"/>
      <c r="Q1561" s="832"/>
      <c r="R1561" s="832"/>
    </row>
    <row r="1562" spans="2:18">
      <c r="B1562" s="832"/>
      <c r="C1562" s="833"/>
      <c r="D1562" s="833"/>
      <c r="E1562" s="833"/>
      <c r="F1562" s="1111"/>
      <c r="G1562" s="1111"/>
      <c r="H1562" s="834"/>
      <c r="I1562" s="832"/>
      <c r="J1562" s="1111"/>
      <c r="K1562" s="832"/>
      <c r="L1562" s="832"/>
      <c r="M1562" s="832"/>
      <c r="N1562" s="832"/>
      <c r="O1562" s="832"/>
      <c r="P1562" s="832"/>
      <c r="Q1562" s="832"/>
      <c r="R1562" s="832"/>
    </row>
    <row r="1563" spans="2:18">
      <c r="B1563" s="832"/>
      <c r="C1563" s="833"/>
      <c r="D1563" s="833"/>
      <c r="E1563" s="833"/>
      <c r="F1563" s="1111"/>
      <c r="G1563" s="1111"/>
      <c r="H1563" s="834"/>
      <c r="I1563" s="832"/>
      <c r="J1563" s="1111"/>
      <c r="K1563" s="832"/>
      <c r="L1563" s="832"/>
      <c r="M1563" s="832"/>
      <c r="N1563" s="832"/>
      <c r="O1563" s="832"/>
      <c r="P1563" s="832"/>
      <c r="Q1563" s="832"/>
      <c r="R1563" s="832"/>
    </row>
    <row r="1564" spans="2:18">
      <c r="B1564" s="832"/>
      <c r="C1564" s="833"/>
      <c r="D1564" s="833"/>
      <c r="E1564" s="833"/>
      <c r="F1564" s="1111"/>
      <c r="G1564" s="1111"/>
      <c r="H1564" s="834"/>
      <c r="I1564" s="832"/>
      <c r="J1564" s="1111"/>
      <c r="K1564" s="832"/>
      <c r="L1564" s="832"/>
      <c r="M1564" s="832"/>
      <c r="N1564" s="832"/>
      <c r="O1564" s="832"/>
      <c r="P1564" s="832"/>
      <c r="Q1564" s="832"/>
      <c r="R1564" s="832"/>
    </row>
    <row r="1565" spans="2:18">
      <c r="B1565" s="832"/>
      <c r="C1565" s="833"/>
      <c r="D1565" s="833"/>
      <c r="E1565" s="833"/>
      <c r="F1565" s="1111"/>
      <c r="G1565" s="1111"/>
      <c r="H1565" s="834"/>
      <c r="I1565" s="832"/>
      <c r="J1565" s="1111"/>
      <c r="K1565" s="832"/>
      <c r="L1565" s="832"/>
      <c r="M1565" s="832"/>
      <c r="N1565" s="832"/>
      <c r="O1565" s="832"/>
      <c r="P1565" s="832"/>
      <c r="Q1565" s="832"/>
      <c r="R1565" s="832"/>
    </row>
    <row r="1566" spans="2:18">
      <c r="B1566" s="832"/>
      <c r="C1566" s="833"/>
      <c r="D1566" s="833"/>
      <c r="E1566" s="833"/>
      <c r="F1566" s="1111"/>
      <c r="G1566" s="1111"/>
      <c r="H1566" s="834"/>
      <c r="I1566" s="832"/>
      <c r="J1566" s="1111"/>
      <c r="K1566" s="832"/>
      <c r="L1566" s="832"/>
      <c r="M1566" s="832"/>
      <c r="N1566" s="832"/>
      <c r="O1566" s="832"/>
      <c r="P1566" s="832"/>
      <c r="Q1566" s="832"/>
      <c r="R1566" s="832"/>
    </row>
    <row r="1567" spans="2:18">
      <c r="B1567" s="832"/>
      <c r="C1567" s="833"/>
      <c r="D1567" s="833"/>
      <c r="E1567" s="833"/>
      <c r="F1567" s="1111"/>
      <c r="G1567" s="1111"/>
      <c r="H1567" s="834"/>
      <c r="I1567" s="832"/>
      <c r="J1567" s="1111"/>
      <c r="K1567" s="832"/>
      <c r="L1567" s="832"/>
      <c r="M1567" s="832"/>
      <c r="N1567" s="832"/>
      <c r="O1567" s="832"/>
      <c r="P1567" s="832"/>
      <c r="Q1567" s="832"/>
      <c r="R1567" s="832"/>
    </row>
    <row r="1568" spans="2:18">
      <c r="B1568" s="832"/>
      <c r="C1568" s="833"/>
      <c r="D1568" s="833"/>
      <c r="E1568" s="833"/>
      <c r="F1568" s="1111"/>
      <c r="G1568" s="1111"/>
      <c r="H1568" s="834"/>
      <c r="I1568" s="832"/>
      <c r="J1568" s="1111"/>
      <c r="K1568" s="832"/>
      <c r="L1568" s="832"/>
      <c r="M1568" s="832"/>
      <c r="N1568" s="832"/>
      <c r="O1568" s="832"/>
      <c r="P1568" s="832"/>
      <c r="Q1568" s="832"/>
      <c r="R1568" s="832"/>
    </row>
    <row r="1569" spans="2:18">
      <c r="B1569" s="832"/>
      <c r="C1569" s="833"/>
      <c r="D1569" s="833"/>
      <c r="E1569" s="833"/>
      <c r="F1569" s="1111"/>
      <c r="G1569" s="1111"/>
      <c r="H1569" s="834"/>
      <c r="I1569" s="832"/>
      <c r="J1569" s="1111"/>
      <c r="K1569" s="832"/>
      <c r="L1569" s="832"/>
      <c r="M1569" s="832"/>
      <c r="N1569" s="832"/>
      <c r="O1569" s="832"/>
      <c r="P1569" s="832"/>
      <c r="Q1569" s="832"/>
      <c r="R1569" s="832"/>
    </row>
    <row r="1570" spans="2:18">
      <c r="B1570" s="832"/>
      <c r="C1570" s="833"/>
      <c r="D1570" s="833"/>
      <c r="E1570" s="833"/>
      <c r="F1570" s="1111"/>
      <c r="G1570" s="1111"/>
      <c r="H1570" s="834"/>
      <c r="I1570" s="832"/>
      <c r="J1570" s="1111"/>
      <c r="K1570" s="832"/>
      <c r="L1570" s="832"/>
      <c r="M1570" s="832"/>
      <c r="N1570" s="832"/>
      <c r="O1570" s="832"/>
      <c r="P1570" s="832"/>
      <c r="Q1570" s="832"/>
      <c r="R1570" s="832"/>
    </row>
    <row r="1571" spans="2:18">
      <c r="B1571" s="832"/>
      <c r="C1571" s="833"/>
      <c r="D1571" s="833"/>
      <c r="E1571" s="833"/>
      <c r="F1571" s="1111"/>
      <c r="G1571" s="1111"/>
      <c r="H1571" s="834"/>
      <c r="I1571" s="832"/>
      <c r="J1571" s="1111"/>
      <c r="K1571" s="832"/>
      <c r="L1571" s="832"/>
      <c r="M1571" s="832"/>
      <c r="N1571" s="832"/>
      <c r="O1571" s="832"/>
      <c r="P1571" s="832"/>
      <c r="Q1571" s="832"/>
      <c r="R1571" s="832"/>
    </row>
    <row r="1572" spans="2:18">
      <c r="B1572" s="832"/>
      <c r="C1572" s="833"/>
      <c r="D1572" s="833"/>
      <c r="E1572" s="833"/>
      <c r="F1572" s="1111"/>
      <c r="G1572" s="1111"/>
      <c r="H1572" s="834"/>
      <c r="I1572" s="832"/>
      <c r="J1572" s="1111"/>
      <c r="K1572" s="832"/>
      <c r="L1572" s="832"/>
      <c r="M1572" s="832"/>
      <c r="N1572" s="832"/>
      <c r="O1572" s="832"/>
      <c r="P1572" s="832"/>
      <c r="Q1572" s="832"/>
      <c r="R1572" s="832"/>
    </row>
    <row r="1573" spans="2:18">
      <c r="B1573" s="832"/>
      <c r="C1573" s="833"/>
      <c r="D1573" s="833"/>
      <c r="E1573" s="833"/>
      <c r="F1573" s="1111"/>
      <c r="G1573" s="1111"/>
      <c r="H1573" s="834"/>
      <c r="I1573" s="832"/>
      <c r="J1573" s="1111"/>
      <c r="K1573" s="832"/>
      <c r="L1573" s="832"/>
      <c r="M1573" s="832"/>
      <c r="N1573" s="832"/>
      <c r="O1573" s="832"/>
      <c r="P1573" s="832"/>
      <c r="Q1573" s="832"/>
      <c r="R1573" s="832"/>
    </row>
    <row r="1574" spans="2:18">
      <c r="B1574" s="832"/>
      <c r="C1574" s="833"/>
      <c r="D1574" s="833"/>
      <c r="E1574" s="833"/>
      <c r="F1574" s="1111"/>
      <c r="G1574" s="1111"/>
      <c r="H1574" s="834"/>
      <c r="I1574" s="832"/>
      <c r="J1574" s="1111"/>
      <c r="K1574" s="832"/>
      <c r="L1574" s="832"/>
      <c r="M1574" s="832"/>
      <c r="N1574" s="832"/>
      <c r="O1574" s="832"/>
      <c r="P1574" s="832"/>
      <c r="Q1574" s="832"/>
      <c r="R1574" s="832"/>
    </row>
    <row r="1575" spans="2:18">
      <c r="B1575" s="832"/>
      <c r="C1575" s="833"/>
      <c r="D1575" s="833"/>
      <c r="E1575" s="833"/>
      <c r="F1575" s="1111"/>
      <c r="G1575" s="1111"/>
      <c r="H1575" s="834"/>
      <c r="I1575" s="832"/>
      <c r="J1575" s="1111"/>
      <c r="K1575" s="832"/>
      <c r="L1575" s="832"/>
      <c r="M1575" s="832"/>
      <c r="N1575" s="832"/>
      <c r="O1575" s="832"/>
      <c r="P1575" s="832"/>
      <c r="Q1575" s="832"/>
      <c r="R1575" s="832"/>
    </row>
    <row r="1576" spans="2:18">
      <c r="B1576" s="832"/>
      <c r="C1576" s="833"/>
      <c r="D1576" s="833"/>
      <c r="E1576" s="833"/>
      <c r="F1576" s="1111"/>
      <c r="G1576" s="1111"/>
      <c r="H1576" s="834"/>
      <c r="I1576" s="832"/>
      <c r="J1576" s="1111"/>
      <c r="K1576" s="832"/>
      <c r="L1576" s="832"/>
      <c r="M1576" s="832"/>
      <c r="N1576" s="832"/>
      <c r="O1576" s="832"/>
      <c r="P1576" s="832"/>
      <c r="Q1576" s="832"/>
      <c r="R1576" s="832"/>
    </row>
    <row r="1577" spans="2:18">
      <c r="B1577" s="832"/>
      <c r="C1577" s="833"/>
      <c r="D1577" s="833"/>
      <c r="E1577" s="833"/>
      <c r="F1577" s="1111"/>
      <c r="G1577" s="1111"/>
      <c r="H1577" s="834"/>
      <c r="I1577" s="832"/>
      <c r="J1577" s="1111"/>
      <c r="K1577" s="832"/>
      <c r="L1577" s="832"/>
      <c r="M1577" s="832"/>
      <c r="N1577" s="832"/>
      <c r="O1577" s="832"/>
      <c r="P1577" s="832"/>
      <c r="Q1577" s="832"/>
      <c r="R1577" s="832"/>
    </row>
    <row r="1578" spans="2:18">
      <c r="B1578" s="832"/>
      <c r="C1578" s="833"/>
      <c r="D1578" s="833"/>
      <c r="E1578" s="833"/>
      <c r="F1578" s="1111"/>
      <c r="G1578" s="1111"/>
      <c r="H1578" s="834"/>
      <c r="I1578" s="832"/>
      <c r="J1578" s="1111"/>
      <c r="K1578" s="832"/>
      <c r="L1578" s="832"/>
      <c r="M1578" s="832"/>
      <c r="N1578" s="832"/>
      <c r="O1578" s="832"/>
      <c r="P1578" s="832"/>
      <c r="Q1578" s="832"/>
      <c r="R1578" s="832"/>
    </row>
    <row r="1579" spans="2:18">
      <c r="B1579" s="832"/>
      <c r="C1579" s="833"/>
      <c r="D1579" s="833"/>
      <c r="E1579" s="833"/>
      <c r="F1579" s="1111"/>
      <c r="G1579" s="1111"/>
      <c r="H1579" s="834"/>
      <c r="I1579" s="832"/>
      <c r="J1579" s="1111"/>
      <c r="K1579" s="832"/>
      <c r="L1579" s="832"/>
      <c r="M1579" s="832"/>
      <c r="N1579" s="832"/>
      <c r="O1579" s="832"/>
      <c r="P1579" s="832"/>
      <c r="Q1579" s="832"/>
      <c r="R1579" s="832"/>
    </row>
    <row r="1580" spans="2:18">
      <c r="B1580" s="832"/>
      <c r="C1580" s="833"/>
      <c r="D1580" s="833"/>
      <c r="E1580" s="833"/>
      <c r="F1580" s="1111"/>
      <c r="G1580" s="1111"/>
      <c r="H1580" s="834"/>
      <c r="I1580" s="832"/>
      <c r="J1580" s="1111"/>
      <c r="K1580" s="832"/>
      <c r="L1580" s="832"/>
      <c r="M1580" s="832"/>
      <c r="N1580" s="832"/>
      <c r="O1580" s="832"/>
      <c r="P1580" s="832"/>
      <c r="Q1580" s="832"/>
      <c r="R1580" s="832"/>
    </row>
    <row r="1581" spans="2:18">
      <c r="B1581" s="832"/>
      <c r="C1581" s="833"/>
      <c r="D1581" s="833"/>
      <c r="E1581" s="833"/>
      <c r="F1581" s="1111"/>
      <c r="G1581" s="1111"/>
      <c r="H1581" s="834"/>
      <c r="I1581" s="832"/>
      <c r="J1581" s="1111"/>
      <c r="K1581" s="832"/>
      <c r="L1581" s="832"/>
      <c r="M1581" s="832"/>
      <c r="N1581" s="832"/>
      <c r="O1581" s="832"/>
      <c r="P1581" s="832"/>
      <c r="Q1581" s="832"/>
      <c r="R1581" s="832"/>
    </row>
    <row r="1582" spans="2:18">
      <c r="B1582" s="832"/>
      <c r="C1582" s="833"/>
      <c r="D1582" s="833"/>
      <c r="E1582" s="833"/>
      <c r="F1582" s="1111"/>
      <c r="G1582" s="1111"/>
      <c r="H1582" s="834"/>
      <c r="I1582" s="832"/>
      <c r="J1582" s="1111"/>
      <c r="K1582" s="832"/>
      <c r="L1582" s="832"/>
      <c r="M1582" s="832"/>
      <c r="N1582" s="832"/>
      <c r="O1582" s="832"/>
      <c r="P1582" s="832"/>
      <c r="Q1582" s="832"/>
      <c r="R1582" s="832"/>
    </row>
    <row r="1583" spans="2:18">
      <c r="B1583" s="832"/>
      <c r="C1583" s="833"/>
      <c r="D1583" s="833"/>
      <c r="E1583" s="833"/>
      <c r="F1583" s="1111"/>
      <c r="G1583" s="1111"/>
      <c r="H1583" s="834"/>
      <c r="I1583" s="832"/>
      <c r="J1583" s="1111"/>
      <c r="K1583" s="832"/>
      <c r="L1583" s="832"/>
      <c r="M1583" s="832"/>
      <c r="N1583" s="832"/>
      <c r="O1583" s="832"/>
      <c r="P1583" s="832"/>
      <c r="Q1583" s="832"/>
      <c r="R1583" s="832"/>
    </row>
    <row r="1584" spans="2:18">
      <c r="B1584" s="832"/>
      <c r="C1584" s="833"/>
      <c r="D1584" s="833"/>
      <c r="E1584" s="833"/>
      <c r="F1584" s="1111"/>
      <c r="G1584" s="1111"/>
      <c r="H1584" s="834"/>
      <c r="I1584" s="832"/>
      <c r="J1584" s="1111"/>
      <c r="K1584" s="832"/>
      <c r="L1584" s="832"/>
      <c r="M1584" s="832"/>
      <c r="N1584" s="832"/>
      <c r="O1584" s="832"/>
      <c r="P1584" s="832"/>
      <c r="Q1584" s="832"/>
      <c r="R1584" s="832"/>
    </row>
    <row r="1585" spans="2:18">
      <c r="B1585" s="832"/>
      <c r="C1585" s="833"/>
      <c r="D1585" s="833"/>
      <c r="E1585" s="833"/>
      <c r="F1585" s="1111"/>
      <c r="G1585" s="1111"/>
      <c r="H1585" s="834"/>
      <c r="I1585" s="832"/>
      <c r="J1585" s="1111"/>
      <c r="K1585" s="832"/>
      <c r="L1585" s="832"/>
      <c r="M1585" s="832"/>
      <c r="N1585" s="832"/>
      <c r="O1585" s="832"/>
      <c r="P1585" s="832"/>
      <c r="Q1585" s="832"/>
      <c r="R1585" s="832"/>
    </row>
    <row r="1586" spans="2:18">
      <c r="B1586" s="832"/>
      <c r="C1586" s="833"/>
      <c r="D1586" s="833"/>
      <c r="E1586" s="833"/>
      <c r="F1586" s="1111"/>
      <c r="G1586" s="1111"/>
      <c r="H1586" s="834"/>
      <c r="I1586" s="832"/>
      <c r="J1586" s="1111"/>
      <c r="K1586" s="832"/>
      <c r="L1586" s="832"/>
      <c r="M1586" s="832"/>
      <c r="N1586" s="832"/>
      <c r="O1586" s="832"/>
      <c r="P1586" s="832"/>
      <c r="Q1586" s="832"/>
      <c r="R1586" s="832"/>
    </row>
    <row r="1587" spans="2:18">
      <c r="B1587" s="832"/>
      <c r="C1587" s="833"/>
      <c r="D1587" s="833"/>
      <c r="E1587" s="833"/>
      <c r="F1587" s="1111"/>
      <c r="G1587" s="1111"/>
      <c r="H1587" s="834"/>
      <c r="I1587" s="832"/>
      <c r="J1587" s="1111"/>
      <c r="K1587" s="832"/>
      <c r="L1587" s="832"/>
      <c r="M1587" s="832"/>
      <c r="N1587" s="832"/>
      <c r="O1587" s="832"/>
      <c r="P1587" s="832"/>
      <c r="Q1587" s="832"/>
      <c r="R1587" s="832"/>
    </row>
    <row r="1588" spans="2:18">
      <c r="B1588" s="832"/>
      <c r="C1588" s="833"/>
      <c r="D1588" s="833"/>
      <c r="E1588" s="833"/>
      <c r="F1588" s="1111"/>
      <c r="G1588" s="1111"/>
      <c r="H1588" s="834"/>
      <c r="I1588" s="832"/>
      <c r="J1588" s="1111"/>
      <c r="K1588" s="832"/>
      <c r="L1588" s="832"/>
      <c r="M1588" s="832"/>
      <c r="N1588" s="832"/>
      <c r="O1588" s="832"/>
      <c r="P1588" s="832"/>
      <c r="Q1588" s="832"/>
      <c r="R1588" s="832"/>
    </row>
    <row r="1589" spans="2:18">
      <c r="B1589" s="832"/>
      <c r="C1589" s="833"/>
      <c r="D1589" s="833"/>
      <c r="E1589" s="833"/>
      <c r="F1589" s="1111"/>
      <c r="G1589" s="1111"/>
      <c r="H1589" s="834"/>
      <c r="I1589" s="832"/>
      <c r="J1589" s="1111"/>
      <c r="K1589" s="832"/>
      <c r="L1589" s="832"/>
      <c r="M1589" s="832"/>
      <c r="N1589" s="832"/>
      <c r="O1589" s="832"/>
      <c r="P1589" s="832"/>
      <c r="Q1589" s="832"/>
      <c r="R1589" s="832"/>
    </row>
    <row r="1590" spans="2:18">
      <c r="B1590" s="832"/>
      <c r="C1590" s="833"/>
      <c r="D1590" s="833"/>
      <c r="E1590" s="833"/>
      <c r="F1590" s="1111"/>
      <c r="G1590" s="1111"/>
      <c r="H1590" s="834"/>
      <c r="I1590" s="832"/>
      <c r="J1590" s="1111"/>
      <c r="K1590" s="832"/>
      <c r="L1590" s="832"/>
      <c r="M1590" s="832"/>
      <c r="N1590" s="832"/>
      <c r="O1590" s="832"/>
      <c r="P1590" s="832"/>
      <c r="Q1590" s="832"/>
      <c r="R1590" s="832"/>
    </row>
    <row r="1591" spans="2:18">
      <c r="B1591" s="832"/>
      <c r="C1591" s="833"/>
      <c r="D1591" s="833"/>
      <c r="E1591" s="833"/>
      <c r="F1591" s="1111"/>
      <c r="G1591" s="1111"/>
      <c r="H1591" s="834"/>
      <c r="I1591" s="832"/>
      <c r="J1591" s="1111"/>
      <c r="K1591" s="832"/>
      <c r="L1591" s="832"/>
      <c r="M1591" s="832"/>
      <c r="N1591" s="832"/>
      <c r="O1591" s="832"/>
      <c r="P1591" s="832"/>
      <c r="Q1591" s="832"/>
      <c r="R1591" s="832"/>
    </row>
    <row r="1592" spans="2:18">
      <c r="B1592" s="832"/>
      <c r="C1592" s="833"/>
      <c r="D1592" s="833"/>
      <c r="E1592" s="833"/>
      <c r="F1592" s="1111"/>
      <c r="G1592" s="1111"/>
      <c r="H1592" s="834"/>
      <c r="I1592" s="832"/>
      <c r="J1592" s="1111"/>
      <c r="K1592" s="832"/>
      <c r="L1592" s="832"/>
      <c r="M1592" s="832"/>
      <c r="N1592" s="832"/>
      <c r="O1592" s="832"/>
      <c r="P1592" s="832"/>
      <c r="Q1592" s="832"/>
      <c r="R1592" s="832"/>
    </row>
    <row r="1593" spans="2:18">
      <c r="B1593" s="832"/>
      <c r="C1593" s="833"/>
      <c r="D1593" s="833"/>
      <c r="E1593" s="833"/>
      <c r="F1593" s="1111"/>
      <c r="G1593" s="1111"/>
      <c r="H1593" s="834"/>
      <c r="I1593" s="832"/>
      <c r="J1593" s="1111"/>
      <c r="K1593" s="832"/>
      <c r="L1593" s="832"/>
      <c r="M1593" s="832"/>
      <c r="N1593" s="832"/>
      <c r="O1593" s="832"/>
      <c r="P1593" s="832"/>
      <c r="Q1593" s="832"/>
      <c r="R1593" s="832"/>
    </row>
    <row r="1594" spans="2:18">
      <c r="B1594" s="832"/>
      <c r="C1594" s="833"/>
      <c r="D1594" s="833"/>
      <c r="E1594" s="833"/>
      <c r="F1594" s="1111"/>
      <c r="G1594" s="1111"/>
      <c r="H1594" s="834"/>
      <c r="I1594" s="832"/>
      <c r="J1594" s="1111"/>
      <c r="K1594" s="832"/>
      <c r="L1594" s="832"/>
      <c r="M1594" s="832"/>
      <c r="N1594" s="832"/>
      <c r="O1594" s="832"/>
      <c r="P1594" s="832"/>
      <c r="Q1594" s="832"/>
      <c r="R1594" s="832"/>
    </row>
    <row r="1595" spans="2:18">
      <c r="B1595" s="832"/>
      <c r="C1595" s="833"/>
      <c r="D1595" s="833"/>
      <c r="E1595" s="833"/>
      <c r="F1595" s="1111"/>
      <c r="G1595" s="1111"/>
      <c r="H1595" s="834"/>
      <c r="I1595" s="832"/>
      <c r="J1595" s="1111"/>
      <c r="K1595" s="832"/>
      <c r="L1595" s="832"/>
      <c r="M1595" s="832"/>
      <c r="N1595" s="832"/>
      <c r="O1595" s="832"/>
      <c r="P1595" s="832"/>
      <c r="Q1595" s="832"/>
      <c r="R1595" s="832"/>
    </row>
    <row r="1596" spans="2:18">
      <c r="B1596" s="832"/>
      <c r="C1596" s="833"/>
      <c r="D1596" s="833"/>
      <c r="E1596" s="833"/>
      <c r="F1596" s="1111"/>
      <c r="G1596" s="1111"/>
      <c r="H1596" s="834"/>
      <c r="I1596" s="832"/>
      <c r="J1596" s="1111"/>
      <c r="K1596" s="832"/>
      <c r="L1596" s="832"/>
      <c r="M1596" s="832"/>
      <c r="N1596" s="832"/>
      <c r="O1596" s="832"/>
      <c r="P1596" s="832"/>
      <c r="Q1596" s="832"/>
      <c r="R1596" s="832"/>
    </row>
    <row r="1597" spans="2:18">
      <c r="B1597" s="832"/>
      <c r="C1597" s="833"/>
      <c r="D1597" s="833"/>
      <c r="E1597" s="833"/>
      <c r="F1597" s="1111"/>
      <c r="G1597" s="1111"/>
      <c r="H1597" s="834"/>
      <c r="I1597" s="832"/>
      <c r="J1597" s="1111"/>
      <c r="K1597" s="832"/>
      <c r="L1597" s="832"/>
      <c r="M1597" s="832"/>
      <c r="N1597" s="832"/>
      <c r="O1597" s="832"/>
      <c r="P1597" s="832"/>
      <c r="Q1597" s="832"/>
      <c r="R1597" s="832"/>
    </row>
    <row r="1598" spans="2:18">
      <c r="B1598" s="832"/>
      <c r="C1598" s="833"/>
      <c r="D1598" s="833"/>
      <c r="E1598" s="833"/>
      <c r="F1598" s="1111"/>
      <c r="G1598" s="1111"/>
      <c r="H1598" s="834"/>
      <c r="I1598" s="832"/>
      <c r="J1598" s="1111"/>
      <c r="K1598" s="832"/>
      <c r="L1598" s="832"/>
      <c r="M1598" s="832"/>
      <c r="N1598" s="832"/>
      <c r="O1598" s="832"/>
      <c r="P1598" s="832"/>
      <c r="Q1598" s="832"/>
      <c r="R1598" s="832"/>
    </row>
    <row r="1599" spans="2:18">
      <c r="B1599" s="832"/>
      <c r="C1599" s="833"/>
      <c r="D1599" s="833"/>
      <c r="E1599" s="833"/>
      <c r="F1599" s="1111"/>
      <c r="G1599" s="1111"/>
      <c r="H1599" s="834"/>
      <c r="I1599" s="832"/>
      <c r="J1599" s="1111"/>
      <c r="K1599" s="832"/>
      <c r="L1599" s="832"/>
      <c r="M1599" s="832"/>
      <c r="N1599" s="832"/>
      <c r="O1599" s="832"/>
      <c r="P1599" s="832"/>
      <c r="Q1599" s="832"/>
      <c r="R1599" s="832"/>
    </row>
    <row r="1600" spans="2:18">
      <c r="B1600" s="832"/>
      <c r="C1600" s="833"/>
      <c r="D1600" s="833"/>
      <c r="E1600" s="833"/>
      <c r="F1600" s="1111"/>
      <c r="G1600" s="1111"/>
      <c r="H1600" s="834"/>
      <c r="I1600" s="832"/>
      <c r="J1600" s="1111"/>
      <c r="K1600" s="832"/>
      <c r="L1600" s="832"/>
      <c r="M1600" s="832"/>
      <c r="N1600" s="832"/>
      <c r="O1600" s="832"/>
      <c r="P1600" s="832"/>
      <c r="Q1600" s="832"/>
      <c r="R1600" s="832"/>
    </row>
    <row r="1601" spans="2:18">
      <c r="B1601" s="832"/>
      <c r="C1601" s="833"/>
      <c r="D1601" s="833"/>
      <c r="E1601" s="833"/>
      <c r="F1601" s="1111"/>
      <c r="G1601" s="1111"/>
      <c r="H1601" s="834"/>
      <c r="I1601" s="832"/>
      <c r="J1601" s="1111"/>
      <c r="K1601" s="832"/>
      <c r="L1601" s="832"/>
      <c r="M1601" s="832"/>
      <c r="N1601" s="832"/>
      <c r="O1601" s="832"/>
      <c r="P1601" s="832"/>
      <c r="Q1601" s="832"/>
      <c r="R1601" s="832"/>
    </row>
    <row r="1602" spans="2:18">
      <c r="B1602" s="832"/>
      <c r="C1602" s="833"/>
      <c r="D1602" s="833"/>
      <c r="E1602" s="833"/>
      <c r="F1602" s="1111"/>
      <c r="G1602" s="1111"/>
      <c r="H1602" s="834"/>
      <c r="I1602" s="832"/>
      <c r="J1602" s="1111"/>
      <c r="K1602" s="832"/>
      <c r="L1602" s="832"/>
      <c r="M1602" s="832"/>
      <c r="N1602" s="832"/>
      <c r="O1602" s="832"/>
      <c r="P1602" s="832"/>
      <c r="Q1602" s="832"/>
      <c r="R1602" s="832"/>
    </row>
    <row r="1603" spans="2:18">
      <c r="B1603" s="832"/>
      <c r="C1603" s="833"/>
      <c r="D1603" s="833"/>
      <c r="E1603" s="833"/>
      <c r="F1603" s="1111"/>
      <c r="G1603" s="1111"/>
      <c r="H1603" s="834"/>
      <c r="I1603" s="832"/>
      <c r="J1603" s="1111"/>
      <c r="K1603" s="832"/>
      <c r="L1603" s="832"/>
      <c r="M1603" s="832"/>
      <c r="N1603" s="832"/>
      <c r="O1603" s="832"/>
      <c r="P1603" s="832"/>
      <c r="Q1603" s="832"/>
      <c r="R1603" s="832"/>
    </row>
    <row r="1604" spans="2:18">
      <c r="B1604" s="832"/>
      <c r="C1604" s="833"/>
      <c r="D1604" s="833"/>
      <c r="E1604" s="833"/>
      <c r="F1604" s="1111"/>
      <c r="G1604" s="1111"/>
      <c r="H1604" s="834"/>
      <c r="I1604" s="832"/>
      <c r="J1604" s="1111"/>
      <c r="K1604" s="832"/>
      <c r="L1604" s="832"/>
      <c r="M1604" s="832"/>
      <c r="N1604" s="832"/>
      <c r="O1604" s="832"/>
      <c r="P1604" s="832"/>
      <c r="Q1604" s="832"/>
      <c r="R1604" s="832"/>
    </row>
    <row r="1605" spans="2:18">
      <c r="B1605" s="832"/>
      <c r="C1605" s="833"/>
      <c r="D1605" s="833"/>
      <c r="E1605" s="833"/>
      <c r="F1605" s="1111"/>
      <c r="G1605" s="1111"/>
      <c r="H1605" s="834"/>
      <c r="I1605" s="832"/>
      <c r="J1605" s="1111"/>
      <c r="K1605" s="832"/>
      <c r="L1605" s="832"/>
      <c r="M1605" s="832"/>
      <c r="N1605" s="832"/>
      <c r="O1605" s="832"/>
      <c r="P1605" s="832"/>
      <c r="Q1605" s="832"/>
      <c r="R1605" s="832"/>
    </row>
    <row r="1606" spans="2:18">
      <c r="B1606" s="832"/>
      <c r="C1606" s="833"/>
      <c r="D1606" s="833"/>
      <c r="E1606" s="833"/>
      <c r="F1606" s="1111"/>
      <c r="G1606" s="1111"/>
      <c r="H1606" s="834"/>
      <c r="I1606" s="832"/>
      <c r="J1606" s="1111"/>
      <c r="K1606" s="832"/>
      <c r="L1606" s="832"/>
      <c r="M1606" s="832"/>
      <c r="N1606" s="832"/>
      <c r="O1606" s="832"/>
      <c r="P1606" s="832"/>
      <c r="Q1606" s="832"/>
      <c r="R1606" s="832"/>
    </row>
    <row r="1607" spans="2:18">
      <c r="B1607" s="832"/>
      <c r="C1607" s="833"/>
      <c r="D1607" s="833"/>
      <c r="E1607" s="833"/>
      <c r="F1607" s="1111"/>
      <c r="G1607" s="1111"/>
      <c r="H1607" s="834"/>
      <c r="I1607" s="832"/>
      <c r="J1607" s="1111"/>
      <c r="K1607" s="832"/>
      <c r="L1607" s="832"/>
      <c r="M1607" s="832"/>
      <c r="N1607" s="832"/>
      <c r="O1607" s="832"/>
      <c r="P1607" s="832"/>
      <c r="Q1607" s="832"/>
      <c r="R1607" s="832"/>
    </row>
    <row r="1608" spans="2:18">
      <c r="B1608" s="832"/>
      <c r="C1608" s="833"/>
      <c r="D1608" s="833"/>
      <c r="E1608" s="833"/>
      <c r="F1608" s="1111"/>
      <c r="G1608" s="1111"/>
      <c r="H1608" s="834"/>
      <c r="I1608" s="832"/>
      <c r="J1608" s="1111"/>
      <c r="K1608" s="832"/>
      <c r="L1608" s="832"/>
      <c r="M1608" s="832"/>
      <c r="N1608" s="832"/>
      <c r="O1608" s="832"/>
      <c r="P1608" s="832"/>
      <c r="Q1608" s="832"/>
      <c r="R1608" s="832"/>
    </row>
    <row r="1609" spans="2:18">
      <c r="B1609" s="832"/>
      <c r="C1609" s="833"/>
      <c r="D1609" s="833"/>
      <c r="E1609" s="833"/>
      <c r="F1609" s="1111"/>
      <c r="G1609" s="1111"/>
      <c r="H1609" s="834"/>
      <c r="I1609" s="832"/>
      <c r="J1609" s="1111"/>
      <c r="K1609" s="832"/>
      <c r="L1609" s="832"/>
      <c r="M1609" s="832"/>
      <c r="N1609" s="832"/>
      <c r="O1609" s="832"/>
      <c r="P1609" s="832"/>
      <c r="Q1609" s="832"/>
      <c r="R1609" s="832"/>
    </row>
    <row r="1610" spans="2:18">
      <c r="B1610" s="832"/>
      <c r="C1610" s="833"/>
      <c r="D1610" s="833"/>
      <c r="E1610" s="833"/>
      <c r="F1610" s="1111"/>
      <c r="G1610" s="1111"/>
      <c r="H1610" s="834"/>
      <c r="I1610" s="832"/>
      <c r="J1610" s="1111"/>
      <c r="K1610" s="832"/>
      <c r="L1610" s="832"/>
      <c r="M1610" s="832"/>
      <c r="N1610" s="832"/>
      <c r="O1610" s="832"/>
      <c r="P1610" s="832"/>
      <c r="Q1610" s="832"/>
      <c r="R1610" s="832"/>
    </row>
    <row r="1611" spans="2:18">
      <c r="B1611" s="832"/>
      <c r="C1611" s="833"/>
      <c r="D1611" s="833"/>
      <c r="E1611" s="833"/>
      <c r="F1611" s="1111"/>
      <c r="G1611" s="1111"/>
      <c r="H1611" s="834"/>
      <c r="I1611" s="832"/>
      <c r="J1611" s="1111"/>
      <c r="K1611" s="832"/>
      <c r="L1611" s="832"/>
      <c r="M1611" s="832"/>
      <c r="N1611" s="832"/>
      <c r="O1611" s="832"/>
      <c r="P1611" s="832"/>
      <c r="Q1611" s="832"/>
      <c r="R1611" s="832"/>
    </row>
    <row r="1612" spans="2:18">
      <c r="B1612" s="832"/>
      <c r="C1612" s="833"/>
      <c r="D1612" s="833"/>
      <c r="E1612" s="833"/>
      <c r="F1612" s="1111"/>
      <c r="G1612" s="1111"/>
      <c r="H1612" s="834"/>
      <c r="I1612" s="832"/>
      <c r="J1612" s="1111"/>
      <c r="K1612" s="832"/>
      <c r="L1612" s="832"/>
      <c r="M1612" s="832"/>
      <c r="N1612" s="832"/>
      <c r="O1612" s="832"/>
      <c r="P1612" s="832"/>
      <c r="Q1612" s="832"/>
      <c r="R1612" s="832"/>
    </row>
    <row r="1613" spans="2:18">
      <c r="B1613" s="832"/>
      <c r="C1613" s="833"/>
      <c r="D1613" s="833"/>
      <c r="E1613" s="833"/>
      <c r="F1613" s="1111"/>
      <c r="G1613" s="1111"/>
      <c r="H1613" s="834"/>
      <c r="I1613" s="832"/>
      <c r="J1613" s="1111"/>
      <c r="K1613" s="832"/>
      <c r="L1613" s="832"/>
      <c r="M1613" s="832"/>
      <c r="N1613" s="832"/>
      <c r="O1613" s="832"/>
      <c r="P1613" s="832"/>
      <c r="Q1613" s="832"/>
      <c r="R1613" s="832"/>
    </row>
    <row r="1614" spans="2:18">
      <c r="B1614" s="832"/>
      <c r="C1614" s="833"/>
      <c r="D1614" s="833"/>
      <c r="E1614" s="833"/>
      <c r="F1614" s="1111"/>
      <c r="G1614" s="1111"/>
      <c r="H1614" s="834"/>
      <c r="I1614" s="832"/>
      <c r="J1614" s="1111"/>
      <c r="K1614" s="832"/>
      <c r="L1614" s="832"/>
      <c r="M1614" s="832"/>
      <c r="N1614" s="832"/>
      <c r="O1614" s="832"/>
      <c r="P1614" s="832"/>
      <c r="Q1614" s="832"/>
      <c r="R1614" s="832"/>
    </row>
    <row r="1615" spans="2:18">
      <c r="B1615" s="832"/>
      <c r="C1615" s="833"/>
      <c r="D1615" s="833"/>
      <c r="E1615" s="833"/>
      <c r="F1615" s="1111"/>
      <c r="G1615" s="1111"/>
      <c r="H1615" s="834"/>
      <c r="I1615" s="832"/>
      <c r="J1615" s="1111"/>
      <c r="K1615" s="832"/>
      <c r="L1615" s="832"/>
      <c r="M1615" s="832"/>
      <c r="N1615" s="832"/>
      <c r="O1615" s="832"/>
      <c r="P1615" s="832"/>
      <c r="Q1615" s="832"/>
      <c r="R1615" s="832"/>
    </row>
    <row r="1616" spans="2:18">
      <c r="B1616" s="832"/>
      <c r="C1616" s="833"/>
      <c r="D1616" s="833"/>
      <c r="E1616" s="833"/>
      <c r="F1616" s="1111"/>
      <c r="G1616" s="1111"/>
      <c r="H1616" s="834"/>
      <c r="I1616" s="832"/>
      <c r="J1616" s="1111"/>
      <c r="K1616" s="832"/>
      <c r="L1616" s="832"/>
      <c r="M1616" s="832"/>
      <c r="N1616" s="832"/>
      <c r="O1616" s="832"/>
      <c r="P1616" s="832"/>
      <c r="Q1616" s="832"/>
      <c r="R1616" s="832"/>
    </row>
    <row r="1617" spans="2:18">
      <c r="B1617" s="832"/>
      <c r="C1617" s="833"/>
      <c r="D1617" s="833"/>
      <c r="E1617" s="833"/>
      <c r="F1617" s="1111"/>
      <c r="G1617" s="1111"/>
      <c r="H1617" s="834"/>
      <c r="I1617" s="832"/>
      <c r="J1617" s="1111"/>
      <c r="K1617" s="832"/>
      <c r="L1617" s="832"/>
      <c r="M1617" s="832"/>
      <c r="N1617" s="832"/>
      <c r="O1617" s="832"/>
      <c r="P1617" s="832"/>
      <c r="Q1617" s="832"/>
      <c r="R1617" s="832"/>
    </row>
    <row r="1618" spans="2:18">
      <c r="B1618" s="832"/>
      <c r="C1618" s="833"/>
      <c r="D1618" s="833"/>
      <c r="E1618" s="833"/>
      <c r="F1618" s="1111"/>
      <c r="G1618" s="1111"/>
      <c r="H1618" s="834"/>
      <c r="I1618" s="832"/>
      <c r="J1618" s="1111"/>
      <c r="K1618" s="832"/>
      <c r="L1618" s="832"/>
      <c r="M1618" s="832"/>
      <c r="N1618" s="832"/>
      <c r="O1618" s="832"/>
      <c r="P1618" s="832"/>
      <c r="Q1618" s="832"/>
      <c r="R1618" s="832"/>
    </row>
    <row r="1619" spans="2:18">
      <c r="B1619" s="832"/>
      <c r="C1619" s="833"/>
      <c r="D1619" s="833"/>
      <c r="E1619" s="833"/>
      <c r="F1619" s="1111"/>
      <c r="G1619" s="1111"/>
      <c r="H1619" s="834"/>
      <c r="I1619" s="832"/>
      <c r="J1619" s="1111"/>
      <c r="K1619" s="832"/>
      <c r="L1619" s="832"/>
      <c r="M1619" s="832"/>
      <c r="N1619" s="832"/>
      <c r="O1619" s="832"/>
      <c r="P1619" s="832"/>
      <c r="Q1619" s="832"/>
      <c r="R1619" s="832"/>
    </row>
    <row r="1620" spans="2:18">
      <c r="B1620" s="832"/>
      <c r="C1620" s="833"/>
      <c r="D1620" s="833"/>
      <c r="E1620" s="833"/>
      <c r="F1620" s="1111"/>
      <c r="G1620" s="1111"/>
      <c r="H1620" s="834"/>
      <c r="I1620" s="832"/>
      <c r="J1620" s="1111"/>
      <c r="K1620" s="832"/>
      <c r="L1620" s="832"/>
      <c r="M1620" s="832"/>
      <c r="N1620" s="832"/>
      <c r="O1620" s="832"/>
      <c r="P1620" s="832"/>
      <c r="Q1620" s="832"/>
      <c r="R1620" s="832"/>
    </row>
    <row r="1621" spans="2:18">
      <c r="B1621" s="832"/>
      <c r="C1621" s="833"/>
      <c r="D1621" s="833"/>
      <c r="E1621" s="833"/>
      <c r="F1621" s="1111"/>
      <c r="G1621" s="1111"/>
      <c r="H1621" s="834"/>
      <c r="I1621" s="832"/>
      <c r="J1621" s="1111"/>
      <c r="K1621" s="832"/>
      <c r="L1621" s="832"/>
      <c r="M1621" s="832"/>
      <c r="N1621" s="832"/>
      <c r="O1621" s="832"/>
      <c r="P1621" s="832"/>
      <c r="Q1621" s="832"/>
      <c r="R1621" s="832"/>
    </row>
    <row r="1622" spans="2:18">
      <c r="B1622" s="832"/>
      <c r="C1622" s="833"/>
      <c r="D1622" s="833"/>
      <c r="E1622" s="833"/>
      <c r="F1622" s="1111"/>
      <c r="G1622" s="1111"/>
      <c r="H1622" s="834"/>
      <c r="I1622" s="832"/>
      <c r="J1622" s="1111"/>
      <c r="K1622" s="832"/>
      <c r="L1622" s="832"/>
      <c r="M1622" s="832"/>
      <c r="N1622" s="832"/>
      <c r="O1622" s="832"/>
      <c r="P1622" s="832"/>
      <c r="Q1622" s="832"/>
      <c r="R1622" s="832"/>
    </row>
    <row r="1623" spans="2:18">
      <c r="B1623" s="832"/>
      <c r="C1623" s="833"/>
      <c r="D1623" s="833"/>
      <c r="E1623" s="833"/>
      <c r="F1623" s="1111"/>
      <c r="G1623" s="1111"/>
      <c r="H1623" s="834"/>
      <c r="I1623" s="832"/>
      <c r="J1623" s="1111"/>
      <c r="K1623" s="832"/>
      <c r="L1623" s="832"/>
      <c r="M1623" s="832"/>
      <c r="N1623" s="832"/>
      <c r="O1623" s="832"/>
      <c r="P1623" s="832"/>
      <c r="Q1623" s="832"/>
      <c r="R1623" s="832"/>
    </row>
    <row r="1624" spans="2:18">
      <c r="B1624" s="832"/>
      <c r="C1624" s="833"/>
      <c r="D1624" s="833"/>
      <c r="E1624" s="833"/>
      <c r="F1624" s="1111"/>
      <c r="G1624" s="1111"/>
      <c r="H1624" s="834"/>
      <c r="I1624" s="832"/>
      <c r="J1624" s="1111"/>
      <c r="K1624" s="832"/>
      <c r="L1624" s="832"/>
      <c r="M1624" s="832"/>
      <c r="N1624" s="832"/>
      <c r="O1624" s="832"/>
      <c r="P1624" s="832"/>
      <c r="Q1624" s="832"/>
      <c r="R1624" s="832"/>
    </row>
    <row r="1625" spans="2:18">
      <c r="B1625" s="832"/>
      <c r="C1625" s="833"/>
      <c r="D1625" s="833"/>
      <c r="E1625" s="833"/>
      <c r="F1625" s="1111"/>
      <c r="G1625" s="1111"/>
      <c r="H1625" s="834"/>
      <c r="I1625" s="832"/>
      <c r="J1625" s="1111"/>
      <c r="K1625" s="832"/>
      <c r="L1625" s="832"/>
      <c r="M1625" s="832"/>
      <c r="N1625" s="832"/>
      <c r="O1625" s="832"/>
      <c r="P1625" s="832"/>
      <c r="Q1625" s="832"/>
      <c r="R1625" s="832"/>
    </row>
    <row r="1626" spans="2:18">
      <c r="B1626" s="832"/>
      <c r="C1626" s="833"/>
      <c r="D1626" s="833"/>
      <c r="E1626" s="833"/>
      <c r="F1626" s="1111"/>
      <c r="G1626" s="1111"/>
      <c r="H1626" s="834"/>
      <c r="I1626" s="832"/>
      <c r="J1626" s="1111"/>
      <c r="K1626" s="832"/>
      <c r="L1626" s="832"/>
      <c r="M1626" s="832"/>
      <c r="N1626" s="832"/>
      <c r="O1626" s="832"/>
      <c r="P1626" s="832"/>
      <c r="Q1626" s="832"/>
      <c r="R1626" s="832"/>
    </row>
    <row r="1627" spans="2:18">
      <c r="B1627" s="832"/>
      <c r="C1627" s="833"/>
      <c r="D1627" s="833"/>
      <c r="E1627" s="833"/>
      <c r="F1627" s="1111"/>
      <c r="G1627" s="1111"/>
      <c r="H1627" s="834"/>
      <c r="I1627" s="832"/>
      <c r="J1627" s="1111"/>
      <c r="K1627" s="832"/>
      <c r="L1627" s="832"/>
      <c r="M1627" s="832"/>
      <c r="N1627" s="832"/>
      <c r="O1627" s="832"/>
      <c r="P1627" s="832"/>
      <c r="Q1627" s="832"/>
      <c r="R1627" s="832"/>
    </row>
    <row r="1628" spans="2:18">
      <c r="B1628" s="832"/>
      <c r="C1628" s="833"/>
      <c r="D1628" s="833"/>
      <c r="E1628" s="833"/>
      <c r="F1628" s="1111"/>
      <c r="G1628" s="1111"/>
      <c r="H1628" s="834"/>
      <c r="I1628" s="832"/>
      <c r="J1628" s="1111"/>
      <c r="K1628" s="832"/>
      <c r="L1628" s="832"/>
      <c r="M1628" s="832"/>
      <c r="N1628" s="832"/>
      <c r="O1628" s="832"/>
      <c r="P1628" s="832"/>
      <c r="Q1628" s="832"/>
      <c r="R1628" s="832"/>
    </row>
    <row r="1629" spans="2:18">
      <c r="B1629" s="832"/>
      <c r="C1629" s="833"/>
      <c r="D1629" s="833"/>
      <c r="E1629" s="833"/>
      <c r="F1629" s="1111"/>
      <c r="G1629" s="1111"/>
      <c r="H1629" s="834"/>
      <c r="I1629" s="832"/>
      <c r="J1629" s="1111"/>
      <c r="K1629" s="832"/>
      <c r="L1629" s="832"/>
      <c r="M1629" s="832"/>
      <c r="N1629" s="832"/>
      <c r="O1629" s="832"/>
      <c r="P1629" s="832"/>
      <c r="Q1629" s="832"/>
      <c r="R1629" s="832"/>
    </row>
    <row r="1630" spans="2:18">
      <c r="B1630" s="832"/>
      <c r="C1630" s="833"/>
      <c r="D1630" s="833"/>
      <c r="E1630" s="833"/>
      <c r="F1630" s="1111"/>
      <c r="G1630" s="1111"/>
      <c r="H1630" s="834"/>
      <c r="I1630" s="832"/>
      <c r="J1630" s="1111"/>
      <c r="K1630" s="832"/>
      <c r="L1630" s="832"/>
      <c r="M1630" s="832"/>
      <c r="N1630" s="832"/>
      <c r="O1630" s="832"/>
      <c r="P1630" s="832"/>
      <c r="Q1630" s="832"/>
      <c r="R1630" s="832"/>
    </row>
    <row r="1631" spans="2:18">
      <c r="B1631" s="832"/>
      <c r="C1631" s="833"/>
      <c r="D1631" s="833"/>
      <c r="E1631" s="833"/>
      <c r="F1631" s="1111"/>
      <c r="G1631" s="1111"/>
      <c r="H1631" s="834"/>
      <c r="I1631" s="832"/>
      <c r="J1631" s="1111"/>
      <c r="K1631" s="832"/>
      <c r="L1631" s="832"/>
      <c r="M1631" s="832"/>
      <c r="N1631" s="832"/>
      <c r="O1631" s="832"/>
      <c r="P1631" s="832"/>
      <c r="Q1631" s="832"/>
      <c r="R1631" s="832"/>
    </row>
    <row r="1632" spans="2:18">
      <c r="B1632" s="832"/>
      <c r="C1632" s="833"/>
      <c r="D1632" s="833"/>
      <c r="E1632" s="833"/>
      <c r="F1632" s="1111"/>
      <c r="G1632" s="1111"/>
      <c r="H1632" s="834"/>
      <c r="I1632" s="832"/>
      <c r="J1632" s="1111"/>
      <c r="K1632" s="832"/>
      <c r="L1632" s="832"/>
      <c r="M1632" s="832"/>
      <c r="N1632" s="832"/>
      <c r="O1632" s="832"/>
      <c r="P1632" s="832"/>
      <c r="Q1632" s="832"/>
      <c r="R1632" s="832"/>
    </row>
    <row r="1633" spans="2:18">
      <c r="B1633" s="832"/>
      <c r="C1633" s="833"/>
      <c r="D1633" s="833"/>
      <c r="E1633" s="833"/>
      <c r="F1633" s="1111"/>
      <c r="G1633" s="1111"/>
      <c r="H1633" s="834"/>
      <c r="I1633" s="832"/>
      <c r="J1633" s="1111"/>
      <c r="K1633" s="832"/>
      <c r="L1633" s="832"/>
      <c r="M1633" s="832"/>
      <c r="N1633" s="832"/>
      <c r="O1633" s="832"/>
      <c r="P1633" s="832"/>
      <c r="Q1633" s="832"/>
      <c r="R1633" s="832"/>
    </row>
    <row r="1634" spans="2:18">
      <c r="B1634" s="832"/>
      <c r="C1634" s="833"/>
      <c r="D1634" s="833"/>
      <c r="E1634" s="833"/>
      <c r="F1634" s="1111"/>
      <c r="G1634" s="1111"/>
      <c r="H1634" s="834"/>
      <c r="I1634" s="832"/>
      <c r="J1634" s="1111"/>
      <c r="K1634" s="832"/>
      <c r="L1634" s="832"/>
      <c r="M1634" s="832"/>
      <c r="N1634" s="832"/>
      <c r="O1634" s="832"/>
      <c r="P1634" s="832"/>
      <c r="Q1634" s="832"/>
      <c r="R1634" s="832"/>
    </row>
    <row r="1635" spans="2:18">
      <c r="B1635" s="832"/>
      <c r="C1635" s="833"/>
      <c r="D1635" s="833"/>
      <c r="E1635" s="833"/>
      <c r="F1635" s="1111"/>
      <c r="G1635" s="1111"/>
      <c r="H1635" s="834"/>
      <c r="I1635" s="832"/>
      <c r="J1635" s="1111"/>
      <c r="K1635" s="832"/>
      <c r="L1635" s="832"/>
      <c r="M1635" s="832"/>
      <c r="N1635" s="832"/>
      <c r="O1635" s="832"/>
      <c r="P1635" s="832"/>
      <c r="Q1635" s="832"/>
      <c r="R1635" s="832"/>
    </row>
    <row r="1636" spans="2:18">
      <c r="B1636" s="832"/>
      <c r="C1636" s="833"/>
      <c r="D1636" s="833"/>
      <c r="E1636" s="833"/>
      <c r="F1636" s="1111"/>
      <c r="G1636" s="1111"/>
      <c r="H1636" s="834"/>
      <c r="I1636" s="832"/>
      <c r="J1636" s="1111"/>
      <c r="K1636" s="832"/>
      <c r="L1636" s="832"/>
      <c r="M1636" s="832"/>
      <c r="N1636" s="832"/>
      <c r="O1636" s="832"/>
      <c r="P1636" s="832"/>
      <c r="Q1636" s="832"/>
      <c r="R1636" s="832"/>
    </row>
    <row r="1637" spans="2:18">
      <c r="B1637" s="832"/>
      <c r="C1637" s="833"/>
      <c r="D1637" s="833"/>
      <c r="E1637" s="833"/>
      <c r="F1637" s="1111"/>
      <c r="G1637" s="1111"/>
      <c r="H1637" s="834"/>
      <c r="I1637" s="832"/>
      <c r="J1637" s="1111"/>
      <c r="K1637" s="832"/>
      <c r="L1637" s="832"/>
      <c r="M1637" s="832"/>
      <c r="N1637" s="832"/>
      <c r="O1637" s="832"/>
      <c r="P1637" s="832"/>
      <c r="Q1637" s="832"/>
      <c r="R1637" s="832"/>
    </row>
    <row r="1638" spans="2:18">
      <c r="B1638" s="832"/>
      <c r="C1638" s="833"/>
      <c r="D1638" s="833"/>
      <c r="E1638" s="833"/>
      <c r="F1638" s="1111"/>
      <c r="G1638" s="1111"/>
      <c r="H1638" s="834"/>
      <c r="I1638" s="832"/>
      <c r="J1638" s="1111"/>
      <c r="K1638" s="832"/>
      <c r="L1638" s="832"/>
      <c r="M1638" s="832"/>
      <c r="N1638" s="832"/>
      <c r="O1638" s="832"/>
      <c r="P1638" s="832"/>
      <c r="Q1638" s="832"/>
      <c r="R1638" s="832"/>
    </row>
    <row r="1639" spans="2:18">
      <c r="B1639" s="832"/>
      <c r="C1639" s="833"/>
      <c r="D1639" s="833"/>
      <c r="E1639" s="833"/>
      <c r="F1639" s="1111"/>
      <c r="G1639" s="1111"/>
      <c r="H1639" s="834"/>
      <c r="I1639" s="832"/>
      <c r="J1639" s="1111"/>
      <c r="K1639" s="832"/>
      <c r="L1639" s="832"/>
      <c r="M1639" s="832"/>
      <c r="N1639" s="832"/>
      <c r="O1639" s="832"/>
      <c r="P1639" s="832"/>
      <c r="Q1639" s="832"/>
      <c r="R1639" s="832"/>
    </row>
    <row r="1640" spans="2:18">
      <c r="B1640" s="832"/>
      <c r="C1640" s="833"/>
      <c r="D1640" s="833"/>
      <c r="E1640" s="833"/>
      <c r="F1640" s="1111"/>
      <c r="G1640" s="1111"/>
      <c r="H1640" s="834"/>
      <c r="I1640" s="832"/>
      <c r="J1640" s="1111"/>
      <c r="K1640" s="832"/>
      <c r="L1640" s="832"/>
      <c r="M1640" s="832"/>
      <c r="N1640" s="832"/>
      <c r="O1640" s="832"/>
      <c r="P1640" s="832"/>
      <c r="Q1640" s="832"/>
      <c r="R1640" s="832"/>
    </row>
    <row r="1641" spans="2:18">
      <c r="B1641" s="832"/>
      <c r="C1641" s="833"/>
      <c r="D1641" s="833"/>
      <c r="E1641" s="833"/>
      <c r="F1641" s="1111"/>
      <c r="G1641" s="1111"/>
      <c r="H1641" s="834"/>
      <c r="I1641" s="832"/>
      <c r="J1641" s="1111"/>
      <c r="K1641" s="832"/>
      <c r="L1641" s="832"/>
      <c r="M1641" s="832"/>
      <c r="N1641" s="832"/>
      <c r="O1641" s="832"/>
      <c r="P1641" s="832"/>
      <c r="Q1641" s="832"/>
      <c r="R1641" s="832"/>
    </row>
    <row r="1642" spans="2:18">
      <c r="B1642" s="832"/>
      <c r="C1642" s="833"/>
      <c r="D1642" s="833"/>
      <c r="E1642" s="833"/>
      <c r="F1642" s="1111"/>
      <c r="G1642" s="1111"/>
      <c r="H1642" s="834"/>
      <c r="I1642" s="832"/>
      <c r="J1642" s="1111"/>
      <c r="K1642" s="832"/>
      <c r="L1642" s="832"/>
      <c r="M1642" s="832"/>
      <c r="N1642" s="832"/>
      <c r="O1642" s="832"/>
      <c r="P1642" s="832"/>
      <c r="Q1642" s="832"/>
      <c r="R1642" s="832"/>
    </row>
    <row r="1643" spans="2:18">
      <c r="B1643" s="832"/>
      <c r="C1643" s="833"/>
      <c r="D1643" s="833"/>
      <c r="E1643" s="833"/>
      <c r="F1643" s="1111"/>
      <c r="G1643" s="1111"/>
      <c r="H1643" s="834"/>
      <c r="I1643" s="832"/>
      <c r="J1643" s="1111"/>
      <c r="K1643" s="832"/>
      <c r="L1643" s="832"/>
      <c r="M1643" s="832"/>
      <c r="N1643" s="832"/>
      <c r="O1643" s="832"/>
      <c r="P1643" s="832"/>
      <c r="Q1643" s="832"/>
      <c r="R1643" s="832"/>
    </row>
    <row r="1644" spans="2:18">
      <c r="B1644" s="832"/>
      <c r="C1644" s="833"/>
      <c r="D1644" s="833"/>
      <c r="E1644" s="833"/>
      <c r="F1644" s="1111"/>
      <c r="G1644" s="1111"/>
      <c r="H1644" s="834"/>
      <c r="I1644" s="832"/>
      <c r="J1644" s="1111"/>
      <c r="K1644" s="832"/>
      <c r="L1644" s="832"/>
      <c r="M1644" s="832"/>
      <c r="N1644" s="832"/>
      <c r="O1644" s="832"/>
      <c r="P1644" s="832"/>
      <c r="Q1644" s="832"/>
      <c r="R1644" s="832"/>
    </row>
    <row r="1645" spans="2:18">
      <c r="B1645" s="832"/>
      <c r="C1645" s="833"/>
      <c r="D1645" s="833"/>
      <c r="E1645" s="833"/>
      <c r="F1645" s="1111"/>
      <c r="G1645" s="1111"/>
      <c r="H1645" s="834"/>
      <c r="I1645" s="832"/>
      <c r="J1645" s="1111"/>
      <c r="K1645" s="832"/>
      <c r="L1645" s="832"/>
      <c r="M1645" s="832"/>
      <c r="N1645" s="832"/>
      <c r="O1645" s="832"/>
      <c r="P1645" s="832"/>
      <c r="Q1645" s="832"/>
      <c r="R1645" s="832"/>
    </row>
    <row r="1646" spans="2:18">
      <c r="B1646" s="832"/>
      <c r="C1646" s="833"/>
      <c r="D1646" s="833"/>
      <c r="E1646" s="833"/>
      <c r="F1646" s="1111"/>
      <c r="G1646" s="1111"/>
      <c r="H1646" s="834"/>
      <c r="I1646" s="832"/>
      <c r="J1646" s="1111"/>
      <c r="K1646" s="832"/>
      <c r="L1646" s="832"/>
      <c r="M1646" s="832"/>
      <c r="N1646" s="832"/>
      <c r="O1646" s="832"/>
      <c r="P1646" s="832"/>
      <c r="Q1646" s="832"/>
      <c r="R1646" s="832"/>
    </row>
    <row r="1647" spans="2:18">
      <c r="B1647" s="832"/>
      <c r="C1647" s="833"/>
      <c r="D1647" s="833"/>
      <c r="E1647" s="833"/>
      <c r="F1647" s="1111"/>
      <c r="G1647" s="1111"/>
      <c r="H1647" s="834"/>
      <c r="I1647" s="832"/>
      <c r="J1647" s="1111"/>
      <c r="K1647" s="832"/>
      <c r="L1647" s="832"/>
      <c r="M1647" s="832"/>
      <c r="N1647" s="832"/>
      <c r="O1647" s="832"/>
      <c r="P1647" s="832"/>
      <c r="Q1647" s="832"/>
      <c r="R1647" s="832"/>
    </row>
    <row r="1648" spans="2:18">
      <c r="B1648" s="832"/>
      <c r="C1648" s="833"/>
      <c r="D1648" s="833"/>
      <c r="E1648" s="833"/>
      <c r="F1648" s="1111"/>
      <c r="G1648" s="1111"/>
      <c r="H1648" s="834"/>
      <c r="I1648" s="832"/>
      <c r="J1648" s="1111"/>
      <c r="K1648" s="832"/>
      <c r="L1648" s="832"/>
      <c r="M1648" s="832"/>
      <c r="N1648" s="832"/>
      <c r="O1648" s="832"/>
      <c r="P1648" s="832"/>
      <c r="Q1648" s="832"/>
      <c r="R1648" s="832"/>
    </row>
    <row r="1649" spans="2:18">
      <c r="B1649" s="832"/>
      <c r="C1649" s="833"/>
      <c r="D1649" s="833"/>
      <c r="E1649" s="833"/>
      <c r="F1649" s="1111"/>
      <c r="G1649" s="1111"/>
      <c r="H1649" s="834"/>
      <c r="I1649" s="832"/>
      <c r="J1649" s="1111"/>
      <c r="K1649" s="832"/>
      <c r="L1649" s="832"/>
      <c r="M1649" s="832"/>
      <c r="N1649" s="832"/>
      <c r="O1649" s="832"/>
      <c r="P1649" s="832"/>
      <c r="Q1649" s="832"/>
      <c r="R1649" s="832"/>
    </row>
    <row r="1650" spans="2:18">
      <c r="B1650" s="832"/>
      <c r="C1650" s="833"/>
      <c r="D1650" s="833"/>
      <c r="E1650" s="833"/>
      <c r="F1650" s="1111"/>
      <c r="G1650" s="1111"/>
      <c r="H1650" s="834"/>
      <c r="I1650" s="832"/>
      <c r="J1650" s="1111"/>
      <c r="K1650" s="832"/>
      <c r="L1650" s="832"/>
      <c r="M1650" s="832"/>
      <c r="N1650" s="832"/>
      <c r="O1650" s="832"/>
      <c r="P1650" s="832"/>
      <c r="Q1650" s="832"/>
      <c r="R1650" s="832"/>
    </row>
    <row r="1651" spans="2:18">
      <c r="B1651" s="832"/>
      <c r="C1651" s="833"/>
      <c r="D1651" s="833"/>
      <c r="E1651" s="833"/>
      <c r="F1651" s="1111"/>
      <c r="G1651" s="1111"/>
      <c r="H1651" s="834"/>
      <c r="I1651" s="832"/>
      <c r="J1651" s="1111"/>
      <c r="K1651" s="832"/>
      <c r="L1651" s="832"/>
      <c r="M1651" s="832"/>
      <c r="N1651" s="832"/>
      <c r="O1651" s="832"/>
      <c r="P1651" s="832"/>
      <c r="Q1651" s="832"/>
      <c r="R1651" s="832"/>
    </row>
    <row r="1652" spans="2:18">
      <c r="B1652" s="832"/>
      <c r="C1652" s="833"/>
      <c r="D1652" s="833"/>
      <c r="E1652" s="833"/>
      <c r="F1652" s="1111"/>
      <c r="G1652" s="1111"/>
      <c r="H1652" s="834"/>
      <c r="I1652" s="832"/>
      <c r="J1652" s="1111"/>
      <c r="K1652" s="832"/>
      <c r="L1652" s="832"/>
      <c r="M1652" s="832"/>
      <c r="N1652" s="832"/>
      <c r="O1652" s="832"/>
      <c r="P1652" s="832"/>
      <c r="Q1652" s="832"/>
      <c r="R1652" s="832"/>
    </row>
    <row r="1653" spans="2:18">
      <c r="B1653" s="832"/>
      <c r="C1653" s="833"/>
      <c r="D1653" s="833"/>
      <c r="E1653" s="833"/>
      <c r="F1653" s="1111"/>
      <c r="G1653" s="1111"/>
      <c r="H1653" s="834"/>
      <c r="I1653" s="832"/>
      <c r="J1653" s="1111"/>
      <c r="K1653" s="832"/>
      <c r="L1653" s="832"/>
      <c r="M1653" s="832"/>
      <c r="N1653" s="832"/>
      <c r="O1653" s="832"/>
      <c r="P1653" s="832"/>
      <c r="Q1653" s="832"/>
      <c r="R1653" s="832"/>
    </row>
    <row r="1654" spans="2:18">
      <c r="B1654" s="832"/>
      <c r="C1654" s="833"/>
      <c r="D1654" s="833"/>
      <c r="E1654" s="833"/>
      <c r="F1654" s="1111"/>
      <c r="G1654" s="1111"/>
      <c r="H1654" s="834"/>
      <c r="I1654" s="832"/>
      <c r="J1654" s="1111"/>
      <c r="K1654" s="832"/>
      <c r="L1654" s="832"/>
      <c r="M1654" s="832"/>
      <c r="N1654" s="832"/>
      <c r="O1654" s="832"/>
      <c r="P1654" s="832"/>
      <c r="Q1654" s="832"/>
      <c r="R1654" s="832"/>
    </row>
    <row r="1655" spans="2:18">
      <c r="B1655" s="832"/>
      <c r="C1655" s="833"/>
      <c r="D1655" s="833"/>
      <c r="E1655" s="833"/>
      <c r="F1655" s="1111"/>
      <c r="G1655" s="1111"/>
      <c r="H1655" s="834"/>
      <c r="I1655" s="832"/>
      <c r="J1655" s="1111"/>
      <c r="K1655" s="832"/>
      <c r="L1655" s="832"/>
      <c r="M1655" s="832"/>
      <c r="N1655" s="832"/>
      <c r="O1655" s="832"/>
      <c r="P1655" s="832"/>
      <c r="Q1655" s="832"/>
      <c r="R1655" s="832"/>
    </row>
    <row r="1656" spans="2:18">
      <c r="B1656" s="832"/>
      <c r="C1656" s="833"/>
      <c r="D1656" s="833"/>
      <c r="E1656" s="833"/>
      <c r="F1656" s="1111"/>
      <c r="G1656" s="1111"/>
      <c r="H1656" s="834"/>
      <c r="I1656" s="832"/>
      <c r="J1656" s="1111"/>
      <c r="K1656" s="832"/>
      <c r="L1656" s="832"/>
      <c r="M1656" s="832"/>
      <c r="N1656" s="832"/>
      <c r="O1656" s="832"/>
      <c r="P1656" s="832"/>
      <c r="Q1656" s="832"/>
      <c r="R1656" s="832"/>
    </row>
    <row r="1657" spans="2:18">
      <c r="B1657" s="832"/>
      <c r="C1657" s="833"/>
      <c r="D1657" s="833"/>
      <c r="E1657" s="833"/>
      <c r="F1657" s="1111"/>
      <c r="G1657" s="1111"/>
      <c r="H1657" s="834"/>
      <c r="I1657" s="832"/>
      <c r="J1657" s="1111"/>
      <c r="K1657" s="832"/>
      <c r="L1657" s="832"/>
      <c r="M1657" s="832"/>
      <c r="N1657" s="832"/>
      <c r="O1657" s="832"/>
      <c r="P1657" s="832"/>
      <c r="Q1657" s="832"/>
      <c r="R1657" s="832"/>
    </row>
    <row r="1658" spans="2:18">
      <c r="B1658" s="832"/>
      <c r="C1658" s="833"/>
      <c r="D1658" s="833"/>
      <c r="E1658" s="833"/>
      <c r="F1658" s="1111"/>
      <c r="G1658" s="1111"/>
      <c r="H1658" s="834"/>
      <c r="I1658" s="832"/>
      <c r="J1658" s="1111"/>
      <c r="K1658" s="832"/>
      <c r="L1658" s="832"/>
      <c r="M1658" s="832"/>
      <c r="N1658" s="832"/>
      <c r="O1658" s="832"/>
      <c r="P1658" s="832"/>
      <c r="Q1658" s="832"/>
      <c r="R1658" s="832"/>
    </row>
    <row r="1659" spans="2:18">
      <c r="B1659" s="832"/>
      <c r="C1659" s="833"/>
      <c r="D1659" s="833"/>
      <c r="E1659" s="833"/>
      <c r="F1659" s="1111"/>
      <c r="G1659" s="1111"/>
      <c r="H1659" s="834"/>
      <c r="I1659" s="832"/>
      <c r="J1659" s="1111"/>
      <c r="K1659" s="832"/>
      <c r="L1659" s="832"/>
      <c r="M1659" s="832"/>
      <c r="N1659" s="832"/>
      <c r="O1659" s="832"/>
      <c r="P1659" s="832"/>
      <c r="Q1659" s="832"/>
      <c r="R1659" s="832"/>
    </row>
    <row r="1660" spans="2:18">
      <c r="B1660" s="832"/>
      <c r="C1660" s="833"/>
      <c r="D1660" s="833"/>
      <c r="E1660" s="833"/>
      <c r="F1660" s="1111"/>
      <c r="G1660" s="1111"/>
      <c r="H1660" s="834"/>
      <c r="I1660" s="832"/>
      <c r="J1660" s="1111"/>
      <c r="K1660" s="832"/>
      <c r="L1660" s="832"/>
      <c r="M1660" s="832"/>
      <c r="N1660" s="832"/>
      <c r="O1660" s="832"/>
      <c r="P1660" s="832"/>
      <c r="Q1660" s="832"/>
      <c r="R1660" s="832"/>
    </row>
    <row r="1661" spans="2:18">
      <c r="B1661" s="832"/>
      <c r="C1661" s="833"/>
      <c r="D1661" s="833"/>
      <c r="E1661" s="833"/>
      <c r="F1661" s="1111"/>
      <c r="G1661" s="1111"/>
      <c r="H1661" s="834"/>
      <c r="I1661" s="832"/>
      <c r="J1661" s="1111"/>
      <c r="K1661" s="832"/>
      <c r="L1661" s="832"/>
      <c r="M1661" s="832"/>
      <c r="N1661" s="832"/>
      <c r="O1661" s="832"/>
      <c r="P1661" s="832"/>
      <c r="Q1661" s="832"/>
      <c r="R1661" s="832"/>
    </row>
    <row r="1662" spans="2:18">
      <c r="B1662" s="832"/>
      <c r="C1662" s="833"/>
      <c r="D1662" s="833"/>
      <c r="E1662" s="833"/>
      <c r="F1662" s="1111"/>
      <c r="G1662" s="1111"/>
      <c r="H1662" s="834"/>
      <c r="I1662" s="832"/>
      <c r="J1662" s="1111"/>
      <c r="K1662" s="832"/>
      <c r="L1662" s="832"/>
      <c r="M1662" s="832"/>
      <c r="N1662" s="832"/>
      <c r="O1662" s="832"/>
      <c r="P1662" s="832"/>
      <c r="Q1662" s="832"/>
      <c r="R1662" s="832"/>
    </row>
    <row r="1663" spans="2:18">
      <c r="B1663" s="832"/>
      <c r="C1663" s="833"/>
      <c r="D1663" s="833"/>
      <c r="E1663" s="833"/>
      <c r="F1663" s="1111"/>
      <c r="G1663" s="1111"/>
      <c r="H1663" s="834"/>
      <c r="I1663" s="832"/>
      <c r="J1663" s="1111"/>
      <c r="K1663" s="832"/>
      <c r="L1663" s="832"/>
      <c r="M1663" s="832"/>
      <c r="N1663" s="832"/>
      <c r="O1663" s="832"/>
      <c r="P1663" s="832"/>
      <c r="Q1663" s="832"/>
      <c r="R1663" s="832"/>
    </row>
    <row r="1664" spans="2:18">
      <c r="B1664" s="832"/>
      <c r="C1664" s="833"/>
      <c r="D1664" s="833"/>
      <c r="E1664" s="833"/>
      <c r="F1664" s="1111"/>
      <c r="G1664" s="1111"/>
      <c r="H1664" s="834"/>
      <c r="I1664" s="832"/>
      <c r="J1664" s="1111"/>
      <c r="K1664" s="832"/>
      <c r="L1664" s="832"/>
      <c r="M1664" s="832"/>
      <c r="N1664" s="832"/>
      <c r="O1664" s="832"/>
      <c r="P1664" s="832"/>
      <c r="Q1664" s="832"/>
      <c r="R1664" s="832"/>
    </row>
    <row r="1665" spans="2:18">
      <c r="B1665" s="832"/>
      <c r="C1665" s="833"/>
      <c r="D1665" s="833"/>
      <c r="E1665" s="833"/>
      <c r="F1665" s="1111"/>
      <c r="G1665" s="1111"/>
      <c r="H1665" s="834"/>
      <c r="I1665" s="832"/>
      <c r="J1665" s="1111"/>
      <c r="K1665" s="832"/>
      <c r="L1665" s="832"/>
      <c r="M1665" s="832"/>
      <c r="N1665" s="832"/>
      <c r="O1665" s="832"/>
      <c r="P1665" s="832"/>
      <c r="Q1665" s="832"/>
      <c r="R1665" s="832"/>
    </row>
    <row r="1666" spans="2:18">
      <c r="B1666" s="832"/>
      <c r="C1666" s="833"/>
      <c r="D1666" s="833"/>
      <c r="E1666" s="833"/>
      <c r="F1666" s="1111"/>
      <c r="G1666" s="1111"/>
      <c r="H1666" s="834"/>
      <c r="I1666" s="832"/>
      <c r="J1666" s="1111"/>
      <c r="K1666" s="832"/>
      <c r="L1666" s="832"/>
      <c r="M1666" s="832"/>
      <c r="N1666" s="832"/>
      <c r="O1666" s="832"/>
      <c r="P1666" s="832"/>
      <c r="Q1666" s="832"/>
      <c r="R1666" s="832"/>
    </row>
    <row r="1667" spans="2:18">
      <c r="B1667" s="832"/>
      <c r="C1667" s="833"/>
      <c r="D1667" s="833"/>
      <c r="E1667" s="833"/>
      <c r="F1667" s="1111"/>
      <c r="G1667" s="1111"/>
      <c r="H1667" s="834"/>
      <c r="I1667" s="832"/>
      <c r="J1667" s="1111"/>
      <c r="K1667" s="832"/>
      <c r="L1667" s="832"/>
      <c r="M1667" s="832"/>
      <c r="N1667" s="832"/>
      <c r="O1667" s="832"/>
      <c r="P1667" s="832"/>
      <c r="Q1667" s="832"/>
      <c r="R1667" s="832"/>
    </row>
    <row r="1668" spans="2:18">
      <c r="B1668" s="832"/>
      <c r="C1668" s="833"/>
      <c r="D1668" s="833"/>
      <c r="E1668" s="833"/>
      <c r="F1668" s="1111"/>
      <c r="G1668" s="1111"/>
      <c r="H1668" s="834"/>
      <c r="I1668" s="832"/>
      <c r="J1668" s="1111"/>
      <c r="K1668" s="832"/>
      <c r="L1668" s="832"/>
      <c r="M1668" s="832"/>
      <c r="N1668" s="832"/>
      <c r="O1668" s="832"/>
      <c r="P1668" s="832"/>
      <c r="Q1668" s="832"/>
      <c r="R1668" s="832"/>
    </row>
    <row r="1669" spans="2:18">
      <c r="B1669" s="832"/>
      <c r="C1669" s="833"/>
      <c r="D1669" s="833"/>
      <c r="E1669" s="833"/>
      <c r="F1669" s="1111"/>
      <c r="G1669" s="1111"/>
      <c r="H1669" s="834"/>
      <c r="I1669" s="832"/>
      <c r="J1669" s="1111"/>
      <c r="K1669" s="832"/>
      <c r="L1669" s="832"/>
      <c r="M1669" s="832"/>
      <c r="N1669" s="832"/>
      <c r="O1669" s="832"/>
      <c r="P1669" s="832"/>
      <c r="Q1669" s="832"/>
      <c r="R1669" s="832"/>
    </row>
    <row r="1670" spans="2:18">
      <c r="B1670" s="832"/>
      <c r="C1670" s="833"/>
      <c r="D1670" s="833"/>
      <c r="E1670" s="833"/>
      <c r="F1670" s="1111"/>
      <c r="G1670" s="1111"/>
      <c r="H1670" s="834"/>
      <c r="I1670" s="832"/>
      <c r="J1670" s="1111"/>
      <c r="K1670" s="832"/>
      <c r="L1670" s="832"/>
      <c r="M1670" s="832"/>
      <c r="N1670" s="832"/>
      <c r="O1670" s="832"/>
      <c r="P1670" s="832"/>
      <c r="Q1670" s="832"/>
      <c r="R1670" s="832"/>
    </row>
    <row r="1671" spans="2:18">
      <c r="B1671" s="832"/>
      <c r="C1671" s="833"/>
      <c r="D1671" s="833"/>
      <c r="E1671" s="833"/>
      <c r="F1671" s="1111"/>
      <c r="G1671" s="1111"/>
      <c r="H1671" s="834"/>
      <c r="I1671" s="832"/>
      <c r="J1671" s="1111"/>
      <c r="K1671" s="832"/>
      <c r="L1671" s="832"/>
      <c r="M1671" s="832"/>
      <c r="N1671" s="832"/>
      <c r="O1671" s="832"/>
      <c r="P1671" s="832"/>
      <c r="Q1671" s="832"/>
      <c r="R1671" s="832"/>
    </row>
    <row r="1672" spans="2:18">
      <c r="B1672" s="832"/>
      <c r="C1672" s="833"/>
      <c r="D1672" s="833"/>
      <c r="E1672" s="833"/>
      <c r="F1672" s="1111"/>
      <c r="G1672" s="1111"/>
      <c r="H1672" s="834"/>
      <c r="I1672" s="832"/>
      <c r="J1672" s="1111"/>
      <c r="K1672" s="832"/>
      <c r="L1672" s="832"/>
      <c r="M1672" s="832"/>
      <c r="N1672" s="832"/>
      <c r="O1672" s="832"/>
      <c r="P1672" s="832"/>
      <c r="Q1672" s="832"/>
      <c r="R1672" s="832"/>
    </row>
    <row r="1673" spans="2:18">
      <c r="B1673" s="832"/>
      <c r="C1673" s="833"/>
      <c r="D1673" s="833"/>
      <c r="E1673" s="833"/>
      <c r="F1673" s="1111"/>
      <c r="G1673" s="1111"/>
      <c r="H1673" s="834"/>
      <c r="I1673" s="832"/>
      <c r="J1673" s="1111"/>
      <c r="K1673" s="832"/>
      <c r="L1673" s="832"/>
      <c r="M1673" s="832"/>
      <c r="N1673" s="832"/>
      <c r="O1673" s="832"/>
      <c r="P1673" s="832"/>
      <c r="Q1673" s="832"/>
      <c r="R1673" s="832"/>
    </row>
    <row r="1674" spans="2:18">
      <c r="B1674" s="832"/>
      <c r="C1674" s="833"/>
      <c r="D1674" s="833"/>
      <c r="E1674" s="833"/>
      <c r="F1674" s="1111"/>
      <c r="G1674" s="1111"/>
      <c r="H1674" s="834"/>
      <c r="I1674" s="832"/>
      <c r="J1674" s="1111"/>
      <c r="K1674" s="832"/>
      <c r="L1674" s="832"/>
      <c r="M1674" s="832"/>
      <c r="N1674" s="832"/>
      <c r="O1674" s="832"/>
      <c r="P1674" s="832"/>
      <c r="Q1674" s="832"/>
      <c r="R1674" s="832"/>
    </row>
    <row r="1675" spans="2:18">
      <c r="B1675" s="832"/>
      <c r="C1675" s="833"/>
      <c r="D1675" s="833"/>
      <c r="E1675" s="833"/>
      <c r="F1675" s="1111"/>
      <c r="G1675" s="1111"/>
      <c r="H1675" s="834"/>
      <c r="I1675" s="832"/>
      <c r="J1675" s="1111"/>
      <c r="K1675" s="832"/>
      <c r="L1675" s="832"/>
      <c r="M1675" s="832"/>
      <c r="N1675" s="832"/>
      <c r="O1675" s="832"/>
      <c r="P1675" s="832"/>
      <c r="Q1675" s="832"/>
      <c r="R1675" s="832"/>
    </row>
    <row r="1676" spans="2:18">
      <c r="B1676" s="832"/>
      <c r="C1676" s="833"/>
      <c r="D1676" s="833"/>
      <c r="E1676" s="833"/>
      <c r="F1676" s="1111"/>
      <c r="G1676" s="1111"/>
      <c r="H1676" s="834"/>
      <c r="I1676" s="832"/>
      <c r="J1676" s="1111"/>
      <c r="K1676" s="832"/>
      <c r="L1676" s="832"/>
      <c r="M1676" s="832"/>
      <c r="N1676" s="832"/>
      <c r="O1676" s="832"/>
      <c r="P1676" s="832"/>
      <c r="Q1676" s="832"/>
      <c r="R1676" s="832"/>
    </row>
    <row r="1677" spans="2:18">
      <c r="B1677" s="832"/>
      <c r="C1677" s="833"/>
      <c r="D1677" s="833"/>
      <c r="E1677" s="833"/>
      <c r="F1677" s="1111"/>
      <c r="G1677" s="1111"/>
      <c r="H1677" s="834"/>
      <c r="I1677" s="832"/>
      <c r="J1677" s="1111"/>
      <c r="K1677" s="832"/>
      <c r="L1677" s="832"/>
      <c r="M1677" s="832"/>
      <c r="N1677" s="832"/>
      <c r="O1677" s="832"/>
      <c r="P1677" s="832"/>
      <c r="Q1677" s="832"/>
      <c r="R1677" s="832"/>
    </row>
    <row r="1678" spans="2:18">
      <c r="B1678" s="832"/>
      <c r="C1678" s="833"/>
      <c r="D1678" s="833"/>
      <c r="E1678" s="833"/>
      <c r="F1678" s="1111"/>
      <c r="G1678" s="1111"/>
      <c r="H1678" s="834"/>
      <c r="I1678" s="832"/>
      <c r="J1678" s="1111"/>
      <c r="K1678" s="832"/>
      <c r="L1678" s="832"/>
      <c r="M1678" s="832"/>
      <c r="N1678" s="832"/>
      <c r="O1678" s="832"/>
      <c r="P1678" s="832"/>
      <c r="Q1678" s="832"/>
      <c r="R1678" s="832"/>
    </row>
    <row r="1679" spans="2:18">
      <c r="B1679" s="832"/>
      <c r="C1679" s="833"/>
      <c r="D1679" s="833"/>
      <c r="E1679" s="833"/>
      <c r="F1679" s="1111"/>
      <c r="G1679" s="1111"/>
      <c r="H1679" s="834"/>
      <c r="I1679" s="832"/>
      <c r="J1679" s="1111"/>
      <c r="K1679" s="832"/>
      <c r="L1679" s="832"/>
      <c r="M1679" s="832"/>
      <c r="N1679" s="832"/>
      <c r="O1679" s="832"/>
      <c r="P1679" s="832"/>
      <c r="Q1679" s="832"/>
      <c r="R1679" s="832"/>
    </row>
    <row r="1680" spans="2:18">
      <c r="B1680" s="832"/>
      <c r="C1680" s="833"/>
      <c r="D1680" s="833"/>
      <c r="E1680" s="833"/>
      <c r="F1680" s="1111"/>
      <c r="G1680" s="1111"/>
      <c r="H1680" s="834"/>
      <c r="I1680" s="832"/>
      <c r="J1680" s="1111"/>
      <c r="K1680" s="832"/>
      <c r="L1680" s="832"/>
      <c r="M1680" s="832"/>
      <c r="N1680" s="832"/>
      <c r="O1680" s="832"/>
      <c r="P1680" s="832"/>
      <c r="Q1680" s="832"/>
      <c r="R1680" s="832"/>
    </row>
    <row r="1681" spans="2:18">
      <c r="B1681" s="832"/>
      <c r="C1681" s="833"/>
      <c r="D1681" s="833"/>
      <c r="E1681" s="833"/>
      <c r="F1681" s="1111"/>
      <c r="G1681" s="1111"/>
      <c r="H1681" s="834"/>
      <c r="I1681" s="832"/>
      <c r="J1681" s="1111"/>
      <c r="K1681" s="832"/>
      <c r="L1681" s="832"/>
      <c r="M1681" s="832"/>
      <c r="N1681" s="832"/>
      <c r="O1681" s="832"/>
      <c r="P1681" s="832"/>
      <c r="Q1681" s="832"/>
      <c r="R1681" s="832"/>
    </row>
    <row r="1682" spans="2:18">
      <c r="B1682" s="832"/>
      <c r="C1682" s="833"/>
      <c r="D1682" s="833"/>
      <c r="E1682" s="833"/>
      <c r="F1682" s="1111"/>
      <c r="G1682" s="1111"/>
      <c r="H1682" s="834"/>
      <c r="I1682" s="832"/>
      <c r="J1682" s="1111"/>
      <c r="K1682" s="832"/>
      <c r="L1682" s="832"/>
      <c r="M1682" s="832"/>
      <c r="N1682" s="832"/>
      <c r="O1682" s="832"/>
      <c r="P1682" s="832"/>
      <c r="Q1682" s="832"/>
      <c r="R1682" s="832"/>
    </row>
    <row r="1683" spans="2:18">
      <c r="B1683" s="832"/>
      <c r="C1683" s="833"/>
      <c r="D1683" s="833"/>
      <c r="E1683" s="833"/>
      <c r="F1683" s="1111"/>
      <c r="G1683" s="1111"/>
      <c r="H1683" s="834"/>
      <c r="I1683" s="832"/>
      <c r="J1683" s="1111"/>
      <c r="K1683" s="832"/>
      <c r="L1683" s="832"/>
      <c r="M1683" s="832"/>
      <c r="N1683" s="832"/>
      <c r="O1683" s="832"/>
      <c r="P1683" s="832"/>
      <c r="Q1683" s="832"/>
      <c r="R1683" s="832"/>
    </row>
    <row r="1684" spans="2:18">
      <c r="B1684" s="832"/>
      <c r="C1684" s="833"/>
      <c r="D1684" s="833"/>
      <c r="E1684" s="833"/>
      <c r="F1684" s="1111"/>
      <c r="G1684" s="1111"/>
      <c r="H1684" s="834"/>
      <c r="I1684" s="832"/>
      <c r="J1684" s="1111"/>
      <c r="K1684" s="832"/>
      <c r="L1684" s="832"/>
      <c r="M1684" s="832"/>
      <c r="N1684" s="832"/>
      <c r="O1684" s="832"/>
      <c r="P1684" s="832"/>
      <c r="Q1684" s="832"/>
      <c r="R1684" s="832"/>
    </row>
    <row r="1685" spans="2:18">
      <c r="B1685" s="832"/>
      <c r="C1685" s="833"/>
      <c r="D1685" s="833"/>
      <c r="E1685" s="833"/>
      <c r="F1685" s="1111"/>
      <c r="G1685" s="1111"/>
      <c r="H1685" s="834"/>
      <c r="I1685" s="832"/>
      <c r="J1685" s="1111"/>
      <c r="K1685" s="832"/>
      <c r="L1685" s="832"/>
      <c r="M1685" s="832"/>
      <c r="N1685" s="832"/>
      <c r="O1685" s="832"/>
      <c r="P1685" s="832"/>
      <c r="Q1685" s="832"/>
      <c r="R1685" s="832"/>
    </row>
    <row r="1686" spans="2:18">
      <c r="B1686" s="832"/>
      <c r="C1686" s="833"/>
      <c r="D1686" s="833"/>
      <c r="E1686" s="833"/>
      <c r="F1686" s="1111"/>
      <c r="G1686" s="1111"/>
      <c r="H1686" s="834"/>
      <c r="I1686" s="832"/>
      <c r="J1686" s="1111"/>
      <c r="K1686" s="832"/>
      <c r="L1686" s="832"/>
      <c r="M1686" s="832"/>
      <c r="N1686" s="832"/>
      <c r="O1686" s="832"/>
      <c r="P1686" s="832"/>
      <c r="Q1686" s="832"/>
      <c r="R1686" s="832"/>
    </row>
    <row r="1687" spans="2:18">
      <c r="B1687" s="832"/>
      <c r="C1687" s="833"/>
      <c r="D1687" s="833"/>
      <c r="E1687" s="833"/>
      <c r="F1687" s="1111"/>
      <c r="G1687" s="1111"/>
      <c r="H1687" s="834"/>
      <c r="I1687" s="832"/>
      <c r="J1687" s="1111"/>
      <c r="K1687" s="832"/>
      <c r="L1687" s="832"/>
      <c r="M1687" s="832"/>
      <c r="N1687" s="832"/>
      <c r="O1687" s="832"/>
      <c r="P1687" s="832"/>
      <c r="Q1687" s="832"/>
      <c r="R1687" s="832"/>
    </row>
    <row r="1688" spans="2:18">
      <c r="B1688" s="832"/>
      <c r="C1688" s="833"/>
      <c r="D1688" s="833"/>
      <c r="E1688" s="833"/>
      <c r="F1688" s="1111"/>
      <c r="G1688" s="1111"/>
      <c r="H1688" s="834"/>
      <c r="I1688" s="832"/>
      <c r="J1688" s="1111"/>
      <c r="K1688" s="832"/>
      <c r="L1688" s="832"/>
      <c r="M1688" s="832"/>
      <c r="N1688" s="832"/>
      <c r="O1688" s="832"/>
      <c r="P1688" s="832"/>
      <c r="Q1688" s="832"/>
      <c r="R1688" s="832"/>
    </row>
    <row r="1689" spans="2:18">
      <c r="B1689" s="832"/>
      <c r="C1689" s="833"/>
      <c r="D1689" s="833"/>
      <c r="E1689" s="833"/>
      <c r="F1689" s="1111"/>
      <c r="G1689" s="1111"/>
      <c r="H1689" s="834"/>
      <c r="I1689" s="832"/>
      <c r="J1689" s="1111"/>
      <c r="K1689" s="832"/>
      <c r="L1689" s="832"/>
      <c r="M1689" s="832"/>
      <c r="N1689" s="832"/>
      <c r="O1689" s="832"/>
      <c r="P1689" s="832"/>
      <c r="Q1689" s="832"/>
      <c r="R1689" s="832"/>
    </row>
    <row r="1690" spans="2:18">
      <c r="B1690" s="832"/>
      <c r="C1690" s="833"/>
      <c r="D1690" s="833"/>
      <c r="E1690" s="833"/>
      <c r="F1690" s="1111"/>
      <c r="G1690" s="1111"/>
      <c r="H1690" s="834"/>
      <c r="I1690" s="832"/>
      <c r="J1690" s="1111"/>
      <c r="K1690" s="832"/>
      <c r="L1690" s="832"/>
      <c r="M1690" s="832"/>
      <c r="N1690" s="832"/>
      <c r="O1690" s="832"/>
      <c r="P1690" s="832"/>
      <c r="Q1690" s="832"/>
      <c r="R1690" s="832"/>
    </row>
    <row r="1691" spans="2:18">
      <c r="B1691" s="832"/>
      <c r="C1691" s="833"/>
      <c r="D1691" s="833"/>
      <c r="E1691" s="833"/>
      <c r="F1691" s="1111"/>
      <c r="G1691" s="1111"/>
      <c r="H1691" s="834"/>
      <c r="I1691" s="832"/>
      <c r="J1691" s="1111"/>
      <c r="K1691" s="832"/>
      <c r="L1691" s="832"/>
      <c r="M1691" s="832"/>
      <c r="N1691" s="832"/>
      <c r="O1691" s="832"/>
      <c r="P1691" s="832"/>
      <c r="Q1691" s="832"/>
      <c r="R1691" s="832"/>
    </row>
    <row r="1692" spans="2:18">
      <c r="B1692" s="832"/>
      <c r="C1692" s="833"/>
      <c r="D1692" s="833"/>
      <c r="E1692" s="833"/>
      <c r="F1692" s="1111"/>
      <c r="G1692" s="1111"/>
      <c r="H1692" s="834"/>
      <c r="I1692" s="832"/>
      <c r="J1692" s="1111"/>
      <c r="K1692" s="832"/>
      <c r="L1692" s="832"/>
      <c r="M1692" s="832"/>
      <c r="N1692" s="832"/>
      <c r="O1692" s="832"/>
      <c r="P1692" s="832"/>
      <c r="Q1692" s="832"/>
      <c r="R1692" s="832"/>
    </row>
    <row r="1693" spans="2:18">
      <c r="B1693" s="832"/>
      <c r="C1693" s="833"/>
      <c r="D1693" s="833"/>
      <c r="E1693" s="833"/>
      <c r="F1693" s="1111"/>
      <c r="G1693" s="1111"/>
      <c r="H1693" s="834"/>
      <c r="I1693" s="832"/>
      <c r="J1693" s="1111"/>
      <c r="K1693" s="832"/>
      <c r="L1693" s="832"/>
      <c r="M1693" s="832"/>
      <c r="N1693" s="832"/>
      <c r="O1693" s="832"/>
      <c r="P1693" s="832"/>
      <c r="Q1693" s="832"/>
      <c r="R1693" s="832"/>
    </row>
    <row r="1694" spans="2:18">
      <c r="B1694" s="832"/>
      <c r="C1694" s="833"/>
      <c r="D1694" s="833"/>
      <c r="E1694" s="833"/>
      <c r="F1694" s="1111"/>
      <c r="G1694" s="1111"/>
      <c r="H1694" s="834"/>
      <c r="I1694" s="832"/>
      <c r="J1694" s="1111"/>
      <c r="K1694" s="832"/>
      <c r="L1694" s="832"/>
      <c r="M1694" s="832"/>
      <c r="N1694" s="832"/>
      <c r="O1694" s="832"/>
      <c r="P1694" s="832"/>
      <c r="Q1694" s="832"/>
      <c r="R1694" s="832"/>
    </row>
    <row r="1695" spans="2:18">
      <c r="B1695" s="832"/>
      <c r="C1695" s="833"/>
      <c r="D1695" s="833"/>
      <c r="E1695" s="833"/>
      <c r="F1695" s="1111"/>
      <c r="G1695" s="1111"/>
      <c r="H1695" s="834"/>
      <c r="I1695" s="832"/>
      <c r="J1695" s="1111"/>
      <c r="K1695" s="832"/>
      <c r="L1695" s="832"/>
      <c r="M1695" s="832"/>
      <c r="N1695" s="832"/>
      <c r="O1695" s="832"/>
      <c r="P1695" s="832"/>
      <c r="Q1695" s="832"/>
      <c r="R1695" s="832"/>
    </row>
    <row r="1696" spans="2:18">
      <c r="B1696" s="832"/>
      <c r="C1696" s="833"/>
      <c r="D1696" s="833"/>
      <c r="E1696" s="833"/>
      <c r="F1696" s="1111"/>
      <c r="G1696" s="1111"/>
      <c r="H1696" s="834"/>
      <c r="I1696" s="832"/>
      <c r="J1696" s="1111"/>
      <c r="K1696" s="832"/>
      <c r="L1696" s="832"/>
      <c r="M1696" s="832"/>
      <c r="N1696" s="832"/>
      <c r="O1696" s="832"/>
      <c r="P1696" s="832"/>
      <c r="Q1696" s="832"/>
      <c r="R1696" s="832"/>
    </row>
    <row r="1697" spans="2:18">
      <c r="B1697" s="832"/>
      <c r="C1697" s="833"/>
      <c r="D1697" s="833"/>
      <c r="E1697" s="833"/>
      <c r="F1697" s="1111"/>
      <c r="G1697" s="1111"/>
      <c r="H1697" s="834"/>
      <c r="I1697" s="832"/>
      <c r="J1697" s="1111"/>
      <c r="K1697" s="832"/>
      <c r="L1697" s="832"/>
      <c r="M1697" s="832"/>
      <c r="N1697" s="832"/>
      <c r="O1697" s="832"/>
      <c r="P1697" s="832"/>
      <c r="Q1697" s="832"/>
      <c r="R1697" s="832"/>
    </row>
    <row r="1698" spans="2:18">
      <c r="B1698" s="832"/>
      <c r="C1698" s="833"/>
      <c r="D1698" s="833"/>
      <c r="E1698" s="833"/>
      <c r="F1698" s="1111"/>
      <c r="G1698" s="1111"/>
      <c r="H1698" s="834"/>
      <c r="I1698" s="832"/>
      <c r="J1698" s="1111"/>
      <c r="K1698" s="832"/>
      <c r="L1698" s="832"/>
      <c r="M1698" s="832"/>
      <c r="N1698" s="832"/>
      <c r="O1698" s="832"/>
      <c r="P1698" s="832"/>
      <c r="Q1698" s="832"/>
      <c r="R1698" s="832"/>
    </row>
    <row r="1699" spans="2:18">
      <c r="B1699" s="832"/>
      <c r="C1699" s="833"/>
      <c r="D1699" s="833"/>
      <c r="E1699" s="833"/>
      <c r="F1699" s="1111"/>
      <c r="G1699" s="1111"/>
      <c r="H1699" s="834"/>
      <c r="I1699" s="832"/>
      <c r="J1699" s="1111"/>
      <c r="K1699" s="832"/>
      <c r="L1699" s="832"/>
      <c r="M1699" s="832"/>
      <c r="N1699" s="832"/>
      <c r="O1699" s="832"/>
      <c r="P1699" s="832"/>
      <c r="Q1699" s="832"/>
      <c r="R1699" s="832"/>
    </row>
    <row r="1700" spans="2:18">
      <c r="B1700" s="832"/>
      <c r="C1700" s="833"/>
      <c r="D1700" s="833"/>
      <c r="E1700" s="833"/>
      <c r="F1700" s="1111"/>
      <c r="G1700" s="1111"/>
      <c r="H1700" s="834"/>
      <c r="I1700" s="832"/>
      <c r="J1700" s="1111"/>
      <c r="K1700" s="832"/>
      <c r="L1700" s="832"/>
      <c r="M1700" s="832"/>
      <c r="N1700" s="832"/>
      <c r="O1700" s="832"/>
      <c r="P1700" s="832"/>
      <c r="Q1700" s="832"/>
      <c r="R1700" s="832"/>
    </row>
    <row r="1701" spans="2:18">
      <c r="B1701" s="832"/>
      <c r="C1701" s="833"/>
      <c r="D1701" s="833"/>
      <c r="E1701" s="833"/>
      <c r="F1701" s="1111"/>
      <c r="G1701" s="1111"/>
      <c r="H1701" s="834"/>
      <c r="I1701" s="832"/>
      <c r="J1701" s="1111"/>
      <c r="K1701" s="832"/>
      <c r="L1701" s="832"/>
      <c r="M1701" s="832"/>
      <c r="N1701" s="832"/>
      <c r="O1701" s="832"/>
      <c r="P1701" s="832"/>
      <c r="Q1701" s="832"/>
      <c r="R1701" s="832"/>
    </row>
    <row r="1702" spans="2:18">
      <c r="B1702" s="832"/>
      <c r="C1702" s="833"/>
      <c r="D1702" s="833"/>
      <c r="E1702" s="833"/>
      <c r="F1702" s="1111"/>
      <c r="G1702" s="1111"/>
      <c r="H1702" s="834"/>
      <c r="I1702" s="832"/>
      <c r="J1702" s="1111"/>
      <c r="K1702" s="832"/>
      <c r="L1702" s="832"/>
      <c r="M1702" s="832"/>
      <c r="N1702" s="832"/>
      <c r="O1702" s="832"/>
      <c r="P1702" s="832"/>
      <c r="Q1702" s="832"/>
      <c r="R1702" s="832"/>
    </row>
    <row r="1703" spans="2:18">
      <c r="B1703" s="832"/>
      <c r="C1703" s="833"/>
      <c r="D1703" s="833"/>
      <c r="E1703" s="833"/>
      <c r="F1703" s="1111"/>
      <c r="G1703" s="1111"/>
      <c r="H1703" s="834"/>
      <c r="I1703" s="832"/>
      <c r="J1703" s="1111"/>
      <c r="K1703" s="832"/>
      <c r="L1703" s="832"/>
      <c r="M1703" s="832"/>
      <c r="N1703" s="832"/>
      <c r="O1703" s="832"/>
      <c r="P1703" s="832"/>
      <c r="Q1703" s="832"/>
      <c r="R1703" s="832"/>
    </row>
    <row r="1704" spans="2:18">
      <c r="B1704" s="832"/>
      <c r="C1704" s="833"/>
      <c r="D1704" s="833"/>
      <c r="E1704" s="833"/>
      <c r="F1704" s="1111"/>
      <c r="G1704" s="1111"/>
      <c r="H1704" s="834"/>
      <c r="I1704" s="832"/>
      <c r="J1704" s="1111"/>
      <c r="K1704" s="832"/>
      <c r="L1704" s="832"/>
      <c r="M1704" s="832"/>
      <c r="N1704" s="832"/>
      <c r="O1704" s="832"/>
      <c r="P1704" s="832"/>
      <c r="Q1704" s="832"/>
      <c r="R1704" s="832"/>
    </row>
    <row r="1705" spans="2:18">
      <c r="B1705" s="832"/>
      <c r="C1705" s="833"/>
      <c r="D1705" s="833"/>
      <c r="E1705" s="833"/>
      <c r="F1705" s="1111"/>
      <c r="G1705" s="1111"/>
      <c r="H1705" s="834"/>
      <c r="I1705" s="832"/>
      <c r="J1705" s="1111"/>
      <c r="K1705" s="832"/>
      <c r="L1705" s="832"/>
      <c r="M1705" s="832"/>
      <c r="N1705" s="832"/>
      <c r="O1705" s="832"/>
      <c r="P1705" s="832"/>
      <c r="Q1705" s="832"/>
      <c r="R1705" s="832"/>
    </row>
    <row r="1706" spans="2:18">
      <c r="B1706" s="832"/>
      <c r="C1706" s="833"/>
      <c r="D1706" s="833"/>
      <c r="E1706" s="833"/>
      <c r="F1706" s="1111"/>
      <c r="G1706" s="1111"/>
      <c r="H1706" s="834"/>
      <c r="I1706" s="832"/>
      <c r="J1706" s="1111"/>
      <c r="K1706" s="832"/>
      <c r="L1706" s="832"/>
      <c r="M1706" s="832"/>
      <c r="N1706" s="832"/>
      <c r="O1706" s="832"/>
      <c r="P1706" s="832"/>
      <c r="Q1706" s="832"/>
      <c r="R1706" s="832"/>
    </row>
    <row r="1707" spans="2:18">
      <c r="B1707" s="832"/>
      <c r="C1707" s="833"/>
      <c r="D1707" s="833"/>
      <c r="E1707" s="833"/>
      <c r="F1707" s="1111"/>
      <c r="G1707" s="1111"/>
      <c r="H1707" s="834"/>
      <c r="I1707" s="832"/>
      <c r="J1707" s="1111"/>
      <c r="K1707" s="832"/>
      <c r="L1707" s="832"/>
      <c r="M1707" s="832"/>
      <c r="N1707" s="832"/>
      <c r="O1707" s="832"/>
      <c r="P1707" s="832"/>
      <c r="Q1707" s="832"/>
      <c r="R1707" s="832"/>
    </row>
    <row r="1708" spans="2:18">
      <c r="B1708" s="832"/>
      <c r="C1708" s="833"/>
      <c r="D1708" s="833"/>
      <c r="E1708" s="833"/>
      <c r="F1708" s="1111"/>
      <c r="G1708" s="1111"/>
      <c r="H1708" s="834"/>
      <c r="I1708" s="832"/>
      <c r="J1708" s="1111"/>
      <c r="K1708" s="832"/>
      <c r="L1708" s="832"/>
      <c r="M1708" s="832"/>
      <c r="N1708" s="832"/>
      <c r="O1708" s="832"/>
      <c r="P1708" s="832"/>
      <c r="Q1708" s="832"/>
      <c r="R1708" s="832"/>
    </row>
    <row r="1709" spans="2:18">
      <c r="B1709" s="832"/>
      <c r="C1709" s="833"/>
      <c r="D1709" s="833"/>
      <c r="E1709" s="833"/>
      <c r="F1709" s="1111"/>
      <c r="G1709" s="1111"/>
      <c r="H1709" s="834"/>
      <c r="I1709" s="832"/>
      <c r="J1709" s="1111"/>
      <c r="K1709" s="832"/>
      <c r="L1709" s="832"/>
      <c r="M1709" s="832"/>
      <c r="N1709" s="832"/>
      <c r="O1709" s="832"/>
      <c r="P1709" s="832"/>
      <c r="Q1709" s="832"/>
      <c r="R1709" s="832"/>
    </row>
    <row r="1710" spans="2:18">
      <c r="B1710" s="832"/>
      <c r="C1710" s="833"/>
      <c r="D1710" s="833"/>
      <c r="E1710" s="833"/>
      <c r="F1710" s="1111"/>
      <c r="G1710" s="1111"/>
      <c r="H1710" s="834"/>
      <c r="I1710" s="832"/>
      <c r="J1710" s="1111"/>
      <c r="K1710" s="832"/>
      <c r="L1710" s="832"/>
      <c r="M1710" s="832"/>
      <c r="N1710" s="832"/>
      <c r="O1710" s="832"/>
      <c r="P1710" s="832"/>
      <c r="Q1710" s="832"/>
      <c r="R1710" s="832"/>
    </row>
    <row r="1711" spans="2:18">
      <c r="B1711" s="832"/>
      <c r="C1711" s="833"/>
      <c r="D1711" s="833"/>
      <c r="E1711" s="833"/>
      <c r="F1711" s="1111"/>
      <c r="G1711" s="1111"/>
      <c r="H1711" s="834"/>
      <c r="I1711" s="832"/>
      <c r="J1711" s="1111"/>
      <c r="K1711" s="832"/>
      <c r="L1711" s="832"/>
      <c r="M1711" s="832"/>
      <c r="N1711" s="832"/>
      <c r="O1711" s="832"/>
      <c r="P1711" s="832"/>
      <c r="Q1711" s="832"/>
      <c r="R1711" s="832"/>
    </row>
    <row r="1712" spans="2:18">
      <c r="B1712" s="832"/>
      <c r="C1712" s="833"/>
      <c r="D1712" s="833"/>
      <c r="E1712" s="833"/>
      <c r="F1712" s="1111"/>
      <c r="G1712" s="1111"/>
      <c r="H1712" s="834"/>
      <c r="I1712" s="832"/>
      <c r="J1712" s="1111"/>
      <c r="K1712" s="832"/>
      <c r="L1712" s="832"/>
      <c r="M1712" s="832"/>
      <c r="N1712" s="832"/>
      <c r="O1712" s="832"/>
      <c r="P1712" s="832"/>
      <c r="Q1712" s="832"/>
      <c r="R1712" s="832"/>
    </row>
    <row r="1713" spans="2:18">
      <c r="B1713" s="832"/>
      <c r="C1713" s="833"/>
      <c r="D1713" s="833"/>
      <c r="E1713" s="833"/>
      <c r="F1713" s="1111"/>
      <c r="G1713" s="1111"/>
      <c r="H1713" s="834"/>
      <c r="I1713" s="832"/>
      <c r="J1713" s="1111"/>
      <c r="K1713" s="832"/>
      <c r="L1713" s="832"/>
      <c r="M1713" s="832"/>
      <c r="N1713" s="832"/>
      <c r="O1713" s="832"/>
      <c r="P1713" s="832"/>
      <c r="Q1713" s="832"/>
      <c r="R1713" s="832"/>
    </row>
    <row r="1714" spans="2:18">
      <c r="B1714" s="832"/>
      <c r="C1714" s="833"/>
      <c r="D1714" s="833"/>
      <c r="E1714" s="833"/>
      <c r="F1714" s="1111"/>
      <c r="G1714" s="1111"/>
      <c r="H1714" s="834"/>
      <c r="I1714" s="832"/>
      <c r="J1714" s="1111"/>
      <c r="K1714" s="832"/>
      <c r="L1714" s="832"/>
      <c r="M1714" s="832"/>
      <c r="N1714" s="832"/>
      <c r="O1714" s="832"/>
      <c r="P1714" s="832"/>
      <c r="Q1714" s="832"/>
      <c r="R1714" s="832"/>
    </row>
    <row r="1715" spans="2:18">
      <c r="B1715" s="832"/>
      <c r="C1715" s="833"/>
      <c r="D1715" s="833"/>
      <c r="E1715" s="833"/>
      <c r="F1715" s="1111"/>
      <c r="G1715" s="1111"/>
      <c r="H1715" s="834"/>
      <c r="I1715" s="832"/>
      <c r="J1715" s="1111"/>
      <c r="K1715" s="832"/>
      <c r="L1715" s="832"/>
      <c r="M1715" s="832"/>
      <c r="N1715" s="832"/>
      <c r="O1715" s="832"/>
      <c r="P1715" s="832"/>
      <c r="Q1715" s="832"/>
      <c r="R1715" s="832"/>
    </row>
    <row r="1716" spans="2:18">
      <c r="B1716" s="832"/>
      <c r="C1716" s="833"/>
      <c r="D1716" s="833"/>
      <c r="E1716" s="833"/>
      <c r="F1716" s="1111"/>
      <c r="G1716" s="1111"/>
      <c r="H1716" s="834"/>
      <c r="I1716" s="832"/>
      <c r="J1716" s="1111"/>
      <c r="K1716" s="832"/>
      <c r="L1716" s="832"/>
      <c r="M1716" s="832"/>
      <c r="N1716" s="832"/>
      <c r="O1716" s="832"/>
      <c r="P1716" s="832"/>
      <c r="Q1716" s="832"/>
      <c r="R1716" s="832"/>
    </row>
    <row r="1717" spans="2:18">
      <c r="B1717" s="832"/>
      <c r="C1717" s="833"/>
      <c r="D1717" s="833"/>
      <c r="E1717" s="833"/>
      <c r="F1717" s="1111"/>
      <c r="G1717" s="1111"/>
      <c r="H1717" s="834"/>
      <c r="I1717" s="832"/>
      <c r="J1717" s="1111"/>
      <c r="K1717" s="832"/>
      <c r="L1717" s="832"/>
      <c r="M1717" s="832"/>
      <c r="N1717" s="832"/>
      <c r="O1717" s="832"/>
      <c r="P1717" s="832"/>
      <c r="Q1717" s="832"/>
      <c r="R1717" s="832"/>
    </row>
    <row r="1718" spans="2:18">
      <c r="B1718" s="832"/>
      <c r="C1718" s="833"/>
      <c r="D1718" s="833"/>
      <c r="E1718" s="833"/>
      <c r="F1718" s="1111"/>
      <c r="G1718" s="1111"/>
      <c r="H1718" s="834"/>
      <c r="I1718" s="832"/>
      <c r="J1718" s="1111"/>
      <c r="K1718" s="832"/>
      <c r="L1718" s="832"/>
      <c r="M1718" s="832"/>
      <c r="N1718" s="832"/>
      <c r="O1718" s="832"/>
      <c r="P1718" s="832"/>
      <c r="Q1718" s="832"/>
      <c r="R1718" s="832"/>
    </row>
    <row r="1719" spans="2:18">
      <c r="B1719" s="832"/>
      <c r="C1719" s="833"/>
      <c r="D1719" s="833"/>
      <c r="E1719" s="833"/>
      <c r="F1719" s="1111"/>
      <c r="G1719" s="1111"/>
      <c r="H1719" s="834"/>
      <c r="I1719" s="832"/>
      <c r="J1719" s="1111"/>
      <c r="K1719" s="832"/>
      <c r="L1719" s="832"/>
      <c r="M1719" s="832"/>
      <c r="N1719" s="832"/>
      <c r="O1719" s="832"/>
      <c r="P1719" s="832"/>
      <c r="Q1719" s="832"/>
      <c r="R1719" s="832"/>
    </row>
    <row r="1720" spans="2:18">
      <c r="B1720" s="832"/>
      <c r="C1720" s="833"/>
      <c r="D1720" s="833"/>
      <c r="E1720" s="833"/>
      <c r="F1720" s="1111"/>
      <c r="G1720" s="1111"/>
      <c r="H1720" s="834"/>
      <c r="I1720" s="832"/>
      <c r="J1720" s="1111"/>
      <c r="K1720" s="832"/>
      <c r="L1720" s="832"/>
      <c r="M1720" s="832"/>
      <c r="N1720" s="832"/>
      <c r="O1720" s="832"/>
      <c r="P1720" s="832"/>
      <c r="Q1720" s="832"/>
      <c r="R1720" s="832"/>
    </row>
    <row r="1721" spans="2:18">
      <c r="B1721" s="832"/>
      <c r="C1721" s="833"/>
      <c r="D1721" s="833"/>
      <c r="E1721" s="833"/>
      <c r="F1721" s="1111"/>
      <c r="G1721" s="1111"/>
      <c r="H1721" s="834"/>
      <c r="I1721" s="832"/>
      <c r="J1721" s="1111"/>
      <c r="K1721" s="832"/>
      <c r="L1721" s="832"/>
      <c r="M1721" s="832"/>
      <c r="N1721" s="832"/>
      <c r="O1721" s="832"/>
      <c r="P1721" s="832"/>
      <c r="Q1721" s="832"/>
      <c r="R1721" s="832"/>
    </row>
    <row r="1722" spans="2:18">
      <c r="B1722" s="832"/>
      <c r="C1722" s="833"/>
      <c r="D1722" s="833"/>
      <c r="E1722" s="833"/>
      <c r="F1722" s="1111"/>
      <c r="G1722" s="1111"/>
      <c r="H1722" s="834"/>
      <c r="I1722" s="832"/>
      <c r="J1722" s="1111"/>
      <c r="K1722" s="832"/>
      <c r="L1722" s="832"/>
      <c r="M1722" s="832"/>
      <c r="N1722" s="832"/>
      <c r="O1722" s="832"/>
      <c r="P1722" s="832"/>
      <c r="Q1722" s="832"/>
      <c r="R1722" s="832"/>
    </row>
    <row r="1723" spans="2:18">
      <c r="B1723" s="832"/>
      <c r="C1723" s="833"/>
      <c r="D1723" s="833"/>
      <c r="E1723" s="833"/>
      <c r="F1723" s="1111"/>
      <c r="G1723" s="1111"/>
      <c r="H1723" s="834"/>
      <c r="I1723" s="832"/>
      <c r="J1723" s="1111"/>
      <c r="K1723" s="832"/>
      <c r="L1723" s="832"/>
      <c r="M1723" s="832"/>
      <c r="N1723" s="832"/>
      <c r="O1723" s="832"/>
      <c r="P1723" s="832"/>
      <c r="Q1723" s="832"/>
      <c r="R1723" s="832"/>
    </row>
    <row r="1724" spans="2:18">
      <c r="B1724" s="832"/>
      <c r="C1724" s="833"/>
      <c r="D1724" s="833"/>
      <c r="E1724" s="833"/>
      <c r="F1724" s="1111"/>
      <c r="G1724" s="1111"/>
      <c r="H1724" s="834"/>
      <c r="I1724" s="832"/>
      <c r="J1724" s="1111"/>
      <c r="K1724" s="832"/>
      <c r="L1724" s="832"/>
      <c r="M1724" s="832"/>
      <c r="N1724" s="832"/>
      <c r="O1724" s="832"/>
      <c r="P1724" s="832"/>
      <c r="Q1724" s="832"/>
      <c r="R1724" s="832"/>
    </row>
    <row r="1725" spans="2:18">
      <c r="B1725" s="832"/>
      <c r="C1725" s="833"/>
      <c r="D1725" s="833"/>
      <c r="E1725" s="833"/>
      <c r="F1725" s="1111"/>
      <c r="G1725" s="1111"/>
      <c r="H1725" s="834"/>
      <c r="I1725" s="832"/>
      <c r="J1725" s="1111"/>
      <c r="K1725" s="832"/>
      <c r="L1725" s="832"/>
      <c r="M1725" s="832"/>
      <c r="N1725" s="832"/>
      <c r="O1725" s="832"/>
      <c r="P1725" s="832"/>
      <c r="Q1725" s="832"/>
      <c r="R1725" s="832"/>
    </row>
    <row r="1726" spans="2:18">
      <c r="B1726" s="832"/>
      <c r="C1726" s="833"/>
      <c r="D1726" s="833"/>
      <c r="E1726" s="833"/>
      <c r="F1726" s="1111"/>
      <c r="G1726" s="1111"/>
      <c r="H1726" s="834"/>
      <c r="I1726" s="832"/>
      <c r="J1726" s="1111"/>
      <c r="K1726" s="832"/>
      <c r="L1726" s="832"/>
      <c r="M1726" s="832"/>
      <c r="N1726" s="832"/>
      <c r="O1726" s="832"/>
      <c r="P1726" s="832"/>
      <c r="Q1726" s="832"/>
      <c r="R1726" s="832"/>
    </row>
    <row r="1727" spans="2:18">
      <c r="B1727" s="832"/>
      <c r="C1727" s="833"/>
      <c r="D1727" s="833"/>
      <c r="E1727" s="833"/>
      <c r="F1727" s="1111"/>
      <c r="G1727" s="1111"/>
      <c r="H1727" s="834"/>
      <c r="I1727" s="832"/>
      <c r="J1727" s="1111"/>
      <c r="K1727" s="832"/>
      <c r="L1727" s="832"/>
      <c r="M1727" s="832"/>
      <c r="N1727" s="832"/>
      <c r="O1727" s="832"/>
      <c r="P1727" s="832"/>
      <c r="Q1727" s="832"/>
      <c r="R1727" s="832"/>
    </row>
    <row r="1728" spans="2:18">
      <c r="B1728" s="832"/>
      <c r="C1728" s="833"/>
      <c r="D1728" s="833"/>
      <c r="E1728" s="833"/>
      <c r="F1728" s="1111"/>
      <c r="G1728" s="1111"/>
      <c r="H1728" s="834"/>
      <c r="I1728" s="832"/>
      <c r="J1728" s="1111"/>
      <c r="K1728" s="832"/>
      <c r="L1728" s="832"/>
      <c r="M1728" s="832"/>
      <c r="N1728" s="832"/>
      <c r="O1728" s="832"/>
      <c r="P1728" s="832"/>
      <c r="Q1728" s="832"/>
      <c r="R1728" s="832"/>
    </row>
    <row r="1729" spans="2:18">
      <c r="B1729" s="832"/>
      <c r="C1729" s="833"/>
      <c r="D1729" s="833"/>
      <c r="E1729" s="833"/>
      <c r="F1729" s="1111"/>
      <c r="G1729" s="1111"/>
      <c r="H1729" s="834"/>
      <c r="I1729" s="832"/>
      <c r="J1729" s="1111"/>
      <c r="K1729" s="832"/>
      <c r="L1729" s="832"/>
      <c r="M1729" s="832"/>
      <c r="N1729" s="832"/>
      <c r="O1729" s="832"/>
      <c r="P1729" s="832"/>
      <c r="Q1729" s="832"/>
      <c r="R1729" s="832"/>
    </row>
    <row r="1730" spans="2:18">
      <c r="B1730" s="832"/>
      <c r="C1730" s="833"/>
      <c r="D1730" s="833"/>
      <c r="E1730" s="833"/>
      <c r="F1730" s="1111"/>
      <c r="G1730" s="1111"/>
      <c r="H1730" s="834"/>
      <c r="I1730" s="832"/>
      <c r="J1730" s="1111"/>
      <c r="K1730" s="832"/>
      <c r="L1730" s="832"/>
      <c r="M1730" s="832"/>
      <c r="N1730" s="832"/>
      <c r="O1730" s="832"/>
      <c r="P1730" s="832"/>
      <c r="Q1730" s="832"/>
      <c r="R1730" s="832"/>
    </row>
    <row r="1731" spans="2:18">
      <c r="B1731" s="832"/>
      <c r="C1731" s="833"/>
      <c r="D1731" s="833"/>
      <c r="E1731" s="833"/>
      <c r="F1731" s="1111"/>
      <c r="G1731" s="1111"/>
      <c r="H1731" s="834"/>
      <c r="I1731" s="832"/>
      <c r="J1731" s="1111"/>
      <c r="K1731" s="832"/>
      <c r="L1731" s="832"/>
      <c r="M1731" s="832"/>
      <c r="N1731" s="832"/>
      <c r="O1731" s="832"/>
      <c r="P1731" s="832"/>
      <c r="Q1731" s="832"/>
      <c r="R1731" s="832"/>
    </row>
    <row r="1732" spans="2:18">
      <c r="B1732" s="832"/>
      <c r="C1732" s="833"/>
      <c r="D1732" s="833"/>
      <c r="E1732" s="833"/>
      <c r="F1732" s="1111"/>
      <c r="G1732" s="1111"/>
      <c r="H1732" s="834"/>
      <c r="I1732" s="832"/>
      <c r="J1732" s="1111"/>
      <c r="K1732" s="832"/>
      <c r="L1732" s="832"/>
      <c r="M1732" s="832"/>
      <c r="N1732" s="832"/>
      <c r="O1732" s="832"/>
      <c r="P1732" s="832"/>
      <c r="Q1732" s="832"/>
      <c r="R1732" s="832"/>
    </row>
    <row r="1733" spans="2:18">
      <c r="B1733" s="832"/>
      <c r="C1733" s="833"/>
      <c r="D1733" s="833"/>
      <c r="E1733" s="833"/>
      <c r="F1733" s="1111"/>
      <c r="G1733" s="1111"/>
      <c r="H1733" s="834"/>
      <c r="I1733" s="832"/>
      <c r="J1733" s="1111"/>
      <c r="K1733" s="832"/>
      <c r="L1733" s="832"/>
      <c r="M1733" s="832"/>
      <c r="N1733" s="832"/>
      <c r="O1733" s="832"/>
      <c r="P1733" s="832"/>
      <c r="Q1733" s="832"/>
      <c r="R1733" s="832"/>
    </row>
    <row r="1734" spans="2:18">
      <c r="B1734" s="832"/>
      <c r="C1734" s="833"/>
      <c r="D1734" s="833"/>
      <c r="E1734" s="833"/>
      <c r="F1734" s="1111"/>
      <c r="G1734" s="1111"/>
      <c r="H1734" s="834"/>
      <c r="I1734" s="832"/>
      <c r="J1734" s="1111"/>
      <c r="K1734" s="832"/>
      <c r="L1734" s="832"/>
      <c r="M1734" s="832"/>
      <c r="N1734" s="832"/>
      <c r="O1734" s="832"/>
      <c r="P1734" s="832"/>
      <c r="Q1734" s="832"/>
      <c r="R1734" s="832"/>
    </row>
    <row r="1735" spans="2:18">
      <c r="B1735" s="832"/>
      <c r="C1735" s="833"/>
      <c r="D1735" s="833"/>
      <c r="E1735" s="833"/>
      <c r="F1735" s="1111"/>
      <c r="G1735" s="1111"/>
      <c r="H1735" s="834"/>
      <c r="I1735" s="832"/>
      <c r="J1735" s="1111"/>
      <c r="K1735" s="832"/>
      <c r="L1735" s="832"/>
      <c r="M1735" s="832"/>
      <c r="N1735" s="832"/>
      <c r="O1735" s="832"/>
      <c r="P1735" s="832"/>
      <c r="Q1735" s="832"/>
      <c r="R1735" s="832"/>
    </row>
    <row r="1736" spans="2:18">
      <c r="B1736" s="832"/>
      <c r="C1736" s="833"/>
      <c r="D1736" s="833"/>
      <c r="E1736" s="833"/>
      <c r="F1736" s="1111"/>
      <c r="G1736" s="1111"/>
      <c r="H1736" s="834"/>
      <c r="I1736" s="832"/>
      <c r="J1736" s="1111"/>
      <c r="K1736" s="832"/>
      <c r="L1736" s="832"/>
      <c r="M1736" s="832"/>
      <c r="N1736" s="832"/>
      <c r="O1736" s="832"/>
      <c r="P1736" s="832"/>
      <c r="Q1736" s="832"/>
      <c r="R1736" s="832"/>
    </row>
    <row r="1737" spans="2:18">
      <c r="B1737" s="832"/>
      <c r="C1737" s="833"/>
      <c r="D1737" s="833"/>
      <c r="E1737" s="833"/>
      <c r="F1737" s="1111"/>
      <c r="G1737" s="1111"/>
      <c r="H1737" s="834"/>
      <c r="I1737" s="832"/>
      <c r="J1737" s="1111"/>
      <c r="K1737" s="832"/>
      <c r="L1737" s="832"/>
      <c r="M1737" s="832"/>
      <c r="N1737" s="832"/>
      <c r="O1737" s="832"/>
      <c r="P1737" s="832"/>
      <c r="Q1737" s="832"/>
      <c r="R1737" s="832"/>
    </row>
    <row r="1738" spans="2:18">
      <c r="B1738" s="832"/>
      <c r="C1738" s="833"/>
      <c r="D1738" s="833"/>
      <c r="E1738" s="833"/>
      <c r="F1738" s="1111"/>
      <c r="G1738" s="1111"/>
      <c r="H1738" s="834"/>
      <c r="I1738" s="832"/>
      <c r="J1738" s="1111"/>
      <c r="K1738" s="832"/>
      <c r="L1738" s="832"/>
      <c r="M1738" s="832"/>
      <c r="N1738" s="832"/>
      <c r="O1738" s="832"/>
      <c r="P1738" s="832"/>
      <c r="Q1738" s="832"/>
      <c r="R1738" s="832"/>
    </row>
    <row r="1739" spans="2:18">
      <c r="B1739" s="832"/>
      <c r="C1739" s="833"/>
      <c r="D1739" s="833"/>
      <c r="E1739" s="833"/>
      <c r="F1739" s="1111"/>
      <c r="G1739" s="1111"/>
      <c r="H1739" s="834"/>
      <c r="I1739" s="832"/>
      <c r="J1739" s="1111"/>
      <c r="K1739" s="832"/>
      <c r="L1739" s="832"/>
      <c r="M1739" s="832"/>
      <c r="N1739" s="832"/>
      <c r="O1739" s="832"/>
      <c r="P1739" s="832"/>
      <c r="Q1739" s="832"/>
      <c r="R1739" s="832"/>
    </row>
    <row r="1740" spans="2:18">
      <c r="B1740" s="832"/>
      <c r="C1740" s="833"/>
      <c r="D1740" s="833"/>
      <c r="E1740" s="833"/>
      <c r="F1740" s="1111"/>
      <c r="G1740" s="1111"/>
      <c r="H1740" s="834"/>
      <c r="I1740" s="832"/>
      <c r="J1740" s="1111"/>
      <c r="K1740" s="832"/>
      <c r="L1740" s="832"/>
      <c r="M1740" s="832"/>
      <c r="N1740" s="832"/>
      <c r="O1740" s="832"/>
      <c r="P1740" s="832"/>
      <c r="Q1740" s="832"/>
      <c r="R1740" s="832"/>
    </row>
    <row r="1741" spans="2:18">
      <c r="B1741" s="832"/>
      <c r="C1741" s="833"/>
      <c r="D1741" s="833"/>
      <c r="E1741" s="833"/>
      <c r="F1741" s="1111"/>
      <c r="G1741" s="1111"/>
      <c r="H1741" s="834"/>
      <c r="I1741" s="832"/>
      <c r="J1741" s="1111"/>
      <c r="K1741" s="832"/>
      <c r="L1741" s="832"/>
      <c r="M1741" s="832"/>
      <c r="N1741" s="832"/>
      <c r="O1741" s="832"/>
      <c r="P1741" s="832"/>
      <c r="Q1741" s="832"/>
      <c r="R1741" s="832"/>
    </row>
    <row r="1742" spans="2:18">
      <c r="B1742" s="832"/>
      <c r="C1742" s="833"/>
      <c r="D1742" s="833"/>
      <c r="E1742" s="833"/>
      <c r="F1742" s="1111"/>
      <c r="G1742" s="1111"/>
      <c r="H1742" s="834"/>
      <c r="I1742" s="832"/>
      <c r="J1742" s="1111"/>
      <c r="K1742" s="832"/>
      <c r="L1742" s="832"/>
      <c r="M1742" s="832"/>
      <c r="N1742" s="832"/>
      <c r="O1742" s="832"/>
      <c r="P1742" s="832"/>
      <c r="Q1742" s="832"/>
      <c r="R1742" s="832"/>
    </row>
    <row r="1743" spans="2:18">
      <c r="B1743" s="832"/>
      <c r="C1743" s="833"/>
      <c r="D1743" s="833"/>
      <c r="E1743" s="833"/>
      <c r="F1743" s="1111"/>
      <c r="G1743" s="1111"/>
      <c r="H1743" s="834"/>
      <c r="I1743" s="832"/>
      <c r="J1743" s="1111"/>
      <c r="K1743" s="832"/>
      <c r="L1743" s="832"/>
      <c r="M1743" s="832"/>
      <c r="N1743" s="832"/>
      <c r="O1743" s="832"/>
      <c r="P1743" s="832"/>
      <c r="Q1743" s="832"/>
      <c r="R1743" s="832"/>
    </row>
    <row r="1744" spans="2:18">
      <c r="B1744" s="832"/>
      <c r="C1744" s="833"/>
      <c r="D1744" s="833"/>
      <c r="E1744" s="833"/>
      <c r="F1744" s="1111"/>
      <c r="G1744" s="1111"/>
      <c r="H1744" s="834"/>
      <c r="I1744" s="832"/>
      <c r="J1744" s="1111"/>
      <c r="K1744" s="832"/>
      <c r="L1744" s="832"/>
      <c r="M1744" s="832"/>
      <c r="N1744" s="832"/>
      <c r="O1744" s="832"/>
      <c r="P1744" s="832"/>
      <c r="Q1744" s="832"/>
      <c r="R1744" s="832"/>
    </row>
    <row r="1745" spans="2:18">
      <c r="B1745" s="832"/>
      <c r="C1745" s="833"/>
      <c r="D1745" s="833"/>
      <c r="E1745" s="833"/>
      <c r="F1745" s="1111"/>
      <c r="G1745" s="1111"/>
      <c r="H1745" s="834"/>
      <c r="I1745" s="832"/>
      <c r="J1745" s="1111"/>
      <c r="K1745" s="832"/>
      <c r="L1745" s="832"/>
      <c r="M1745" s="832"/>
      <c r="N1745" s="832"/>
      <c r="O1745" s="832"/>
      <c r="P1745" s="832"/>
      <c r="Q1745" s="832"/>
      <c r="R1745" s="832"/>
    </row>
    <row r="1746" spans="2:18">
      <c r="B1746" s="832"/>
      <c r="C1746" s="833"/>
      <c r="D1746" s="833"/>
      <c r="E1746" s="833"/>
      <c r="F1746" s="1111"/>
      <c r="G1746" s="1111"/>
      <c r="H1746" s="834"/>
      <c r="I1746" s="832"/>
      <c r="J1746" s="1111"/>
      <c r="K1746" s="832"/>
      <c r="L1746" s="832"/>
      <c r="M1746" s="832"/>
      <c r="N1746" s="832"/>
      <c r="O1746" s="832"/>
      <c r="P1746" s="832"/>
      <c r="Q1746" s="832"/>
      <c r="R1746" s="832"/>
    </row>
    <row r="1747" spans="2:18">
      <c r="B1747" s="832"/>
      <c r="C1747" s="833"/>
      <c r="D1747" s="833"/>
      <c r="E1747" s="833"/>
      <c r="F1747" s="1111"/>
      <c r="G1747" s="1111"/>
      <c r="H1747" s="834"/>
      <c r="I1747" s="832"/>
      <c r="J1747" s="1111"/>
      <c r="K1747" s="832"/>
      <c r="L1747" s="832"/>
      <c r="M1747" s="832"/>
      <c r="N1747" s="832"/>
      <c r="O1747" s="832"/>
      <c r="P1747" s="832"/>
      <c r="Q1747" s="832"/>
      <c r="R1747" s="832"/>
    </row>
    <row r="1748" spans="2:18">
      <c r="B1748" s="832"/>
      <c r="C1748" s="833"/>
      <c r="D1748" s="833"/>
      <c r="E1748" s="833"/>
      <c r="F1748" s="1111"/>
      <c r="G1748" s="1111"/>
      <c r="H1748" s="834"/>
      <c r="I1748" s="832"/>
      <c r="J1748" s="1111"/>
      <c r="K1748" s="832"/>
      <c r="L1748" s="832"/>
      <c r="M1748" s="832"/>
      <c r="N1748" s="832"/>
      <c r="O1748" s="832"/>
      <c r="P1748" s="832"/>
      <c r="Q1748" s="832"/>
      <c r="R1748" s="832"/>
    </row>
    <row r="1749" spans="2:18">
      <c r="B1749" s="832"/>
      <c r="C1749" s="833"/>
      <c r="D1749" s="833"/>
      <c r="E1749" s="833"/>
      <c r="F1749" s="1111"/>
      <c r="G1749" s="1111"/>
      <c r="H1749" s="834"/>
      <c r="I1749" s="832"/>
      <c r="J1749" s="1111"/>
      <c r="K1749" s="832"/>
      <c r="L1749" s="832"/>
      <c r="M1749" s="832"/>
      <c r="N1749" s="832"/>
      <c r="O1749" s="832"/>
      <c r="P1749" s="832"/>
      <c r="Q1749" s="832"/>
      <c r="R1749" s="832"/>
    </row>
    <row r="1750" spans="2:18">
      <c r="B1750" s="832"/>
      <c r="C1750" s="833"/>
      <c r="D1750" s="833"/>
      <c r="E1750" s="833"/>
      <c r="F1750" s="1111"/>
      <c r="G1750" s="1111"/>
      <c r="H1750" s="834"/>
      <c r="I1750" s="832"/>
      <c r="J1750" s="1111"/>
      <c r="K1750" s="832"/>
      <c r="L1750" s="832"/>
      <c r="M1750" s="832"/>
      <c r="N1750" s="832"/>
      <c r="O1750" s="832"/>
      <c r="P1750" s="832"/>
      <c r="Q1750" s="832"/>
      <c r="R1750" s="832"/>
    </row>
    <row r="1751" spans="2:18">
      <c r="B1751" s="832"/>
      <c r="C1751" s="833"/>
      <c r="D1751" s="833"/>
      <c r="E1751" s="833"/>
      <c r="F1751" s="1111"/>
      <c r="G1751" s="1111"/>
      <c r="H1751" s="834"/>
      <c r="I1751" s="832"/>
      <c r="J1751" s="1111"/>
      <c r="K1751" s="832"/>
      <c r="L1751" s="832"/>
      <c r="M1751" s="832"/>
      <c r="N1751" s="832"/>
      <c r="O1751" s="832"/>
      <c r="P1751" s="832"/>
      <c r="Q1751" s="832"/>
      <c r="R1751" s="832"/>
    </row>
    <row r="1752" spans="2:18">
      <c r="B1752" s="832"/>
      <c r="C1752" s="833"/>
      <c r="D1752" s="833"/>
      <c r="E1752" s="833"/>
      <c r="F1752" s="1111"/>
      <c r="G1752" s="1111"/>
      <c r="H1752" s="834"/>
      <c r="I1752" s="832"/>
      <c r="J1752" s="1111"/>
      <c r="K1752" s="832"/>
      <c r="L1752" s="832"/>
      <c r="M1752" s="832"/>
      <c r="N1752" s="832"/>
      <c r="O1752" s="832"/>
      <c r="P1752" s="832"/>
      <c r="Q1752" s="832"/>
      <c r="R1752" s="832"/>
    </row>
    <row r="1753" spans="2:18">
      <c r="B1753" s="832"/>
      <c r="C1753" s="833"/>
      <c r="D1753" s="833"/>
      <c r="E1753" s="833"/>
      <c r="F1753" s="1111"/>
      <c r="G1753" s="1111"/>
      <c r="H1753" s="834"/>
      <c r="I1753" s="832"/>
      <c r="J1753" s="1111"/>
      <c r="K1753" s="832"/>
      <c r="L1753" s="832"/>
      <c r="M1753" s="832"/>
      <c r="N1753" s="832"/>
      <c r="O1753" s="832"/>
      <c r="P1753" s="832"/>
      <c r="Q1753" s="832"/>
      <c r="R1753" s="832"/>
    </row>
    <row r="1754" spans="2:18">
      <c r="B1754" s="832"/>
      <c r="C1754" s="833"/>
      <c r="D1754" s="833"/>
      <c r="E1754" s="833"/>
      <c r="F1754" s="1111"/>
      <c r="G1754" s="1111"/>
      <c r="H1754" s="834"/>
      <c r="I1754" s="832"/>
      <c r="J1754" s="1111"/>
      <c r="K1754" s="832"/>
      <c r="L1754" s="832"/>
      <c r="M1754" s="832"/>
      <c r="N1754" s="832"/>
      <c r="O1754" s="832"/>
      <c r="P1754" s="832"/>
      <c r="Q1754" s="832"/>
      <c r="R1754" s="832"/>
    </row>
    <row r="1755" spans="2:18">
      <c r="B1755" s="832"/>
      <c r="C1755" s="833"/>
      <c r="D1755" s="833"/>
      <c r="E1755" s="833"/>
      <c r="F1755" s="1111"/>
      <c r="G1755" s="1111"/>
      <c r="H1755" s="834"/>
      <c r="I1755" s="832"/>
      <c r="J1755" s="1111"/>
      <c r="K1755" s="832"/>
      <c r="L1755" s="832"/>
      <c r="M1755" s="832"/>
      <c r="N1755" s="832"/>
      <c r="O1755" s="832"/>
      <c r="P1755" s="832"/>
      <c r="Q1755" s="832"/>
      <c r="R1755" s="832"/>
    </row>
    <row r="1756" spans="2:18">
      <c r="B1756" s="832"/>
      <c r="C1756" s="833"/>
      <c r="D1756" s="833"/>
      <c r="E1756" s="833"/>
      <c r="F1756" s="1111"/>
      <c r="G1756" s="1111"/>
      <c r="H1756" s="834"/>
      <c r="I1756" s="832"/>
      <c r="J1756" s="1111"/>
      <c r="K1756" s="832"/>
      <c r="L1756" s="832"/>
      <c r="M1756" s="832"/>
      <c r="N1756" s="832"/>
      <c r="O1756" s="832"/>
      <c r="P1756" s="832"/>
      <c r="Q1756" s="832"/>
      <c r="R1756" s="832"/>
    </row>
    <row r="1757" spans="2:18">
      <c r="B1757" s="832"/>
      <c r="C1757" s="833"/>
      <c r="D1757" s="833"/>
      <c r="E1757" s="833"/>
      <c r="F1757" s="1111"/>
      <c r="G1757" s="1111"/>
      <c r="H1757" s="834"/>
      <c r="I1757" s="832"/>
      <c r="J1757" s="1111"/>
      <c r="K1757" s="832"/>
      <c r="L1757" s="832"/>
      <c r="M1757" s="832"/>
      <c r="N1757" s="832"/>
      <c r="O1757" s="832"/>
      <c r="P1757" s="832"/>
      <c r="Q1757" s="832"/>
      <c r="R1757" s="832"/>
    </row>
    <row r="1758" spans="2:18">
      <c r="B1758" s="832"/>
      <c r="C1758" s="833"/>
      <c r="D1758" s="833"/>
      <c r="E1758" s="833"/>
      <c r="F1758" s="1111"/>
      <c r="G1758" s="1111"/>
      <c r="H1758" s="834"/>
      <c r="I1758" s="832"/>
      <c r="J1758" s="1111"/>
      <c r="K1758" s="832"/>
      <c r="L1758" s="832"/>
      <c r="M1758" s="832"/>
      <c r="N1758" s="832"/>
      <c r="O1758" s="832"/>
      <c r="P1758" s="832"/>
      <c r="Q1758" s="832"/>
      <c r="R1758" s="832"/>
    </row>
    <row r="1759" spans="2:18">
      <c r="B1759" s="832"/>
      <c r="C1759" s="833"/>
      <c r="D1759" s="833"/>
      <c r="E1759" s="833"/>
      <c r="F1759" s="1111"/>
      <c r="G1759" s="1111"/>
      <c r="H1759" s="834"/>
      <c r="I1759" s="832"/>
      <c r="J1759" s="1111"/>
      <c r="K1759" s="832"/>
      <c r="L1759" s="832"/>
      <c r="M1759" s="832"/>
      <c r="N1759" s="832"/>
      <c r="O1759" s="832"/>
      <c r="P1759" s="832"/>
      <c r="Q1759" s="832"/>
      <c r="R1759" s="832"/>
    </row>
    <row r="1760" spans="2:18">
      <c r="B1760" s="832"/>
      <c r="C1760" s="833"/>
      <c r="D1760" s="833"/>
      <c r="E1760" s="833"/>
      <c r="F1760" s="1111"/>
      <c r="G1760" s="1111"/>
      <c r="H1760" s="834"/>
      <c r="I1760" s="832"/>
      <c r="J1760" s="1111"/>
      <c r="K1760" s="832"/>
      <c r="L1760" s="832"/>
      <c r="M1760" s="832"/>
      <c r="N1760" s="832"/>
      <c r="O1760" s="832"/>
      <c r="P1760" s="832"/>
      <c r="Q1760" s="832"/>
      <c r="R1760" s="832"/>
    </row>
    <row r="1761" spans="2:18">
      <c r="B1761" s="832"/>
      <c r="C1761" s="833"/>
      <c r="D1761" s="833"/>
      <c r="E1761" s="833"/>
      <c r="F1761" s="1111"/>
      <c r="G1761" s="1111"/>
      <c r="H1761" s="834"/>
      <c r="I1761" s="832"/>
      <c r="J1761" s="1111"/>
      <c r="K1761" s="832"/>
      <c r="L1761" s="832"/>
      <c r="M1761" s="832"/>
      <c r="N1761" s="832"/>
      <c r="O1761" s="832"/>
      <c r="P1761" s="832"/>
      <c r="Q1761" s="832"/>
      <c r="R1761" s="832"/>
    </row>
    <row r="1762" spans="2:18">
      <c r="B1762" s="832"/>
      <c r="C1762" s="833"/>
      <c r="D1762" s="833"/>
      <c r="E1762" s="833"/>
      <c r="F1762" s="1111"/>
      <c r="G1762" s="1111"/>
      <c r="H1762" s="834"/>
      <c r="I1762" s="832"/>
      <c r="J1762" s="1111"/>
      <c r="K1762" s="832"/>
      <c r="L1762" s="832"/>
      <c r="M1762" s="832"/>
      <c r="N1762" s="832"/>
      <c r="O1762" s="832"/>
      <c r="P1762" s="832"/>
      <c r="Q1762" s="832"/>
      <c r="R1762" s="832"/>
    </row>
    <row r="1763" spans="2:18">
      <c r="B1763" s="832"/>
      <c r="C1763" s="833"/>
      <c r="D1763" s="833"/>
      <c r="E1763" s="833"/>
      <c r="F1763" s="1111"/>
      <c r="G1763" s="1111"/>
      <c r="H1763" s="834"/>
      <c r="I1763" s="832"/>
      <c r="J1763" s="1111"/>
      <c r="K1763" s="832"/>
      <c r="L1763" s="832"/>
      <c r="M1763" s="832"/>
      <c r="N1763" s="832"/>
      <c r="O1763" s="832"/>
      <c r="P1763" s="832"/>
      <c r="Q1763" s="832"/>
      <c r="R1763" s="832"/>
    </row>
    <row r="1764" spans="2:18">
      <c r="B1764" s="832"/>
      <c r="C1764" s="833"/>
      <c r="D1764" s="833"/>
      <c r="E1764" s="833"/>
      <c r="F1764" s="1111"/>
      <c r="G1764" s="1111"/>
      <c r="H1764" s="834"/>
      <c r="I1764" s="832"/>
      <c r="J1764" s="1111"/>
      <c r="K1764" s="832"/>
      <c r="L1764" s="832"/>
      <c r="M1764" s="832"/>
      <c r="N1764" s="832"/>
      <c r="O1764" s="832"/>
      <c r="P1764" s="832"/>
      <c r="Q1764" s="832"/>
      <c r="R1764" s="832"/>
    </row>
    <row r="1765" spans="2:18">
      <c r="B1765" s="832"/>
      <c r="C1765" s="833"/>
      <c r="D1765" s="833"/>
      <c r="E1765" s="833"/>
      <c r="F1765" s="1111"/>
      <c r="G1765" s="1111"/>
      <c r="H1765" s="834"/>
      <c r="I1765" s="832"/>
      <c r="J1765" s="1111"/>
      <c r="K1765" s="832"/>
      <c r="L1765" s="832"/>
      <c r="M1765" s="832"/>
      <c r="N1765" s="832"/>
      <c r="O1765" s="832"/>
      <c r="P1765" s="832"/>
      <c r="Q1765" s="832"/>
      <c r="R1765" s="832"/>
    </row>
    <row r="1766" spans="2:18">
      <c r="B1766" s="832"/>
      <c r="C1766" s="833"/>
      <c r="D1766" s="833"/>
      <c r="E1766" s="833"/>
      <c r="F1766" s="1111"/>
      <c r="G1766" s="1111"/>
      <c r="H1766" s="834"/>
      <c r="I1766" s="832"/>
      <c r="J1766" s="1111"/>
      <c r="K1766" s="832"/>
      <c r="L1766" s="832"/>
      <c r="M1766" s="832"/>
      <c r="N1766" s="832"/>
      <c r="O1766" s="832"/>
      <c r="P1766" s="832"/>
      <c r="Q1766" s="832"/>
      <c r="R1766" s="832"/>
    </row>
    <row r="1767" spans="2:18">
      <c r="B1767" s="832"/>
      <c r="C1767" s="833"/>
      <c r="D1767" s="833"/>
      <c r="E1767" s="833"/>
      <c r="F1767" s="1111"/>
      <c r="G1767" s="1111"/>
      <c r="H1767" s="834"/>
      <c r="I1767" s="832"/>
      <c r="J1767" s="1111"/>
      <c r="K1767" s="832"/>
      <c r="L1767" s="832"/>
      <c r="M1767" s="832"/>
      <c r="N1767" s="832"/>
      <c r="O1767" s="832"/>
      <c r="P1767" s="832"/>
      <c r="Q1767" s="832"/>
      <c r="R1767" s="832"/>
    </row>
    <row r="1768" spans="2:18">
      <c r="B1768" s="832"/>
      <c r="C1768" s="833"/>
      <c r="D1768" s="833"/>
      <c r="E1768" s="833"/>
      <c r="F1768" s="1111"/>
      <c r="G1768" s="1111"/>
      <c r="H1768" s="834"/>
      <c r="I1768" s="832"/>
      <c r="J1768" s="1111"/>
      <c r="K1768" s="832"/>
      <c r="L1768" s="832"/>
      <c r="M1768" s="832"/>
      <c r="N1768" s="832"/>
      <c r="O1768" s="832"/>
      <c r="P1768" s="832"/>
      <c r="Q1768" s="832"/>
      <c r="R1768" s="832"/>
    </row>
    <row r="1769" spans="2:18">
      <c r="B1769" s="832"/>
      <c r="C1769" s="833"/>
      <c r="D1769" s="833"/>
      <c r="E1769" s="833"/>
      <c r="F1769" s="1111"/>
      <c r="G1769" s="1111"/>
      <c r="H1769" s="834"/>
      <c r="I1769" s="832"/>
      <c r="J1769" s="1111"/>
      <c r="K1769" s="832"/>
      <c r="L1769" s="832"/>
      <c r="M1769" s="832"/>
      <c r="N1769" s="832"/>
      <c r="O1769" s="832"/>
      <c r="P1769" s="832"/>
      <c r="Q1769" s="832"/>
      <c r="R1769" s="832"/>
    </row>
    <row r="1770" spans="2:18">
      <c r="B1770" s="832"/>
      <c r="C1770" s="833"/>
      <c r="D1770" s="833"/>
      <c r="E1770" s="833"/>
      <c r="F1770" s="1111"/>
      <c r="G1770" s="1111"/>
      <c r="H1770" s="834"/>
      <c r="I1770" s="832"/>
      <c r="J1770" s="1111"/>
      <c r="K1770" s="832"/>
      <c r="L1770" s="832"/>
      <c r="M1770" s="832"/>
      <c r="N1770" s="832"/>
      <c r="O1770" s="832"/>
      <c r="P1770" s="832"/>
      <c r="Q1770" s="832"/>
      <c r="R1770" s="832"/>
    </row>
    <row r="1771" spans="2:18">
      <c r="B1771" s="832"/>
      <c r="C1771" s="833"/>
      <c r="D1771" s="833"/>
      <c r="E1771" s="833"/>
      <c r="F1771" s="1111"/>
      <c r="G1771" s="1111"/>
      <c r="H1771" s="834"/>
      <c r="I1771" s="832"/>
      <c r="J1771" s="1111"/>
      <c r="K1771" s="832"/>
      <c r="L1771" s="832"/>
      <c r="M1771" s="832"/>
      <c r="N1771" s="832"/>
      <c r="O1771" s="832"/>
      <c r="P1771" s="832"/>
      <c r="Q1771" s="832"/>
      <c r="R1771" s="832"/>
    </row>
    <row r="1772" spans="2:18">
      <c r="B1772" s="832"/>
      <c r="C1772" s="833"/>
      <c r="D1772" s="833"/>
      <c r="E1772" s="833"/>
      <c r="F1772" s="1111"/>
      <c r="G1772" s="1111"/>
      <c r="H1772" s="834"/>
      <c r="I1772" s="832"/>
      <c r="J1772" s="1111"/>
      <c r="K1772" s="832"/>
      <c r="L1772" s="832"/>
      <c r="M1772" s="832"/>
      <c r="N1772" s="832"/>
      <c r="O1772" s="832"/>
      <c r="P1772" s="832"/>
      <c r="Q1772" s="832"/>
      <c r="R1772" s="832"/>
    </row>
    <row r="1773" spans="2:18">
      <c r="B1773" s="832"/>
      <c r="C1773" s="833"/>
      <c r="D1773" s="833"/>
      <c r="E1773" s="833"/>
      <c r="F1773" s="1111"/>
      <c r="G1773" s="1111"/>
      <c r="H1773" s="834"/>
      <c r="I1773" s="832"/>
      <c r="J1773" s="1111"/>
      <c r="K1773" s="832"/>
      <c r="L1773" s="832"/>
      <c r="M1773" s="832"/>
      <c r="N1773" s="832"/>
      <c r="O1773" s="832"/>
      <c r="P1773" s="832"/>
      <c r="Q1773" s="832"/>
      <c r="R1773" s="832"/>
    </row>
    <row r="1774" spans="2:18">
      <c r="B1774" s="832"/>
      <c r="C1774" s="833"/>
      <c r="D1774" s="833"/>
      <c r="E1774" s="833"/>
      <c r="F1774" s="1111"/>
      <c r="G1774" s="1111"/>
      <c r="H1774" s="834"/>
      <c r="I1774" s="832"/>
      <c r="J1774" s="1111"/>
      <c r="K1774" s="832"/>
      <c r="L1774" s="832"/>
      <c r="M1774" s="832"/>
      <c r="N1774" s="832"/>
      <c r="O1774" s="832"/>
      <c r="P1774" s="832"/>
      <c r="Q1774" s="832"/>
      <c r="R1774" s="832"/>
    </row>
    <row r="1775" spans="2:18">
      <c r="B1775" s="832"/>
      <c r="C1775" s="833"/>
      <c r="D1775" s="833"/>
      <c r="E1775" s="833"/>
      <c r="F1775" s="1111"/>
      <c r="G1775" s="1111"/>
      <c r="H1775" s="834"/>
      <c r="I1775" s="832"/>
      <c r="J1775" s="1111"/>
      <c r="K1775" s="832"/>
      <c r="L1775" s="832"/>
      <c r="M1775" s="832"/>
      <c r="N1775" s="832"/>
      <c r="O1775" s="832"/>
      <c r="P1775" s="832"/>
      <c r="Q1775" s="832"/>
      <c r="R1775" s="832"/>
    </row>
    <row r="1776" spans="2:18">
      <c r="B1776" s="832"/>
      <c r="C1776" s="833"/>
      <c r="D1776" s="833"/>
      <c r="E1776" s="833"/>
      <c r="F1776" s="1111"/>
      <c r="G1776" s="1111"/>
      <c r="H1776" s="834"/>
      <c r="I1776" s="832"/>
      <c r="J1776" s="1111"/>
      <c r="K1776" s="832"/>
      <c r="L1776" s="832"/>
      <c r="M1776" s="832"/>
      <c r="N1776" s="832"/>
      <c r="O1776" s="832"/>
      <c r="P1776" s="832"/>
      <c r="Q1776" s="832"/>
      <c r="R1776" s="832"/>
    </row>
    <row r="1777" spans="2:18">
      <c r="B1777" s="832"/>
      <c r="C1777" s="833"/>
      <c r="D1777" s="833"/>
      <c r="E1777" s="833"/>
      <c r="F1777" s="1111"/>
      <c r="G1777" s="1111"/>
      <c r="H1777" s="834"/>
      <c r="I1777" s="832"/>
      <c r="J1777" s="1111"/>
      <c r="K1777" s="832"/>
      <c r="L1777" s="832"/>
      <c r="M1777" s="832"/>
      <c r="N1777" s="832"/>
      <c r="O1777" s="832"/>
      <c r="P1777" s="832"/>
      <c r="Q1777" s="832"/>
      <c r="R1777" s="832"/>
    </row>
    <row r="1778" spans="2:18">
      <c r="B1778" s="832"/>
      <c r="C1778" s="833"/>
      <c r="D1778" s="833"/>
      <c r="E1778" s="833"/>
      <c r="F1778" s="1111"/>
      <c r="G1778" s="1111"/>
      <c r="H1778" s="834"/>
      <c r="I1778" s="832"/>
      <c r="J1778" s="1111"/>
      <c r="K1778" s="832"/>
      <c r="L1778" s="832"/>
      <c r="M1778" s="832"/>
      <c r="N1778" s="832"/>
      <c r="O1778" s="832"/>
      <c r="P1778" s="832"/>
      <c r="Q1778" s="832"/>
      <c r="R1778" s="832"/>
    </row>
    <row r="1779" spans="2:18">
      <c r="B1779" s="832"/>
      <c r="C1779" s="833"/>
      <c r="D1779" s="833"/>
      <c r="E1779" s="833"/>
      <c r="F1779" s="1111"/>
      <c r="G1779" s="1111"/>
      <c r="H1779" s="834"/>
      <c r="I1779" s="832"/>
      <c r="J1779" s="1111"/>
      <c r="K1779" s="832"/>
      <c r="L1779" s="832"/>
      <c r="M1779" s="832"/>
      <c r="N1779" s="832"/>
      <c r="O1779" s="832"/>
      <c r="P1779" s="832"/>
      <c r="Q1779" s="832"/>
      <c r="R1779" s="832"/>
    </row>
    <row r="1780" spans="2:18">
      <c r="B1780" s="832"/>
      <c r="C1780" s="833"/>
      <c r="D1780" s="833"/>
      <c r="E1780" s="833"/>
      <c r="F1780" s="1111"/>
      <c r="G1780" s="1111"/>
      <c r="H1780" s="834"/>
      <c r="I1780" s="832"/>
      <c r="J1780" s="1111"/>
      <c r="K1780" s="832"/>
      <c r="L1780" s="832"/>
      <c r="M1780" s="832"/>
      <c r="N1780" s="832"/>
      <c r="O1780" s="832"/>
      <c r="P1780" s="832"/>
      <c r="Q1780" s="832"/>
      <c r="R1780" s="832"/>
    </row>
    <row r="1781" spans="2:18">
      <c r="B1781" s="832"/>
      <c r="C1781" s="833"/>
      <c r="D1781" s="833"/>
      <c r="E1781" s="833"/>
      <c r="F1781" s="1111"/>
      <c r="G1781" s="1111"/>
      <c r="H1781" s="834"/>
      <c r="I1781" s="832"/>
      <c r="J1781" s="1111"/>
      <c r="K1781" s="832"/>
      <c r="L1781" s="832"/>
      <c r="M1781" s="832"/>
      <c r="N1781" s="832"/>
      <c r="O1781" s="832"/>
      <c r="P1781" s="832"/>
      <c r="Q1781" s="832"/>
      <c r="R1781" s="832"/>
    </row>
    <row r="1782" spans="2:18">
      <c r="B1782" s="832"/>
      <c r="C1782" s="833"/>
      <c r="D1782" s="833"/>
      <c r="E1782" s="833"/>
      <c r="F1782" s="1111"/>
      <c r="G1782" s="1111"/>
      <c r="H1782" s="834"/>
      <c r="I1782" s="832"/>
      <c r="J1782" s="1111"/>
      <c r="K1782" s="832"/>
      <c r="L1782" s="832"/>
      <c r="M1782" s="832"/>
      <c r="N1782" s="832"/>
      <c r="O1782" s="832"/>
      <c r="P1782" s="832"/>
      <c r="Q1782" s="832"/>
      <c r="R1782" s="832"/>
    </row>
    <row r="1783" spans="2:18">
      <c r="B1783" s="832"/>
      <c r="C1783" s="833"/>
      <c r="D1783" s="833"/>
      <c r="E1783" s="833"/>
      <c r="F1783" s="1111"/>
      <c r="G1783" s="1111"/>
      <c r="H1783" s="834"/>
      <c r="I1783" s="832"/>
      <c r="J1783" s="1111"/>
      <c r="K1783" s="832"/>
      <c r="L1783" s="832"/>
      <c r="M1783" s="832"/>
      <c r="N1783" s="832"/>
      <c r="O1783" s="832"/>
      <c r="P1783" s="832"/>
      <c r="Q1783" s="832"/>
      <c r="R1783" s="832"/>
    </row>
    <row r="1784" spans="2:18">
      <c r="B1784" s="832"/>
      <c r="C1784" s="833"/>
      <c r="D1784" s="833"/>
      <c r="E1784" s="833"/>
      <c r="F1784" s="1111"/>
      <c r="G1784" s="1111"/>
      <c r="H1784" s="834"/>
      <c r="I1784" s="832"/>
      <c r="J1784" s="1111"/>
      <c r="K1784" s="832"/>
      <c r="L1784" s="832"/>
      <c r="M1784" s="832"/>
      <c r="N1784" s="832"/>
      <c r="O1784" s="832"/>
      <c r="P1784" s="832"/>
      <c r="Q1784" s="832"/>
      <c r="R1784" s="832"/>
    </row>
    <row r="1785" spans="2:18">
      <c r="B1785" s="832"/>
      <c r="C1785" s="833"/>
      <c r="D1785" s="833"/>
      <c r="E1785" s="833"/>
      <c r="F1785" s="1111"/>
      <c r="G1785" s="1111"/>
      <c r="H1785" s="834"/>
      <c r="I1785" s="832"/>
      <c r="J1785" s="1111"/>
      <c r="K1785" s="832"/>
      <c r="L1785" s="832"/>
      <c r="M1785" s="832"/>
      <c r="N1785" s="832"/>
      <c r="O1785" s="832"/>
      <c r="P1785" s="832"/>
      <c r="Q1785" s="832"/>
      <c r="R1785" s="832"/>
    </row>
    <row r="1786" spans="2:18">
      <c r="B1786" s="832"/>
      <c r="C1786" s="833"/>
      <c r="D1786" s="833"/>
      <c r="E1786" s="833"/>
      <c r="F1786" s="1111"/>
      <c r="G1786" s="1111"/>
      <c r="H1786" s="834"/>
      <c r="I1786" s="832"/>
      <c r="J1786" s="1111"/>
      <c r="K1786" s="832"/>
      <c r="L1786" s="832"/>
      <c r="M1786" s="832"/>
      <c r="N1786" s="832"/>
      <c r="O1786" s="832"/>
      <c r="P1786" s="832"/>
      <c r="Q1786" s="832"/>
      <c r="R1786" s="832"/>
    </row>
    <row r="1787" spans="2:18">
      <c r="B1787" s="832"/>
      <c r="C1787" s="833"/>
      <c r="D1787" s="833"/>
      <c r="E1787" s="833"/>
      <c r="F1787" s="1111"/>
      <c r="G1787" s="1111"/>
      <c r="H1787" s="834"/>
      <c r="I1787" s="832"/>
      <c r="J1787" s="1111"/>
      <c r="K1787" s="832"/>
      <c r="L1787" s="832"/>
      <c r="M1787" s="832"/>
      <c r="N1787" s="832"/>
      <c r="O1787" s="832"/>
      <c r="P1787" s="832"/>
      <c r="Q1787" s="832"/>
      <c r="R1787" s="832"/>
    </row>
    <row r="1788" spans="2:18">
      <c r="B1788" s="832"/>
      <c r="C1788" s="833"/>
      <c r="D1788" s="833"/>
      <c r="E1788" s="833"/>
      <c r="F1788" s="1111"/>
      <c r="G1788" s="1111"/>
      <c r="H1788" s="834"/>
      <c r="I1788" s="832"/>
      <c r="J1788" s="1111"/>
      <c r="K1788" s="832"/>
      <c r="L1788" s="832"/>
      <c r="M1788" s="832"/>
      <c r="N1788" s="832"/>
      <c r="O1788" s="832"/>
      <c r="P1788" s="832"/>
      <c r="Q1788" s="832"/>
      <c r="R1788" s="832"/>
    </row>
    <row r="1789" spans="2:18">
      <c r="B1789" s="832"/>
      <c r="C1789" s="833"/>
      <c r="D1789" s="833"/>
      <c r="E1789" s="833"/>
      <c r="F1789" s="1111"/>
      <c r="G1789" s="1111"/>
      <c r="H1789" s="834"/>
      <c r="I1789" s="832"/>
      <c r="J1789" s="1111"/>
      <c r="K1789" s="832"/>
      <c r="L1789" s="832"/>
      <c r="M1789" s="832"/>
      <c r="N1789" s="832"/>
      <c r="O1789" s="832"/>
      <c r="P1789" s="832"/>
      <c r="Q1789" s="832"/>
      <c r="R1789" s="832"/>
    </row>
    <row r="1790" spans="2:18">
      <c r="B1790" s="832"/>
      <c r="C1790" s="833"/>
      <c r="D1790" s="833"/>
      <c r="E1790" s="833"/>
      <c r="F1790" s="1111"/>
      <c r="G1790" s="1111"/>
      <c r="H1790" s="834"/>
      <c r="I1790" s="832"/>
      <c r="J1790" s="1111"/>
      <c r="K1790" s="832"/>
      <c r="L1790" s="832"/>
      <c r="M1790" s="832"/>
      <c r="N1790" s="832"/>
      <c r="O1790" s="832"/>
      <c r="P1790" s="832"/>
      <c r="Q1790" s="832"/>
      <c r="R1790" s="832"/>
    </row>
    <row r="1791" spans="2:18">
      <c r="B1791" s="832"/>
      <c r="C1791" s="833"/>
      <c r="D1791" s="833"/>
      <c r="E1791" s="833"/>
      <c r="F1791" s="1111"/>
      <c r="G1791" s="1111"/>
      <c r="H1791" s="834"/>
      <c r="I1791" s="832"/>
      <c r="J1791" s="1111"/>
      <c r="K1791" s="832"/>
      <c r="L1791" s="832"/>
      <c r="M1791" s="832"/>
      <c r="N1791" s="832"/>
      <c r="O1791" s="832"/>
      <c r="P1791" s="832"/>
      <c r="Q1791" s="832"/>
      <c r="R1791" s="832"/>
    </row>
    <row r="1792" spans="2:18">
      <c r="B1792" s="832"/>
      <c r="C1792" s="833"/>
      <c r="D1792" s="833"/>
      <c r="E1792" s="833"/>
      <c r="F1792" s="1111"/>
      <c r="G1792" s="1111"/>
      <c r="H1792" s="834"/>
      <c r="I1792" s="832"/>
      <c r="J1792" s="1111"/>
      <c r="K1792" s="832"/>
      <c r="L1792" s="832"/>
      <c r="M1792" s="832"/>
      <c r="N1792" s="832"/>
      <c r="O1792" s="832"/>
      <c r="P1792" s="832"/>
      <c r="Q1792" s="832"/>
      <c r="R1792" s="832"/>
    </row>
    <row r="1793" spans="2:18">
      <c r="B1793" s="832"/>
      <c r="C1793" s="833"/>
      <c r="D1793" s="833"/>
      <c r="E1793" s="833"/>
      <c r="F1793" s="1111"/>
      <c r="G1793" s="1111"/>
      <c r="H1793" s="834"/>
      <c r="I1793" s="832"/>
      <c r="J1793" s="1111"/>
      <c r="K1793" s="832"/>
      <c r="L1793" s="832"/>
      <c r="M1793" s="832"/>
      <c r="N1793" s="832"/>
      <c r="O1793" s="832"/>
      <c r="P1793" s="832"/>
      <c r="Q1793" s="832"/>
      <c r="R1793" s="832"/>
    </row>
    <row r="1794" spans="2:18">
      <c r="B1794" s="832"/>
      <c r="C1794" s="833"/>
      <c r="D1794" s="833"/>
      <c r="E1794" s="833"/>
      <c r="F1794" s="1111"/>
      <c r="G1794" s="1111"/>
      <c r="H1794" s="834"/>
      <c r="I1794" s="832"/>
      <c r="J1794" s="1111"/>
      <c r="K1794" s="832"/>
      <c r="L1794" s="832"/>
      <c r="M1794" s="832"/>
      <c r="N1794" s="832"/>
      <c r="O1794" s="832"/>
      <c r="P1794" s="832"/>
      <c r="Q1794" s="832"/>
      <c r="R1794" s="832"/>
    </row>
    <row r="1795" spans="2:18">
      <c r="B1795" s="832"/>
      <c r="C1795" s="833"/>
      <c r="D1795" s="833"/>
      <c r="E1795" s="833"/>
      <c r="F1795" s="1111"/>
      <c r="G1795" s="1111"/>
      <c r="H1795" s="834"/>
      <c r="I1795" s="832"/>
      <c r="J1795" s="1111"/>
      <c r="K1795" s="832"/>
      <c r="L1795" s="832"/>
      <c r="M1795" s="832"/>
      <c r="N1795" s="832"/>
      <c r="O1795" s="832"/>
      <c r="P1795" s="832"/>
      <c r="Q1795" s="832"/>
      <c r="R1795" s="832"/>
    </row>
    <row r="1796" spans="2:18">
      <c r="B1796" s="832"/>
      <c r="C1796" s="833"/>
      <c r="D1796" s="833"/>
      <c r="E1796" s="833"/>
      <c r="F1796" s="1111"/>
      <c r="G1796" s="1111"/>
      <c r="H1796" s="834"/>
      <c r="I1796" s="832"/>
      <c r="J1796" s="1111"/>
      <c r="K1796" s="832"/>
      <c r="L1796" s="832"/>
      <c r="M1796" s="832"/>
      <c r="N1796" s="832"/>
      <c r="O1796" s="832"/>
      <c r="P1796" s="832"/>
      <c r="Q1796" s="832"/>
      <c r="R1796" s="832"/>
    </row>
    <row r="1797" spans="2:18">
      <c r="B1797" s="832"/>
      <c r="C1797" s="833"/>
      <c r="D1797" s="833"/>
      <c r="E1797" s="833"/>
      <c r="F1797" s="1111"/>
      <c r="G1797" s="1111"/>
      <c r="H1797" s="834"/>
      <c r="I1797" s="832"/>
      <c r="J1797" s="1111"/>
      <c r="K1797" s="832"/>
      <c r="L1797" s="832"/>
      <c r="M1797" s="832"/>
      <c r="N1797" s="832"/>
      <c r="O1797" s="832"/>
      <c r="P1797" s="832"/>
      <c r="Q1797" s="832"/>
      <c r="R1797" s="832"/>
    </row>
    <row r="1798" spans="2:18">
      <c r="B1798" s="832"/>
      <c r="C1798" s="833"/>
      <c r="D1798" s="833"/>
      <c r="E1798" s="833"/>
      <c r="F1798" s="1111"/>
      <c r="G1798" s="1111"/>
      <c r="H1798" s="834"/>
      <c r="I1798" s="832"/>
      <c r="J1798" s="1111"/>
      <c r="K1798" s="832"/>
      <c r="L1798" s="832"/>
      <c r="M1798" s="832"/>
      <c r="N1798" s="832"/>
      <c r="O1798" s="832"/>
      <c r="P1798" s="832"/>
      <c r="Q1798" s="832"/>
      <c r="R1798" s="832"/>
    </row>
    <row r="1799" spans="2:18">
      <c r="B1799" s="832"/>
      <c r="C1799" s="833"/>
      <c r="D1799" s="833"/>
      <c r="E1799" s="833"/>
      <c r="F1799" s="1111"/>
      <c r="G1799" s="1111"/>
      <c r="H1799" s="834"/>
      <c r="I1799" s="832"/>
      <c r="J1799" s="1111"/>
      <c r="K1799" s="832"/>
      <c r="L1799" s="832"/>
      <c r="M1799" s="832"/>
      <c r="N1799" s="832"/>
      <c r="O1799" s="832"/>
      <c r="P1799" s="832"/>
      <c r="Q1799" s="832"/>
      <c r="R1799" s="832"/>
    </row>
    <row r="1800" spans="2:18">
      <c r="B1800" s="832"/>
      <c r="C1800" s="833"/>
      <c r="D1800" s="833"/>
      <c r="E1800" s="833"/>
      <c r="F1800" s="1111"/>
      <c r="G1800" s="1111"/>
      <c r="H1800" s="834"/>
      <c r="I1800" s="832"/>
      <c r="J1800" s="1111"/>
      <c r="K1800" s="832"/>
      <c r="L1800" s="832"/>
      <c r="M1800" s="832"/>
      <c r="N1800" s="832"/>
      <c r="O1800" s="832"/>
      <c r="P1800" s="832"/>
      <c r="Q1800" s="832"/>
      <c r="R1800" s="832"/>
    </row>
    <row r="1801" spans="2:18">
      <c r="B1801" s="832"/>
      <c r="C1801" s="833"/>
      <c r="D1801" s="833"/>
      <c r="E1801" s="833"/>
      <c r="F1801" s="1111"/>
      <c r="G1801" s="1111"/>
      <c r="H1801" s="834"/>
      <c r="I1801" s="832"/>
      <c r="J1801" s="1111"/>
      <c r="K1801" s="832"/>
      <c r="L1801" s="832"/>
      <c r="M1801" s="832"/>
      <c r="N1801" s="832"/>
      <c r="O1801" s="832"/>
      <c r="P1801" s="832"/>
      <c r="Q1801" s="832"/>
      <c r="R1801" s="832"/>
    </row>
    <row r="1802" spans="2:18">
      <c r="B1802" s="832"/>
      <c r="C1802" s="833"/>
      <c r="D1802" s="833"/>
      <c r="E1802" s="833"/>
      <c r="F1802" s="1111"/>
      <c r="G1802" s="1111"/>
      <c r="H1802" s="834"/>
      <c r="I1802" s="832"/>
      <c r="J1802" s="1111"/>
      <c r="K1802" s="832"/>
      <c r="L1802" s="832"/>
      <c r="M1802" s="832"/>
      <c r="N1802" s="832"/>
      <c r="O1802" s="832"/>
      <c r="P1802" s="832"/>
      <c r="Q1802" s="832"/>
      <c r="R1802" s="832"/>
    </row>
    <row r="1803" spans="2:18">
      <c r="B1803" s="832"/>
      <c r="C1803" s="833"/>
      <c r="D1803" s="833"/>
      <c r="E1803" s="833"/>
      <c r="F1803" s="1111"/>
      <c r="G1803" s="1111"/>
      <c r="H1803" s="834"/>
      <c r="I1803" s="832"/>
      <c r="J1803" s="1111"/>
      <c r="K1803" s="832"/>
      <c r="L1803" s="832"/>
      <c r="M1803" s="832"/>
      <c r="N1803" s="832"/>
      <c r="O1803" s="832"/>
      <c r="P1803" s="832"/>
      <c r="Q1803" s="832"/>
      <c r="R1803" s="832"/>
    </row>
    <row r="1804" spans="2:18">
      <c r="B1804" s="832"/>
      <c r="C1804" s="833"/>
      <c r="D1804" s="833"/>
      <c r="E1804" s="833"/>
      <c r="F1804" s="1111"/>
      <c r="G1804" s="1111"/>
      <c r="H1804" s="834"/>
      <c r="I1804" s="832"/>
      <c r="J1804" s="1111"/>
      <c r="K1804" s="832"/>
      <c r="L1804" s="832"/>
      <c r="M1804" s="832"/>
      <c r="N1804" s="832"/>
      <c r="O1804" s="832"/>
      <c r="P1804" s="832"/>
      <c r="Q1804" s="832"/>
      <c r="R1804" s="832"/>
    </row>
    <row r="1805" spans="2:18">
      <c r="B1805" s="832"/>
      <c r="C1805" s="833"/>
      <c r="D1805" s="833"/>
      <c r="E1805" s="833"/>
      <c r="F1805" s="1111"/>
      <c r="G1805" s="1111"/>
      <c r="H1805" s="834"/>
      <c r="I1805" s="832"/>
      <c r="J1805" s="1111"/>
      <c r="K1805" s="832"/>
      <c r="L1805" s="832"/>
      <c r="M1805" s="832"/>
      <c r="N1805" s="832"/>
      <c r="O1805" s="832"/>
      <c r="P1805" s="832"/>
      <c r="Q1805" s="832"/>
      <c r="R1805" s="832"/>
    </row>
    <row r="1806" spans="2:18">
      <c r="B1806" s="832"/>
      <c r="C1806" s="833"/>
      <c r="D1806" s="833"/>
      <c r="E1806" s="833"/>
      <c r="F1806" s="1111"/>
      <c r="G1806" s="1111"/>
      <c r="H1806" s="834"/>
      <c r="I1806" s="832"/>
      <c r="J1806" s="1111"/>
      <c r="K1806" s="832"/>
      <c r="L1806" s="832"/>
      <c r="M1806" s="832"/>
      <c r="N1806" s="832"/>
      <c r="O1806" s="832"/>
      <c r="P1806" s="832"/>
      <c r="Q1806" s="832"/>
      <c r="R1806" s="832"/>
    </row>
    <row r="1807" spans="2:18">
      <c r="B1807" s="832"/>
      <c r="C1807" s="833"/>
      <c r="D1807" s="833"/>
      <c r="E1807" s="833"/>
      <c r="F1807" s="1111"/>
      <c r="G1807" s="1111"/>
      <c r="H1807" s="834"/>
      <c r="I1807" s="832"/>
      <c r="J1807" s="1111"/>
      <c r="K1807" s="832"/>
      <c r="L1807" s="832"/>
      <c r="M1807" s="832"/>
      <c r="N1807" s="832"/>
      <c r="O1807" s="832"/>
      <c r="P1807" s="832"/>
      <c r="Q1807" s="832"/>
      <c r="R1807" s="832"/>
    </row>
    <row r="1808" spans="2:18">
      <c r="B1808" s="832"/>
      <c r="C1808" s="833"/>
      <c r="D1808" s="833"/>
      <c r="E1808" s="833"/>
      <c r="F1808" s="1111"/>
      <c r="G1808" s="1111"/>
      <c r="H1808" s="834"/>
      <c r="I1808" s="832"/>
      <c r="J1808" s="1111"/>
      <c r="K1808" s="832"/>
      <c r="L1808" s="832"/>
      <c r="M1808" s="832"/>
      <c r="N1808" s="832"/>
      <c r="O1808" s="832"/>
      <c r="P1808" s="832"/>
      <c r="Q1808" s="832"/>
      <c r="R1808" s="832"/>
    </row>
    <row r="1809" spans="2:18">
      <c r="B1809" s="832"/>
      <c r="C1809" s="833"/>
      <c r="D1809" s="833"/>
      <c r="E1809" s="833"/>
      <c r="F1809" s="1111"/>
      <c r="G1809" s="1111"/>
      <c r="H1809" s="834"/>
      <c r="I1809" s="832"/>
      <c r="J1809" s="1111"/>
      <c r="K1809" s="832"/>
      <c r="L1809" s="832"/>
      <c r="M1809" s="832"/>
      <c r="N1809" s="832"/>
      <c r="O1809" s="832"/>
      <c r="P1809" s="832"/>
      <c r="Q1809" s="832"/>
      <c r="R1809" s="832"/>
    </row>
    <row r="1810" spans="2:18">
      <c r="B1810" s="832"/>
      <c r="C1810" s="833"/>
      <c r="D1810" s="833"/>
      <c r="E1810" s="833"/>
      <c r="F1810" s="1111"/>
      <c r="G1810" s="1111"/>
      <c r="H1810" s="834"/>
      <c r="I1810" s="832"/>
      <c r="J1810" s="1111"/>
      <c r="K1810" s="832"/>
      <c r="L1810" s="832"/>
      <c r="M1810" s="832"/>
      <c r="N1810" s="832"/>
      <c r="O1810" s="832"/>
      <c r="P1810" s="832"/>
      <c r="Q1810" s="832"/>
      <c r="R1810" s="832"/>
    </row>
    <row r="1811" spans="2:18">
      <c r="B1811" s="832"/>
      <c r="C1811" s="833"/>
      <c r="D1811" s="833"/>
      <c r="E1811" s="833"/>
      <c r="F1811" s="1111"/>
      <c r="G1811" s="1111"/>
      <c r="H1811" s="834"/>
      <c r="I1811" s="832"/>
      <c r="J1811" s="1111"/>
      <c r="K1811" s="832"/>
      <c r="L1811" s="832"/>
      <c r="M1811" s="832"/>
      <c r="N1811" s="832"/>
      <c r="O1811" s="832"/>
      <c r="P1811" s="832"/>
      <c r="Q1811" s="832"/>
      <c r="R1811" s="832"/>
    </row>
    <row r="1812" spans="2:18">
      <c r="B1812" s="832"/>
      <c r="C1812" s="833"/>
      <c r="D1812" s="833"/>
      <c r="E1812" s="833"/>
      <c r="F1812" s="1111"/>
      <c r="G1812" s="1111"/>
      <c r="H1812" s="834"/>
      <c r="I1812" s="832"/>
      <c r="J1812" s="1111"/>
      <c r="K1812" s="832"/>
      <c r="L1812" s="832"/>
      <c r="M1812" s="832"/>
      <c r="N1812" s="832"/>
      <c r="O1812" s="832"/>
      <c r="P1812" s="832"/>
      <c r="Q1812" s="832"/>
      <c r="R1812" s="832"/>
    </row>
    <row r="1813" spans="2:18">
      <c r="B1813" s="832"/>
      <c r="C1813" s="833"/>
      <c r="D1813" s="833"/>
      <c r="E1813" s="833"/>
      <c r="F1813" s="1111"/>
      <c r="G1813" s="1111"/>
      <c r="H1813" s="834"/>
      <c r="I1813" s="832"/>
      <c r="J1813" s="1111"/>
      <c r="K1813" s="832"/>
      <c r="L1813" s="832"/>
      <c r="M1813" s="832"/>
      <c r="N1813" s="832"/>
      <c r="O1813" s="832"/>
      <c r="P1813" s="832"/>
      <c r="Q1813" s="832"/>
      <c r="R1813" s="832"/>
    </row>
    <row r="1814" spans="2:18">
      <c r="B1814" s="832"/>
      <c r="C1814" s="833"/>
      <c r="D1814" s="833"/>
      <c r="E1814" s="833"/>
      <c r="F1814" s="1111"/>
      <c r="G1814" s="1111"/>
      <c r="H1814" s="834"/>
      <c r="I1814" s="832"/>
      <c r="J1814" s="1111"/>
      <c r="K1814" s="832"/>
      <c r="L1814" s="832"/>
      <c r="M1814" s="832"/>
      <c r="N1814" s="832"/>
      <c r="O1814" s="832"/>
      <c r="P1814" s="832"/>
      <c r="Q1814" s="832"/>
      <c r="R1814" s="832"/>
    </row>
    <row r="1815" spans="2:18">
      <c r="B1815" s="832"/>
      <c r="C1815" s="833"/>
      <c r="D1815" s="833"/>
      <c r="E1815" s="833"/>
      <c r="F1815" s="1111"/>
      <c r="G1815" s="1111"/>
      <c r="H1815" s="834"/>
      <c r="I1815" s="832"/>
      <c r="J1815" s="1111"/>
      <c r="K1815" s="832"/>
      <c r="L1815" s="832"/>
      <c r="M1815" s="832"/>
      <c r="N1815" s="832"/>
      <c r="O1815" s="832"/>
      <c r="P1815" s="832"/>
      <c r="Q1815" s="832"/>
      <c r="R1815" s="832"/>
    </row>
    <row r="1816" spans="2:18">
      <c r="B1816" s="832"/>
      <c r="C1816" s="833"/>
      <c r="D1816" s="833"/>
      <c r="E1816" s="833"/>
      <c r="F1816" s="1111"/>
      <c r="G1816" s="1111"/>
      <c r="H1816" s="834"/>
      <c r="I1816" s="832"/>
      <c r="J1816" s="1111"/>
      <c r="K1816" s="832"/>
      <c r="L1816" s="832"/>
      <c r="M1816" s="832"/>
      <c r="N1816" s="832"/>
      <c r="O1816" s="832"/>
      <c r="P1816" s="832"/>
      <c r="Q1816" s="832"/>
      <c r="R1816" s="832"/>
    </row>
    <row r="1817" spans="2:18">
      <c r="B1817" s="832"/>
      <c r="C1817" s="833"/>
      <c r="D1817" s="833"/>
      <c r="E1817" s="833"/>
      <c r="F1817" s="1111"/>
      <c r="G1817" s="1111"/>
      <c r="H1817" s="834"/>
      <c r="I1817" s="832"/>
      <c r="J1817" s="1111"/>
      <c r="K1817" s="832"/>
      <c r="L1817" s="832"/>
      <c r="M1817" s="832"/>
      <c r="N1817" s="832"/>
      <c r="O1817" s="832"/>
      <c r="P1817" s="832"/>
      <c r="Q1817" s="832"/>
      <c r="R1817" s="832"/>
    </row>
    <row r="1818" spans="2:18">
      <c r="B1818" s="832"/>
      <c r="C1818" s="833"/>
      <c r="D1818" s="833"/>
      <c r="E1818" s="833"/>
      <c r="F1818" s="1111"/>
      <c r="G1818" s="1111"/>
      <c r="H1818" s="834"/>
      <c r="I1818" s="832"/>
      <c r="J1818" s="1111"/>
      <c r="K1818" s="832"/>
      <c r="L1818" s="832"/>
      <c r="M1818" s="832"/>
      <c r="N1818" s="832"/>
      <c r="O1818" s="832"/>
      <c r="P1818" s="832"/>
      <c r="Q1818" s="832"/>
      <c r="R1818" s="832"/>
    </row>
    <row r="1819" spans="2:18">
      <c r="B1819" s="832"/>
      <c r="C1819" s="833"/>
      <c r="D1819" s="833"/>
      <c r="E1819" s="833"/>
      <c r="F1819" s="1111"/>
      <c r="G1819" s="1111"/>
      <c r="H1819" s="834"/>
      <c r="I1819" s="832"/>
      <c r="J1819" s="1111"/>
      <c r="K1819" s="832"/>
      <c r="L1819" s="832"/>
      <c r="M1819" s="832"/>
      <c r="N1819" s="832"/>
      <c r="O1819" s="832"/>
      <c r="P1819" s="832"/>
      <c r="Q1819" s="832"/>
      <c r="R1819" s="832"/>
    </row>
    <row r="1820" spans="2:18">
      <c r="B1820" s="832"/>
      <c r="C1820" s="833"/>
      <c r="D1820" s="833"/>
      <c r="E1820" s="833"/>
      <c r="F1820" s="1111"/>
      <c r="G1820" s="1111"/>
      <c r="H1820" s="834"/>
      <c r="I1820" s="832"/>
      <c r="J1820" s="1111"/>
      <c r="K1820" s="832"/>
      <c r="L1820" s="832"/>
      <c r="M1820" s="832"/>
      <c r="N1820" s="832"/>
      <c r="O1820" s="832"/>
      <c r="P1820" s="832"/>
      <c r="Q1820" s="832"/>
      <c r="R1820" s="832"/>
    </row>
    <row r="1821" spans="2:18">
      <c r="B1821" s="832"/>
      <c r="C1821" s="833"/>
      <c r="D1821" s="833"/>
      <c r="E1821" s="833"/>
      <c r="F1821" s="1111"/>
      <c r="G1821" s="1111"/>
      <c r="H1821" s="834"/>
      <c r="I1821" s="832"/>
      <c r="J1821" s="1111"/>
      <c r="K1821" s="832"/>
      <c r="L1821" s="832"/>
      <c r="M1821" s="832"/>
      <c r="N1821" s="832"/>
      <c r="O1821" s="832"/>
      <c r="P1821" s="832"/>
      <c r="Q1821" s="832"/>
      <c r="R1821" s="832"/>
    </row>
    <row r="1822" spans="2:18">
      <c r="B1822" s="832"/>
      <c r="C1822" s="833"/>
      <c r="D1822" s="833"/>
      <c r="E1822" s="833"/>
      <c r="F1822" s="1111"/>
      <c r="G1822" s="1111"/>
      <c r="H1822" s="834"/>
      <c r="I1822" s="832"/>
      <c r="J1822" s="1111"/>
      <c r="K1822" s="832"/>
      <c r="L1822" s="832"/>
      <c r="M1822" s="832"/>
      <c r="N1822" s="832"/>
      <c r="O1822" s="832"/>
      <c r="P1822" s="832"/>
      <c r="Q1822" s="832"/>
      <c r="R1822" s="832"/>
    </row>
    <row r="1823" spans="2:18">
      <c r="B1823" s="832"/>
      <c r="C1823" s="833"/>
      <c r="D1823" s="833"/>
      <c r="E1823" s="833"/>
      <c r="F1823" s="1111"/>
      <c r="G1823" s="1111"/>
      <c r="H1823" s="834"/>
      <c r="I1823" s="832"/>
      <c r="J1823" s="1111"/>
      <c r="K1823" s="832"/>
      <c r="L1823" s="832"/>
      <c r="M1823" s="832"/>
      <c r="N1823" s="832"/>
      <c r="O1823" s="832"/>
      <c r="P1823" s="832"/>
      <c r="Q1823" s="832"/>
      <c r="R1823" s="832"/>
    </row>
    <row r="1824" spans="2:18">
      <c r="B1824" s="832"/>
      <c r="C1824" s="833"/>
      <c r="D1824" s="833"/>
      <c r="E1824" s="833"/>
      <c r="F1824" s="1111"/>
      <c r="G1824" s="1111"/>
      <c r="H1824" s="834"/>
      <c r="I1824" s="832"/>
      <c r="J1824" s="1111"/>
      <c r="K1824" s="832"/>
      <c r="L1824" s="832"/>
      <c r="M1824" s="832"/>
      <c r="N1824" s="832"/>
      <c r="O1824" s="832"/>
      <c r="P1824" s="832"/>
      <c r="Q1824" s="832"/>
      <c r="R1824" s="832"/>
    </row>
    <row r="1825" spans="2:18">
      <c r="B1825" s="832"/>
      <c r="C1825" s="833"/>
      <c r="D1825" s="833"/>
      <c r="E1825" s="833"/>
      <c r="F1825" s="1111"/>
      <c r="G1825" s="1111"/>
      <c r="H1825" s="834"/>
      <c r="I1825" s="832"/>
      <c r="J1825" s="1111"/>
      <c r="K1825" s="832"/>
      <c r="L1825" s="832"/>
      <c r="M1825" s="832"/>
      <c r="N1825" s="832"/>
      <c r="O1825" s="832"/>
      <c r="P1825" s="832"/>
      <c r="Q1825" s="832"/>
      <c r="R1825" s="832"/>
    </row>
    <row r="1826" spans="2:18">
      <c r="B1826" s="832"/>
      <c r="C1826" s="833"/>
      <c r="D1826" s="833"/>
      <c r="E1826" s="833"/>
      <c r="F1826" s="1111"/>
      <c r="G1826" s="1111"/>
      <c r="H1826" s="834"/>
      <c r="I1826" s="832"/>
      <c r="J1826" s="1111"/>
      <c r="K1826" s="832"/>
      <c r="L1826" s="832"/>
      <c r="M1826" s="832"/>
      <c r="N1826" s="832"/>
      <c r="O1826" s="832"/>
      <c r="P1826" s="832"/>
      <c r="Q1826" s="832"/>
      <c r="R1826" s="832"/>
    </row>
    <row r="1827" spans="2:18">
      <c r="B1827" s="832"/>
      <c r="C1827" s="833"/>
      <c r="D1827" s="833"/>
      <c r="E1827" s="833"/>
      <c r="F1827" s="1111"/>
      <c r="G1827" s="1111"/>
      <c r="H1827" s="834"/>
      <c r="I1827" s="832"/>
      <c r="J1827" s="1111"/>
      <c r="K1827" s="832"/>
      <c r="L1827" s="832"/>
      <c r="M1827" s="832"/>
      <c r="N1827" s="832"/>
      <c r="O1827" s="832"/>
      <c r="P1827" s="832"/>
      <c r="Q1827" s="832"/>
      <c r="R1827" s="832"/>
    </row>
    <row r="1828" spans="2:18">
      <c r="B1828" s="832"/>
      <c r="C1828" s="833"/>
      <c r="D1828" s="833"/>
      <c r="E1828" s="833"/>
      <c r="F1828" s="1111"/>
      <c r="G1828" s="1111"/>
      <c r="H1828" s="834"/>
      <c r="I1828" s="832"/>
      <c r="J1828" s="1111"/>
      <c r="K1828" s="832"/>
      <c r="L1828" s="832"/>
      <c r="M1828" s="832"/>
      <c r="N1828" s="832"/>
      <c r="O1828" s="832"/>
      <c r="P1828" s="832"/>
      <c r="Q1828" s="832"/>
      <c r="R1828" s="832"/>
    </row>
    <row r="1829" spans="2:18">
      <c r="B1829" s="832"/>
      <c r="C1829" s="833"/>
      <c r="D1829" s="833"/>
      <c r="E1829" s="833"/>
      <c r="F1829" s="1111"/>
      <c r="G1829" s="1111"/>
      <c r="H1829" s="834"/>
      <c r="I1829" s="832"/>
      <c r="J1829" s="1111"/>
      <c r="K1829" s="832"/>
      <c r="L1829" s="832"/>
      <c r="M1829" s="832"/>
      <c r="N1829" s="832"/>
      <c r="O1829" s="832"/>
      <c r="P1829" s="832"/>
      <c r="Q1829" s="832"/>
      <c r="R1829" s="832"/>
    </row>
    <row r="1830" spans="2:18">
      <c r="B1830" s="832"/>
      <c r="C1830" s="833"/>
      <c r="D1830" s="833"/>
      <c r="E1830" s="833"/>
      <c r="F1830" s="1111"/>
      <c r="G1830" s="1111"/>
      <c r="H1830" s="834"/>
      <c r="I1830" s="832"/>
      <c r="J1830" s="1111"/>
      <c r="K1830" s="832"/>
      <c r="L1830" s="832"/>
      <c r="M1830" s="832"/>
      <c r="N1830" s="832"/>
      <c r="O1830" s="832"/>
      <c r="P1830" s="832"/>
      <c r="Q1830" s="832"/>
      <c r="R1830" s="832"/>
    </row>
    <row r="1831" spans="2:18">
      <c r="B1831" s="832"/>
      <c r="C1831" s="833"/>
      <c r="D1831" s="833"/>
      <c r="E1831" s="833"/>
      <c r="F1831" s="1111"/>
      <c r="G1831" s="1111"/>
      <c r="H1831" s="834"/>
      <c r="I1831" s="832"/>
      <c r="J1831" s="1111"/>
      <c r="K1831" s="832"/>
      <c r="L1831" s="832"/>
      <c r="M1831" s="832"/>
      <c r="N1831" s="832"/>
      <c r="O1831" s="832"/>
      <c r="P1831" s="832"/>
      <c r="Q1831" s="832"/>
      <c r="R1831" s="832"/>
    </row>
    <row r="1832" spans="2:18">
      <c r="B1832" s="832"/>
      <c r="C1832" s="833"/>
      <c r="D1832" s="833"/>
      <c r="E1832" s="833"/>
      <c r="F1832" s="1111"/>
      <c r="G1832" s="1111"/>
      <c r="H1832" s="834"/>
      <c r="I1832" s="832"/>
      <c r="J1832" s="1111"/>
      <c r="K1832" s="832"/>
      <c r="L1832" s="832"/>
      <c r="M1832" s="832"/>
      <c r="N1832" s="832"/>
      <c r="O1832" s="832"/>
      <c r="P1832" s="832"/>
      <c r="Q1832" s="832"/>
      <c r="R1832" s="832"/>
    </row>
    <row r="1833" spans="2:18">
      <c r="B1833" s="832"/>
      <c r="C1833" s="833"/>
      <c r="D1833" s="833"/>
      <c r="E1833" s="833"/>
      <c r="F1833" s="1111"/>
      <c r="G1833" s="1111"/>
      <c r="H1833" s="834"/>
      <c r="I1833" s="832"/>
      <c r="J1833" s="1111"/>
      <c r="K1833" s="832"/>
      <c r="L1833" s="832"/>
      <c r="M1833" s="832"/>
      <c r="N1833" s="832"/>
      <c r="O1833" s="832"/>
      <c r="P1833" s="832"/>
      <c r="Q1833" s="832"/>
      <c r="R1833" s="832"/>
    </row>
    <row r="1834" spans="2:18">
      <c r="B1834" s="832"/>
      <c r="C1834" s="833"/>
      <c r="D1834" s="833"/>
      <c r="E1834" s="833"/>
      <c r="F1834" s="1111"/>
      <c r="G1834" s="1111"/>
      <c r="H1834" s="834"/>
      <c r="I1834" s="832"/>
      <c r="J1834" s="1111"/>
      <c r="K1834" s="832"/>
      <c r="L1834" s="832"/>
      <c r="M1834" s="832"/>
      <c r="N1834" s="832"/>
      <c r="O1834" s="832"/>
      <c r="P1834" s="832"/>
      <c r="Q1834" s="832"/>
      <c r="R1834" s="832"/>
    </row>
    <row r="1835" spans="2:18">
      <c r="B1835" s="832"/>
      <c r="C1835" s="833"/>
      <c r="D1835" s="833"/>
      <c r="E1835" s="833"/>
      <c r="F1835" s="1111"/>
      <c r="G1835" s="1111"/>
      <c r="H1835" s="834"/>
      <c r="I1835" s="832"/>
      <c r="J1835" s="1111"/>
      <c r="K1835" s="832"/>
      <c r="L1835" s="832"/>
      <c r="M1835" s="832"/>
      <c r="N1835" s="832"/>
      <c r="O1835" s="832"/>
      <c r="P1835" s="832"/>
      <c r="Q1835" s="832"/>
      <c r="R1835" s="832"/>
    </row>
    <row r="1836" spans="2:18">
      <c r="B1836" s="832"/>
      <c r="C1836" s="833"/>
      <c r="D1836" s="833"/>
      <c r="E1836" s="833"/>
      <c r="F1836" s="1111"/>
      <c r="G1836" s="1111"/>
      <c r="H1836" s="834"/>
      <c r="I1836" s="832"/>
      <c r="J1836" s="1111"/>
      <c r="K1836" s="832"/>
      <c r="L1836" s="832"/>
      <c r="M1836" s="832"/>
      <c r="N1836" s="832"/>
      <c r="O1836" s="832"/>
      <c r="P1836" s="832"/>
      <c r="Q1836" s="832"/>
      <c r="R1836" s="832"/>
    </row>
    <row r="1837" spans="2:18">
      <c r="B1837" s="832"/>
      <c r="C1837" s="833"/>
      <c r="D1837" s="833"/>
      <c r="E1837" s="833"/>
      <c r="F1837" s="1111"/>
      <c r="G1837" s="1111"/>
      <c r="H1837" s="834"/>
      <c r="I1837" s="832"/>
      <c r="J1837" s="1111"/>
      <c r="K1837" s="832"/>
      <c r="L1837" s="832"/>
      <c r="M1837" s="832"/>
      <c r="N1837" s="832"/>
      <c r="O1837" s="832"/>
      <c r="P1837" s="832"/>
      <c r="Q1837" s="832"/>
      <c r="R1837" s="832"/>
    </row>
    <row r="1838" spans="2:18">
      <c r="B1838" s="832"/>
      <c r="C1838" s="833"/>
      <c r="D1838" s="833"/>
      <c r="E1838" s="833"/>
      <c r="F1838" s="1111"/>
      <c r="G1838" s="1111"/>
      <c r="H1838" s="834"/>
      <c r="I1838" s="832"/>
      <c r="J1838" s="1111"/>
      <c r="K1838" s="832"/>
      <c r="L1838" s="832"/>
      <c r="M1838" s="832"/>
      <c r="N1838" s="832"/>
      <c r="O1838" s="832"/>
      <c r="P1838" s="832"/>
      <c r="Q1838" s="832"/>
      <c r="R1838" s="832"/>
    </row>
    <row r="1839" spans="2:18">
      <c r="B1839" s="832"/>
      <c r="C1839" s="833"/>
      <c r="D1839" s="833"/>
      <c r="E1839" s="833"/>
      <c r="F1839" s="1111"/>
      <c r="G1839" s="1111"/>
      <c r="H1839" s="834"/>
      <c r="I1839" s="832"/>
      <c r="J1839" s="1111"/>
      <c r="K1839" s="832"/>
      <c r="L1839" s="832"/>
      <c r="M1839" s="832"/>
      <c r="N1839" s="832"/>
      <c r="O1839" s="832"/>
      <c r="P1839" s="832"/>
      <c r="Q1839" s="832"/>
      <c r="R1839" s="832"/>
    </row>
    <row r="1840" spans="2:18">
      <c r="B1840" s="832"/>
      <c r="C1840" s="833"/>
      <c r="D1840" s="833"/>
      <c r="E1840" s="833"/>
      <c r="F1840" s="1111"/>
      <c r="G1840" s="1111"/>
      <c r="H1840" s="834"/>
      <c r="I1840" s="832"/>
      <c r="J1840" s="1111"/>
      <c r="K1840" s="832"/>
      <c r="L1840" s="832"/>
      <c r="M1840" s="832"/>
      <c r="N1840" s="832"/>
      <c r="O1840" s="832"/>
      <c r="P1840" s="832"/>
      <c r="Q1840" s="832"/>
      <c r="R1840" s="832"/>
    </row>
    <row r="1841" spans="2:18">
      <c r="B1841" s="832"/>
      <c r="C1841" s="833"/>
      <c r="D1841" s="833"/>
      <c r="E1841" s="833"/>
      <c r="F1841" s="1111"/>
      <c r="G1841" s="1111"/>
      <c r="H1841" s="834"/>
      <c r="I1841" s="832"/>
      <c r="J1841" s="1111"/>
      <c r="K1841" s="832"/>
      <c r="L1841" s="832"/>
      <c r="M1841" s="832"/>
      <c r="N1841" s="832"/>
      <c r="O1841" s="832"/>
      <c r="P1841" s="832"/>
      <c r="Q1841" s="832"/>
      <c r="R1841" s="832"/>
    </row>
    <row r="1842" spans="2:18">
      <c r="B1842" s="832"/>
      <c r="C1842" s="833"/>
      <c r="D1842" s="833"/>
      <c r="E1842" s="833"/>
      <c r="F1842" s="1111"/>
      <c r="G1842" s="1111"/>
      <c r="H1842" s="834"/>
      <c r="I1842" s="832"/>
      <c r="J1842" s="1111"/>
      <c r="K1842" s="832"/>
      <c r="L1842" s="832"/>
      <c r="M1842" s="832"/>
      <c r="N1842" s="832"/>
      <c r="O1842" s="832"/>
      <c r="P1842" s="832"/>
      <c r="Q1842" s="832"/>
      <c r="R1842" s="832"/>
    </row>
    <row r="1843" spans="2:18">
      <c r="B1843" s="832"/>
      <c r="C1843" s="833"/>
      <c r="D1843" s="833"/>
      <c r="E1843" s="833"/>
      <c r="F1843" s="1111"/>
      <c r="G1843" s="1111"/>
      <c r="H1843" s="834"/>
      <c r="I1843" s="832"/>
      <c r="J1843" s="1111"/>
      <c r="K1843" s="832"/>
      <c r="L1843" s="832"/>
      <c r="M1843" s="832"/>
      <c r="N1843" s="832"/>
      <c r="O1843" s="832"/>
      <c r="P1843" s="832"/>
      <c r="Q1843" s="832"/>
      <c r="R1843" s="832"/>
    </row>
    <row r="1844" spans="2:18">
      <c r="B1844" s="832"/>
      <c r="C1844" s="833"/>
      <c r="D1844" s="833"/>
      <c r="E1844" s="833"/>
      <c r="F1844" s="1111"/>
      <c r="G1844" s="1111"/>
      <c r="H1844" s="834"/>
      <c r="I1844" s="832"/>
      <c r="J1844" s="1111"/>
      <c r="K1844" s="832"/>
      <c r="L1844" s="832"/>
      <c r="M1844" s="832"/>
      <c r="N1844" s="832"/>
      <c r="O1844" s="832"/>
      <c r="P1844" s="832"/>
      <c r="Q1844" s="832"/>
      <c r="R1844" s="832"/>
    </row>
    <row r="1845" spans="2:18">
      <c r="B1845" s="832"/>
      <c r="C1845" s="833"/>
      <c r="D1845" s="833"/>
      <c r="E1845" s="833"/>
      <c r="F1845" s="1111"/>
      <c r="G1845" s="1111"/>
      <c r="H1845" s="834"/>
      <c r="I1845" s="832"/>
      <c r="J1845" s="1111"/>
      <c r="K1845" s="832"/>
      <c r="L1845" s="832"/>
      <c r="M1845" s="832"/>
      <c r="N1845" s="832"/>
      <c r="O1845" s="832"/>
      <c r="P1845" s="832"/>
      <c r="Q1845" s="832"/>
      <c r="R1845" s="832"/>
    </row>
    <row r="1846" spans="2:18">
      <c r="B1846" s="832"/>
      <c r="C1846" s="833"/>
      <c r="D1846" s="833"/>
      <c r="E1846" s="833"/>
      <c r="F1846" s="1111"/>
      <c r="G1846" s="1111"/>
      <c r="H1846" s="834"/>
      <c r="I1846" s="832"/>
      <c r="J1846" s="1111"/>
      <c r="K1846" s="832"/>
      <c r="L1846" s="832"/>
      <c r="M1846" s="832"/>
      <c r="N1846" s="832"/>
      <c r="O1846" s="832"/>
      <c r="P1846" s="832"/>
      <c r="Q1846" s="832"/>
      <c r="R1846" s="832"/>
    </row>
    <row r="1847" spans="2:18">
      <c r="B1847" s="832"/>
      <c r="C1847" s="833"/>
      <c r="D1847" s="833"/>
      <c r="E1847" s="833"/>
      <c r="F1847" s="1111"/>
      <c r="G1847" s="1111"/>
      <c r="H1847" s="834"/>
      <c r="I1847" s="832"/>
      <c r="J1847" s="1111"/>
      <c r="K1847" s="832"/>
      <c r="L1847" s="832"/>
      <c r="M1847" s="832"/>
      <c r="N1847" s="832"/>
      <c r="O1847" s="832"/>
      <c r="P1847" s="832"/>
      <c r="Q1847" s="832"/>
      <c r="R1847" s="832"/>
    </row>
    <row r="1848" spans="2:18">
      <c r="B1848" s="832"/>
      <c r="C1848" s="833"/>
      <c r="D1848" s="833"/>
      <c r="E1848" s="833"/>
      <c r="F1848" s="1111"/>
      <c r="G1848" s="1111"/>
      <c r="H1848" s="834"/>
      <c r="I1848" s="832"/>
      <c r="J1848" s="1111"/>
      <c r="K1848" s="832"/>
      <c r="L1848" s="832"/>
      <c r="M1848" s="832"/>
      <c r="N1848" s="832"/>
      <c r="O1848" s="832"/>
      <c r="P1848" s="832"/>
      <c r="Q1848" s="832"/>
      <c r="R1848" s="832"/>
    </row>
    <row r="1849" spans="2:18">
      <c r="B1849" s="832"/>
      <c r="C1849" s="833"/>
      <c r="D1849" s="833"/>
      <c r="E1849" s="833"/>
      <c r="F1849" s="1111"/>
      <c r="G1849" s="1111"/>
      <c r="H1849" s="834"/>
      <c r="I1849" s="832"/>
      <c r="J1849" s="1111"/>
      <c r="K1849" s="832"/>
      <c r="L1849" s="832"/>
      <c r="M1849" s="832"/>
      <c r="N1849" s="832"/>
      <c r="O1849" s="832"/>
      <c r="P1849" s="832"/>
      <c r="Q1849" s="832"/>
      <c r="R1849" s="832"/>
    </row>
    <row r="1850" spans="2:18">
      <c r="B1850" s="832"/>
      <c r="C1850" s="833"/>
      <c r="D1850" s="833"/>
      <c r="E1850" s="833"/>
      <c r="F1850" s="1111"/>
      <c r="G1850" s="1111"/>
      <c r="H1850" s="834"/>
      <c r="I1850" s="832"/>
      <c r="J1850" s="1111"/>
      <c r="K1850" s="832"/>
      <c r="L1850" s="832"/>
      <c r="M1850" s="832"/>
      <c r="N1850" s="832"/>
      <c r="O1850" s="832"/>
      <c r="P1850" s="832"/>
      <c r="Q1850" s="832"/>
      <c r="R1850" s="832"/>
    </row>
    <row r="1851" spans="2:18">
      <c r="B1851" s="832"/>
      <c r="C1851" s="833"/>
      <c r="D1851" s="833"/>
      <c r="E1851" s="833"/>
      <c r="F1851" s="1111"/>
      <c r="G1851" s="1111"/>
      <c r="H1851" s="834"/>
      <c r="I1851" s="832"/>
      <c r="J1851" s="1111"/>
      <c r="K1851" s="832"/>
      <c r="L1851" s="832"/>
      <c r="M1851" s="832"/>
      <c r="N1851" s="832"/>
      <c r="O1851" s="832"/>
      <c r="P1851" s="832"/>
      <c r="Q1851" s="832"/>
      <c r="R1851" s="832"/>
    </row>
    <row r="1852" spans="2:18">
      <c r="B1852" s="832"/>
      <c r="C1852" s="833"/>
      <c r="D1852" s="833"/>
      <c r="E1852" s="833"/>
      <c r="F1852" s="1111"/>
      <c r="G1852" s="1111"/>
      <c r="H1852" s="834"/>
      <c r="I1852" s="832"/>
      <c r="J1852" s="1111"/>
      <c r="K1852" s="832"/>
      <c r="L1852" s="832"/>
      <c r="M1852" s="832"/>
      <c r="N1852" s="832"/>
      <c r="O1852" s="832"/>
      <c r="P1852" s="832"/>
      <c r="Q1852" s="832"/>
      <c r="R1852" s="832"/>
    </row>
    <row r="1853" spans="2:18">
      <c r="B1853" s="832"/>
      <c r="C1853" s="833"/>
      <c r="D1853" s="833"/>
      <c r="E1853" s="833"/>
      <c r="F1853" s="1111"/>
      <c r="G1853" s="1111"/>
      <c r="H1853" s="834"/>
      <c r="I1853" s="832"/>
      <c r="J1853" s="1111"/>
      <c r="K1853" s="832"/>
      <c r="L1853" s="832"/>
      <c r="M1853" s="832"/>
      <c r="N1853" s="832"/>
      <c r="O1853" s="832"/>
      <c r="P1853" s="832"/>
      <c r="Q1853" s="832"/>
      <c r="R1853" s="832"/>
    </row>
    <row r="1854" spans="2:18">
      <c r="B1854" s="832"/>
      <c r="C1854" s="833"/>
      <c r="D1854" s="833"/>
      <c r="E1854" s="833"/>
      <c r="F1854" s="1111"/>
      <c r="G1854" s="1111"/>
      <c r="H1854" s="834"/>
      <c r="I1854" s="832"/>
      <c r="J1854" s="1111"/>
      <c r="K1854" s="832"/>
      <c r="L1854" s="832"/>
      <c r="M1854" s="832"/>
      <c r="N1854" s="832"/>
      <c r="O1854" s="832"/>
      <c r="P1854" s="832"/>
      <c r="Q1854" s="832"/>
      <c r="R1854" s="832"/>
    </row>
    <row r="1855" spans="2:18">
      <c r="B1855" s="832"/>
      <c r="C1855" s="833"/>
      <c r="D1855" s="833"/>
      <c r="E1855" s="833"/>
      <c r="F1855" s="1111"/>
      <c r="G1855" s="1111"/>
      <c r="H1855" s="834"/>
      <c r="I1855" s="832"/>
      <c r="J1855" s="1111"/>
      <c r="K1855" s="832"/>
      <c r="L1855" s="832"/>
      <c r="M1855" s="832"/>
      <c r="N1855" s="832"/>
      <c r="O1855" s="832"/>
      <c r="P1855" s="832"/>
      <c r="Q1855" s="832"/>
      <c r="R1855" s="832"/>
    </row>
    <row r="1856" spans="2:18">
      <c r="B1856" s="832"/>
      <c r="C1856" s="833"/>
      <c r="D1856" s="833"/>
      <c r="E1856" s="833"/>
      <c r="F1856" s="1111"/>
      <c r="G1856" s="1111"/>
      <c r="H1856" s="834"/>
      <c r="I1856" s="832"/>
      <c r="J1856" s="1111"/>
      <c r="K1856" s="832"/>
      <c r="L1856" s="832"/>
      <c r="M1856" s="832"/>
      <c r="N1856" s="832"/>
      <c r="O1856" s="832"/>
      <c r="P1856" s="832"/>
      <c r="Q1856" s="832"/>
      <c r="R1856" s="832"/>
    </row>
    <row r="1857" spans="2:18">
      <c r="B1857" s="832"/>
      <c r="C1857" s="833"/>
      <c r="D1857" s="833"/>
      <c r="E1857" s="833"/>
      <c r="F1857" s="1111"/>
      <c r="G1857" s="1111"/>
      <c r="H1857" s="834"/>
      <c r="I1857" s="832"/>
      <c r="J1857" s="1111"/>
      <c r="K1857" s="832"/>
      <c r="L1857" s="832"/>
      <c r="M1857" s="832"/>
      <c r="N1857" s="832"/>
      <c r="O1857" s="832"/>
      <c r="P1857" s="832"/>
      <c r="Q1857" s="832"/>
      <c r="R1857" s="832"/>
    </row>
    <row r="1858" spans="2:18">
      <c r="B1858" s="832"/>
      <c r="C1858" s="833"/>
      <c r="D1858" s="833"/>
      <c r="E1858" s="833"/>
      <c r="F1858" s="1111"/>
      <c r="G1858" s="1111"/>
      <c r="H1858" s="834"/>
      <c r="I1858" s="832"/>
      <c r="J1858" s="1111"/>
      <c r="K1858" s="832"/>
      <c r="L1858" s="832"/>
      <c r="M1858" s="832"/>
      <c r="N1858" s="832"/>
      <c r="O1858" s="832"/>
      <c r="P1858" s="832"/>
      <c r="Q1858" s="832"/>
      <c r="R1858" s="832"/>
    </row>
    <row r="1859" spans="2:18">
      <c r="B1859" s="832"/>
      <c r="C1859" s="833"/>
      <c r="D1859" s="833"/>
      <c r="E1859" s="833"/>
      <c r="F1859" s="1111"/>
      <c r="G1859" s="1111"/>
      <c r="H1859" s="834"/>
      <c r="I1859" s="832"/>
      <c r="J1859" s="1111"/>
      <c r="K1859" s="832"/>
      <c r="L1859" s="832"/>
      <c r="M1859" s="832"/>
      <c r="N1859" s="832"/>
      <c r="O1859" s="832"/>
      <c r="P1859" s="832"/>
      <c r="Q1859" s="832"/>
      <c r="R1859" s="832"/>
    </row>
    <row r="1860" spans="2:18">
      <c r="B1860" s="832"/>
      <c r="C1860" s="833"/>
      <c r="D1860" s="833"/>
      <c r="E1860" s="833"/>
      <c r="F1860" s="1111"/>
      <c r="G1860" s="1111"/>
      <c r="H1860" s="834"/>
      <c r="I1860" s="832"/>
      <c r="J1860" s="1111"/>
      <c r="K1860" s="832"/>
      <c r="L1860" s="832"/>
      <c r="M1860" s="832"/>
      <c r="N1860" s="832"/>
      <c r="O1860" s="832"/>
      <c r="P1860" s="832"/>
      <c r="Q1860" s="832"/>
      <c r="R1860" s="832"/>
    </row>
    <row r="1861" spans="2:18">
      <c r="B1861" s="832"/>
      <c r="C1861" s="833"/>
      <c r="D1861" s="833"/>
      <c r="E1861" s="833"/>
      <c r="F1861" s="1111"/>
      <c r="G1861" s="1111"/>
      <c r="H1861" s="834"/>
      <c r="I1861" s="832"/>
      <c r="J1861" s="1111"/>
      <c r="K1861" s="832"/>
      <c r="L1861" s="832"/>
      <c r="M1861" s="832"/>
      <c r="N1861" s="832"/>
      <c r="O1861" s="832"/>
      <c r="P1861" s="832"/>
      <c r="Q1861" s="832"/>
      <c r="R1861" s="832"/>
    </row>
    <row r="1862" spans="2:18">
      <c r="B1862" s="832"/>
      <c r="C1862" s="833"/>
      <c r="D1862" s="833"/>
      <c r="E1862" s="833"/>
      <c r="F1862" s="1111"/>
      <c r="G1862" s="1111"/>
      <c r="H1862" s="834"/>
      <c r="I1862" s="832"/>
      <c r="J1862" s="1111"/>
      <c r="K1862" s="832"/>
      <c r="L1862" s="832"/>
      <c r="M1862" s="832"/>
      <c r="N1862" s="832"/>
      <c r="O1862" s="832"/>
      <c r="P1862" s="832"/>
      <c r="Q1862" s="832"/>
      <c r="R1862" s="832"/>
    </row>
    <row r="1863" spans="2:18">
      <c r="B1863" s="832"/>
      <c r="C1863" s="833"/>
      <c r="D1863" s="833"/>
      <c r="E1863" s="833"/>
      <c r="F1863" s="1111"/>
      <c r="G1863" s="1111"/>
      <c r="H1863" s="834"/>
      <c r="I1863" s="832"/>
      <c r="J1863" s="1111"/>
      <c r="K1863" s="832"/>
      <c r="L1863" s="832"/>
      <c r="M1863" s="832"/>
      <c r="N1863" s="832"/>
      <c r="O1863" s="832"/>
      <c r="P1863" s="832"/>
      <c r="Q1863" s="832"/>
      <c r="R1863" s="832"/>
    </row>
    <row r="1864" spans="2:18">
      <c r="B1864" s="832"/>
      <c r="C1864" s="833"/>
      <c r="D1864" s="833"/>
      <c r="E1864" s="833"/>
      <c r="F1864" s="1111"/>
      <c r="G1864" s="1111"/>
      <c r="H1864" s="834"/>
      <c r="I1864" s="832"/>
      <c r="J1864" s="1111"/>
      <c r="K1864" s="832"/>
      <c r="L1864" s="832"/>
      <c r="M1864" s="832"/>
      <c r="N1864" s="832"/>
      <c r="O1864" s="832"/>
      <c r="P1864" s="832"/>
      <c r="Q1864" s="832"/>
      <c r="R1864" s="832"/>
    </row>
    <row r="1865" spans="2:18">
      <c r="B1865" s="832"/>
      <c r="C1865" s="833"/>
      <c r="D1865" s="833"/>
      <c r="E1865" s="833"/>
      <c r="F1865" s="1111"/>
      <c r="G1865" s="1111"/>
      <c r="H1865" s="834"/>
      <c r="I1865" s="832"/>
      <c r="J1865" s="1111"/>
      <c r="K1865" s="832"/>
      <c r="L1865" s="832"/>
      <c r="M1865" s="832"/>
      <c r="N1865" s="832"/>
      <c r="O1865" s="832"/>
      <c r="P1865" s="832"/>
      <c r="Q1865" s="832"/>
      <c r="R1865" s="832"/>
    </row>
    <row r="1866" spans="2:18">
      <c r="B1866" s="832"/>
      <c r="C1866" s="833"/>
      <c r="D1866" s="833"/>
      <c r="E1866" s="833"/>
      <c r="F1866" s="1111"/>
      <c r="G1866" s="1111"/>
      <c r="H1866" s="834"/>
      <c r="I1866" s="832"/>
      <c r="J1866" s="1111"/>
      <c r="K1866" s="832"/>
      <c r="L1866" s="832"/>
      <c r="M1866" s="832"/>
      <c r="N1866" s="832"/>
      <c r="O1866" s="832"/>
      <c r="P1866" s="832"/>
      <c r="Q1866" s="832"/>
      <c r="R1866" s="832"/>
    </row>
    <row r="1867" spans="2:18">
      <c r="B1867" s="832"/>
      <c r="C1867" s="833"/>
      <c r="D1867" s="833"/>
      <c r="E1867" s="833"/>
      <c r="F1867" s="1111"/>
      <c r="G1867" s="1111"/>
      <c r="H1867" s="834"/>
      <c r="I1867" s="832"/>
      <c r="J1867" s="1111"/>
      <c r="K1867" s="832"/>
      <c r="L1867" s="832"/>
      <c r="M1867" s="832"/>
      <c r="N1867" s="832"/>
      <c r="O1867" s="832"/>
      <c r="P1867" s="832"/>
      <c r="Q1867" s="832"/>
      <c r="R1867" s="832"/>
    </row>
    <row r="1868" spans="2:18">
      <c r="B1868" s="832"/>
      <c r="C1868" s="833"/>
      <c r="D1868" s="833"/>
      <c r="E1868" s="833"/>
      <c r="F1868" s="1111"/>
      <c r="G1868" s="1111"/>
      <c r="H1868" s="834"/>
      <c r="I1868" s="832"/>
      <c r="J1868" s="1111"/>
      <c r="K1868" s="832"/>
      <c r="L1868" s="832"/>
      <c r="M1868" s="832"/>
      <c r="N1868" s="832"/>
      <c r="O1868" s="832"/>
      <c r="P1868" s="832"/>
      <c r="Q1868" s="832"/>
      <c r="R1868" s="832"/>
    </row>
    <row r="1869" spans="2:18">
      <c r="B1869" s="832"/>
      <c r="C1869" s="833"/>
      <c r="D1869" s="833"/>
      <c r="E1869" s="833"/>
      <c r="F1869" s="1111"/>
      <c r="G1869" s="1111"/>
      <c r="H1869" s="834"/>
      <c r="I1869" s="832"/>
      <c r="J1869" s="1111"/>
      <c r="K1869" s="832"/>
      <c r="L1869" s="832"/>
      <c r="M1869" s="832"/>
      <c r="N1869" s="832"/>
      <c r="O1869" s="832"/>
      <c r="P1869" s="832"/>
      <c r="Q1869" s="832"/>
      <c r="R1869" s="832"/>
    </row>
    <row r="1870" spans="2:18">
      <c r="B1870" s="832"/>
      <c r="C1870" s="833"/>
      <c r="D1870" s="833"/>
      <c r="E1870" s="833"/>
      <c r="F1870" s="1111"/>
      <c r="G1870" s="1111"/>
      <c r="H1870" s="834"/>
      <c r="I1870" s="832"/>
      <c r="J1870" s="1111"/>
      <c r="K1870" s="832"/>
      <c r="L1870" s="832"/>
      <c r="M1870" s="832"/>
      <c r="N1870" s="832"/>
      <c r="O1870" s="832"/>
      <c r="P1870" s="832"/>
      <c r="Q1870" s="832"/>
      <c r="R1870" s="832"/>
    </row>
    <row r="1871" spans="2:18">
      <c r="B1871" s="832"/>
      <c r="C1871" s="833"/>
      <c r="D1871" s="833"/>
      <c r="E1871" s="833"/>
      <c r="F1871" s="1111"/>
      <c r="G1871" s="1111"/>
      <c r="H1871" s="834"/>
      <c r="I1871" s="832"/>
      <c r="J1871" s="1111"/>
      <c r="K1871" s="832"/>
      <c r="L1871" s="832"/>
      <c r="M1871" s="832"/>
      <c r="N1871" s="832"/>
      <c r="O1871" s="832"/>
      <c r="P1871" s="832"/>
      <c r="Q1871" s="832"/>
      <c r="R1871" s="832"/>
    </row>
    <row r="1872" spans="2:18">
      <c r="B1872" s="832"/>
      <c r="C1872" s="833"/>
      <c r="D1872" s="833"/>
      <c r="E1872" s="833"/>
      <c r="F1872" s="1111"/>
      <c r="G1872" s="1111"/>
      <c r="H1872" s="834"/>
      <c r="I1872" s="832"/>
      <c r="J1872" s="1111"/>
      <c r="K1872" s="832"/>
      <c r="L1872" s="832"/>
      <c r="M1872" s="832"/>
      <c r="N1872" s="832"/>
      <c r="O1872" s="832"/>
      <c r="P1872" s="832"/>
      <c r="Q1872" s="832"/>
      <c r="R1872" s="832"/>
    </row>
    <row r="1873" spans="2:18">
      <c r="B1873" s="832"/>
      <c r="C1873" s="833"/>
      <c r="D1873" s="833"/>
      <c r="E1873" s="833"/>
      <c r="F1873" s="1111"/>
      <c r="G1873" s="1111"/>
      <c r="H1873" s="834"/>
      <c r="I1873" s="832"/>
      <c r="J1873" s="1111"/>
      <c r="K1873" s="832"/>
      <c r="L1873" s="832"/>
      <c r="M1873" s="832"/>
      <c r="N1873" s="832"/>
      <c r="O1873" s="832"/>
      <c r="P1873" s="832"/>
      <c r="Q1873" s="832"/>
      <c r="R1873" s="832"/>
    </row>
    <row r="1874" spans="2:18">
      <c r="B1874" s="832"/>
      <c r="C1874" s="833"/>
      <c r="D1874" s="833"/>
      <c r="E1874" s="833"/>
      <c r="F1874" s="1111"/>
      <c r="G1874" s="1111"/>
      <c r="H1874" s="834"/>
      <c r="I1874" s="832"/>
      <c r="J1874" s="1111"/>
      <c r="K1874" s="832"/>
      <c r="L1874" s="832"/>
      <c r="M1874" s="832"/>
      <c r="N1874" s="832"/>
      <c r="O1874" s="832"/>
      <c r="P1874" s="832"/>
      <c r="Q1874" s="832"/>
      <c r="R1874" s="832"/>
    </row>
    <row r="1875" spans="2:18">
      <c r="B1875" s="832"/>
      <c r="C1875" s="833"/>
      <c r="D1875" s="833"/>
      <c r="E1875" s="833"/>
      <c r="F1875" s="1111"/>
      <c r="G1875" s="1111"/>
      <c r="H1875" s="834"/>
      <c r="I1875" s="832"/>
      <c r="J1875" s="1111"/>
      <c r="K1875" s="832"/>
      <c r="L1875" s="832"/>
      <c r="M1875" s="832"/>
      <c r="N1875" s="832"/>
      <c r="O1875" s="832"/>
      <c r="P1875" s="832"/>
      <c r="Q1875" s="832"/>
      <c r="R1875" s="832"/>
    </row>
    <row r="1876" spans="2:18">
      <c r="B1876" s="832"/>
      <c r="C1876" s="833"/>
      <c r="D1876" s="833"/>
      <c r="E1876" s="833"/>
      <c r="F1876" s="1111"/>
      <c r="G1876" s="1111"/>
      <c r="H1876" s="834"/>
      <c r="I1876" s="832"/>
      <c r="J1876" s="1111"/>
      <c r="K1876" s="832"/>
      <c r="L1876" s="832"/>
      <c r="M1876" s="832"/>
      <c r="N1876" s="832"/>
      <c r="O1876" s="832"/>
      <c r="P1876" s="832"/>
      <c r="Q1876" s="832"/>
      <c r="R1876" s="832"/>
    </row>
    <row r="1877" spans="2:18">
      <c r="B1877" s="832"/>
      <c r="C1877" s="833"/>
      <c r="D1877" s="833"/>
      <c r="E1877" s="833"/>
      <c r="F1877" s="1111"/>
      <c r="G1877" s="1111"/>
      <c r="H1877" s="834"/>
      <c r="I1877" s="832"/>
      <c r="J1877" s="1111"/>
      <c r="K1877" s="832"/>
      <c r="L1877" s="832"/>
      <c r="M1877" s="832"/>
      <c r="N1877" s="832"/>
      <c r="O1877" s="832"/>
      <c r="P1877" s="832"/>
      <c r="Q1877" s="832"/>
      <c r="R1877" s="832"/>
    </row>
    <row r="1878" spans="2:18">
      <c r="B1878" s="832"/>
      <c r="C1878" s="833"/>
      <c r="D1878" s="833"/>
      <c r="E1878" s="833"/>
      <c r="F1878" s="1111"/>
      <c r="G1878" s="1111"/>
      <c r="H1878" s="834"/>
      <c r="I1878" s="832"/>
      <c r="J1878" s="1111"/>
      <c r="K1878" s="832"/>
      <c r="L1878" s="832"/>
      <c r="M1878" s="832"/>
      <c r="N1878" s="832"/>
      <c r="O1878" s="832"/>
      <c r="P1878" s="832"/>
      <c r="Q1878" s="832"/>
      <c r="R1878" s="832"/>
    </row>
    <row r="1879" spans="2:18">
      <c r="B1879" s="832"/>
      <c r="C1879" s="833"/>
      <c r="D1879" s="833"/>
      <c r="E1879" s="833"/>
      <c r="F1879" s="1111"/>
      <c r="G1879" s="1111"/>
      <c r="H1879" s="834"/>
      <c r="I1879" s="832"/>
      <c r="J1879" s="1111"/>
      <c r="K1879" s="832"/>
      <c r="L1879" s="832"/>
      <c r="M1879" s="832"/>
      <c r="N1879" s="832"/>
      <c r="O1879" s="832"/>
      <c r="P1879" s="832"/>
      <c r="Q1879" s="832"/>
      <c r="R1879" s="832"/>
    </row>
    <row r="1880" spans="2:18">
      <c r="B1880" s="832"/>
      <c r="C1880" s="833"/>
      <c r="D1880" s="833"/>
      <c r="E1880" s="833"/>
      <c r="F1880" s="1111"/>
      <c r="G1880" s="1111"/>
      <c r="H1880" s="834"/>
      <c r="I1880" s="832"/>
      <c r="J1880" s="1111"/>
      <c r="K1880" s="832"/>
      <c r="L1880" s="832"/>
      <c r="M1880" s="832"/>
      <c r="N1880" s="832"/>
      <c r="O1880" s="832"/>
      <c r="P1880" s="832"/>
      <c r="Q1880" s="832"/>
      <c r="R1880" s="832"/>
    </row>
    <row r="1881" spans="2:18">
      <c r="B1881" s="832"/>
      <c r="C1881" s="833"/>
      <c r="D1881" s="833"/>
      <c r="E1881" s="833"/>
      <c r="F1881" s="1111"/>
      <c r="G1881" s="1111"/>
      <c r="H1881" s="834"/>
      <c r="I1881" s="832"/>
      <c r="J1881" s="1111"/>
      <c r="K1881" s="832"/>
      <c r="L1881" s="832"/>
      <c r="M1881" s="832"/>
      <c r="N1881" s="832"/>
      <c r="O1881" s="832"/>
      <c r="P1881" s="832"/>
      <c r="Q1881" s="832"/>
      <c r="R1881" s="832"/>
    </row>
    <row r="1882" spans="2:18">
      <c r="B1882" s="832"/>
      <c r="C1882" s="833"/>
      <c r="D1882" s="833"/>
      <c r="E1882" s="833"/>
      <c r="F1882" s="1111"/>
      <c r="G1882" s="1111"/>
      <c r="H1882" s="834"/>
      <c r="I1882" s="832"/>
      <c r="J1882" s="1111"/>
      <c r="K1882" s="832"/>
      <c r="L1882" s="832"/>
      <c r="M1882" s="832"/>
      <c r="N1882" s="832"/>
      <c r="O1882" s="832"/>
      <c r="P1882" s="832"/>
      <c r="Q1882" s="832"/>
      <c r="R1882" s="832"/>
    </row>
    <row r="1883" spans="2:18">
      <c r="B1883" s="832"/>
      <c r="C1883" s="833"/>
      <c r="D1883" s="833"/>
      <c r="E1883" s="833"/>
      <c r="F1883" s="1111"/>
      <c r="G1883" s="1111"/>
      <c r="H1883" s="834"/>
      <c r="I1883" s="832"/>
      <c r="J1883" s="1111"/>
      <c r="K1883" s="832"/>
      <c r="L1883" s="832"/>
      <c r="M1883" s="832"/>
      <c r="N1883" s="832"/>
      <c r="O1883" s="832"/>
      <c r="P1883" s="832"/>
      <c r="Q1883" s="832"/>
      <c r="R1883" s="832"/>
    </row>
    <row r="1884" spans="2:18">
      <c r="B1884" s="832"/>
      <c r="C1884" s="833"/>
      <c r="D1884" s="833"/>
      <c r="E1884" s="833"/>
      <c r="F1884" s="1111"/>
      <c r="G1884" s="1111"/>
      <c r="H1884" s="834"/>
      <c r="I1884" s="832"/>
      <c r="J1884" s="1111"/>
      <c r="K1884" s="832"/>
      <c r="L1884" s="832"/>
      <c r="M1884" s="832"/>
      <c r="N1884" s="832"/>
      <c r="O1884" s="832"/>
      <c r="P1884" s="832"/>
      <c r="Q1884" s="832"/>
      <c r="R1884" s="832"/>
    </row>
    <row r="1885" spans="2:18">
      <c r="B1885" s="832"/>
      <c r="C1885" s="833"/>
      <c r="D1885" s="833"/>
      <c r="E1885" s="833"/>
      <c r="F1885" s="1111"/>
      <c r="G1885" s="1111"/>
      <c r="H1885" s="834"/>
      <c r="I1885" s="832"/>
      <c r="J1885" s="1111"/>
      <c r="K1885" s="832"/>
      <c r="L1885" s="832"/>
      <c r="M1885" s="832"/>
      <c r="N1885" s="832"/>
      <c r="O1885" s="832"/>
      <c r="P1885" s="832"/>
      <c r="Q1885" s="832"/>
      <c r="R1885" s="832"/>
    </row>
    <row r="1886" spans="2:18">
      <c r="B1886" s="832"/>
      <c r="C1886" s="833"/>
      <c r="D1886" s="833"/>
      <c r="E1886" s="833"/>
      <c r="F1886" s="1111"/>
      <c r="G1886" s="1111"/>
      <c r="H1886" s="834"/>
      <c r="I1886" s="832"/>
      <c r="J1886" s="1111"/>
      <c r="K1886" s="832"/>
      <c r="L1886" s="832"/>
      <c r="M1886" s="832"/>
      <c r="N1886" s="832"/>
      <c r="O1886" s="832"/>
      <c r="P1886" s="832"/>
      <c r="Q1886" s="832"/>
      <c r="R1886" s="832"/>
    </row>
    <row r="1887" spans="2:18">
      <c r="B1887" s="832"/>
      <c r="C1887" s="833"/>
      <c r="D1887" s="833"/>
      <c r="E1887" s="833"/>
      <c r="F1887" s="1111"/>
      <c r="G1887" s="1111"/>
      <c r="H1887" s="834"/>
      <c r="I1887" s="832"/>
      <c r="J1887" s="1111"/>
      <c r="K1887" s="832"/>
      <c r="L1887" s="832"/>
      <c r="M1887" s="832"/>
      <c r="N1887" s="832"/>
      <c r="O1887" s="832"/>
      <c r="P1887" s="832"/>
      <c r="Q1887" s="832"/>
      <c r="R1887" s="832"/>
    </row>
    <row r="1888" spans="2:18">
      <c r="B1888" s="832"/>
      <c r="C1888" s="833"/>
      <c r="D1888" s="833"/>
      <c r="E1888" s="833"/>
      <c r="F1888" s="1111"/>
      <c r="G1888" s="1111"/>
      <c r="H1888" s="834"/>
      <c r="I1888" s="832"/>
      <c r="J1888" s="1111"/>
      <c r="K1888" s="832"/>
      <c r="L1888" s="832"/>
      <c r="M1888" s="832"/>
      <c r="N1888" s="832"/>
      <c r="O1888" s="832"/>
      <c r="P1888" s="832"/>
      <c r="Q1888" s="832"/>
      <c r="R1888" s="832"/>
    </row>
    <row r="1889" spans="2:18">
      <c r="B1889" s="832"/>
      <c r="C1889" s="833"/>
      <c r="D1889" s="833"/>
      <c r="E1889" s="833"/>
      <c r="F1889" s="1111"/>
      <c r="G1889" s="1111"/>
      <c r="H1889" s="834"/>
      <c r="I1889" s="832"/>
      <c r="J1889" s="1111"/>
      <c r="K1889" s="832"/>
      <c r="L1889" s="832"/>
      <c r="M1889" s="832"/>
      <c r="N1889" s="832"/>
      <c r="O1889" s="832"/>
      <c r="P1889" s="832"/>
      <c r="Q1889" s="832"/>
      <c r="R1889" s="832"/>
    </row>
    <row r="1890" spans="2:18">
      <c r="B1890" s="832"/>
      <c r="C1890" s="833"/>
      <c r="D1890" s="833"/>
      <c r="E1890" s="833"/>
      <c r="F1890" s="1111"/>
      <c r="G1890" s="1111"/>
      <c r="H1890" s="834"/>
      <c r="I1890" s="832"/>
      <c r="J1890" s="1111"/>
      <c r="K1890" s="832"/>
      <c r="L1890" s="832"/>
      <c r="M1890" s="832"/>
      <c r="N1890" s="832"/>
      <c r="O1890" s="832"/>
      <c r="P1890" s="832"/>
      <c r="Q1890" s="832"/>
      <c r="R1890" s="832"/>
    </row>
    <row r="1891" spans="2:18">
      <c r="B1891" s="832"/>
      <c r="C1891" s="833"/>
      <c r="D1891" s="833"/>
      <c r="E1891" s="833"/>
      <c r="F1891" s="1111"/>
      <c r="G1891" s="1111"/>
      <c r="H1891" s="834"/>
      <c r="I1891" s="832"/>
      <c r="J1891" s="1111"/>
      <c r="K1891" s="832"/>
      <c r="L1891" s="832"/>
      <c r="M1891" s="832"/>
      <c r="N1891" s="832"/>
      <c r="O1891" s="832"/>
      <c r="P1891" s="832"/>
      <c r="Q1891" s="832"/>
      <c r="R1891" s="832"/>
    </row>
    <row r="1892" spans="2:18">
      <c r="B1892" s="832"/>
      <c r="C1892" s="833"/>
      <c r="D1892" s="833"/>
      <c r="E1892" s="833"/>
      <c r="F1892" s="1111"/>
      <c r="G1892" s="1111"/>
      <c r="H1892" s="834"/>
      <c r="I1892" s="832"/>
      <c r="J1892" s="1111"/>
      <c r="K1892" s="832"/>
      <c r="L1892" s="832"/>
      <c r="M1892" s="832"/>
      <c r="N1892" s="832"/>
      <c r="O1892" s="832"/>
      <c r="P1892" s="832"/>
      <c r="Q1892" s="832"/>
      <c r="R1892" s="832"/>
    </row>
    <row r="1893" spans="2:18">
      <c r="B1893" s="832"/>
      <c r="C1893" s="833"/>
      <c r="D1893" s="833"/>
      <c r="E1893" s="833"/>
      <c r="F1893" s="1111"/>
      <c r="G1893" s="1111"/>
      <c r="H1893" s="834"/>
      <c r="I1893" s="832"/>
      <c r="J1893" s="1111"/>
      <c r="K1893" s="832"/>
      <c r="L1893" s="832"/>
      <c r="M1893" s="832"/>
      <c r="N1893" s="832"/>
      <c r="O1893" s="832"/>
      <c r="P1893" s="832"/>
      <c r="Q1893" s="832"/>
      <c r="R1893" s="832"/>
    </row>
    <row r="1894" spans="2:18">
      <c r="B1894" s="832"/>
      <c r="C1894" s="833"/>
      <c r="D1894" s="833"/>
      <c r="E1894" s="833"/>
      <c r="F1894" s="1111"/>
      <c r="G1894" s="1111"/>
      <c r="H1894" s="834"/>
      <c r="I1894" s="832"/>
      <c r="J1894" s="1111"/>
      <c r="K1894" s="832"/>
      <c r="L1894" s="832"/>
      <c r="M1894" s="832"/>
      <c r="N1894" s="832"/>
      <c r="O1894" s="832"/>
      <c r="P1894" s="832"/>
      <c r="Q1894" s="832"/>
      <c r="R1894" s="832"/>
    </row>
    <row r="1895" spans="2:18">
      <c r="B1895" s="832"/>
      <c r="C1895" s="833"/>
      <c r="D1895" s="833"/>
      <c r="E1895" s="833"/>
      <c r="F1895" s="1111"/>
      <c r="G1895" s="1111"/>
      <c r="H1895" s="834"/>
      <c r="I1895" s="832"/>
      <c r="J1895" s="1111"/>
      <c r="K1895" s="832"/>
      <c r="L1895" s="832"/>
      <c r="M1895" s="832"/>
      <c r="N1895" s="832"/>
      <c r="O1895" s="832"/>
      <c r="P1895" s="832"/>
      <c r="Q1895" s="832"/>
      <c r="R1895" s="832"/>
    </row>
    <row r="1896" spans="2:18">
      <c r="B1896" s="832"/>
      <c r="C1896" s="833"/>
      <c r="D1896" s="833"/>
      <c r="E1896" s="833"/>
      <c r="F1896" s="1111"/>
      <c r="G1896" s="1111"/>
      <c r="H1896" s="834"/>
      <c r="I1896" s="832"/>
      <c r="J1896" s="1111"/>
      <c r="K1896" s="832"/>
      <c r="L1896" s="832"/>
      <c r="M1896" s="832"/>
      <c r="N1896" s="832"/>
      <c r="O1896" s="832"/>
      <c r="P1896" s="832"/>
      <c r="Q1896" s="832"/>
      <c r="R1896" s="832"/>
    </row>
    <row r="1897" spans="2:18">
      <c r="B1897" s="832"/>
      <c r="C1897" s="833"/>
      <c r="D1897" s="833"/>
      <c r="E1897" s="833"/>
      <c r="F1897" s="1111"/>
      <c r="G1897" s="1111"/>
      <c r="H1897" s="834"/>
      <c r="I1897" s="832"/>
      <c r="J1897" s="1111"/>
      <c r="K1897" s="832"/>
      <c r="L1897" s="832"/>
      <c r="M1897" s="832"/>
      <c r="N1897" s="832"/>
      <c r="O1897" s="832"/>
      <c r="P1897" s="832"/>
      <c r="Q1897" s="832"/>
      <c r="R1897" s="832"/>
    </row>
    <row r="1898" spans="2:18">
      <c r="B1898" s="832"/>
      <c r="C1898" s="833"/>
      <c r="D1898" s="833"/>
      <c r="E1898" s="833"/>
      <c r="F1898" s="1111"/>
      <c r="G1898" s="1111"/>
      <c r="H1898" s="834"/>
      <c r="I1898" s="832"/>
      <c r="J1898" s="1111"/>
      <c r="K1898" s="832"/>
      <c r="L1898" s="832"/>
      <c r="M1898" s="832"/>
      <c r="N1898" s="832"/>
      <c r="O1898" s="832"/>
      <c r="P1898" s="832"/>
      <c r="Q1898" s="832"/>
      <c r="R1898" s="832"/>
    </row>
    <row r="1899" spans="2:18">
      <c r="B1899" s="832"/>
      <c r="C1899" s="833"/>
      <c r="D1899" s="833"/>
      <c r="E1899" s="833"/>
      <c r="F1899" s="1111"/>
      <c r="G1899" s="1111"/>
      <c r="H1899" s="834"/>
      <c r="I1899" s="832"/>
      <c r="J1899" s="1111"/>
      <c r="K1899" s="832"/>
      <c r="L1899" s="832"/>
      <c r="M1899" s="832"/>
      <c r="N1899" s="832"/>
      <c r="O1899" s="832"/>
      <c r="P1899" s="832"/>
      <c r="Q1899" s="832"/>
      <c r="R1899" s="832"/>
    </row>
    <row r="1900" spans="2:18">
      <c r="B1900" s="832"/>
      <c r="C1900" s="833"/>
      <c r="D1900" s="833"/>
      <c r="E1900" s="833"/>
      <c r="F1900" s="1111"/>
      <c r="G1900" s="1111"/>
      <c r="H1900" s="834"/>
      <c r="I1900" s="832"/>
      <c r="J1900" s="1111"/>
      <c r="K1900" s="832"/>
      <c r="L1900" s="832"/>
      <c r="M1900" s="832"/>
      <c r="N1900" s="832"/>
      <c r="O1900" s="832"/>
      <c r="P1900" s="832"/>
      <c r="Q1900" s="832"/>
      <c r="R1900" s="832"/>
    </row>
    <row r="1901" spans="2:18">
      <c r="B1901" s="832"/>
      <c r="C1901" s="833"/>
      <c r="D1901" s="833"/>
      <c r="E1901" s="833"/>
      <c r="F1901" s="1111"/>
      <c r="G1901" s="1111"/>
      <c r="H1901" s="834"/>
      <c r="I1901" s="832"/>
      <c r="J1901" s="1111"/>
      <c r="K1901" s="832"/>
      <c r="L1901" s="832"/>
      <c r="M1901" s="832"/>
      <c r="N1901" s="832"/>
      <c r="O1901" s="832"/>
      <c r="P1901" s="832"/>
      <c r="Q1901" s="832"/>
      <c r="R1901" s="832"/>
    </row>
    <row r="1902" spans="2:18">
      <c r="B1902" s="832"/>
      <c r="C1902" s="833"/>
      <c r="D1902" s="833"/>
      <c r="E1902" s="833"/>
      <c r="F1902" s="1111"/>
      <c r="G1902" s="1111"/>
      <c r="H1902" s="834"/>
      <c r="I1902" s="832"/>
      <c r="J1902" s="1111"/>
      <c r="K1902" s="832"/>
      <c r="L1902" s="832"/>
      <c r="M1902" s="832"/>
      <c r="N1902" s="832"/>
      <c r="O1902" s="832"/>
      <c r="P1902" s="832"/>
      <c r="Q1902" s="832"/>
      <c r="R1902" s="832"/>
    </row>
    <row r="1903" spans="2:18">
      <c r="B1903" s="832"/>
      <c r="C1903" s="833"/>
      <c r="D1903" s="833"/>
      <c r="E1903" s="833"/>
      <c r="F1903" s="1111"/>
      <c r="G1903" s="1111"/>
      <c r="H1903" s="834"/>
      <c r="I1903" s="832"/>
      <c r="J1903" s="1111"/>
      <c r="K1903" s="832"/>
      <c r="L1903" s="832"/>
      <c r="M1903" s="832"/>
      <c r="N1903" s="832"/>
      <c r="O1903" s="832"/>
      <c r="P1903" s="832"/>
      <c r="Q1903" s="832"/>
      <c r="R1903" s="832"/>
    </row>
    <row r="1904" spans="2:18">
      <c r="B1904" s="832"/>
      <c r="C1904" s="833"/>
      <c r="D1904" s="833"/>
      <c r="E1904" s="833"/>
      <c r="F1904" s="1111"/>
      <c r="G1904" s="1111"/>
      <c r="H1904" s="834"/>
      <c r="I1904" s="832"/>
      <c r="J1904" s="1111"/>
      <c r="K1904" s="832"/>
      <c r="L1904" s="832"/>
      <c r="M1904" s="832"/>
      <c r="N1904" s="832"/>
      <c r="O1904" s="832"/>
      <c r="P1904" s="832"/>
      <c r="Q1904" s="832"/>
      <c r="R1904" s="832"/>
    </row>
    <row r="1905" spans="2:18">
      <c r="B1905" s="832"/>
      <c r="C1905" s="833"/>
      <c r="D1905" s="833"/>
      <c r="E1905" s="833"/>
      <c r="F1905" s="1111"/>
      <c r="G1905" s="1111"/>
      <c r="H1905" s="834"/>
      <c r="I1905" s="832"/>
      <c r="J1905" s="1111"/>
      <c r="K1905" s="832"/>
      <c r="L1905" s="832"/>
      <c r="M1905" s="832"/>
      <c r="N1905" s="832"/>
      <c r="O1905" s="832"/>
      <c r="P1905" s="832"/>
      <c r="Q1905" s="832"/>
      <c r="R1905" s="832"/>
    </row>
    <row r="1906" spans="2:18">
      <c r="B1906" s="832"/>
      <c r="C1906" s="833"/>
      <c r="D1906" s="833"/>
      <c r="E1906" s="833"/>
      <c r="F1906" s="1111"/>
      <c r="G1906" s="1111"/>
      <c r="H1906" s="834"/>
      <c r="I1906" s="832"/>
      <c r="J1906" s="1111"/>
      <c r="K1906" s="832"/>
      <c r="L1906" s="832"/>
      <c r="M1906" s="832"/>
      <c r="N1906" s="832"/>
      <c r="O1906" s="832"/>
      <c r="P1906" s="832"/>
      <c r="Q1906" s="832"/>
      <c r="R1906" s="832"/>
    </row>
    <row r="1907" spans="2:18">
      <c r="B1907" s="832"/>
      <c r="C1907" s="833"/>
      <c r="D1907" s="833"/>
      <c r="E1907" s="833"/>
      <c r="F1907" s="1111"/>
      <c r="G1907" s="1111"/>
      <c r="H1907" s="834"/>
      <c r="I1907" s="832"/>
      <c r="J1907" s="1111"/>
      <c r="K1907" s="832"/>
      <c r="L1907" s="832"/>
      <c r="M1907" s="832"/>
      <c r="N1907" s="832"/>
      <c r="O1907" s="832"/>
      <c r="P1907" s="832"/>
      <c r="Q1907" s="832"/>
      <c r="R1907" s="832"/>
    </row>
    <row r="1908" spans="2:18">
      <c r="B1908" s="832"/>
      <c r="C1908" s="833"/>
      <c r="D1908" s="833"/>
      <c r="E1908" s="833"/>
      <c r="F1908" s="1111"/>
      <c r="G1908" s="1111"/>
      <c r="H1908" s="834"/>
      <c r="I1908" s="832"/>
      <c r="J1908" s="1111"/>
      <c r="K1908" s="832"/>
      <c r="L1908" s="832"/>
      <c r="M1908" s="832"/>
      <c r="N1908" s="832"/>
      <c r="O1908" s="832"/>
      <c r="P1908" s="832"/>
      <c r="Q1908" s="832"/>
      <c r="R1908" s="832"/>
    </row>
    <row r="1909" spans="2:18">
      <c r="B1909" s="832"/>
      <c r="C1909" s="833"/>
      <c r="D1909" s="833"/>
      <c r="E1909" s="833"/>
      <c r="F1909" s="1111"/>
      <c r="G1909" s="1111"/>
      <c r="H1909" s="834"/>
      <c r="I1909" s="832"/>
      <c r="J1909" s="1111"/>
      <c r="K1909" s="832"/>
      <c r="L1909" s="832"/>
      <c r="M1909" s="832"/>
      <c r="N1909" s="832"/>
      <c r="O1909" s="832"/>
      <c r="P1909" s="832"/>
      <c r="Q1909" s="832"/>
      <c r="R1909" s="832"/>
    </row>
    <row r="1910" spans="2:18">
      <c r="B1910" s="832"/>
      <c r="C1910" s="833"/>
      <c r="D1910" s="833"/>
      <c r="E1910" s="833"/>
      <c r="F1910" s="1111"/>
      <c r="G1910" s="1111"/>
      <c r="H1910" s="834"/>
      <c r="I1910" s="832"/>
      <c r="J1910" s="1111"/>
      <c r="K1910" s="832"/>
      <c r="L1910" s="832"/>
      <c r="M1910" s="832"/>
      <c r="N1910" s="832"/>
      <c r="O1910" s="832"/>
      <c r="P1910" s="832"/>
      <c r="Q1910" s="832"/>
      <c r="R1910" s="832"/>
    </row>
    <row r="1911" spans="2:18">
      <c r="B1911" s="832"/>
      <c r="C1911" s="833"/>
      <c r="D1911" s="833"/>
      <c r="E1911" s="833"/>
      <c r="F1911" s="1111"/>
      <c r="G1911" s="1111"/>
      <c r="H1911" s="834"/>
      <c r="I1911" s="832"/>
      <c r="J1911" s="1111"/>
      <c r="K1911" s="832"/>
      <c r="L1911" s="832"/>
      <c r="M1911" s="832"/>
      <c r="N1911" s="832"/>
      <c r="O1911" s="832"/>
      <c r="P1911" s="832"/>
      <c r="Q1911" s="832"/>
      <c r="R1911" s="832"/>
    </row>
    <row r="1912" spans="2:18">
      <c r="B1912" s="832"/>
      <c r="C1912" s="833"/>
      <c r="D1912" s="833"/>
      <c r="E1912" s="833"/>
      <c r="F1912" s="1111"/>
      <c r="G1912" s="1111"/>
      <c r="H1912" s="834"/>
      <c r="I1912" s="832"/>
      <c r="J1912" s="1111"/>
      <c r="K1912" s="832"/>
      <c r="L1912" s="832"/>
      <c r="M1912" s="832"/>
      <c r="N1912" s="832"/>
      <c r="O1912" s="832"/>
      <c r="P1912" s="832"/>
      <c r="Q1912" s="832"/>
      <c r="R1912" s="832"/>
    </row>
    <row r="1913" spans="2:18">
      <c r="B1913" s="832"/>
      <c r="C1913" s="833"/>
      <c r="D1913" s="833"/>
      <c r="E1913" s="833"/>
      <c r="F1913" s="1111"/>
      <c r="G1913" s="1111"/>
      <c r="H1913" s="834"/>
      <c r="I1913" s="832"/>
      <c r="J1913" s="1111"/>
      <c r="K1913" s="832"/>
      <c r="L1913" s="832"/>
      <c r="M1913" s="832"/>
      <c r="N1913" s="832"/>
      <c r="O1913" s="832"/>
      <c r="P1913" s="832"/>
      <c r="Q1913" s="832"/>
      <c r="R1913" s="832"/>
    </row>
    <row r="1914" spans="2:18">
      <c r="B1914" s="832"/>
      <c r="C1914" s="833"/>
      <c r="D1914" s="833"/>
      <c r="E1914" s="833"/>
      <c r="F1914" s="1111"/>
      <c r="G1914" s="1111"/>
      <c r="H1914" s="834"/>
      <c r="I1914" s="832"/>
      <c r="J1914" s="1111"/>
      <c r="K1914" s="832"/>
      <c r="L1914" s="832"/>
      <c r="M1914" s="832"/>
      <c r="N1914" s="832"/>
      <c r="O1914" s="832"/>
      <c r="P1914" s="832"/>
      <c r="Q1914" s="832"/>
      <c r="R1914" s="832"/>
    </row>
    <row r="1915" spans="2:18">
      <c r="B1915" s="832"/>
      <c r="C1915" s="833"/>
      <c r="D1915" s="833"/>
      <c r="E1915" s="833"/>
      <c r="F1915" s="1111"/>
      <c r="G1915" s="1111"/>
      <c r="H1915" s="834"/>
      <c r="I1915" s="832"/>
      <c r="J1915" s="1111"/>
      <c r="K1915" s="832"/>
      <c r="L1915" s="832"/>
      <c r="M1915" s="832"/>
      <c r="N1915" s="832"/>
      <c r="O1915" s="832"/>
      <c r="P1915" s="832"/>
      <c r="Q1915" s="832"/>
      <c r="R1915" s="832"/>
    </row>
    <row r="1916" spans="2:18">
      <c r="B1916" s="832"/>
      <c r="C1916" s="833"/>
      <c r="D1916" s="833"/>
      <c r="E1916" s="833"/>
      <c r="F1916" s="1111"/>
      <c r="G1916" s="1111"/>
      <c r="H1916" s="834"/>
      <c r="I1916" s="832"/>
      <c r="J1916" s="1111"/>
      <c r="K1916" s="832"/>
      <c r="L1916" s="832"/>
      <c r="M1916" s="832"/>
      <c r="N1916" s="832"/>
      <c r="O1916" s="832"/>
      <c r="P1916" s="832"/>
      <c r="Q1916" s="832"/>
      <c r="R1916" s="832"/>
    </row>
    <row r="1917" spans="2:18">
      <c r="B1917" s="832"/>
      <c r="C1917" s="833"/>
      <c r="D1917" s="833"/>
      <c r="E1917" s="833"/>
      <c r="F1917" s="1111"/>
      <c r="G1917" s="1111"/>
      <c r="H1917" s="834"/>
      <c r="I1917" s="832"/>
      <c r="J1917" s="1111"/>
      <c r="K1917" s="832"/>
      <c r="L1917" s="832"/>
      <c r="M1917" s="832"/>
      <c r="N1917" s="832"/>
      <c r="O1917" s="832"/>
      <c r="P1917" s="832"/>
      <c r="Q1917" s="832"/>
      <c r="R1917" s="832"/>
    </row>
    <row r="1918" spans="2:18">
      <c r="B1918" s="832"/>
      <c r="C1918" s="833"/>
      <c r="D1918" s="833"/>
      <c r="E1918" s="833"/>
      <c r="F1918" s="1111"/>
      <c r="G1918" s="1111"/>
      <c r="H1918" s="834"/>
      <c r="I1918" s="832"/>
      <c r="J1918" s="1111"/>
      <c r="K1918" s="832"/>
      <c r="L1918" s="832"/>
      <c r="M1918" s="832"/>
      <c r="N1918" s="832"/>
      <c r="O1918" s="832"/>
      <c r="P1918" s="832"/>
      <c r="Q1918" s="832"/>
      <c r="R1918" s="832"/>
    </row>
    <row r="1919" spans="2:18">
      <c r="B1919" s="832"/>
      <c r="C1919" s="833"/>
      <c r="D1919" s="833"/>
      <c r="E1919" s="833"/>
      <c r="F1919" s="1111"/>
      <c r="G1919" s="1111"/>
      <c r="H1919" s="834"/>
      <c r="I1919" s="832"/>
      <c r="J1919" s="1111"/>
      <c r="K1919" s="832"/>
      <c r="L1919" s="832"/>
      <c r="M1919" s="832"/>
      <c r="N1919" s="832"/>
      <c r="O1919" s="832"/>
      <c r="P1919" s="832"/>
      <c r="Q1919" s="832"/>
      <c r="R1919" s="832"/>
    </row>
    <row r="1920" spans="2:18">
      <c r="B1920" s="832"/>
      <c r="C1920" s="833"/>
      <c r="D1920" s="833"/>
      <c r="E1920" s="833"/>
      <c r="F1920" s="1111"/>
      <c r="G1920" s="1111"/>
      <c r="H1920" s="834"/>
      <c r="I1920" s="832"/>
      <c r="J1920" s="1111"/>
      <c r="K1920" s="832"/>
      <c r="L1920" s="832"/>
      <c r="M1920" s="832"/>
      <c r="N1920" s="832"/>
      <c r="O1920" s="832"/>
      <c r="P1920" s="832"/>
      <c r="Q1920" s="832"/>
      <c r="R1920" s="832"/>
    </row>
    <row r="1921" spans="2:18">
      <c r="B1921" s="832"/>
      <c r="C1921" s="833"/>
      <c r="D1921" s="833"/>
      <c r="E1921" s="833"/>
      <c r="F1921" s="1111"/>
      <c r="G1921" s="1111"/>
      <c r="H1921" s="834"/>
      <c r="I1921" s="832"/>
      <c r="J1921" s="1111"/>
      <c r="K1921" s="832"/>
      <c r="L1921" s="832"/>
      <c r="M1921" s="832"/>
      <c r="N1921" s="832"/>
      <c r="O1921" s="832"/>
      <c r="P1921" s="832"/>
      <c r="Q1921" s="832"/>
      <c r="R1921" s="832"/>
    </row>
    <row r="1922" spans="2:18">
      <c r="B1922" s="832"/>
      <c r="C1922" s="833"/>
      <c r="D1922" s="833"/>
      <c r="E1922" s="833"/>
      <c r="F1922" s="1111"/>
      <c r="G1922" s="1111"/>
      <c r="H1922" s="834"/>
      <c r="I1922" s="832"/>
      <c r="J1922" s="1111"/>
      <c r="K1922" s="832"/>
      <c r="L1922" s="832"/>
      <c r="M1922" s="832"/>
      <c r="N1922" s="832"/>
      <c r="O1922" s="832"/>
      <c r="P1922" s="832"/>
      <c r="Q1922" s="832"/>
      <c r="R1922" s="832"/>
    </row>
    <row r="1923" spans="2:18">
      <c r="B1923" s="832"/>
      <c r="C1923" s="833"/>
      <c r="D1923" s="833"/>
      <c r="E1923" s="833"/>
      <c r="F1923" s="1111"/>
      <c r="G1923" s="1111"/>
      <c r="H1923" s="834"/>
      <c r="I1923" s="832"/>
      <c r="J1923" s="1111"/>
      <c r="K1923" s="832"/>
      <c r="L1923" s="832"/>
      <c r="M1923" s="832"/>
      <c r="N1923" s="832"/>
      <c r="O1923" s="832"/>
      <c r="P1923" s="832"/>
      <c r="Q1923" s="832"/>
      <c r="R1923" s="832"/>
    </row>
    <row r="1924" spans="2:18">
      <c r="B1924" s="832"/>
      <c r="C1924" s="833"/>
      <c r="D1924" s="833"/>
      <c r="E1924" s="833"/>
      <c r="F1924" s="1111"/>
      <c r="G1924" s="1111"/>
      <c r="H1924" s="834"/>
      <c r="I1924" s="832"/>
      <c r="J1924" s="1111"/>
      <c r="K1924" s="832"/>
      <c r="L1924" s="832"/>
      <c r="M1924" s="832"/>
      <c r="N1924" s="832"/>
      <c r="O1924" s="832"/>
      <c r="P1924" s="832"/>
      <c r="Q1924" s="832"/>
      <c r="R1924" s="832"/>
    </row>
    <row r="1925" spans="2:18">
      <c r="B1925" s="832"/>
      <c r="C1925" s="833"/>
      <c r="D1925" s="833"/>
      <c r="E1925" s="833"/>
      <c r="F1925" s="1111"/>
      <c r="G1925" s="1111"/>
      <c r="H1925" s="834"/>
      <c r="I1925" s="832"/>
      <c r="J1925" s="1111"/>
      <c r="K1925" s="832"/>
      <c r="L1925" s="832"/>
      <c r="M1925" s="832"/>
      <c r="N1925" s="832"/>
      <c r="O1925" s="832"/>
      <c r="P1925" s="832"/>
      <c r="Q1925" s="832"/>
      <c r="R1925" s="832"/>
    </row>
    <row r="1926" spans="2:18">
      <c r="B1926" s="832"/>
      <c r="C1926" s="833"/>
      <c r="D1926" s="833"/>
      <c r="E1926" s="833"/>
      <c r="F1926" s="1111"/>
      <c r="G1926" s="1111"/>
      <c r="H1926" s="834"/>
      <c r="I1926" s="832"/>
      <c r="J1926" s="1111"/>
      <c r="K1926" s="832"/>
      <c r="L1926" s="832"/>
      <c r="M1926" s="832"/>
      <c r="N1926" s="832"/>
      <c r="O1926" s="832"/>
      <c r="P1926" s="832"/>
      <c r="Q1926" s="832"/>
      <c r="R1926" s="832"/>
    </row>
    <row r="1927" spans="2:18">
      <c r="B1927" s="832"/>
      <c r="C1927" s="833"/>
      <c r="D1927" s="833"/>
      <c r="E1927" s="833"/>
      <c r="F1927" s="1111"/>
      <c r="G1927" s="1111"/>
      <c r="H1927" s="834"/>
      <c r="I1927" s="832"/>
      <c r="J1927" s="1111"/>
      <c r="K1927" s="832"/>
      <c r="L1927" s="832"/>
      <c r="M1927" s="832"/>
      <c r="N1927" s="832"/>
      <c r="O1927" s="832"/>
      <c r="P1927" s="832"/>
      <c r="Q1927" s="832"/>
      <c r="R1927" s="832"/>
    </row>
    <row r="1928" spans="2:18">
      <c r="B1928" s="832"/>
      <c r="C1928" s="833"/>
      <c r="D1928" s="833"/>
      <c r="E1928" s="833"/>
      <c r="F1928" s="1111"/>
      <c r="G1928" s="1111"/>
      <c r="H1928" s="834"/>
      <c r="I1928" s="832"/>
      <c r="J1928" s="1111"/>
      <c r="K1928" s="832"/>
      <c r="L1928" s="832"/>
      <c r="M1928" s="832"/>
      <c r="N1928" s="832"/>
      <c r="O1928" s="832"/>
      <c r="P1928" s="832"/>
      <c r="Q1928" s="832"/>
      <c r="R1928" s="832"/>
    </row>
    <row r="1929" spans="2:18">
      <c r="B1929" s="832"/>
      <c r="C1929" s="833"/>
      <c r="D1929" s="833"/>
      <c r="E1929" s="833"/>
      <c r="F1929" s="1111"/>
      <c r="G1929" s="1111"/>
      <c r="H1929" s="834"/>
      <c r="I1929" s="832"/>
      <c r="J1929" s="1111"/>
      <c r="K1929" s="832"/>
      <c r="L1929" s="832"/>
      <c r="M1929" s="832"/>
      <c r="N1929" s="832"/>
      <c r="O1929" s="832"/>
      <c r="P1929" s="832"/>
      <c r="Q1929" s="832"/>
      <c r="R1929" s="832"/>
    </row>
    <row r="1930" spans="2:18">
      <c r="B1930" s="832"/>
      <c r="C1930" s="833"/>
      <c r="D1930" s="833"/>
      <c r="E1930" s="833"/>
      <c r="F1930" s="1111"/>
      <c r="G1930" s="1111"/>
      <c r="H1930" s="834"/>
      <c r="I1930" s="832"/>
      <c r="J1930" s="1111"/>
      <c r="K1930" s="832"/>
      <c r="L1930" s="832"/>
      <c r="M1930" s="832"/>
      <c r="N1930" s="832"/>
      <c r="O1930" s="832"/>
      <c r="P1930" s="832"/>
      <c r="Q1930" s="832"/>
      <c r="R1930" s="832"/>
    </row>
    <row r="1931" spans="2:18">
      <c r="B1931" s="832"/>
      <c r="C1931" s="833"/>
      <c r="D1931" s="833"/>
      <c r="E1931" s="833"/>
      <c r="F1931" s="1111"/>
      <c r="G1931" s="1111"/>
      <c r="H1931" s="834"/>
      <c r="I1931" s="832"/>
      <c r="J1931" s="1111"/>
      <c r="K1931" s="832"/>
      <c r="L1931" s="832"/>
      <c r="M1931" s="832"/>
      <c r="N1931" s="832"/>
      <c r="O1931" s="832"/>
      <c r="P1931" s="832"/>
      <c r="Q1931" s="832"/>
      <c r="R1931" s="832"/>
    </row>
    <row r="1932" spans="2:18">
      <c r="B1932" s="832"/>
      <c r="C1932" s="833"/>
      <c r="D1932" s="833"/>
      <c r="E1932" s="833"/>
      <c r="F1932" s="1111"/>
      <c r="G1932" s="1111"/>
      <c r="H1932" s="834"/>
      <c r="I1932" s="832"/>
      <c r="J1932" s="1111"/>
      <c r="K1932" s="832"/>
      <c r="L1932" s="832"/>
      <c r="M1932" s="832"/>
      <c r="N1932" s="832"/>
      <c r="O1932" s="832"/>
      <c r="P1932" s="832"/>
      <c r="Q1932" s="832"/>
      <c r="R1932" s="832"/>
    </row>
    <row r="1933" spans="2:18">
      <c r="B1933" s="832"/>
      <c r="C1933" s="833"/>
      <c r="D1933" s="833"/>
      <c r="E1933" s="833"/>
      <c r="F1933" s="1111"/>
      <c r="G1933" s="1111"/>
      <c r="H1933" s="834"/>
      <c r="I1933" s="832"/>
      <c r="J1933" s="1111"/>
      <c r="K1933" s="832"/>
      <c r="L1933" s="832"/>
      <c r="M1933" s="832"/>
      <c r="N1933" s="832"/>
      <c r="O1933" s="832"/>
      <c r="P1933" s="832"/>
      <c r="Q1933" s="832"/>
      <c r="R1933" s="832"/>
    </row>
    <row r="1934" spans="2:18">
      <c r="B1934" s="832"/>
      <c r="C1934" s="833"/>
      <c r="D1934" s="833"/>
      <c r="E1934" s="833"/>
      <c r="F1934" s="1111"/>
      <c r="G1934" s="1111"/>
      <c r="H1934" s="834"/>
      <c r="I1934" s="832"/>
      <c r="J1934" s="1111"/>
      <c r="K1934" s="832"/>
      <c r="L1934" s="832"/>
      <c r="M1934" s="832"/>
      <c r="N1934" s="832"/>
      <c r="O1934" s="832"/>
      <c r="P1934" s="832"/>
      <c r="Q1934" s="832"/>
      <c r="R1934" s="832"/>
    </row>
    <row r="1935" spans="2:18">
      <c r="B1935" s="832"/>
      <c r="C1935" s="833"/>
      <c r="D1935" s="833"/>
      <c r="E1935" s="833"/>
      <c r="F1935" s="1111"/>
      <c r="G1935" s="1111"/>
      <c r="H1935" s="834"/>
      <c r="I1935" s="832"/>
      <c r="J1935" s="1111"/>
      <c r="K1935" s="832"/>
      <c r="L1935" s="832"/>
      <c r="M1935" s="832"/>
      <c r="N1935" s="832"/>
      <c r="O1935" s="832"/>
      <c r="P1935" s="832"/>
      <c r="Q1935" s="832"/>
      <c r="R1935" s="832"/>
    </row>
    <row r="1936" spans="2:18">
      <c r="B1936" s="832"/>
      <c r="C1936" s="833"/>
      <c r="D1936" s="833"/>
      <c r="E1936" s="833"/>
      <c r="F1936" s="1111"/>
      <c r="G1936" s="1111"/>
      <c r="H1936" s="834"/>
      <c r="I1936" s="832"/>
      <c r="J1936" s="1111"/>
      <c r="K1936" s="832"/>
      <c r="L1936" s="832"/>
      <c r="M1936" s="832"/>
      <c r="N1936" s="832"/>
      <c r="O1936" s="832"/>
      <c r="P1936" s="832"/>
      <c r="Q1936" s="832"/>
      <c r="R1936" s="832"/>
    </row>
    <row r="1937" spans="2:18">
      <c r="B1937" s="832"/>
      <c r="C1937" s="833"/>
      <c r="D1937" s="833"/>
      <c r="E1937" s="833"/>
      <c r="F1937" s="1111"/>
      <c r="G1937" s="1111"/>
      <c r="H1937" s="834"/>
      <c r="I1937" s="832"/>
      <c r="J1937" s="1111"/>
      <c r="K1937" s="832"/>
      <c r="L1937" s="832"/>
      <c r="M1937" s="832"/>
      <c r="N1937" s="832"/>
      <c r="O1937" s="832"/>
      <c r="P1937" s="832"/>
      <c r="Q1937" s="832"/>
      <c r="R1937" s="832"/>
    </row>
    <row r="1938" spans="2:18">
      <c r="B1938" s="832"/>
      <c r="C1938" s="833"/>
      <c r="D1938" s="833"/>
      <c r="E1938" s="833"/>
      <c r="F1938" s="1111"/>
      <c r="G1938" s="1111"/>
      <c r="H1938" s="834"/>
      <c r="I1938" s="832"/>
      <c r="J1938" s="1111"/>
      <c r="K1938" s="832"/>
      <c r="L1938" s="832"/>
      <c r="M1938" s="832"/>
      <c r="N1938" s="832"/>
      <c r="O1938" s="832"/>
      <c r="P1938" s="832"/>
      <c r="Q1938" s="832"/>
      <c r="R1938" s="832"/>
    </row>
    <row r="1939" spans="2:18">
      <c r="B1939" s="832"/>
      <c r="C1939" s="833"/>
      <c r="D1939" s="833"/>
      <c r="E1939" s="833"/>
      <c r="F1939" s="1111"/>
      <c r="G1939" s="1111"/>
      <c r="H1939" s="834"/>
      <c r="I1939" s="832"/>
      <c r="J1939" s="1111"/>
      <c r="K1939" s="832"/>
      <c r="L1939" s="832"/>
      <c r="M1939" s="832"/>
      <c r="N1939" s="832"/>
      <c r="O1939" s="832"/>
      <c r="P1939" s="832"/>
      <c r="Q1939" s="832"/>
      <c r="R1939" s="832"/>
    </row>
    <row r="1940" spans="2:18">
      <c r="B1940" s="832"/>
      <c r="C1940" s="833"/>
      <c r="D1940" s="833"/>
      <c r="E1940" s="833"/>
      <c r="F1940" s="1111"/>
      <c r="G1940" s="1111"/>
      <c r="H1940" s="834"/>
      <c r="I1940" s="832"/>
      <c r="J1940" s="1111"/>
      <c r="K1940" s="832"/>
      <c r="L1940" s="832"/>
      <c r="M1940" s="832"/>
      <c r="N1940" s="832"/>
      <c r="O1940" s="832"/>
      <c r="P1940" s="832"/>
      <c r="Q1940" s="832"/>
      <c r="R1940" s="832"/>
    </row>
    <row r="1941" spans="2:18">
      <c r="B1941" s="832"/>
      <c r="C1941" s="833"/>
      <c r="D1941" s="833"/>
      <c r="E1941" s="833"/>
      <c r="F1941" s="1111"/>
      <c r="G1941" s="1111"/>
      <c r="H1941" s="834"/>
      <c r="I1941" s="832"/>
      <c r="J1941" s="1111"/>
      <c r="K1941" s="832"/>
      <c r="L1941" s="832"/>
      <c r="M1941" s="832"/>
      <c r="N1941" s="832"/>
      <c r="O1941" s="832"/>
      <c r="P1941" s="832"/>
      <c r="Q1941" s="832"/>
      <c r="R1941" s="832"/>
    </row>
    <row r="1942" spans="2:18">
      <c r="B1942" s="832"/>
      <c r="C1942" s="833"/>
      <c r="D1942" s="833"/>
      <c r="E1942" s="833"/>
      <c r="F1942" s="1111"/>
      <c r="G1942" s="1111"/>
      <c r="H1942" s="834"/>
      <c r="I1942" s="832"/>
      <c r="J1942" s="1111"/>
      <c r="K1942" s="832"/>
      <c r="L1942" s="832"/>
      <c r="M1942" s="832"/>
      <c r="N1942" s="832"/>
      <c r="O1942" s="832"/>
      <c r="P1942" s="832"/>
      <c r="Q1942" s="832"/>
      <c r="R1942" s="832"/>
    </row>
    <row r="1943" spans="2:18">
      <c r="B1943" s="832"/>
      <c r="C1943" s="833"/>
      <c r="D1943" s="833"/>
      <c r="E1943" s="833"/>
      <c r="F1943" s="1111"/>
      <c r="G1943" s="1111"/>
      <c r="H1943" s="834"/>
      <c r="I1943" s="832"/>
      <c r="J1943" s="1111"/>
      <c r="K1943" s="832"/>
      <c r="L1943" s="832"/>
      <c r="M1943" s="832"/>
      <c r="N1943" s="832"/>
      <c r="O1943" s="832"/>
      <c r="P1943" s="832"/>
      <c r="Q1943" s="832"/>
      <c r="R1943" s="832"/>
    </row>
    <row r="1944" spans="2:18">
      <c r="B1944" s="832"/>
      <c r="C1944" s="833"/>
      <c r="D1944" s="833"/>
      <c r="E1944" s="833"/>
      <c r="F1944" s="1111"/>
      <c r="G1944" s="1111"/>
      <c r="H1944" s="834"/>
      <c r="I1944" s="832"/>
      <c r="J1944" s="1111"/>
      <c r="K1944" s="832"/>
      <c r="L1944" s="832"/>
      <c r="M1944" s="832"/>
      <c r="N1944" s="832"/>
      <c r="O1944" s="832"/>
      <c r="P1944" s="832"/>
      <c r="Q1944" s="832"/>
      <c r="R1944" s="832"/>
    </row>
    <row r="1945" spans="2:18">
      <c r="B1945" s="832"/>
      <c r="C1945" s="833"/>
      <c r="D1945" s="833"/>
      <c r="E1945" s="833"/>
      <c r="F1945" s="1111"/>
      <c r="G1945" s="1111"/>
      <c r="H1945" s="834"/>
      <c r="I1945" s="832"/>
      <c r="J1945" s="1111"/>
      <c r="K1945" s="832"/>
      <c r="L1945" s="832"/>
      <c r="M1945" s="832"/>
      <c r="N1945" s="832"/>
      <c r="O1945" s="832"/>
      <c r="P1945" s="832"/>
      <c r="Q1945" s="832"/>
      <c r="R1945" s="832"/>
    </row>
    <row r="1946" spans="2:18">
      <c r="B1946" s="832"/>
      <c r="C1946" s="833"/>
      <c r="D1946" s="833"/>
      <c r="E1946" s="833"/>
      <c r="F1946" s="1111"/>
      <c r="G1946" s="1111"/>
      <c r="H1946" s="834"/>
      <c r="I1946" s="832"/>
      <c r="J1946" s="1111"/>
      <c r="K1946" s="832"/>
      <c r="L1946" s="832"/>
      <c r="M1946" s="832"/>
      <c r="N1946" s="832"/>
      <c r="O1946" s="832"/>
      <c r="P1946" s="832"/>
      <c r="Q1946" s="832"/>
      <c r="R1946" s="832"/>
    </row>
    <row r="1947" spans="2:18">
      <c r="B1947" s="832"/>
      <c r="C1947" s="833"/>
      <c r="D1947" s="833"/>
      <c r="E1947" s="833"/>
      <c r="F1947" s="1111"/>
      <c r="G1947" s="1111"/>
      <c r="H1947" s="834"/>
      <c r="I1947" s="832"/>
      <c r="J1947" s="1111"/>
      <c r="K1947" s="832"/>
      <c r="L1947" s="832"/>
      <c r="M1947" s="832"/>
      <c r="N1947" s="832"/>
      <c r="O1947" s="832"/>
      <c r="P1947" s="832"/>
      <c r="Q1947" s="832"/>
      <c r="R1947" s="832"/>
    </row>
    <row r="1948" spans="2:18">
      <c r="B1948" s="832"/>
      <c r="C1948" s="833"/>
      <c r="D1948" s="833"/>
      <c r="E1948" s="833"/>
      <c r="F1948" s="1111"/>
      <c r="G1948" s="1111"/>
      <c r="H1948" s="834"/>
      <c r="I1948" s="832"/>
      <c r="J1948" s="1111"/>
      <c r="K1948" s="832"/>
      <c r="L1948" s="832"/>
      <c r="M1948" s="832"/>
      <c r="N1948" s="832"/>
      <c r="O1948" s="832"/>
      <c r="P1948" s="832"/>
      <c r="Q1948" s="832"/>
      <c r="R1948" s="832"/>
    </row>
    <row r="1949" spans="2:18">
      <c r="B1949" s="832"/>
      <c r="C1949" s="833"/>
      <c r="D1949" s="833"/>
      <c r="E1949" s="833"/>
      <c r="F1949" s="1111"/>
      <c r="G1949" s="1111"/>
      <c r="H1949" s="834"/>
      <c r="I1949" s="832"/>
      <c r="J1949" s="1111"/>
      <c r="K1949" s="832"/>
      <c r="L1949" s="832"/>
      <c r="M1949" s="832"/>
      <c r="N1949" s="832"/>
      <c r="O1949" s="832"/>
      <c r="P1949" s="832"/>
      <c r="Q1949" s="832"/>
      <c r="R1949" s="832"/>
    </row>
    <row r="1950" spans="2:18">
      <c r="B1950" s="832"/>
      <c r="C1950" s="833"/>
      <c r="D1950" s="833"/>
      <c r="E1950" s="833"/>
      <c r="F1950" s="1111"/>
      <c r="G1950" s="1111"/>
      <c r="H1950" s="834"/>
      <c r="I1950" s="832"/>
      <c r="J1950" s="1111"/>
      <c r="K1950" s="832"/>
      <c r="L1950" s="832"/>
      <c r="M1950" s="832"/>
      <c r="N1950" s="832"/>
      <c r="O1950" s="832"/>
      <c r="P1950" s="832"/>
      <c r="Q1950" s="832"/>
      <c r="R1950" s="832"/>
    </row>
    <row r="1951" spans="2:18">
      <c r="B1951" s="832"/>
      <c r="C1951" s="833"/>
      <c r="D1951" s="833"/>
      <c r="E1951" s="833"/>
      <c r="F1951" s="1111"/>
      <c r="G1951" s="1111"/>
      <c r="H1951" s="834"/>
      <c r="I1951" s="832"/>
      <c r="J1951" s="1111"/>
      <c r="K1951" s="832"/>
      <c r="L1951" s="832"/>
      <c r="M1951" s="832"/>
      <c r="N1951" s="832"/>
      <c r="O1951" s="832"/>
      <c r="P1951" s="832"/>
      <c r="Q1951" s="832"/>
      <c r="R1951" s="832"/>
    </row>
    <row r="1952" spans="2:18">
      <c r="B1952" s="832"/>
      <c r="C1952" s="833"/>
      <c r="D1952" s="833"/>
      <c r="E1952" s="833"/>
      <c r="F1952" s="1111"/>
      <c r="G1952" s="1111"/>
      <c r="H1952" s="834"/>
      <c r="I1952" s="832"/>
      <c r="J1952" s="1111"/>
      <c r="K1952" s="832"/>
      <c r="L1952" s="832"/>
      <c r="M1952" s="832"/>
      <c r="N1952" s="832"/>
      <c r="O1952" s="832"/>
      <c r="P1952" s="832"/>
      <c r="Q1952" s="832"/>
      <c r="R1952" s="832"/>
    </row>
    <row r="1953" spans="2:18">
      <c r="B1953" s="832"/>
      <c r="C1953" s="833"/>
      <c r="D1953" s="833"/>
      <c r="E1953" s="833"/>
      <c r="F1953" s="1111"/>
      <c r="G1953" s="1111"/>
      <c r="H1953" s="834"/>
      <c r="I1953" s="832"/>
      <c r="J1953" s="1111"/>
      <c r="K1953" s="832"/>
      <c r="L1953" s="832"/>
      <c r="M1953" s="832"/>
      <c r="N1953" s="832"/>
      <c r="O1953" s="832"/>
      <c r="P1953" s="832"/>
      <c r="Q1953" s="832"/>
      <c r="R1953" s="832"/>
    </row>
    <row r="1954" spans="2:18">
      <c r="B1954" s="832"/>
      <c r="C1954" s="833"/>
      <c r="D1954" s="833"/>
      <c r="E1954" s="833"/>
      <c r="F1954" s="1111"/>
      <c r="G1954" s="1111"/>
      <c r="H1954" s="834"/>
      <c r="I1954" s="832"/>
      <c r="J1954" s="1111"/>
      <c r="K1954" s="832"/>
      <c r="L1954" s="832"/>
      <c r="M1954" s="832"/>
      <c r="N1954" s="832"/>
      <c r="O1954" s="832"/>
      <c r="P1954" s="832"/>
      <c r="Q1954" s="832"/>
      <c r="R1954" s="832"/>
    </row>
    <row r="1955" spans="2:18">
      <c r="B1955" s="832"/>
      <c r="C1955" s="833"/>
      <c r="D1955" s="833"/>
      <c r="E1955" s="833"/>
      <c r="F1955" s="1111"/>
      <c r="G1955" s="1111"/>
      <c r="H1955" s="834"/>
      <c r="I1955" s="832"/>
      <c r="J1955" s="1111"/>
      <c r="K1955" s="832"/>
      <c r="L1955" s="832"/>
      <c r="M1955" s="832"/>
      <c r="N1955" s="832"/>
      <c r="O1955" s="832"/>
      <c r="P1955" s="832"/>
      <c r="Q1955" s="832"/>
      <c r="R1955" s="832"/>
    </row>
    <row r="1956" spans="2:18">
      <c r="B1956" s="832"/>
      <c r="C1956" s="833"/>
      <c r="D1956" s="833"/>
      <c r="E1956" s="833"/>
      <c r="F1956" s="1111"/>
      <c r="G1956" s="1111"/>
      <c r="H1956" s="834"/>
      <c r="I1956" s="832"/>
      <c r="J1956" s="1111"/>
      <c r="K1956" s="832"/>
      <c r="L1956" s="832"/>
      <c r="M1956" s="832"/>
      <c r="N1956" s="832"/>
      <c r="O1956" s="832"/>
      <c r="P1956" s="832"/>
      <c r="Q1956" s="832"/>
      <c r="R1956" s="832"/>
    </row>
    <row r="1957" spans="2:18">
      <c r="B1957" s="832"/>
      <c r="C1957" s="833"/>
      <c r="D1957" s="833"/>
      <c r="E1957" s="833"/>
      <c r="F1957" s="1111"/>
      <c r="G1957" s="1111"/>
      <c r="H1957" s="834"/>
      <c r="I1957" s="832"/>
      <c r="J1957" s="1111"/>
      <c r="K1957" s="832"/>
      <c r="L1957" s="832"/>
      <c r="M1957" s="832"/>
      <c r="N1957" s="832"/>
      <c r="O1957" s="832"/>
      <c r="P1957" s="832"/>
      <c r="Q1957" s="832"/>
      <c r="R1957" s="832"/>
    </row>
    <row r="1958" spans="2:18">
      <c r="B1958" s="832"/>
      <c r="C1958" s="833"/>
      <c r="D1958" s="833"/>
      <c r="E1958" s="833"/>
      <c r="F1958" s="1111"/>
      <c r="G1958" s="1111"/>
      <c r="H1958" s="834"/>
      <c r="I1958" s="832"/>
      <c r="J1958" s="1111"/>
      <c r="K1958" s="832"/>
      <c r="L1958" s="832"/>
      <c r="M1958" s="832"/>
      <c r="N1958" s="832"/>
      <c r="O1958" s="832"/>
      <c r="P1958" s="832"/>
      <c r="Q1958" s="832"/>
      <c r="R1958" s="832"/>
    </row>
    <row r="1959" spans="2:18">
      <c r="B1959" s="832"/>
      <c r="C1959" s="833"/>
      <c r="D1959" s="833"/>
      <c r="E1959" s="833"/>
      <c r="F1959" s="1111"/>
      <c r="G1959" s="1111"/>
      <c r="H1959" s="834"/>
      <c r="I1959" s="832"/>
      <c r="J1959" s="1111"/>
      <c r="K1959" s="832"/>
      <c r="L1959" s="832"/>
      <c r="M1959" s="832"/>
      <c r="N1959" s="832"/>
      <c r="O1959" s="832"/>
      <c r="P1959" s="832"/>
      <c r="Q1959" s="832"/>
      <c r="R1959" s="832"/>
    </row>
    <row r="1960" spans="2:18">
      <c r="B1960" s="832"/>
      <c r="C1960" s="833"/>
      <c r="D1960" s="833"/>
      <c r="E1960" s="833"/>
      <c r="F1960" s="1111"/>
      <c r="G1960" s="1111"/>
      <c r="H1960" s="834"/>
      <c r="I1960" s="832"/>
      <c r="J1960" s="1111"/>
      <c r="K1960" s="832"/>
      <c r="L1960" s="832"/>
      <c r="M1960" s="832"/>
      <c r="N1960" s="832"/>
      <c r="O1960" s="832"/>
      <c r="P1960" s="832"/>
      <c r="Q1960" s="832"/>
      <c r="R1960" s="832"/>
    </row>
    <row r="1961" spans="2:18">
      <c r="B1961" s="832"/>
      <c r="C1961" s="833"/>
      <c r="D1961" s="833"/>
      <c r="E1961" s="833"/>
      <c r="F1961" s="1111"/>
      <c r="G1961" s="1111"/>
      <c r="H1961" s="834"/>
      <c r="I1961" s="832"/>
      <c r="J1961" s="1111"/>
      <c r="K1961" s="832"/>
      <c r="L1961" s="832"/>
      <c r="M1961" s="832"/>
      <c r="N1961" s="832"/>
      <c r="O1961" s="832"/>
      <c r="P1961" s="832"/>
      <c r="Q1961" s="832"/>
      <c r="R1961" s="832"/>
    </row>
    <row r="1962" spans="2:18">
      <c r="B1962" s="832"/>
      <c r="C1962" s="833"/>
      <c r="D1962" s="833"/>
      <c r="E1962" s="833"/>
      <c r="F1962" s="1111"/>
      <c r="G1962" s="1111"/>
      <c r="H1962" s="834"/>
      <c r="I1962" s="832"/>
      <c r="J1962" s="1111"/>
      <c r="K1962" s="832"/>
      <c r="L1962" s="832"/>
      <c r="M1962" s="832"/>
      <c r="N1962" s="832"/>
      <c r="O1962" s="832"/>
      <c r="P1962" s="832"/>
      <c r="Q1962" s="832"/>
      <c r="R1962" s="832"/>
    </row>
    <row r="1963" spans="2:18">
      <c r="B1963" s="832"/>
      <c r="C1963" s="833"/>
      <c r="D1963" s="833"/>
      <c r="E1963" s="833"/>
      <c r="F1963" s="1111"/>
      <c r="G1963" s="1111"/>
      <c r="H1963" s="834"/>
      <c r="I1963" s="832"/>
      <c r="J1963" s="1111"/>
      <c r="K1963" s="832"/>
      <c r="L1963" s="832"/>
      <c r="M1963" s="832"/>
      <c r="N1963" s="832"/>
      <c r="O1963" s="832"/>
      <c r="P1963" s="832"/>
      <c r="Q1963" s="832"/>
      <c r="R1963" s="832"/>
    </row>
    <row r="1964" spans="2:18">
      <c r="B1964" s="832"/>
      <c r="C1964" s="833"/>
      <c r="D1964" s="833"/>
      <c r="E1964" s="833"/>
      <c r="F1964" s="1111"/>
      <c r="G1964" s="1111"/>
      <c r="H1964" s="834"/>
      <c r="I1964" s="832"/>
      <c r="J1964" s="1111"/>
      <c r="K1964" s="832"/>
      <c r="L1964" s="832"/>
      <c r="M1964" s="832"/>
      <c r="N1964" s="832"/>
      <c r="O1964" s="832"/>
      <c r="P1964" s="832"/>
      <c r="Q1964" s="832"/>
      <c r="R1964" s="832"/>
    </row>
    <row r="1965" spans="2:18">
      <c r="B1965" s="832"/>
      <c r="C1965" s="833"/>
      <c r="D1965" s="833"/>
      <c r="E1965" s="833"/>
      <c r="F1965" s="1111"/>
      <c r="G1965" s="1111"/>
      <c r="H1965" s="834"/>
      <c r="I1965" s="832"/>
      <c r="J1965" s="1111"/>
      <c r="K1965" s="832"/>
      <c r="L1965" s="832"/>
      <c r="M1965" s="832"/>
      <c r="N1965" s="832"/>
      <c r="O1965" s="832"/>
      <c r="P1965" s="832"/>
      <c r="Q1965" s="832"/>
      <c r="R1965" s="832"/>
    </row>
    <row r="1966" spans="2:18">
      <c r="B1966" s="832"/>
      <c r="C1966" s="833"/>
      <c r="D1966" s="833"/>
      <c r="E1966" s="833"/>
      <c r="F1966" s="1111"/>
      <c r="G1966" s="1111"/>
      <c r="H1966" s="834"/>
      <c r="I1966" s="832"/>
      <c r="J1966" s="1111"/>
      <c r="K1966" s="832"/>
      <c r="L1966" s="832"/>
      <c r="M1966" s="832"/>
      <c r="N1966" s="832"/>
      <c r="O1966" s="832"/>
      <c r="P1966" s="832"/>
      <c r="Q1966" s="832"/>
      <c r="R1966" s="832"/>
    </row>
    <row r="1967" spans="2:18">
      <c r="B1967" s="832"/>
      <c r="C1967" s="833"/>
      <c r="D1967" s="833"/>
      <c r="E1967" s="833"/>
      <c r="F1967" s="1111"/>
      <c r="G1967" s="1111"/>
      <c r="H1967" s="834"/>
      <c r="I1967" s="832"/>
      <c r="J1967" s="1111"/>
      <c r="K1967" s="832"/>
      <c r="L1967" s="832"/>
      <c r="M1967" s="832"/>
      <c r="N1967" s="832"/>
      <c r="O1967" s="832"/>
      <c r="P1967" s="832"/>
      <c r="Q1967" s="832"/>
      <c r="R1967" s="832"/>
    </row>
    <row r="1968" spans="2:18">
      <c r="B1968" s="832"/>
      <c r="C1968" s="833"/>
      <c r="D1968" s="833"/>
      <c r="E1968" s="833"/>
      <c r="F1968" s="1111"/>
      <c r="G1968" s="1111"/>
      <c r="H1968" s="834"/>
      <c r="I1968" s="832"/>
      <c r="J1968" s="1111"/>
      <c r="K1968" s="832"/>
      <c r="L1968" s="832"/>
      <c r="M1968" s="832"/>
      <c r="N1968" s="832"/>
      <c r="O1968" s="832"/>
      <c r="P1968" s="832"/>
      <c r="Q1968" s="832"/>
      <c r="R1968" s="832"/>
    </row>
    <row r="1969" spans="2:18">
      <c r="B1969" s="832"/>
      <c r="C1969" s="833"/>
      <c r="D1969" s="833"/>
      <c r="E1969" s="833"/>
      <c r="F1969" s="1111"/>
      <c r="G1969" s="1111"/>
      <c r="H1969" s="834"/>
      <c r="I1969" s="832"/>
      <c r="J1969" s="1111"/>
      <c r="K1969" s="832"/>
      <c r="L1969" s="832"/>
      <c r="M1969" s="832"/>
      <c r="N1969" s="832"/>
      <c r="O1969" s="832"/>
      <c r="P1969" s="832"/>
      <c r="Q1969" s="832"/>
      <c r="R1969" s="832"/>
    </row>
    <row r="1970" spans="2:18">
      <c r="B1970" s="832"/>
      <c r="C1970" s="833"/>
      <c r="D1970" s="833"/>
      <c r="E1970" s="833"/>
      <c r="F1970" s="1111"/>
      <c r="G1970" s="1111"/>
      <c r="H1970" s="834"/>
      <c r="I1970" s="832"/>
      <c r="J1970" s="1111"/>
      <c r="K1970" s="832"/>
      <c r="L1970" s="832"/>
      <c r="M1970" s="832"/>
      <c r="N1970" s="832"/>
      <c r="O1970" s="832"/>
      <c r="P1970" s="832"/>
      <c r="Q1970" s="832"/>
      <c r="R1970" s="832"/>
    </row>
    <row r="1971" spans="2:18">
      <c r="B1971" s="832"/>
      <c r="C1971" s="833"/>
      <c r="D1971" s="833"/>
      <c r="E1971" s="833"/>
      <c r="F1971" s="1111"/>
      <c r="G1971" s="1111"/>
      <c r="H1971" s="834"/>
      <c r="I1971" s="832"/>
      <c r="J1971" s="1111"/>
      <c r="K1971" s="832"/>
      <c r="L1971" s="832"/>
      <c r="M1971" s="832"/>
      <c r="N1971" s="832"/>
      <c r="O1971" s="832"/>
      <c r="P1971" s="832"/>
      <c r="Q1971" s="832"/>
      <c r="R1971" s="832"/>
    </row>
    <row r="1972" spans="2:18">
      <c r="B1972" s="832"/>
      <c r="C1972" s="833"/>
      <c r="D1972" s="833"/>
      <c r="E1972" s="833"/>
      <c r="F1972" s="1111"/>
      <c r="G1972" s="1111"/>
      <c r="H1972" s="834"/>
      <c r="I1972" s="832"/>
      <c r="J1972" s="1111"/>
      <c r="K1972" s="832"/>
      <c r="L1972" s="832"/>
      <c r="M1972" s="832"/>
      <c r="N1972" s="832"/>
      <c r="O1972" s="832"/>
      <c r="P1972" s="832"/>
      <c r="Q1972" s="832"/>
      <c r="R1972" s="832"/>
    </row>
    <row r="1973" spans="2:18">
      <c r="B1973" s="832"/>
      <c r="C1973" s="833"/>
      <c r="D1973" s="833"/>
      <c r="E1973" s="833"/>
      <c r="F1973" s="1111"/>
      <c r="G1973" s="1111"/>
      <c r="H1973" s="834"/>
      <c r="I1973" s="832"/>
      <c r="J1973" s="1111"/>
      <c r="K1973" s="832"/>
      <c r="L1973" s="832"/>
      <c r="M1973" s="832"/>
      <c r="N1973" s="832"/>
      <c r="O1973" s="832"/>
      <c r="P1973" s="832"/>
      <c r="Q1973" s="832"/>
      <c r="R1973" s="832"/>
    </row>
    <row r="1974" spans="2:18">
      <c r="B1974" s="832"/>
      <c r="C1974" s="833"/>
      <c r="D1974" s="833"/>
      <c r="E1974" s="833"/>
      <c r="F1974" s="1111"/>
      <c r="G1974" s="1111"/>
      <c r="H1974" s="834"/>
      <c r="I1974" s="832"/>
      <c r="J1974" s="1111"/>
      <c r="K1974" s="832"/>
      <c r="L1974" s="832"/>
      <c r="M1974" s="832"/>
      <c r="N1974" s="832"/>
      <c r="O1974" s="832"/>
      <c r="P1974" s="832"/>
      <c r="Q1974" s="832"/>
      <c r="R1974" s="832"/>
    </row>
    <row r="1975" spans="2:18">
      <c r="B1975" s="832"/>
      <c r="C1975" s="833"/>
      <c r="D1975" s="833"/>
      <c r="E1975" s="833"/>
      <c r="F1975" s="1111"/>
      <c r="G1975" s="1111"/>
      <c r="H1975" s="834"/>
      <c r="I1975" s="832"/>
      <c r="J1975" s="1111"/>
      <c r="K1975" s="832"/>
      <c r="L1975" s="832"/>
      <c r="M1975" s="832"/>
      <c r="N1975" s="832"/>
      <c r="O1975" s="832"/>
      <c r="P1975" s="832"/>
      <c r="Q1975" s="832"/>
      <c r="R1975" s="832"/>
    </row>
    <row r="1976" spans="2:18">
      <c r="B1976" s="832"/>
      <c r="C1976" s="833"/>
      <c r="D1976" s="833"/>
      <c r="E1976" s="833"/>
      <c r="F1976" s="1111"/>
      <c r="G1976" s="1111"/>
      <c r="H1976" s="834"/>
      <c r="I1976" s="832"/>
      <c r="J1976" s="1111"/>
      <c r="K1976" s="832"/>
      <c r="L1976" s="832"/>
      <c r="M1976" s="832"/>
      <c r="N1976" s="832"/>
      <c r="O1976" s="832"/>
      <c r="P1976" s="832"/>
      <c r="Q1976" s="832"/>
      <c r="R1976" s="832"/>
    </row>
    <row r="1977" spans="2:18">
      <c r="B1977" s="832"/>
      <c r="C1977" s="833"/>
      <c r="D1977" s="833"/>
      <c r="E1977" s="833"/>
      <c r="F1977" s="1111"/>
      <c r="G1977" s="1111"/>
      <c r="H1977" s="834"/>
      <c r="I1977" s="832"/>
      <c r="J1977" s="1111"/>
      <c r="K1977" s="832"/>
      <c r="L1977" s="832"/>
      <c r="M1977" s="832"/>
      <c r="N1977" s="832"/>
      <c r="O1977" s="832"/>
      <c r="P1977" s="832"/>
      <c r="Q1977" s="832"/>
      <c r="R1977" s="832"/>
    </row>
    <row r="1978" spans="2:18">
      <c r="B1978" s="832"/>
      <c r="C1978" s="833"/>
      <c r="D1978" s="833"/>
      <c r="E1978" s="833"/>
      <c r="F1978" s="1111"/>
      <c r="G1978" s="1111"/>
      <c r="H1978" s="834"/>
      <c r="I1978" s="832"/>
      <c r="J1978" s="1111"/>
      <c r="K1978" s="832"/>
      <c r="L1978" s="832"/>
      <c r="M1978" s="832"/>
      <c r="N1978" s="832"/>
      <c r="O1978" s="832"/>
      <c r="P1978" s="832"/>
      <c r="Q1978" s="832"/>
      <c r="R1978" s="832"/>
    </row>
    <row r="1979" spans="2:18">
      <c r="B1979" s="832"/>
      <c r="C1979" s="833"/>
      <c r="D1979" s="833"/>
      <c r="E1979" s="833"/>
      <c r="F1979" s="1111"/>
      <c r="G1979" s="1111"/>
      <c r="H1979" s="834"/>
      <c r="I1979" s="832"/>
      <c r="J1979" s="1111"/>
      <c r="K1979" s="832"/>
      <c r="L1979" s="832"/>
      <c r="M1979" s="832"/>
      <c r="N1979" s="832"/>
      <c r="O1979" s="832"/>
      <c r="P1979" s="832"/>
      <c r="Q1979" s="832"/>
      <c r="R1979" s="832"/>
    </row>
    <row r="1980" spans="2:18">
      <c r="B1980" s="832"/>
      <c r="C1980" s="833"/>
      <c r="D1980" s="833"/>
      <c r="E1980" s="833"/>
      <c r="F1980" s="1111"/>
      <c r="G1980" s="1111"/>
      <c r="H1980" s="834"/>
      <c r="I1980" s="832"/>
      <c r="J1980" s="1111"/>
      <c r="K1980" s="832"/>
      <c r="L1980" s="832"/>
      <c r="M1980" s="832"/>
      <c r="N1980" s="832"/>
      <c r="O1980" s="832"/>
      <c r="P1980" s="832"/>
      <c r="Q1980" s="832"/>
      <c r="R1980" s="832"/>
    </row>
    <row r="1981" spans="2:18">
      <c r="B1981" s="832"/>
      <c r="C1981" s="833"/>
      <c r="D1981" s="833"/>
      <c r="E1981" s="833"/>
      <c r="F1981" s="1111"/>
      <c r="G1981" s="1111"/>
      <c r="H1981" s="834"/>
      <c r="I1981" s="832"/>
      <c r="J1981" s="1111"/>
      <c r="K1981" s="832"/>
      <c r="L1981" s="832"/>
      <c r="M1981" s="832"/>
      <c r="N1981" s="832"/>
      <c r="O1981" s="832"/>
      <c r="P1981" s="832"/>
      <c r="Q1981" s="832"/>
      <c r="R1981" s="832"/>
    </row>
    <row r="1982" spans="2:18">
      <c r="B1982" s="832"/>
      <c r="C1982" s="833"/>
      <c r="D1982" s="833"/>
      <c r="E1982" s="833"/>
      <c r="F1982" s="1111"/>
      <c r="G1982" s="1111"/>
      <c r="H1982" s="834"/>
      <c r="I1982" s="832"/>
      <c r="J1982" s="1111"/>
      <c r="K1982" s="832"/>
      <c r="L1982" s="832"/>
      <c r="M1982" s="832"/>
      <c r="N1982" s="832"/>
      <c r="O1982" s="832"/>
      <c r="P1982" s="832"/>
      <c r="Q1982" s="832"/>
      <c r="R1982" s="832"/>
    </row>
    <row r="1983" spans="2:18">
      <c r="B1983" s="832"/>
      <c r="C1983" s="833"/>
      <c r="D1983" s="833"/>
      <c r="E1983" s="833"/>
      <c r="F1983" s="1111"/>
      <c r="G1983" s="1111"/>
      <c r="H1983" s="834"/>
      <c r="I1983" s="832"/>
      <c r="J1983" s="1111"/>
      <c r="K1983" s="832"/>
      <c r="L1983" s="832"/>
      <c r="M1983" s="832"/>
      <c r="N1983" s="832"/>
      <c r="O1983" s="832"/>
      <c r="P1983" s="832"/>
      <c r="Q1983" s="832"/>
      <c r="R1983" s="832"/>
    </row>
    <row r="1984" spans="2:18">
      <c r="B1984" s="832"/>
      <c r="C1984" s="833"/>
      <c r="D1984" s="833"/>
      <c r="E1984" s="833"/>
      <c r="F1984" s="1111"/>
      <c r="G1984" s="1111"/>
      <c r="H1984" s="834"/>
      <c r="I1984" s="832"/>
      <c r="J1984" s="1111"/>
      <c r="K1984" s="832"/>
      <c r="L1984" s="832"/>
      <c r="M1984" s="832"/>
      <c r="N1984" s="832"/>
      <c r="O1984" s="832"/>
      <c r="P1984" s="832"/>
      <c r="Q1984" s="832"/>
      <c r="R1984" s="832"/>
    </row>
    <row r="1985" spans="2:18">
      <c r="B1985" s="832"/>
      <c r="C1985" s="833"/>
      <c r="D1985" s="833"/>
      <c r="E1985" s="833"/>
      <c r="F1985" s="1111"/>
      <c r="G1985" s="1111"/>
      <c r="H1985" s="834"/>
      <c r="I1985" s="832"/>
      <c r="J1985" s="1111"/>
      <c r="K1985" s="832"/>
      <c r="L1985" s="832"/>
      <c r="M1985" s="832"/>
      <c r="N1985" s="832"/>
      <c r="O1985" s="832"/>
      <c r="P1985" s="832"/>
      <c r="Q1985" s="832"/>
      <c r="R1985" s="832"/>
    </row>
    <row r="1986" spans="2:18">
      <c r="B1986" s="832"/>
      <c r="C1986" s="833"/>
      <c r="D1986" s="833"/>
      <c r="E1986" s="833"/>
      <c r="F1986" s="1111"/>
      <c r="G1986" s="1111"/>
      <c r="H1986" s="834"/>
      <c r="I1986" s="832"/>
      <c r="J1986" s="1111"/>
      <c r="K1986" s="832"/>
      <c r="L1986" s="832"/>
      <c r="M1986" s="832"/>
      <c r="N1986" s="832"/>
      <c r="O1986" s="832"/>
      <c r="P1986" s="832"/>
      <c r="Q1986" s="832"/>
      <c r="R1986" s="832"/>
    </row>
    <row r="1987" spans="2:18">
      <c r="B1987" s="832"/>
      <c r="C1987" s="833"/>
      <c r="D1987" s="833"/>
      <c r="E1987" s="833"/>
      <c r="F1987" s="1111"/>
      <c r="G1987" s="1111"/>
      <c r="H1987" s="834"/>
      <c r="I1987" s="832"/>
      <c r="J1987" s="1111"/>
      <c r="K1987" s="832"/>
      <c r="L1987" s="832"/>
      <c r="M1987" s="832"/>
      <c r="N1987" s="832"/>
      <c r="O1987" s="832"/>
      <c r="P1987" s="832"/>
      <c r="Q1987" s="832"/>
      <c r="R1987" s="832"/>
    </row>
    <row r="1988" spans="2:18">
      <c r="B1988" s="832"/>
      <c r="C1988" s="833"/>
      <c r="D1988" s="833"/>
      <c r="E1988" s="833"/>
      <c r="F1988" s="1111"/>
      <c r="G1988" s="1111"/>
      <c r="H1988" s="834"/>
      <c r="I1988" s="832"/>
      <c r="J1988" s="1111"/>
      <c r="K1988" s="832"/>
      <c r="L1988" s="832"/>
      <c r="M1988" s="832"/>
      <c r="N1988" s="832"/>
      <c r="O1988" s="832"/>
      <c r="P1988" s="832"/>
      <c r="Q1988" s="832"/>
      <c r="R1988" s="832"/>
    </row>
    <row r="1989" spans="2:18">
      <c r="B1989" s="832"/>
      <c r="C1989" s="833"/>
      <c r="D1989" s="833"/>
      <c r="E1989" s="833"/>
      <c r="F1989" s="1111"/>
      <c r="G1989" s="1111"/>
      <c r="H1989" s="834"/>
      <c r="I1989" s="832"/>
      <c r="J1989" s="1111"/>
      <c r="K1989" s="832"/>
      <c r="L1989" s="832"/>
      <c r="M1989" s="832"/>
      <c r="N1989" s="832"/>
      <c r="O1989" s="832"/>
      <c r="P1989" s="832"/>
      <c r="Q1989" s="832"/>
      <c r="R1989" s="832"/>
    </row>
    <row r="1990" spans="2:18">
      <c r="B1990" s="832"/>
      <c r="C1990" s="833"/>
      <c r="D1990" s="833"/>
      <c r="E1990" s="833"/>
      <c r="F1990" s="1111"/>
      <c r="G1990" s="1111"/>
      <c r="H1990" s="834"/>
      <c r="I1990" s="832"/>
      <c r="J1990" s="1111"/>
      <c r="K1990" s="832"/>
      <c r="L1990" s="832"/>
      <c r="M1990" s="832"/>
      <c r="N1990" s="832"/>
      <c r="O1990" s="832"/>
      <c r="P1990" s="832"/>
      <c r="Q1990" s="832"/>
      <c r="R1990" s="832"/>
    </row>
    <row r="1991" spans="2:18">
      <c r="B1991" s="832"/>
      <c r="C1991" s="833"/>
      <c r="D1991" s="833"/>
      <c r="E1991" s="833"/>
      <c r="F1991" s="1111"/>
      <c r="G1991" s="1111"/>
      <c r="H1991" s="834"/>
      <c r="I1991" s="832"/>
      <c r="J1991" s="1111"/>
      <c r="K1991" s="832"/>
      <c r="L1991" s="832"/>
      <c r="M1991" s="832"/>
      <c r="N1991" s="832"/>
      <c r="O1991" s="832"/>
      <c r="P1991" s="832"/>
      <c r="Q1991" s="832"/>
      <c r="R1991" s="832"/>
    </row>
    <row r="1992" spans="2:18">
      <c r="B1992" s="832"/>
      <c r="C1992" s="833"/>
      <c r="D1992" s="833"/>
      <c r="E1992" s="833"/>
      <c r="F1992" s="1111"/>
      <c r="G1992" s="1111"/>
      <c r="H1992" s="834"/>
      <c r="I1992" s="832"/>
      <c r="J1992" s="1111"/>
      <c r="K1992" s="832"/>
      <c r="L1992" s="832"/>
      <c r="M1992" s="832"/>
      <c r="N1992" s="832"/>
      <c r="O1992" s="832"/>
      <c r="P1992" s="832"/>
      <c r="Q1992" s="832"/>
      <c r="R1992" s="832"/>
    </row>
    <row r="1993" spans="2:18">
      <c r="B1993" s="832"/>
      <c r="C1993" s="833"/>
      <c r="D1993" s="833"/>
      <c r="E1993" s="833"/>
      <c r="F1993" s="1111"/>
      <c r="G1993" s="1111"/>
      <c r="H1993" s="834"/>
      <c r="I1993" s="832"/>
      <c r="J1993" s="1111"/>
      <c r="K1993" s="832"/>
      <c r="L1993" s="832"/>
      <c r="M1993" s="832"/>
      <c r="N1993" s="832"/>
      <c r="O1993" s="832"/>
      <c r="P1993" s="832"/>
      <c r="Q1993" s="832"/>
      <c r="R1993" s="832"/>
    </row>
    <row r="1994" spans="2:18">
      <c r="B1994" s="832"/>
      <c r="C1994" s="833"/>
      <c r="D1994" s="833"/>
      <c r="E1994" s="833"/>
      <c r="F1994" s="1111"/>
      <c r="G1994" s="1111"/>
      <c r="H1994" s="834"/>
      <c r="I1994" s="832"/>
      <c r="J1994" s="1111"/>
      <c r="K1994" s="832"/>
      <c r="L1994" s="832"/>
      <c r="M1994" s="832"/>
      <c r="N1994" s="832"/>
      <c r="O1994" s="832"/>
      <c r="P1994" s="832"/>
      <c r="Q1994" s="832"/>
      <c r="R1994" s="832"/>
    </row>
    <row r="1995" spans="2:18">
      <c r="B1995" s="832"/>
      <c r="C1995" s="833"/>
      <c r="D1995" s="833"/>
      <c r="E1995" s="833"/>
      <c r="F1995" s="1111"/>
      <c r="G1995" s="1111"/>
      <c r="H1995" s="834"/>
      <c r="I1995" s="832"/>
      <c r="J1995" s="1111"/>
      <c r="K1995" s="832"/>
      <c r="L1995" s="832"/>
      <c r="M1995" s="832"/>
      <c r="N1995" s="832"/>
      <c r="O1995" s="832"/>
      <c r="P1995" s="832"/>
      <c r="Q1995" s="832"/>
      <c r="R1995" s="832"/>
    </row>
    <row r="1996" spans="2:18">
      <c r="B1996" s="832"/>
      <c r="C1996" s="833"/>
      <c r="D1996" s="833"/>
      <c r="E1996" s="833"/>
      <c r="F1996" s="1111"/>
      <c r="G1996" s="1111"/>
      <c r="H1996" s="834"/>
      <c r="I1996" s="832"/>
      <c r="J1996" s="1111"/>
      <c r="K1996" s="832"/>
      <c r="L1996" s="832"/>
      <c r="M1996" s="832"/>
      <c r="N1996" s="832"/>
      <c r="O1996" s="832"/>
      <c r="P1996" s="832"/>
      <c r="Q1996" s="832"/>
      <c r="R1996" s="832"/>
    </row>
    <row r="1997" spans="2:18">
      <c r="B1997" s="832"/>
      <c r="C1997" s="833"/>
      <c r="D1997" s="833"/>
      <c r="E1997" s="833"/>
      <c r="F1997" s="1111"/>
      <c r="G1997" s="1111"/>
      <c r="H1997" s="834"/>
      <c r="I1997" s="832"/>
      <c r="J1997" s="1111"/>
      <c r="K1997" s="832"/>
      <c r="L1997" s="832"/>
      <c r="M1997" s="832"/>
      <c r="N1997" s="832"/>
      <c r="O1997" s="832"/>
      <c r="P1997" s="832"/>
      <c r="Q1997" s="832"/>
      <c r="R1997" s="832"/>
    </row>
    <row r="1998" spans="2:18">
      <c r="B1998" s="832"/>
      <c r="C1998" s="833"/>
      <c r="D1998" s="833"/>
      <c r="E1998" s="833"/>
      <c r="F1998" s="1111"/>
      <c r="G1998" s="1111"/>
      <c r="H1998" s="834"/>
      <c r="I1998" s="832"/>
      <c r="J1998" s="1111"/>
      <c r="K1998" s="832"/>
      <c r="L1998" s="832"/>
      <c r="M1998" s="832"/>
      <c r="N1998" s="832"/>
      <c r="O1998" s="832"/>
      <c r="P1998" s="832"/>
      <c r="Q1998" s="832"/>
      <c r="R1998" s="832"/>
    </row>
    <row r="1999" spans="2:18">
      <c r="B1999" s="832"/>
      <c r="C1999" s="833"/>
      <c r="D1999" s="833"/>
      <c r="E1999" s="833"/>
      <c r="F1999" s="1111"/>
      <c r="G1999" s="1111"/>
      <c r="H1999" s="834"/>
      <c r="I1999" s="832"/>
      <c r="J1999" s="1111"/>
      <c r="K1999" s="832"/>
      <c r="L1999" s="832"/>
      <c r="M1999" s="832"/>
      <c r="N1999" s="832"/>
      <c r="O1999" s="832"/>
      <c r="P1999" s="832"/>
      <c r="Q1999" s="832"/>
      <c r="R1999" s="832"/>
    </row>
    <row r="2000" spans="2:18">
      <c r="B2000" s="832"/>
      <c r="C2000" s="833"/>
      <c r="D2000" s="833"/>
      <c r="E2000" s="833"/>
      <c r="F2000" s="1111"/>
      <c r="G2000" s="1111"/>
      <c r="H2000" s="834"/>
      <c r="I2000" s="832"/>
      <c r="J2000" s="1111"/>
      <c r="K2000" s="832"/>
      <c r="L2000" s="832"/>
      <c r="M2000" s="832"/>
      <c r="N2000" s="832"/>
      <c r="O2000" s="832"/>
      <c r="P2000" s="832"/>
      <c r="Q2000" s="832"/>
      <c r="R2000" s="832"/>
    </row>
    <row r="2001" spans="2:18">
      <c r="B2001" s="832"/>
      <c r="C2001" s="833"/>
      <c r="D2001" s="833"/>
      <c r="E2001" s="833"/>
      <c r="F2001" s="1111"/>
      <c r="G2001" s="1111"/>
      <c r="H2001" s="834"/>
      <c r="I2001" s="832"/>
      <c r="J2001" s="1111"/>
      <c r="K2001" s="832"/>
      <c r="L2001" s="832"/>
      <c r="M2001" s="832"/>
      <c r="N2001" s="832"/>
      <c r="O2001" s="832"/>
      <c r="P2001" s="832"/>
      <c r="Q2001" s="832"/>
      <c r="R2001" s="832"/>
    </row>
    <row r="2002" spans="2:18">
      <c r="B2002" s="832"/>
      <c r="C2002" s="833"/>
      <c r="D2002" s="833"/>
      <c r="E2002" s="833"/>
      <c r="F2002" s="1111"/>
      <c r="G2002" s="1111"/>
      <c r="H2002" s="834"/>
      <c r="I2002" s="832"/>
      <c r="J2002" s="1111"/>
      <c r="K2002" s="832"/>
      <c r="L2002" s="832"/>
      <c r="M2002" s="832"/>
      <c r="N2002" s="832"/>
      <c r="O2002" s="832"/>
      <c r="P2002" s="832"/>
      <c r="Q2002" s="832"/>
      <c r="R2002" s="832"/>
    </row>
    <row r="2003" spans="2:18">
      <c r="B2003" s="832"/>
      <c r="C2003" s="833"/>
      <c r="D2003" s="833"/>
      <c r="E2003" s="833"/>
      <c r="F2003" s="1111"/>
      <c r="G2003" s="1111"/>
      <c r="H2003" s="834"/>
      <c r="I2003" s="832"/>
      <c r="J2003" s="1111"/>
      <c r="K2003" s="832"/>
      <c r="L2003" s="832"/>
      <c r="M2003" s="832"/>
      <c r="N2003" s="832"/>
      <c r="O2003" s="832"/>
      <c r="P2003" s="832"/>
      <c r="Q2003" s="832"/>
      <c r="R2003" s="832"/>
    </row>
    <row r="2004" spans="2:18">
      <c r="B2004" s="832"/>
      <c r="C2004" s="833"/>
      <c r="D2004" s="833"/>
      <c r="E2004" s="833"/>
      <c r="F2004" s="1111"/>
      <c r="G2004" s="1111"/>
      <c r="H2004" s="834"/>
      <c r="I2004" s="832"/>
      <c r="J2004" s="1111"/>
      <c r="K2004" s="832"/>
      <c r="L2004" s="832"/>
      <c r="M2004" s="832"/>
      <c r="N2004" s="832"/>
      <c r="O2004" s="832"/>
      <c r="P2004" s="832"/>
      <c r="Q2004" s="832"/>
      <c r="R2004" s="832"/>
    </row>
    <row r="2005" spans="2:18">
      <c r="B2005" s="832"/>
      <c r="C2005" s="833"/>
      <c r="D2005" s="833"/>
      <c r="E2005" s="833"/>
      <c r="F2005" s="1111"/>
      <c r="G2005" s="1111"/>
      <c r="H2005" s="834"/>
      <c r="I2005" s="832"/>
      <c r="J2005" s="1111"/>
      <c r="K2005" s="832"/>
      <c r="L2005" s="832"/>
      <c r="M2005" s="832"/>
      <c r="N2005" s="832"/>
      <c r="O2005" s="832"/>
      <c r="P2005" s="832"/>
      <c r="Q2005" s="832"/>
      <c r="R2005" s="832"/>
    </row>
    <row r="2006" spans="2:18">
      <c r="B2006" s="832"/>
      <c r="C2006" s="833"/>
      <c r="D2006" s="833"/>
      <c r="E2006" s="833"/>
      <c r="F2006" s="1111"/>
      <c r="G2006" s="1111"/>
      <c r="H2006" s="834"/>
      <c r="I2006" s="832"/>
      <c r="J2006" s="1111"/>
      <c r="K2006" s="832"/>
      <c r="L2006" s="832"/>
      <c r="M2006" s="832"/>
      <c r="N2006" s="832"/>
      <c r="O2006" s="832"/>
      <c r="P2006" s="832"/>
      <c r="Q2006" s="832"/>
      <c r="R2006" s="832"/>
    </row>
    <row r="2007" spans="2:18">
      <c r="B2007" s="832"/>
      <c r="C2007" s="833"/>
      <c r="D2007" s="833"/>
      <c r="E2007" s="833"/>
      <c r="F2007" s="1111"/>
      <c r="G2007" s="1111"/>
      <c r="H2007" s="834"/>
      <c r="I2007" s="832"/>
      <c r="J2007" s="1111"/>
      <c r="K2007" s="832"/>
      <c r="L2007" s="832"/>
      <c r="M2007" s="832"/>
      <c r="N2007" s="832"/>
      <c r="O2007" s="832"/>
      <c r="P2007" s="832"/>
      <c r="Q2007" s="832"/>
      <c r="R2007" s="832"/>
    </row>
    <row r="2008" spans="2:18">
      <c r="B2008" s="832"/>
      <c r="C2008" s="833"/>
      <c r="D2008" s="833"/>
      <c r="E2008" s="833"/>
      <c r="F2008" s="1111"/>
      <c r="G2008" s="1111"/>
      <c r="H2008" s="834"/>
      <c r="I2008" s="832"/>
      <c r="J2008" s="1111"/>
      <c r="K2008" s="832"/>
      <c r="L2008" s="832"/>
      <c r="M2008" s="832"/>
      <c r="N2008" s="832"/>
      <c r="O2008" s="832"/>
      <c r="P2008" s="832"/>
      <c r="Q2008" s="832"/>
      <c r="R2008" s="832"/>
    </row>
    <row r="2009" spans="2:18">
      <c r="B2009" s="832"/>
      <c r="C2009" s="833"/>
      <c r="D2009" s="833"/>
      <c r="E2009" s="833"/>
      <c r="F2009" s="1111"/>
      <c r="G2009" s="1111"/>
      <c r="H2009" s="834"/>
      <c r="I2009" s="832"/>
      <c r="J2009" s="1111"/>
      <c r="K2009" s="832"/>
      <c r="L2009" s="832"/>
      <c r="M2009" s="832"/>
      <c r="N2009" s="832"/>
      <c r="O2009" s="832"/>
      <c r="P2009" s="832"/>
      <c r="Q2009" s="832"/>
      <c r="R2009" s="832"/>
    </row>
    <row r="2010" spans="2:18">
      <c r="B2010" s="832"/>
      <c r="C2010" s="833"/>
      <c r="D2010" s="833"/>
      <c r="E2010" s="833"/>
      <c r="F2010" s="1111"/>
      <c r="G2010" s="1111"/>
      <c r="H2010" s="834"/>
      <c r="I2010" s="832"/>
      <c r="J2010" s="1111"/>
      <c r="K2010" s="832"/>
      <c r="L2010" s="832"/>
      <c r="M2010" s="832"/>
      <c r="N2010" s="832"/>
      <c r="O2010" s="832"/>
      <c r="P2010" s="832"/>
      <c r="Q2010" s="832"/>
      <c r="R2010" s="832"/>
    </row>
    <row r="2011" spans="2:18">
      <c r="B2011" s="832"/>
      <c r="C2011" s="833"/>
      <c r="D2011" s="833"/>
      <c r="E2011" s="833"/>
      <c r="F2011" s="1111"/>
      <c r="G2011" s="1111"/>
      <c r="H2011" s="834"/>
      <c r="I2011" s="832"/>
      <c r="J2011" s="1111"/>
      <c r="K2011" s="832"/>
      <c r="L2011" s="832"/>
      <c r="M2011" s="832"/>
      <c r="N2011" s="832"/>
      <c r="O2011" s="832"/>
      <c r="P2011" s="832"/>
      <c r="Q2011" s="832"/>
      <c r="R2011" s="832"/>
    </row>
    <row r="2012" spans="2:18">
      <c r="B2012" s="832"/>
      <c r="C2012" s="833"/>
      <c r="D2012" s="833"/>
      <c r="E2012" s="833"/>
      <c r="F2012" s="1111"/>
      <c r="G2012" s="1111"/>
      <c r="H2012" s="834"/>
      <c r="I2012" s="832"/>
      <c r="J2012" s="1111"/>
      <c r="K2012" s="832"/>
      <c r="L2012" s="832"/>
      <c r="M2012" s="832"/>
      <c r="N2012" s="832"/>
      <c r="O2012" s="832"/>
      <c r="P2012" s="832"/>
      <c r="Q2012" s="832"/>
      <c r="R2012" s="832"/>
    </row>
    <row r="2013" spans="2:18">
      <c r="B2013" s="832"/>
      <c r="C2013" s="833"/>
      <c r="D2013" s="833"/>
      <c r="E2013" s="833"/>
      <c r="F2013" s="1111"/>
      <c r="G2013" s="1111"/>
      <c r="H2013" s="834"/>
      <c r="I2013" s="832"/>
      <c r="J2013" s="1111"/>
      <c r="K2013" s="832"/>
      <c r="L2013" s="832"/>
      <c r="M2013" s="832"/>
      <c r="N2013" s="832"/>
      <c r="O2013" s="832"/>
      <c r="P2013" s="832"/>
      <c r="Q2013" s="832"/>
      <c r="R2013" s="832"/>
    </row>
    <row r="2014" spans="2:18">
      <c r="B2014" s="832"/>
      <c r="C2014" s="833"/>
      <c r="D2014" s="833"/>
      <c r="E2014" s="833"/>
      <c r="F2014" s="1111"/>
      <c r="G2014" s="1111"/>
      <c r="H2014" s="834"/>
      <c r="I2014" s="832"/>
      <c r="J2014" s="1111"/>
      <c r="K2014" s="832"/>
      <c r="L2014" s="832"/>
      <c r="M2014" s="832"/>
      <c r="N2014" s="832"/>
      <c r="O2014" s="832"/>
      <c r="P2014" s="832"/>
      <c r="Q2014" s="832"/>
      <c r="R2014" s="832"/>
    </row>
    <row r="2015" spans="2:18">
      <c r="B2015" s="832"/>
      <c r="C2015" s="833"/>
      <c r="D2015" s="833"/>
      <c r="E2015" s="833"/>
      <c r="F2015" s="1111"/>
      <c r="G2015" s="1111"/>
      <c r="H2015" s="834"/>
      <c r="I2015" s="832"/>
      <c r="J2015" s="1111"/>
      <c r="K2015" s="832"/>
      <c r="L2015" s="832"/>
      <c r="M2015" s="832"/>
      <c r="N2015" s="832"/>
      <c r="O2015" s="832"/>
      <c r="P2015" s="832"/>
      <c r="Q2015" s="832"/>
      <c r="R2015" s="832"/>
    </row>
    <row r="2016" spans="2:18">
      <c r="B2016" s="832"/>
      <c r="C2016" s="833"/>
      <c r="D2016" s="833"/>
      <c r="E2016" s="833"/>
      <c r="F2016" s="1111"/>
      <c r="G2016" s="1111"/>
      <c r="H2016" s="834"/>
      <c r="I2016" s="832"/>
      <c r="J2016" s="1111"/>
      <c r="K2016" s="832"/>
      <c r="L2016" s="832"/>
      <c r="M2016" s="832"/>
      <c r="N2016" s="832"/>
      <c r="O2016" s="832"/>
      <c r="P2016" s="832"/>
      <c r="Q2016" s="832"/>
      <c r="R2016" s="832"/>
    </row>
    <row r="2017" spans="2:18">
      <c r="B2017" s="832"/>
      <c r="C2017" s="833"/>
      <c r="D2017" s="833"/>
      <c r="E2017" s="833"/>
      <c r="F2017" s="1111"/>
      <c r="G2017" s="1111"/>
      <c r="H2017" s="834"/>
      <c r="I2017" s="832"/>
      <c r="J2017" s="1111"/>
      <c r="K2017" s="832"/>
      <c r="L2017" s="832"/>
      <c r="M2017" s="832"/>
      <c r="N2017" s="832"/>
      <c r="O2017" s="832"/>
      <c r="P2017" s="832"/>
      <c r="Q2017" s="832"/>
      <c r="R2017" s="832"/>
    </row>
    <row r="2018" spans="2:18">
      <c r="B2018" s="832"/>
      <c r="C2018" s="833"/>
      <c r="D2018" s="833"/>
      <c r="E2018" s="833"/>
      <c r="F2018" s="1111"/>
      <c r="G2018" s="1111"/>
      <c r="H2018" s="834"/>
      <c r="I2018" s="832"/>
      <c r="J2018" s="1111"/>
      <c r="K2018" s="832"/>
      <c r="L2018" s="832"/>
      <c r="M2018" s="832"/>
      <c r="N2018" s="832"/>
      <c r="O2018" s="832"/>
      <c r="P2018" s="832"/>
      <c r="Q2018" s="832"/>
      <c r="R2018" s="832"/>
    </row>
    <row r="2019" spans="2:18">
      <c r="B2019" s="832"/>
      <c r="C2019" s="833"/>
      <c r="D2019" s="833"/>
      <c r="E2019" s="833"/>
      <c r="F2019" s="1111"/>
      <c r="G2019" s="1111"/>
      <c r="H2019" s="834"/>
      <c r="I2019" s="832"/>
      <c r="J2019" s="1111"/>
      <c r="K2019" s="832"/>
      <c r="L2019" s="832"/>
      <c r="M2019" s="832"/>
      <c r="N2019" s="832"/>
      <c r="O2019" s="832"/>
      <c r="P2019" s="832"/>
      <c r="Q2019" s="832"/>
      <c r="R2019" s="832"/>
    </row>
    <row r="2020" spans="2:18">
      <c r="B2020" s="832"/>
      <c r="C2020" s="833"/>
      <c r="D2020" s="833"/>
      <c r="E2020" s="833"/>
      <c r="F2020" s="1111"/>
      <c r="G2020" s="1111"/>
      <c r="H2020" s="834"/>
      <c r="I2020" s="832"/>
      <c r="J2020" s="1111"/>
      <c r="K2020" s="832"/>
      <c r="L2020" s="832"/>
      <c r="M2020" s="832"/>
      <c r="N2020" s="832"/>
      <c r="O2020" s="832"/>
      <c r="P2020" s="832"/>
      <c r="Q2020" s="832"/>
      <c r="R2020" s="832"/>
    </row>
    <row r="2021" spans="2:18">
      <c r="B2021" s="832"/>
      <c r="C2021" s="833"/>
      <c r="D2021" s="833"/>
      <c r="E2021" s="833"/>
      <c r="F2021" s="1111"/>
      <c r="G2021" s="1111"/>
      <c r="H2021" s="834"/>
      <c r="I2021" s="832"/>
      <c r="J2021" s="1111"/>
      <c r="K2021" s="832"/>
      <c r="L2021" s="832"/>
      <c r="M2021" s="832"/>
      <c r="N2021" s="832"/>
      <c r="O2021" s="832"/>
      <c r="P2021" s="832"/>
      <c r="Q2021" s="832"/>
      <c r="R2021" s="832"/>
    </row>
    <row r="2022" spans="2:18">
      <c r="B2022" s="832"/>
      <c r="C2022" s="833"/>
      <c r="D2022" s="833"/>
      <c r="E2022" s="833"/>
      <c r="F2022" s="1111"/>
      <c r="G2022" s="1111"/>
      <c r="H2022" s="834"/>
      <c r="I2022" s="832"/>
      <c r="J2022" s="1111"/>
      <c r="K2022" s="832"/>
      <c r="L2022" s="832"/>
      <c r="M2022" s="832"/>
      <c r="N2022" s="832"/>
      <c r="O2022" s="832"/>
      <c r="P2022" s="832"/>
      <c r="Q2022" s="832"/>
      <c r="R2022" s="832"/>
    </row>
    <row r="2023" spans="2:18">
      <c r="B2023" s="832"/>
      <c r="C2023" s="833"/>
      <c r="D2023" s="833"/>
      <c r="E2023" s="833"/>
      <c r="F2023" s="1111"/>
      <c r="G2023" s="1111"/>
      <c r="H2023" s="834"/>
      <c r="I2023" s="832"/>
      <c r="J2023" s="1111"/>
      <c r="K2023" s="832"/>
      <c r="L2023" s="832"/>
      <c r="M2023" s="832"/>
      <c r="N2023" s="832"/>
      <c r="O2023" s="832"/>
      <c r="P2023" s="832"/>
      <c r="Q2023" s="832"/>
      <c r="R2023" s="832"/>
    </row>
    <row r="2024" spans="2:18">
      <c r="B2024" s="832"/>
      <c r="C2024" s="833"/>
      <c r="D2024" s="833"/>
      <c r="E2024" s="833"/>
      <c r="F2024" s="1111"/>
      <c r="G2024" s="1111"/>
      <c r="H2024" s="834"/>
      <c r="I2024" s="832"/>
      <c r="J2024" s="1111"/>
      <c r="K2024" s="832"/>
      <c r="L2024" s="832"/>
      <c r="M2024" s="832"/>
      <c r="N2024" s="832"/>
      <c r="O2024" s="832"/>
      <c r="P2024" s="832"/>
      <c r="Q2024" s="832"/>
      <c r="R2024" s="832"/>
    </row>
    <row r="2025" spans="2:18">
      <c r="B2025" s="832"/>
      <c r="C2025" s="833"/>
      <c r="D2025" s="833"/>
      <c r="E2025" s="833"/>
      <c r="F2025" s="1111"/>
      <c r="G2025" s="1111"/>
      <c r="H2025" s="834"/>
      <c r="I2025" s="832"/>
      <c r="J2025" s="1111"/>
      <c r="K2025" s="832"/>
      <c r="L2025" s="832"/>
      <c r="M2025" s="832"/>
      <c r="N2025" s="832"/>
      <c r="O2025" s="832"/>
      <c r="P2025" s="832"/>
      <c r="Q2025" s="832"/>
      <c r="R2025" s="832"/>
    </row>
    <row r="2026" spans="2:18">
      <c r="B2026" s="832"/>
      <c r="C2026" s="833"/>
      <c r="D2026" s="833"/>
      <c r="E2026" s="833"/>
      <c r="F2026" s="1111"/>
      <c r="G2026" s="1111"/>
      <c r="H2026" s="834"/>
      <c r="I2026" s="832"/>
      <c r="J2026" s="1111"/>
      <c r="K2026" s="832"/>
      <c r="L2026" s="832"/>
      <c r="M2026" s="832"/>
      <c r="N2026" s="832"/>
      <c r="O2026" s="832"/>
      <c r="P2026" s="832"/>
      <c r="Q2026" s="832"/>
      <c r="R2026" s="832"/>
    </row>
    <row r="2027" spans="2:18">
      <c r="B2027" s="832"/>
      <c r="C2027" s="833"/>
      <c r="D2027" s="833"/>
      <c r="E2027" s="833"/>
      <c r="F2027" s="1111"/>
      <c r="G2027" s="1111"/>
      <c r="H2027" s="834"/>
      <c r="I2027" s="832"/>
      <c r="J2027" s="1111"/>
      <c r="K2027" s="832"/>
      <c r="L2027" s="832"/>
      <c r="M2027" s="832"/>
      <c r="N2027" s="832"/>
      <c r="O2027" s="832"/>
      <c r="P2027" s="832"/>
      <c r="Q2027" s="832"/>
      <c r="R2027" s="832"/>
    </row>
    <row r="2028" spans="2:18">
      <c r="B2028" s="832"/>
      <c r="C2028" s="833"/>
      <c r="D2028" s="833"/>
      <c r="E2028" s="833"/>
      <c r="F2028" s="1111"/>
      <c r="G2028" s="1111"/>
      <c r="H2028" s="834"/>
      <c r="I2028" s="832"/>
      <c r="J2028" s="1111"/>
      <c r="K2028" s="832"/>
      <c r="L2028" s="832"/>
      <c r="M2028" s="832"/>
      <c r="N2028" s="832"/>
      <c r="O2028" s="832"/>
      <c r="P2028" s="832"/>
      <c r="Q2028" s="832"/>
      <c r="R2028" s="832"/>
    </row>
    <row r="2029" spans="2:18">
      <c r="B2029" s="832"/>
      <c r="C2029" s="833"/>
      <c r="D2029" s="833"/>
      <c r="E2029" s="833"/>
      <c r="F2029" s="1111"/>
      <c r="G2029" s="1111"/>
      <c r="H2029" s="834"/>
      <c r="I2029" s="832"/>
      <c r="J2029" s="1111"/>
      <c r="K2029" s="832"/>
      <c r="L2029" s="832"/>
      <c r="M2029" s="832"/>
      <c r="N2029" s="832"/>
      <c r="O2029" s="832"/>
      <c r="P2029" s="832"/>
      <c r="Q2029" s="832"/>
      <c r="R2029" s="832"/>
    </row>
    <row r="2030" spans="2:18">
      <c r="B2030" s="832"/>
      <c r="C2030" s="833"/>
      <c r="D2030" s="833"/>
      <c r="E2030" s="833"/>
      <c r="F2030" s="1111"/>
      <c r="G2030" s="1111"/>
      <c r="H2030" s="834"/>
      <c r="I2030" s="832"/>
      <c r="J2030" s="1111"/>
      <c r="K2030" s="832"/>
      <c r="L2030" s="832"/>
      <c r="M2030" s="832"/>
      <c r="N2030" s="832"/>
      <c r="O2030" s="832"/>
      <c r="P2030" s="832"/>
      <c r="Q2030" s="832"/>
      <c r="R2030" s="832"/>
    </row>
    <row r="2031" spans="2:18">
      <c r="B2031" s="832"/>
      <c r="C2031" s="833"/>
      <c r="D2031" s="833"/>
      <c r="E2031" s="833"/>
      <c r="F2031" s="1111"/>
      <c r="G2031" s="1111"/>
      <c r="H2031" s="834"/>
      <c r="I2031" s="832"/>
      <c r="J2031" s="1111"/>
      <c r="K2031" s="832"/>
      <c r="L2031" s="832"/>
      <c r="M2031" s="832"/>
      <c r="N2031" s="832"/>
      <c r="O2031" s="832"/>
      <c r="P2031" s="832"/>
      <c r="Q2031" s="832"/>
      <c r="R2031" s="832"/>
    </row>
    <row r="2032" spans="2:18">
      <c r="B2032" s="832"/>
      <c r="C2032" s="833"/>
      <c r="D2032" s="833"/>
      <c r="E2032" s="833"/>
      <c r="F2032" s="1111"/>
      <c r="G2032" s="1111"/>
      <c r="H2032" s="834"/>
      <c r="I2032" s="832"/>
      <c r="J2032" s="1111"/>
      <c r="K2032" s="832"/>
      <c r="L2032" s="832"/>
      <c r="M2032" s="832"/>
      <c r="N2032" s="832"/>
      <c r="O2032" s="832"/>
      <c r="P2032" s="832"/>
      <c r="Q2032" s="832"/>
      <c r="R2032" s="832"/>
    </row>
    <row r="2033" spans="2:18">
      <c r="B2033" s="832"/>
      <c r="C2033" s="833"/>
      <c r="D2033" s="833"/>
      <c r="E2033" s="833"/>
      <c r="F2033" s="1111"/>
      <c r="G2033" s="1111"/>
      <c r="H2033" s="834"/>
      <c r="I2033" s="832"/>
      <c r="J2033" s="1111"/>
      <c r="K2033" s="832"/>
      <c r="L2033" s="832"/>
      <c r="M2033" s="832"/>
      <c r="N2033" s="832"/>
      <c r="O2033" s="832"/>
      <c r="P2033" s="832"/>
      <c r="Q2033" s="832"/>
      <c r="R2033" s="832"/>
    </row>
    <row r="2034" spans="2:18">
      <c r="B2034" s="832"/>
      <c r="C2034" s="833"/>
      <c r="D2034" s="833"/>
      <c r="E2034" s="833"/>
      <c r="F2034" s="1111"/>
      <c r="G2034" s="1111"/>
      <c r="H2034" s="834"/>
      <c r="I2034" s="832"/>
      <c r="J2034" s="1111"/>
      <c r="K2034" s="832"/>
      <c r="L2034" s="832"/>
      <c r="M2034" s="832"/>
      <c r="N2034" s="832"/>
      <c r="O2034" s="832"/>
      <c r="P2034" s="832"/>
      <c r="Q2034" s="832"/>
      <c r="R2034" s="832"/>
    </row>
    <row r="2035" spans="2:18">
      <c r="B2035" s="832"/>
      <c r="C2035" s="833"/>
      <c r="D2035" s="833"/>
      <c r="E2035" s="833"/>
      <c r="F2035" s="1111"/>
      <c r="G2035" s="1111"/>
      <c r="H2035" s="834"/>
      <c r="I2035" s="832"/>
      <c r="J2035" s="1111"/>
      <c r="K2035" s="832"/>
      <c r="L2035" s="832"/>
      <c r="M2035" s="832"/>
      <c r="N2035" s="832"/>
      <c r="O2035" s="832"/>
      <c r="P2035" s="832"/>
      <c r="Q2035" s="832"/>
      <c r="R2035" s="832"/>
    </row>
    <row r="2036" spans="2:18">
      <c r="B2036" s="832"/>
      <c r="C2036" s="833"/>
      <c r="D2036" s="833"/>
      <c r="E2036" s="833"/>
      <c r="F2036" s="1111"/>
      <c r="G2036" s="1111"/>
      <c r="H2036" s="834"/>
      <c r="I2036" s="832"/>
      <c r="J2036" s="1111"/>
      <c r="K2036" s="832"/>
      <c r="L2036" s="832"/>
      <c r="M2036" s="832"/>
      <c r="N2036" s="832"/>
      <c r="O2036" s="832"/>
      <c r="P2036" s="832"/>
      <c r="Q2036" s="832"/>
      <c r="R2036" s="832"/>
    </row>
    <row r="2037" spans="2:18">
      <c r="B2037" s="832"/>
      <c r="C2037" s="833"/>
      <c r="D2037" s="833"/>
      <c r="E2037" s="833"/>
      <c r="F2037" s="1111"/>
      <c r="G2037" s="1111"/>
      <c r="H2037" s="834"/>
      <c r="I2037" s="832"/>
      <c r="J2037" s="1111"/>
      <c r="K2037" s="832"/>
      <c r="L2037" s="832"/>
      <c r="M2037" s="832"/>
      <c r="N2037" s="832"/>
      <c r="O2037" s="832"/>
      <c r="P2037" s="832"/>
      <c r="Q2037" s="832"/>
      <c r="R2037" s="832"/>
    </row>
    <row r="2038" spans="2:18">
      <c r="B2038" s="832"/>
      <c r="C2038" s="833"/>
      <c r="D2038" s="833"/>
      <c r="E2038" s="833"/>
      <c r="F2038" s="1111"/>
      <c r="G2038" s="1111"/>
      <c r="H2038" s="834"/>
      <c r="I2038" s="832"/>
      <c r="J2038" s="1111"/>
      <c r="K2038" s="832"/>
      <c r="L2038" s="832"/>
      <c r="M2038" s="832"/>
      <c r="N2038" s="832"/>
      <c r="O2038" s="832"/>
      <c r="P2038" s="832"/>
      <c r="Q2038" s="832"/>
      <c r="R2038" s="832"/>
    </row>
    <row r="2039" spans="2:18">
      <c r="B2039" s="832"/>
      <c r="C2039" s="833"/>
      <c r="D2039" s="833"/>
      <c r="E2039" s="833"/>
      <c r="F2039" s="1111"/>
      <c r="G2039" s="1111"/>
      <c r="H2039" s="834"/>
      <c r="I2039" s="832"/>
      <c r="J2039" s="1111"/>
      <c r="K2039" s="832"/>
      <c r="L2039" s="832"/>
      <c r="M2039" s="832"/>
      <c r="N2039" s="832"/>
      <c r="O2039" s="832"/>
      <c r="P2039" s="832"/>
      <c r="Q2039" s="832"/>
      <c r="R2039" s="832"/>
    </row>
    <row r="2040" spans="2:18">
      <c r="B2040" s="832"/>
      <c r="C2040" s="833"/>
      <c r="D2040" s="833"/>
      <c r="E2040" s="833"/>
      <c r="F2040" s="1111"/>
      <c r="G2040" s="1111"/>
      <c r="H2040" s="834"/>
      <c r="I2040" s="832"/>
      <c r="J2040" s="1111"/>
      <c r="K2040" s="832"/>
      <c r="L2040" s="832"/>
      <c r="M2040" s="832"/>
      <c r="N2040" s="832"/>
      <c r="O2040" s="832"/>
      <c r="P2040" s="832"/>
      <c r="Q2040" s="832"/>
      <c r="R2040" s="832"/>
    </row>
    <row r="2041" spans="2:18">
      <c r="B2041" s="832"/>
      <c r="C2041" s="833"/>
      <c r="D2041" s="833"/>
      <c r="E2041" s="833"/>
      <c r="F2041" s="1111"/>
      <c r="G2041" s="1111"/>
      <c r="H2041" s="834"/>
      <c r="I2041" s="832"/>
      <c r="J2041" s="1111"/>
      <c r="K2041" s="832"/>
      <c r="L2041" s="832"/>
      <c r="M2041" s="832"/>
      <c r="N2041" s="832"/>
      <c r="O2041" s="832"/>
      <c r="P2041" s="832"/>
      <c r="Q2041" s="832"/>
      <c r="R2041" s="832"/>
    </row>
    <row r="2042" spans="2:18">
      <c r="B2042" s="832"/>
      <c r="C2042" s="833"/>
      <c r="D2042" s="833"/>
      <c r="E2042" s="833"/>
      <c r="F2042" s="1111"/>
      <c r="G2042" s="1111"/>
      <c r="H2042" s="834"/>
      <c r="I2042" s="832"/>
      <c r="J2042" s="1111"/>
      <c r="K2042" s="832"/>
      <c r="L2042" s="832"/>
      <c r="M2042" s="832"/>
      <c r="N2042" s="832"/>
      <c r="O2042" s="832"/>
      <c r="P2042" s="832"/>
      <c r="Q2042" s="832"/>
      <c r="R2042" s="832"/>
    </row>
    <row r="2043" spans="2:18">
      <c r="B2043" s="832"/>
      <c r="C2043" s="833"/>
      <c r="D2043" s="833"/>
      <c r="E2043" s="833"/>
      <c r="F2043" s="1111"/>
      <c r="G2043" s="1111"/>
      <c r="H2043" s="834"/>
      <c r="I2043" s="832"/>
      <c r="J2043" s="1111"/>
      <c r="K2043" s="832"/>
      <c r="L2043" s="832"/>
      <c r="M2043" s="832"/>
      <c r="N2043" s="832"/>
      <c r="O2043" s="832"/>
      <c r="P2043" s="832"/>
      <c r="Q2043" s="832"/>
      <c r="R2043" s="832"/>
    </row>
    <row r="2044" spans="2:18">
      <c r="B2044" s="832"/>
      <c r="C2044" s="833"/>
      <c r="D2044" s="833"/>
      <c r="E2044" s="833"/>
      <c r="F2044" s="1111"/>
      <c r="G2044" s="1111"/>
      <c r="H2044" s="834"/>
      <c r="I2044" s="832"/>
      <c r="J2044" s="1111"/>
      <c r="K2044" s="832"/>
      <c r="L2044" s="832"/>
      <c r="M2044" s="832"/>
      <c r="N2044" s="832"/>
      <c r="O2044" s="832"/>
      <c r="P2044" s="832"/>
      <c r="Q2044" s="832"/>
      <c r="R2044" s="832"/>
    </row>
    <row r="2045" spans="2:18">
      <c r="B2045" s="832"/>
      <c r="C2045" s="833"/>
      <c r="D2045" s="833"/>
      <c r="E2045" s="833"/>
      <c r="F2045" s="1111"/>
      <c r="G2045" s="1111"/>
      <c r="H2045" s="834"/>
      <c r="I2045" s="832"/>
      <c r="J2045" s="1111"/>
      <c r="K2045" s="832"/>
      <c r="L2045" s="832"/>
      <c r="M2045" s="832"/>
      <c r="N2045" s="832"/>
      <c r="O2045" s="832"/>
      <c r="P2045" s="832"/>
      <c r="Q2045" s="832"/>
      <c r="R2045" s="832"/>
    </row>
    <row r="2046" spans="2:18">
      <c r="B2046" s="832"/>
      <c r="C2046" s="833"/>
      <c r="D2046" s="833"/>
      <c r="E2046" s="833"/>
      <c r="F2046" s="1111"/>
      <c r="G2046" s="1111"/>
      <c r="H2046" s="834"/>
      <c r="I2046" s="832"/>
      <c r="J2046" s="1111"/>
      <c r="K2046" s="832"/>
      <c r="L2046" s="832"/>
      <c r="M2046" s="832"/>
      <c r="N2046" s="832"/>
      <c r="O2046" s="832"/>
      <c r="P2046" s="832"/>
      <c r="Q2046" s="832"/>
      <c r="R2046" s="832"/>
    </row>
    <row r="2047" spans="2:18">
      <c r="B2047" s="832"/>
      <c r="C2047" s="833"/>
      <c r="D2047" s="833"/>
      <c r="E2047" s="833"/>
      <c r="F2047" s="1111"/>
      <c r="G2047" s="1111"/>
      <c r="H2047" s="834"/>
      <c r="I2047" s="832"/>
      <c r="J2047" s="1111"/>
      <c r="K2047" s="832"/>
      <c r="L2047" s="832"/>
      <c r="M2047" s="832"/>
      <c r="N2047" s="832"/>
      <c r="O2047" s="832"/>
      <c r="P2047" s="832"/>
      <c r="Q2047" s="832"/>
      <c r="R2047" s="832"/>
    </row>
    <row r="2048" spans="2:18">
      <c r="B2048" s="832"/>
      <c r="C2048" s="833"/>
      <c r="D2048" s="833"/>
      <c r="E2048" s="833"/>
      <c r="F2048" s="1111"/>
      <c r="G2048" s="1111"/>
      <c r="H2048" s="834"/>
      <c r="I2048" s="832"/>
      <c r="J2048" s="1111"/>
      <c r="K2048" s="832"/>
      <c r="L2048" s="832"/>
      <c r="M2048" s="832"/>
      <c r="N2048" s="832"/>
      <c r="O2048" s="832"/>
      <c r="P2048" s="832"/>
      <c r="Q2048" s="832"/>
      <c r="R2048" s="832"/>
    </row>
    <row r="2049" spans="2:18">
      <c r="B2049" s="832"/>
      <c r="C2049" s="833"/>
      <c r="D2049" s="833"/>
      <c r="E2049" s="833"/>
      <c r="F2049" s="1111"/>
      <c r="G2049" s="1111"/>
      <c r="H2049" s="834"/>
      <c r="I2049" s="832"/>
      <c r="J2049" s="1111"/>
      <c r="K2049" s="832"/>
      <c r="L2049" s="832"/>
      <c r="M2049" s="832"/>
      <c r="N2049" s="832"/>
      <c r="O2049" s="832"/>
      <c r="P2049" s="832"/>
      <c r="Q2049" s="832"/>
      <c r="R2049" s="832"/>
    </row>
    <row r="2050" spans="2:18">
      <c r="B2050" s="832"/>
      <c r="C2050" s="833"/>
      <c r="D2050" s="833"/>
      <c r="E2050" s="833"/>
      <c r="F2050" s="1111"/>
      <c r="G2050" s="1111"/>
      <c r="H2050" s="834"/>
      <c r="I2050" s="832"/>
      <c r="J2050" s="1111"/>
      <c r="K2050" s="832"/>
      <c r="L2050" s="832"/>
      <c r="M2050" s="832"/>
      <c r="N2050" s="832"/>
      <c r="O2050" s="832"/>
      <c r="P2050" s="832"/>
      <c r="Q2050" s="832"/>
      <c r="R2050" s="832"/>
    </row>
    <row r="2051" spans="2:18">
      <c r="B2051" s="832"/>
      <c r="C2051" s="833"/>
      <c r="D2051" s="833"/>
      <c r="E2051" s="833"/>
      <c r="F2051" s="1111"/>
      <c r="G2051" s="1111"/>
      <c r="H2051" s="834"/>
      <c r="I2051" s="832"/>
      <c r="J2051" s="1111"/>
      <c r="K2051" s="832"/>
      <c r="L2051" s="832"/>
      <c r="M2051" s="832"/>
      <c r="N2051" s="832"/>
      <c r="O2051" s="832"/>
      <c r="P2051" s="832"/>
      <c r="Q2051" s="832"/>
      <c r="R2051" s="832"/>
    </row>
    <row r="2052" spans="2:18">
      <c r="B2052" s="832"/>
      <c r="C2052" s="833"/>
      <c r="D2052" s="833"/>
      <c r="E2052" s="833"/>
      <c r="F2052" s="1111"/>
      <c r="G2052" s="1111"/>
      <c r="H2052" s="834"/>
      <c r="I2052" s="832"/>
      <c r="J2052" s="1111"/>
      <c r="K2052" s="832"/>
      <c r="L2052" s="832"/>
      <c r="M2052" s="832"/>
      <c r="N2052" s="832"/>
      <c r="O2052" s="832"/>
      <c r="P2052" s="832"/>
      <c r="Q2052" s="832"/>
      <c r="R2052" s="832"/>
    </row>
    <row r="2053" spans="2:18">
      <c r="B2053" s="832"/>
      <c r="C2053" s="833"/>
      <c r="D2053" s="833"/>
      <c r="E2053" s="833"/>
      <c r="F2053" s="1111"/>
      <c r="G2053" s="1111"/>
      <c r="H2053" s="834"/>
      <c r="I2053" s="832"/>
      <c r="J2053" s="1111"/>
      <c r="K2053" s="832"/>
      <c r="L2053" s="832"/>
      <c r="M2053" s="832"/>
      <c r="N2053" s="832"/>
      <c r="O2053" s="832"/>
      <c r="P2053" s="832"/>
      <c r="Q2053" s="832"/>
      <c r="R2053" s="832"/>
    </row>
    <row r="2054" spans="2:18">
      <c r="B2054" s="832"/>
      <c r="C2054" s="833"/>
      <c r="D2054" s="833"/>
      <c r="E2054" s="833"/>
      <c r="F2054" s="1111"/>
      <c r="G2054" s="1111"/>
      <c r="H2054" s="834"/>
      <c r="I2054" s="832"/>
      <c r="J2054" s="1111"/>
      <c r="K2054" s="832"/>
      <c r="L2054" s="832"/>
      <c r="M2054" s="832"/>
      <c r="N2054" s="832"/>
      <c r="O2054" s="832"/>
      <c r="P2054" s="832"/>
      <c r="Q2054" s="832"/>
      <c r="R2054" s="832"/>
    </row>
    <row r="2055" spans="2:18">
      <c r="B2055" s="832"/>
      <c r="C2055" s="833"/>
      <c r="D2055" s="833"/>
      <c r="E2055" s="833"/>
      <c r="F2055" s="1111"/>
      <c r="G2055" s="1111"/>
      <c r="H2055" s="834"/>
      <c r="I2055" s="832"/>
      <c r="J2055" s="1111"/>
      <c r="K2055" s="832"/>
      <c r="L2055" s="832"/>
      <c r="M2055" s="832"/>
      <c r="N2055" s="832"/>
      <c r="O2055" s="832"/>
      <c r="P2055" s="832"/>
      <c r="Q2055" s="832"/>
      <c r="R2055" s="832"/>
    </row>
    <row r="2056" spans="2:18">
      <c r="B2056" s="832"/>
      <c r="C2056" s="833"/>
      <c r="D2056" s="833"/>
      <c r="E2056" s="833"/>
      <c r="F2056" s="1111"/>
      <c r="G2056" s="1111"/>
      <c r="H2056" s="834"/>
      <c r="I2056" s="832"/>
      <c r="J2056" s="1111"/>
      <c r="K2056" s="832"/>
      <c r="L2056" s="832"/>
      <c r="M2056" s="832"/>
      <c r="N2056" s="832"/>
      <c r="O2056" s="832"/>
      <c r="P2056" s="832"/>
      <c r="Q2056" s="832"/>
      <c r="R2056" s="832"/>
    </row>
    <row r="2057" spans="2:18">
      <c r="B2057" s="832"/>
      <c r="C2057" s="833"/>
      <c r="D2057" s="833"/>
      <c r="E2057" s="833"/>
      <c r="F2057" s="1111"/>
      <c r="G2057" s="1111"/>
      <c r="H2057" s="834"/>
      <c r="I2057" s="832"/>
      <c r="J2057" s="1111"/>
      <c r="K2057" s="832"/>
      <c r="L2057" s="832"/>
      <c r="M2057" s="832"/>
      <c r="N2057" s="832"/>
      <c r="O2057" s="832"/>
      <c r="P2057" s="832"/>
      <c r="Q2057" s="832"/>
      <c r="R2057" s="832"/>
    </row>
    <row r="2058" spans="2:18">
      <c r="B2058" s="832"/>
      <c r="C2058" s="833"/>
      <c r="D2058" s="833"/>
      <c r="E2058" s="833"/>
      <c r="F2058" s="1111"/>
      <c r="G2058" s="1111"/>
      <c r="H2058" s="834"/>
      <c r="I2058" s="832"/>
      <c r="J2058" s="1111"/>
      <c r="K2058" s="832"/>
      <c r="L2058" s="832"/>
      <c r="M2058" s="832"/>
      <c r="N2058" s="832"/>
      <c r="O2058" s="832"/>
      <c r="P2058" s="832"/>
      <c r="Q2058" s="832"/>
      <c r="R2058" s="832"/>
    </row>
    <row r="2059" spans="2:18">
      <c r="B2059" s="832"/>
      <c r="C2059" s="833"/>
      <c r="D2059" s="833"/>
      <c r="E2059" s="833"/>
      <c r="F2059" s="1111"/>
      <c r="G2059" s="1111"/>
      <c r="H2059" s="834"/>
      <c r="I2059" s="832"/>
      <c r="J2059" s="1111"/>
      <c r="K2059" s="832"/>
      <c r="L2059" s="832"/>
      <c r="M2059" s="832"/>
      <c r="N2059" s="832"/>
      <c r="O2059" s="832"/>
      <c r="P2059" s="832"/>
      <c r="Q2059" s="832"/>
      <c r="R2059" s="832"/>
    </row>
    <row r="2060" spans="2:18">
      <c r="B2060" s="832"/>
      <c r="C2060" s="833"/>
      <c r="D2060" s="833"/>
      <c r="E2060" s="833"/>
      <c r="F2060" s="1111"/>
      <c r="G2060" s="1111"/>
      <c r="H2060" s="834"/>
      <c r="I2060" s="832"/>
      <c r="J2060" s="1111"/>
      <c r="K2060" s="832"/>
      <c r="L2060" s="832"/>
      <c r="M2060" s="832"/>
      <c r="N2060" s="832"/>
      <c r="O2060" s="832"/>
      <c r="P2060" s="832"/>
      <c r="Q2060" s="832"/>
      <c r="R2060" s="832"/>
    </row>
    <row r="2061" spans="2:18">
      <c r="B2061" s="832"/>
      <c r="C2061" s="833"/>
      <c r="D2061" s="833"/>
      <c r="E2061" s="833"/>
      <c r="F2061" s="1111"/>
      <c r="G2061" s="1111"/>
      <c r="H2061" s="834"/>
      <c r="I2061" s="832"/>
      <c r="J2061" s="1111"/>
      <c r="K2061" s="832"/>
      <c r="L2061" s="832"/>
      <c r="M2061" s="832"/>
      <c r="N2061" s="832"/>
      <c r="O2061" s="832"/>
      <c r="P2061" s="832"/>
      <c r="Q2061" s="832"/>
      <c r="R2061" s="832"/>
    </row>
    <row r="2062" spans="2:18">
      <c r="B2062" s="832"/>
      <c r="C2062" s="833"/>
      <c r="D2062" s="833"/>
      <c r="E2062" s="833"/>
      <c r="F2062" s="1111"/>
      <c r="G2062" s="1111"/>
      <c r="H2062" s="834"/>
      <c r="I2062" s="832"/>
      <c r="J2062" s="1111"/>
      <c r="K2062" s="832"/>
      <c r="L2062" s="832"/>
      <c r="M2062" s="832"/>
      <c r="N2062" s="832"/>
      <c r="O2062" s="832"/>
      <c r="P2062" s="832"/>
      <c r="Q2062" s="832"/>
      <c r="R2062" s="832"/>
    </row>
    <row r="2063" spans="2:18">
      <c r="B2063" s="832"/>
      <c r="C2063" s="833"/>
      <c r="D2063" s="833"/>
      <c r="E2063" s="833"/>
      <c r="F2063" s="1111"/>
      <c r="G2063" s="1111"/>
      <c r="H2063" s="834"/>
      <c r="I2063" s="832"/>
      <c r="J2063" s="1111"/>
      <c r="K2063" s="832"/>
      <c r="L2063" s="832"/>
      <c r="M2063" s="832"/>
      <c r="N2063" s="832"/>
      <c r="O2063" s="832"/>
      <c r="P2063" s="832"/>
      <c r="Q2063" s="832"/>
      <c r="R2063" s="832"/>
    </row>
    <row r="2064" spans="2:18">
      <c r="B2064" s="832"/>
      <c r="C2064" s="833"/>
      <c r="D2064" s="833"/>
      <c r="E2064" s="833"/>
      <c r="F2064" s="1111"/>
      <c r="G2064" s="1111"/>
      <c r="H2064" s="834"/>
      <c r="I2064" s="832"/>
      <c r="J2064" s="1111"/>
      <c r="K2064" s="832"/>
      <c r="L2064" s="832"/>
      <c r="M2064" s="832"/>
      <c r="N2064" s="832"/>
      <c r="O2064" s="832"/>
      <c r="P2064" s="832"/>
      <c r="Q2064" s="832"/>
      <c r="R2064" s="832"/>
    </row>
    <row r="2065" spans="2:18">
      <c r="B2065" s="832"/>
      <c r="C2065" s="833"/>
      <c r="D2065" s="833"/>
      <c r="E2065" s="833"/>
      <c r="F2065" s="1111"/>
      <c r="G2065" s="1111"/>
      <c r="H2065" s="834"/>
      <c r="I2065" s="832"/>
      <c r="J2065" s="1111"/>
      <c r="K2065" s="832"/>
      <c r="L2065" s="832"/>
      <c r="M2065" s="832"/>
      <c r="N2065" s="832"/>
      <c r="O2065" s="832"/>
      <c r="P2065" s="832"/>
      <c r="Q2065" s="832"/>
      <c r="R2065" s="832"/>
    </row>
    <row r="2066" spans="2:18">
      <c r="B2066" s="832"/>
      <c r="C2066" s="833"/>
      <c r="D2066" s="833"/>
      <c r="E2066" s="833"/>
      <c r="F2066" s="1111"/>
      <c r="G2066" s="1111"/>
      <c r="H2066" s="834"/>
      <c r="I2066" s="832"/>
      <c r="J2066" s="1111"/>
      <c r="K2066" s="832"/>
      <c r="L2066" s="832"/>
      <c r="M2066" s="832"/>
      <c r="N2066" s="832"/>
      <c r="O2066" s="832"/>
      <c r="P2066" s="832"/>
      <c r="Q2066" s="832"/>
      <c r="R2066" s="832"/>
    </row>
    <row r="2067" spans="2:18">
      <c r="B2067" s="832"/>
      <c r="C2067" s="833"/>
      <c r="D2067" s="833"/>
      <c r="E2067" s="833"/>
      <c r="F2067" s="1111"/>
      <c r="G2067" s="1111"/>
      <c r="H2067" s="834"/>
      <c r="I2067" s="832"/>
      <c r="J2067" s="1111"/>
      <c r="K2067" s="832"/>
      <c r="L2067" s="832"/>
      <c r="M2067" s="832"/>
      <c r="N2067" s="832"/>
      <c r="O2067" s="832"/>
      <c r="P2067" s="832"/>
      <c r="Q2067" s="832"/>
      <c r="R2067" s="832"/>
    </row>
    <row r="2068" spans="2:18">
      <c r="B2068" s="832"/>
      <c r="C2068" s="833"/>
      <c r="D2068" s="833"/>
      <c r="E2068" s="833"/>
      <c r="F2068" s="1111"/>
      <c r="G2068" s="1111"/>
      <c r="H2068" s="834"/>
      <c r="I2068" s="832"/>
      <c r="J2068" s="1111"/>
      <c r="K2068" s="832"/>
      <c r="L2068" s="832"/>
      <c r="M2068" s="832"/>
      <c r="N2068" s="832"/>
      <c r="O2068" s="832"/>
      <c r="P2068" s="832"/>
      <c r="Q2068" s="832"/>
      <c r="R2068" s="832"/>
    </row>
    <row r="2069" spans="2:18">
      <c r="B2069" s="832"/>
      <c r="C2069" s="833"/>
      <c r="D2069" s="833"/>
      <c r="E2069" s="833"/>
      <c r="F2069" s="1111"/>
      <c r="G2069" s="1111"/>
      <c r="H2069" s="834"/>
      <c r="I2069" s="832"/>
      <c r="J2069" s="1111"/>
      <c r="K2069" s="832"/>
      <c r="L2069" s="832"/>
      <c r="M2069" s="832"/>
      <c r="N2069" s="832"/>
      <c r="O2069" s="832"/>
      <c r="P2069" s="832"/>
      <c r="Q2069" s="832"/>
      <c r="R2069" s="832"/>
    </row>
    <row r="2070" spans="2:18">
      <c r="B2070" s="832"/>
      <c r="C2070" s="833"/>
      <c r="D2070" s="833"/>
      <c r="E2070" s="833"/>
      <c r="F2070" s="1111"/>
      <c r="G2070" s="1111"/>
      <c r="H2070" s="834"/>
      <c r="I2070" s="832"/>
      <c r="J2070" s="1111"/>
      <c r="K2070" s="832"/>
      <c r="L2070" s="832"/>
      <c r="M2070" s="832"/>
      <c r="N2070" s="832"/>
      <c r="O2070" s="832"/>
      <c r="P2070" s="832"/>
      <c r="Q2070" s="832"/>
      <c r="R2070" s="832"/>
    </row>
    <row r="2071" spans="2:18">
      <c r="B2071" s="832"/>
      <c r="C2071" s="833"/>
      <c r="D2071" s="833"/>
      <c r="E2071" s="833"/>
      <c r="F2071" s="1111"/>
      <c r="G2071" s="1111"/>
      <c r="H2071" s="834"/>
      <c r="I2071" s="832"/>
      <c r="J2071" s="1111"/>
      <c r="K2071" s="832"/>
      <c r="L2071" s="832"/>
      <c r="M2071" s="832"/>
      <c r="N2071" s="832"/>
      <c r="O2071" s="832"/>
      <c r="P2071" s="832"/>
      <c r="Q2071" s="832"/>
      <c r="R2071" s="832"/>
    </row>
    <row r="2072" spans="2:18">
      <c r="B2072" s="832"/>
      <c r="C2072" s="833"/>
      <c r="D2072" s="833"/>
      <c r="E2072" s="833"/>
      <c r="F2072" s="1111"/>
      <c r="G2072" s="1111"/>
      <c r="H2072" s="834"/>
      <c r="I2072" s="832"/>
      <c r="J2072" s="1111"/>
      <c r="K2072" s="832"/>
      <c r="L2072" s="832"/>
      <c r="M2072" s="832"/>
      <c r="N2072" s="832"/>
      <c r="O2072" s="832"/>
      <c r="P2072" s="832"/>
      <c r="Q2072" s="832"/>
      <c r="R2072" s="832"/>
    </row>
    <row r="2073" spans="2:18">
      <c r="B2073" s="832"/>
      <c r="C2073" s="833"/>
      <c r="D2073" s="833"/>
      <c r="E2073" s="833"/>
      <c r="F2073" s="1111"/>
      <c r="G2073" s="1111"/>
      <c r="H2073" s="834"/>
      <c r="I2073" s="832"/>
      <c r="J2073" s="1111"/>
      <c r="K2073" s="832"/>
      <c r="L2073" s="832"/>
      <c r="M2073" s="832"/>
      <c r="N2073" s="832"/>
      <c r="O2073" s="832"/>
      <c r="P2073" s="832"/>
      <c r="Q2073" s="832"/>
      <c r="R2073" s="832"/>
    </row>
    <row r="2074" spans="2:18">
      <c r="B2074" s="832"/>
      <c r="C2074" s="833"/>
      <c r="D2074" s="833"/>
      <c r="E2074" s="833"/>
      <c r="F2074" s="1111"/>
      <c r="G2074" s="1111"/>
      <c r="H2074" s="834"/>
      <c r="I2074" s="832"/>
      <c r="J2074" s="1111"/>
      <c r="K2074" s="832"/>
      <c r="L2074" s="832"/>
      <c r="M2074" s="832"/>
      <c r="N2074" s="832"/>
      <c r="O2074" s="832"/>
      <c r="P2074" s="832"/>
      <c r="Q2074" s="832"/>
      <c r="R2074" s="832"/>
    </row>
    <row r="2075" spans="2:18">
      <c r="B2075" s="832"/>
      <c r="C2075" s="833"/>
      <c r="D2075" s="833"/>
      <c r="E2075" s="833"/>
      <c r="F2075" s="1111"/>
      <c r="G2075" s="1111"/>
      <c r="H2075" s="834"/>
      <c r="I2075" s="832"/>
      <c r="J2075" s="1111"/>
      <c r="K2075" s="832"/>
      <c r="L2075" s="832"/>
      <c r="M2075" s="832"/>
      <c r="N2075" s="832"/>
      <c r="O2075" s="832"/>
      <c r="P2075" s="832"/>
      <c r="Q2075" s="832"/>
      <c r="R2075" s="832"/>
    </row>
    <row r="2076" spans="2:18">
      <c r="B2076" s="832"/>
      <c r="C2076" s="833"/>
      <c r="D2076" s="833"/>
      <c r="E2076" s="833"/>
      <c r="F2076" s="1111"/>
      <c r="G2076" s="1111"/>
      <c r="H2076" s="834"/>
      <c r="I2076" s="832"/>
      <c r="J2076" s="1111"/>
      <c r="K2076" s="832"/>
      <c r="L2076" s="832"/>
      <c r="M2076" s="832"/>
      <c r="N2076" s="832"/>
      <c r="O2076" s="832"/>
      <c r="P2076" s="832"/>
      <c r="Q2076" s="832"/>
      <c r="R2076" s="832"/>
    </row>
    <row r="2077" spans="2:18">
      <c r="B2077" s="832"/>
      <c r="C2077" s="833"/>
      <c r="D2077" s="833"/>
      <c r="E2077" s="833"/>
      <c r="F2077" s="1111"/>
      <c r="G2077" s="1111"/>
      <c r="H2077" s="834"/>
      <c r="I2077" s="832"/>
      <c r="J2077" s="1111"/>
      <c r="K2077" s="832"/>
      <c r="L2077" s="832"/>
      <c r="M2077" s="832"/>
      <c r="N2077" s="832"/>
      <c r="O2077" s="832"/>
      <c r="P2077" s="832"/>
      <c r="Q2077" s="832"/>
      <c r="R2077" s="832"/>
    </row>
    <row r="2078" spans="2:18">
      <c r="B2078" s="832"/>
      <c r="C2078" s="833"/>
      <c r="D2078" s="833"/>
      <c r="E2078" s="833"/>
      <c r="F2078" s="1111"/>
      <c r="G2078" s="1111"/>
      <c r="H2078" s="834"/>
      <c r="I2078" s="832"/>
      <c r="J2078" s="1111"/>
      <c r="K2078" s="832"/>
      <c r="L2078" s="832"/>
      <c r="M2078" s="832"/>
      <c r="N2078" s="832"/>
      <c r="O2078" s="832"/>
      <c r="P2078" s="832"/>
      <c r="Q2078" s="832"/>
      <c r="R2078" s="832"/>
    </row>
    <row r="2079" spans="2:18">
      <c r="B2079" s="832"/>
      <c r="C2079" s="833"/>
      <c r="D2079" s="833"/>
      <c r="E2079" s="833"/>
      <c r="F2079" s="1111"/>
      <c r="G2079" s="1111"/>
      <c r="H2079" s="834"/>
      <c r="I2079" s="832"/>
      <c r="J2079" s="1111"/>
      <c r="K2079" s="832"/>
      <c r="L2079" s="832"/>
      <c r="M2079" s="832"/>
      <c r="N2079" s="832"/>
      <c r="O2079" s="832"/>
      <c r="P2079" s="832"/>
      <c r="Q2079" s="832"/>
      <c r="R2079" s="832"/>
    </row>
    <row r="2080" spans="2:18">
      <c r="B2080" s="832"/>
      <c r="C2080" s="833"/>
      <c r="D2080" s="833"/>
      <c r="E2080" s="833"/>
      <c r="F2080" s="1111"/>
      <c r="G2080" s="1111"/>
      <c r="H2080" s="834"/>
      <c r="I2080" s="832"/>
      <c r="J2080" s="1111"/>
      <c r="K2080" s="832"/>
      <c r="L2080" s="832"/>
      <c r="M2080" s="832"/>
      <c r="N2080" s="832"/>
      <c r="O2080" s="832"/>
      <c r="P2080" s="832"/>
      <c r="Q2080" s="832"/>
      <c r="R2080" s="832"/>
    </row>
    <row r="2081" spans="2:18">
      <c r="B2081" s="832"/>
      <c r="C2081" s="833"/>
      <c r="D2081" s="833"/>
      <c r="E2081" s="833"/>
      <c r="F2081" s="1111"/>
      <c r="G2081" s="1111"/>
      <c r="H2081" s="834"/>
      <c r="I2081" s="832"/>
      <c r="J2081" s="1111"/>
      <c r="K2081" s="832"/>
      <c r="L2081" s="832"/>
      <c r="M2081" s="832"/>
      <c r="N2081" s="832"/>
      <c r="O2081" s="832"/>
      <c r="P2081" s="832"/>
      <c r="Q2081" s="832"/>
      <c r="R2081" s="832"/>
    </row>
    <row r="2082" spans="2:18">
      <c r="B2082" s="832"/>
      <c r="C2082" s="833"/>
      <c r="D2082" s="833"/>
      <c r="E2082" s="833"/>
      <c r="F2082" s="1111"/>
      <c r="G2082" s="1111"/>
      <c r="H2082" s="834"/>
      <c r="I2082" s="832"/>
      <c r="J2082" s="1111"/>
      <c r="K2082" s="832"/>
      <c r="L2082" s="832"/>
      <c r="M2082" s="832"/>
      <c r="N2082" s="832"/>
      <c r="O2082" s="832"/>
      <c r="P2082" s="832"/>
      <c r="Q2082" s="832"/>
      <c r="R2082" s="832"/>
    </row>
    <row r="2083" spans="2:18">
      <c r="B2083" s="832"/>
      <c r="C2083" s="833"/>
      <c r="D2083" s="833"/>
      <c r="E2083" s="833"/>
      <c r="F2083" s="1111"/>
      <c r="G2083" s="1111"/>
      <c r="H2083" s="834"/>
      <c r="I2083" s="832"/>
      <c r="J2083" s="1111"/>
      <c r="K2083" s="832"/>
      <c r="L2083" s="832"/>
      <c r="M2083" s="832"/>
      <c r="N2083" s="832"/>
      <c r="O2083" s="832"/>
      <c r="P2083" s="832"/>
      <c r="Q2083" s="832"/>
      <c r="R2083" s="832"/>
    </row>
    <row r="2084" spans="2:18">
      <c r="B2084" s="832"/>
      <c r="C2084" s="833"/>
      <c r="D2084" s="833"/>
      <c r="E2084" s="833"/>
      <c r="F2084" s="1111"/>
      <c r="G2084" s="1111"/>
      <c r="H2084" s="834"/>
      <c r="I2084" s="832"/>
      <c r="J2084" s="1111"/>
      <c r="K2084" s="832"/>
      <c r="L2084" s="832"/>
      <c r="M2084" s="832"/>
      <c r="N2084" s="832"/>
      <c r="O2084" s="832"/>
      <c r="P2084" s="832"/>
      <c r="Q2084" s="832"/>
      <c r="R2084" s="832"/>
    </row>
    <row r="2085" spans="2:18">
      <c r="B2085" s="832"/>
      <c r="C2085" s="833"/>
      <c r="D2085" s="833"/>
      <c r="E2085" s="833"/>
      <c r="F2085" s="1111"/>
      <c r="G2085" s="1111"/>
      <c r="H2085" s="834"/>
      <c r="I2085" s="832"/>
      <c r="J2085" s="1111"/>
      <c r="K2085" s="832"/>
      <c r="L2085" s="832"/>
      <c r="M2085" s="832"/>
      <c r="N2085" s="832"/>
      <c r="O2085" s="832"/>
      <c r="P2085" s="832"/>
      <c r="Q2085" s="832"/>
      <c r="R2085" s="832"/>
    </row>
    <row r="2086" spans="2:18">
      <c r="B2086" s="832"/>
      <c r="C2086" s="833"/>
      <c r="D2086" s="833"/>
      <c r="E2086" s="833"/>
      <c r="F2086" s="1111"/>
      <c r="G2086" s="1111"/>
      <c r="H2086" s="834"/>
      <c r="I2086" s="832"/>
      <c r="J2086" s="1111"/>
      <c r="K2086" s="832"/>
      <c r="L2086" s="832"/>
      <c r="M2086" s="832"/>
      <c r="N2086" s="832"/>
      <c r="O2086" s="832"/>
      <c r="P2086" s="832"/>
      <c r="Q2086" s="832"/>
      <c r="R2086" s="832"/>
    </row>
    <row r="2087" spans="2:18">
      <c r="B2087" s="832"/>
      <c r="C2087" s="833"/>
      <c r="D2087" s="833"/>
      <c r="E2087" s="833"/>
      <c r="F2087" s="1111"/>
      <c r="G2087" s="1111"/>
      <c r="H2087" s="834"/>
      <c r="I2087" s="832"/>
      <c r="J2087" s="1111"/>
      <c r="K2087" s="832"/>
      <c r="L2087" s="832"/>
      <c r="M2087" s="832"/>
      <c r="N2087" s="832"/>
      <c r="O2087" s="832"/>
      <c r="P2087" s="832"/>
      <c r="Q2087" s="832"/>
      <c r="R2087" s="832"/>
    </row>
    <row r="2088" spans="2:18">
      <c r="B2088" s="832"/>
      <c r="C2088" s="833"/>
      <c r="D2088" s="833"/>
      <c r="E2088" s="833"/>
      <c r="F2088" s="1111"/>
      <c r="G2088" s="1111"/>
      <c r="H2088" s="834"/>
      <c r="I2088" s="832"/>
      <c r="J2088" s="1111"/>
      <c r="K2088" s="832"/>
      <c r="L2088" s="832"/>
      <c r="M2088" s="832"/>
      <c r="N2088" s="832"/>
      <c r="O2088" s="832"/>
      <c r="P2088" s="832"/>
      <c r="Q2088" s="832"/>
      <c r="R2088" s="832"/>
    </row>
    <row r="2089" spans="2:18">
      <c r="B2089" s="832"/>
      <c r="C2089" s="833"/>
      <c r="D2089" s="833"/>
      <c r="E2089" s="833"/>
      <c r="F2089" s="1111"/>
      <c r="G2089" s="1111"/>
      <c r="H2089" s="834"/>
      <c r="I2089" s="832"/>
      <c r="J2089" s="1111"/>
      <c r="K2089" s="832"/>
      <c r="L2089" s="832"/>
      <c r="M2089" s="832"/>
      <c r="N2089" s="832"/>
      <c r="O2089" s="832"/>
      <c r="P2089" s="832"/>
      <c r="Q2089" s="832"/>
      <c r="R2089" s="832"/>
    </row>
    <row r="2090" spans="2:18">
      <c r="B2090" s="832"/>
      <c r="C2090" s="833"/>
      <c r="D2090" s="833"/>
      <c r="E2090" s="833"/>
      <c r="F2090" s="1111"/>
      <c r="G2090" s="1111"/>
      <c r="H2090" s="834"/>
      <c r="I2090" s="832"/>
      <c r="J2090" s="1111"/>
      <c r="K2090" s="832"/>
      <c r="L2090" s="832"/>
      <c r="M2090" s="832"/>
      <c r="N2090" s="832"/>
      <c r="O2090" s="832"/>
      <c r="P2090" s="832"/>
      <c r="Q2090" s="832"/>
      <c r="R2090" s="832"/>
    </row>
    <row r="2091" spans="2:18">
      <c r="B2091" s="832"/>
      <c r="C2091" s="833"/>
      <c r="D2091" s="833"/>
      <c r="E2091" s="833"/>
      <c r="F2091" s="1111"/>
      <c r="G2091" s="1111"/>
      <c r="H2091" s="834"/>
      <c r="I2091" s="832"/>
      <c r="J2091" s="1111"/>
      <c r="K2091" s="832"/>
      <c r="L2091" s="832"/>
      <c r="M2091" s="832"/>
      <c r="N2091" s="832"/>
      <c r="O2091" s="832"/>
      <c r="P2091" s="832"/>
      <c r="Q2091" s="832"/>
      <c r="R2091" s="832"/>
    </row>
    <row r="2092" spans="2:18">
      <c r="B2092" s="832"/>
      <c r="C2092" s="833"/>
      <c r="D2092" s="833"/>
      <c r="E2092" s="833"/>
      <c r="F2092" s="1111"/>
      <c r="G2092" s="1111"/>
      <c r="H2092" s="834"/>
      <c r="I2092" s="832"/>
      <c r="J2092" s="1111"/>
      <c r="K2092" s="832"/>
      <c r="L2092" s="832"/>
      <c r="M2092" s="832"/>
      <c r="N2092" s="832"/>
      <c r="O2092" s="832"/>
      <c r="P2092" s="832"/>
      <c r="Q2092" s="832"/>
      <c r="R2092" s="832"/>
    </row>
    <row r="2093" spans="2:18">
      <c r="B2093" s="832"/>
      <c r="C2093" s="833"/>
      <c r="D2093" s="833"/>
      <c r="E2093" s="833"/>
      <c r="F2093" s="1111"/>
      <c r="G2093" s="1111"/>
      <c r="H2093" s="834"/>
      <c r="I2093" s="832"/>
      <c r="J2093" s="1111"/>
      <c r="K2093" s="832"/>
      <c r="L2093" s="832"/>
      <c r="M2093" s="832"/>
      <c r="N2093" s="832"/>
      <c r="O2093" s="832"/>
      <c r="P2093" s="832"/>
      <c r="Q2093" s="832"/>
      <c r="R2093" s="832"/>
    </row>
    <row r="2094" spans="2:18">
      <c r="B2094" s="832"/>
      <c r="C2094" s="833"/>
      <c r="D2094" s="833"/>
      <c r="E2094" s="833"/>
      <c r="F2094" s="1111"/>
      <c r="G2094" s="1111"/>
      <c r="H2094" s="834"/>
      <c r="I2094" s="832"/>
      <c r="J2094" s="1111"/>
      <c r="K2094" s="832"/>
      <c r="L2094" s="832"/>
      <c r="M2094" s="832"/>
      <c r="N2094" s="832"/>
      <c r="O2094" s="832"/>
      <c r="P2094" s="832"/>
      <c r="Q2094" s="832"/>
      <c r="R2094" s="832"/>
    </row>
    <row r="2095" spans="2:18">
      <c r="B2095" s="832"/>
      <c r="C2095" s="833"/>
      <c r="D2095" s="833"/>
      <c r="E2095" s="833"/>
      <c r="F2095" s="1111"/>
      <c r="G2095" s="1111"/>
      <c r="H2095" s="834"/>
      <c r="I2095" s="832"/>
      <c r="J2095" s="1111"/>
      <c r="K2095" s="832"/>
      <c r="L2095" s="832"/>
      <c r="M2095" s="832"/>
      <c r="N2095" s="832"/>
      <c r="O2095" s="832"/>
      <c r="P2095" s="832"/>
      <c r="Q2095" s="832"/>
      <c r="R2095" s="832"/>
    </row>
    <row r="2096" spans="2:18">
      <c r="B2096" s="832"/>
      <c r="C2096" s="833"/>
      <c r="D2096" s="833"/>
      <c r="E2096" s="833"/>
      <c r="F2096" s="1111"/>
      <c r="G2096" s="1111"/>
      <c r="H2096" s="834"/>
      <c r="I2096" s="832"/>
      <c r="J2096" s="1111"/>
      <c r="K2096" s="832"/>
      <c r="L2096" s="832"/>
      <c r="M2096" s="832"/>
      <c r="N2096" s="832"/>
      <c r="O2096" s="832"/>
      <c r="P2096" s="832"/>
      <c r="Q2096" s="832"/>
      <c r="R2096" s="832"/>
    </row>
    <row r="2097" spans="2:18">
      <c r="B2097" s="832"/>
      <c r="C2097" s="833"/>
      <c r="D2097" s="833"/>
      <c r="E2097" s="833"/>
      <c r="F2097" s="1111"/>
      <c r="G2097" s="1111"/>
      <c r="H2097" s="834"/>
      <c r="I2097" s="832"/>
      <c r="J2097" s="1111"/>
      <c r="K2097" s="832"/>
      <c r="L2097" s="832"/>
      <c r="M2097" s="832"/>
      <c r="N2097" s="832"/>
      <c r="O2097" s="832"/>
      <c r="P2097" s="832"/>
      <c r="Q2097" s="832"/>
      <c r="R2097" s="832"/>
    </row>
    <row r="2098" spans="2:18">
      <c r="B2098" s="832"/>
      <c r="C2098" s="833"/>
      <c r="D2098" s="833"/>
      <c r="E2098" s="833"/>
      <c r="F2098" s="1111"/>
      <c r="G2098" s="1111"/>
      <c r="H2098" s="834"/>
      <c r="I2098" s="832"/>
      <c r="J2098" s="1111"/>
      <c r="K2098" s="832"/>
      <c r="L2098" s="832"/>
      <c r="M2098" s="832"/>
      <c r="N2098" s="832"/>
      <c r="O2098" s="832"/>
      <c r="P2098" s="832"/>
      <c r="Q2098" s="832"/>
      <c r="R2098" s="832"/>
    </row>
    <row r="2099" spans="2:18">
      <c r="B2099" s="832"/>
      <c r="C2099" s="833"/>
      <c r="D2099" s="833"/>
      <c r="E2099" s="833"/>
      <c r="F2099" s="1111"/>
      <c r="G2099" s="1111"/>
      <c r="H2099" s="834"/>
      <c r="I2099" s="832"/>
      <c r="J2099" s="1111"/>
      <c r="K2099" s="832"/>
      <c r="L2099" s="832"/>
      <c r="M2099" s="832"/>
      <c r="N2099" s="832"/>
      <c r="O2099" s="832"/>
      <c r="P2099" s="832"/>
      <c r="Q2099" s="832"/>
      <c r="R2099" s="832"/>
    </row>
    <row r="2100" spans="2:18">
      <c r="B2100" s="832"/>
      <c r="C2100" s="833"/>
      <c r="D2100" s="833"/>
      <c r="E2100" s="833"/>
      <c r="F2100" s="1111"/>
      <c r="G2100" s="1111"/>
      <c r="H2100" s="834"/>
      <c r="I2100" s="832"/>
      <c r="J2100" s="1111"/>
      <c r="K2100" s="832"/>
      <c r="L2100" s="832"/>
      <c r="M2100" s="832"/>
      <c r="N2100" s="832"/>
      <c r="O2100" s="832"/>
      <c r="P2100" s="832"/>
      <c r="Q2100" s="832"/>
      <c r="R2100" s="832"/>
    </row>
    <row r="2101" spans="2:18">
      <c r="B2101" s="832"/>
      <c r="C2101" s="833"/>
      <c r="D2101" s="833"/>
      <c r="E2101" s="833"/>
      <c r="F2101" s="1111"/>
      <c r="G2101" s="1111"/>
      <c r="H2101" s="834"/>
      <c r="I2101" s="832"/>
      <c r="J2101" s="1111"/>
      <c r="K2101" s="832"/>
      <c r="L2101" s="832"/>
      <c r="M2101" s="832"/>
      <c r="N2101" s="832"/>
      <c r="O2101" s="832"/>
      <c r="P2101" s="832"/>
      <c r="Q2101" s="832"/>
      <c r="R2101" s="832"/>
    </row>
    <row r="2102" spans="2:18">
      <c r="B2102" s="832"/>
      <c r="C2102" s="833"/>
      <c r="D2102" s="833"/>
      <c r="E2102" s="833"/>
      <c r="F2102" s="1111"/>
      <c r="G2102" s="1111"/>
      <c r="H2102" s="834"/>
      <c r="I2102" s="832"/>
      <c r="J2102" s="1111"/>
      <c r="K2102" s="832"/>
      <c r="L2102" s="832"/>
      <c r="M2102" s="832"/>
      <c r="N2102" s="832"/>
      <c r="O2102" s="832"/>
      <c r="P2102" s="832"/>
      <c r="Q2102" s="832"/>
      <c r="R2102" s="832"/>
    </row>
    <row r="2103" spans="2:18">
      <c r="B2103" s="832"/>
      <c r="C2103" s="833"/>
      <c r="D2103" s="833"/>
      <c r="E2103" s="833"/>
      <c r="F2103" s="1111"/>
      <c r="G2103" s="1111"/>
      <c r="H2103" s="834"/>
      <c r="I2103" s="832"/>
      <c r="J2103" s="1111"/>
      <c r="K2103" s="832"/>
      <c r="L2103" s="832"/>
      <c r="M2103" s="832"/>
      <c r="N2103" s="832"/>
      <c r="O2103" s="832"/>
      <c r="P2103" s="832"/>
      <c r="Q2103" s="832"/>
      <c r="R2103" s="832"/>
    </row>
    <row r="2104" spans="2:18">
      <c r="B2104" s="832"/>
      <c r="C2104" s="833"/>
      <c r="D2104" s="833"/>
      <c r="E2104" s="833"/>
      <c r="F2104" s="1111"/>
      <c r="G2104" s="1111"/>
      <c r="H2104" s="834"/>
      <c r="I2104" s="832"/>
      <c r="J2104" s="1111"/>
      <c r="K2104" s="832"/>
      <c r="L2104" s="832"/>
      <c r="M2104" s="832"/>
      <c r="N2104" s="832"/>
      <c r="O2104" s="832"/>
      <c r="P2104" s="832"/>
      <c r="Q2104" s="832"/>
      <c r="R2104" s="832"/>
    </row>
    <row r="2105" spans="2:18">
      <c r="B2105" s="832"/>
      <c r="C2105" s="833"/>
      <c r="D2105" s="833"/>
      <c r="E2105" s="833"/>
      <c r="F2105" s="1111"/>
      <c r="G2105" s="1111"/>
      <c r="H2105" s="834"/>
      <c r="I2105" s="832"/>
      <c r="J2105" s="1111"/>
      <c r="K2105" s="832"/>
      <c r="L2105" s="832"/>
      <c r="M2105" s="832"/>
      <c r="N2105" s="832"/>
      <c r="O2105" s="832"/>
      <c r="P2105" s="832"/>
      <c r="Q2105" s="832"/>
      <c r="R2105" s="832"/>
    </row>
    <row r="2106" spans="2:18">
      <c r="B2106" s="832"/>
      <c r="C2106" s="833"/>
      <c r="D2106" s="833"/>
      <c r="E2106" s="833"/>
      <c r="F2106" s="1111"/>
      <c r="G2106" s="1111"/>
      <c r="H2106" s="834"/>
      <c r="I2106" s="832"/>
      <c r="J2106" s="1111"/>
      <c r="K2106" s="832"/>
      <c r="L2106" s="832"/>
      <c r="M2106" s="832"/>
      <c r="N2106" s="832"/>
      <c r="O2106" s="832"/>
      <c r="P2106" s="832"/>
      <c r="Q2106" s="832"/>
      <c r="R2106" s="832"/>
    </row>
    <row r="2107" spans="2:18">
      <c r="B2107" s="832"/>
      <c r="C2107" s="833"/>
      <c r="D2107" s="833"/>
      <c r="E2107" s="833"/>
      <c r="F2107" s="1111"/>
      <c r="G2107" s="1111"/>
      <c r="H2107" s="834"/>
      <c r="I2107" s="832"/>
      <c r="J2107" s="1111"/>
      <c r="K2107" s="832"/>
      <c r="L2107" s="832"/>
      <c r="M2107" s="832"/>
      <c r="N2107" s="832"/>
      <c r="O2107" s="832"/>
      <c r="P2107" s="832"/>
      <c r="Q2107" s="832"/>
      <c r="R2107" s="832"/>
    </row>
    <row r="2108" spans="2:18">
      <c r="B2108" s="832"/>
      <c r="C2108" s="833"/>
      <c r="D2108" s="833"/>
      <c r="E2108" s="833"/>
      <c r="F2108" s="1111"/>
      <c r="G2108" s="1111"/>
      <c r="H2108" s="834"/>
      <c r="I2108" s="832"/>
      <c r="J2108" s="1111"/>
      <c r="K2108" s="832"/>
      <c r="L2108" s="832"/>
      <c r="M2108" s="832"/>
      <c r="N2108" s="832"/>
      <c r="O2108" s="832"/>
      <c r="P2108" s="832"/>
      <c r="Q2108" s="832"/>
      <c r="R2108" s="832"/>
    </row>
    <row r="2109" spans="2:18">
      <c r="B2109" s="832"/>
      <c r="C2109" s="833"/>
      <c r="D2109" s="833"/>
      <c r="E2109" s="833"/>
      <c r="F2109" s="1111"/>
      <c r="G2109" s="1111"/>
      <c r="H2109" s="834"/>
      <c r="I2109" s="832"/>
      <c r="J2109" s="1111"/>
      <c r="K2109" s="832"/>
      <c r="L2109" s="832"/>
      <c r="M2109" s="832"/>
      <c r="N2109" s="832"/>
      <c r="O2109" s="832"/>
      <c r="P2109" s="832"/>
      <c r="Q2109" s="832"/>
      <c r="R2109" s="832"/>
    </row>
    <row r="2110" spans="2:18">
      <c r="B2110" s="832"/>
      <c r="C2110" s="833"/>
      <c r="D2110" s="833"/>
      <c r="E2110" s="833"/>
      <c r="F2110" s="1111"/>
      <c r="G2110" s="1111"/>
      <c r="H2110" s="834"/>
      <c r="I2110" s="832"/>
      <c r="J2110" s="1111"/>
      <c r="K2110" s="832"/>
      <c r="L2110" s="832"/>
      <c r="M2110" s="832"/>
      <c r="N2110" s="832"/>
      <c r="O2110" s="832"/>
      <c r="P2110" s="832"/>
      <c r="Q2110" s="832"/>
      <c r="R2110" s="832"/>
    </row>
    <row r="2111" spans="2:18">
      <c r="B2111" s="832"/>
      <c r="C2111" s="833"/>
      <c r="D2111" s="833"/>
      <c r="E2111" s="833"/>
      <c r="F2111" s="1111"/>
      <c r="G2111" s="1111"/>
      <c r="H2111" s="834"/>
      <c r="I2111" s="832"/>
      <c r="J2111" s="1111"/>
      <c r="K2111" s="832"/>
      <c r="L2111" s="832"/>
      <c r="M2111" s="832"/>
      <c r="N2111" s="832"/>
      <c r="O2111" s="832"/>
      <c r="P2111" s="832"/>
      <c r="Q2111" s="832"/>
      <c r="R2111" s="832"/>
    </row>
    <row r="2112" spans="2:18">
      <c r="B2112" s="832"/>
      <c r="C2112" s="833"/>
      <c r="D2112" s="833"/>
      <c r="E2112" s="833"/>
      <c r="F2112" s="1111"/>
      <c r="G2112" s="1111"/>
      <c r="H2112" s="834"/>
      <c r="I2112" s="832"/>
      <c r="J2112" s="1111"/>
      <c r="K2112" s="832"/>
      <c r="L2112" s="832"/>
      <c r="M2112" s="832"/>
      <c r="N2112" s="832"/>
      <c r="O2112" s="832"/>
      <c r="P2112" s="832"/>
      <c r="Q2112" s="832"/>
      <c r="R2112" s="832"/>
    </row>
    <row r="2113" spans="2:18">
      <c r="B2113" s="832"/>
      <c r="C2113" s="833"/>
      <c r="D2113" s="833"/>
      <c r="E2113" s="833"/>
      <c r="F2113" s="1111"/>
      <c r="G2113" s="1111"/>
      <c r="H2113" s="834"/>
      <c r="I2113" s="832"/>
      <c r="J2113" s="1111"/>
      <c r="K2113" s="832"/>
      <c r="L2113" s="832"/>
      <c r="M2113" s="832"/>
      <c r="N2113" s="832"/>
      <c r="O2113" s="832"/>
      <c r="P2113" s="832"/>
      <c r="Q2113" s="832"/>
      <c r="R2113" s="832"/>
    </row>
    <row r="2114" spans="2:18">
      <c r="B2114" s="832"/>
      <c r="C2114" s="833"/>
      <c r="D2114" s="833"/>
      <c r="E2114" s="833"/>
      <c r="F2114" s="1111"/>
      <c r="G2114" s="1111"/>
      <c r="H2114" s="834"/>
      <c r="I2114" s="832"/>
      <c r="J2114" s="1111"/>
      <c r="K2114" s="832"/>
      <c r="L2114" s="832"/>
      <c r="M2114" s="832"/>
      <c r="N2114" s="832"/>
      <c r="O2114" s="832"/>
      <c r="P2114" s="832"/>
      <c r="Q2114" s="832"/>
      <c r="R2114" s="832"/>
    </row>
    <row r="2115" spans="2:18">
      <c r="B2115" s="832"/>
      <c r="C2115" s="833"/>
      <c r="D2115" s="833"/>
      <c r="E2115" s="833"/>
      <c r="F2115" s="1111"/>
      <c r="G2115" s="1111"/>
      <c r="H2115" s="834"/>
      <c r="I2115" s="832"/>
      <c r="J2115" s="1111"/>
      <c r="K2115" s="832"/>
      <c r="L2115" s="832"/>
      <c r="M2115" s="832"/>
      <c r="N2115" s="832"/>
      <c r="O2115" s="832"/>
      <c r="P2115" s="832"/>
      <c r="Q2115" s="832"/>
      <c r="R2115" s="832"/>
    </row>
    <row r="2116" spans="2:18">
      <c r="B2116" s="832"/>
      <c r="C2116" s="833"/>
      <c r="D2116" s="833"/>
      <c r="E2116" s="833"/>
      <c r="F2116" s="1111"/>
      <c r="G2116" s="1111"/>
      <c r="H2116" s="834"/>
      <c r="I2116" s="832"/>
      <c r="J2116" s="1111"/>
      <c r="K2116" s="832"/>
      <c r="L2116" s="832"/>
      <c r="M2116" s="832"/>
      <c r="N2116" s="832"/>
      <c r="O2116" s="832"/>
      <c r="P2116" s="832"/>
      <c r="Q2116" s="832"/>
      <c r="R2116" s="832"/>
    </row>
    <row r="2117" spans="2:18">
      <c r="B2117" s="832"/>
      <c r="C2117" s="833"/>
      <c r="D2117" s="833"/>
      <c r="E2117" s="833"/>
      <c r="F2117" s="1111"/>
      <c r="G2117" s="1111"/>
      <c r="H2117" s="834"/>
      <c r="I2117" s="832"/>
      <c r="J2117" s="1111"/>
      <c r="K2117" s="832"/>
      <c r="L2117" s="832"/>
      <c r="M2117" s="832"/>
      <c r="N2117" s="832"/>
      <c r="O2117" s="832"/>
      <c r="P2117" s="832"/>
      <c r="Q2117" s="832"/>
      <c r="R2117" s="832"/>
    </row>
    <row r="2118" spans="2:18">
      <c r="B2118" s="832"/>
      <c r="C2118" s="833"/>
      <c r="D2118" s="833"/>
      <c r="E2118" s="833"/>
      <c r="F2118" s="1111"/>
      <c r="G2118" s="1111"/>
      <c r="H2118" s="834"/>
      <c r="I2118" s="832"/>
      <c r="J2118" s="1111"/>
      <c r="K2118" s="832"/>
      <c r="L2118" s="832"/>
      <c r="M2118" s="832"/>
      <c r="N2118" s="832"/>
      <c r="O2118" s="832"/>
      <c r="P2118" s="832"/>
      <c r="Q2118" s="832"/>
      <c r="R2118" s="832"/>
    </row>
    <row r="2119" spans="2:18">
      <c r="B2119" s="832"/>
      <c r="C2119" s="833"/>
      <c r="D2119" s="833"/>
      <c r="E2119" s="833"/>
      <c r="F2119" s="1111"/>
      <c r="G2119" s="1111"/>
      <c r="H2119" s="834"/>
      <c r="I2119" s="832"/>
      <c r="J2119" s="1111"/>
      <c r="K2119" s="832"/>
      <c r="L2119" s="832"/>
      <c r="M2119" s="832"/>
      <c r="N2119" s="832"/>
      <c r="O2119" s="832"/>
      <c r="P2119" s="832"/>
      <c r="Q2119" s="832"/>
      <c r="R2119" s="832"/>
    </row>
    <row r="2120" spans="2:18">
      <c r="B2120" s="832"/>
      <c r="C2120" s="833"/>
      <c r="D2120" s="833"/>
      <c r="E2120" s="833"/>
      <c r="F2120" s="1111"/>
      <c r="G2120" s="1111"/>
      <c r="H2120" s="834"/>
      <c r="I2120" s="832"/>
      <c r="J2120" s="1111"/>
      <c r="K2120" s="832"/>
      <c r="L2120" s="832"/>
      <c r="M2120" s="832"/>
      <c r="N2120" s="832"/>
      <c r="O2120" s="832"/>
      <c r="P2120" s="832"/>
      <c r="Q2120" s="832"/>
      <c r="R2120" s="832"/>
    </row>
    <row r="2121" spans="2:18">
      <c r="B2121" s="832"/>
      <c r="C2121" s="833"/>
      <c r="D2121" s="833"/>
      <c r="E2121" s="833"/>
      <c r="F2121" s="1111"/>
      <c r="G2121" s="1111"/>
      <c r="H2121" s="834"/>
      <c r="I2121" s="832"/>
      <c r="J2121" s="1111"/>
      <c r="K2121" s="832"/>
      <c r="L2121" s="832"/>
      <c r="M2121" s="832"/>
      <c r="N2121" s="832"/>
      <c r="O2121" s="832"/>
      <c r="P2121" s="832"/>
      <c r="Q2121" s="832"/>
      <c r="R2121" s="832"/>
    </row>
    <row r="2122" spans="2:18">
      <c r="B2122" s="832"/>
      <c r="C2122" s="833"/>
      <c r="D2122" s="833"/>
      <c r="E2122" s="833"/>
      <c r="F2122" s="1111"/>
      <c r="G2122" s="1111"/>
      <c r="H2122" s="834"/>
      <c r="I2122" s="832"/>
      <c r="J2122" s="1111"/>
      <c r="K2122" s="832"/>
      <c r="L2122" s="832"/>
      <c r="M2122" s="832"/>
      <c r="N2122" s="832"/>
      <c r="O2122" s="832"/>
      <c r="P2122" s="832"/>
      <c r="Q2122" s="832"/>
      <c r="R2122" s="832"/>
    </row>
    <row r="2123" spans="2:18">
      <c r="B2123" s="832"/>
      <c r="C2123" s="833"/>
      <c r="D2123" s="833"/>
      <c r="E2123" s="833"/>
      <c r="F2123" s="1111"/>
      <c r="G2123" s="1111"/>
      <c r="H2123" s="834"/>
      <c r="I2123" s="832"/>
      <c r="J2123" s="1111"/>
      <c r="K2123" s="832"/>
      <c r="L2123" s="832"/>
      <c r="M2123" s="832"/>
      <c r="N2123" s="832"/>
      <c r="O2123" s="832"/>
      <c r="P2123" s="832"/>
      <c r="Q2123" s="832"/>
      <c r="R2123" s="832"/>
    </row>
    <row r="2124" spans="2:18">
      <c r="B2124" s="832"/>
      <c r="C2124" s="833"/>
      <c r="D2124" s="833"/>
      <c r="E2124" s="833"/>
      <c r="F2124" s="1111"/>
      <c r="G2124" s="1111"/>
      <c r="H2124" s="834"/>
      <c r="I2124" s="832"/>
      <c r="J2124" s="1111"/>
      <c r="K2124" s="832"/>
      <c r="L2124" s="832"/>
      <c r="M2124" s="832"/>
      <c r="N2124" s="832"/>
      <c r="O2124" s="832"/>
      <c r="P2124" s="832"/>
      <c r="Q2124" s="832"/>
      <c r="R2124" s="832"/>
    </row>
    <row r="2125" spans="2:18">
      <c r="B2125" s="832"/>
      <c r="C2125" s="833"/>
      <c r="D2125" s="833"/>
      <c r="E2125" s="833"/>
      <c r="F2125" s="1111"/>
      <c r="G2125" s="1111"/>
      <c r="H2125" s="834"/>
      <c r="I2125" s="832"/>
      <c r="J2125" s="1111"/>
      <c r="K2125" s="832"/>
      <c r="L2125" s="832"/>
      <c r="M2125" s="832"/>
      <c r="N2125" s="832"/>
      <c r="O2125" s="832"/>
      <c r="P2125" s="832"/>
      <c r="Q2125" s="832"/>
      <c r="R2125" s="832"/>
    </row>
    <row r="2126" spans="2:18">
      <c r="B2126" s="832"/>
      <c r="C2126" s="833"/>
      <c r="D2126" s="833"/>
      <c r="E2126" s="833"/>
      <c r="F2126" s="1111"/>
      <c r="G2126" s="1111"/>
      <c r="H2126" s="834"/>
      <c r="I2126" s="832"/>
      <c r="J2126" s="1111"/>
      <c r="K2126" s="832"/>
      <c r="L2126" s="832"/>
      <c r="M2126" s="832"/>
      <c r="N2126" s="832"/>
      <c r="O2126" s="832"/>
      <c r="P2126" s="832"/>
      <c r="Q2126" s="832"/>
      <c r="R2126" s="832"/>
    </row>
    <row r="2127" spans="2:18">
      <c r="B2127" s="832"/>
      <c r="C2127" s="833"/>
      <c r="D2127" s="833"/>
      <c r="E2127" s="833"/>
      <c r="F2127" s="1111"/>
      <c r="G2127" s="1111"/>
      <c r="H2127" s="834"/>
      <c r="I2127" s="832"/>
      <c r="J2127" s="1111"/>
      <c r="K2127" s="832"/>
      <c r="L2127" s="832"/>
      <c r="M2127" s="832"/>
      <c r="N2127" s="832"/>
      <c r="O2127" s="832"/>
      <c r="P2127" s="832"/>
      <c r="Q2127" s="832"/>
      <c r="R2127" s="832"/>
    </row>
    <row r="2128" spans="2:18">
      <c r="B2128" s="832"/>
      <c r="C2128" s="833"/>
      <c r="D2128" s="833"/>
      <c r="E2128" s="833"/>
      <c r="F2128" s="1111"/>
      <c r="G2128" s="1111"/>
      <c r="H2128" s="834"/>
      <c r="I2128" s="832"/>
      <c r="J2128" s="1111"/>
      <c r="K2128" s="832"/>
      <c r="L2128" s="832"/>
      <c r="M2128" s="832"/>
      <c r="N2128" s="832"/>
      <c r="O2128" s="832"/>
      <c r="P2128" s="832"/>
      <c r="Q2128" s="832"/>
      <c r="R2128" s="832"/>
    </row>
    <row r="2129" spans="2:18">
      <c r="B2129" s="832"/>
      <c r="C2129" s="833"/>
      <c r="D2129" s="833"/>
      <c r="E2129" s="833"/>
      <c r="F2129" s="1111"/>
      <c r="G2129" s="1111"/>
      <c r="H2129" s="834"/>
      <c r="I2129" s="832"/>
      <c r="J2129" s="1111"/>
      <c r="K2129" s="832"/>
      <c r="L2129" s="832"/>
      <c r="M2129" s="832"/>
      <c r="N2129" s="832"/>
      <c r="O2129" s="832"/>
      <c r="P2129" s="832"/>
      <c r="Q2129" s="832"/>
      <c r="R2129" s="832"/>
    </row>
    <row r="2130" spans="2:18">
      <c r="B2130" s="832"/>
      <c r="C2130" s="833"/>
      <c r="D2130" s="833"/>
      <c r="E2130" s="833"/>
      <c r="F2130" s="1111"/>
      <c r="G2130" s="1111"/>
      <c r="H2130" s="834"/>
      <c r="I2130" s="832"/>
      <c r="J2130" s="1111"/>
      <c r="K2130" s="832"/>
      <c r="L2130" s="832"/>
      <c r="M2130" s="832"/>
      <c r="N2130" s="832"/>
      <c r="O2130" s="832"/>
      <c r="P2130" s="832"/>
      <c r="Q2130" s="832"/>
      <c r="R2130" s="832"/>
    </row>
    <row r="2131" spans="2:18">
      <c r="B2131" s="832"/>
      <c r="C2131" s="833"/>
      <c r="D2131" s="833"/>
      <c r="E2131" s="833"/>
      <c r="F2131" s="1111"/>
      <c r="G2131" s="1111"/>
      <c r="H2131" s="834"/>
      <c r="I2131" s="832"/>
      <c r="J2131" s="1111"/>
      <c r="K2131" s="832"/>
      <c r="L2131" s="832"/>
      <c r="M2131" s="832"/>
      <c r="N2131" s="832"/>
      <c r="O2131" s="832"/>
      <c r="P2131" s="832"/>
      <c r="Q2131" s="832"/>
      <c r="R2131" s="832"/>
    </row>
    <row r="2132" spans="2:18">
      <c r="B2132" s="832"/>
      <c r="C2132" s="833"/>
      <c r="D2132" s="833"/>
      <c r="E2132" s="833"/>
      <c r="F2132" s="1111"/>
      <c r="G2132" s="1111"/>
      <c r="H2132" s="834"/>
      <c r="I2132" s="832"/>
      <c r="J2132" s="1111"/>
      <c r="K2132" s="832"/>
      <c r="L2132" s="832"/>
      <c r="M2132" s="832"/>
      <c r="N2132" s="832"/>
      <c r="O2132" s="832"/>
      <c r="P2132" s="832"/>
      <c r="Q2132" s="832"/>
      <c r="R2132" s="832"/>
    </row>
    <row r="2133" spans="2:18">
      <c r="B2133" s="832"/>
      <c r="C2133" s="833"/>
      <c r="D2133" s="833"/>
      <c r="E2133" s="833"/>
      <c r="F2133" s="1111"/>
      <c r="G2133" s="1111"/>
      <c r="H2133" s="834"/>
      <c r="I2133" s="832"/>
      <c r="J2133" s="1111"/>
      <c r="K2133" s="832"/>
      <c r="L2133" s="832"/>
      <c r="M2133" s="832"/>
      <c r="N2133" s="832"/>
      <c r="O2133" s="832"/>
      <c r="P2133" s="832"/>
      <c r="Q2133" s="832"/>
      <c r="R2133" s="832"/>
    </row>
    <row r="2134" spans="2:18">
      <c r="B2134" s="832"/>
      <c r="C2134" s="833"/>
      <c r="D2134" s="833"/>
      <c r="E2134" s="833"/>
      <c r="F2134" s="1111"/>
      <c r="G2134" s="1111"/>
      <c r="H2134" s="834"/>
      <c r="I2134" s="832"/>
      <c r="J2134" s="1111"/>
      <c r="K2134" s="832"/>
      <c r="L2134" s="832"/>
      <c r="M2134" s="832"/>
      <c r="N2134" s="832"/>
      <c r="O2134" s="832"/>
      <c r="P2134" s="832"/>
      <c r="Q2134" s="832"/>
      <c r="R2134" s="832"/>
    </row>
    <row r="2135" spans="2:18">
      <c r="B2135" s="832"/>
      <c r="C2135" s="833"/>
      <c r="D2135" s="833"/>
      <c r="E2135" s="833"/>
      <c r="F2135" s="1111"/>
      <c r="G2135" s="1111"/>
      <c r="H2135" s="834"/>
      <c r="I2135" s="832"/>
      <c r="J2135" s="1111"/>
      <c r="K2135" s="832"/>
      <c r="L2135" s="832"/>
      <c r="M2135" s="832"/>
      <c r="N2135" s="832"/>
      <c r="O2135" s="832"/>
      <c r="P2135" s="832"/>
      <c r="Q2135" s="832"/>
      <c r="R2135" s="832"/>
    </row>
    <row r="2136" spans="2:18">
      <c r="B2136" s="832"/>
      <c r="C2136" s="833"/>
      <c r="D2136" s="833"/>
      <c r="E2136" s="833"/>
      <c r="F2136" s="1111"/>
      <c r="G2136" s="1111"/>
      <c r="H2136" s="834"/>
      <c r="I2136" s="832"/>
      <c r="J2136" s="1111"/>
      <c r="K2136" s="832"/>
      <c r="L2136" s="832"/>
      <c r="M2136" s="832"/>
      <c r="N2136" s="832"/>
      <c r="O2136" s="832"/>
      <c r="P2136" s="832"/>
      <c r="Q2136" s="832"/>
      <c r="R2136" s="832"/>
    </row>
    <row r="2137" spans="2:18">
      <c r="B2137" s="832"/>
      <c r="C2137" s="833"/>
      <c r="D2137" s="833"/>
      <c r="E2137" s="833"/>
      <c r="F2137" s="1111"/>
      <c r="G2137" s="1111"/>
      <c r="H2137" s="834"/>
      <c r="I2137" s="832"/>
      <c r="J2137" s="1111"/>
      <c r="K2137" s="832"/>
      <c r="L2137" s="832"/>
      <c r="M2137" s="832"/>
      <c r="N2137" s="832"/>
      <c r="O2137" s="832"/>
      <c r="P2137" s="832"/>
      <c r="Q2137" s="832"/>
      <c r="R2137" s="832"/>
    </row>
    <row r="2138" spans="2:18">
      <c r="B2138" s="832"/>
      <c r="C2138" s="833"/>
      <c r="D2138" s="833"/>
      <c r="E2138" s="833"/>
      <c r="F2138" s="1111"/>
      <c r="G2138" s="1111"/>
      <c r="H2138" s="834"/>
      <c r="I2138" s="832"/>
      <c r="J2138" s="1111"/>
      <c r="K2138" s="832"/>
      <c r="L2138" s="832"/>
      <c r="M2138" s="832"/>
      <c r="N2138" s="832"/>
      <c r="O2138" s="832"/>
      <c r="P2138" s="832"/>
      <c r="Q2138" s="832"/>
      <c r="R2138" s="832"/>
    </row>
    <row r="2139" spans="2:18">
      <c r="B2139" s="832"/>
      <c r="C2139" s="833"/>
      <c r="D2139" s="833"/>
      <c r="E2139" s="833"/>
      <c r="F2139" s="1111"/>
      <c r="G2139" s="1111"/>
      <c r="H2139" s="834"/>
      <c r="I2139" s="832"/>
      <c r="J2139" s="1111"/>
      <c r="K2139" s="832"/>
      <c r="L2139" s="832"/>
      <c r="M2139" s="832"/>
      <c r="N2139" s="832"/>
      <c r="O2139" s="832"/>
      <c r="P2139" s="832"/>
      <c r="Q2139" s="832"/>
      <c r="R2139" s="832"/>
    </row>
    <row r="2140" spans="2:18">
      <c r="B2140" s="832"/>
      <c r="C2140" s="833"/>
      <c r="D2140" s="833"/>
      <c r="E2140" s="833"/>
      <c r="F2140" s="1111"/>
      <c r="G2140" s="1111"/>
      <c r="H2140" s="834"/>
      <c r="I2140" s="832"/>
      <c r="J2140" s="1111"/>
      <c r="K2140" s="832"/>
      <c r="L2140" s="832"/>
      <c r="M2140" s="832"/>
      <c r="N2140" s="832"/>
      <c r="O2140" s="832"/>
      <c r="P2140" s="832"/>
      <c r="Q2140" s="832"/>
      <c r="R2140" s="832"/>
    </row>
    <row r="2141" spans="2:18">
      <c r="B2141" s="832"/>
      <c r="C2141" s="833"/>
      <c r="D2141" s="833"/>
      <c r="E2141" s="833"/>
      <c r="F2141" s="1111"/>
      <c r="G2141" s="1111"/>
      <c r="H2141" s="834"/>
      <c r="I2141" s="832"/>
      <c r="J2141" s="1111"/>
      <c r="K2141" s="832"/>
      <c r="L2141" s="832"/>
      <c r="M2141" s="832"/>
      <c r="N2141" s="832"/>
      <c r="O2141" s="832"/>
      <c r="P2141" s="832"/>
      <c r="Q2141" s="832"/>
      <c r="R2141" s="832"/>
    </row>
    <row r="2142" spans="2:18">
      <c r="B2142" s="832"/>
      <c r="C2142" s="833"/>
      <c r="D2142" s="833"/>
      <c r="E2142" s="833"/>
      <c r="F2142" s="1111"/>
      <c r="G2142" s="1111"/>
      <c r="H2142" s="834"/>
      <c r="I2142" s="832"/>
      <c r="J2142" s="1111"/>
      <c r="K2142" s="832"/>
      <c r="L2142" s="832"/>
      <c r="M2142" s="832"/>
      <c r="N2142" s="832"/>
      <c r="O2142" s="832"/>
      <c r="P2142" s="832"/>
      <c r="Q2142" s="832"/>
      <c r="R2142" s="832"/>
    </row>
    <row r="2143" spans="2:18">
      <c r="B2143" s="832"/>
      <c r="C2143" s="833"/>
      <c r="D2143" s="833"/>
      <c r="E2143" s="833"/>
      <c r="F2143" s="1111"/>
      <c r="G2143" s="1111"/>
      <c r="H2143" s="834"/>
      <c r="I2143" s="832"/>
      <c r="J2143" s="1111"/>
      <c r="K2143" s="832"/>
      <c r="L2143" s="832"/>
      <c r="M2143" s="832"/>
      <c r="N2143" s="832"/>
      <c r="O2143" s="832"/>
      <c r="P2143" s="832"/>
      <c r="Q2143" s="832"/>
      <c r="R2143" s="832"/>
    </row>
    <row r="2144" spans="2:18">
      <c r="B2144" s="832"/>
      <c r="C2144" s="833"/>
      <c r="D2144" s="833"/>
      <c r="E2144" s="833"/>
      <c r="F2144" s="1111"/>
      <c r="G2144" s="1111"/>
      <c r="H2144" s="834"/>
      <c r="I2144" s="832"/>
      <c r="J2144" s="1111"/>
      <c r="K2144" s="832"/>
      <c r="L2144" s="832"/>
      <c r="M2144" s="832"/>
      <c r="N2144" s="832"/>
      <c r="O2144" s="832"/>
      <c r="P2144" s="832"/>
      <c r="Q2144" s="832"/>
      <c r="R2144" s="832"/>
    </row>
    <row r="2145" spans="2:18">
      <c r="B2145" s="832"/>
      <c r="C2145" s="833"/>
      <c r="D2145" s="833"/>
      <c r="E2145" s="833"/>
      <c r="F2145" s="1111"/>
      <c r="G2145" s="1111"/>
      <c r="H2145" s="834"/>
      <c r="I2145" s="832"/>
      <c r="J2145" s="1111"/>
      <c r="K2145" s="832"/>
      <c r="L2145" s="832"/>
      <c r="M2145" s="832"/>
      <c r="N2145" s="832"/>
      <c r="O2145" s="832"/>
      <c r="P2145" s="832"/>
      <c r="Q2145" s="832"/>
      <c r="R2145" s="832"/>
    </row>
    <row r="2146" spans="2:18">
      <c r="B2146" s="832"/>
      <c r="C2146" s="833"/>
      <c r="D2146" s="833"/>
      <c r="E2146" s="833"/>
      <c r="F2146" s="1111"/>
      <c r="G2146" s="1111"/>
      <c r="H2146" s="834"/>
      <c r="I2146" s="832"/>
      <c r="J2146" s="1111"/>
      <c r="K2146" s="832"/>
      <c r="L2146" s="832"/>
      <c r="M2146" s="832"/>
      <c r="N2146" s="832"/>
      <c r="O2146" s="832"/>
      <c r="P2146" s="832"/>
      <c r="Q2146" s="832"/>
      <c r="R2146" s="832"/>
    </row>
    <row r="2147" spans="2:18">
      <c r="B2147" s="832"/>
      <c r="C2147" s="833"/>
      <c r="D2147" s="833"/>
      <c r="E2147" s="833"/>
      <c r="F2147" s="1111"/>
      <c r="G2147" s="1111"/>
      <c r="H2147" s="834"/>
      <c r="I2147" s="832"/>
      <c r="J2147" s="1111"/>
      <c r="K2147" s="832"/>
      <c r="L2147" s="832"/>
      <c r="M2147" s="832"/>
      <c r="N2147" s="832"/>
      <c r="O2147" s="832"/>
      <c r="P2147" s="832"/>
      <c r="Q2147" s="832"/>
      <c r="R2147" s="832"/>
    </row>
    <row r="2148" spans="2:18">
      <c r="B2148" s="832"/>
      <c r="C2148" s="833"/>
      <c r="D2148" s="833"/>
      <c r="E2148" s="833"/>
      <c r="F2148" s="1111"/>
      <c r="G2148" s="1111"/>
      <c r="H2148" s="834"/>
      <c r="I2148" s="832"/>
      <c r="J2148" s="1111"/>
      <c r="K2148" s="832"/>
      <c r="L2148" s="832"/>
      <c r="M2148" s="832"/>
      <c r="N2148" s="832"/>
      <c r="O2148" s="832"/>
      <c r="P2148" s="832"/>
      <c r="Q2148" s="832"/>
      <c r="R2148" s="832"/>
    </row>
    <row r="2149" spans="2:18">
      <c r="B2149" s="832"/>
      <c r="C2149" s="833"/>
      <c r="D2149" s="833"/>
      <c r="E2149" s="833"/>
      <c r="F2149" s="1111"/>
      <c r="G2149" s="1111"/>
      <c r="H2149" s="834"/>
      <c r="I2149" s="832"/>
      <c r="J2149" s="1111"/>
      <c r="K2149" s="832"/>
      <c r="L2149" s="832"/>
      <c r="M2149" s="832"/>
      <c r="N2149" s="832"/>
      <c r="O2149" s="832"/>
      <c r="P2149" s="832"/>
      <c r="Q2149" s="832"/>
      <c r="R2149" s="832"/>
    </row>
    <row r="2150" spans="2:18">
      <c r="B2150" s="832"/>
      <c r="C2150" s="833"/>
      <c r="D2150" s="833"/>
      <c r="E2150" s="833"/>
      <c r="F2150" s="1111"/>
      <c r="G2150" s="1111"/>
      <c r="H2150" s="834"/>
      <c r="I2150" s="832"/>
      <c r="J2150" s="1111"/>
      <c r="K2150" s="832"/>
      <c r="L2150" s="832"/>
      <c r="M2150" s="832"/>
      <c r="N2150" s="832"/>
      <c r="O2150" s="832"/>
      <c r="P2150" s="832"/>
      <c r="Q2150" s="832"/>
      <c r="R2150" s="832"/>
    </row>
    <row r="2151" spans="2:18">
      <c r="B2151" s="832"/>
      <c r="C2151" s="833"/>
      <c r="D2151" s="833"/>
      <c r="E2151" s="833"/>
      <c r="F2151" s="1111"/>
      <c r="G2151" s="1111"/>
      <c r="H2151" s="834"/>
      <c r="I2151" s="832"/>
      <c r="J2151" s="1111"/>
      <c r="K2151" s="832"/>
      <c r="L2151" s="832"/>
      <c r="M2151" s="832"/>
      <c r="N2151" s="832"/>
      <c r="O2151" s="832"/>
      <c r="P2151" s="832"/>
      <c r="Q2151" s="832"/>
      <c r="R2151" s="832"/>
    </row>
    <row r="2152" spans="2:18">
      <c r="B2152" s="832"/>
      <c r="C2152" s="833"/>
      <c r="D2152" s="833"/>
      <c r="E2152" s="833"/>
      <c r="F2152" s="1111"/>
      <c r="G2152" s="1111"/>
      <c r="H2152" s="834"/>
      <c r="I2152" s="832"/>
      <c r="J2152" s="1111"/>
      <c r="K2152" s="832"/>
      <c r="L2152" s="832"/>
      <c r="M2152" s="832"/>
      <c r="N2152" s="832"/>
      <c r="O2152" s="832"/>
      <c r="P2152" s="832"/>
      <c r="Q2152" s="832"/>
      <c r="R2152" s="832"/>
    </row>
    <row r="2153" spans="2:18">
      <c r="B2153" s="832"/>
      <c r="C2153" s="833"/>
      <c r="D2153" s="833"/>
      <c r="E2153" s="833"/>
      <c r="F2153" s="1111"/>
      <c r="G2153" s="1111"/>
      <c r="H2153" s="834"/>
      <c r="I2153" s="832"/>
      <c r="J2153" s="1111"/>
      <c r="K2153" s="832"/>
      <c r="L2153" s="832"/>
      <c r="M2153" s="832"/>
      <c r="N2153" s="832"/>
      <c r="O2153" s="832"/>
      <c r="P2153" s="832"/>
      <c r="Q2153" s="832"/>
      <c r="R2153" s="832"/>
    </row>
    <row r="2154" spans="2:18">
      <c r="B2154" s="832"/>
      <c r="C2154" s="833"/>
      <c r="D2154" s="833"/>
      <c r="E2154" s="833"/>
      <c r="F2154" s="1111"/>
      <c r="G2154" s="1111"/>
      <c r="H2154" s="834"/>
      <c r="I2154" s="832"/>
      <c r="J2154" s="1111"/>
      <c r="K2154" s="832"/>
      <c r="L2154" s="832"/>
      <c r="M2154" s="832"/>
      <c r="N2154" s="832"/>
      <c r="O2154" s="832"/>
      <c r="P2154" s="832"/>
      <c r="Q2154" s="832"/>
      <c r="R2154" s="832"/>
    </row>
    <row r="2155" spans="2:18">
      <c r="B2155" s="832"/>
      <c r="C2155" s="833"/>
      <c r="D2155" s="833"/>
      <c r="E2155" s="833"/>
      <c r="F2155" s="1111"/>
      <c r="G2155" s="1111"/>
      <c r="H2155" s="834"/>
      <c r="I2155" s="832"/>
      <c r="J2155" s="1111"/>
      <c r="K2155" s="832"/>
      <c r="L2155" s="832"/>
      <c r="M2155" s="832"/>
      <c r="N2155" s="832"/>
      <c r="O2155" s="832"/>
      <c r="P2155" s="832"/>
      <c r="Q2155" s="832"/>
      <c r="R2155" s="832"/>
    </row>
    <row r="2156" spans="2:18">
      <c r="B2156" s="832"/>
      <c r="C2156" s="833"/>
      <c r="D2156" s="833"/>
      <c r="E2156" s="833"/>
      <c r="F2156" s="1111"/>
      <c r="G2156" s="1111"/>
      <c r="H2156" s="834"/>
      <c r="I2156" s="832"/>
      <c r="J2156" s="1111"/>
      <c r="K2156" s="832"/>
      <c r="L2156" s="832"/>
      <c r="M2156" s="832"/>
      <c r="N2156" s="832"/>
      <c r="O2156" s="832"/>
      <c r="P2156" s="832"/>
      <c r="Q2156" s="832"/>
      <c r="R2156" s="832"/>
    </row>
    <row r="2157" spans="2:18">
      <c r="B2157" s="832"/>
      <c r="C2157" s="833"/>
      <c r="D2157" s="833"/>
      <c r="E2157" s="833"/>
      <c r="F2157" s="1111"/>
      <c r="G2157" s="1111"/>
      <c r="H2157" s="834"/>
      <c r="I2157" s="832"/>
      <c r="J2157" s="1111"/>
      <c r="K2157" s="832"/>
      <c r="L2157" s="832"/>
      <c r="M2157" s="832"/>
      <c r="N2157" s="832"/>
      <c r="O2157" s="832"/>
      <c r="P2157" s="832"/>
      <c r="Q2157" s="832"/>
      <c r="R2157" s="832"/>
    </row>
    <row r="2158" spans="2:18">
      <c r="B2158" s="832"/>
      <c r="C2158" s="833"/>
      <c r="D2158" s="833"/>
      <c r="E2158" s="833"/>
      <c r="F2158" s="1111"/>
      <c r="G2158" s="1111"/>
      <c r="H2158" s="834"/>
      <c r="I2158" s="832"/>
      <c r="J2158" s="1111"/>
      <c r="K2158" s="832"/>
      <c r="L2158" s="832"/>
      <c r="M2158" s="832"/>
      <c r="N2158" s="832"/>
      <c r="O2158" s="832"/>
      <c r="P2158" s="832"/>
      <c r="Q2158" s="832"/>
      <c r="R2158" s="832"/>
    </row>
    <row r="2159" spans="2:18">
      <c r="B2159" s="832"/>
      <c r="C2159" s="833"/>
      <c r="D2159" s="833"/>
      <c r="E2159" s="833"/>
      <c r="F2159" s="1111"/>
      <c r="G2159" s="1111"/>
      <c r="H2159" s="834"/>
      <c r="I2159" s="832"/>
      <c r="J2159" s="1111"/>
      <c r="K2159" s="832"/>
      <c r="L2159" s="832"/>
      <c r="M2159" s="832"/>
      <c r="N2159" s="832"/>
      <c r="O2159" s="832"/>
      <c r="P2159" s="832"/>
      <c r="Q2159" s="832"/>
      <c r="R2159" s="832"/>
    </row>
    <row r="2160" spans="2:18">
      <c r="B2160" s="832"/>
      <c r="C2160" s="833"/>
      <c r="D2160" s="833"/>
      <c r="E2160" s="833"/>
      <c r="F2160" s="1111"/>
      <c r="G2160" s="1111"/>
      <c r="H2160" s="834"/>
      <c r="I2160" s="832"/>
      <c r="J2160" s="1111"/>
      <c r="K2160" s="832"/>
      <c r="L2160" s="832"/>
      <c r="M2160" s="832"/>
      <c r="N2160" s="832"/>
      <c r="O2160" s="832"/>
      <c r="P2160" s="832"/>
      <c r="Q2160" s="832"/>
      <c r="R2160" s="832"/>
    </row>
    <row r="2161" spans="2:18">
      <c r="B2161" s="832"/>
      <c r="C2161" s="833"/>
      <c r="D2161" s="833"/>
      <c r="E2161" s="833"/>
      <c r="F2161" s="1111"/>
      <c r="G2161" s="1111"/>
      <c r="H2161" s="834"/>
      <c r="I2161" s="832"/>
      <c r="J2161" s="1111"/>
      <c r="K2161" s="832"/>
      <c r="L2161" s="832"/>
      <c r="M2161" s="832"/>
      <c r="N2161" s="832"/>
      <c r="O2161" s="832"/>
      <c r="P2161" s="832"/>
      <c r="Q2161" s="832"/>
      <c r="R2161" s="832"/>
    </row>
    <row r="2162" spans="2:18">
      <c r="B2162" s="832"/>
      <c r="C2162" s="833"/>
      <c r="D2162" s="833"/>
      <c r="E2162" s="833"/>
      <c r="F2162" s="1111"/>
      <c r="G2162" s="1111"/>
      <c r="H2162" s="834"/>
      <c r="I2162" s="832"/>
      <c r="J2162" s="1111"/>
      <c r="K2162" s="832"/>
      <c r="L2162" s="832"/>
      <c r="M2162" s="832"/>
      <c r="N2162" s="832"/>
      <c r="O2162" s="832"/>
      <c r="P2162" s="832"/>
      <c r="Q2162" s="832"/>
      <c r="R2162" s="832"/>
    </row>
    <row r="2163" spans="2:18">
      <c r="B2163" s="832"/>
      <c r="C2163" s="833"/>
      <c r="D2163" s="833"/>
      <c r="E2163" s="833"/>
      <c r="F2163" s="1111"/>
      <c r="G2163" s="1111"/>
      <c r="H2163" s="834"/>
      <c r="I2163" s="832"/>
      <c r="J2163" s="1111"/>
      <c r="K2163" s="832"/>
      <c r="L2163" s="832"/>
      <c r="M2163" s="832"/>
      <c r="N2163" s="832"/>
      <c r="O2163" s="832"/>
      <c r="P2163" s="832"/>
      <c r="Q2163" s="832"/>
      <c r="R2163" s="832"/>
    </row>
    <row r="2164" spans="2:18">
      <c r="B2164" s="832"/>
      <c r="C2164" s="833"/>
      <c r="D2164" s="833"/>
      <c r="E2164" s="833"/>
      <c r="F2164" s="1111"/>
      <c r="G2164" s="1111"/>
      <c r="H2164" s="834"/>
      <c r="I2164" s="832"/>
      <c r="J2164" s="1111"/>
      <c r="K2164" s="832"/>
      <c r="L2164" s="832"/>
      <c r="M2164" s="832"/>
      <c r="N2164" s="832"/>
      <c r="O2164" s="832"/>
      <c r="P2164" s="832"/>
      <c r="Q2164" s="832"/>
      <c r="R2164" s="832"/>
    </row>
    <row r="2165" spans="2:18">
      <c r="B2165" s="832"/>
      <c r="C2165" s="833"/>
      <c r="D2165" s="833"/>
      <c r="E2165" s="833"/>
      <c r="F2165" s="1111"/>
      <c r="G2165" s="1111"/>
      <c r="H2165" s="834"/>
      <c r="I2165" s="832"/>
      <c r="J2165" s="1111"/>
      <c r="K2165" s="832"/>
      <c r="L2165" s="832"/>
      <c r="M2165" s="832"/>
      <c r="N2165" s="832"/>
      <c r="O2165" s="832"/>
      <c r="P2165" s="832"/>
      <c r="Q2165" s="832"/>
      <c r="R2165" s="832"/>
    </row>
    <row r="2166" spans="2:18">
      <c r="B2166" s="832"/>
      <c r="C2166" s="833"/>
      <c r="D2166" s="833"/>
      <c r="E2166" s="833"/>
      <c r="F2166" s="1111"/>
      <c r="G2166" s="1111"/>
      <c r="H2166" s="834"/>
      <c r="I2166" s="832"/>
      <c r="J2166" s="1111"/>
      <c r="K2166" s="832"/>
      <c r="L2166" s="832"/>
      <c r="M2166" s="832"/>
      <c r="N2166" s="832"/>
      <c r="O2166" s="832"/>
      <c r="P2166" s="832"/>
      <c r="Q2166" s="832"/>
      <c r="R2166" s="832"/>
    </row>
    <row r="2167" spans="2:18">
      <c r="B2167" s="832"/>
      <c r="C2167" s="833"/>
      <c r="D2167" s="833"/>
      <c r="E2167" s="833"/>
      <c r="F2167" s="1111"/>
      <c r="G2167" s="1111"/>
      <c r="H2167" s="834"/>
      <c r="I2167" s="832"/>
      <c r="J2167" s="1111"/>
      <c r="K2167" s="832"/>
      <c r="L2167" s="832"/>
      <c r="M2167" s="832"/>
      <c r="N2167" s="832"/>
      <c r="O2167" s="832"/>
      <c r="P2167" s="832"/>
      <c r="Q2167" s="832"/>
      <c r="R2167" s="832"/>
    </row>
    <row r="2168" spans="2:18">
      <c r="B2168" s="832"/>
      <c r="C2168" s="833"/>
      <c r="D2168" s="833"/>
      <c r="E2168" s="833"/>
      <c r="F2168" s="1111"/>
      <c r="G2168" s="1111"/>
      <c r="H2168" s="834"/>
      <c r="I2168" s="832"/>
      <c r="J2168" s="1111"/>
      <c r="K2168" s="832"/>
      <c r="L2168" s="832"/>
      <c r="M2168" s="832"/>
      <c r="N2168" s="832"/>
      <c r="O2168" s="832"/>
      <c r="P2168" s="832"/>
      <c r="Q2168" s="832"/>
      <c r="R2168" s="832"/>
    </row>
    <row r="2169" spans="2:18">
      <c r="B2169" s="832"/>
      <c r="C2169" s="833"/>
      <c r="D2169" s="833"/>
      <c r="E2169" s="833"/>
      <c r="F2169" s="1111"/>
      <c r="G2169" s="1111"/>
      <c r="H2169" s="834"/>
      <c r="I2169" s="832"/>
      <c r="J2169" s="1111"/>
      <c r="K2169" s="832"/>
      <c r="L2169" s="832"/>
      <c r="M2169" s="832"/>
      <c r="N2169" s="832"/>
      <c r="O2169" s="832"/>
      <c r="P2169" s="832"/>
      <c r="Q2169" s="832"/>
      <c r="R2169" s="832"/>
    </row>
    <row r="2170" spans="2:18">
      <c r="B2170" s="832"/>
      <c r="C2170" s="833"/>
      <c r="D2170" s="833"/>
      <c r="E2170" s="833"/>
      <c r="F2170" s="1111"/>
      <c r="G2170" s="1111"/>
      <c r="H2170" s="834"/>
      <c r="I2170" s="832"/>
      <c r="J2170" s="1111"/>
      <c r="K2170" s="832"/>
      <c r="L2170" s="832"/>
      <c r="M2170" s="832"/>
      <c r="N2170" s="832"/>
      <c r="O2170" s="832"/>
      <c r="P2170" s="832"/>
      <c r="Q2170" s="832"/>
      <c r="R2170" s="832"/>
    </row>
    <row r="2171" spans="2:18">
      <c r="B2171" s="832"/>
      <c r="C2171" s="833"/>
      <c r="D2171" s="833"/>
      <c r="E2171" s="833"/>
      <c r="F2171" s="1111"/>
      <c r="G2171" s="1111"/>
      <c r="H2171" s="834"/>
      <c r="I2171" s="832"/>
      <c r="J2171" s="1111"/>
      <c r="K2171" s="832"/>
      <c r="L2171" s="832"/>
      <c r="M2171" s="832"/>
      <c r="N2171" s="832"/>
      <c r="O2171" s="832"/>
      <c r="P2171" s="832"/>
      <c r="Q2171" s="832"/>
      <c r="R2171" s="832"/>
    </row>
    <row r="2172" spans="2:18">
      <c r="B2172" s="832"/>
      <c r="C2172" s="833"/>
      <c r="D2172" s="833"/>
      <c r="E2172" s="833"/>
      <c r="F2172" s="1111"/>
      <c r="G2172" s="1111"/>
      <c r="H2172" s="834"/>
      <c r="I2172" s="832"/>
      <c r="J2172" s="1111"/>
      <c r="K2172" s="832"/>
      <c r="L2172" s="832"/>
      <c r="M2172" s="832"/>
      <c r="N2172" s="832"/>
      <c r="O2172" s="832"/>
      <c r="P2172" s="832"/>
      <c r="Q2172" s="832"/>
      <c r="R2172" s="832"/>
    </row>
    <row r="2173" spans="2:18">
      <c r="B2173" s="832"/>
      <c r="C2173" s="833"/>
      <c r="D2173" s="833"/>
      <c r="E2173" s="833"/>
      <c r="F2173" s="1111"/>
      <c r="G2173" s="1111"/>
      <c r="H2173" s="834"/>
      <c r="I2173" s="832"/>
      <c r="J2173" s="1111"/>
      <c r="K2173" s="832"/>
      <c r="L2173" s="832"/>
      <c r="M2173" s="832"/>
      <c r="N2173" s="832"/>
      <c r="O2173" s="832"/>
      <c r="P2173" s="832"/>
      <c r="Q2173" s="832"/>
      <c r="R2173" s="832"/>
    </row>
    <row r="2174" spans="2:18">
      <c r="B2174" s="832"/>
      <c r="C2174" s="833"/>
      <c r="D2174" s="833"/>
      <c r="E2174" s="833"/>
      <c r="F2174" s="1111"/>
      <c r="G2174" s="1111"/>
      <c r="H2174" s="834"/>
      <c r="I2174" s="832"/>
      <c r="J2174" s="1111"/>
      <c r="K2174" s="832"/>
      <c r="L2174" s="832"/>
      <c r="M2174" s="832"/>
      <c r="N2174" s="832"/>
      <c r="O2174" s="832"/>
      <c r="P2174" s="832"/>
      <c r="Q2174" s="832"/>
      <c r="R2174" s="832"/>
    </row>
    <row r="2175" spans="2:18">
      <c r="B2175" s="832"/>
      <c r="C2175" s="833"/>
      <c r="D2175" s="833"/>
      <c r="E2175" s="833"/>
      <c r="F2175" s="1111"/>
      <c r="G2175" s="1111"/>
      <c r="H2175" s="834"/>
      <c r="I2175" s="832"/>
      <c r="J2175" s="1111"/>
      <c r="K2175" s="832"/>
      <c r="L2175" s="832"/>
      <c r="M2175" s="832"/>
      <c r="N2175" s="832"/>
      <c r="O2175" s="832"/>
      <c r="P2175" s="832"/>
      <c r="Q2175" s="832"/>
      <c r="R2175" s="832"/>
    </row>
    <row r="2176" spans="2:18">
      <c r="B2176" s="832"/>
      <c r="C2176" s="833"/>
      <c r="D2176" s="833"/>
      <c r="E2176" s="833"/>
      <c r="F2176" s="1111"/>
      <c r="G2176" s="1111"/>
      <c r="H2176" s="834"/>
      <c r="I2176" s="832"/>
      <c r="J2176" s="1111"/>
      <c r="K2176" s="832"/>
      <c r="L2176" s="832"/>
      <c r="M2176" s="832"/>
      <c r="N2176" s="832"/>
      <c r="O2176" s="832"/>
      <c r="P2176" s="832"/>
      <c r="Q2176" s="832"/>
      <c r="R2176" s="832"/>
    </row>
    <row r="2177" spans="2:18">
      <c r="B2177" s="832"/>
      <c r="C2177" s="833"/>
      <c r="D2177" s="833"/>
      <c r="E2177" s="833"/>
      <c r="F2177" s="1111"/>
      <c r="G2177" s="1111"/>
      <c r="H2177" s="834"/>
      <c r="I2177" s="832"/>
      <c r="J2177" s="1111"/>
      <c r="K2177" s="832"/>
      <c r="L2177" s="832"/>
      <c r="M2177" s="832"/>
      <c r="N2177" s="832"/>
      <c r="O2177" s="832"/>
      <c r="P2177" s="832"/>
      <c r="Q2177" s="832"/>
      <c r="R2177" s="832"/>
    </row>
    <row r="2178" spans="2:18">
      <c r="B2178" s="832"/>
      <c r="C2178" s="833"/>
      <c r="D2178" s="833"/>
      <c r="E2178" s="833"/>
      <c r="F2178" s="1111"/>
      <c r="G2178" s="1111"/>
      <c r="H2178" s="834"/>
      <c r="I2178" s="832"/>
      <c r="J2178" s="1111"/>
      <c r="K2178" s="832"/>
      <c r="L2178" s="832"/>
      <c r="M2178" s="832"/>
      <c r="N2178" s="832"/>
      <c r="O2178" s="832"/>
      <c r="P2178" s="832"/>
      <c r="Q2178" s="832"/>
      <c r="R2178" s="832"/>
    </row>
    <row r="2179" spans="2:18">
      <c r="B2179" s="832"/>
      <c r="C2179" s="833"/>
      <c r="D2179" s="833"/>
      <c r="E2179" s="833"/>
      <c r="F2179" s="1111"/>
      <c r="G2179" s="1111"/>
      <c r="H2179" s="834"/>
      <c r="I2179" s="832"/>
      <c r="J2179" s="1111"/>
      <c r="K2179" s="832"/>
      <c r="L2179" s="832"/>
      <c r="M2179" s="832"/>
      <c r="N2179" s="832"/>
      <c r="O2179" s="832"/>
      <c r="P2179" s="832"/>
      <c r="Q2179" s="832"/>
      <c r="R2179" s="832"/>
    </row>
    <row r="2180" spans="2:18">
      <c r="B2180" s="832"/>
      <c r="C2180" s="833"/>
      <c r="D2180" s="833"/>
      <c r="E2180" s="833"/>
      <c r="F2180" s="1111"/>
      <c r="G2180" s="1111"/>
      <c r="H2180" s="834"/>
      <c r="I2180" s="832"/>
      <c r="J2180" s="1111"/>
      <c r="K2180" s="832"/>
      <c r="L2180" s="832"/>
      <c r="M2180" s="832"/>
      <c r="N2180" s="832"/>
      <c r="O2180" s="832"/>
      <c r="P2180" s="832"/>
      <c r="Q2180" s="832"/>
      <c r="R2180" s="832"/>
    </row>
    <row r="2181" spans="2:18">
      <c r="B2181" s="832"/>
      <c r="C2181" s="833"/>
      <c r="D2181" s="833"/>
      <c r="E2181" s="833"/>
      <c r="F2181" s="1111"/>
      <c r="G2181" s="1111"/>
      <c r="H2181" s="834"/>
      <c r="I2181" s="832"/>
      <c r="J2181" s="1111"/>
      <c r="K2181" s="832"/>
      <c r="L2181" s="832"/>
      <c r="M2181" s="832"/>
      <c r="N2181" s="832"/>
      <c r="O2181" s="832"/>
      <c r="P2181" s="832"/>
      <c r="Q2181" s="832"/>
      <c r="R2181" s="832"/>
    </row>
    <row r="2182" spans="2:18">
      <c r="B2182" s="832"/>
      <c r="C2182" s="833"/>
      <c r="D2182" s="833"/>
      <c r="E2182" s="833"/>
      <c r="F2182" s="1111"/>
      <c r="G2182" s="1111"/>
      <c r="H2182" s="834"/>
      <c r="I2182" s="832"/>
      <c r="J2182" s="1111"/>
      <c r="K2182" s="832"/>
      <c r="L2182" s="832"/>
      <c r="M2182" s="832"/>
      <c r="N2182" s="832"/>
      <c r="O2182" s="832"/>
      <c r="P2182" s="832"/>
      <c r="Q2182" s="832"/>
      <c r="R2182" s="832"/>
    </row>
    <row r="2183" spans="2:18">
      <c r="B2183" s="832"/>
      <c r="C2183" s="833"/>
      <c r="D2183" s="833"/>
      <c r="E2183" s="833"/>
      <c r="F2183" s="1111"/>
      <c r="G2183" s="1111"/>
      <c r="H2183" s="834"/>
      <c r="I2183" s="832"/>
      <c r="J2183" s="1111"/>
      <c r="K2183" s="832"/>
      <c r="L2183" s="832"/>
      <c r="M2183" s="832"/>
      <c r="N2183" s="832"/>
      <c r="O2183" s="832"/>
      <c r="P2183" s="832"/>
      <c r="Q2183" s="832"/>
      <c r="R2183" s="832"/>
    </row>
    <row r="2184" spans="2:18">
      <c r="B2184" s="832"/>
      <c r="C2184" s="833"/>
      <c r="D2184" s="833"/>
      <c r="E2184" s="833"/>
      <c r="F2184" s="1111"/>
      <c r="G2184" s="1111"/>
      <c r="H2184" s="834"/>
      <c r="I2184" s="832"/>
      <c r="J2184" s="1111"/>
      <c r="K2184" s="832"/>
      <c r="L2184" s="832"/>
      <c r="M2184" s="832"/>
      <c r="N2184" s="832"/>
      <c r="O2184" s="832"/>
      <c r="P2184" s="832"/>
      <c r="Q2184" s="832"/>
      <c r="R2184" s="832"/>
    </row>
    <row r="2185" spans="2:18">
      <c r="B2185" s="832"/>
      <c r="C2185" s="833"/>
      <c r="D2185" s="833"/>
      <c r="E2185" s="833"/>
      <c r="F2185" s="1111"/>
      <c r="G2185" s="1111"/>
      <c r="H2185" s="834"/>
      <c r="I2185" s="832"/>
      <c r="J2185" s="1111"/>
      <c r="K2185" s="832"/>
      <c r="L2185" s="832"/>
      <c r="M2185" s="832"/>
      <c r="N2185" s="832"/>
      <c r="O2185" s="832"/>
      <c r="P2185" s="832"/>
      <c r="Q2185" s="832"/>
      <c r="R2185" s="832"/>
    </row>
    <row r="2186" spans="2:18">
      <c r="B2186" s="832"/>
      <c r="C2186" s="833"/>
      <c r="D2186" s="833"/>
      <c r="E2186" s="833"/>
      <c r="F2186" s="1111"/>
      <c r="G2186" s="1111"/>
      <c r="H2186" s="834"/>
      <c r="I2186" s="832"/>
      <c r="J2186" s="1111"/>
      <c r="K2186" s="832"/>
      <c r="L2186" s="832"/>
      <c r="M2186" s="832"/>
      <c r="N2186" s="832"/>
      <c r="O2186" s="832"/>
      <c r="P2186" s="832"/>
      <c r="Q2186" s="832"/>
      <c r="R2186" s="832"/>
    </row>
    <row r="2187" spans="2:18">
      <c r="B2187" s="832"/>
      <c r="C2187" s="833"/>
      <c r="D2187" s="833"/>
      <c r="E2187" s="833"/>
      <c r="F2187" s="1111"/>
      <c r="G2187" s="1111"/>
      <c r="H2187" s="834"/>
      <c r="I2187" s="832"/>
      <c r="J2187" s="1111"/>
      <c r="K2187" s="832"/>
      <c r="L2187" s="832"/>
      <c r="M2187" s="832"/>
      <c r="N2187" s="832"/>
      <c r="O2187" s="832"/>
      <c r="P2187" s="832"/>
      <c r="Q2187" s="832"/>
      <c r="R2187" s="832"/>
    </row>
    <row r="2188" spans="2:18">
      <c r="B2188" s="832"/>
      <c r="C2188" s="833"/>
      <c r="D2188" s="833"/>
      <c r="E2188" s="833"/>
      <c r="F2188" s="1111"/>
      <c r="G2188" s="1111"/>
      <c r="H2188" s="834"/>
      <c r="I2188" s="832"/>
      <c r="J2188" s="1111"/>
      <c r="K2188" s="832"/>
      <c r="L2188" s="832"/>
      <c r="M2188" s="832"/>
      <c r="N2188" s="832"/>
      <c r="O2188" s="832"/>
      <c r="P2188" s="832"/>
      <c r="Q2188" s="832"/>
      <c r="R2188" s="832"/>
    </row>
    <row r="2189" spans="2:18">
      <c r="B2189" s="832"/>
      <c r="C2189" s="833"/>
      <c r="D2189" s="833"/>
      <c r="E2189" s="833"/>
      <c r="F2189" s="1111"/>
      <c r="G2189" s="1111"/>
      <c r="H2189" s="834"/>
      <c r="I2189" s="832"/>
      <c r="J2189" s="1111"/>
      <c r="K2189" s="832"/>
      <c r="L2189" s="832"/>
      <c r="M2189" s="832"/>
      <c r="N2189" s="832"/>
      <c r="O2189" s="832"/>
      <c r="P2189" s="832"/>
      <c r="Q2189" s="832"/>
      <c r="R2189" s="832"/>
    </row>
    <row r="2190" spans="2:18">
      <c r="B2190" s="832"/>
      <c r="C2190" s="833"/>
      <c r="D2190" s="833"/>
      <c r="E2190" s="833"/>
      <c r="F2190" s="1111"/>
      <c r="G2190" s="1111"/>
      <c r="H2190" s="834"/>
      <c r="I2190" s="832"/>
      <c r="J2190" s="1111"/>
      <c r="K2190" s="832"/>
      <c r="L2190" s="832"/>
      <c r="M2190" s="832"/>
      <c r="N2190" s="832"/>
      <c r="O2190" s="832"/>
      <c r="P2190" s="832"/>
      <c r="Q2190" s="832"/>
      <c r="R2190" s="832"/>
    </row>
    <row r="2191" spans="2:18">
      <c r="B2191" s="832"/>
      <c r="C2191" s="833"/>
      <c r="D2191" s="833"/>
      <c r="E2191" s="833"/>
      <c r="F2191" s="1111"/>
      <c r="G2191" s="1111"/>
      <c r="H2191" s="834"/>
      <c r="I2191" s="832"/>
      <c r="J2191" s="1111"/>
      <c r="K2191" s="832"/>
      <c r="L2191" s="832"/>
      <c r="M2191" s="832"/>
      <c r="N2191" s="832"/>
      <c r="O2191" s="832"/>
      <c r="P2191" s="832"/>
      <c r="Q2191" s="832"/>
      <c r="R2191" s="832"/>
    </row>
    <row r="2192" spans="2:18">
      <c r="B2192" s="832"/>
      <c r="C2192" s="833"/>
      <c r="D2192" s="833"/>
      <c r="E2192" s="833"/>
      <c r="F2192" s="1111"/>
      <c r="G2192" s="1111"/>
      <c r="H2192" s="834"/>
      <c r="I2192" s="832"/>
      <c r="J2192" s="1111"/>
      <c r="K2192" s="832"/>
      <c r="L2192" s="832"/>
      <c r="M2192" s="832"/>
      <c r="N2192" s="832"/>
      <c r="O2192" s="832"/>
      <c r="P2192" s="832"/>
      <c r="Q2192" s="832"/>
      <c r="R2192" s="832"/>
    </row>
    <row r="2193" spans="2:18">
      <c r="B2193" s="832"/>
      <c r="C2193" s="833"/>
      <c r="D2193" s="833"/>
      <c r="E2193" s="833"/>
      <c r="F2193" s="1111"/>
      <c r="G2193" s="1111"/>
      <c r="H2193" s="834"/>
      <c r="I2193" s="832"/>
      <c r="J2193" s="1111"/>
      <c r="K2193" s="832"/>
      <c r="L2193" s="832"/>
      <c r="M2193" s="832"/>
      <c r="N2193" s="832"/>
      <c r="O2193" s="832"/>
      <c r="P2193" s="832"/>
      <c r="Q2193" s="832"/>
      <c r="R2193" s="832"/>
    </row>
    <row r="2194" spans="2:18">
      <c r="B2194" s="832"/>
      <c r="C2194" s="833"/>
      <c r="D2194" s="833"/>
      <c r="E2194" s="833"/>
      <c r="F2194" s="1111"/>
      <c r="G2194" s="1111"/>
      <c r="H2194" s="834"/>
      <c r="I2194" s="832"/>
      <c r="J2194" s="1111"/>
      <c r="K2194" s="832"/>
      <c r="L2194" s="832"/>
      <c r="M2194" s="832"/>
      <c r="N2194" s="832"/>
      <c r="O2194" s="832"/>
      <c r="P2194" s="832"/>
      <c r="Q2194" s="832"/>
      <c r="R2194" s="832"/>
    </row>
    <row r="2195" spans="2:18">
      <c r="B2195" s="832"/>
      <c r="C2195" s="833"/>
      <c r="D2195" s="833"/>
      <c r="E2195" s="833"/>
      <c r="F2195" s="1111"/>
      <c r="G2195" s="1111"/>
      <c r="H2195" s="834"/>
      <c r="I2195" s="832"/>
      <c r="J2195" s="1111"/>
      <c r="K2195" s="832"/>
      <c r="L2195" s="832"/>
      <c r="M2195" s="832"/>
      <c r="N2195" s="832"/>
      <c r="O2195" s="832"/>
      <c r="P2195" s="832"/>
      <c r="Q2195" s="832"/>
      <c r="R2195" s="832"/>
    </row>
    <row r="2196" spans="2:18">
      <c r="B2196" s="832"/>
      <c r="C2196" s="833"/>
      <c r="D2196" s="833"/>
      <c r="E2196" s="833"/>
      <c r="F2196" s="1111"/>
      <c r="G2196" s="1111"/>
      <c r="H2196" s="834"/>
      <c r="I2196" s="832"/>
      <c r="J2196" s="1111"/>
      <c r="K2196" s="832"/>
      <c r="L2196" s="832"/>
      <c r="M2196" s="832"/>
      <c r="N2196" s="832"/>
      <c r="O2196" s="832"/>
      <c r="P2196" s="832"/>
      <c r="Q2196" s="832"/>
      <c r="R2196" s="832"/>
    </row>
    <row r="2197" spans="2:18">
      <c r="B2197" s="832"/>
      <c r="C2197" s="833"/>
      <c r="D2197" s="833"/>
      <c r="E2197" s="833"/>
      <c r="F2197" s="1111"/>
      <c r="G2197" s="1111"/>
      <c r="H2197" s="834"/>
      <c r="I2197" s="832"/>
      <c r="J2197" s="1111"/>
      <c r="K2197" s="832"/>
      <c r="L2197" s="832"/>
      <c r="M2197" s="832"/>
      <c r="N2197" s="832"/>
      <c r="O2197" s="832"/>
      <c r="P2197" s="832"/>
      <c r="Q2197" s="832"/>
      <c r="R2197" s="832"/>
    </row>
    <row r="2198" spans="2:18">
      <c r="B2198" s="832"/>
      <c r="C2198" s="833"/>
      <c r="D2198" s="833"/>
      <c r="E2198" s="833"/>
      <c r="F2198" s="1111"/>
      <c r="G2198" s="1111"/>
      <c r="H2198" s="834"/>
      <c r="I2198" s="832"/>
      <c r="J2198" s="1111"/>
      <c r="K2198" s="832"/>
      <c r="L2198" s="832"/>
      <c r="M2198" s="832"/>
      <c r="N2198" s="832"/>
      <c r="O2198" s="832"/>
      <c r="P2198" s="832"/>
      <c r="Q2198" s="832"/>
      <c r="R2198" s="832"/>
    </row>
    <row r="2199" spans="2:18">
      <c r="B2199" s="832"/>
      <c r="C2199" s="833"/>
      <c r="D2199" s="833"/>
      <c r="E2199" s="833"/>
      <c r="F2199" s="1111"/>
      <c r="G2199" s="1111"/>
      <c r="H2199" s="834"/>
      <c r="I2199" s="832"/>
      <c r="J2199" s="1111"/>
      <c r="K2199" s="832"/>
      <c r="L2199" s="832"/>
      <c r="M2199" s="832"/>
      <c r="N2199" s="832"/>
      <c r="O2199" s="832"/>
      <c r="P2199" s="832"/>
      <c r="Q2199" s="832"/>
      <c r="R2199" s="832"/>
    </row>
    <row r="2200" spans="2:18">
      <c r="B2200" s="832"/>
      <c r="C2200" s="833"/>
      <c r="D2200" s="833"/>
      <c r="E2200" s="833"/>
      <c r="F2200" s="1111"/>
      <c r="G2200" s="1111"/>
      <c r="H2200" s="834"/>
      <c r="I2200" s="832"/>
      <c r="J2200" s="1111"/>
      <c r="K2200" s="832"/>
      <c r="L2200" s="832"/>
      <c r="M2200" s="832"/>
      <c r="N2200" s="832"/>
      <c r="O2200" s="832"/>
      <c r="P2200" s="832"/>
      <c r="Q2200" s="832"/>
      <c r="R2200" s="832"/>
    </row>
    <row r="2201" spans="2:18">
      <c r="B2201" s="832"/>
      <c r="C2201" s="833"/>
      <c r="D2201" s="833"/>
      <c r="E2201" s="833"/>
      <c r="F2201" s="1111"/>
      <c r="G2201" s="1111"/>
      <c r="H2201" s="834"/>
      <c r="I2201" s="832"/>
      <c r="J2201" s="1111"/>
      <c r="K2201" s="832"/>
      <c r="L2201" s="832"/>
      <c r="M2201" s="832"/>
      <c r="N2201" s="832"/>
      <c r="O2201" s="832"/>
      <c r="P2201" s="832"/>
      <c r="Q2201" s="832"/>
      <c r="R2201" s="832"/>
    </row>
    <row r="2202" spans="2:18">
      <c r="B2202" s="832"/>
      <c r="C2202" s="833"/>
      <c r="D2202" s="833"/>
      <c r="E2202" s="833"/>
      <c r="F2202" s="1111"/>
      <c r="G2202" s="1111"/>
      <c r="H2202" s="834"/>
      <c r="I2202" s="832"/>
      <c r="J2202" s="1111"/>
      <c r="K2202" s="832"/>
      <c r="L2202" s="832"/>
      <c r="M2202" s="832"/>
      <c r="N2202" s="832"/>
      <c r="O2202" s="832"/>
      <c r="P2202" s="832"/>
      <c r="Q2202" s="832"/>
      <c r="R2202" s="832"/>
    </row>
    <row r="2203" spans="2:18">
      <c r="B2203" s="832"/>
      <c r="C2203" s="833"/>
      <c r="D2203" s="833"/>
      <c r="E2203" s="833"/>
      <c r="F2203" s="1111"/>
      <c r="G2203" s="1111"/>
      <c r="H2203" s="834"/>
      <c r="I2203" s="832"/>
      <c r="J2203" s="1111"/>
      <c r="K2203" s="832"/>
      <c r="L2203" s="832"/>
      <c r="M2203" s="832"/>
      <c r="N2203" s="832"/>
      <c r="O2203" s="832"/>
      <c r="P2203" s="832"/>
      <c r="Q2203" s="832"/>
      <c r="R2203" s="832"/>
    </row>
    <row r="2204" spans="2:18">
      <c r="B2204" s="832"/>
      <c r="C2204" s="833"/>
      <c r="D2204" s="833"/>
      <c r="E2204" s="833"/>
      <c r="F2204" s="1111"/>
      <c r="G2204" s="1111"/>
      <c r="H2204" s="834"/>
      <c r="I2204" s="832"/>
      <c r="J2204" s="1111"/>
      <c r="K2204" s="832"/>
      <c r="L2204" s="832"/>
      <c r="M2204" s="832"/>
      <c r="N2204" s="832"/>
      <c r="O2204" s="832"/>
      <c r="P2204" s="832"/>
      <c r="Q2204" s="832"/>
      <c r="R2204" s="832"/>
    </row>
    <row r="2205" spans="2:18">
      <c r="B2205" s="832"/>
      <c r="C2205" s="833"/>
      <c r="D2205" s="833"/>
      <c r="E2205" s="833"/>
      <c r="F2205" s="1111"/>
      <c r="G2205" s="1111"/>
      <c r="H2205" s="834"/>
      <c r="I2205" s="832"/>
      <c r="J2205" s="1111"/>
      <c r="K2205" s="832"/>
      <c r="L2205" s="832"/>
      <c r="M2205" s="832"/>
      <c r="N2205" s="832"/>
      <c r="O2205" s="832"/>
      <c r="P2205" s="832"/>
      <c r="Q2205" s="832"/>
      <c r="R2205" s="832"/>
    </row>
    <row r="2206" spans="2:18">
      <c r="B2206" s="832"/>
      <c r="C2206" s="833"/>
      <c r="D2206" s="833"/>
      <c r="E2206" s="833"/>
      <c r="F2206" s="1111"/>
      <c r="G2206" s="1111"/>
      <c r="H2206" s="834"/>
      <c r="I2206" s="832"/>
      <c r="J2206" s="1111"/>
      <c r="K2206" s="832"/>
      <c r="L2206" s="832"/>
      <c r="M2206" s="832"/>
      <c r="N2206" s="832"/>
      <c r="O2206" s="832"/>
      <c r="P2206" s="832"/>
      <c r="Q2206" s="832"/>
      <c r="R2206" s="832"/>
    </row>
    <row r="2207" spans="2:18">
      <c r="B2207" s="832"/>
      <c r="C2207" s="833"/>
      <c r="D2207" s="833"/>
      <c r="E2207" s="833"/>
      <c r="F2207" s="1111"/>
      <c r="G2207" s="1111"/>
      <c r="H2207" s="834"/>
      <c r="I2207" s="832"/>
      <c r="J2207" s="1111"/>
      <c r="K2207" s="832"/>
      <c r="L2207" s="832"/>
      <c r="M2207" s="832"/>
      <c r="N2207" s="832"/>
      <c r="O2207" s="832"/>
      <c r="P2207" s="832"/>
      <c r="Q2207" s="832"/>
      <c r="R2207" s="832"/>
    </row>
    <row r="2208" spans="2:18">
      <c r="B2208" s="832"/>
      <c r="C2208" s="833"/>
      <c r="D2208" s="833"/>
      <c r="E2208" s="833"/>
      <c r="F2208" s="1111"/>
      <c r="G2208" s="1111"/>
      <c r="H2208" s="834"/>
      <c r="I2208" s="832"/>
      <c r="J2208" s="1111"/>
      <c r="K2208" s="832"/>
      <c r="L2208" s="832"/>
      <c r="M2208" s="832"/>
      <c r="N2208" s="832"/>
      <c r="O2208" s="832"/>
      <c r="P2208" s="832"/>
      <c r="Q2208" s="832"/>
      <c r="R2208" s="832"/>
    </row>
    <row r="2209" spans="2:18">
      <c r="B2209" s="832"/>
      <c r="C2209" s="833"/>
      <c r="D2209" s="833"/>
      <c r="E2209" s="833"/>
      <c r="F2209" s="1111"/>
      <c r="G2209" s="1111"/>
      <c r="H2209" s="834"/>
      <c r="I2209" s="832"/>
      <c r="J2209" s="1111"/>
      <c r="K2209" s="832"/>
      <c r="L2209" s="832"/>
      <c r="M2209" s="832"/>
      <c r="N2209" s="832"/>
      <c r="O2209" s="832"/>
      <c r="P2209" s="832"/>
      <c r="Q2209" s="832"/>
      <c r="R2209" s="832"/>
    </row>
    <row r="2210" spans="2:18">
      <c r="B2210" s="832"/>
      <c r="C2210" s="833"/>
      <c r="D2210" s="833"/>
      <c r="E2210" s="833"/>
      <c r="F2210" s="1111"/>
      <c r="G2210" s="1111"/>
      <c r="H2210" s="834"/>
      <c r="I2210" s="832"/>
      <c r="J2210" s="1111"/>
      <c r="K2210" s="832"/>
      <c r="L2210" s="832"/>
      <c r="M2210" s="832"/>
      <c r="N2210" s="832"/>
      <c r="O2210" s="832"/>
      <c r="P2210" s="832"/>
      <c r="Q2210" s="832"/>
      <c r="R2210" s="832"/>
    </row>
    <row r="2211" spans="2:18">
      <c r="B2211" s="832"/>
      <c r="C2211" s="833"/>
      <c r="D2211" s="833"/>
      <c r="E2211" s="833"/>
      <c r="F2211" s="1111"/>
      <c r="G2211" s="1111"/>
      <c r="H2211" s="834"/>
      <c r="I2211" s="832"/>
      <c r="J2211" s="1111"/>
      <c r="K2211" s="832"/>
      <c r="L2211" s="832"/>
      <c r="M2211" s="832"/>
      <c r="N2211" s="832"/>
      <c r="O2211" s="832"/>
      <c r="P2211" s="832"/>
      <c r="Q2211" s="832"/>
      <c r="R2211" s="832"/>
    </row>
    <row r="2212" spans="2:18">
      <c r="B2212" s="832"/>
      <c r="C2212" s="833"/>
      <c r="D2212" s="833"/>
      <c r="E2212" s="833"/>
      <c r="F2212" s="1111"/>
      <c r="G2212" s="1111"/>
      <c r="H2212" s="834"/>
      <c r="I2212" s="832"/>
      <c r="J2212" s="1111"/>
      <c r="K2212" s="832"/>
      <c r="L2212" s="832"/>
      <c r="M2212" s="832"/>
      <c r="N2212" s="832"/>
      <c r="O2212" s="832"/>
      <c r="P2212" s="832"/>
      <c r="Q2212" s="832"/>
      <c r="R2212" s="832"/>
    </row>
    <row r="2213" spans="2:18">
      <c r="B2213" s="832"/>
      <c r="C2213" s="833"/>
      <c r="D2213" s="833"/>
      <c r="E2213" s="833"/>
      <c r="F2213" s="1111"/>
      <c r="G2213" s="1111"/>
      <c r="H2213" s="834"/>
      <c r="I2213" s="832"/>
      <c r="J2213" s="1111"/>
      <c r="K2213" s="832"/>
      <c r="L2213" s="832"/>
      <c r="M2213" s="832"/>
      <c r="N2213" s="832"/>
      <c r="O2213" s="832"/>
      <c r="P2213" s="832"/>
      <c r="Q2213" s="832"/>
      <c r="R2213" s="832"/>
    </row>
    <row r="2214" spans="2:18">
      <c r="B2214" s="832"/>
      <c r="C2214" s="833"/>
      <c r="D2214" s="833"/>
      <c r="E2214" s="833"/>
      <c r="F2214" s="1111"/>
      <c r="G2214" s="1111"/>
      <c r="H2214" s="834"/>
      <c r="I2214" s="832"/>
      <c r="J2214" s="1111"/>
      <c r="K2214" s="832"/>
      <c r="L2214" s="832"/>
      <c r="M2214" s="832"/>
      <c r="N2214" s="832"/>
      <c r="O2214" s="832"/>
      <c r="P2214" s="832"/>
      <c r="Q2214" s="832"/>
      <c r="R2214" s="832"/>
    </row>
    <row r="2215" spans="2:18">
      <c r="B2215" s="832"/>
      <c r="C2215" s="833"/>
      <c r="D2215" s="833"/>
      <c r="E2215" s="833"/>
      <c r="F2215" s="1111"/>
      <c r="G2215" s="1111"/>
      <c r="H2215" s="834"/>
      <c r="I2215" s="832"/>
      <c r="J2215" s="1111"/>
      <c r="K2215" s="832"/>
      <c r="L2215" s="832"/>
      <c r="M2215" s="832"/>
      <c r="N2215" s="832"/>
      <c r="O2215" s="832"/>
      <c r="P2215" s="832"/>
      <c r="Q2215" s="832"/>
      <c r="R2215" s="832"/>
    </row>
    <row r="2216" spans="2:18">
      <c r="B2216" s="832"/>
      <c r="C2216" s="833"/>
      <c r="D2216" s="833"/>
      <c r="E2216" s="833"/>
      <c r="F2216" s="1111"/>
      <c r="G2216" s="1111"/>
      <c r="H2216" s="834"/>
      <c r="I2216" s="832"/>
      <c r="J2216" s="1111"/>
      <c r="K2216" s="832"/>
      <c r="L2216" s="832"/>
      <c r="M2216" s="832"/>
      <c r="N2216" s="832"/>
      <c r="O2216" s="832"/>
      <c r="P2216" s="832"/>
      <c r="Q2216" s="832"/>
      <c r="R2216" s="832"/>
    </row>
    <row r="2217" spans="2:18">
      <c r="B2217" s="832"/>
      <c r="C2217" s="833"/>
      <c r="D2217" s="833"/>
      <c r="E2217" s="833"/>
      <c r="F2217" s="1111"/>
      <c r="G2217" s="1111"/>
      <c r="H2217" s="834"/>
      <c r="I2217" s="832"/>
      <c r="J2217" s="1111"/>
      <c r="K2217" s="832"/>
      <c r="L2217" s="832"/>
      <c r="M2217" s="832"/>
      <c r="N2217" s="832"/>
      <c r="O2217" s="832"/>
      <c r="P2217" s="832"/>
      <c r="Q2217" s="832"/>
      <c r="R2217" s="832"/>
    </row>
    <row r="2218" spans="2:18">
      <c r="B2218" s="832"/>
      <c r="C2218" s="833"/>
      <c r="D2218" s="833"/>
      <c r="E2218" s="833"/>
      <c r="F2218" s="1111"/>
      <c r="G2218" s="1111"/>
      <c r="H2218" s="834"/>
      <c r="I2218" s="832"/>
      <c r="J2218" s="1111"/>
      <c r="K2218" s="832"/>
      <c r="L2218" s="832"/>
      <c r="M2218" s="832"/>
      <c r="N2218" s="832"/>
      <c r="O2218" s="832"/>
      <c r="P2218" s="832"/>
      <c r="Q2218" s="832"/>
      <c r="R2218" s="832"/>
    </row>
    <row r="2219" spans="2:18">
      <c r="B2219" s="832"/>
      <c r="C2219" s="833"/>
      <c r="D2219" s="833"/>
      <c r="E2219" s="833"/>
      <c r="F2219" s="1111"/>
      <c r="G2219" s="1111"/>
      <c r="H2219" s="834"/>
      <c r="I2219" s="832"/>
      <c r="J2219" s="1111"/>
      <c r="K2219" s="832"/>
      <c r="L2219" s="832"/>
      <c r="M2219" s="832"/>
      <c r="N2219" s="832"/>
      <c r="O2219" s="832"/>
      <c r="P2219" s="832"/>
      <c r="Q2219" s="832"/>
      <c r="R2219" s="832"/>
    </row>
    <row r="2220" spans="2:18">
      <c r="B2220" s="832"/>
      <c r="C2220" s="833"/>
      <c r="D2220" s="833"/>
      <c r="E2220" s="833"/>
      <c r="F2220" s="1111"/>
      <c r="G2220" s="1111"/>
      <c r="H2220" s="834"/>
      <c r="I2220" s="832"/>
      <c r="J2220" s="1111"/>
      <c r="K2220" s="832"/>
      <c r="L2220" s="832"/>
      <c r="M2220" s="832"/>
      <c r="N2220" s="832"/>
      <c r="O2220" s="832"/>
      <c r="P2220" s="832"/>
      <c r="Q2220" s="832"/>
      <c r="R2220" s="832"/>
    </row>
    <row r="2221" spans="2:18">
      <c r="B2221" s="832"/>
      <c r="C2221" s="833"/>
      <c r="D2221" s="833"/>
      <c r="E2221" s="833"/>
      <c r="F2221" s="1111"/>
      <c r="G2221" s="1111"/>
      <c r="H2221" s="834"/>
      <c r="I2221" s="832"/>
      <c r="J2221" s="1111"/>
      <c r="K2221" s="832"/>
      <c r="L2221" s="832"/>
      <c r="M2221" s="832"/>
      <c r="N2221" s="832"/>
      <c r="O2221" s="832"/>
      <c r="P2221" s="832"/>
      <c r="Q2221" s="832"/>
      <c r="R2221" s="832"/>
    </row>
    <row r="2222" spans="2:18">
      <c r="B2222" s="832"/>
      <c r="C2222" s="833"/>
      <c r="D2222" s="833"/>
      <c r="E2222" s="833"/>
      <c r="F2222" s="1111"/>
      <c r="G2222" s="1111"/>
      <c r="H2222" s="834"/>
      <c r="I2222" s="832"/>
      <c r="J2222" s="1111"/>
      <c r="K2222" s="832"/>
      <c r="L2222" s="832"/>
      <c r="M2222" s="832"/>
      <c r="N2222" s="832"/>
      <c r="O2222" s="832"/>
      <c r="P2222" s="832"/>
      <c r="Q2222" s="832"/>
      <c r="R2222" s="832"/>
    </row>
    <row r="2223" spans="2:18">
      <c r="B2223" s="832"/>
      <c r="C2223" s="833"/>
      <c r="D2223" s="833"/>
      <c r="E2223" s="833"/>
      <c r="F2223" s="1111"/>
      <c r="G2223" s="1111"/>
      <c r="H2223" s="834"/>
      <c r="I2223" s="832"/>
      <c r="J2223" s="1111"/>
      <c r="K2223" s="832"/>
      <c r="L2223" s="832"/>
      <c r="M2223" s="832"/>
      <c r="N2223" s="832"/>
      <c r="O2223" s="832"/>
      <c r="P2223" s="832"/>
      <c r="Q2223" s="832"/>
      <c r="R2223" s="832"/>
    </row>
    <row r="2224" spans="2:18">
      <c r="B2224" s="832"/>
      <c r="C2224" s="833"/>
      <c r="D2224" s="833"/>
      <c r="E2224" s="833"/>
      <c r="F2224" s="1111"/>
      <c r="G2224" s="1111"/>
      <c r="H2224" s="834"/>
      <c r="I2224" s="832"/>
      <c r="J2224" s="1111"/>
      <c r="K2224" s="832"/>
      <c r="L2224" s="832"/>
      <c r="M2224" s="832"/>
      <c r="N2224" s="832"/>
      <c r="O2224" s="832"/>
      <c r="P2224" s="832"/>
      <c r="Q2224" s="832"/>
      <c r="R2224" s="832"/>
    </row>
    <row r="2225" spans="2:18">
      <c r="B2225" s="832"/>
      <c r="C2225" s="833"/>
      <c r="D2225" s="833"/>
      <c r="E2225" s="833"/>
      <c r="F2225" s="1111"/>
      <c r="G2225" s="1111"/>
      <c r="H2225" s="834"/>
      <c r="I2225" s="832"/>
      <c r="J2225" s="1111"/>
      <c r="K2225" s="832"/>
      <c r="L2225" s="832"/>
      <c r="M2225" s="832"/>
      <c r="N2225" s="832"/>
      <c r="O2225" s="832"/>
      <c r="P2225" s="832"/>
      <c r="Q2225" s="832"/>
      <c r="R2225" s="832"/>
    </row>
    <row r="2226" spans="2:18">
      <c r="B2226" s="832"/>
      <c r="C2226" s="833"/>
      <c r="D2226" s="833"/>
      <c r="E2226" s="833"/>
      <c r="F2226" s="1111"/>
      <c r="G2226" s="1111"/>
      <c r="H2226" s="834"/>
      <c r="I2226" s="832"/>
      <c r="J2226" s="1111"/>
      <c r="K2226" s="832"/>
      <c r="L2226" s="832"/>
      <c r="M2226" s="832"/>
      <c r="N2226" s="832"/>
      <c r="O2226" s="832"/>
      <c r="P2226" s="832"/>
      <c r="Q2226" s="832"/>
      <c r="R2226" s="832"/>
    </row>
    <row r="2227" spans="2:18">
      <c r="B2227" s="832"/>
      <c r="C2227" s="833"/>
      <c r="D2227" s="833"/>
      <c r="E2227" s="833"/>
      <c r="F2227" s="1111"/>
      <c r="G2227" s="1111"/>
      <c r="H2227" s="834"/>
      <c r="I2227" s="832"/>
      <c r="J2227" s="1111"/>
      <c r="K2227" s="832"/>
      <c r="L2227" s="832"/>
      <c r="M2227" s="832"/>
      <c r="N2227" s="832"/>
      <c r="O2227" s="832"/>
      <c r="P2227" s="832"/>
      <c r="Q2227" s="832"/>
      <c r="R2227" s="832"/>
    </row>
    <row r="2228" spans="2:18">
      <c r="B2228" s="832"/>
      <c r="C2228" s="833"/>
      <c r="D2228" s="833"/>
      <c r="E2228" s="833"/>
      <c r="F2228" s="1111"/>
      <c r="G2228" s="1111"/>
      <c r="H2228" s="834"/>
      <c r="I2228" s="832"/>
      <c r="J2228" s="1111"/>
      <c r="K2228" s="832"/>
      <c r="L2228" s="832"/>
      <c r="M2228" s="832"/>
      <c r="N2228" s="832"/>
      <c r="O2228" s="832"/>
      <c r="P2228" s="832"/>
      <c r="Q2228" s="832"/>
      <c r="R2228" s="832"/>
    </row>
    <row r="2229" spans="2:18">
      <c r="B2229" s="832"/>
      <c r="C2229" s="833"/>
      <c r="D2229" s="833"/>
      <c r="E2229" s="833"/>
      <c r="F2229" s="1111"/>
      <c r="G2229" s="1111"/>
      <c r="H2229" s="834"/>
      <c r="I2229" s="832"/>
      <c r="J2229" s="1111"/>
      <c r="K2229" s="832"/>
      <c r="L2229" s="832"/>
      <c r="M2229" s="832"/>
      <c r="N2229" s="832"/>
      <c r="O2229" s="832"/>
      <c r="P2229" s="832"/>
      <c r="Q2229" s="832"/>
      <c r="R2229" s="832"/>
    </row>
    <row r="2230" spans="2:18">
      <c r="B2230" s="832"/>
      <c r="C2230" s="833"/>
      <c r="D2230" s="833"/>
      <c r="E2230" s="833"/>
      <c r="F2230" s="1111"/>
      <c r="G2230" s="1111"/>
      <c r="H2230" s="834"/>
      <c r="I2230" s="832"/>
      <c r="J2230" s="1111"/>
      <c r="K2230" s="832"/>
      <c r="L2230" s="832"/>
      <c r="M2230" s="832"/>
      <c r="N2230" s="832"/>
      <c r="O2230" s="832"/>
      <c r="P2230" s="832"/>
      <c r="Q2230" s="832"/>
      <c r="R2230" s="832"/>
    </row>
    <row r="2231" spans="2:18">
      <c r="B2231" s="832"/>
      <c r="C2231" s="833"/>
      <c r="D2231" s="833"/>
      <c r="E2231" s="833"/>
      <c r="F2231" s="1111"/>
      <c r="G2231" s="1111"/>
      <c r="H2231" s="834"/>
      <c r="I2231" s="832"/>
      <c r="J2231" s="1111"/>
      <c r="K2231" s="832"/>
      <c r="L2231" s="832"/>
      <c r="M2231" s="832"/>
      <c r="N2231" s="832"/>
      <c r="O2231" s="832"/>
      <c r="P2231" s="832"/>
      <c r="Q2231" s="832"/>
      <c r="R2231" s="832"/>
    </row>
    <row r="2232" spans="2:18">
      <c r="B2232" s="832"/>
      <c r="C2232" s="833"/>
      <c r="D2232" s="833"/>
      <c r="E2232" s="833"/>
      <c r="F2232" s="1111"/>
      <c r="G2232" s="1111"/>
      <c r="H2232" s="834"/>
      <c r="I2232" s="832"/>
      <c r="J2232" s="1111"/>
      <c r="K2232" s="832"/>
      <c r="L2232" s="832"/>
      <c r="M2232" s="832"/>
      <c r="N2232" s="832"/>
      <c r="O2232" s="832"/>
      <c r="P2232" s="832"/>
      <c r="Q2232" s="832"/>
      <c r="R2232" s="832"/>
    </row>
    <row r="2233" spans="2:18">
      <c r="B2233" s="832"/>
      <c r="C2233" s="833"/>
      <c r="D2233" s="833"/>
      <c r="E2233" s="833"/>
      <c r="F2233" s="1111"/>
      <c r="G2233" s="1111"/>
      <c r="H2233" s="834"/>
      <c r="I2233" s="832"/>
      <c r="J2233" s="1111"/>
      <c r="K2233" s="832"/>
      <c r="L2233" s="832"/>
      <c r="M2233" s="832"/>
      <c r="N2233" s="832"/>
      <c r="O2233" s="832"/>
      <c r="P2233" s="832"/>
      <c r="Q2233" s="832"/>
      <c r="R2233" s="832"/>
    </row>
    <row r="2234" spans="2:18">
      <c r="B2234" s="832"/>
      <c r="C2234" s="833"/>
      <c r="D2234" s="833"/>
      <c r="E2234" s="833"/>
      <c r="F2234" s="1111"/>
      <c r="G2234" s="1111"/>
      <c r="H2234" s="834"/>
      <c r="I2234" s="832"/>
      <c r="J2234" s="1111"/>
      <c r="K2234" s="832"/>
      <c r="L2234" s="832"/>
      <c r="M2234" s="832"/>
      <c r="N2234" s="832"/>
      <c r="O2234" s="832"/>
      <c r="P2234" s="832"/>
      <c r="Q2234" s="832"/>
      <c r="R2234" s="832"/>
    </row>
    <row r="2235" spans="2:18">
      <c r="B2235" s="832"/>
      <c r="C2235" s="833"/>
      <c r="D2235" s="833"/>
      <c r="E2235" s="833"/>
      <c r="F2235" s="1111"/>
      <c r="G2235" s="1111"/>
      <c r="H2235" s="834"/>
      <c r="I2235" s="832"/>
      <c r="J2235" s="1111"/>
      <c r="K2235" s="832"/>
      <c r="L2235" s="832"/>
      <c r="M2235" s="832"/>
      <c r="N2235" s="832"/>
      <c r="O2235" s="832"/>
      <c r="P2235" s="832"/>
      <c r="Q2235" s="832"/>
      <c r="R2235" s="832"/>
    </row>
    <row r="2236" spans="2:18">
      <c r="B2236" s="832"/>
      <c r="C2236" s="833"/>
      <c r="D2236" s="833"/>
      <c r="E2236" s="833"/>
      <c r="F2236" s="1111"/>
      <c r="G2236" s="1111"/>
      <c r="H2236" s="834"/>
      <c r="I2236" s="832"/>
      <c r="J2236" s="1111"/>
      <c r="K2236" s="832"/>
      <c r="L2236" s="832"/>
      <c r="M2236" s="832"/>
      <c r="N2236" s="832"/>
      <c r="O2236" s="832"/>
      <c r="P2236" s="832"/>
      <c r="Q2236" s="832"/>
      <c r="R2236" s="832"/>
    </row>
    <row r="2237" spans="2:18">
      <c r="B2237" s="832"/>
      <c r="C2237" s="833"/>
      <c r="D2237" s="833"/>
      <c r="E2237" s="833"/>
      <c r="F2237" s="1111"/>
      <c r="G2237" s="1111"/>
      <c r="H2237" s="834"/>
      <c r="I2237" s="832"/>
      <c r="J2237" s="1111"/>
      <c r="K2237" s="832"/>
      <c r="L2237" s="832"/>
      <c r="M2237" s="832"/>
      <c r="N2237" s="832"/>
      <c r="O2237" s="832"/>
      <c r="P2237" s="832"/>
      <c r="Q2237" s="832"/>
      <c r="R2237" s="832"/>
    </row>
    <row r="2238" spans="2:18">
      <c r="B2238" s="832"/>
      <c r="C2238" s="833"/>
      <c r="D2238" s="833"/>
      <c r="E2238" s="833"/>
      <c r="F2238" s="1111"/>
      <c r="G2238" s="1111"/>
      <c r="H2238" s="834"/>
      <c r="I2238" s="832"/>
      <c r="J2238" s="1111"/>
      <c r="K2238" s="832"/>
      <c r="L2238" s="832"/>
      <c r="M2238" s="832"/>
      <c r="N2238" s="832"/>
      <c r="O2238" s="832"/>
      <c r="P2238" s="832"/>
      <c r="Q2238" s="832"/>
      <c r="R2238" s="832"/>
    </row>
    <row r="2239" spans="2:18">
      <c r="B2239" s="832"/>
      <c r="C2239" s="833"/>
      <c r="D2239" s="833"/>
      <c r="E2239" s="833"/>
      <c r="F2239" s="1111"/>
      <c r="G2239" s="1111"/>
      <c r="H2239" s="834"/>
      <c r="I2239" s="832"/>
      <c r="J2239" s="1111"/>
      <c r="K2239" s="832"/>
      <c r="L2239" s="832"/>
      <c r="M2239" s="832"/>
      <c r="N2239" s="832"/>
      <c r="O2239" s="832"/>
      <c r="P2239" s="832"/>
      <c r="Q2239" s="832"/>
      <c r="R2239" s="832"/>
    </row>
    <row r="2240" spans="2:18">
      <c r="B2240" s="832"/>
      <c r="C2240" s="833"/>
      <c r="D2240" s="833"/>
      <c r="E2240" s="833"/>
      <c r="F2240" s="1111"/>
      <c r="G2240" s="1111"/>
      <c r="H2240" s="834"/>
      <c r="I2240" s="832"/>
      <c r="J2240" s="1111"/>
      <c r="K2240" s="832"/>
      <c r="L2240" s="832"/>
      <c r="M2240" s="832"/>
      <c r="N2240" s="832"/>
      <c r="O2240" s="832"/>
      <c r="P2240" s="832"/>
      <c r="Q2240" s="832"/>
      <c r="R2240" s="832"/>
    </row>
    <row r="2241" spans="2:18">
      <c r="B2241" s="832"/>
      <c r="C2241" s="833"/>
      <c r="D2241" s="833"/>
      <c r="E2241" s="833"/>
      <c r="F2241" s="1111"/>
      <c r="G2241" s="1111"/>
      <c r="H2241" s="834"/>
      <c r="I2241" s="832"/>
      <c r="J2241" s="1111"/>
      <c r="K2241" s="832"/>
      <c r="L2241" s="832"/>
      <c r="M2241" s="832"/>
      <c r="N2241" s="832"/>
      <c r="O2241" s="832"/>
      <c r="P2241" s="832"/>
      <c r="Q2241" s="832"/>
      <c r="R2241" s="832"/>
    </row>
    <row r="2242" spans="2:18">
      <c r="B2242" s="832"/>
      <c r="C2242" s="833"/>
      <c r="D2242" s="833"/>
      <c r="E2242" s="833"/>
      <c r="F2242" s="1111"/>
      <c r="G2242" s="1111"/>
      <c r="H2242" s="834"/>
      <c r="I2242" s="832"/>
      <c r="J2242" s="1111"/>
      <c r="K2242" s="832"/>
      <c r="L2242" s="832"/>
      <c r="M2242" s="832"/>
      <c r="N2242" s="832"/>
      <c r="O2242" s="832"/>
      <c r="P2242" s="832"/>
      <c r="Q2242" s="832"/>
      <c r="R2242" s="832"/>
    </row>
    <row r="2243" spans="2:18">
      <c r="B2243" s="832"/>
      <c r="C2243" s="833"/>
      <c r="D2243" s="833"/>
      <c r="E2243" s="833"/>
      <c r="F2243" s="1111"/>
      <c r="G2243" s="1111"/>
      <c r="H2243" s="834"/>
      <c r="I2243" s="832"/>
      <c r="J2243" s="1111"/>
      <c r="K2243" s="832"/>
      <c r="L2243" s="832"/>
      <c r="M2243" s="832"/>
      <c r="N2243" s="832"/>
      <c r="O2243" s="832"/>
      <c r="P2243" s="832"/>
      <c r="Q2243" s="832"/>
      <c r="R2243" s="832"/>
    </row>
    <row r="2244" spans="2:18">
      <c r="B2244" s="832"/>
      <c r="C2244" s="833"/>
      <c r="D2244" s="833"/>
      <c r="E2244" s="833"/>
      <c r="F2244" s="1111"/>
      <c r="G2244" s="1111"/>
      <c r="H2244" s="834"/>
      <c r="I2244" s="832"/>
      <c r="J2244" s="1111"/>
      <c r="K2244" s="832"/>
      <c r="L2244" s="832"/>
      <c r="M2244" s="832"/>
      <c r="N2244" s="832"/>
      <c r="O2244" s="832"/>
      <c r="P2244" s="832"/>
      <c r="Q2244" s="832"/>
      <c r="R2244" s="832"/>
    </row>
    <row r="2245" spans="2:18">
      <c r="B2245" s="832"/>
      <c r="C2245" s="833"/>
      <c r="D2245" s="833"/>
      <c r="E2245" s="833"/>
      <c r="F2245" s="1111"/>
      <c r="G2245" s="1111"/>
      <c r="H2245" s="834"/>
      <c r="I2245" s="832"/>
      <c r="J2245" s="1111"/>
      <c r="K2245" s="832"/>
      <c r="L2245" s="832"/>
      <c r="M2245" s="832"/>
      <c r="N2245" s="832"/>
      <c r="O2245" s="832"/>
      <c r="P2245" s="832"/>
      <c r="Q2245" s="832"/>
      <c r="R2245" s="832"/>
    </row>
    <row r="2246" spans="2:18">
      <c r="B2246" s="832"/>
      <c r="C2246" s="833"/>
      <c r="D2246" s="833"/>
      <c r="E2246" s="833"/>
      <c r="F2246" s="1111"/>
      <c r="G2246" s="1111"/>
      <c r="H2246" s="834"/>
      <c r="I2246" s="832"/>
      <c r="J2246" s="1111"/>
      <c r="K2246" s="832"/>
      <c r="L2246" s="832"/>
      <c r="M2246" s="832"/>
      <c r="N2246" s="832"/>
      <c r="O2246" s="832"/>
      <c r="P2246" s="832"/>
      <c r="Q2246" s="832"/>
      <c r="R2246" s="832"/>
    </row>
    <row r="2247" spans="2:18">
      <c r="B2247" s="832"/>
      <c r="C2247" s="833"/>
      <c r="D2247" s="833"/>
      <c r="E2247" s="833"/>
      <c r="F2247" s="1111"/>
      <c r="G2247" s="1111"/>
      <c r="H2247" s="834"/>
      <c r="I2247" s="832"/>
      <c r="J2247" s="1111"/>
      <c r="K2247" s="832"/>
      <c r="L2247" s="832"/>
      <c r="M2247" s="832"/>
      <c r="N2247" s="832"/>
      <c r="O2247" s="832"/>
      <c r="P2247" s="832"/>
      <c r="Q2247" s="832"/>
      <c r="R2247" s="832"/>
    </row>
  </sheetData>
  <sheetProtection formatCells="0" formatColumns="0" formatRows="0"/>
  <mergeCells count="22">
    <mergeCell ref="Q37:R37"/>
    <mergeCell ref="Q26:R26"/>
    <mergeCell ref="G26:H26"/>
    <mergeCell ref="J26:K26"/>
    <mergeCell ref="N26:O26"/>
    <mergeCell ref="Q10:R10"/>
    <mergeCell ref="G10:H10"/>
    <mergeCell ref="J10:K10"/>
    <mergeCell ref="F9:K9"/>
    <mergeCell ref="N19:O19"/>
    <mergeCell ref="Q19:R19"/>
    <mergeCell ref="G19:H19"/>
    <mergeCell ref="J19:K19"/>
    <mergeCell ref="G5:H5"/>
    <mergeCell ref="N37:O37"/>
    <mergeCell ref="M25:O25"/>
    <mergeCell ref="M9:O9"/>
    <mergeCell ref="N10:O10"/>
    <mergeCell ref="F18:K18"/>
    <mergeCell ref="M18:O18"/>
    <mergeCell ref="G37:H37"/>
    <mergeCell ref="J37:K37"/>
  </mergeCells>
  <phoneticPr fontId="11" type="noConversion"/>
  <dataValidations count="3">
    <dataValidation type="list" allowBlank="1" showInputMessage="1" showErrorMessage="1" sqref="H47:H50 K12:K14 H21 K28:K32 H12:H14 H28:H32 K21 H42:H43 K42:K43 K47:K49">
      <formula1>Rate</formula1>
    </dataValidation>
    <dataValidation type="list" allowBlank="1" showInputMessage="1" showErrorMessage="1" sqref="E21 E12:E14 E28:E32 E39:E50">
      <formula1>YES_NO</formula1>
    </dataValidation>
    <dataValidation type="decimal" operator="greaterThanOrEqual" allowBlank="1" showInputMessage="1" showErrorMessage="1" sqref="F47:G49 J29:J32 J42:J43 J21 J47:J49">
      <formula1>0</formula1>
    </dataValidation>
  </dataValidations>
  <hyperlinks>
    <hyperlink ref="G5" location="Description!A1" display="Back to Description"/>
  </hyperlinks>
  <pageMargins left="0.78740157499999996" right="0.46" top="0.984251969" bottom="0.984251969" header="0.4921259845" footer="0.4921259845"/>
  <pageSetup paperSize="9" scale="77" orientation="landscape" horizontalDpi="1200" verticalDpi="1200" r:id="rId1"/>
  <headerFooter alignWithMargins="0">
    <oddHeader>Page &amp;P&amp;R&amp;A</oddHeader>
    <oddFooter>&amp;F</oddFooter>
  </headerFooter>
  <ignoredErrors>
    <ignoredError sqref="H39:H41 K39:K41 H44:H46 K44:K4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39997558519241921"/>
    <pageSetUpPr fitToPage="1"/>
  </sheetPr>
  <dimension ref="A1:M647"/>
  <sheetViews>
    <sheetView tabSelected="1" zoomScale="90" zoomScaleNormal="90" workbookViewId="0">
      <pane ySplit="5" topLeftCell="A6" activePane="bottomLeft" state="frozen"/>
      <selection activeCell="O43" sqref="O43"/>
      <selection pane="bottomLeft" activeCell="I22" sqref="I22"/>
    </sheetView>
  </sheetViews>
  <sheetFormatPr defaultColWidth="11.42578125" defaultRowHeight="12.75"/>
  <cols>
    <col min="1" max="1" width="4.140625" style="232" customWidth="1"/>
    <col min="2" max="2" width="27.7109375" style="232" customWidth="1"/>
    <col min="3" max="3" width="13.42578125" style="232" customWidth="1"/>
    <col min="4" max="4" width="14" style="232" customWidth="1"/>
    <col min="5" max="5" width="13.85546875" style="232" customWidth="1"/>
    <col min="6" max="6" width="2.42578125" style="232" customWidth="1"/>
    <col min="7" max="7" width="15" style="232" customWidth="1"/>
    <col min="8" max="8" width="10.7109375" style="232" customWidth="1"/>
    <col min="9" max="9" width="12.42578125" style="232" customWidth="1"/>
    <col min="10" max="10" width="1.42578125" style="232" customWidth="1"/>
    <col min="11" max="11" width="15.140625" style="244" customWidth="1"/>
    <col min="12" max="12" width="11.7109375" style="232" customWidth="1"/>
    <col min="13" max="13" width="11.42578125" style="232"/>
    <col min="14" max="15" width="8.140625" style="232" customWidth="1"/>
    <col min="16" max="16384" width="11.42578125" style="232"/>
  </cols>
  <sheetData>
    <row r="1" spans="1:13" s="2233" customFormat="1" ht="22.9" customHeight="1">
      <c r="K1" s="2234"/>
    </row>
    <row r="2" spans="1:13" s="2233" customFormat="1" ht="22.9" customHeight="1">
      <c r="K2" s="2234"/>
    </row>
    <row r="3" spans="1:13" s="2233" customFormat="1" ht="22.9" customHeight="1">
      <c r="K3" s="2234"/>
    </row>
    <row r="4" spans="1:13" s="2233" customFormat="1" ht="22.9" customHeight="1">
      <c r="K4" s="2234"/>
    </row>
    <row r="5" spans="1:13" s="2235" customFormat="1" ht="22.9" customHeight="1">
      <c r="A5" s="2706" t="str">
        <f>HLOOKUP(select,translations!$B$436:$H$450,2,)</f>
        <v xml:space="preserve"> </v>
      </c>
      <c r="K5" s="2236"/>
    </row>
    <row r="6" spans="1:13" s="1706" customFormat="1" ht="17.45" customHeight="1">
      <c r="K6" s="1713"/>
    </row>
    <row r="7" spans="1:13" s="1715" customFormat="1">
      <c r="B7" s="1716" t="str">
        <f>HLOOKUP(select,translations!$B$7:$H$19,2,)</f>
        <v>Project Name</v>
      </c>
      <c r="C7" s="3668"/>
      <c r="D7" s="3668"/>
      <c r="E7" s="3668"/>
      <c r="F7" s="1705"/>
      <c r="M7" s="1705"/>
    </row>
    <row r="8" spans="1:13" s="1715" customFormat="1">
      <c r="B8" s="1706"/>
      <c r="C8" s="1707"/>
      <c r="D8" s="1705"/>
      <c r="E8" s="1705"/>
      <c r="F8" s="1705"/>
      <c r="I8" s="1706" t="str">
        <f>HLOOKUP(select,translations!$B$7:$H$19,13,)</f>
        <v xml:space="preserve"> </v>
      </c>
      <c r="M8" s="1705"/>
    </row>
    <row r="9" spans="1:13" s="1715" customFormat="1" ht="18.75" customHeight="1">
      <c r="B9" s="1716" t="str">
        <f>HLOOKUP(select,translations!$B$7:$H$19,3,)</f>
        <v>Continent</v>
      </c>
      <c r="C9" s="3669" t="s">
        <v>4</v>
      </c>
      <c r="D9" s="3669"/>
      <c r="E9" s="3669"/>
      <c r="F9" s="1705"/>
      <c r="I9" s="1715" t="str">
        <f>IF(Nlang=1,"",VLOOKUP(region,'Name translation'!A1:H13,Nlang+1,))</f>
        <v/>
      </c>
      <c r="J9" s="1708"/>
      <c r="K9" s="1717"/>
      <c r="M9" s="1705"/>
    </row>
    <row r="10" spans="1:13" s="1715" customFormat="1">
      <c r="B10" s="1705"/>
      <c r="C10" s="3621"/>
      <c r="D10" s="3622"/>
      <c r="E10" s="3622"/>
      <c r="J10" s="1710"/>
      <c r="K10" s="1717"/>
    </row>
    <row r="11" spans="1:13" s="1715" customFormat="1" ht="21" customHeight="1">
      <c r="B11" s="1716" t="str">
        <f>HLOOKUP(select,translations!$B$7:$H$19,4,)</f>
        <v>Climate</v>
      </c>
      <c r="C11" s="3669" t="s">
        <v>4</v>
      </c>
      <c r="D11" s="3670"/>
      <c r="E11" s="3670"/>
      <c r="I11" s="1715" t="str">
        <f>IF(Nlang=1,"",VLOOKUP(climate,'Name translation'!A14:H22,Nlang+1,))</f>
        <v/>
      </c>
      <c r="J11" s="1708"/>
      <c r="K11" s="1717"/>
    </row>
    <row r="12" spans="1:13" s="1715" customFormat="1" ht="21" customHeight="1">
      <c r="B12" s="1720" t="str">
        <f>HLOOKUP(select,translations!$B$7:$H$19,5,)</f>
        <v>Moisture regime</v>
      </c>
      <c r="C12" s="3667" t="s">
        <v>4</v>
      </c>
      <c r="D12" s="3667"/>
      <c r="E12" s="3667"/>
      <c r="G12" s="2711" t="str">
        <f>HLOOKUP(select,translations!$B$7:$H$19,11,)</f>
        <v>Climate ?</v>
      </c>
      <c r="I12" s="1715" t="str">
        <f>IF(Nlang=1,"",VLOOKUP(moist_type,'Name translation'!A14:H28,Nlang+1,))</f>
        <v/>
      </c>
      <c r="J12" s="1708"/>
      <c r="K12" s="1717"/>
    </row>
    <row r="13" spans="1:13" s="1715" customFormat="1">
      <c r="B13" s="1705"/>
      <c r="C13" s="3622"/>
      <c r="D13" s="3622"/>
      <c r="E13" s="3623"/>
      <c r="K13" s="1717"/>
    </row>
    <row r="14" spans="1:13" s="1715" customFormat="1">
      <c r="B14" s="1705"/>
      <c r="C14" s="3621"/>
      <c r="D14" s="3622"/>
      <c r="E14" s="3622"/>
      <c r="K14" s="1717"/>
    </row>
    <row r="15" spans="1:13" s="1715" customFormat="1" ht="18.75" customHeight="1">
      <c r="B15" s="1716" t="str">
        <f>HLOOKUP(select,translations!$B$7:$H$19,6,)</f>
        <v>Dominant Regional Soil Type</v>
      </c>
      <c r="C15" s="3667" t="s">
        <v>4</v>
      </c>
      <c r="D15" s="3667"/>
      <c r="E15" s="3667"/>
      <c r="G15" s="2753" t="str">
        <f>HLOOKUP(select,translations!$B$7:$H$19,12,)</f>
        <v>Soil ?</v>
      </c>
      <c r="I15" s="1715" t="str">
        <f>IF(Nlang=1,"",VLOOKUP(soil,'Name translation'!A2:H270,Nlang+1,))</f>
        <v/>
      </c>
      <c r="J15" s="1708"/>
      <c r="K15" s="1717"/>
    </row>
    <row r="16" spans="1:13" s="1715" customFormat="1">
      <c r="B16" s="1705"/>
      <c r="C16" s="1705"/>
      <c r="D16" s="1705"/>
      <c r="E16" s="1775"/>
      <c r="K16" s="1717"/>
    </row>
    <row r="17" spans="2:11" s="1715" customFormat="1">
      <c r="E17" s="1705"/>
      <c r="K17" s="1717"/>
    </row>
    <row r="18" spans="2:11" s="1715" customFormat="1">
      <c r="B18" s="1716" t="str">
        <f>HLOOKUP(select,translations!$B$7:$H$19,7,)</f>
        <v>Duration of the Project (Years)</v>
      </c>
      <c r="C18" s="1800" t="str">
        <f>HLOOKUP(select,translations!$B$7:$H$19,8,)</f>
        <v>Implementation phase</v>
      </c>
      <c r="D18" s="1724"/>
      <c r="E18" s="1721"/>
      <c r="K18" s="1717"/>
    </row>
    <row r="19" spans="2:11" s="1715" customFormat="1">
      <c r="B19" s="1722"/>
      <c r="C19" s="1723" t="str">
        <f>HLOOKUP(select,translations!$B$7:$H$19,9,)</f>
        <v>Capitalisation phase</v>
      </c>
      <c r="D19" s="1724"/>
      <c r="E19" s="1721"/>
      <c r="K19" s="1717"/>
    </row>
    <row r="20" spans="2:11" s="1715" customFormat="1">
      <c r="B20" s="1722"/>
      <c r="C20" s="3666" t="str">
        <f>HLOOKUP(select,translations!$B$7:$H$19,10,)</f>
        <v>Duration of accounting</v>
      </c>
      <c r="D20" s="3666"/>
      <c r="E20" s="1725">
        <f>time2+time</f>
        <v>0</v>
      </c>
      <c r="K20" s="1717"/>
    </row>
    <row r="21" spans="2:11" s="1715" customFormat="1">
      <c r="K21" s="1717"/>
    </row>
    <row r="22" spans="2:11" s="1715" customFormat="1">
      <c r="B22" s="1706"/>
    </row>
    <row r="23" spans="2:11" s="1715" customFormat="1">
      <c r="B23" s="1797"/>
    </row>
    <row r="24" spans="2:11" s="1715" customFormat="1">
      <c r="B24" s="1797"/>
    </row>
    <row r="25" spans="2:11" s="1715" customFormat="1">
      <c r="B25" s="1797"/>
    </row>
    <row r="26" spans="2:11" s="1715" customFormat="1">
      <c r="B26" s="1718"/>
    </row>
    <row r="27" spans="2:11" s="1715" customFormat="1"/>
    <row r="28" spans="2:11" s="1715" customFormat="1">
      <c r="B28" s="1798"/>
    </row>
    <row r="29" spans="2:11" s="1715" customFormat="1">
      <c r="B29" s="1798"/>
    </row>
    <row r="30" spans="2:11" s="1715" customFormat="1">
      <c r="B30" s="1798"/>
    </row>
    <row r="31" spans="2:11" s="1715" customFormat="1">
      <c r="B31" s="1797"/>
    </row>
    <row r="32" spans="2:11" s="1715" customFormat="1">
      <c r="B32" s="1718"/>
    </row>
    <row r="33" spans="2:11" s="1715" customFormat="1">
      <c r="B33" s="1719"/>
    </row>
    <row r="34" spans="2:11" s="1715" customFormat="1">
      <c r="B34" s="1799"/>
    </row>
    <row r="35" spans="2:11" s="1715" customFormat="1">
      <c r="B35" s="1799"/>
    </row>
    <row r="36" spans="2:11" s="1715" customFormat="1">
      <c r="B36" s="1799"/>
    </row>
    <row r="37" spans="2:11" s="1704" customFormat="1"/>
    <row r="38" spans="2:11" s="1704" customFormat="1"/>
    <row r="39" spans="2:11" s="1704" customFormat="1"/>
    <row r="40" spans="2:11" s="1704" customFormat="1">
      <c r="B40" s="1711"/>
    </row>
    <row r="41" spans="2:11" s="1704" customFormat="1">
      <c r="B41" s="1712"/>
    </row>
    <row r="42" spans="2:11" s="1704" customFormat="1"/>
    <row r="43" spans="2:11" s="1704" customFormat="1"/>
    <row r="44" spans="2:11" s="1704" customFormat="1">
      <c r="K44" s="1709"/>
    </row>
    <row r="45" spans="2:11" s="1704" customFormat="1">
      <c r="K45" s="1709"/>
    </row>
    <row r="46" spans="2:11" s="1704" customFormat="1">
      <c r="K46" s="1709"/>
    </row>
    <row r="47" spans="2:11" s="1704" customFormat="1">
      <c r="K47" s="1709"/>
    </row>
    <row r="48" spans="2:11" s="1704" customFormat="1">
      <c r="K48" s="1709"/>
    </row>
    <row r="49" spans="11:11" s="1704" customFormat="1">
      <c r="K49" s="1709"/>
    </row>
    <row r="50" spans="11:11" s="1704" customFormat="1">
      <c r="K50" s="1709"/>
    </row>
    <row r="51" spans="11:11" s="1704" customFormat="1">
      <c r="K51" s="1709"/>
    </row>
    <row r="52" spans="11:11" s="1704" customFormat="1">
      <c r="K52" s="1709"/>
    </row>
    <row r="53" spans="11:11" s="1704" customFormat="1">
      <c r="K53" s="1709"/>
    </row>
    <row r="54" spans="11:11" s="1704" customFormat="1">
      <c r="K54" s="1709"/>
    </row>
    <row r="55" spans="11:11" s="1704" customFormat="1">
      <c r="K55" s="1709"/>
    </row>
    <row r="56" spans="11:11" s="1704" customFormat="1">
      <c r="K56" s="1709"/>
    </row>
    <row r="57" spans="11:11" s="1704" customFormat="1">
      <c r="K57" s="1709"/>
    </row>
    <row r="58" spans="11:11" s="1704" customFormat="1">
      <c r="K58" s="1709"/>
    </row>
    <row r="59" spans="11:11" s="1704" customFormat="1">
      <c r="K59" s="1709"/>
    </row>
    <row r="60" spans="11:11" s="1704" customFormat="1">
      <c r="K60" s="1709"/>
    </row>
    <row r="61" spans="11:11" s="1704" customFormat="1">
      <c r="K61" s="1709"/>
    </row>
    <row r="62" spans="11:11" s="1704" customFormat="1">
      <c r="K62" s="1709"/>
    </row>
    <row r="63" spans="11:11" s="1704" customFormat="1">
      <c r="K63" s="1709"/>
    </row>
    <row r="64" spans="11:11" s="1704" customFormat="1">
      <c r="K64" s="1709"/>
    </row>
    <row r="65" spans="11:11" s="1704" customFormat="1">
      <c r="K65" s="1709"/>
    </row>
    <row r="66" spans="11:11" s="1704" customFormat="1">
      <c r="K66" s="1709"/>
    </row>
    <row r="67" spans="11:11" s="1704" customFormat="1">
      <c r="K67" s="1709"/>
    </row>
    <row r="68" spans="11:11" s="1704" customFormat="1">
      <c r="K68" s="1709"/>
    </row>
    <row r="69" spans="11:11" s="1704" customFormat="1">
      <c r="K69" s="1709"/>
    </row>
    <row r="70" spans="11:11" s="1704" customFormat="1">
      <c r="K70" s="1709"/>
    </row>
    <row r="71" spans="11:11" s="1704" customFormat="1">
      <c r="K71" s="1709"/>
    </row>
    <row r="72" spans="11:11" s="1704" customFormat="1">
      <c r="K72" s="1709"/>
    </row>
    <row r="73" spans="11:11" s="1704" customFormat="1">
      <c r="K73" s="1709"/>
    </row>
    <row r="74" spans="11:11" s="1704" customFormat="1">
      <c r="K74" s="1709"/>
    </row>
    <row r="75" spans="11:11" s="1704" customFormat="1">
      <c r="K75" s="1709"/>
    </row>
    <row r="76" spans="11:11" s="1704" customFormat="1">
      <c r="K76" s="1709"/>
    </row>
    <row r="77" spans="11:11" s="1704" customFormat="1">
      <c r="K77" s="1709"/>
    </row>
    <row r="78" spans="11:11" s="1704" customFormat="1">
      <c r="K78" s="1709"/>
    </row>
    <row r="79" spans="11:11" s="1704" customFormat="1">
      <c r="K79" s="1709"/>
    </row>
    <row r="80" spans="11:11" s="1704" customFormat="1">
      <c r="K80" s="1709"/>
    </row>
    <row r="81" spans="11:11" s="1704" customFormat="1">
      <c r="K81" s="1709"/>
    </row>
    <row r="82" spans="11:11" s="1704" customFormat="1">
      <c r="K82" s="1709"/>
    </row>
    <row r="83" spans="11:11" s="1704" customFormat="1">
      <c r="K83" s="1709"/>
    </row>
    <row r="84" spans="11:11" s="1704" customFormat="1">
      <c r="K84" s="1709"/>
    </row>
    <row r="85" spans="11:11" s="1704" customFormat="1">
      <c r="K85" s="1709"/>
    </row>
    <row r="86" spans="11:11" s="1704" customFormat="1">
      <c r="K86" s="1709"/>
    </row>
    <row r="87" spans="11:11" s="1704" customFormat="1">
      <c r="K87" s="1709"/>
    </row>
    <row r="88" spans="11:11" s="1704" customFormat="1">
      <c r="K88" s="1709"/>
    </row>
    <row r="89" spans="11:11" s="1704" customFormat="1">
      <c r="K89" s="1709"/>
    </row>
    <row r="90" spans="11:11" s="1704" customFormat="1">
      <c r="K90" s="1709"/>
    </row>
    <row r="91" spans="11:11" s="1704" customFormat="1">
      <c r="K91" s="1709"/>
    </row>
    <row r="92" spans="11:11" s="1704" customFormat="1">
      <c r="K92" s="1709"/>
    </row>
    <row r="93" spans="11:11" s="1704" customFormat="1">
      <c r="K93" s="1709"/>
    </row>
    <row r="94" spans="11:11" s="1704" customFormat="1">
      <c r="K94" s="1709"/>
    </row>
    <row r="95" spans="11:11" s="1704" customFormat="1">
      <c r="K95" s="1709"/>
    </row>
    <row r="96" spans="11:11" s="1704" customFormat="1">
      <c r="K96" s="1709"/>
    </row>
    <row r="97" spans="11:11" s="1704" customFormat="1">
      <c r="K97" s="1709"/>
    </row>
    <row r="98" spans="11:11" s="1704" customFormat="1">
      <c r="K98" s="1709"/>
    </row>
    <row r="99" spans="11:11" s="1704" customFormat="1">
      <c r="K99" s="1709"/>
    </row>
    <row r="100" spans="11:11" s="1704" customFormat="1">
      <c r="K100" s="1709"/>
    </row>
    <row r="101" spans="11:11" s="1704" customFormat="1">
      <c r="K101" s="1709"/>
    </row>
    <row r="102" spans="11:11" s="1704" customFormat="1">
      <c r="K102" s="1709"/>
    </row>
    <row r="103" spans="11:11" s="1704" customFormat="1">
      <c r="K103" s="1709"/>
    </row>
    <row r="104" spans="11:11" s="1704" customFormat="1">
      <c r="K104" s="1709"/>
    </row>
    <row r="105" spans="11:11" s="1704" customFormat="1">
      <c r="K105" s="1709"/>
    </row>
    <row r="106" spans="11:11" s="1704" customFormat="1">
      <c r="K106" s="1709"/>
    </row>
    <row r="107" spans="11:11" s="1704" customFormat="1">
      <c r="K107" s="1709"/>
    </row>
    <row r="108" spans="11:11" s="1704" customFormat="1">
      <c r="K108" s="1709"/>
    </row>
    <row r="109" spans="11:11" s="1704" customFormat="1">
      <c r="K109" s="1709"/>
    </row>
    <row r="110" spans="11:11" s="1704" customFormat="1">
      <c r="K110" s="1709"/>
    </row>
    <row r="111" spans="11:11" s="1704" customFormat="1">
      <c r="K111" s="1709"/>
    </row>
    <row r="112" spans="11:11" s="1704" customFormat="1">
      <c r="K112" s="1709"/>
    </row>
    <row r="113" spans="11:11" s="1704" customFormat="1">
      <c r="K113" s="1709"/>
    </row>
    <row r="114" spans="11:11" s="1704" customFormat="1">
      <c r="K114" s="1709"/>
    </row>
    <row r="115" spans="11:11" s="1704" customFormat="1">
      <c r="K115" s="1709"/>
    </row>
    <row r="116" spans="11:11" s="1704" customFormat="1">
      <c r="K116" s="1709"/>
    </row>
    <row r="117" spans="11:11" s="1704" customFormat="1">
      <c r="K117" s="1709"/>
    </row>
    <row r="118" spans="11:11" s="1704" customFormat="1">
      <c r="K118" s="1709"/>
    </row>
    <row r="119" spans="11:11" s="1704" customFormat="1">
      <c r="K119" s="1709"/>
    </row>
    <row r="120" spans="11:11" s="1704" customFormat="1">
      <c r="K120" s="1709"/>
    </row>
    <row r="121" spans="11:11" s="1704" customFormat="1">
      <c r="K121" s="1709"/>
    </row>
    <row r="122" spans="11:11" s="1704" customFormat="1">
      <c r="K122" s="1709"/>
    </row>
    <row r="123" spans="11:11" s="1704" customFormat="1">
      <c r="K123" s="1709"/>
    </row>
    <row r="124" spans="11:11" s="1704" customFormat="1">
      <c r="K124" s="1709"/>
    </row>
    <row r="125" spans="11:11" s="1704" customFormat="1">
      <c r="K125" s="1709"/>
    </row>
    <row r="126" spans="11:11" s="1704" customFormat="1">
      <c r="K126" s="1709"/>
    </row>
    <row r="127" spans="11:11" s="1704" customFormat="1">
      <c r="K127" s="1709"/>
    </row>
    <row r="128" spans="11:11" s="1704" customFormat="1">
      <c r="K128" s="1709"/>
    </row>
    <row r="129" spans="11:11" s="1704" customFormat="1">
      <c r="K129" s="1709"/>
    </row>
    <row r="130" spans="11:11" s="1704" customFormat="1">
      <c r="K130" s="1709"/>
    </row>
    <row r="131" spans="11:11" s="1704" customFormat="1">
      <c r="K131" s="1709"/>
    </row>
    <row r="132" spans="11:11" s="1704" customFormat="1">
      <c r="K132" s="1709"/>
    </row>
    <row r="133" spans="11:11" s="1704" customFormat="1">
      <c r="K133" s="1709"/>
    </row>
    <row r="134" spans="11:11" s="1704" customFormat="1">
      <c r="K134" s="1709"/>
    </row>
    <row r="135" spans="11:11" s="1704" customFormat="1">
      <c r="K135" s="1709"/>
    </row>
    <row r="136" spans="11:11" s="1704" customFormat="1">
      <c r="K136" s="1709"/>
    </row>
    <row r="137" spans="11:11" s="1704" customFormat="1">
      <c r="K137" s="1709"/>
    </row>
    <row r="138" spans="11:11" s="1704" customFormat="1">
      <c r="K138" s="1709"/>
    </row>
    <row r="139" spans="11:11" s="1704" customFormat="1">
      <c r="K139" s="1709"/>
    </row>
    <row r="140" spans="11:11" s="1704" customFormat="1">
      <c r="K140" s="1709"/>
    </row>
    <row r="141" spans="11:11" s="1704" customFormat="1">
      <c r="K141" s="1709"/>
    </row>
    <row r="142" spans="11:11" s="1704" customFormat="1">
      <c r="K142" s="1709"/>
    </row>
    <row r="143" spans="11:11" s="1704" customFormat="1">
      <c r="K143" s="1709"/>
    </row>
    <row r="144" spans="11:11" s="1704" customFormat="1">
      <c r="K144" s="1709"/>
    </row>
    <row r="145" spans="11:11" s="1704" customFormat="1">
      <c r="K145" s="1709"/>
    </row>
    <row r="146" spans="11:11" s="1704" customFormat="1">
      <c r="K146" s="1709"/>
    </row>
    <row r="147" spans="11:11" s="1704" customFormat="1">
      <c r="K147" s="1709"/>
    </row>
    <row r="148" spans="11:11" s="1704" customFormat="1">
      <c r="K148" s="1709"/>
    </row>
    <row r="149" spans="11:11" s="1704" customFormat="1">
      <c r="K149" s="1709"/>
    </row>
    <row r="150" spans="11:11" s="1704" customFormat="1">
      <c r="K150" s="1709"/>
    </row>
    <row r="151" spans="11:11" s="1704" customFormat="1">
      <c r="K151" s="1709"/>
    </row>
    <row r="152" spans="11:11" s="1704" customFormat="1">
      <c r="K152" s="1709"/>
    </row>
    <row r="153" spans="11:11" s="1704" customFormat="1">
      <c r="K153" s="1709"/>
    </row>
    <row r="154" spans="11:11" s="1704" customFormat="1">
      <c r="K154" s="1709"/>
    </row>
    <row r="155" spans="11:11" s="1704" customFormat="1">
      <c r="K155" s="1709"/>
    </row>
    <row r="156" spans="11:11" s="1704" customFormat="1">
      <c r="K156" s="1709"/>
    </row>
    <row r="157" spans="11:11" s="1704" customFormat="1">
      <c r="K157" s="1709"/>
    </row>
    <row r="158" spans="11:11" s="1704" customFormat="1">
      <c r="K158" s="1709"/>
    </row>
    <row r="159" spans="11:11" s="1704" customFormat="1">
      <c r="K159" s="1709"/>
    </row>
    <row r="160" spans="11:11" s="1704" customFormat="1">
      <c r="K160" s="1709"/>
    </row>
    <row r="161" spans="11:11" s="1704" customFormat="1">
      <c r="K161" s="1709"/>
    </row>
    <row r="162" spans="11:11" s="1704" customFormat="1">
      <c r="K162" s="1709"/>
    </row>
    <row r="163" spans="11:11" s="1704" customFormat="1">
      <c r="K163" s="1709"/>
    </row>
    <row r="164" spans="11:11" s="1704" customFormat="1">
      <c r="K164" s="1709"/>
    </row>
    <row r="165" spans="11:11" s="1704" customFormat="1">
      <c r="K165" s="1709"/>
    </row>
    <row r="166" spans="11:11" s="1704" customFormat="1">
      <c r="K166" s="1709"/>
    </row>
    <row r="167" spans="11:11" s="1704" customFormat="1">
      <c r="K167" s="1709"/>
    </row>
    <row r="168" spans="11:11" s="1704" customFormat="1">
      <c r="K168" s="1709"/>
    </row>
    <row r="169" spans="11:11" s="1704" customFormat="1">
      <c r="K169" s="1709"/>
    </row>
    <row r="170" spans="11:11" s="1704" customFormat="1">
      <c r="K170" s="1709"/>
    </row>
    <row r="171" spans="11:11" s="1704" customFormat="1">
      <c r="K171" s="1709"/>
    </row>
    <row r="172" spans="11:11" s="1704" customFormat="1">
      <c r="K172" s="1709"/>
    </row>
    <row r="173" spans="11:11" s="1704" customFormat="1">
      <c r="K173" s="1709"/>
    </row>
    <row r="174" spans="11:11" s="1704" customFormat="1">
      <c r="K174" s="1709"/>
    </row>
    <row r="175" spans="11:11" s="1704" customFormat="1">
      <c r="K175" s="1709"/>
    </row>
    <row r="176" spans="11:11" s="1704" customFormat="1">
      <c r="K176" s="1709"/>
    </row>
    <row r="177" spans="11:11" s="1704" customFormat="1">
      <c r="K177" s="1709"/>
    </row>
    <row r="178" spans="11:11" s="1704" customFormat="1">
      <c r="K178" s="1709"/>
    </row>
    <row r="179" spans="11:11" s="1704" customFormat="1">
      <c r="K179" s="1709"/>
    </row>
    <row r="180" spans="11:11" s="1704" customFormat="1">
      <c r="K180" s="1709"/>
    </row>
    <row r="181" spans="11:11" s="1704" customFormat="1">
      <c r="K181" s="1709"/>
    </row>
    <row r="182" spans="11:11" s="1704" customFormat="1">
      <c r="K182" s="1709"/>
    </row>
    <row r="183" spans="11:11" s="1704" customFormat="1">
      <c r="K183" s="1709"/>
    </row>
    <row r="184" spans="11:11" s="1704" customFormat="1">
      <c r="K184" s="1709"/>
    </row>
    <row r="185" spans="11:11" s="1704" customFormat="1">
      <c r="K185" s="1709"/>
    </row>
    <row r="186" spans="11:11" s="1704" customFormat="1">
      <c r="K186" s="1709"/>
    </row>
    <row r="187" spans="11:11" s="1704" customFormat="1">
      <c r="K187" s="1709"/>
    </row>
    <row r="188" spans="11:11" s="1704" customFormat="1">
      <c r="K188" s="1709"/>
    </row>
    <row r="189" spans="11:11" s="1704" customFormat="1">
      <c r="K189" s="1709"/>
    </row>
    <row r="190" spans="11:11" s="1704" customFormat="1">
      <c r="K190" s="1709"/>
    </row>
    <row r="191" spans="11:11" s="1704" customFormat="1">
      <c r="K191" s="1709"/>
    </row>
    <row r="192" spans="11:11" s="1704" customFormat="1">
      <c r="K192" s="1709"/>
    </row>
    <row r="193" spans="11:11" s="1704" customFormat="1">
      <c r="K193" s="1709"/>
    </row>
    <row r="194" spans="11:11" s="1704" customFormat="1">
      <c r="K194" s="1709"/>
    </row>
    <row r="195" spans="11:11" s="1704" customFormat="1">
      <c r="K195" s="1709"/>
    </row>
    <row r="196" spans="11:11" s="1704" customFormat="1">
      <c r="K196" s="1709"/>
    </row>
    <row r="197" spans="11:11" s="1704" customFormat="1">
      <c r="K197" s="1709"/>
    </row>
    <row r="198" spans="11:11" s="1704" customFormat="1">
      <c r="K198" s="1709"/>
    </row>
    <row r="199" spans="11:11" s="1704" customFormat="1">
      <c r="K199" s="1709"/>
    </row>
    <row r="200" spans="11:11" s="1704" customFormat="1">
      <c r="K200" s="1709"/>
    </row>
    <row r="201" spans="11:11" s="1704" customFormat="1">
      <c r="K201" s="1709"/>
    </row>
    <row r="202" spans="11:11" s="1704" customFormat="1">
      <c r="K202" s="1709"/>
    </row>
    <row r="203" spans="11:11" s="1704" customFormat="1">
      <c r="K203" s="1709"/>
    </row>
    <row r="204" spans="11:11" s="1704" customFormat="1">
      <c r="K204" s="1709"/>
    </row>
    <row r="205" spans="11:11" s="1704" customFormat="1">
      <c r="K205" s="1709"/>
    </row>
    <row r="206" spans="11:11" s="1704" customFormat="1">
      <c r="K206" s="1709"/>
    </row>
    <row r="207" spans="11:11" s="1704" customFormat="1">
      <c r="K207" s="1709"/>
    </row>
    <row r="208" spans="11:11" s="1704" customFormat="1">
      <c r="K208" s="1709"/>
    </row>
    <row r="209" spans="11:11" s="1704" customFormat="1">
      <c r="K209" s="1709"/>
    </row>
    <row r="210" spans="11:11" s="1704" customFormat="1">
      <c r="K210" s="1709"/>
    </row>
    <row r="211" spans="11:11" s="1704" customFormat="1">
      <c r="K211" s="1709"/>
    </row>
    <row r="212" spans="11:11" s="1704" customFormat="1">
      <c r="K212" s="1709"/>
    </row>
    <row r="213" spans="11:11" s="1704" customFormat="1">
      <c r="K213" s="1709"/>
    </row>
    <row r="214" spans="11:11" s="1704" customFormat="1">
      <c r="K214" s="1709"/>
    </row>
    <row r="215" spans="11:11" s="1704" customFormat="1">
      <c r="K215" s="1709"/>
    </row>
    <row r="216" spans="11:11" s="1704" customFormat="1">
      <c r="K216" s="1709"/>
    </row>
    <row r="217" spans="11:11" s="1704" customFormat="1">
      <c r="K217" s="1709"/>
    </row>
    <row r="218" spans="11:11" s="1704" customFormat="1">
      <c r="K218" s="1709"/>
    </row>
    <row r="219" spans="11:11" s="1704" customFormat="1">
      <c r="K219" s="1709"/>
    </row>
    <row r="220" spans="11:11" s="1704" customFormat="1">
      <c r="K220" s="1709"/>
    </row>
    <row r="221" spans="11:11" s="1704" customFormat="1">
      <c r="K221" s="1709"/>
    </row>
    <row r="222" spans="11:11" s="1704" customFormat="1">
      <c r="K222" s="1709"/>
    </row>
    <row r="223" spans="11:11" s="1704" customFormat="1">
      <c r="K223" s="1709"/>
    </row>
    <row r="224" spans="11:11" s="1704" customFormat="1">
      <c r="K224" s="1709"/>
    </row>
    <row r="225" spans="11:11" s="1704" customFormat="1">
      <c r="K225" s="1709"/>
    </row>
    <row r="226" spans="11:11" s="1704" customFormat="1">
      <c r="K226" s="1709"/>
    </row>
    <row r="227" spans="11:11" s="1704" customFormat="1">
      <c r="K227" s="1709"/>
    </row>
    <row r="228" spans="11:11" s="1704" customFormat="1">
      <c r="K228" s="1709"/>
    </row>
    <row r="229" spans="11:11" s="1704" customFormat="1">
      <c r="K229" s="1709"/>
    </row>
    <row r="230" spans="11:11" s="1704" customFormat="1">
      <c r="K230" s="1709"/>
    </row>
    <row r="231" spans="11:11" s="1704" customFormat="1">
      <c r="K231" s="1709"/>
    </row>
    <row r="232" spans="11:11" s="1704" customFormat="1">
      <c r="K232" s="1709"/>
    </row>
    <row r="233" spans="11:11" s="1704" customFormat="1">
      <c r="K233" s="1709"/>
    </row>
    <row r="234" spans="11:11" s="1704" customFormat="1">
      <c r="K234" s="1709"/>
    </row>
    <row r="235" spans="11:11" s="1704" customFormat="1">
      <c r="K235" s="1709"/>
    </row>
    <row r="236" spans="11:11" s="1704" customFormat="1">
      <c r="K236" s="1709"/>
    </row>
    <row r="237" spans="11:11" s="1704" customFormat="1">
      <c r="K237" s="1709"/>
    </row>
    <row r="238" spans="11:11" s="1704" customFormat="1">
      <c r="K238" s="1709"/>
    </row>
    <row r="239" spans="11:11" s="1704" customFormat="1">
      <c r="K239" s="1709"/>
    </row>
    <row r="240" spans="11:11" s="1704" customFormat="1">
      <c r="K240" s="1709"/>
    </row>
    <row r="241" spans="11:11" s="1704" customFormat="1">
      <c r="K241" s="1709"/>
    </row>
    <row r="242" spans="11:11" s="1704" customFormat="1">
      <c r="K242" s="1709"/>
    </row>
    <row r="243" spans="11:11" s="1704" customFormat="1">
      <c r="K243" s="1709"/>
    </row>
    <row r="244" spans="11:11" s="1704" customFormat="1">
      <c r="K244" s="1709"/>
    </row>
    <row r="245" spans="11:11" s="1704" customFormat="1">
      <c r="K245" s="1709"/>
    </row>
    <row r="246" spans="11:11" s="1704" customFormat="1">
      <c r="K246" s="1709"/>
    </row>
    <row r="247" spans="11:11" s="1704" customFormat="1">
      <c r="K247" s="1709"/>
    </row>
    <row r="248" spans="11:11" s="1704" customFormat="1">
      <c r="K248" s="1709"/>
    </row>
    <row r="249" spans="11:11" s="1704" customFormat="1">
      <c r="K249" s="1709"/>
    </row>
    <row r="250" spans="11:11" s="1704" customFormat="1">
      <c r="K250" s="1709"/>
    </row>
    <row r="251" spans="11:11" s="1704" customFormat="1">
      <c r="K251" s="1709"/>
    </row>
    <row r="252" spans="11:11" s="1704" customFormat="1">
      <c r="K252" s="1709"/>
    </row>
    <row r="253" spans="11:11" s="1704" customFormat="1">
      <c r="K253" s="1709"/>
    </row>
    <row r="254" spans="11:11" s="1704" customFormat="1">
      <c r="K254" s="1709"/>
    </row>
    <row r="255" spans="11:11" s="1704" customFormat="1">
      <c r="K255" s="1709"/>
    </row>
    <row r="256" spans="11:11" s="1704" customFormat="1">
      <c r="K256" s="1709"/>
    </row>
    <row r="257" spans="11:11" s="1704" customFormat="1">
      <c r="K257" s="1709"/>
    </row>
    <row r="258" spans="11:11" s="1704" customFormat="1">
      <c r="K258" s="1709"/>
    </row>
    <row r="259" spans="11:11" s="1704" customFormat="1">
      <c r="K259" s="1709"/>
    </row>
    <row r="260" spans="11:11" s="1704" customFormat="1">
      <c r="K260" s="1709"/>
    </row>
    <row r="261" spans="11:11" s="1704" customFormat="1">
      <c r="K261" s="1709"/>
    </row>
    <row r="262" spans="11:11" s="1704" customFormat="1">
      <c r="K262" s="1709"/>
    </row>
    <row r="263" spans="11:11" s="1704" customFormat="1">
      <c r="K263" s="1709"/>
    </row>
    <row r="264" spans="11:11" s="1704" customFormat="1">
      <c r="K264" s="1709"/>
    </row>
    <row r="265" spans="11:11" s="1704" customFormat="1">
      <c r="K265" s="1709"/>
    </row>
    <row r="266" spans="11:11" s="1704" customFormat="1">
      <c r="K266" s="1709"/>
    </row>
    <row r="267" spans="11:11" s="1704" customFormat="1">
      <c r="K267" s="1709"/>
    </row>
    <row r="268" spans="11:11" s="1704" customFormat="1">
      <c r="K268" s="1709"/>
    </row>
    <row r="269" spans="11:11" s="1704" customFormat="1">
      <c r="K269" s="1709"/>
    </row>
    <row r="270" spans="11:11" s="1704" customFormat="1">
      <c r="K270" s="1709"/>
    </row>
    <row r="271" spans="11:11" s="1704" customFormat="1">
      <c r="K271" s="1709"/>
    </row>
    <row r="272" spans="11:11" s="1704" customFormat="1">
      <c r="K272" s="1709"/>
    </row>
    <row r="273" spans="11:11" s="1704" customFormat="1">
      <c r="K273" s="1709"/>
    </row>
    <row r="274" spans="11:11" s="1704" customFormat="1">
      <c r="K274" s="1709"/>
    </row>
    <row r="275" spans="11:11" s="1704" customFormat="1">
      <c r="K275" s="1709"/>
    </row>
    <row r="276" spans="11:11" s="1704" customFormat="1">
      <c r="K276" s="1709"/>
    </row>
    <row r="277" spans="11:11" s="1704" customFormat="1">
      <c r="K277" s="1709"/>
    </row>
    <row r="278" spans="11:11" s="1704" customFormat="1">
      <c r="K278" s="1709"/>
    </row>
    <row r="279" spans="11:11" s="1704" customFormat="1">
      <c r="K279" s="1709"/>
    </row>
    <row r="280" spans="11:11" s="1704" customFormat="1">
      <c r="K280" s="1709"/>
    </row>
    <row r="281" spans="11:11" s="1704" customFormat="1">
      <c r="K281" s="1709"/>
    </row>
    <row r="282" spans="11:11" s="1704" customFormat="1">
      <c r="K282" s="1709"/>
    </row>
    <row r="283" spans="11:11" s="1704" customFormat="1">
      <c r="K283" s="1709"/>
    </row>
    <row r="284" spans="11:11" s="1704" customFormat="1">
      <c r="K284" s="1709"/>
    </row>
    <row r="285" spans="11:11" s="1704" customFormat="1">
      <c r="K285" s="1709"/>
    </row>
    <row r="286" spans="11:11" s="1704" customFormat="1">
      <c r="K286" s="1709"/>
    </row>
    <row r="287" spans="11:11" s="1704" customFormat="1">
      <c r="K287" s="1709"/>
    </row>
    <row r="288" spans="11:11" s="1704" customFormat="1">
      <c r="K288" s="1709"/>
    </row>
    <row r="289" spans="11:11" s="1704" customFormat="1">
      <c r="K289" s="1709"/>
    </row>
    <row r="290" spans="11:11" s="1704" customFormat="1">
      <c r="K290" s="1709"/>
    </row>
    <row r="291" spans="11:11" s="1704" customFormat="1">
      <c r="K291" s="1709"/>
    </row>
    <row r="292" spans="11:11" s="1704" customFormat="1">
      <c r="K292" s="1709"/>
    </row>
    <row r="293" spans="11:11" s="1704" customFormat="1">
      <c r="K293" s="1709"/>
    </row>
    <row r="294" spans="11:11" s="1704" customFormat="1">
      <c r="K294" s="1709"/>
    </row>
    <row r="295" spans="11:11" s="1704" customFormat="1">
      <c r="K295" s="1709"/>
    </row>
    <row r="296" spans="11:11" s="1704" customFormat="1">
      <c r="K296" s="1709"/>
    </row>
    <row r="297" spans="11:11" s="1704" customFormat="1">
      <c r="K297" s="1709"/>
    </row>
    <row r="298" spans="11:11" s="1704" customFormat="1">
      <c r="K298" s="1709"/>
    </row>
    <row r="299" spans="11:11" s="1704" customFormat="1">
      <c r="K299" s="1709"/>
    </row>
    <row r="300" spans="11:11" s="1704" customFormat="1">
      <c r="K300" s="1709"/>
    </row>
    <row r="301" spans="11:11" s="1704" customFormat="1">
      <c r="K301" s="1709"/>
    </row>
    <row r="302" spans="11:11" s="1704" customFormat="1">
      <c r="K302" s="1709"/>
    </row>
    <row r="303" spans="11:11" s="1704" customFormat="1">
      <c r="K303" s="1709"/>
    </row>
    <row r="304" spans="11:11" s="1704" customFormat="1">
      <c r="K304" s="1709"/>
    </row>
    <row r="305" spans="11:11" s="1704" customFormat="1">
      <c r="K305" s="1709"/>
    </row>
    <row r="306" spans="11:11" s="1704" customFormat="1">
      <c r="K306" s="1709"/>
    </row>
    <row r="307" spans="11:11" s="1704" customFormat="1">
      <c r="K307" s="1709"/>
    </row>
    <row r="308" spans="11:11" s="1704" customFormat="1">
      <c r="K308" s="1709"/>
    </row>
    <row r="309" spans="11:11" s="1704" customFormat="1">
      <c r="K309" s="1709"/>
    </row>
    <row r="310" spans="11:11" s="1704" customFormat="1">
      <c r="K310" s="1709"/>
    </row>
    <row r="311" spans="11:11" s="1704" customFormat="1">
      <c r="K311" s="1709"/>
    </row>
    <row r="312" spans="11:11" s="1704" customFormat="1">
      <c r="K312" s="1709"/>
    </row>
    <row r="313" spans="11:11" s="1704" customFormat="1">
      <c r="K313" s="1709"/>
    </row>
    <row r="314" spans="11:11" s="1704" customFormat="1">
      <c r="K314" s="1709"/>
    </row>
    <row r="315" spans="11:11" s="1704" customFormat="1">
      <c r="K315" s="1709"/>
    </row>
    <row r="316" spans="11:11" s="1704" customFormat="1">
      <c r="K316" s="1709"/>
    </row>
    <row r="317" spans="11:11" s="1704" customFormat="1">
      <c r="K317" s="1709"/>
    </row>
    <row r="318" spans="11:11" s="1704" customFormat="1">
      <c r="K318" s="1709"/>
    </row>
    <row r="319" spans="11:11" s="1704" customFormat="1">
      <c r="K319" s="1709"/>
    </row>
    <row r="320" spans="11:11" s="1704" customFormat="1">
      <c r="K320" s="1709"/>
    </row>
    <row r="321" spans="11:11" s="1704" customFormat="1">
      <c r="K321" s="1709"/>
    </row>
    <row r="322" spans="11:11" s="1704" customFormat="1">
      <c r="K322" s="1709"/>
    </row>
    <row r="323" spans="11:11" s="1704" customFormat="1">
      <c r="K323" s="1709"/>
    </row>
    <row r="324" spans="11:11" s="1704" customFormat="1">
      <c r="K324" s="1709"/>
    </row>
    <row r="325" spans="11:11" s="1704" customFormat="1">
      <c r="K325" s="1709"/>
    </row>
    <row r="326" spans="11:11" s="1704" customFormat="1">
      <c r="K326" s="1709"/>
    </row>
    <row r="327" spans="11:11" s="1704" customFormat="1">
      <c r="K327" s="1709"/>
    </row>
    <row r="328" spans="11:11" s="1704" customFormat="1">
      <c r="K328" s="1709"/>
    </row>
    <row r="329" spans="11:11" s="1704" customFormat="1">
      <c r="K329" s="1709"/>
    </row>
    <row r="330" spans="11:11" s="1704" customFormat="1">
      <c r="K330" s="1709"/>
    </row>
    <row r="331" spans="11:11" s="1704" customFormat="1">
      <c r="K331" s="1709"/>
    </row>
    <row r="332" spans="11:11" s="1704" customFormat="1">
      <c r="K332" s="1709"/>
    </row>
    <row r="333" spans="11:11" s="1704" customFormat="1">
      <c r="K333" s="1709"/>
    </row>
    <row r="334" spans="11:11" s="1704" customFormat="1">
      <c r="K334" s="1709"/>
    </row>
    <row r="335" spans="11:11" s="1704" customFormat="1">
      <c r="K335" s="1709"/>
    </row>
    <row r="336" spans="11:11" s="1704" customFormat="1">
      <c r="K336" s="1709"/>
    </row>
    <row r="337" spans="11:11" s="1704" customFormat="1">
      <c r="K337" s="1709"/>
    </row>
    <row r="338" spans="11:11" s="1704" customFormat="1">
      <c r="K338" s="1709"/>
    </row>
    <row r="339" spans="11:11" s="1704" customFormat="1">
      <c r="K339" s="1709"/>
    </row>
    <row r="340" spans="11:11" s="1704" customFormat="1">
      <c r="K340" s="1709"/>
    </row>
    <row r="341" spans="11:11" s="1704" customFormat="1">
      <c r="K341" s="1709"/>
    </row>
    <row r="342" spans="11:11" s="1704" customFormat="1">
      <c r="K342" s="1709"/>
    </row>
    <row r="343" spans="11:11" s="1704" customFormat="1">
      <c r="K343" s="1709"/>
    </row>
    <row r="344" spans="11:11" s="1704" customFormat="1">
      <c r="K344" s="1709"/>
    </row>
    <row r="345" spans="11:11" s="1704" customFormat="1">
      <c r="K345" s="1709"/>
    </row>
    <row r="346" spans="11:11" s="1704" customFormat="1">
      <c r="K346" s="1709"/>
    </row>
    <row r="347" spans="11:11" s="1704" customFormat="1">
      <c r="K347" s="1709"/>
    </row>
    <row r="348" spans="11:11" s="1704" customFormat="1">
      <c r="K348" s="1709"/>
    </row>
    <row r="349" spans="11:11" s="1704" customFormat="1">
      <c r="K349" s="1709"/>
    </row>
    <row r="350" spans="11:11" s="1704" customFormat="1">
      <c r="K350" s="1709"/>
    </row>
    <row r="351" spans="11:11" s="1704" customFormat="1">
      <c r="K351" s="1709"/>
    </row>
    <row r="352" spans="11:11" s="1704" customFormat="1">
      <c r="K352" s="1709"/>
    </row>
    <row r="353" spans="11:11" s="1704" customFormat="1">
      <c r="K353" s="1709"/>
    </row>
    <row r="354" spans="11:11" s="1704" customFormat="1">
      <c r="K354" s="1709"/>
    </row>
    <row r="355" spans="11:11" s="1704" customFormat="1">
      <c r="K355" s="1709"/>
    </row>
    <row r="356" spans="11:11" s="1704" customFormat="1">
      <c r="K356" s="1709"/>
    </row>
    <row r="357" spans="11:11" s="1704" customFormat="1">
      <c r="K357" s="1709"/>
    </row>
    <row r="358" spans="11:11" s="1704" customFormat="1">
      <c r="K358" s="1709"/>
    </row>
    <row r="359" spans="11:11" s="1704" customFormat="1">
      <c r="K359" s="1709"/>
    </row>
    <row r="360" spans="11:11" s="1704" customFormat="1">
      <c r="K360" s="1709"/>
    </row>
    <row r="361" spans="11:11" s="1704" customFormat="1">
      <c r="K361" s="1709"/>
    </row>
    <row r="362" spans="11:11" s="1704" customFormat="1">
      <c r="K362" s="1709"/>
    </row>
    <row r="363" spans="11:11" s="1704" customFormat="1">
      <c r="K363" s="1709"/>
    </row>
    <row r="364" spans="11:11" s="1704" customFormat="1">
      <c r="K364" s="1709"/>
    </row>
    <row r="365" spans="11:11" s="1704" customFormat="1">
      <c r="K365" s="1709"/>
    </row>
    <row r="366" spans="11:11" s="1704" customFormat="1">
      <c r="K366" s="1709"/>
    </row>
    <row r="367" spans="11:11" s="1704" customFormat="1">
      <c r="K367" s="1709"/>
    </row>
    <row r="368" spans="11:11" s="1704" customFormat="1">
      <c r="K368" s="1709"/>
    </row>
    <row r="369" spans="11:11" s="1704" customFormat="1">
      <c r="K369" s="1709"/>
    </row>
    <row r="370" spans="11:11" s="1704" customFormat="1">
      <c r="K370" s="1709"/>
    </row>
    <row r="371" spans="11:11" s="1704" customFormat="1">
      <c r="K371" s="1709"/>
    </row>
    <row r="372" spans="11:11" s="1704" customFormat="1">
      <c r="K372" s="1709"/>
    </row>
    <row r="373" spans="11:11" s="1704" customFormat="1">
      <c r="K373" s="1709"/>
    </row>
    <row r="374" spans="11:11" s="1704" customFormat="1">
      <c r="K374" s="1709"/>
    </row>
    <row r="375" spans="11:11" s="1704" customFormat="1">
      <c r="K375" s="1709"/>
    </row>
    <row r="376" spans="11:11" s="1704" customFormat="1">
      <c r="K376" s="1709"/>
    </row>
    <row r="377" spans="11:11" s="1704" customFormat="1">
      <c r="K377" s="1709"/>
    </row>
    <row r="378" spans="11:11" s="1704" customFormat="1">
      <c r="K378" s="1709"/>
    </row>
    <row r="379" spans="11:11" s="1704" customFormat="1">
      <c r="K379" s="1709"/>
    </row>
    <row r="380" spans="11:11" s="1704" customFormat="1">
      <c r="K380" s="1709"/>
    </row>
    <row r="381" spans="11:11" s="1704" customFormat="1">
      <c r="K381" s="1709"/>
    </row>
    <row r="382" spans="11:11" s="1704" customFormat="1">
      <c r="K382" s="1709"/>
    </row>
    <row r="383" spans="11:11" s="1704" customFormat="1">
      <c r="K383" s="1709"/>
    </row>
    <row r="384" spans="11:11" s="1704" customFormat="1">
      <c r="K384" s="1709"/>
    </row>
    <row r="385" spans="11:11" s="1704" customFormat="1">
      <c r="K385" s="1709"/>
    </row>
    <row r="386" spans="11:11" s="1704" customFormat="1">
      <c r="K386" s="1709"/>
    </row>
    <row r="387" spans="11:11" s="1704" customFormat="1">
      <c r="K387" s="1709"/>
    </row>
    <row r="388" spans="11:11" s="1704" customFormat="1">
      <c r="K388" s="1709"/>
    </row>
    <row r="389" spans="11:11" s="1704" customFormat="1">
      <c r="K389" s="1709"/>
    </row>
    <row r="390" spans="11:11" s="1704" customFormat="1">
      <c r="K390" s="1709"/>
    </row>
    <row r="391" spans="11:11" s="1704" customFormat="1">
      <c r="K391" s="1709"/>
    </row>
    <row r="392" spans="11:11" s="1704" customFormat="1">
      <c r="K392" s="1709"/>
    </row>
    <row r="393" spans="11:11" s="1704" customFormat="1">
      <c r="K393" s="1709"/>
    </row>
    <row r="394" spans="11:11" s="1704" customFormat="1">
      <c r="K394" s="1709"/>
    </row>
    <row r="395" spans="11:11" s="1704" customFormat="1">
      <c r="K395" s="1709"/>
    </row>
    <row r="396" spans="11:11" s="1704" customFormat="1">
      <c r="K396" s="1709"/>
    </row>
    <row r="397" spans="11:11" s="1704" customFormat="1">
      <c r="K397" s="1709"/>
    </row>
    <row r="398" spans="11:11" s="1704" customFormat="1">
      <c r="K398" s="1709"/>
    </row>
    <row r="399" spans="11:11" s="1704" customFormat="1">
      <c r="K399" s="1709"/>
    </row>
    <row r="400" spans="11:11" s="1704" customFormat="1">
      <c r="K400" s="1709"/>
    </row>
    <row r="401" spans="11:11" s="1704" customFormat="1">
      <c r="K401" s="1709"/>
    </row>
    <row r="402" spans="11:11" s="1704" customFormat="1">
      <c r="K402" s="1709"/>
    </row>
    <row r="403" spans="11:11" s="1704" customFormat="1">
      <c r="K403" s="1709"/>
    </row>
    <row r="404" spans="11:11" s="1704" customFormat="1">
      <c r="K404" s="1709"/>
    </row>
    <row r="405" spans="11:11" s="1704" customFormat="1">
      <c r="K405" s="1709"/>
    </row>
    <row r="406" spans="11:11" s="1704" customFormat="1">
      <c r="K406" s="1709"/>
    </row>
    <row r="407" spans="11:11" s="1704" customFormat="1">
      <c r="K407" s="1709"/>
    </row>
    <row r="408" spans="11:11" s="1704" customFormat="1">
      <c r="K408" s="1709"/>
    </row>
    <row r="409" spans="11:11" s="1704" customFormat="1">
      <c r="K409" s="1709"/>
    </row>
    <row r="410" spans="11:11" s="1704" customFormat="1">
      <c r="K410" s="1709"/>
    </row>
    <row r="411" spans="11:11" s="1704" customFormat="1">
      <c r="K411" s="1709"/>
    </row>
    <row r="412" spans="11:11" s="1704" customFormat="1">
      <c r="K412" s="1709"/>
    </row>
    <row r="413" spans="11:11" s="1704" customFormat="1">
      <c r="K413" s="1709"/>
    </row>
    <row r="414" spans="11:11" s="1704" customFormat="1">
      <c r="K414" s="1709"/>
    </row>
    <row r="415" spans="11:11" s="1704" customFormat="1">
      <c r="K415" s="1709"/>
    </row>
    <row r="416" spans="11:11" s="1704" customFormat="1">
      <c r="K416" s="1709"/>
    </row>
    <row r="417" spans="11:11" s="1704" customFormat="1">
      <c r="K417" s="1709"/>
    </row>
    <row r="418" spans="11:11" s="1704" customFormat="1">
      <c r="K418" s="1709"/>
    </row>
    <row r="419" spans="11:11" s="1704" customFormat="1">
      <c r="K419" s="1709"/>
    </row>
    <row r="420" spans="11:11" s="1704" customFormat="1">
      <c r="K420" s="1709"/>
    </row>
    <row r="421" spans="11:11" s="1704" customFormat="1">
      <c r="K421" s="1709"/>
    </row>
    <row r="422" spans="11:11" s="1704" customFormat="1">
      <c r="K422" s="1709"/>
    </row>
    <row r="423" spans="11:11" s="1704" customFormat="1">
      <c r="K423" s="1709"/>
    </row>
    <row r="424" spans="11:11" s="1704" customFormat="1">
      <c r="K424" s="1709"/>
    </row>
    <row r="425" spans="11:11" s="1704" customFormat="1">
      <c r="K425" s="1709"/>
    </row>
    <row r="426" spans="11:11" s="1704" customFormat="1">
      <c r="K426" s="1709"/>
    </row>
    <row r="427" spans="11:11" s="1704" customFormat="1">
      <c r="K427" s="1709"/>
    </row>
    <row r="428" spans="11:11" s="1704" customFormat="1">
      <c r="K428" s="1709"/>
    </row>
    <row r="429" spans="11:11" s="1704" customFormat="1">
      <c r="K429" s="1709"/>
    </row>
    <row r="430" spans="11:11" s="1704" customFormat="1">
      <c r="K430" s="1709"/>
    </row>
    <row r="431" spans="11:11" s="1704" customFormat="1">
      <c r="K431" s="1709"/>
    </row>
    <row r="432" spans="11:11" s="1704" customFormat="1">
      <c r="K432" s="1709"/>
    </row>
    <row r="433" spans="11:11" s="1704" customFormat="1">
      <c r="K433" s="1709"/>
    </row>
    <row r="434" spans="11:11" s="1704" customFormat="1">
      <c r="K434" s="1709"/>
    </row>
    <row r="435" spans="11:11" s="1704" customFormat="1">
      <c r="K435" s="1709"/>
    </row>
    <row r="436" spans="11:11" s="1704" customFormat="1">
      <c r="K436" s="1709"/>
    </row>
    <row r="437" spans="11:11" s="1704" customFormat="1">
      <c r="K437" s="1709"/>
    </row>
    <row r="438" spans="11:11" s="1704" customFormat="1">
      <c r="K438" s="1709"/>
    </row>
    <row r="439" spans="11:11" s="1704" customFormat="1">
      <c r="K439" s="1709"/>
    </row>
    <row r="440" spans="11:11" s="1704" customFormat="1">
      <c r="K440" s="1709"/>
    </row>
    <row r="441" spans="11:11" s="1704" customFormat="1">
      <c r="K441" s="1709"/>
    </row>
    <row r="442" spans="11:11" s="1704" customFormat="1">
      <c r="K442" s="1709"/>
    </row>
    <row r="443" spans="11:11" s="1704" customFormat="1">
      <c r="K443" s="1709"/>
    </row>
    <row r="444" spans="11:11" s="1704" customFormat="1">
      <c r="K444" s="1709"/>
    </row>
    <row r="445" spans="11:11" s="1704" customFormat="1">
      <c r="K445" s="1709"/>
    </row>
    <row r="446" spans="11:11" s="1704" customFormat="1">
      <c r="K446" s="1709"/>
    </row>
    <row r="447" spans="11:11" s="1704" customFormat="1">
      <c r="K447" s="1709"/>
    </row>
    <row r="448" spans="11:11" s="1704" customFormat="1">
      <c r="K448" s="1709"/>
    </row>
    <row r="449" spans="11:11" s="1704" customFormat="1">
      <c r="K449" s="1709"/>
    </row>
    <row r="450" spans="11:11" s="1704" customFormat="1">
      <c r="K450" s="1709"/>
    </row>
    <row r="451" spans="11:11" s="1704" customFormat="1">
      <c r="K451" s="1709"/>
    </row>
    <row r="452" spans="11:11" s="1704" customFormat="1">
      <c r="K452" s="1709"/>
    </row>
    <row r="453" spans="11:11" s="1704" customFormat="1">
      <c r="K453" s="1709"/>
    </row>
    <row r="454" spans="11:11" s="1704" customFormat="1">
      <c r="K454" s="1709"/>
    </row>
    <row r="455" spans="11:11" s="1704" customFormat="1">
      <c r="K455" s="1709"/>
    </row>
    <row r="456" spans="11:11" s="1704" customFormat="1">
      <c r="K456" s="1709"/>
    </row>
    <row r="457" spans="11:11" s="1704" customFormat="1">
      <c r="K457" s="1709"/>
    </row>
    <row r="458" spans="11:11" s="1704" customFormat="1">
      <c r="K458" s="1709"/>
    </row>
    <row r="459" spans="11:11" s="1704" customFormat="1">
      <c r="K459" s="1709"/>
    </row>
    <row r="460" spans="11:11" s="1704" customFormat="1">
      <c r="K460" s="1709"/>
    </row>
    <row r="461" spans="11:11" s="1704" customFormat="1">
      <c r="K461" s="1709"/>
    </row>
    <row r="462" spans="11:11" s="1704" customFormat="1">
      <c r="K462" s="1709"/>
    </row>
    <row r="463" spans="11:11" s="1704" customFormat="1">
      <c r="K463" s="1709"/>
    </row>
    <row r="464" spans="11:11" s="1704" customFormat="1">
      <c r="K464" s="1709"/>
    </row>
    <row r="465" spans="11:11" s="1704" customFormat="1">
      <c r="K465" s="1709"/>
    </row>
    <row r="466" spans="11:11" s="1704" customFormat="1">
      <c r="K466" s="1709"/>
    </row>
    <row r="467" spans="11:11" s="1704" customFormat="1">
      <c r="K467" s="1709"/>
    </row>
    <row r="468" spans="11:11" s="1704" customFormat="1">
      <c r="K468" s="1709"/>
    </row>
    <row r="469" spans="11:11" s="1704" customFormat="1">
      <c r="K469" s="1709"/>
    </row>
    <row r="470" spans="11:11" s="1704" customFormat="1">
      <c r="K470" s="1709"/>
    </row>
    <row r="471" spans="11:11" s="1704" customFormat="1">
      <c r="K471" s="1709"/>
    </row>
    <row r="472" spans="11:11" s="1704" customFormat="1">
      <c r="K472" s="1709"/>
    </row>
    <row r="473" spans="11:11" s="1704" customFormat="1">
      <c r="K473" s="1709"/>
    </row>
    <row r="474" spans="11:11" s="1704" customFormat="1">
      <c r="K474" s="1709"/>
    </row>
    <row r="475" spans="11:11" s="1704" customFormat="1">
      <c r="K475" s="1709"/>
    </row>
    <row r="476" spans="11:11" s="1704" customFormat="1">
      <c r="K476" s="1709"/>
    </row>
    <row r="477" spans="11:11" s="1704" customFormat="1">
      <c r="K477" s="1709"/>
    </row>
    <row r="478" spans="11:11" s="1704" customFormat="1">
      <c r="K478" s="1709"/>
    </row>
    <row r="479" spans="11:11" s="1704" customFormat="1">
      <c r="K479" s="1709"/>
    </row>
    <row r="480" spans="11:11" s="1704" customFormat="1">
      <c r="K480" s="1709"/>
    </row>
    <row r="481" spans="11:11" s="1704" customFormat="1">
      <c r="K481" s="1709"/>
    </row>
    <row r="482" spans="11:11" s="1704" customFormat="1">
      <c r="K482" s="1709"/>
    </row>
    <row r="483" spans="11:11" s="1704" customFormat="1">
      <c r="K483" s="1709"/>
    </row>
    <row r="484" spans="11:11" s="1704" customFormat="1">
      <c r="K484" s="1709"/>
    </row>
    <row r="485" spans="11:11" s="1704" customFormat="1">
      <c r="K485" s="1709"/>
    </row>
    <row r="486" spans="11:11" s="1704" customFormat="1">
      <c r="K486" s="1709"/>
    </row>
    <row r="487" spans="11:11" s="1704" customFormat="1">
      <c r="K487" s="1709"/>
    </row>
    <row r="488" spans="11:11" s="1704" customFormat="1">
      <c r="K488" s="1709"/>
    </row>
    <row r="489" spans="11:11" s="1704" customFormat="1">
      <c r="K489" s="1709"/>
    </row>
    <row r="490" spans="11:11" s="1704" customFormat="1">
      <c r="K490" s="1709"/>
    </row>
    <row r="491" spans="11:11" s="1704" customFormat="1">
      <c r="K491" s="1709"/>
    </row>
    <row r="492" spans="11:11" s="1704" customFormat="1">
      <c r="K492" s="1709"/>
    </row>
    <row r="493" spans="11:11" s="1704" customFormat="1">
      <c r="K493" s="1709"/>
    </row>
    <row r="494" spans="11:11" s="1704" customFormat="1">
      <c r="K494" s="1709"/>
    </row>
    <row r="495" spans="11:11" s="1704" customFormat="1">
      <c r="K495" s="1709"/>
    </row>
    <row r="496" spans="11:11" s="1704" customFormat="1">
      <c r="K496" s="1709"/>
    </row>
    <row r="497" spans="11:11" s="1704" customFormat="1">
      <c r="K497" s="1709"/>
    </row>
    <row r="498" spans="11:11" s="1704" customFormat="1">
      <c r="K498" s="1709"/>
    </row>
    <row r="499" spans="11:11" s="1704" customFormat="1">
      <c r="K499" s="1709"/>
    </row>
    <row r="500" spans="11:11" s="1704" customFormat="1">
      <c r="K500" s="1709"/>
    </row>
    <row r="501" spans="11:11" s="1704" customFormat="1">
      <c r="K501" s="1709"/>
    </row>
    <row r="502" spans="11:11" s="1704" customFormat="1">
      <c r="K502" s="1709"/>
    </row>
    <row r="503" spans="11:11" s="1704" customFormat="1">
      <c r="K503" s="1709"/>
    </row>
    <row r="504" spans="11:11" s="1704" customFormat="1">
      <c r="K504" s="1709"/>
    </row>
    <row r="505" spans="11:11" s="1704" customFormat="1">
      <c r="K505" s="1709"/>
    </row>
    <row r="506" spans="11:11" s="1704" customFormat="1">
      <c r="K506" s="1709"/>
    </row>
    <row r="507" spans="11:11" s="1704" customFormat="1">
      <c r="K507" s="1709"/>
    </row>
    <row r="508" spans="11:11" s="1704" customFormat="1">
      <c r="K508" s="1709"/>
    </row>
    <row r="509" spans="11:11" s="1704" customFormat="1">
      <c r="K509" s="1709"/>
    </row>
    <row r="510" spans="11:11" s="1704" customFormat="1">
      <c r="K510" s="1709"/>
    </row>
    <row r="511" spans="11:11" s="1704" customFormat="1">
      <c r="K511" s="1709"/>
    </row>
    <row r="512" spans="11:11" s="1704" customFormat="1">
      <c r="K512" s="1709"/>
    </row>
    <row r="513" spans="11:11" s="1704" customFormat="1">
      <c r="K513" s="1709"/>
    </row>
    <row r="514" spans="11:11" s="1704" customFormat="1">
      <c r="K514" s="1709"/>
    </row>
    <row r="515" spans="11:11" s="1704" customFormat="1">
      <c r="K515" s="1709"/>
    </row>
    <row r="516" spans="11:11" s="1704" customFormat="1">
      <c r="K516" s="1709"/>
    </row>
    <row r="517" spans="11:11" s="1704" customFormat="1">
      <c r="K517" s="1709"/>
    </row>
    <row r="518" spans="11:11" s="1704" customFormat="1">
      <c r="K518" s="1709"/>
    </row>
    <row r="519" spans="11:11" s="1704" customFormat="1">
      <c r="K519" s="1709"/>
    </row>
    <row r="520" spans="11:11" s="1704" customFormat="1">
      <c r="K520" s="1709"/>
    </row>
    <row r="521" spans="11:11" s="1704" customFormat="1">
      <c r="K521" s="1709"/>
    </row>
    <row r="522" spans="11:11" s="1704" customFormat="1">
      <c r="K522" s="1709"/>
    </row>
    <row r="523" spans="11:11" s="1704" customFormat="1">
      <c r="K523" s="1709"/>
    </row>
    <row r="524" spans="11:11" s="1704" customFormat="1">
      <c r="K524" s="1709"/>
    </row>
    <row r="525" spans="11:11" s="1704" customFormat="1">
      <c r="K525" s="1709"/>
    </row>
    <row r="526" spans="11:11" s="1704" customFormat="1">
      <c r="K526" s="1709"/>
    </row>
    <row r="527" spans="11:11" s="1704" customFormat="1">
      <c r="K527" s="1709"/>
    </row>
    <row r="528" spans="11:11" s="1704" customFormat="1">
      <c r="K528" s="1709"/>
    </row>
    <row r="529" spans="11:11" s="1704" customFormat="1">
      <c r="K529" s="1709"/>
    </row>
    <row r="530" spans="11:11" s="1704" customFormat="1">
      <c r="K530" s="1709"/>
    </row>
    <row r="531" spans="11:11" s="1704" customFormat="1">
      <c r="K531" s="1709"/>
    </row>
    <row r="532" spans="11:11" s="1704" customFormat="1">
      <c r="K532" s="1709"/>
    </row>
    <row r="533" spans="11:11" s="1704" customFormat="1">
      <c r="K533" s="1709"/>
    </row>
    <row r="534" spans="11:11" s="1704" customFormat="1">
      <c r="K534" s="1709"/>
    </row>
    <row r="535" spans="11:11" s="1704" customFormat="1">
      <c r="K535" s="1709"/>
    </row>
    <row r="536" spans="11:11" s="1704" customFormat="1">
      <c r="K536" s="1709"/>
    </row>
    <row r="537" spans="11:11" s="1704" customFormat="1">
      <c r="K537" s="1709"/>
    </row>
    <row r="538" spans="11:11" s="1704" customFormat="1">
      <c r="K538" s="1709"/>
    </row>
    <row r="539" spans="11:11" s="1704" customFormat="1">
      <c r="K539" s="1709"/>
    </row>
    <row r="540" spans="11:11" s="1704" customFormat="1">
      <c r="K540" s="1709"/>
    </row>
    <row r="541" spans="11:11" s="1704" customFormat="1">
      <c r="K541" s="1709"/>
    </row>
    <row r="542" spans="11:11" s="1704" customFormat="1">
      <c r="K542" s="1709"/>
    </row>
    <row r="543" spans="11:11" s="1704" customFormat="1">
      <c r="K543" s="1709"/>
    </row>
    <row r="544" spans="11:11" s="1704" customFormat="1">
      <c r="K544" s="1709"/>
    </row>
    <row r="545" spans="11:11" s="1704" customFormat="1">
      <c r="K545" s="1709"/>
    </row>
    <row r="546" spans="11:11" s="1704" customFormat="1">
      <c r="K546" s="1709"/>
    </row>
    <row r="547" spans="11:11" s="1704" customFormat="1">
      <c r="K547" s="1709"/>
    </row>
    <row r="548" spans="11:11" s="1704" customFormat="1">
      <c r="K548" s="1709"/>
    </row>
    <row r="549" spans="11:11" s="1704" customFormat="1">
      <c r="K549" s="1709"/>
    </row>
    <row r="550" spans="11:11" s="1704" customFormat="1">
      <c r="K550" s="1709"/>
    </row>
    <row r="551" spans="11:11" s="1704" customFormat="1">
      <c r="K551" s="1709"/>
    </row>
    <row r="552" spans="11:11" s="1704" customFormat="1">
      <c r="K552" s="1709"/>
    </row>
    <row r="553" spans="11:11" s="1704" customFormat="1">
      <c r="K553" s="1709"/>
    </row>
    <row r="554" spans="11:11" s="1704" customFormat="1">
      <c r="K554" s="1709"/>
    </row>
    <row r="555" spans="11:11" s="1704" customFormat="1">
      <c r="K555" s="1709"/>
    </row>
    <row r="556" spans="11:11" s="1704" customFormat="1">
      <c r="K556" s="1709"/>
    </row>
    <row r="557" spans="11:11" s="1704" customFormat="1">
      <c r="K557" s="1709"/>
    </row>
    <row r="558" spans="11:11" s="1704" customFormat="1">
      <c r="K558" s="1709"/>
    </row>
    <row r="559" spans="11:11" s="1704" customFormat="1">
      <c r="K559" s="1709"/>
    </row>
    <row r="560" spans="11:11" s="1704" customFormat="1">
      <c r="K560" s="1709"/>
    </row>
    <row r="561" spans="11:11" s="1704" customFormat="1">
      <c r="K561" s="1709"/>
    </row>
    <row r="562" spans="11:11" s="1704" customFormat="1">
      <c r="K562" s="1709"/>
    </row>
    <row r="563" spans="11:11" s="1704" customFormat="1">
      <c r="K563" s="1709"/>
    </row>
    <row r="564" spans="11:11" s="1704" customFormat="1">
      <c r="K564" s="1709"/>
    </row>
    <row r="565" spans="11:11" s="1704" customFormat="1">
      <c r="K565" s="1709"/>
    </row>
    <row r="566" spans="11:11" s="1704" customFormat="1">
      <c r="K566" s="1709"/>
    </row>
    <row r="567" spans="11:11" s="1704" customFormat="1">
      <c r="K567" s="1709"/>
    </row>
    <row r="568" spans="11:11" s="1704" customFormat="1">
      <c r="K568" s="1709"/>
    </row>
    <row r="569" spans="11:11" s="1704" customFormat="1">
      <c r="K569" s="1709"/>
    </row>
    <row r="570" spans="11:11" s="1704" customFormat="1">
      <c r="K570" s="1709"/>
    </row>
    <row r="571" spans="11:11" s="1704" customFormat="1">
      <c r="K571" s="1709"/>
    </row>
    <row r="572" spans="11:11" s="1704" customFormat="1">
      <c r="K572" s="1709"/>
    </row>
    <row r="573" spans="11:11" s="1704" customFormat="1">
      <c r="K573" s="1709"/>
    </row>
    <row r="574" spans="11:11" s="1704" customFormat="1">
      <c r="K574" s="1709"/>
    </row>
    <row r="575" spans="11:11" s="1704" customFormat="1">
      <c r="K575" s="1709"/>
    </row>
    <row r="576" spans="11:11" s="1704" customFormat="1">
      <c r="K576" s="1709"/>
    </row>
    <row r="577" spans="11:11" s="1704" customFormat="1">
      <c r="K577" s="1709"/>
    </row>
    <row r="578" spans="11:11" s="1704" customFormat="1">
      <c r="K578" s="1709"/>
    </row>
    <row r="579" spans="11:11" s="1704" customFormat="1">
      <c r="K579" s="1709"/>
    </row>
    <row r="580" spans="11:11" s="1704" customFormat="1">
      <c r="K580" s="1709"/>
    </row>
    <row r="581" spans="11:11" s="1704" customFormat="1">
      <c r="K581" s="1709"/>
    </row>
    <row r="582" spans="11:11" s="1704" customFormat="1">
      <c r="K582" s="1709"/>
    </row>
    <row r="583" spans="11:11" s="1704" customFormat="1">
      <c r="K583" s="1709"/>
    </row>
    <row r="584" spans="11:11" s="1704" customFormat="1">
      <c r="K584" s="1709"/>
    </row>
    <row r="585" spans="11:11" s="1704" customFormat="1">
      <c r="K585" s="1709"/>
    </row>
    <row r="586" spans="11:11" s="1704" customFormat="1">
      <c r="K586" s="1709"/>
    </row>
    <row r="587" spans="11:11" s="1704" customFormat="1">
      <c r="K587" s="1709"/>
    </row>
    <row r="588" spans="11:11" s="1704" customFormat="1">
      <c r="K588" s="1709"/>
    </row>
    <row r="589" spans="11:11" s="1704" customFormat="1">
      <c r="K589" s="1709"/>
    </row>
    <row r="590" spans="11:11" s="1704" customFormat="1">
      <c r="K590" s="1709"/>
    </row>
    <row r="591" spans="11:11" s="1704" customFormat="1">
      <c r="K591" s="1709"/>
    </row>
    <row r="592" spans="11:11" s="1704" customFormat="1">
      <c r="K592" s="1709"/>
    </row>
    <row r="593" spans="11:11" s="1704" customFormat="1">
      <c r="K593" s="1709"/>
    </row>
    <row r="594" spans="11:11" s="1704" customFormat="1">
      <c r="K594" s="1709"/>
    </row>
    <row r="595" spans="11:11" s="1704" customFormat="1">
      <c r="K595" s="1709"/>
    </row>
    <row r="596" spans="11:11" s="1704" customFormat="1">
      <c r="K596" s="1709"/>
    </row>
    <row r="597" spans="11:11" s="1704" customFormat="1">
      <c r="K597" s="1709"/>
    </row>
    <row r="598" spans="11:11" s="1704" customFormat="1">
      <c r="K598" s="1709"/>
    </row>
    <row r="599" spans="11:11" s="1704" customFormat="1">
      <c r="K599" s="1709"/>
    </row>
    <row r="600" spans="11:11" s="1704" customFormat="1">
      <c r="K600" s="1709"/>
    </row>
    <row r="601" spans="11:11" s="1704" customFormat="1">
      <c r="K601" s="1709"/>
    </row>
    <row r="602" spans="11:11" s="1704" customFormat="1">
      <c r="K602" s="1709"/>
    </row>
    <row r="603" spans="11:11" s="1704" customFormat="1">
      <c r="K603" s="1709"/>
    </row>
    <row r="604" spans="11:11" s="1704" customFormat="1">
      <c r="K604" s="1709"/>
    </row>
    <row r="605" spans="11:11" s="1704" customFormat="1">
      <c r="K605" s="1709"/>
    </row>
    <row r="606" spans="11:11" s="1704" customFormat="1">
      <c r="K606" s="1709"/>
    </row>
    <row r="607" spans="11:11" s="1704" customFormat="1">
      <c r="K607" s="1709"/>
    </row>
    <row r="608" spans="11:11" s="1704" customFormat="1">
      <c r="K608" s="1709"/>
    </row>
    <row r="609" spans="11:11" s="1704" customFormat="1">
      <c r="K609" s="1709"/>
    </row>
    <row r="610" spans="11:11" s="1704" customFormat="1">
      <c r="K610" s="1709"/>
    </row>
    <row r="611" spans="11:11" s="1704" customFormat="1">
      <c r="K611" s="1709"/>
    </row>
    <row r="612" spans="11:11" s="1704" customFormat="1">
      <c r="K612" s="1709"/>
    </row>
    <row r="613" spans="11:11" s="1704" customFormat="1">
      <c r="K613" s="1709"/>
    </row>
    <row r="614" spans="11:11" s="1704" customFormat="1">
      <c r="K614" s="1709"/>
    </row>
    <row r="615" spans="11:11" s="1704" customFormat="1">
      <c r="K615" s="1709"/>
    </row>
    <row r="616" spans="11:11" s="1704" customFormat="1">
      <c r="K616" s="1709"/>
    </row>
    <row r="617" spans="11:11" s="1704" customFormat="1">
      <c r="K617" s="1709"/>
    </row>
    <row r="618" spans="11:11" s="1704" customFormat="1">
      <c r="K618" s="1709"/>
    </row>
    <row r="619" spans="11:11" s="1704" customFormat="1">
      <c r="K619" s="1709"/>
    </row>
    <row r="620" spans="11:11" s="1704" customFormat="1">
      <c r="K620" s="1709"/>
    </row>
    <row r="621" spans="11:11" s="1704" customFormat="1">
      <c r="K621" s="1709"/>
    </row>
    <row r="622" spans="11:11" s="1704" customFormat="1">
      <c r="K622" s="1709"/>
    </row>
    <row r="623" spans="11:11" s="1704" customFormat="1">
      <c r="K623" s="1709"/>
    </row>
    <row r="624" spans="11:11" s="1704" customFormat="1">
      <c r="K624" s="1709"/>
    </row>
    <row r="625" spans="11:11" s="1704" customFormat="1">
      <c r="K625" s="1709"/>
    </row>
    <row r="626" spans="11:11" s="1704" customFormat="1">
      <c r="K626" s="1709"/>
    </row>
    <row r="627" spans="11:11" s="1704" customFormat="1">
      <c r="K627" s="1709"/>
    </row>
    <row r="628" spans="11:11" s="1704" customFormat="1">
      <c r="K628" s="1709"/>
    </row>
    <row r="629" spans="11:11" s="1704" customFormat="1">
      <c r="K629" s="1709"/>
    </row>
    <row r="630" spans="11:11" s="1704" customFormat="1">
      <c r="K630" s="1709"/>
    </row>
    <row r="631" spans="11:11" s="1704" customFormat="1">
      <c r="K631" s="1709"/>
    </row>
    <row r="632" spans="11:11" s="1704" customFormat="1">
      <c r="K632" s="1709"/>
    </row>
    <row r="633" spans="11:11" s="1704" customFormat="1">
      <c r="K633" s="1709"/>
    </row>
    <row r="634" spans="11:11" s="1704" customFormat="1">
      <c r="K634" s="1709"/>
    </row>
    <row r="635" spans="11:11" s="1704" customFormat="1">
      <c r="K635" s="1709"/>
    </row>
    <row r="636" spans="11:11" s="1704" customFormat="1">
      <c r="K636" s="1709"/>
    </row>
    <row r="637" spans="11:11" s="1704" customFormat="1">
      <c r="K637" s="1709"/>
    </row>
    <row r="638" spans="11:11" s="1704" customFormat="1">
      <c r="K638" s="1709"/>
    </row>
    <row r="639" spans="11:11" s="1704" customFormat="1">
      <c r="K639" s="1709"/>
    </row>
    <row r="640" spans="11:11" s="1704" customFormat="1">
      <c r="K640" s="1709"/>
    </row>
    <row r="641" spans="11:11" s="1704" customFormat="1">
      <c r="K641" s="1709"/>
    </row>
    <row r="642" spans="11:11" s="1704" customFormat="1">
      <c r="K642" s="1709"/>
    </row>
    <row r="643" spans="11:11" s="1704" customFormat="1">
      <c r="K643" s="1709"/>
    </row>
    <row r="644" spans="11:11" s="1704" customFormat="1">
      <c r="K644" s="1709"/>
    </row>
    <row r="645" spans="11:11" s="1704" customFormat="1">
      <c r="K645" s="1709"/>
    </row>
    <row r="646" spans="11:11" s="1704" customFormat="1">
      <c r="K646" s="1709"/>
    </row>
    <row r="647" spans="11:11" s="1704" customFormat="1">
      <c r="K647" s="1709"/>
    </row>
  </sheetData>
  <sheetProtection algorithmName="SHA-512" hashValue="Ly53Vy1KDlH6M5muonICpzLbeYJohOLff5k8qWmnQKe9ova0cusAYXKAllkDqdjc8VdbX1AUA/gCcz+9V3s+qA==" saltValue="Bl7Z9sQ02GDCSrEiNVsrYQ==" spinCount="100000" sheet="1" objects="1" scenarios="1" formatCells="0" formatColumns="0" formatRows="0"/>
  <protectedRanges>
    <protectedRange sqref="C9:E9" name="Plage2" securityDescriptor="O:WDG:WDD:(A;;CC;;;WD)"/>
    <protectedRange password="E8A2" sqref="C7:E7" name="Plage1" securityDescriptor="O:WDG:WDD:(A;;CC;;;WD)"/>
  </protectedRanges>
  <mergeCells count="6">
    <mergeCell ref="C20:D20"/>
    <mergeCell ref="C15:E15"/>
    <mergeCell ref="C12:E12"/>
    <mergeCell ref="C7:E7"/>
    <mergeCell ref="C9:E9"/>
    <mergeCell ref="C11:E11"/>
  </mergeCells>
  <phoneticPr fontId="0" type="noConversion"/>
  <conditionalFormatting sqref="I9:L9">
    <cfRule type="expression" dxfId="94" priority="4">
      <formula>Nlang&gt;1</formula>
    </cfRule>
  </conditionalFormatting>
  <conditionalFormatting sqref="I11:L11">
    <cfRule type="expression" dxfId="93" priority="3">
      <formula>Nlang&gt;1</formula>
    </cfRule>
  </conditionalFormatting>
  <conditionalFormatting sqref="I12:L12">
    <cfRule type="expression" dxfId="92" priority="2">
      <formula>Nlang&gt;1</formula>
    </cfRule>
  </conditionalFormatting>
  <conditionalFormatting sqref="I15:L15">
    <cfRule type="expression" dxfId="91" priority="1">
      <formula>Nlang&gt;1</formula>
    </cfRule>
  </conditionalFormatting>
  <dataValidations count="5">
    <dataValidation type="list" allowBlank="1" showInputMessage="1" showErrorMessage="1" sqref="C15">
      <formula1>soil_type</formula1>
    </dataValidation>
    <dataValidation type="list" allowBlank="1" showInputMessage="1" showErrorMessage="1" sqref="C12">
      <formula1>moisture</formula1>
    </dataValidation>
    <dataValidation type="list" allowBlank="1" showInputMessage="1" showErrorMessage="1" sqref="C11">
      <formula1>clim_zone</formula1>
    </dataValidation>
    <dataValidation type="list" allowBlank="1" showInputMessage="1" showErrorMessage="1" sqref="C9">
      <formula1>continent</formula1>
    </dataValidation>
    <dataValidation type="decimal" operator="greaterThanOrEqual" allowBlank="1" showInputMessage="1" showErrorMessage="1" sqref="E18:E19">
      <formula1>0</formula1>
    </dataValidation>
  </dataValidations>
  <hyperlinks>
    <hyperlink ref="G12" location="Help!A62" display="Help!A62"/>
  </hyperlink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1"/>
    <pageSetUpPr fitToPage="1"/>
  </sheetPr>
  <dimension ref="A1:HN2268"/>
  <sheetViews>
    <sheetView zoomScaleNormal="100" workbookViewId="0">
      <pane ySplit="6" topLeftCell="A68" activePane="bottomLeft" state="frozen"/>
      <selection activeCell="A5" sqref="A5:C5"/>
      <selection pane="bottomLeft" activeCell="J86" sqref="J86"/>
    </sheetView>
  </sheetViews>
  <sheetFormatPr defaultColWidth="13.42578125" defaultRowHeight="12.75"/>
  <cols>
    <col min="1" max="1" width="3.42578125" style="656" customWidth="1"/>
    <col min="2" max="2" width="18.28515625" style="656" customWidth="1"/>
    <col min="3" max="3" width="14" style="762" customWidth="1"/>
    <col min="4" max="4" width="12.140625" style="762" customWidth="1"/>
    <col min="5" max="5" width="11" style="766" customWidth="1"/>
    <col min="6" max="6" width="19.42578125" style="765" customWidth="1"/>
    <col min="7" max="7" width="10.28515625" style="765" customWidth="1"/>
    <col min="8" max="8" width="10.140625" style="762" customWidth="1"/>
    <col min="9" max="9" width="11.7109375" style="762" customWidth="1"/>
    <col min="10" max="10" width="9.28515625" style="766" customWidth="1"/>
    <col min="11" max="11" width="11.7109375" style="762" customWidth="1"/>
    <col min="12" max="12" width="12.140625" style="762" customWidth="1"/>
    <col min="13" max="13" width="2" style="762" customWidth="1"/>
    <col min="14" max="14" width="10.7109375" style="2569" customWidth="1"/>
    <col min="15" max="15" width="10.140625" style="2569" customWidth="1"/>
    <col min="16" max="16" width="1.85546875" style="2403" customWidth="1"/>
    <col min="17" max="19" width="10.140625" style="2412" customWidth="1"/>
    <col min="20" max="30" width="13.42578125" style="1109" customWidth="1"/>
    <col min="31" max="217" width="13.42578125" style="233" customWidth="1"/>
    <col min="218" max="16384" width="13.42578125" style="762"/>
  </cols>
  <sheetData>
    <row r="1" spans="1:36" s="1644" customFormat="1" ht="22.9" customHeight="1">
      <c r="A1" s="1646"/>
      <c r="B1" s="1646"/>
      <c r="E1" s="1647"/>
      <c r="F1" s="1648"/>
      <c r="G1" s="1648"/>
      <c r="J1" s="1647"/>
      <c r="N1" s="2401"/>
      <c r="O1" s="2401"/>
      <c r="P1" s="2401"/>
      <c r="Q1" s="2561"/>
      <c r="R1" s="2561"/>
      <c r="S1" s="2561"/>
      <c r="T1" s="1695"/>
      <c r="U1" s="1695"/>
      <c r="V1" s="1695"/>
      <c r="W1" s="1695"/>
      <c r="X1" s="1695"/>
      <c r="Y1" s="1695"/>
      <c r="Z1" s="1695"/>
      <c r="AA1" s="1695"/>
      <c r="AB1" s="1695"/>
      <c r="AC1" s="1695"/>
      <c r="AD1" s="1695"/>
      <c r="AE1" s="1695"/>
      <c r="AF1" s="1695"/>
      <c r="AG1" s="1695"/>
      <c r="AH1" s="1695"/>
      <c r="AI1" s="1695"/>
      <c r="AJ1" s="1695"/>
    </row>
    <row r="2" spans="1:36" s="1644" customFormat="1" ht="22.9" customHeight="1">
      <c r="A2" s="1646"/>
      <c r="B2" s="1646"/>
      <c r="E2" s="1647"/>
      <c r="F2" s="1648"/>
      <c r="G2" s="1648"/>
      <c r="J2" s="1647"/>
      <c r="N2" s="2401"/>
      <c r="O2" s="2401"/>
      <c r="P2" s="2401"/>
      <c r="Q2" s="2561"/>
      <c r="R2" s="2561"/>
      <c r="S2" s="2561"/>
      <c r="T2" s="1695"/>
      <c r="U2" s="1695"/>
      <c r="V2" s="1695"/>
      <c r="W2" s="1695"/>
      <c r="X2" s="1695"/>
      <c r="Y2" s="1695"/>
      <c r="Z2" s="1695"/>
      <c r="AA2" s="1695"/>
      <c r="AB2" s="1695"/>
      <c r="AC2" s="1695"/>
      <c r="AD2" s="1695"/>
      <c r="AE2" s="1695"/>
      <c r="AF2" s="1695"/>
      <c r="AG2" s="1695"/>
      <c r="AH2" s="1695"/>
      <c r="AI2" s="1695"/>
      <c r="AJ2" s="1695"/>
    </row>
    <row r="3" spans="1:36" s="1644" customFormat="1" ht="22.9" customHeight="1">
      <c r="A3" s="1646"/>
      <c r="B3" s="1646"/>
      <c r="E3" s="1647"/>
      <c r="F3" s="1648"/>
      <c r="G3" s="1648"/>
      <c r="J3" s="1647"/>
      <c r="N3" s="2401"/>
      <c r="O3" s="2401"/>
      <c r="P3" s="2401"/>
      <c r="Q3" s="2561"/>
      <c r="R3" s="2561"/>
      <c r="S3" s="2561"/>
      <c r="T3" s="1695"/>
      <c r="U3" s="1695"/>
      <c r="V3" s="1695"/>
      <c r="W3" s="1695"/>
      <c r="X3" s="1695"/>
      <c r="Y3" s="1695"/>
      <c r="Z3" s="1695"/>
      <c r="AA3" s="1695"/>
      <c r="AB3" s="1695"/>
      <c r="AC3" s="1695"/>
      <c r="AD3" s="1695"/>
      <c r="AE3" s="1695"/>
      <c r="AF3" s="1695"/>
      <c r="AG3" s="1695"/>
      <c r="AH3" s="1695"/>
      <c r="AI3" s="1695"/>
      <c r="AJ3" s="1695"/>
    </row>
    <row r="4" spans="1:36" s="1644" customFormat="1" ht="22.9" customHeight="1">
      <c r="A4" s="1646"/>
      <c r="B4" s="1646"/>
      <c r="E4" s="1647"/>
      <c r="F4" s="1648"/>
      <c r="G4" s="1648"/>
      <c r="J4" s="1647"/>
      <c r="N4" s="2401"/>
      <c r="O4" s="2401"/>
      <c r="P4" s="2401"/>
      <c r="Q4" s="2561"/>
      <c r="R4" s="2561"/>
      <c r="S4" s="2561"/>
      <c r="T4" s="1695"/>
      <c r="U4" s="1695"/>
      <c r="V4" s="1695"/>
      <c r="W4" s="1695"/>
      <c r="X4" s="1695"/>
      <c r="Y4" s="1695"/>
      <c r="Z4" s="1695"/>
      <c r="AA4" s="1695"/>
      <c r="AB4" s="1695"/>
      <c r="AC4" s="1695"/>
      <c r="AD4" s="1695"/>
      <c r="AE4" s="1695"/>
      <c r="AF4" s="1695"/>
      <c r="AG4" s="1695"/>
      <c r="AH4" s="1695"/>
      <c r="AI4" s="1695"/>
      <c r="AJ4" s="1695"/>
    </row>
    <row r="5" spans="1:36" s="1652" customFormat="1" ht="22.9" customHeight="1">
      <c r="A5" s="1651" t="s">
        <v>467</v>
      </c>
      <c r="B5" s="1651"/>
      <c r="E5" s="1653"/>
      <c r="F5" s="1654"/>
      <c r="G5" s="1654"/>
      <c r="I5" s="3900" t="s">
        <v>470</v>
      </c>
      <c r="J5" s="3900"/>
      <c r="N5" s="2401"/>
      <c r="O5" s="2401"/>
      <c r="P5" s="2401"/>
      <c r="Q5" s="2401"/>
      <c r="R5" s="2401"/>
      <c r="S5" s="2401"/>
      <c r="T5" s="1695"/>
      <c r="U5" s="1695"/>
      <c r="V5" s="1695"/>
      <c r="W5" s="1695"/>
      <c r="X5" s="1695"/>
      <c r="Y5" s="1695"/>
      <c r="Z5" s="1695"/>
      <c r="AA5" s="1695"/>
      <c r="AB5" s="1695"/>
      <c r="AC5" s="1695"/>
      <c r="AD5" s="1695"/>
      <c r="AE5" s="1695"/>
      <c r="AF5" s="1695"/>
      <c r="AG5" s="1695"/>
      <c r="AH5" s="1695"/>
      <c r="AI5" s="1695"/>
      <c r="AJ5" s="1695"/>
    </row>
    <row r="6" spans="1:36">
      <c r="C6" s="233"/>
      <c r="D6" s="233"/>
      <c r="E6" s="761"/>
      <c r="F6" s="234"/>
      <c r="G6" s="234"/>
      <c r="H6" s="233"/>
      <c r="I6" s="233"/>
      <c r="J6" s="761"/>
      <c r="K6" s="761"/>
      <c r="L6" s="233"/>
      <c r="M6" s="233"/>
      <c r="N6" s="2403"/>
      <c r="O6" s="2403"/>
      <c r="T6" s="232"/>
      <c r="U6" s="232"/>
      <c r="V6" s="232"/>
      <c r="W6" s="232"/>
      <c r="X6" s="232"/>
      <c r="Y6" s="232"/>
      <c r="Z6" s="232"/>
      <c r="AA6" s="232"/>
      <c r="AB6" s="232"/>
      <c r="AC6" s="232"/>
      <c r="AD6" s="232"/>
      <c r="AE6" s="232"/>
      <c r="AF6" s="232"/>
      <c r="AG6" s="232"/>
      <c r="AH6" s="232"/>
      <c r="AI6" s="232"/>
      <c r="AJ6" s="232"/>
    </row>
    <row r="7" spans="1:36" s="600" customFormat="1">
      <c r="A7" s="767"/>
      <c r="B7" s="767"/>
      <c r="E7" s="768"/>
      <c r="F7" s="614"/>
      <c r="G7" s="614"/>
      <c r="J7" s="768"/>
      <c r="N7" s="2403"/>
      <c r="O7" s="2403"/>
      <c r="P7" s="2403"/>
      <c r="Q7" s="2412"/>
      <c r="R7" s="2412"/>
      <c r="S7" s="2412"/>
      <c r="T7" s="232"/>
      <c r="U7" s="232"/>
      <c r="V7" s="232"/>
      <c r="W7" s="232"/>
      <c r="X7" s="232"/>
      <c r="Y7" s="232"/>
      <c r="Z7" s="232"/>
      <c r="AA7" s="232"/>
      <c r="AB7" s="232"/>
      <c r="AC7" s="232"/>
      <c r="AD7" s="232"/>
      <c r="AE7" s="232"/>
      <c r="AF7" s="232"/>
      <c r="AG7" s="232"/>
      <c r="AH7" s="232"/>
      <c r="AI7" s="232"/>
      <c r="AJ7" s="232"/>
    </row>
    <row r="8" spans="1:36" s="600" customFormat="1">
      <c r="A8" s="767"/>
      <c r="B8" s="769" t="s">
        <v>546</v>
      </c>
      <c r="C8" s="769"/>
      <c r="D8" s="769"/>
      <c r="E8" s="769"/>
      <c r="F8" s="769"/>
      <c r="G8" s="769"/>
      <c r="H8" s="769"/>
      <c r="I8" s="769"/>
      <c r="J8" s="769"/>
      <c r="K8" s="769"/>
      <c r="N8" s="2403"/>
      <c r="O8" s="2403"/>
      <c r="P8" s="2403"/>
      <c r="Q8" s="2412"/>
      <c r="R8" s="2412"/>
      <c r="S8" s="2412"/>
      <c r="T8" s="232"/>
      <c r="U8" s="232"/>
      <c r="V8" s="232"/>
      <c r="W8" s="232"/>
      <c r="X8" s="232"/>
      <c r="Y8" s="232"/>
      <c r="Z8" s="232"/>
      <c r="AA8" s="232"/>
      <c r="AB8" s="232"/>
      <c r="AC8" s="232"/>
      <c r="AD8" s="232"/>
      <c r="AE8" s="232"/>
      <c r="AF8" s="232"/>
      <c r="AG8" s="232"/>
      <c r="AH8" s="232"/>
      <c r="AI8" s="232"/>
      <c r="AJ8" s="232"/>
    </row>
    <row r="9" spans="1:36" s="600" customFormat="1" ht="13.5" thickBot="1">
      <c r="A9" s="767"/>
      <c r="N9" s="2403"/>
      <c r="O9" s="2403"/>
      <c r="P9" s="2403"/>
      <c r="Q9" s="2412"/>
      <c r="R9" s="2412"/>
      <c r="S9" s="2412"/>
      <c r="T9" s="232"/>
      <c r="U9" s="232"/>
      <c r="V9" s="232"/>
      <c r="W9" s="232"/>
      <c r="X9" s="232"/>
      <c r="Y9" s="232"/>
      <c r="Z9" s="232"/>
      <c r="AA9" s="232"/>
      <c r="AB9" s="232"/>
      <c r="AC9" s="232"/>
      <c r="AD9" s="232"/>
      <c r="AE9" s="232"/>
      <c r="AF9" s="232"/>
      <c r="AG9" s="232"/>
      <c r="AH9" s="232"/>
      <c r="AI9" s="232"/>
      <c r="AJ9" s="232"/>
    </row>
    <row r="10" spans="1:36" s="600" customFormat="1" ht="13.5" thickBot="1">
      <c r="A10" s="767"/>
      <c r="B10" s="719" t="s">
        <v>836</v>
      </c>
      <c r="C10" s="720"/>
      <c r="D10" s="3907" t="str">
        <f>'7. Inputs'!C40</f>
        <v>Please select the country of origin</v>
      </c>
      <c r="E10" s="3908"/>
      <c r="F10" s="3908"/>
      <c r="G10" s="3909"/>
      <c r="I10" s="726" t="s">
        <v>897</v>
      </c>
      <c r="J10" s="771"/>
      <c r="K10" s="771"/>
      <c r="N10" s="2403"/>
      <c r="O10" s="2403"/>
      <c r="P10" s="2403"/>
      <c r="Q10" s="2412"/>
      <c r="R10" s="2412"/>
      <c r="S10" s="2412"/>
      <c r="T10" s="232"/>
      <c r="U10" s="232"/>
      <c r="V10" s="232"/>
      <c r="W10" s="232"/>
      <c r="X10" s="232"/>
      <c r="Y10" s="232"/>
      <c r="Z10" s="232"/>
      <c r="AA10" s="232"/>
      <c r="AB10" s="232"/>
      <c r="AC10" s="232"/>
      <c r="AD10" s="232"/>
      <c r="AE10" s="232"/>
      <c r="AF10" s="232"/>
      <c r="AG10" s="232"/>
      <c r="AH10" s="232"/>
      <c r="AI10" s="232"/>
      <c r="AJ10" s="232"/>
    </row>
    <row r="11" spans="1:36" s="600" customFormat="1">
      <c r="A11" s="767"/>
      <c r="B11" s="818" t="s">
        <v>20</v>
      </c>
      <c r="C11" s="776"/>
      <c r="D11" s="718" t="s">
        <v>354</v>
      </c>
      <c r="E11" s="791">
        <f>VLOOKUP(D10,Elec_EF!$A$6:$B$143,2,)</f>
        <v>0.50720981957055322</v>
      </c>
      <c r="F11" s="1172" t="str">
        <f>IF(D11="no","Specify the value:","")</f>
        <v>Specify the value:</v>
      </c>
      <c r="G11" s="2391">
        <f>IF('7. Inputs'!M204="",'7. Inputs'!K204,'7. Inputs'!M204)</f>
        <v>0.50720981957055322</v>
      </c>
      <c r="I11" s="771"/>
      <c r="J11" s="772"/>
      <c r="K11" s="2390">
        <f>IF('7. Inputs'!M205="",'7. Inputs'!K205,'7. Inputs'!M205)/100</f>
        <v>0.1</v>
      </c>
      <c r="N11" s="2403"/>
      <c r="O11" s="2403"/>
      <c r="P11" s="2403"/>
      <c r="Q11" s="2412"/>
      <c r="R11" s="2412"/>
      <c r="S11" s="2412"/>
      <c r="T11" s="232"/>
      <c r="U11" s="232"/>
      <c r="V11" s="232"/>
      <c r="W11" s="232"/>
      <c r="X11" s="232"/>
      <c r="Y11" s="232"/>
      <c r="Z11" s="232"/>
      <c r="AA11" s="232"/>
      <c r="AB11" s="232"/>
      <c r="AC11" s="232"/>
      <c r="AD11" s="232"/>
      <c r="AE11" s="232"/>
      <c r="AF11" s="232"/>
      <c r="AG11" s="232"/>
      <c r="AH11" s="232"/>
      <c r="AI11" s="232"/>
      <c r="AJ11" s="232"/>
    </row>
    <row r="12" spans="1:36" s="600" customFormat="1">
      <c r="A12" s="767"/>
      <c r="D12" s="768"/>
      <c r="E12" s="614"/>
      <c r="F12" s="614"/>
      <c r="I12" s="768"/>
      <c r="N12" s="2403"/>
      <c r="O12" s="2403"/>
      <c r="P12" s="2403"/>
      <c r="Q12" s="2412" t="s">
        <v>844</v>
      </c>
      <c r="R12" s="2412"/>
      <c r="S12" s="2412"/>
      <c r="T12" s="232"/>
      <c r="U12" s="232"/>
      <c r="V12" s="232"/>
      <c r="W12" s="232"/>
      <c r="X12" s="232"/>
      <c r="Y12" s="232"/>
      <c r="Z12" s="232"/>
      <c r="AA12" s="232"/>
      <c r="AB12" s="232"/>
      <c r="AC12" s="232"/>
      <c r="AD12" s="232"/>
      <c r="AE12" s="232"/>
      <c r="AF12" s="232"/>
      <c r="AG12" s="232"/>
      <c r="AH12" s="232"/>
      <c r="AI12" s="232"/>
      <c r="AJ12" s="232"/>
    </row>
    <row r="13" spans="1:36" s="600" customFormat="1">
      <c r="A13" s="767"/>
      <c r="B13" s="656" t="s">
        <v>890</v>
      </c>
      <c r="C13" s="770" t="s">
        <v>896</v>
      </c>
      <c r="E13" s="614"/>
      <c r="F13" s="614"/>
      <c r="I13" s="768"/>
      <c r="N13" s="2266"/>
      <c r="O13" s="2403"/>
      <c r="P13" s="2403"/>
      <c r="Q13" s="2412"/>
      <c r="R13" s="2412"/>
      <c r="S13" s="2412"/>
      <c r="T13" s="232"/>
      <c r="U13" s="232"/>
      <c r="V13" s="232"/>
      <c r="W13" s="232"/>
      <c r="X13" s="232"/>
      <c r="Y13" s="232"/>
      <c r="Z13" s="232"/>
      <c r="AA13" s="232"/>
      <c r="AB13" s="232"/>
      <c r="AC13" s="232"/>
      <c r="AD13" s="232"/>
      <c r="AE13" s="232"/>
      <c r="AF13" s="232"/>
      <c r="AG13" s="232"/>
      <c r="AH13" s="232"/>
      <c r="AI13" s="232"/>
      <c r="AJ13" s="232"/>
    </row>
    <row r="14" spans="1:36" s="600" customFormat="1" ht="13.5" thickBot="1">
      <c r="A14" s="767"/>
      <c r="B14" s="1012" t="s">
        <v>835</v>
      </c>
      <c r="C14" s="1013"/>
      <c r="D14" s="1014"/>
      <c r="E14" s="742"/>
      <c r="F14" s="3901" t="s">
        <v>837</v>
      </c>
      <c r="G14" s="3902"/>
      <c r="M14" s="241"/>
      <c r="N14" s="2403"/>
      <c r="O14" s="2403"/>
      <c r="P14" s="2562"/>
      <c r="Q14" s="2412"/>
      <c r="R14" s="2412"/>
      <c r="S14" s="2563" t="s">
        <v>66</v>
      </c>
      <c r="T14" s="232"/>
      <c r="U14" s="232"/>
      <c r="V14" s="232"/>
      <c r="W14" s="232"/>
      <c r="X14" s="232"/>
      <c r="Y14" s="232"/>
      <c r="Z14" s="232"/>
      <c r="AA14" s="232"/>
      <c r="AB14" s="232"/>
      <c r="AC14" s="232"/>
      <c r="AD14" s="232"/>
      <c r="AE14" s="232"/>
      <c r="AF14" s="232"/>
      <c r="AG14" s="232"/>
      <c r="AH14" s="232"/>
      <c r="AI14" s="232"/>
      <c r="AJ14" s="232"/>
    </row>
    <row r="15" spans="1:36" s="600" customFormat="1">
      <c r="A15" s="767"/>
      <c r="B15" s="604" t="s">
        <v>673</v>
      </c>
      <c r="C15" s="773"/>
      <c r="D15" s="726"/>
      <c r="E15" s="673">
        <v>0</v>
      </c>
      <c r="F15" s="3903">
        <f>IF(D11="yes",E11,G11)*E15*(1+K11)</f>
        <v>0</v>
      </c>
      <c r="G15" s="3904"/>
      <c r="I15" s="931"/>
      <c r="J15" s="241"/>
      <c r="K15" s="241"/>
      <c r="L15" s="241"/>
      <c r="M15" s="241"/>
      <c r="N15" s="2403"/>
      <c r="O15" s="2403"/>
      <c r="P15" s="2562"/>
      <c r="Q15" s="2412"/>
      <c r="R15" s="2412"/>
      <c r="S15" s="2563">
        <f>IF(time_tot=0,0,IF(time2&gt;0,(E16-E15)*time/time_tot,F16-F15))</f>
        <v>0</v>
      </c>
      <c r="T15" s="232"/>
      <c r="U15" s="232"/>
      <c r="V15" s="232"/>
      <c r="W15" s="232"/>
      <c r="X15" s="232"/>
      <c r="Y15" s="232"/>
      <c r="Z15" s="232"/>
      <c r="AA15" s="232"/>
      <c r="AB15" s="232"/>
      <c r="AC15" s="232"/>
      <c r="AD15" s="232"/>
      <c r="AE15" s="232"/>
      <c r="AF15" s="232"/>
      <c r="AG15" s="232"/>
      <c r="AH15" s="232"/>
      <c r="AI15" s="232"/>
      <c r="AJ15" s="232"/>
    </row>
    <row r="16" spans="1:36" s="600" customFormat="1" ht="13.5" thickBot="1">
      <c r="A16" s="767"/>
      <c r="B16" s="608" t="s">
        <v>672</v>
      </c>
      <c r="C16" s="549"/>
      <c r="D16" s="776"/>
      <c r="E16" s="941">
        <v>0</v>
      </c>
      <c r="F16" s="3905">
        <f>IF(D11="yes",E11,G11)*E16*(1+K11)</f>
        <v>0</v>
      </c>
      <c r="G16" s="3906"/>
      <c r="J16" s="241"/>
      <c r="K16" s="241"/>
      <c r="L16" s="778"/>
      <c r="M16" s="241"/>
      <c r="N16" s="2564"/>
      <c r="O16" s="2423"/>
      <c r="P16" s="2562"/>
      <c r="Q16" s="2563"/>
      <c r="R16" s="2412"/>
      <c r="S16" s="2412"/>
      <c r="T16" s="232"/>
      <c r="U16" s="232"/>
      <c r="V16" s="232"/>
      <c r="W16" s="232"/>
      <c r="X16" s="232"/>
      <c r="Y16" s="232"/>
      <c r="Z16" s="232"/>
      <c r="AA16" s="232"/>
      <c r="AB16" s="232"/>
      <c r="AC16" s="232"/>
      <c r="AD16" s="232"/>
      <c r="AE16" s="232"/>
      <c r="AF16" s="232"/>
      <c r="AG16" s="232"/>
      <c r="AH16" s="232"/>
      <c r="AI16" s="232"/>
      <c r="AJ16" s="232"/>
    </row>
    <row r="17" spans="1:36" s="600" customFormat="1">
      <c r="A17" s="767"/>
      <c r="B17" s="241"/>
      <c r="C17" s="241"/>
      <c r="D17" s="779"/>
      <c r="E17" s="433"/>
      <c r="F17" s="433"/>
      <c r="G17" s="241"/>
      <c r="H17" s="241"/>
      <c r="I17" s="779"/>
      <c r="J17" s="241"/>
      <c r="K17" s="241"/>
      <c r="L17" s="241"/>
      <c r="M17" s="612"/>
      <c r="N17" s="2562"/>
      <c r="O17" s="2562"/>
      <c r="P17" s="2562"/>
      <c r="Q17" s="2563"/>
      <c r="R17" s="2412"/>
      <c r="S17" s="2412"/>
      <c r="T17" s="232"/>
      <c r="U17" s="232"/>
      <c r="V17" s="232"/>
      <c r="W17" s="232"/>
      <c r="X17" s="232"/>
      <c r="Y17" s="232"/>
      <c r="Z17" s="232"/>
      <c r="AA17" s="232"/>
      <c r="AB17" s="232"/>
      <c r="AC17" s="232"/>
      <c r="AD17" s="232"/>
      <c r="AE17" s="232"/>
      <c r="AF17" s="232"/>
      <c r="AG17" s="232"/>
      <c r="AH17" s="232"/>
      <c r="AI17" s="232"/>
      <c r="AJ17" s="232"/>
    </row>
    <row r="18" spans="1:36" s="600" customFormat="1">
      <c r="A18" s="767"/>
      <c r="B18" s="656" t="s">
        <v>891</v>
      </c>
      <c r="C18" s="770" t="s">
        <v>892</v>
      </c>
      <c r="E18" s="433"/>
      <c r="F18" s="433"/>
      <c r="G18" s="241"/>
      <c r="H18" s="241"/>
      <c r="I18" s="779"/>
      <c r="J18" s="241"/>
      <c r="K18" s="241"/>
      <c r="L18" s="241"/>
      <c r="M18" s="241"/>
      <c r="N18" s="2403"/>
      <c r="O18" s="2403"/>
      <c r="P18" s="2562"/>
      <c r="Q18" s="2563"/>
      <c r="R18" s="2412"/>
      <c r="S18" s="2412"/>
      <c r="T18" s="232"/>
      <c r="U18" s="232"/>
      <c r="V18" s="232"/>
      <c r="W18" s="232"/>
      <c r="X18" s="232"/>
      <c r="Y18" s="232"/>
      <c r="Z18" s="232"/>
      <c r="AA18" s="232"/>
      <c r="AB18" s="232"/>
      <c r="AC18" s="232"/>
      <c r="AD18" s="232"/>
      <c r="AE18" s="232"/>
      <c r="AF18" s="232"/>
      <c r="AG18" s="232"/>
      <c r="AH18" s="232"/>
      <c r="AI18" s="232"/>
      <c r="AJ18" s="232"/>
    </row>
    <row r="19" spans="1:36" s="600" customFormat="1">
      <c r="A19" s="767"/>
      <c r="B19" s="774" t="s">
        <v>894</v>
      </c>
      <c r="C19" s="585"/>
      <c r="D19" s="585"/>
      <c r="E19" s="585"/>
      <c r="F19" s="585"/>
      <c r="G19" s="781" t="s">
        <v>895</v>
      </c>
      <c r="H19" s="782"/>
      <c r="I19" s="241"/>
      <c r="J19" s="241"/>
      <c r="K19" s="241"/>
      <c r="L19" s="241"/>
      <c r="M19" s="612"/>
      <c r="N19" s="2403"/>
      <c r="O19" s="2403"/>
      <c r="P19" s="2403"/>
      <c r="Q19" s="2412"/>
      <c r="R19" s="2412"/>
      <c r="S19" s="2412"/>
      <c r="T19" s="232"/>
      <c r="U19" s="232"/>
      <c r="V19" s="232"/>
      <c r="W19" s="232"/>
      <c r="X19" s="232"/>
      <c r="Y19" s="232"/>
      <c r="Z19" s="232"/>
      <c r="AA19" s="232"/>
      <c r="AB19" s="232"/>
      <c r="AC19" s="232"/>
      <c r="AD19" s="232"/>
      <c r="AE19" s="232"/>
      <c r="AF19" s="232"/>
      <c r="AG19" s="232"/>
      <c r="AH19" s="232"/>
      <c r="AI19" s="232"/>
      <c r="AJ19" s="232"/>
    </row>
    <row r="20" spans="1:36" s="600" customFormat="1">
      <c r="A20" s="767"/>
      <c r="B20" s="1015" t="s">
        <v>340</v>
      </c>
      <c r="C20" s="3852" t="s">
        <v>673</v>
      </c>
      <c r="D20" s="3852"/>
      <c r="E20" s="3853" t="s">
        <v>672</v>
      </c>
      <c r="F20" s="3853"/>
      <c r="G20" s="3894" t="s">
        <v>342</v>
      </c>
      <c r="H20" s="3797"/>
      <c r="I20" s="612"/>
      <c r="J20" s="703"/>
      <c r="K20" s="612"/>
      <c r="L20" s="612"/>
      <c r="M20" s="612"/>
      <c r="N20" s="2403"/>
      <c r="O20" s="2403"/>
      <c r="P20" s="2403"/>
      <c r="Q20" s="2412"/>
      <c r="R20" s="2412"/>
      <c r="S20" s="2412"/>
      <c r="T20" s="232"/>
      <c r="U20" s="232"/>
      <c r="V20" s="232"/>
      <c r="W20" s="232"/>
      <c r="X20" s="232"/>
      <c r="Y20" s="232"/>
      <c r="Z20" s="232"/>
      <c r="AA20" s="232"/>
      <c r="AB20" s="232"/>
      <c r="AC20" s="232"/>
      <c r="AD20" s="232"/>
      <c r="AE20" s="232"/>
      <c r="AF20" s="232"/>
      <c r="AG20" s="232"/>
      <c r="AH20" s="232"/>
      <c r="AI20" s="232"/>
      <c r="AJ20" s="232"/>
    </row>
    <row r="21" spans="1:36" ht="13.5" thickBot="1">
      <c r="A21" s="767"/>
      <c r="B21" s="1016" t="s">
        <v>347</v>
      </c>
      <c r="C21" s="783" t="s">
        <v>341</v>
      </c>
      <c r="D21" s="784" t="s">
        <v>348</v>
      </c>
      <c r="E21" s="785" t="s">
        <v>341</v>
      </c>
      <c r="F21" s="786" t="s">
        <v>348</v>
      </c>
      <c r="G21" s="787" t="s">
        <v>674</v>
      </c>
      <c r="H21" s="788" t="s">
        <v>675</v>
      </c>
      <c r="I21" s="789"/>
      <c r="J21" s="790"/>
      <c r="K21" s="612"/>
      <c r="L21" s="612"/>
      <c r="M21" s="612"/>
      <c r="N21" s="2403"/>
      <c r="O21" s="2403"/>
      <c r="Q21" s="2412" t="s">
        <v>674</v>
      </c>
      <c r="R21" s="2412" t="s">
        <v>675</v>
      </c>
      <c r="T21" s="232"/>
      <c r="U21" s="232"/>
      <c r="V21" s="232"/>
      <c r="W21" s="232"/>
      <c r="X21" s="232"/>
      <c r="Y21" s="232"/>
      <c r="Z21" s="232"/>
      <c r="AA21" s="232"/>
      <c r="AB21" s="232"/>
      <c r="AC21" s="232"/>
      <c r="AD21" s="232"/>
      <c r="AE21" s="232"/>
      <c r="AF21" s="232"/>
      <c r="AG21" s="232"/>
      <c r="AH21" s="232"/>
      <c r="AI21" s="232"/>
      <c r="AJ21" s="232"/>
    </row>
    <row r="22" spans="1:36" ht="13.5" thickBot="1">
      <c r="A22" s="767"/>
      <c r="B22" s="1973">
        <f>'7. Inputs'!H40</f>
        <v>0</v>
      </c>
      <c r="C22" s="1974">
        <f>'7. Inputs'!I40</f>
        <v>0</v>
      </c>
      <c r="D22" s="2392" t="str">
        <f>VLOOKUP('7. Inputs'!J40,List!$D$35:$E$37,2,)</f>
        <v>Linear</v>
      </c>
      <c r="E22" s="1975">
        <f>'7. Inputs'!K40</f>
        <v>0</v>
      </c>
      <c r="F22" s="2392" t="str">
        <f>VLOOKUP('7. Inputs'!L40,List!$D$35:$E$37,2,)</f>
        <v>Linear</v>
      </c>
      <c r="G22" s="932">
        <f>IF(D11="yes",$E11,$G11)*(MIN(B22,C22)*time_tot+ABS(C22-B22)*IF(C22&gt;B22,time2+time*(VLOOKUP(D22,List!$E$35:$F$37,2,)),time*(1-(VLOOKUP(D22,List!$E$35:$F$37,2,)))))*(1+K11)</f>
        <v>0</v>
      </c>
      <c r="H22" s="933">
        <f>IF(D11="yes",$E11,$G11)*(MIN(B22,E22)*time_tot+ABS(E22-B22)*IF(E22&gt;B22,time2+time*(VLOOKUP(F22,List!$E$35:$F$37,2,)),time*(1-(VLOOKUP(F22,List!$E$35:$F$37,2,)))))*(1+K11)</f>
        <v>0</v>
      </c>
      <c r="I22" s="612"/>
      <c r="J22" s="763"/>
      <c r="K22" s="612"/>
      <c r="L22" s="612"/>
      <c r="M22" s="612"/>
      <c r="N22" s="2565"/>
      <c r="O22" s="2403"/>
      <c r="Q22" s="2412">
        <f>IF(D11="yes",$E11,$G11)*(MIN(B22,C22)*time+ABS(C22-B22)*IF(C22&gt;B22,time*(VLOOKUP(D22,List!$E$35:$F$37,2,)),time*(1-(VLOOKUP(D22,List!$E$35:$F$37,2,)))))*(1+K11)</f>
        <v>0</v>
      </c>
      <c r="R22" s="2412">
        <f>IF(D11="yes",$E11,$G11)*(MIN(B22,E22)*time+ABS(E22-B22)*IF(E22&gt;B22,time*(VLOOKUP(F22,List!$E$35:$F$37,2,)),time*(1-(VLOOKUP(J45,List!$E$35:$F$37,2,)))))*(1+K11)</f>
        <v>0</v>
      </c>
      <c r="T22" s="232"/>
      <c r="U22" s="232"/>
      <c r="V22" s="232"/>
      <c r="W22" s="232"/>
      <c r="X22" s="232"/>
      <c r="Y22" s="232"/>
      <c r="Z22" s="232"/>
      <c r="AA22" s="232"/>
      <c r="AB22" s="232"/>
      <c r="AC22" s="232"/>
      <c r="AD22" s="232"/>
      <c r="AE22" s="232"/>
      <c r="AF22" s="232"/>
      <c r="AG22" s="232"/>
      <c r="AH22" s="232"/>
      <c r="AI22" s="232"/>
      <c r="AJ22" s="232"/>
    </row>
    <row r="23" spans="1:36">
      <c r="A23" s="767"/>
      <c r="B23" s="763"/>
      <c r="C23" s="763"/>
      <c r="D23" s="763"/>
      <c r="E23" s="763"/>
      <c r="F23" s="763"/>
      <c r="G23" s="763"/>
      <c r="H23" s="763"/>
      <c r="I23" s="1888"/>
      <c r="J23" s="763"/>
      <c r="K23" s="1888"/>
      <c r="L23" s="1888"/>
      <c r="M23" s="1888"/>
      <c r="N23" s="2565"/>
      <c r="O23" s="2403"/>
      <c r="T23" s="232"/>
      <c r="U23" s="232"/>
      <c r="V23" s="232"/>
      <c r="W23" s="232"/>
      <c r="X23" s="232"/>
      <c r="Y23" s="232"/>
      <c r="Z23" s="232"/>
      <c r="AA23" s="232"/>
      <c r="AB23" s="232"/>
      <c r="AC23" s="232"/>
      <c r="AD23" s="232"/>
      <c r="AE23" s="232"/>
      <c r="AF23" s="232"/>
      <c r="AG23" s="232"/>
      <c r="AH23" s="232"/>
      <c r="AI23" s="232"/>
      <c r="AJ23" s="232"/>
    </row>
    <row r="24" spans="1:36">
      <c r="A24" s="767"/>
      <c r="B24" s="656" t="s">
        <v>8906</v>
      </c>
      <c r="C24" s="770" t="s">
        <v>892</v>
      </c>
      <c r="D24" s="3649"/>
      <c r="E24" s="3649"/>
      <c r="F24" s="3649"/>
      <c r="G24" s="3649"/>
      <c r="H24" s="3649"/>
      <c r="I24" s="1888"/>
      <c r="J24" s="763"/>
      <c r="K24" s="1888"/>
      <c r="L24" s="1888"/>
      <c r="M24" s="1888"/>
      <c r="N24" s="2565"/>
      <c r="O24" s="2403"/>
      <c r="S24" s="2412">
        <f>R22-Q22</f>
        <v>0</v>
      </c>
      <c r="T24" s="232"/>
      <c r="U24" s="232"/>
      <c r="V24" s="232"/>
      <c r="W24" s="232"/>
      <c r="X24" s="232"/>
      <c r="Y24" s="232"/>
      <c r="Z24" s="232"/>
      <c r="AA24" s="232"/>
      <c r="AB24" s="232"/>
      <c r="AC24" s="232"/>
      <c r="AD24" s="232"/>
      <c r="AE24" s="232"/>
      <c r="AF24" s="232"/>
      <c r="AG24" s="232"/>
      <c r="AH24" s="232"/>
      <c r="AI24" s="232"/>
      <c r="AJ24" s="232"/>
    </row>
    <row r="25" spans="1:36">
      <c r="A25" s="767"/>
      <c r="B25" s="774" t="s">
        <v>894</v>
      </c>
      <c r="C25" s="585"/>
      <c r="D25" s="585"/>
      <c r="E25" s="585"/>
      <c r="F25" s="585"/>
      <c r="G25" s="781" t="s">
        <v>895</v>
      </c>
      <c r="H25" s="782"/>
      <c r="I25" s="1888"/>
      <c r="J25" s="763"/>
      <c r="K25" s="1888"/>
      <c r="L25" s="1888"/>
      <c r="M25" s="1888"/>
      <c r="N25" s="2565"/>
      <c r="O25" s="2403"/>
      <c r="T25" s="232"/>
      <c r="U25" s="232"/>
      <c r="V25" s="232"/>
      <c r="W25" s="232"/>
      <c r="X25" s="232"/>
      <c r="Y25" s="232"/>
      <c r="Z25" s="232"/>
      <c r="AA25" s="232"/>
      <c r="AB25" s="232"/>
      <c r="AC25" s="232"/>
      <c r="AD25" s="232"/>
      <c r="AE25" s="232"/>
      <c r="AF25" s="232"/>
      <c r="AG25" s="232"/>
      <c r="AH25" s="232"/>
      <c r="AI25" s="232"/>
      <c r="AJ25" s="232"/>
    </row>
    <row r="26" spans="1:36">
      <c r="A26" s="767"/>
      <c r="B26" s="1015" t="s">
        <v>340</v>
      </c>
      <c r="C26" s="3852" t="s">
        <v>673</v>
      </c>
      <c r="D26" s="3852"/>
      <c r="E26" s="3853" t="s">
        <v>672</v>
      </c>
      <c r="F26" s="3853"/>
      <c r="G26" s="3894" t="s">
        <v>342</v>
      </c>
      <c r="H26" s="3797"/>
      <c r="I26" s="726" t="s">
        <v>897</v>
      </c>
      <c r="J26" s="771"/>
      <c r="K26" s="771"/>
      <c r="L26" s="1888"/>
      <c r="M26" s="1888"/>
      <c r="N26" s="2565"/>
      <c r="O26" s="2403"/>
      <c r="T26" s="232"/>
      <c r="U26" s="232"/>
      <c r="V26" s="232"/>
      <c r="W26" s="232"/>
      <c r="X26" s="232"/>
      <c r="Y26" s="232"/>
      <c r="Z26" s="232"/>
      <c r="AA26" s="232"/>
      <c r="AB26" s="232"/>
      <c r="AC26" s="232"/>
      <c r="AD26" s="232"/>
      <c r="AE26" s="232"/>
      <c r="AF26" s="232"/>
      <c r="AG26" s="232"/>
      <c r="AH26" s="232"/>
      <c r="AI26" s="232"/>
      <c r="AJ26" s="232"/>
    </row>
    <row r="27" spans="1:36" ht="13.5" thickBot="1">
      <c r="A27" s="767"/>
      <c r="B27" s="1016" t="s">
        <v>347</v>
      </c>
      <c r="C27" s="783" t="s">
        <v>341</v>
      </c>
      <c r="D27" s="784" t="s">
        <v>348</v>
      </c>
      <c r="E27" s="785" t="s">
        <v>341</v>
      </c>
      <c r="F27" s="786" t="s">
        <v>348</v>
      </c>
      <c r="G27" s="787" t="s">
        <v>674</v>
      </c>
      <c r="H27" s="788" t="s">
        <v>675</v>
      </c>
      <c r="I27" s="771"/>
      <c r="J27" s="772"/>
      <c r="K27" s="2390">
        <f>IF('7. Inputs'!M208="",'7. Inputs'!K208,'7. Inputs'!M208)/100</f>
        <v>0.1</v>
      </c>
      <c r="L27" s="1888"/>
      <c r="M27" s="1888"/>
      <c r="N27" s="2565"/>
      <c r="O27" s="2403"/>
      <c r="Q27" s="2412" t="s">
        <v>674</v>
      </c>
      <c r="R27" s="2412" t="s">
        <v>675</v>
      </c>
      <c r="T27" s="232"/>
      <c r="U27" s="232"/>
      <c r="V27" s="232"/>
      <c r="W27" s="232"/>
      <c r="X27" s="232"/>
      <c r="Y27" s="232"/>
      <c r="Z27" s="232"/>
      <c r="AA27" s="232"/>
      <c r="AB27" s="232"/>
      <c r="AC27" s="232"/>
      <c r="AD27" s="232"/>
      <c r="AE27" s="232"/>
      <c r="AF27" s="232"/>
      <c r="AG27" s="232"/>
      <c r="AH27" s="232"/>
      <c r="AI27" s="232"/>
      <c r="AJ27" s="232"/>
    </row>
    <row r="28" spans="1:36" ht="13.5" thickBot="1">
      <c r="A28" s="767"/>
      <c r="B28" s="1973">
        <f>'7. Inputs'!H41</f>
        <v>0</v>
      </c>
      <c r="C28" s="1973">
        <f>'7. Inputs'!I41</f>
        <v>0</v>
      </c>
      <c r="D28" s="2392" t="str">
        <f>VLOOKUP('7. Inputs'!J41,List!$D$35:$E$37,2,)</f>
        <v>Linear</v>
      </c>
      <c r="E28" s="1973">
        <f>'7. Inputs'!K41</f>
        <v>0</v>
      </c>
      <c r="F28" s="2392" t="str">
        <f>VLOOKUP('7. Inputs'!L41,List!$D$35:$E$37,2,)</f>
        <v>Linear</v>
      </c>
      <c r="G28" s="932">
        <f>K28*(MIN(B28,C28)*time_tot+ABS(C28-B28)*IF(C28&gt;B28,time2+time*(VLOOKUP(D28,List!$E$35:$F$37,2,)),time*(1-(VLOOKUP(D28,List!$E$35:$F$37,2,)))))*(1+K27)</f>
        <v>0</v>
      </c>
      <c r="H28" s="933">
        <f>K28*(MIN(B28,E28)*time_tot+ABS(E28-B28)*IF(E28&gt;B28,time2+time*(VLOOKUP(F28,List!$E$35:$F$37,2,)),time*(1-(VLOOKUP(F28,List!$E$35:$F$37,2,)))))*(1+K27)</f>
        <v>0</v>
      </c>
      <c r="I28" s="3899" t="s">
        <v>8907</v>
      </c>
      <c r="J28" s="3795"/>
      <c r="K28" s="3652">
        <f>'7. Inputs'!M207</f>
        <v>0</v>
      </c>
      <c r="L28" s="1888"/>
      <c r="M28" s="1888"/>
      <c r="N28" s="2565"/>
      <c r="O28" s="2403"/>
      <c r="Q28" s="2412">
        <f>K28*(MIN(B28,C28)*time+ABS(C28-B28)*IF(C28&gt;B28,time*(VLOOKUP(D28,List!$E$35:$F$37,2,)),time*(1-(VLOOKUP(D28,List!$E$35:$F$37,2,)))))*(1+K27)</f>
        <v>0</v>
      </c>
      <c r="R28" s="2412">
        <f>K28*(MIN(B22,E22)*time+ABS(E22-B22)*IF(E22&gt;B22,time*(VLOOKUP(F22,List!$E$35:$F$37,2,)),time*(1-(VLOOKUP(J45,List!$E$35:$F$37,2,)))))*(1+K11)</f>
        <v>0</v>
      </c>
      <c r="T28" s="232"/>
      <c r="U28" s="232"/>
      <c r="V28" s="232"/>
      <c r="W28" s="232"/>
      <c r="X28" s="232"/>
      <c r="Y28" s="232"/>
      <c r="Z28" s="232"/>
      <c r="AA28" s="232"/>
      <c r="AB28" s="232"/>
      <c r="AC28" s="232"/>
      <c r="AD28" s="232"/>
      <c r="AE28" s="232"/>
      <c r="AF28" s="232"/>
      <c r="AG28" s="232"/>
      <c r="AH28" s="232"/>
      <c r="AI28" s="232"/>
      <c r="AJ28" s="232"/>
    </row>
    <row r="29" spans="1:36">
      <c r="A29" s="767"/>
      <c r="B29" s="1888"/>
      <c r="C29" s="1888"/>
      <c r="D29" s="1888"/>
      <c r="E29" s="1888"/>
      <c r="F29" s="1888"/>
      <c r="G29" s="1888"/>
      <c r="H29" s="1888"/>
      <c r="I29" s="1888"/>
      <c r="J29" s="763"/>
      <c r="K29" s="1888"/>
      <c r="L29" s="1888"/>
      <c r="M29" s="1888"/>
      <c r="N29" s="2565"/>
      <c r="O29" s="2403"/>
      <c r="S29" s="2412">
        <f>R28-Q28</f>
        <v>0</v>
      </c>
      <c r="T29" s="232"/>
      <c r="U29" s="232"/>
      <c r="V29" s="232"/>
      <c r="W29" s="232"/>
      <c r="X29" s="232"/>
      <c r="Y29" s="232"/>
      <c r="Z29" s="232"/>
      <c r="AA29" s="232"/>
      <c r="AB29" s="232"/>
      <c r="AC29" s="232"/>
      <c r="AD29" s="232"/>
      <c r="AE29" s="232"/>
      <c r="AF29" s="232"/>
      <c r="AG29" s="232"/>
      <c r="AH29" s="232"/>
      <c r="AI29" s="232"/>
      <c r="AJ29" s="232"/>
    </row>
    <row r="30" spans="1:36">
      <c r="A30" s="767"/>
      <c r="B30" s="796" t="s">
        <v>969</v>
      </c>
      <c r="C30" s="797"/>
      <c r="D30" s="798" t="s">
        <v>968</v>
      </c>
      <c r="E30" s="799">
        <f>F15+G22</f>
        <v>0</v>
      </c>
      <c r="F30" s="798" t="s">
        <v>967</v>
      </c>
      <c r="G30" s="799">
        <f>F16+H22</f>
        <v>0</v>
      </c>
      <c r="H30" s="800"/>
      <c r="I30" s="801" t="s">
        <v>343</v>
      </c>
      <c r="J30" s="1091">
        <f>G30-E30</f>
        <v>0</v>
      </c>
      <c r="K30" s="1888"/>
      <c r="L30" s="1888"/>
      <c r="M30" s="1888"/>
      <c r="N30" s="2565"/>
      <c r="O30" s="2403"/>
      <c r="T30" s="232"/>
      <c r="U30" s="232"/>
      <c r="V30" s="232"/>
      <c r="W30" s="232"/>
      <c r="X30" s="232"/>
      <c r="Y30" s="232"/>
      <c r="Z30" s="232"/>
      <c r="AA30" s="232"/>
      <c r="AB30" s="232"/>
      <c r="AC30" s="232"/>
      <c r="AD30" s="232"/>
      <c r="AE30" s="232"/>
      <c r="AF30" s="232"/>
      <c r="AG30" s="232"/>
      <c r="AH30" s="232"/>
      <c r="AI30" s="232"/>
      <c r="AJ30" s="232"/>
    </row>
    <row r="31" spans="1:36">
      <c r="A31" s="767"/>
      <c r="B31" s="796" t="s">
        <v>8906</v>
      </c>
      <c r="C31" s="797"/>
      <c r="D31" s="798" t="s">
        <v>968</v>
      </c>
      <c r="E31" s="3650">
        <f>G28</f>
        <v>0</v>
      </c>
      <c r="F31" s="798" t="s">
        <v>967</v>
      </c>
      <c r="G31" s="3650">
        <f>H28</f>
        <v>0</v>
      </c>
      <c r="H31" s="800"/>
      <c r="I31" s="801" t="s">
        <v>343</v>
      </c>
      <c r="J31" s="3651">
        <f>G31-E31</f>
        <v>0</v>
      </c>
      <c r="K31" s="794"/>
      <c r="L31" s="795"/>
      <c r="M31" s="233"/>
      <c r="N31" s="2565"/>
      <c r="O31" s="2403"/>
      <c r="S31" s="762"/>
      <c r="T31" s="232"/>
      <c r="U31" s="232"/>
      <c r="V31" s="232"/>
      <c r="W31" s="232"/>
      <c r="X31" s="232"/>
      <c r="Y31" s="232"/>
      <c r="Z31" s="232"/>
      <c r="AA31" s="232"/>
      <c r="AB31" s="232"/>
      <c r="AC31" s="232"/>
      <c r="AD31" s="232"/>
      <c r="AE31" s="232"/>
      <c r="AF31" s="232"/>
      <c r="AG31" s="232"/>
      <c r="AH31" s="232"/>
      <c r="AI31" s="232"/>
      <c r="AJ31" s="232"/>
    </row>
    <row r="32" spans="1:36">
      <c r="A32" s="767"/>
      <c r="B32" s="762"/>
      <c r="E32" s="762"/>
      <c r="F32" s="762"/>
      <c r="G32" s="762"/>
      <c r="J32" s="3653">
        <f>SUM(J30:J31)</f>
        <v>0</v>
      </c>
      <c r="K32" s="600"/>
      <c r="L32" s="600"/>
      <c r="M32" s="233"/>
      <c r="N32" s="2565"/>
      <c r="O32" s="2403"/>
      <c r="T32" s="232"/>
      <c r="U32" s="232"/>
      <c r="V32" s="232"/>
      <c r="W32" s="232"/>
      <c r="X32" s="232"/>
      <c r="Y32" s="232"/>
      <c r="Z32" s="232"/>
      <c r="AA32" s="232"/>
      <c r="AB32" s="232"/>
      <c r="AC32" s="232"/>
      <c r="AD32" s="232"/>
      <c r="AE32" s="232"/>
      <c r="AF32" s="232"/>
      <c r="AG32" s="232"/>
      <c r="AH32" s="232"/>
      <c r="AI32" s="232"/>
      <c r="AJ32" s="232"/>
    </row>
    <row r="33" spans="1:36">
      <c r="A33" s="767"/>
      <c r="B33" s="767"/>
      <c r="C33" s="767"/>
      <c r="D33" s="792"/>
      <c r="E33" s="793"/>
      <c r="F33" s="793"/>
      <c r="G33" s="793"/>
      <c r="H33" s="793"/>
      <c r="I33" s="793"/>
      <c r="J33" s="793"/>
      <c r="K33" s="794"/>
      <c r="L33" s="795"/>
      <c r="M33" s="233"/>
      <c r="N33" s="2565"/>
      <c r="O33" s="2403"/>
      <c r="T33" s="232"/>
      <c r="U33" s="232"/>
      <c r="V33" s="232"/>
      <c r="W33" s="232"/>
      <c r="X33" s="232"/>
      <c r="Y33" s="232"/>
      <c r="Z33" s="232"/>
      <c r="AA33" s="232"/>
      <c r="AB33" s="232"/>
      <c r="AC33" s="232"/>
      <c r="AD33" s="232"/>
      <c r="AE33" s="232"/>
      <c r="AF33" s="232"/>
      <c r="AG33" s="232"/>
      <c r="AH33" s="232"/>
      <c r="AI33" s="232"/>
      <c r="AJ33" s="232"/>
    </row>
    <row r="34" spans="1:36">
      <c r="A34" s="767"/>
      <c r="B34" s="803" t="s">
        <v>898</v>
      </c>
      <c r="C34" s="803"/>
      <c r="D34" s="804"/>
      <c r="E34" s="805"/>
      <c r="F34" s="806"/>
      <c r="G34" s="806"/>
      <c r="H34" s="807"/>
      <c r="I34" s="806"/>
      <c r="J34" s="808"/>
      <c r="K34" s="808"/>
      <c r="L34" s="808"/>
      <c r="M34" s="233"/>
      <c r="N34" s="2566"/>
      <c r="O34" s="2403"/>
      <c r="T34" s="232"/>
      <c r="U34" s="232"/>
      <c r="V34" s="232"/>
      <c r="W34" s="232"/>
      <c r="X34" s="232"/>
      <c r="Y34" s="232"/>
      <c r="Z34" s="232"/>
      <c r="AA34" s="232"/>
      <c r="AB34" s="232"/>
      <c r="AC34" s="232"/>
      <c r="AD34" s="232"/>
      <c r="AE34" s="232"/>
      <c r="AF34" s="232"/>
      <c r="AG34" s="232"/>
      <c r="AH34" s="232"/>
      <c r="AI34" s="232"/>
      <c r="AJ34" s="232"/>
    </row>
    <row r="35" spans="1:36">
      <c r="A35" s="768"/>
      <c r="B35" s="768"/>
      <c r="C35" s="768"/>
      <c r="D35" s="809"/>
      <c r="E35" s="703"/>
      <c r="F35" s="793"/>
      <c r="G35" s="793"/>
      <c r="H35" s="810"/>
      <c r="I35" s="600"/>
      <c r="J35" s="810"/>
      <c r="K35" s="600"/>
      <c r="L35" s="811" t="s">
        <v>930</v>
      </c>
      <c r="M35" s="600"/>
      <c r="N35" s="2403"/>
      <c r="O35" s="2403"/>
      <c r="Q35" s="2412" t="s">
        <v>844</v>
      </c>
      <c r="T35" s="232"/>
      <c r="U35" s="232"/>
      <c r="V35" s="232"/>
      <c r="W35" s="232"/>
      <c r="X35" s="232"/>
      <c r="Y35" s="232"/>
      <c r="Z35" s="232"/>
      <c r="AA35" s="232"/>
      <c r="AB35" s="232"/>
      <c r="AC35" s="232"/>
      <c r="AD35" s="232"/>
      <c r="AE35" s="232"/>
      <c r="AF35" s="232"/>
      <c r="AG35" s="232"/>
      <c r="AH35" s="232"/>
      <c r="AI35" s="232"/>
      <c r="AJ35" s="232"/>
    </row>
    <row r="36" spans="1:36">
      <c r="A36" s="767"/>
      <c r="B36" s="656" t="s">
        <v>890</v>
      </c>
      <c r="C36" s="656"/>
      <c r="D36" s="770" t="s">
        <v>922</v>
      </c>
      <c r="E36" s="614"/>
      <c r="F36" s="614"/>
      <c r="G36" s="600"/>
      <c r="H36" s="600"/>
      <c r="I36" s="793"/>
      <c r="J36" s="810"/>
      <c r="K36" s="794"/>
      <c r="L36" s="795"/>
      <c r="M36" s="600"/>
      <c r="N36" s="2562"/>
      <c r="O36" s="2562"/>
      <c r="T36" s="232"/>
      <c r="U36" s="232"/>
      <c r="V36" s="232"/>
      <c r="W36" s="232"/>
      <c r="X36" s="232"/>
      <c r="Y36" s="232"/>
      <c r="Z36" s="232"/>
      <c r="AA36" s="232"/>
      <c r="AB36" s="232"/>
      <c r="AC36" s="232"/>
      <c r="AD36" s="232"/>
      <c r="AE36" s="232"/>
      <c r="AF36" s="232"/>
      <c r="AG36" s="232"/>
      <c r="AH36" s="232"/>
      <c r="AI36" s="232"/>
      <c r="AJ36" s="232"/>
    </row>
    <row r="37" spans="1:36" ht="13.5" thickBot="1">
      <c r="A37" s="767"/>
      <c r="B37" s="726" t="s">
        <v>925</v>
      </c>
      <c r="C37" s="726"/>
      <c r="D37" s="605"/>
      <c r="E37" s="728" t="s">
        <v>923</v>
      </c>
      <c r="F37" s="812" t="s">
        <v>924</v>
      </c>
      <c r="G37" s="726" t="s">
        <v>837</v>
      </c>
      <c r="H37" s="605"/>
      <c r="I37" s="793"/>
      <c r="J37" s="810"/>
      <c r="K37" s="794"/>
      <c r="L37" s="795"/>
      <c r="M37" s="241"/>
      <c r="N37" s="2562"/>
      <c r="O37" s="2562"/>
      <c r="P37" s="2562"/>
      <c r="S37" s="2563" t="s">
        <v>66</v>
      </c>
      <c r="T37" s="232"/>
      <c r="U37" s="232"/>
      <c r="V37" s="232"/>
      <c r="W37" s="232"/>
      <c r="X37" s="232"/>
      <c r="Y37" s="232"/>
      <c r="Z37" s="232"/>
      <c r="AA37" s="232"/>
      <c r="AB37" s="232"/>
      <c r="AC37" s="232"/>
      <c r="AD37" s="232"/>
      <c r="AE37" s="232"/>
      <c r="AF37" s="232"/>
      <c r="AG37" s="232"/>
      <c r="AH37" s="232"/>
      <c r="AI37" s="232"/>
      <c r="AJ37" s="232"/>
    </row>
    <row r="38" spans="1:36">
      <c r="A38" s="767"/>
      <c r="B38" s="774" t="s">
        <v>673</v>
      </c>
      <c r="C38" s="780"/>
      <c r="D38" s="720"/>
      <c r="E38" s="935">
        <v>0</v>
      </c>
      <c r="F38" s="936">
        <v>0</v>
      </c>
      <c r="G38" s="3895">
        <f>E38*IF(E45="yes",$C$45,$D$45)+F38*IF(E46="yes",$C$46,$D$46)</f>
        <v>0</v>
      </c>
      <c r="H38" s="3896"/>
      <c r="I38" s="793"/>
      <c r="J38" s="810"/>
      <c r="K38" s="794"/>
      <c r="L38" s="795"/>
      <c r="M38" s="241"/>
      <c r="N38" s="2562"/>
      <c r="O38" s="2562"/>
      <c r="P38" s="2562"/>
      <c r="S38" s="2563">
        <f>IF(time_tot=0,0,(G39-G38)*time/time_tot)</f>
        <v>0</v>
      </c>
      <c r="T38" s="232"/>
      <c r="U38" s="232"/>
      <c r="V38" s="232"/>
      <c r="W38" s="232"/>
      <c r="X38" s="232"/>
      <c r="Y38" s="232"/>
      <c r="Z38" s="232"/>
      <c r="AA38" s="232"/>
      <c r="AB38" s="232"/>
      <c r="AC38" s="232"/>
      <c r="AD38" s="232"/>
      <c r="AE38" s="232"/>
      <c r="AF38" s="232"/>
      <c r="AG38" s="232"/>
      <c r="AH38" s="232"/>
      <c r="AI38" s="232"/>
      <c r="AJ38" s="232"/>
    </row>
    <row r="39" spans="1:36" ht="13.5" thickBot="1">
      <c r="A39" s="767"/>
      <c r="B39" s="608" t="s">
        <v>672</v>
      </c>
      <c r="C39" s="609"/>
      <c r="D39" s="776"/>
      <c r="E39" s="939">
        <v>0</v>
      </c>
      <c r="F39" s="940">
        <v>0</v>
      </c>
      <c r="G39" s="3897">
        <f>E39*IF(E45="yes",$C$45,$D$45)+F39*IF(E46="yes",$C$46,$D$46)</f>
        <v>0</v>
      </c>
      <c r="H39" s="3898"/>
      <c r="I39" s="600"/>
      <c r="J39" s="241"/>
      <c r="K39" s="241"/>
      <c r="L39" s="778"/>
      <c r="M39" s="241"/>
      <c r="N39" s="2564"/>
      <c r="O39" s="2423"/>
      <c r="P39" s="2562"/>
      <c r="Q39" s="2563"/>
      <c r="T39" s="232"/>
      <c r="U39" s="232"/>
      <c r="V39" s="232"/>
      <c r="W39" s="232"/>
      <c r="X39" s="232"/>
      <c r="Y39" s="232"/>
      <c r="Z39" s="232"/>
      <c r="AA39" s="232"/>
      <c r="AB39" s="232"/>
      <c r="AC39" s="232"/>
      <c r="AD39" s="232"/>
      <c r="AE39" s="232"/>
      <c r="AF39" s="232"/>
      <c r="AG39" s="232"/>
      <c r="AH39" s="232"/>
      <c r="AI39" s="232"/>
      <c r="AJ39" s="232"/>
    </row>
    <row r="40" spans="1:36">
      <c r="A40" s="767"/>
      <c r="B40" s="241"/>
      <c r="C40" s="241"/>
      <c r="D40" s="779"/>
      <c r="E40" s="433"/>
      <c r="F40" s="433"/>
      <c r="G40" s="241"/>
      <c r="H40" s="241"/>
      <c r="I40" s="779"/>
      <c r="J40" s="241"/>
      <c r="K40" s="241"/>
      <c r="L40" s="241"/>
      <c r="M40" s="612"/>
      <c r="N40" s="2562"/>
      <c r="O40" s="2562"/>
      <c r="P40" s="2562"/>
      <c r="Q40" s="2563"/>
      <c r="T40" s="232"/>
      <c r="U40" s="232"/>
      <c r="V40" s="232"/>
      <c r="W40" s="232"/>
      <c r="X40" s="232"/>
      <c r="Y40" s="232"/>
      <c r="Z40" s="232"/>
      <c r="AA40" s="232"/>
      <c r="AB40" s="232"/>
      <c r="AC40" s="232"/>
      <c r="AD40" s="232"/>
      <c r="AE40" s="232"/>
      <c r="AF40" s="232"/>
      <c r="AG40" s="232"/>
      <c r="AH40" s="232"/>
      <c r="AI40" s="232"/>
      <c r="AJ40" s="232"/>
    </row>
    <row r="41" spans="1:36">
      <c r="A41" s="767"/>
      <c r="B41" s="656" t="s">
        <v>891</v>
      </c>
      <c r="C41" s="656"/>
      <c r="D41" s="770" t="s">
        <v>1158</v>
      </c>
      <c r="E41" s="433"/>
      <c r="F41" s="433"/>
      <c r="G41" s="241"/>
      <c r="H41" s="241"/>
      <c r="I41" s="779"/>
      <c r="J41" s="241"/>
      <c r="K41" s="241"/>
      <c r="L41" s="241"/>
      <c r="M41" s="241"/>
      <c r="N41" s="2562"/>
      <c r="O41" s="2562"/>
      <c r="P41" s="2562"/>
      <c r="Q41" s="2563"/>
      <c r="T41" s="232"/>
      <c r="U41" s="232"/>
      <c r="V41" s="232"/>
      <c r="W41" s="232"/>
      <c r="X41" s="232"/>
      <c r="Y41" s="232"/>
      <c r="Z41" s="232"/>
      <c r="AA41" s="232"/>
      <c r="AB41" s="232"/>
      <c r="AC41" s="232"/>
      <c r="AD41" s="232"/>
      <c r="AE41" s="232"/>
      <c r="AF41" s="232"/>
      <c r="AG41" s="232"/>
      <c r="AH41" s="232"/>
      <c r="AI41" s="232"/>
      <c r="AJ41" s="232"/>
    </row>
    <row r="42" spans="1:36">
      <c r="A42" s="767"/>
      <c r="B42" s="269"/>
      <c r="C42" s="270"/>
      <c r="D42" s="559"/>
      <c r="E42" s="560"/>
      <c r="F42" s="813" t="s">
        <v>928</v>
      </c>
      <c r="G42" s="814"/>
      <c r="H42" s="815"/>
      <c r="I42" s="815"/>
      <c r="J42" s="816"/>
      <c r="K42" s="781" t="s">
        <v>895</v>
      </c>
      <c r="L42" s="782"/>
      <c r="M42" s="241"/>
      <c r="N42" s="2416"/>
      <c r="O42" s="2423"/>
      <c r="P42" s="2562"/>
      <c r="Q42" s="2563"/>
      <c r="T42" s="232"/>
      <c r="U42" s="232"/>
      <c r="V42" s="232"/>
      <c r="W42" s="232"/>
      <c r="X42" s="232"/>
      <c r="Y42" s="232"/>
      <c r="Z42" s="232"/>
      <c r="AA42" s="232"/>
      <c r="AB42" s="232"/>
      <c r="AC42" s="232"/>
      <c r="AD42" s="232"/>
      <c r="AE42" s="232"/>
      <c r="AF42" s="232"/>
      <c r="AG42" s="232"/>
      <c r="AH42" s="232"/>
      <c r="AI42" s="232"/>
      <c r="AJ42" s="232"/>
    </row>
    <row r="43" spans="1:36">
      <c r="A43" s="767"/>
      <c r="B43" s="547" t="s">
        <v>926</v>
      </c>
      <c r="C43" s="545" t="s">
        <v>893</v>
      </c>
      <c r="D43" s="545" t="s">
        <v>338</v>
      </c>
      <c r="E43" s="557" t="s">
        <v>339</v>
      </c>
      <c r="F43" s="630" t="s">
        <v>340</v>
      </c>
      <c r="G43" s="3852" t="s">
        <v>673</v>
      </c>
      <c r="H43" s="3852"/>
      <c r="I43" s="3853" t="s">
        <v>672</v>
      </c>
      <c r="J43" s="3853"/>
      <c r="K43" s="3894" t="s">
        <v>342</v>
      </c>
      <c r="L43" s="3797"/>
      <c r="M43" s="612"/>
      <c r="N43" s="2567"/>
      <c r="O43" s="2423"/>
      <c r="P43" s="2423"/>
      <c r="Q43" s="2563"/>
      <c r="T43" s="232"/>
      <c r="U43" s="232"/>
      <c r="V43" s="232"/>
      <c r="W43" s="232"/>
      <c r="X43" s="232"/>
      <c r="Y43" s="232"/>
      <c r="Z43" s="232"/>
      <c r="AA43" s="232"/>
      <c r="AB43" s="232"/>
      <c r="AC43" s="232"/>
      <c r="AD43" s="232"/>
      <c r="AE43" s="232"/>
      <c r="AF43" s="232"/>
      <c r="AG43" s="232"/>
      <c r="AH43" s="232"/>
      <c r="AI43" s="232"/>
      <c r="AJ43" s="232"/>
    </row>
    <row r="44" spans="1:36" ht="13.5" thickBot="1">
      <c r="A44" s="767"/>
      <c r="B44" s="547"/>
      <c r="C44" s="2345" t="s">
        <v>927</v>
      </c>
      <c r="D44" s="545" t="s">
        <v>966</v>
      </c>
      <c r="E44" s="557" t="s">
        <v>346</v>
      </c>
      <c r="F44" s="630" t="s">
        <v>347</v>
      </c>
      <c r="G44" s="631" t="s">
        <v>341</v>
      </c>
      <c r="H44" s="747" t="s">
        <v>348</v>
      </c>
      <c r="I44" s="748" t="s">
        <v>341</v>
      </c>
      <c r="J44" s="817" t="s">
        <v>348</v>
      </c>
      <c r="K44" s="787" t="s">
        <v>674</v>
      </c>
      <c r="L44" s="788" t="s">
        <v>675</v>
      </c>
      <c r="M44" s="789"/>
      <c r="N44" s="2564"/>
      <c r="O44" s="2423"/>
      <c r="P44" s="2423"/>
      <c r="Q44" s="2412" t="s">
        <v>674</v>
      </c>
      <c r="R44" s="2412" t="s">
        <v>675</v>
      </c>
      <c r="T44" s="232"/>
      <c r="U44" s="232"/>
      <c r="V44" s="232"/>
      <c r="W44" s="232"/>
      <c r="X44" s="232"/>
      <c r="Y44" s="232"/>
      <c r="Z44" s="232"/>
      <c r="AA44" s="232"/>
      <c r="AB44" s="232"/>
      <c r="AC44" s="232"/>
      <c r="AD44" s="232"/>
      <c r="AE44" s="232"/>
      <c r="AF44" s="232"/>
      <c r="AG44" s="232"/>
      <c r="AH44" s="232"/>
      <c r="AI44" s="232"/>
      <c r="AJ44" s="232"/>
    </row>
    <row r="45" spans="1:36" ht="13.5" thickBot="1">
      <c r="A45" s="767"/>
      <c r="B45" s="2980" t="s">
        <v>923</v>
      </c>
      <c r="C45" s="1197">
        <f>' IPCC'!$B$680</f>
        <v>2.6224696892130002</v>
      </c>
      <c r="D45" s="2394">
        <f>IF('7. Inputs'!M211="",'7. Inputs'!K211,'7. Inputs'!M211)</f>
        <v>2.6224696892130002</v>
      </c>
      <c r="E45" s="1204" t="s">
        <v>354</v>
      </c>
      <c r="F45" s="1847">
        <f>'7. Inputs'!H44</f>
        <v>0</v>
      </c>
      <c r="G45" s="1847">
        <f>'7. Inputs'!I44</f>
        <v>0</v>
      </c>
      <c r="H45" s="2393" t="str">
        <f>VLOOKUP('7. Inputs'!J44,List!$D$35:$E$37,2,)</f>
        <v>Linear</v>
      </c>
      <c r="I45" s="1976">
        <f>'7. Inputs'!K44</f>
        <v>0</v>
      </c>
      <c r="J45" s="2393" t="str">
        <f>VLOOKUP('7. Inputs'!L44,List!$D$35:$E$37,2,)</f>
        <v>Linear</v>
      </c>
      <c r="K45" s="1361">
        <f>IF(E45="yes",$C45,$D45)*(MIN(F45,G45)*time_tot+ABS(G45-F45)*IF(G45&gt;F45,time2+time*(VLOOKUP(H45,List!$E$35:$F$37,2,)),time*(1-(VLOOKUP(H45,List!$E$35:$F$37,2,)))))</f>
        <v>0</v>
      </c>
      <c r="L45" s="1362">
        <f>IF(E45="yes",$C45,$D45)*(MIN(F45,I45)*time_tot+ABS(I45-F45)*IF(I45&gt;F45,time2+time*(VLOOKUP(J45,List!$E$35:$F$37,2,)),time*(1-(VLOOKUP(J45,List!$E$35:$F$37,2,)))))</f>
        <v>0</v>
      </c>
      <c r="M45" s="612"/>
      <c r="N45" s="2564"/>
      <c r="O45" s="2403"/>
      <c r="P45" s="2423"/>
      <c r="Q45" s="2412">
        <f>IF(E45="yes",$C45,$D45)*(MIN(F45,G45)*time+ABS(G45-F45)*IF(G45&gt;F45,time*(VLOOKUP(H45,List!$E$35:$F$37,2,)),time*(1-(VLOOKUP(H45,List!$E$35:$F$37,2,)))))</f>
        <v>0</v>
      </c>
      <c r="R45" s="2412">
        <f>IF(E45="yes",$C45,$D45)*(MIN(F45,I45)*time+ABS(I45-F45)*IF(I45&gt;F45,time*(VLOOKUP(J45,List!$E$35:$F$37,2,)),time*(1-(VLOOKUP(J45,List!$E$35:$F$37,2,)))))</f>
        <v>0</v>
      </c>
      <c r="T45" s="232"/>
      <c r="U45" s="232"/>
      <c r="V45" s="232"/>
      <c r="W45" s="232"/>
      <c r="X45" s="232"/>
      <c r="Y45" s="232"/>
      <c r="Z45" s="232"/>
      <c r="AA45" s="232"/>
      <c r="AB45" s="232"/>
      <c r="AC45" s="232"/>
      <c r="AD45" s="232"/>
      <c r="AE45" s="232"/>
      <c r="AF45" s="232"/>
      <c r="AG45" s="232"/>
      <c r="AH45" s="232"/>
      <c r="AI45" s="232"/>
      <c r="AJ45" s="232"/>
    </row>
    <row r="46" spans="1:36" ht="13.5" thickBot="1">
      <c r="A46" s="767"/>
      <c r="B46" s="725" t="s">
        <v>924</v>
      </c>
      <c r="C46" s="937">
        <f>' IPCC'!$B$679</f>
        <v>2.8713948129333327</v>
      </c>
      <c r="D46" s="2394">
        <f>IF('7. Inputs'!M212="",'7. Inputs'!K212,'7. Inputs'!M212)</f>
        <v>2.8713948129333327</v>
      </c>
      <c r="E46" s="1204" t="s">
        <v>354</v>
      </c>
      <c r="F46" s="1847">
        <f>'7. Inputs'!H45</f>
        <v>0</v>
      </c>
      <c r="G46" s="1847">
        <f>'7. Inputs'!I45</f>
        <v>0</v>
      </c>
      <c r="H46" s="2393" t="str">
        <f>VLOOKUP('7. Inputs'!J45,List!$D$35:$E$37,2,)</f>
        <v>Linear</v>
      </c>
      <c r="I46" s="1976">
        <f>'7. Inputs'!K45</f>
        <v>0</v>
      </c>
      <c r="J46" s="2393" t="str">
        <f>VLOOKUP('7. Inputs'!L45,List!$D$35:$E$37,2,)</f>
        <v>Linear</v>
      </c>
      <c r="K46" s="1439">
        <f>IF(E46="yes",$C46,$D46)*(MIN(F46,G46)*time_tot+ABS(G46-F46)*IF(G46&gt;F46,time2+time*(VLOOKUP(H46,List!$E$35:$F$37,2,)),time*(1-(VLOOKUP(H46,List!$E$35:$F$37,2,)))))</f>
        <v>0</v>
      </c>
      <c r="L46" s="1440">
        <f>IF(E46="yes",$C46,$D46)*(MIN(F46,I46)*time_tot+ABS(I46-F46)*IF(I46&gt;F46,time2+time*(VLOOKUP(J46,List!$E$35:$F$37,2,)),time*(1-(VLOOKUP(J46,List!$E$35:$F$37,2,)))))</f>
        <v>0</v>
      </c>
      <c r="M46" s="612"/>
      <c r="N46" s="2564"/>
      <c r="O46" s="2403"/>
      <c r="P46" s="2423"/>
      <c r="Q46" s="2412">
        <f>IF(E46="yes",$C46,$D46)*(MIN(F46,G46)*time+ABS(G46-F46)*IF(G46&gt;F46,time*(VLOOKUP(H46,List!$E$35:$F$37,2,)),time*(1-(VLOOKUP(H46,List!$E$35:$F$37,2,)))))</f>
        <v>0</v>
      </c>
      <c r="R46" s="2412">
        <f>IF(E46="yes",$C46,$D46)*(MIN(F46,I46)*time+ABS(I46-F46)*IF(I46&gt;F46,time*(VLOOKUP(J46,List!$E$35:$F$37,2,)),time*(1-(VLOOKUP(J46,List!$E$35:$F$37,2,)))))</f>
        <v>0</v>
      </c>
      <c r="T46" s="232"/>
      <c r="U46" s="232"/>
      <c r="V46" s="232"/>
      <c r="W46" s="232"/>
      <c r="X46" s="232"/>
      <c r="Y46" s="232"/>
      <c r="Z46" s="232"/>
      <c r="AA46" s="232"/>
      <c r="AB46" s="232"/>
      <c r="AC46" s="232"/>
      <c r="AD46" s="232"/>
      <c r="AE46" s="232"/>
      <c r="AF46" s="232"/>
      <c r="AG46" s="232"/>
      <c r="AH46" s="232"/>
      <c r="AI46" s="232"/>
      <c r="AJ46" s="232"/>
    </row>
    <row r="47" spans="1:36" ht="13.5" thickBot="1">
      <c r="A47" s="767"/>
      <c r="B47" s="725" t="s">
        <v>110</v>
      </c>
      <c r="C47" s="1208">
        <f>AVERAGE(' IPCC'!B682:B683)</f>
        <v>1.6884716750000001E-3</v>
      </c>
      <c r="D47" s="2394">
        <f>IF('7. Inputs'!M213="",'7. Inputs'!K213,'7. Inputs'!M213)</f>
        <v>1.6884716750000001E-3</v>
      </c>
      <c r="E47" s="1204" t="s">
        <v>354</v>
      </c>
      <c r="F47" s="1847">
        <f>'7. Inputs'!H46</f>
        <v>0</v>
      </c>
      <c r="G47" s="1847">
        <f>'7. Inputs'!I46</f>
        <v>0</v>
      </c>
      <c r="H47" s="2393" t="str">
        <f>VLOOKUP('7. Inputs'!J46,List!$D$35:$E$37,2,)</f>
        <v>Linear</v>
      </c>
      <c r="I47" s="1976">
        <f>'7. Inputs'!K46</f>
        <v>0</v>
      </c>
      <c r="J47" s="2393" t="str">
        <f>VLOOKUP('7. Inputs'!L46,List!$D$35:$E$37,2,)</f>
        <v>Linear</v>
      </c>
      <c r="K47" s="1439">
        <f>IF(E47="yes",$C47,$D47)*(MIN(F47,G47)*time_tot+ABS(G47-F47)*IF(G47&gt;F47,time2+time*(VLOOKUP(H47,List!$E$35:$F$37,2,)),time*(1-(VLOOKUP(H47,List!$E$35:$F$37,2,)))))</f>
        <v>0</v>
      </c>
      <c r="L47" s="1440">
        <f>IF(E47="yes",$C47,$D47)*(MIN(F47,I47)*time_tot+ABS(I47-F47)*IF(I47&gt;F47,time2+time*(VLOOKUP(J47,List!$E$35:$F$37,2,)),time*(1-(VLOOKUP(J47,List!$E$35:$F$37,2,)))))</f>
        <v>0</v>
      </c>
      <c r="M47" s="612"/>
      <c r="N47" s="2564"/>
      <c r="O47" s="2403"/>
      <c r="P47" s="2423"/>
      <c r="Q47" s="2412">
        <f>IF(E47="yes",$C47,$D47)*(MIN(F47,G47)*time+ABS(G47-F47)*IF(G47&gt;F47,time*(VLOOKUP(H47,List!$E$35:$F$37,2,)),time*(1-(VLOOKUP(H47,List!$E$35:$F$37,2,)))))</f>
        <v>0</v>
      </c>
      <c r="R47" s="2412">
        <f>IF(E47="yes",$C47,$D47)*(MIN(F47,I47)*time+ABS(I47-F47)*IF(I47&gt;F47,time*(VLOOKUP(J47,List!$E$35:$F$37,2,)),time*(1-(VLOOKUP(J47,List!$E$35:$F$37,2,)))))</f>
        <v>0</v>
      </c>
      <c r="T47" s="232"/>
      <c r="U47" s="232"/>
      <c r="V47" s="232"/>
      <c r="W47" s="232"/>
      <c r="X47" s="232"/>
      <c r="Y47" s="232"/>
      <c r="Z47" s="232"/>
      <c r="AA47" s="232"/>
      <c r="AB47" s="232"/>
      <c r="AC47" s="232"/>
      <c r="AD47" s="232"/>
      <c r="AE47" s="232"/>
      <c r="AF47" s="232"/>
      <c r="AG47" s="232"/>
      <c r="AH47" s="232"/>
      <c r="AI47" s="232"/>
      <c r="AJ47" s="232"/>
    </row>
    <row r="48" spans="1:36" ht="13.5" thickBot="1">
      <c r="A48" s="767"/>
      <c r="B48" s="725" t="s">
        <v>112</v>
      </c>
      <c r="C48" s="1208">
        <f>' IPCC'!B688</f>
        <v>8.0000000000000002E-3</v>
      </c>
      <c r="D48" s="2394">
        <f>IF('7. Inputs'!M214="",'7. Inputs'!K214,'7. Inputs'!M214)</f>
        <v>8.0000000000000002E-3</v>
      </c>
      <c r="E48" s="1204" t="s">
        <v>354</v>
      </c>
      <c r="F48" s="1847">
        <f>'7. Inputs'!H47</f>
        <v>0</v>
      </c>
      <c r="G48" s="1847">
        <f>'7. Inputs'!I47</f>
        <v>0</v>
      </c>
      <c r="H48" s="2393" t="str">
        <f>VLOOKUP('7. Inputs'!J47,List!$D$35:$E$37,2,)</f>
        <v>Linear</v>
      </c>
      <c r="I48" s="1976">
        <f>'7. Inputs'!K47</f>
        <v>0</v>
      </c>
      <c r="J48" s="2393" t="str">
        <f>VLOOKUP('7. Inputs'!L47,List!$D$35:$E$37,2,)</f>
        <v>Linear</v>
      </c>
      <c r="K48" s="1439">
        <f>IF(E48="yes",$C48,$D48)*(MIN(F48,G48)*time_tot+ABS(G48-F48)*IF(G48&gt;F48,time2+time*(VLOOKUP(H48,List!$E$35:$F$37,2,)),time*(1-(VLOOKUP(H48,List!$E$35:$F$37,2,)))))</f>
        <v>0</v>
      </c>
      <c r="L48" s="1440">
        <f>IF(E48="yes",$C48,$D48)*(MIN(F48,I48)*time_tot+ABS(I48-F48)*IF(I48&gt;F48,time2+time*(VLOOKUP(J48,List!$E$35:$F$37,2,)),time*(1-(VLOOKUP(J48,List!$E$35:$F$37,2,)))))</f>
        <v>0</v>
      </c>
      <c r="M48" s="612"/>
      <c r="N48" s="2564"/>
      <c r="O48" s="2403"/>
      <c r="P48" s="2423"/>
      <c r="Q48" s="2412">
        <f>IF(E48="yes",$C48,$D48)*(MIN(F48,G48)*time+ABS(G48-F48)*IF(G48&gt;F48,time*(VLOOKUP(H48,List!$E$35:$F$37,2,)),time*(1-(VLOOKUP(H48,List!$E$35:$F$37,2,)))))</f>
        <v>0</v>
      </c>
      <c r="R48" s="2412">
        <f>IF(E48="yes",$C48,$D48)*(MIN(F48,I48)*time+ABS(I48-F48)*IF(I48&gt;F48,time*(VLOOKUP(J48,List!$E$35:$F$37,2,)),time*(1-(VLOOKUP(J48,List!$E$35:$F$37,2,)))))</f>
        <v>0</v>
      </c>
      <c r="T48" s="232"/>
      <c r="U48" s="232"/>
      <c r="V48" s="232"/>
      <c r="W48" s="232"/>
      <c r="X48" s="232"/>
      <c r="Y48" s="232"/>
      <c r="Z48" s="232"/>
      <c r="AA48" s="232"/>
      <c r="AB48" s="232"/>
      <c r="AC48" s="232"/>
      <c r="AD48" s="232"/>
      <c r="AE48" s="232"/>
      <c r="AF48" s="232"/>
      <c r="AG48" s="232"/>
      <c r="AH48" s="232"/>
      <c r="AI48" s="232"/>
      <c r="AJ48" s="232"/>
    </row>
    <row r="49" spans="1:36" ht="13.5" thickBot="1">
      <c r="A49" s="767"/>
      <c r="B49" s="725" t="s">
        <v>113</v>
      </c>
      <c r="C49" s="1208">
        <f>' IPCC'!B687</f>
        <v>6.0000000000000001E-3</v>
      </c>
      <c r="D49" s="2394">
        <f>IF('7. Inputs'!M215="",'7. Inputs'!K215,'7. Inputs'!M215)</f>
        <v>6.0000000000000001E-3</v>
      </c>
      <c r="E49" s="1204" t="s">
        <v>354</v>
      </c>
      <c r="F49" s="1847">
        <f>'7. Inputs'!H48</f>
        <v>0</v>
      </c>
      <c r="G49" s="1847">
        <f>'7. Inputs'!I48</f>
        <v>0</v>
      </c>
      <c r="H49" s="2393" t="str">
        <f>VLOOKUP('7. Inputs'!J48,List!$D$35:$E$37,2,)</f>
        <v>Linear</v>
      </c>
      <c r="I49" s="1976">
        <f>'7. Inputs'!K48</f>
        <v>0</v>
      </c>
      <c r="J49" s="2393" t="str">
        <f>VLOOKUP('7. Inputs'!L48,List!$D$35:$E$37,2,)</f>
        <v>Linear</v>
      </c>
      <c r="K49" s="1439">
        <f>IF(E49="yes",$C49,$D49)*(MIN(F49,G49)*time_tot+ABS(G49-F49)*IF(G49&gt;F49,time2+time*(VLOOKUP(H49,List!$E$35:$F$37,2,)),time*(1-(VLOOKUP(H49,List!$E$35:$F$37,2,)))))</f>
        <v>0</v>
      </c>
      <c r="L49" s="1440">
        <f>IF(E49="yes",$C49,$D49)*(MIN(F49,I49)*time_tot+ABS(I49-F49)*IF(I49&gt;F49,time2+time*(VLOOKUP(J49,List!$E$35:$F$37,2,)),time*(1-(VLOOKUP(J49,List!$E$35:$F$37,2,)))))</f>
        <v>0</v>
      </c>
      <c r="M49" s="612"/>
      <c r="N49" s="2564"/>
      <c r="O49" s="2403"/>
      <c r="P49" s="2423"/>
      <c r="Q49" s="2412">
        <f>IF(E49="yes",$C49,$D49)*(MIN(F49,G49)*time+ABS(G49-F49)*IF(G49&gt;F49,time*(VLOOKUP(H49,List!$E$35:$F$37,2,)),time*(1-(VLOOKUP(H49,List!$E$35:$F$37,2,)))))</f>
        <v>0</v>
      </c>
      <c r="R49" s="2412">
        <f>IF(E49="yes",$C49,$D49)*(MIN(F49,I49)*time+ABS(I49-F49)*IF(I49&gt;F49,time*(VLOOKUP(J49,List!$E$35:$F$37,2,)),time*(1-(VLOOKUP(J49,List!$E$35:$F$37,2,)))))</f>
        <v>0</v>
      </c>
      <c r="T49" s="232"/>
      <c r="U49" s="232"/>
      <c r="V49" s="232"/>
      <c r="W49" s="232"/>
      <c r="X49" s="232"/>
      <c r="Y49" s="232"/>
      <c r="Z49" s="232"/>
      <c r="AA49" s="232"/>
      <c r="AB49" s="232"/>
      <c r="AC49" s="232"/>
      <c r="AD49" s="232"/>
      <c r="AE49" s="232"/>
      <c r="AF49" s="232"/>
      <c r="AG49" s="232"/>
      <c r="AH49" s="232"/>
      <c r="AI49" s="232"/>
      <c r="AJ49" s="232"/>
    </row>
    <row r="50" spans="1:36" ht="13.5" thickBot="1">
      <c r="A50" s="767"/>
      <c r="B50" s="725" t="s">
        <v>220</v>
      </c>
      <c r="C50" s="1203"/>
      <c r="D50" s="2394">
        <f>IF('7. Inputs'!M216="",'7. Inputs'!K216,'7. Inputs'!M216)</f>
        <v>0.51700000000000002</v>
      </c>
      <c r="E50" s="1204" t="s">
        <v>354</v>
      </c>
      <c r="F50" s="1847">
        <f>'7. Inputs'!H49</f>
        <v>0</v>
      </c>
      <c r="G50" s="1847">
        <f>'7. Inputs'!I49</f>
        <v>0</v>
      </c>
      <c r="H50" s="2393" t="str">
        <f>VLOOKUP('7. Inputs'!J49,List!$D$35:$E$37,2,)</f>
        <v>Linear</v>
      </c>
      <c r="I50" s="1976">
        <f>'7. Inputs'!K49</f>
        <v>0</v>
      </c>
      <c r="J50" s="2393" t="str">
        <f>VLOOKUP('7. Inputs'!L49,List!$D$35:$E$37,2,)</f>
        <v>Linear</v>
      </c>
      <c r="K50" s="1439">
        <f>IF(E50="yes",$C50,$D50)*(MIN(F50,G50)*time_tot+ABS(G50-F50)*IF(G50&gt;F50,time2+time*(VLOOKUP(H50,List!$E$35:$F$37,2,)),time*(1-(VLOOKUP(H50,List!$E$35:$F$37,2,)))))</f>
        <v>0</v>
      </c>
      <c r="L50" s="1440">
        <f>IF(E50="yes",$C50,$D50)*(MIN(F50,I50)*time_tot+ABS(I50-F50)*IF(I50&gt;F50,time2+time*(VLOOKUP(J50,List!$E$35:$F$37,2,)),time*(1-(VLOOKUP(J50,List!$E$35:$F$37,2,)))))</f>
        <v>0</v>
      </c>
      <c r="M50" s="1888"/>
      <c r="N50" s="2564"/>
      <c r="O50" s="2403"/>
      <c r="P50" s="2423"/>
      <c r="Q50" s="2412">
        <f>IF(E50="yes",$C50,$D50)*(MIN(F50,G50)*time+ABS(G50-F50)*IF(G50&gt;F50,time*(VLOOKUP(H50,List!$E$35:$F$37,2,)),time*(1-(VLOOKUP(H50,List!$E$35:$F$37,2,)))))</f>
        <v>0</v>
      </c>
      <c r="R50" s="2412">
        <f>IF(E50="yes",$C50,$D50)*(MIN(F50,I50)*time+ABS(I50-F50)*IF(I50&gt;F50,time*(VLOOKUP(J50,List!$E$35:$F$37,2,)),time*(1-(VLOOKUP(J50,List!$E$35:$F$37,2,)))))</f>
        <v>0</v>
      </c>
      <c r="T50" s="232"/>
      <c r="U50" s="232"/>
      <c r="V50" s="232"/>
      <c r="W50" s="232"/>
      <c r="X50" s="232"/>
      <c r="Y50" s="232"/>
      <c r="Z50" s="232"/>
      <c r="AA50" s="232"/>
      <c r="AB50" s="232"/>
      <c r="AC50" s="232"/>
      <c r="AD50" s="232"/>
      <c r="AE50" s="232"/>
      <c r="AF50" s="232"/>
      <c r="AG50" s="232"/>
      <c r="AH50" s="232"/>
      <c r="AI50" s="232"/>
      <c r="AJ50" s="232"/>
    </row>
    <row r="51" spans="1:36">
      <c r="A51" s="767"/>
      <c r="B51" s="725" t="s">
        <v>108</v>
      </c>
      <c r="C51" s="1203"/>
      <c r="D51" s="2394">
        <f>IF('7. Inputs'!M217="",'7. Inputs'!K217,'7. Inputs'!M217)</f>
        <v>0</v>
      </c>
      <c r="E51" s="1204" t="s">
        <v>354</v>
      </c>
      <c r="F51" s="1847">
        <f>'7. Inputs'!H50</f>
        <v>0</v>
      </c>
      <c r="G51" s="1847">
        <f>'7. Inputs'!I50</f>
        <v>0</v>
      </c>
      <c r="H51" s="2393" t="str">
        <f>VLOOKUP('7. Inputs'!J50,List!$D$35:$E$37,2,)</f>
        <v>Linear</v>
      </c>
      <c r="I51" s="1976">
        <f>'7. Inputs'!K50</f>
        <v>0</v>
      </c>
      <c r="J51" s="2393" t="str">
        <f>VLOOKUP('7. Inputs'!L50,List!$D$35:$E$37,2,)</f>
        <v>Linear</v>
      </c>
      <c r="K51" s="1439">
        <f>IF(E51="yes",$C51,$D51)*(MIN(F51,G51)*time_tot+ABS(G51-F51)*IF(G51&gt;F51,time2+time*(VLOOKUP(H51,List!$E$35:$F$37,2,)),time*(1-(VLOOKUP(H51,List!$E$35:$F$37,2,)))))</f>
        <v>0</v>
      </c>
      <c r="L51" s="1440">
        <f>IF(E51="yes",$C51,$D51)*(MIN(F51,I51)*time_tot+ABS(I51-F51)*IF(I51&gt;F51,time2+time*(VLOOKUP(J51,List!$E$35:$F$37,2,)),time*(1-(VLOOKUP(J51,List!$E$35:$F$37,2,)))))</f>
        <v>0</v>
      </c>
      <c r="M51" s="612"/>
      <c r="N51" s="2564"/>
      <c r="O51" s="2403"/>
      <c r="P51" s="2423"/>
      <c r="Q51" s="2412">
        <f>IF(E51="yes",$C51,$D51)*(MIN(F51,G51)*time+ABS(G51-F51)*IF(G51&gt;F51,time*(VLOOKUP(H51,List!$E$35:$F$37,2,)),time*(1-(VLOOKUP(H51,List!$E$35:$F$37,2,)))))</f>
        <v>0</v>
      </c>
      <c r="R51" s="2412">
        <f>IF(E51="yes",$C51,$D51)*(MIN(F51,I51)*time+ABS(I51-F51)*IF(I51&gt;F51,time*(VLOOKUP(J51,List!$E$35:$F$37,2,)),time*(1-(VLOOKUP(J51,List!$E$35:$F$37,2,)))))</f>
        <v>0</v>
      </c>
      <c r="T51" s="232"/>
      <c r="U51" s="232"/>
      <c r="V51" s="232"/>
      <c r="W51" s="232"/>
      <c r="X51" s="232"/>
      <c r="Y51" s="232"/>
      <c r="Z51" s="232"/>
      <c r="AA51" s="232"/>
      <c r="AB51" s="232"/>
      <c r="AC51" s="232"/>
      <c r="AD51" s="232"/>
      <c r="AE51" s="232"/>
      <c r="AF51" s="232"/>
      <c r="AG51" s="232"/>
      <c r="AH51" s="232"/>
      <c r="AI51" s="232"/>
      <c r="AJ51" s="232"/>
    </row>
    <row r="52" spans="1:36" ht="13.5" thickBot="1">
      <c r="A52" s="767"/>
      <c r="B52" s="719"/>
      <c r="C52" s="3166" t="s">
        <v>5647</v>
      </c>
      <c r="D52" s="1578"/>
      <c r="E52" s="723"/>
      <c r="F52" s="1579" t="s">
        <v>120</v>
      </c>
      <c r="G52" s="1580"/>
      <c r="H52" s="1581"/>
      <c r="I52" s="1580"/>
      <c r="J52" s="1581"/>
      <c r="K52" s="1582"/>
      <c r="L52" s="1582"/>
      <c r="M52" s="612"/>
      <c r="N52" s="2564"/>
      <c r="O52" s="2403"/>
      <c r="Q52" s="2403"/>
      <c r="R52" s="2403"/>
      <c r="T52" s="232"/>
      <c r="U52" s="232"/>
      <c r="V52" s="232"/>
      <c r="W52" s="232"/>
      <c r="X52" s="232"/>
      <c r="Y52" s="232"/>
      <c r="Z52" s="232"/>
      <c r="AA52" s="232"/>
      <c r="AB52" s="232"/>
      <c r="AC52" s="232"/>
      <c r="AD52" s="232"/>
      <c r="AE52" s="232"/>
      <c r="AF52" s="232"/>
      <c r="AG52" s="232"/>
      <c r="AH52" s="232"/>
      <c r="AI52" s="232"/>
      <c r="AJ52" s="232"/>
    </row>
    <row r="53" spans="1:36" ht="13.5" thickBot="1">
      <c r="A53" s="768"/>
      <c r="B53" s="3167" t="str">
        <f>'7. Inputs'!C52</f>
        <v>Wood</v>
      </c>
      <c r="C53" s="791">
        <f>' IPCC'!B690</f>
        <v>0.19498000000000001</v>
      </c>
      <c r="D53" s="2573">
        <f>IF('7. Inputs'!M219="",'7. Inputs'!K219,'7. Inputs'!M219)</f>
        <v>0.19498000000000001</v>
      </c>
      <c r="E53" s="1204" t="s">
        <v>354</v>
      </c>
      <c r="F53" s="1847">
        <f>'7. Inputs'!H52</f>
        <v>0</v>
      </c>
      <c r="G53" s="1847">
        <f>'7. Inputs'!I52</f>
        <v>0</v>
      </c>
      <c r="H53" s="2393" t="str">
        <f>VLOOKUP('7. Inputs'!J52,List!$D$35:$E$37,2,)</f>
        <v>Linear</v>
      </c>
      <c r="I53" s="1976">
        <f>'7. Inputs'!K52</f>
        <v>0</v>
      </c>
      <c r="J53" s="2393" t="str">
        <f>VLOOKUP('7. Inputs'!L52,List!$D$35:$E$37,2,)</f>
        <v>Linear</v>
      </c>
      <c r="K53" s="1439">
        <f>IF(E53="yes",$C53,$D53)*(MIN(F53,G53)*time_tot+ABS(G53-F53)*IF(G53&gt;F53,time2+time*(VLOOKUP(H53,List!$E$35:$F$37,2,)),time*(1-(VLOOKUP(H53,List!$E$35:$F$37,2,)))))</f>
        <v>0</v>
      </c>
      <c r="L53" s="1362">
        <f>IF(E53="yes",$C53,$D53)*(MIN(F53,I53)*time_tot+ABS(I53-F53)*IF(I53&gt;F53,time2+time*(VLOOKUP(J53,List!$E$35:$F$37,2,)),time*(1-(VLOOKUP(J53,List!$E$35:$F$37,2,)))))</f>
        <v>0</v>
      </c>
      <c r="M53" s="600"/>
      <c r="N53" s="2565"/>
      <c r="O53" s="2403"/>
      <c r="Q53" s="2412">
        <f>IF(E53="yes",$C53,$D53)*(MIN(F53,G53)*time+ABS(G53-F53)*IF(G53&gt;F53,time*(VLOOKUP(H53,List!$E$35:$F$37,2,)),time*(1-(VLOOKUP(H53,List!$E$35:$F$37,2,)))))</f>
        <v>0</v>
      </c>
      <c r="R53" s="2412">
        <f>IF(E53="yes",$C53,$D53)*(MIN(F53,I53)*time+ABS(I53-F53)*IF(I53&gt;F53,time*(VLOOKUP(J53,List!$E$35:$F$37,2,)),time*(1-(VLOOKUP(J53,List!$E$35:$F$37,2,)))))</f>
        <v>0</v>
      </c>
      <c r="S53" s="2403"/>
      <c r="T53" s="232"/>
      <c r="U53" s="232"/>
      <c r="V53" s="232"/>
      <c r="W53" s="232"/>
      <c r="X53" s="232"/>
      <c r="Y53" s="232"/>
      <c r="Z53" s="232"/>
      <c r="AA53" s="232"/>
      <c r="AB53" s="232"/>
      <c r="AC53" s="232"/>
      <c r="AD53" s="232"/>
      <c r="AE53" s="232"/>
      <c r="AF53" s="232"/>
      <c r="AG53" s="232"/>
      <c r="AH53" s="232"/>
      <c r="AI53" s="232"/>
      <c r="AJ53" s="232"/>
    </row>
    <row r="54" spans="1:36" ht="13.5" thickBot="1">
      <c r="A54" s="768"/>
      <c r="B54" s="3167" t="str">
        <f>'7. Inputs'!C53</f>
        <v>Peat (from peatlands)</v>
      </c>
      <c r="C54" s="1208">
        <f>C55</f>
        <v>3.1434089411764704E-3</v>
      </c>
      <c r="D54" s="2573">
        <f>D55</f>
        <v>3.1434089411764704E-3</v>
      </c>
      <c r="E54" s="3165" t="s">
        <v>354</v>
      </c>
      <c r="F54" s="1847">
        <f>'7. Inputs'!H53</f>
        <v>0</v>
      </c>
      <c r="G54" s="1847">
        <f>'7. Inputs'!I53</f>
        <v>0</v>
      </c>
      <c r="H54" s="2393" t="str">
        <f>H55</f>
        <v>Linear</v>
      </c>
      <c r="I54" s="1976">
        <f>'7. Inputs'!K53</f>
        <v>0</v>
      </c>
      <c r="J54" s="2393" t="str">
        <f>J55</f>
        <v>Linear</v>
      </c>
      <c r="K54" s="1439">
        <f>IF(E54="yes",$C54,$D54)*(MIN(F54,G54)*time_tot+ABS(G54-F54)*IF(G54&gt;F54,time2+time*(VLOOKUP(H54,List!$E$35:$F$37,2,)),time*(1-(VLOOKUP(H54,List!$E$35:$F$37,2,)))))</f>
        <v>0</v>
      </c>
      <c r="L54" s="3141">
        <f>IF(E54="yes",$C54,$D54)*(MIN(F54,I54)*time_tot+ABS(I54-F54)*IF(I54&gt;F54,time2+time*(VLOOKUP(J54,List!$E$35:$F$37,2,)),time*(1-(VLOOKUP(J54,List!$E$35:$F$37,2,)))))</f>
        <v>0</v>
      </c>
      <c r="M54" s="600"/>
      <c r="N54" s="2565"/>
      <c r="O54" s="2403"/>
      <c r="Q54" s="2412">
        <f>IF(E54="yes",$C54,$D54)*(MIN(F54,G54)*time+ABS(G54-F54)*IF(G54&gt;F54,time*(VLOOKUP(H54,List!$E$35:$F$37,2,)),time*(1-(VLOOKUP(H54,List!$E$35:$F$37,2,)))))</f>
        <v>0</v>
      </c>
      <c r="R54" s="2412">
        <f>IF(E54="yes",$C54,$D54)*(MIN(F54,I54)*time+ABS(I54-F54)*IF(I54&gt;F54,time*(VLOOKUP(J54,List!$E$35:$F$37,2,)),time*(1-(VLOOKUP(J54,List!$E$35:$F$37,2,)))))</f>
        <v>0</v>
      </c>
      <c r="S54" s="2403"/>
      <c r="T54" s="232"/>
      <c r="U54" s="232"/>
      <c r="V54" s="232"/>
      <c r="W54" s="232"/>
      <c r="X54" s="232"/>
      <c r="Y54" s="232"/>
      <c r="Z54" s="232"/>
      <c r="AA54" s="232"/>
      <c r="AB54" s="232"/>
      <c r="AC54" s="232"/>
      <c r="AD54" s="232"/>
      <c r="AE54" s="232"/>
      <c r="AF54" s="232"/>
      <c r="AG54" s="232"/>
      <c r="AH54" s="232"/>
      <c r="AI54" s="232"/>
      <c r="AJ54" s="232"/>
    </row>
    <row r="55" spans="1:36">
      <c r="A55" s="768"/>
      <c r="B55" s="3167" t="str">
        <f>'7. Inputs'!C54</f>
        <v>Peat</v>
      </c>
      <c r="C55" s="1208">
        <f>' IPCC'!B684</f>
        <v>3.1434089411764704E-3</v>
      </c>
      <c r="D55" s="2573">
        <f>IF('7. Inputs'!M220="",'7. Inputs'!K220,'7. Inputs'!M220)</f>
        <v>3.1434089411764704E-3</v>
      </c>
      <c r="E55" s="1206" t="s">
        <v>354</v>
      </c>
      <c r="F55" s="1847">
        <f>'7. Inputs'!H54</f>
        <v>0</v>
      </c>
      <c r="G55" s="1847">
        <f>'7. Inputs'!I54</f>
        <v>0</v>
      </c>
      <c r="H55" s="2393" t="str">
        <f>VLOOKUP('7. Inputs'!J54,List!$D$35:$E$37,2,)</f>
        <v>Linear</v>
      </c>
      <c r="I55" s="1976">
        <f>'7. Inputs'!K54</f>
        <v>0</v>
      </c>
      <c r="J55" s="2393" t="str">
        <f>VLOOKUP('7. Inputs'!L54,List!$D$35:$E$37,2,)</f>
        <v>Linear</v>
      </c>
      <c r="K55" s="1439">
        <f>IF(E55="yes",$C55,$D55)*(MIN(F55,G55)*time_tot+ABS(G55-F55)*IF(G55&gt;F55,time2+time*(VLOOKUP(H55,List!$E$35:$F$37,2,)),time*(1-(VLOOKUP(H55,List!$E$35:$F$37,2,)))))</f>
        <v>0</v>
      </c>
      <c r="L55" s="3141">
        <f>IF(E55="yes",$C55,$D55)*(MIN(F55,I55)*time_tot+ABS(I55-F55)*IF(I55&gt;F55,time2+time*(VLOOKUP(J55,List!$E$35:$F$37,2,)),time*(1-(VLOOKUP(J55,List!$E$35:$F$37,2,)))))</f>
        <v>0</v>
      </c>
      <c r="M55" s="600"/>
      <c r="N55" s="2565"/>
      <c r="O55" s="2403"/>
      <c r="Q55" s="2412">
        <f>IF(E55="yes",$C55,$D55)*(MIN(F55,G55)*time+ABS(G55-F55)*IF(G55&gt;F55,time*(VLOOKUP(H55,List!$E$35:$F$37,2,)),time*(1-(VLOOKUP(H55,List!$E$35:$F$37,2,)))))</f>
        <v>0</v>
      </c>
      <c r="R55" s="2412">
        <f>IF(E55="yes",$C55,$D55)*(MIN(F55,I55)*time+ABS(I55-F55)*IF(I55&gt;F55,time*(VLOOKUP(J55,List!$E$35:$F$37,2,)),time*(1-(VLOOKUP(J55,List!$E$35:$F$37,2,)))))</f>
        <v>0</v>
      </c>
      <c r="S55" s="2403"/>
      <c r="T55" s="232"/>
      <c r="U55" s="232"/>
      <c r="V55" s="232"/>
      <c r="W55" s="232"/>
      <c r="X55" s="232"/>
      <c r="Y55" s="232"/>
      <c r="Z55" s="232"/>
      <c r="AA55" s="232"/>
      <c r="AB55" s="232"/>
      <c r="AC55" s="232"/>
      <c r="AD55" s="232"/>
      <c r="AE55" s="232"/>
      <c r="AF55" s="232"/>
      <c r="AG55" s="232"/>
      <c r="AH55" s="232"/>
      <c r="AI55" s="232"/>
      <c r="AJ55" s="232"/>
    </row>
    <row r="56" spans="1:36">
      <c r="A56" s="767"/>
      <c r="B56" s="767"/>
      <c r="C56" s="767"/>
      <c r="D56" s="792"/>
      <c r="E56" s="793"/>
      <c r="F56" s="793"/>
      <c r="G56" s="793"/>
      <c r="H56" s="793"/>
      <c r="I56" s="793"/>
      <c r="J56" s="793"/>
      <c r="K56" s="794"/>
      <c r="L56" s="795"/>
      <c r="M56" s="233"/>
      <c r="N56" s="2565"/>
      <c r="O56" s="2403"/>
      <c r="S56" s="2412">
        <f>SUM(R45:R55)-SUM(Q45:Q55)</f>
        <v>0</v>
      </c>
      <c r="T56" s="232"/>
      <c r="U56" s="232"/>
      <c r="V56" s="232"/>
      <c r="W56" s="232"/>
      <c r="X56" s="232"/>
      <c r="Y56" s="232"/>
      <c r="Z56" s="232"/>
      <c r="AA56" s="232"/>
      <c r="AB56" s="232"/>
      <c r="AC56" s="232"/>
      <c r="AD56" s="232"/>
      <c r="AE56" s="232"/>
      <c r="AF56" s="232"/>
      <c r="AG56" s="232"/>
      <c r="AH56" s="232"/>
      <c r="AI56" s="232"/>
      <c r="AJ56" s="232"/>
    </row>
    <row r="57" spans="1:36">
      <c r="A57" s="767"/>
      <c r="B57" s="796" t="s">
        <v>969</v>
      </c>
      <c r="C57" s="797"/>
      <c r="D57" s="798" t="s">
        <v>968</v>
      </c>
      <c r="E57" s="1088">
        <f>SUM(K45:K51)+SUM(K53:K55)+G38</f>
        <v>0</v>
      </c>
      <c r="F57" s="798" t="s">
        <v>967</v>
      </c>
      <c r="G57" s="1088">
        <f>SUM(L45:L51)+SUM(L53:L55)+G39</f>
        <v>0</v>
      </c>
      <c r="H57" s="1089"/>
      <c r="I57" s="1090" t="s">
        <v>343</v>
      </c>
      <c r="J57" s="1091">
        <f>G57-E57</f>
        <v>0</v>
      </c>
      <c r="K57" s="600"/>
      <c r="L57" s="600"/>
      <c r="M57" s="233"/>
      <c r="N57" s="2566"/>
      <c r="O57" s="2403"/>
      <c r="T57" s="232"/>
      <c r="U57" s="232"/>
      <c r="V57" s="232"/>
      <c r="W57" s="232"/>
      <c r="X57" s="232"/>
      <c r="Y57" s="232"/>
      <c r="Z57" s="232"/>
      <c r="AA57" s="232"/>
      <c r="AB57" s="232"/>
      <c r="AC57" s="232"/>
      <c r="AD57" s="232"/>
      <c r="AE57" s="232"/>
      <c r="AF57" s="232"/>
      <c r="AG57" s="232"/>
      <c r="AH57" s="232"/>
      <c r="AI57" s="232"/>
      <c r="AJ57" s="232"/>
    </row>
    <row r="58" spans="1:36">
      <c r="A58" s="768"/>
      <c r="B58" s="600"/>
      <c r="C58" s="768"/>
      <c r="D58" s="809"/>
      <c r="E58" s="600"/>
      <c r="F58" s="600"/>
      <c r="G58" s="600"/>
      <c r="H58" s="600"/>
      <c r="I58" s="600"/>
      <c r="J58" s="600"/>
      <c r="K58" s="600"/>
      <c r="L58" s="600"/>
      <c r="M58" s="600"/>
      <c r="N58" s="2566"/>
      <c r="O58" s="2403"/>
      <c r="T58" s="232"/>
      <c r="U58" s="232"/>
      <c r="V58" s="232"/>
      <c r="W58" s="232"/>
      <c r="X58" s="232"/>
      <c r="Y58" s="232"/>
      <c r="Z58" s="232"/>
      <c r="AA58" s="232"/>
      <c r="AB58" s="232"/>
      <c r="AC58" s="232"/>
      <c r="AD58" s="232"/>
      <c r="AE58" s="232"/>
      <c r="AF58" s="232"/>
      <c r="AG58" s="232"/>
      <c r="AH58" s="232"/>
      <c r="AI58" s="232"/>
      <c r="AJ58" s="232"/>
    </row>
    <row r="59" spans="1:36">
      <c r="A59" s="768"/>
      <c r="B59" s="819" t="s">
        <v>943</v>
      </c>
      <c r="C59" s="819"/>
      <c r="D59" s="820"/>
      <c r="E59" s="821"/>
      <c r="F59" s="821"/>
      <c r="G59" s="819"/>
      <c r="H59" s="819"/>
      <c r="I59" s="819"/>
      <c r="J59" s="819"/>
      <c r="K59" s="819"/>
      <c r="L59" s="820"/>
      <c r="M59" s="600"/>
      <c r="N59" s="2566"/>
      <c r="O59" s="2403"/>
      <c r="T59" s="232"/>
      <c r="U59" s="232"/>
      <c r="V59" s="232"/>
      <c r="W59" s="232"/>
      <c r="X59" s="232"/>
      <c r="Y59" s="232"/>
      <c r="Z59" s="232"/>
      <c r="AA59" s="232"/>
      <c r="AB59" s="232"/>
      <c r="AC59" s="232"/>
      <c r="AD59" s="232"/>
      <c r="AE59" s="232"/>
      <c r="AF59" s="232"/>
      <c r="AG59" s="232"/>
      <c r="AH59" s="232"/>
      <c r="AI59" s="232"/>
      <c r="AJ59" s="232"/>
    </row>
    <row r="60" spans="1:36">
      <c r="A60" s="768"/>
      <c r="B60" s="768"/>
      <c r="C60" s="768"/>
      <c r="D60" s="809"/>
      <c r="E60" s="703"/>
      <c r="F60" s="793"/>
      <c r="G60" s="793"/>
      <c r="H60" s="810"/>
      <c r="I60" s="793"/>
      <c r="J60" s="600"/>
      <c r="K60" s="600"/>
      <c r="L60" s="600"/>
      <c r="M60" s="600"/>
      <c r="N60" s="2566"/>
      <c r="O60" s="2403"/>
      <c r="T60" s="232"/>
      <c r="U60" s="232"/>
      <c r="V60" s="232"/>
      <c r="W60" s="232"/>
      <c r="X60" s="232"/>
      <c r="Y60" s="232"/>
      <c r="Z60" s="232"/>
      <c r="AA60" s="232"/>
      <c r="AB60" s="232"/>
      <c r="AC60" s="232"/>
      <c r="AD60" s="232"/>
      <c r="AE60" s="232"/>
      <c r="AF60" s="232"/>
      <c r="AG60" s="232"/>
      <c r="AH60" s="232"/>
      <c r="AI60" s="232"/>
      <c r="AJ60" s="232"/>
    </row>
    <row r="61" spans="1:36" ht="13.5" thickBot="1">
      <c r="A61" s="768"/>
      <c r="B61" s="726" t="s">
        <v>944</v>
      </c>
      <c r="C61" s="726"/>
      <c r="D61" s="605"/>
      <c r="E61" s="728" t="s">
        <v>945</v>
      </c>
      <c r="F61" s="771" t="s">
        <v>932</v>
      </c>
      <c r="G61" s="726" t="s">
        <v>837</v>
      </c>
      <c r="H61" s="773"/>
      <c r="I61" s="793"/>
      <c r="J61" s="600"/>
      <c r="K61" s="600"/>
      <c r="L61" s="600"/>
      <c r="M61" s="600"/>
      <c r="N61" s="2566"/>
      <c r="O61" s="2403"/>
      <c r="T61" s="232"/>
      <c r="U61" s="232"/>
      <c r="V61" s="232"/>
      <c r="W61" s="232"/>
      <c r="X61" s="232"/>
      <c r="Y61" s="232"/>
      <c r="Z61" s="232"/>
      <c r="AA61" s="232"/>
      <c r="AB61" s="232"/>
      <c r="AC61" s="232"/>
      <c r="AD61" s="232"/>
      <c r="AE61" s="232"/>
      <c r="AF61" s="232"/>
      <c r="AG61" s="232"/>
      <c r="AH61" s="232"/>
      <c r="AI61" s="232"/>
      <c r="AJ61" s="232"/>
    </row>
    <row r="62" spans="1:36" ht="13.5" thickBot="1">
      <c r="A62" s="768"/>
      <c r="B62" s="3420" t="s">
        <v>7183</v>
      </c>
      <c r="C62" s="780"/>
      <c r="D62" s="2396">
        <f>IF('7. Inputs'!K242="",'7. Inputs'!I242,'7. Inputs'!K242)</f>
        <v>0</v>
      </c>
      <c r="E62" s="1847">
        <f>'7. Inputs'!I67</f>
        <v>0</v>
      </c>
      <c r="F62" s="1977" t="str">
        <f>'7. Inputs'!C67</f>
        <v>Please select</v>
      </c>
      <c r="G62" s="822">
        <f t="shared" ref="G62:G67" si="0">$E62*D62/1000</f>
        <v>0</v>
      </c>
      <c r="H62" s="775"/>
      <c r="I62" s="793"/>
      <c r="J62" s="600"/>
      <c r="K62" s="600"/>
      <c r="L62" s="600"/>
      <c r="M62" s="600"/>
      <c r="N62" s="2566"/>
      <c r="O62" s="2403"/>
      <c r="T62" s="232"/>
      <c r="U62" s="232"/>
      <c r="V62" s="232"/>
      <c r="W62" s="232"/>
      <c r="X62" s="232"/>
      <c r="Y62" s="232"/>
      <c r="Z62" s="232"/>
      <c r="AA62" s="232"/>
      <c r="AB62" s="232"/>
      <c r="AC62" s="232"/>
      <c r="AD62" s="232"/>
      <c r="AE62" s="232"/>
      <c r="AF62" s="232"/>
      <c r="AG62" s="232"/>
      <c r="AH62" s="232"/>
      <c r="AI62" s="232"/>
      <c r="AJ62" s="232"/>
    </row>
    <row r="63" spans="1:36" ht="13.5" thickBot="1">
      <c r="A63" s="768"/>
      <c r="B63" s="3420" t="s">
        <v>7184</v>
      </c>
      <c r="C63" s="605"/>
      <c r="D63" s="2396">
        <f>IF('7. Inputs'!K243="",'7. Inputs'!I243,'7. Inputs'!K243)</f>
        <v>0</v>
      </c>
      <c r="E63" s="1847">
        <f>'7. Inputs'!I68</f>
        <v>0</v>
      </c>
      <c r="F63" s="1977" t="str">
        <f>'7. Inputs'!C68</f>
        <v>Please select</v>
      </c>
      <c r="G63" s="822">
        <f t="shared" si="0"/>
        <v>0</v>
      </c>
      <c r="H63" s="2057"/>
      <c r="I63" s="793"/>
      <c r="J63" s="600"/>
      <c r="K63" s="600"/>
      <c r="L63" s="600"/>
      <c r="M63" s="600"/>
      <c r="N63" s="2566"/>
      <c r="O63" s="2403"/>
      <c r="T63" s="232"/>
      <c r="U63" s="232"/>
      <c r="V63" s="232"/>
      <c r="W63" s="232"/>
      <c r="X63" s="232"/>
      <c r="Y63" s="232"/>
      <c r="Z63" s="232"/>
      <c r="AA63" s="232"/>
      <c r="AB63" s="232"/>
      <c r="AC63" s="232"/>
      <c r="AD63" s="232"/>
      <c r="AE63" s="232"/>
      <c r="AF63" s="232"/>
      <c r="AG63" s="232"/>
      <c r="AH63" s="232"/>
      <c r="AI63" s="232"/>
      <c r="AJ63" s="232"/>
    </row>
    <row r="64" spans="1:36">
      <c r="A64" s="768"/>
      <c r="B64" s="3420" t="s">
        <v>7185</v>
      </c>
      <c r="C64" s="605"/>
      <c r="D64" s="2396">
        <f>IF('7. Inputs'!K244="",'7. Inputs'!I244,'7. Inputs'!K244)</f>
        <v>0</v>
      </c>
      <c r="E64" s="1847">
        <f>'7. Inputs'!I69</f>
        <v>0</v>
      </c>
      <c r="F64" s="1977" t="str">
        <f>'7. Inputs'!C69</f>
        <v>Please select</v>
      </c>
      <c r="G64" s="822">
        <f t="shared" si="0"/>
        <v>0</v>
      </c>
      <c r="H64" s="2057"/>
      <c r="I64" s="793"/>
      <c r="J64" s="600"/>
      <c r="K64" s="600"/>
      <c r="L64" s="600"/>
      <c r="M64" s="600"/>
      <c r="N64" s="2566"/>
      <c r="O64" s="2403"/>
      <c r="T64" s="232"/>
      <c r="U64" s="232"/>
      <c r="V64" s="232"/>
      <c r="W64" s="232"/>
      <c r="X64" s="232"/>
      <c r="Y64" s="232"/>
      <c r="Z64" s="232"/>
      <c r="AA64" s="232"/>
      <c r="AB64" s="232"/>
      <c r="AC64" s="232"/>
      <c r="AD64" s="232"/>
      <c r="AE64" s="232"/>
      <c r="AF64" s="232"/>
      <c r="AG64" s="232"/>
      <c r="AH64" s="232"/>
      <c r="AI64" s="232"/>
      <c r="AJ64" s="232"/>
    </row>
    <row r="65" spans="1:217" ht="13.5" thickBot="1">
      <c r="A65" s="768"/>
      <c r="B65" s="2974" t="s">
        <v>7186</v>
      </c>
      <c r="C65" s="605"/>
      <c r="D65" s="2396">
        <f>D62</f>
        <v>0</v>
      </c>
      <c r="E65" s="1978">
        <f>'7. Inputs'!K67</f>
        <v>0</v>
      </c>
      <c r="F65" s="1979" t="str">
        <f>F62</f>
        <v>Please select</v>
      </c>
      <c r="G65" s="822">
        <f t="shared" si="0"/>
        <v>0</v>
      </c>
      <c r="H65" s="2057"/>
      <c r="I65" s="793"/>
      <c r="J65" s="600"/>
      <c r="K65" s="600"/>
      <c r="L65" s="600"/>
      <c r="M65" s="600"/>
      <c r="N65" s="2566"/>
      <c r="O65" s="2403"/>
      <c r="T65" s="232"/>
      <c r="U65" s="232"/>
      <c r="V65" s="232"/>
      <c r="W65" s="232"/>
      <c r="X65" s="232"/>
      <c r="Y65" s="232"/>
      <c r="Z65" s="232"/>
      <c r="AA65" s="232"/>
      <c r="AB65" s="232"/>
      <c r="AC65" s="232"/>
      <c r="AD65" s="232"/>
      <c r="AE65" s="232"/>
      <c r="AF65" s="232"/>
      <c r="AG65" s="232"/>
      <c r="AH65" s="232"/>
      <c r="AI65" s="232"/>
      <c r="AJ65" s="232"/>
    </row>
    <row r="66" spans="1:217" ht="13.5" thickBot="1">
      <c r="A66" s="768"/>
      <c r="B66" s="2974" t="s">
        <v>7187</v>
      </c>
      <c r="C66" s="609"/>
      <c r="D66" s="2396">
        <f>D63</f>
        <v>0</v>
      </c>
      <c r="E66" s="1978">
        <f>'7. Inputs'!K68</f>
        <v>0</v>
      </c>
      <c r="F66" s="1979" t="str">
        <f>F63</f>
        <v>Please select</v>
      </c>
      <c r="G66" s="822">
        <f t="shared" si="0"/>
        <v>0</v>
      </c>
      <c r="H66" s="777"/>
      <c r="I66" s="793"/>
      <c r="J66" s="600"/>
      <c r="K66" s="600"/>
      <c r="L66" s="600"/>
      <c r="M66" s="600"/>
      <c r="N66" s="2566"/>
      <c r="O66" s="2403"/>
      <c r="T66" s="232"/>
      <c r="U66" s="232"/>
      <c r="V66" s="232"/>
      <c r="W66" s="232"/>
      <c r="X66" s="232"/>
      <c r="Y66" s="232"/>
      <c r="Z66" s="232"/>
      <c r="AA66" s="232"/>
      <c r="AB66" s="232"/>
      <c r="AC66" s="232"/>
      <c r="AD66" s="232"/>
      <c r="AE66" s="232"/>
      <c r="AF66" s="232"/>
      <c r="AG66" s="232"/>
      <c r="AH66" s="232"/>
      <c r="AI66" s="232"/>
      <c r="AJ66" s="232"/>
    </row>
    <row r="67" spans="1:217" ht="13.5" thickBot="1">
      <c r="A67" s="768"/>
      <c r="B67" s="2974" t="s">
        <v>7188</v>
      </c>
      <c r="C67" s="605"/>
      <c r="D67" s="2396">
        <f>D64</f>
        <v>0</v>
      </c>
      <c r="E67" s="1978">
        <f>'7. Inputs'!K69</f>
        <v>0</v>
      </c>
      <c r="F67" s="1979" t="str">
        <f>F64</f>
        <v>Please select</v>
      </c>
      <c r="G67" s="822">
        <f t="shared" si="0"/>
        <v>0</v>
      </c>
      <c r="H67" s="3421"/>
      <c r="I67" s="793"/>
      <c r="J67" s="600"/>
      <c r="K67" s="600"/>
      <c r="L67" s="600"/>
      <c r="M67" s="600"/>
      <c r="N67" s="2566"/>
      <c r="O67" s="2403"/>
      <c r="T67" s="232"/>
      <c r="U67" s="232"/>
      <c r="V67" s="232"/>
      <c r="W67" s="232"/>
      <c r="X67" s="232"/>
      <c r="Y67" s="232"/>
      <c r="Z67" s="232"/>
      <c r="AA67" s="232"/>
      <c r="AB67" s="232"/>
      <c r="AC67" s="232"/>
      <c r="AD67" s="232"/>
      <c r="AE67" s="232"/>
      <c r="AF67" s="232"/>
      <c r="AG67" s="232"/>
      <c r="AH67" s="232"/>
      <c r="AI67" s="232"/>
      <c r="AJ67" s="232"/>
    </row>
    <row r="68" spans="1:217" s="600" customFormat="1">
      <c r="A68" s="768"/>
      <c r="I68" s="823" t="s">
        <v>343</v>
      </c>
      <c r="J68" s="802">
        <f>G66+G65+G67-G62-G63-G64</f>
        <v>0</v>
      </c>
      <c r="N68" s="2403"/>
      <c r="O68" s="2403"/>
      <c r="P68" s="2403"/>
      <c r="Q68" s="2412"/>
      <c r="R68" s="2412"/>
      <c r="S68" s="2568">
        <f>J68</f>
        <v>0</v>
      </c>
      <c r="T68" s="232"/>
      <c r="U68" s="232"/>
      <c r="V68" s="232"/>
      <c r="W68" s="232"/>
      <c r="X68" s="232"/>
      <c r="Y68" s="232"/>
      <c r="Z68" s="232"/>
      <c r="AA68" s="232"/>
      <c r="AB68" s="232"/>
      <c r="AC68" s="232"/>
      <c r="AD68" s="232"/>
      <c r="AE68" s="232"/>
      <c r="AF68" s="232"/>
      <c r="AG68" s="232"/>
      <c r="AH68" s="232"/>
      <c r="AI68" s="232"/>
      <c r="AJ68" s="232"/>
    </row>
    <row r="69" spans="1:217" s="600" customFormat="1">
      <c r="A69" s="767"/>
      <c r="F69" s="2668" t="s">
        <v>947</v>
      </c>
      <c r="N69" s="2403"/>
      <c r="O69" s="2403"/>
      <c r="P69" s="2403"/>
      <c r="Q69" s="2412"/>
      <c r="R69" s="2412"/>
      <c r="S69" s="2412"/>
      <c r="T69" s="232"/>
      <c r="U69" s="232"/>
      <c r="V69" s="232"/>
      <c r="W69" s="232"/>
      <c r="X69" s="232"/>
      <c r="Y69" s="232"/>
      <c r="Z69" s="232"/>
      <c r="AA69" s="232"/>
      <c r="AB69" s="232"/>
      <c r="AC69" s="232"/>
      <c r="AD69" s="232"/>
      <c r="AE69" s="232"/>
      <c r="AF69" s="232"/>
      <c r="AG69" s="232"/>
      <c r="AH69" s="232"/>
      <c r="AI69" s="232"/>
      <c r="AJ69" s="232"/>
    </row>
    <row r="70" spans="1:217" s="600" customFormat="1">
      <c r="A70" s="767"/>
      <c r="B70" s="819" t="s">
        <v>948</v>
      </c>
      <c r="C70" s="819"/>
      <c r="D70" s="820"/>
      <c r="E70" s="821"/>
      <c r="F70" s="821"/>
      <c r="G70" s="819"/>
      <c r="H70" s="819"/>
      <c r="I70" s="819"/>
      <c r="J70" s="819"/>
      <c r="K70" s="819"/>
      <c r="L70" s="820"/>
      <c r="N70" s="2403"/>
      <c r="O70" s="2403"/>
      <c r="P70" s="2403"/>
      <c r="Q70" s="2412"/>
      <c r="R70" s="2412"/>
      <c r="S70" s="2412"/>
      <c r="T70" s="232"/>
      <c r="U70" s="232"/>
      <c r="V70" s="232"/>
      <c r="W70" s="232"/>
      <c r="X70" s="232"/>
      <c r="Y70" s="232"/>
      <c r="Z70" s="232"/>
      <c r="AA70" s="232"/>
      <c r="AB70" s="232"/>
      <c r="AC70" s="232"/>
      <c r="AD70" s="232"/>
      <c r="AE70" s="232"/>
      <c r="AF70" s="232"/>
      <c r="AG70" s="232"/>
      <c r="AH70" s="232"/>
      <c r="AI70" s="232"/>
      <c r="AJ70" s="232"/>
    </row>
    <row r="71" spans="1:217" s="600" customFormat="1">
      <c r="A71" s="767"/>
      <c r="D71" s="768"/>
      <c r="E71" s="614"/>
      <c r="F71" s="614"/>
      <c r="I71" s="768"/>
      <c r="N71" s="2403"/>
      <c r="O71" s="2403"/>
      <c r="P71" s="2403"/>
      <c r="Q71" s="2412"/>
      <c r="R71" s="2412"/>
      <c r="S71" s="2412"/>
      <c r="T71" s="232"/>
      <c r="U71" s="232"/>
      <c r="V71" s="232"/>
      <c r="W71" s="232"/>
      <c r="X71" s="232"/>
      <c r="Y71" s="232"/>
      <c r="Z71" s="232"/>
      <c r="AA71" s="232"/>
      <c r="AB71" s="232"/>
      <c r="AC71" s="232"/>
      <c r="AD71" s="232"/>
      <c r="AE71" s="232"/>
      <c r="AF71" s="232"/>
      <c r="AG71" s="232"/>
      <c r="AH71" s="232"/>
      <c r="AI71" s="232"/>
      <c r="AJ71" s="232"/>
    </row>
    <row r="72" spans="1:217" s="600" customFormat="1">
      <c r="A72" s="767"/>
      <c r="B72" s="719" t="s">
        <v>124</v>
      </c>
      <c r="C72" s="720"/>
      <c r="D72" s="559" t="s">
        <v>893</v>
      </c>
      <c r="E72" s="559" t="s">
        <v>338</v>
      </c>
      <c r="F72" s="560" t="s">
        <v>339</v>
      </c>
      <c r="G72" s="720" t="s">
        <v>949</v>
      </c>
      <c r="H72" s="824"/>
      <c r="I72" s="584" t="s">
        <v>895</v>
      </c>
      <c r="J72" s="689"/>
      <c r="N72" s="2403"/>
      <c r="O72" s="2403"/>
      <c r="P72" s="2403"/>
      <c r="Q72" s="2412"/>
      <c r="R72" s="2412"/>
      <c r="S72" s="2412"/>
      <c r="T72" s="232"/>
      <c r="U72" s="232"/>
      <c r="V72" s="232"/>
      <c r="W72" s="232"/>
      <c r="X72" s="232"/>
      <c r="Y72" s="232"/>
      <c r="Z72" s="232"/>
      <c r="AA72" s="232"/>
      <c r="AB72" s="232"/>
      <c r="AC72" s="232"/>
      <c r="AD72" s="232"/>
      <c r="AE72" s="232"/>
      <c r="AF72" s="232"/>
      <c r="AG72" s="232"/>
      <c r="AH72" s="232"/>
      <c r="AI72" s="232"/>
      <c r="AJ72" s="232"/>
    </row>
    <row r="73" spans="1:217" s="600" customFormat="1" ht="13.5" thickBot="1">
      <c r="A73" s="767"/>
      <c r="B73" s="818"/>
      <c r="C73" s="776"/>
      <c r="D73" s="543" t="s">
        <v>123</v>
      </c>
      <c r="E73" s="543" t="s">
        <v>966</v>
      </c>
      <c r="F73" s="546" t="s">
        <v>346</v>
      </c>
      <c r="G73" s="825" t="s">
        <v>674</v>
      </c>
      <c r="H73" s="826" t="s">
        <v>675</v>
      </c>
      <c r="I73" s="825" t="s">
        <v>674</v>
      </c>
      <c r="J73" s="826" t="s">
        <v>675</v>
      </c>
      <c r="N73" s="2403"/>
      <c r="O73" s="2403"/>
      <c r="P73" s="2403"/>
      <c r="Q73" s="2412"/>
      <c r="R73" s="2412"/>
      <c r="S73" s="2412"/>
      <c r="T73" s="232"/>
      <c r="U73" s="232"/>
      <c r="V73" s="232"/>
      <c r="W73" s="232"/>
      <c r="X73" s="232"/>
      <c r="Y73" s="232"/>
      <c r="Z73" s="232"/>
      <c r="AA73" s="232"/>
      <c r="AB73" s="232"/>
      <c r="AC73" s="232"/>
      <c r="AD73" s="232"/>
      <c r="AE73" s="232"/>
      <c r="AF73" s="232"/>
      <c r="AG73" s="232"/>
      <c r="AH73" s="232"/>
      <c r="AI73" s="232"/>
      <c r="AJ73" s="232"/>
    </row>
    <row r="74" spans="1:217" s="600" customFormat="1" ht="13.5" thickBot="1">
      <c r="A74" s="767"/>
      <c r="B74" s="3910" t="str">
        <f>'7. Inputs'!C73</f>
        <v>Please select</v>
      </c>
      <c r="C74" s="3911"/>
      <c r="D74" s="1207">
        <f>VLOOKUP($B74,' IPCC'!$A$707:$B$722,2,)/1000</f>
        <v>0</v>
      </c>
      <c r="E74" s="2397">
        <f>IF('7. Inputs'!K247="",'7. Inputs'!I247,'7. Inputs'!K247)</f>
        <v>0</v>
      </c>
      <c r="F74" s="1204" t="s">
        <v>354</v>
      </c>
      <c r="G74" s="1847">
        <f>'7. Inputs'!I73</f>
        <v>0</v>
      </c>
      <c r="H74" s="1847">
        <f>'7. Inputs'!K73</f>
        <v>0</v>
      </c>
      <c r="I74" s="597">
        <f>IF($F74="yes",$D74*G74,$E74*G74)</f>
        <v>0</v>
      </c>
      <c r="J74" s="597">
        <f>IF($F74="yes",$D74*H74,$E74*H74)</f>
        <v>0</v>
      </c>
      <c r="N74" s="2403"/>
      <c r="O74" s="2403"/>
      <c r="P74" s="2403"/>
      <c r="Q74" s="2412"/>
      <c r="R74" s="2412"/>
      <c r="S74" s="2412"/>
      <c r="T74" s="232"/>
      <c r="U74" s="232"/>
      <c r="V74" s="232"/>
      <c r="W74" s="232"/>
      <c r="X74" s="232"/>
      <c r="Y74" s="232"/>
      <c r="Z74" s="232"/>
      <c r="AA74" s="232"/>
      <c r="AB74" s="232"/>
      <c r="AC74" s="232"/>
      <c r="AD74" s="232"/>
      <c r="AE74" s="232"/>
      <c r="AF74" s="232"/>
      <c r="AG74" s="232"/>
      <c r="AH74" s="232"/>
      <c r="AI74" s="232"/>
      <c r="AJ74" s="232"/>
    </row>
    <row r="75" spans="1:217" ht="13.5" thickBot="1">
      <c r="B75" s="3910" t="str">
        <f>'7. Inputs'!C74</f>
        <v>Please select</v>
      </c>
      <c r="C75" s="3911"/>
      <c r="D75" s="1208">
        <f>VLOOKUP($B75,' IPCC'!$A$707:$B$722,2,)/1000</f>
        <v>0</v>
      </c>
      <c r="E75" s="2397">
        <f>IF('7. Inputs'!K248="",'7. Inputs'!I248,'7. Inputs'!K248)</f>
        <v>0</v>
      </c>
      <c r="F75" s="1204" t="s">
        <v>354</v>
      </c>
      <c r="G75" s="1847">
        <f>'7. Inputs'!I74</f>
        <v>0</v>
      </c>
      <c r="H75" s="1847">
        <f>'7. Inputs'!K74</f>
        <v>0</v>
      </c>
      <c r="I75" s="597">
        <f t="shared" ref="I75:I80" si="1">IF($F75="yes",$D75*G75,$E75*G75)</f>
        <v>0</v>
      </c>
      <c r="J75" s="597">
        <f t="shared" ref="J75:J80" si="2">IF($F75="yes",$D75*H75,$E75*H75)</f>
        <v>0</v>
      </c>
      <c r="K75" s="233"/>
      <c r="L75" s="233"/>
      <c r="M75" s="233"/>
      <c r="N75" s="2403"/>
      <c r="O75" s="2403"/>
      <c r="T75" s="232"/>
      <c r="U75" s="232"/>
      <c r="V75" s="232"/>
      <c r="W75" s="232"/>
      <c r="X75" s="232"/>
      <c r="Y75" s="232"/>
      <c r="Z75" s="232"/>
      <c r="AA75" s="232"/>
      <c r="AB75" s="232"/>
      <c r="AC75" s="232"/>
      <c r="AD75" s="232"/>
      <c r="AE75" s="232"/>
      <c r="AF75" s="232"/>
      <c r="AG75" s="232"/>
      <c r="AH75" s="232"/>
      <c r="AI75" s="232"/>
      <c r="AJ75" s="232"/>
      <c r="HI75" s="762"/>
    </row>
    <row r="76" spans="1:217" ht="13.5" thickBot="1">
      <c r="B76" s="3910" t="str">
        <f>'7. Inputs'!C75</f>
        <v>Please select</v>
      </c>
      <c r="C76" s="3911"/>
      <c r="D76" s="1208">
        <f>VLOOKUP($B76,' IPCC'!$A$707:$B$722,2,)/1000</f>
        <v>0</v>
      </c>
      <c r="E76" s="2397">
        <f>IF('7. Inputs'!K249="",'7. Inputs'!I249,'7. Inputs'!K249)</f>
        <v>0</v>
      </c>
      <c r="F76" s="1204" t="s">
        <v>354</v>
      </c>
      <c r="G76" s="1847">
        <f>'7. Inputs'!I75</f>
        <v>0</v>
      </c>
      <c r="H76" s="1847">
        <f>'7. Inputs'!K75</f>
        <v>0</v>
      </c>
      <c r="I76" s="597">
        <f>IF($F76="yes",$D76*G76,$E76*G76)</f>
        <v>0</v>
      </c>
      <c r="J76" s="597">
        <f>IF($F76="yes",$D76*H76,$E76*H76)</f>
        <v>0</v>
      </c>
      <c r="K76" s="233"/>
      <c r="L76" s="233"/>
      <c r="M76" s="233"/>
      <c r="N76" s="2403"/>
      <c r="O76" s="2403"/>
      <c r="T76" s="232"/>
      <c r="U76" s="232"/>
      <c r="V76" s="232"/>
      <c r="W76" s="232"/>
      <c r="X76" s="232"/>
      <c r="Y76" s="232"/>
      <c r="Z76" s="232"/>
      <c r="AA76" s="232"/>
      <c r="AB76" s="232"/>
      <c r="AC76" s="232"/>
      <c r="AD76" s="232"/>
      <c r="AE76" s="232"/>
      <c r="AF76" s="232"/>
      <c r="AG76" s="232"/>
      <c r="AH76" s="232"/>
      <c r="AI76" s="232"/>
      <c r="AJ76" s="232"/>
      <c r="HI76" s="762"/>
    </row>
    <row r="77" spans="1:217" ht="13.5" thickBot="1">
      <c r="B77" s="3910" t="str">
        <f>'7. Inputs'!C76</f>
        <v>Please select</v>
      </c>
      <c r="C77" s="3911"/>
      <c r="D77" s="1208">
        <f>VLOOKUP($B77,' IPCC'!$A$707:$B$722,2,)/1000</f>
        <v>0</v>
      </c>
      <c r="E77" s="2397">
        <f>IF('7. Inputs'!K250="",'7. Inputs'!I250,'7. Inputs'!K250)</f>
        <v>0</v>
      </c>
      <c r="F77" s="1204" t="s">
        <v>354</v>
      </c>
      <c r="G77" s="1847">
        <f>'7. Inputs'!I76</f>
        <v>0</v>
      </c>
      <c r="H77" s="1847">
        <f>'7. Inputs'!K76</f>
        <v>0</v>
      </c>
      <c r="I77" s="597">
        <f>IF($F77="yes",$D77*G77,$E77*G77)</f>
        <v>0</v>
      </c>
      <c r="J77" s="597">
        <f>IF($F77="yes",$D77*H77,$E77*H77)</f>
        <v>0</v>
      </c>
      <c r="K77" s="233"/>
      <c r="L77" s="233"/>
      <c r="M77" s="233"/>
      <c r="N77" s="2403"/>
      <c r="O77" s="2403"/>
      <c r="T77" s="232"/>
      <c r="U77" s="232"/>
      <c r="V77" s="232"/>
      <c r="W77" s="232"/>
      <c r="X77" s="232"/>
      <c r="Y77" s="232"/>
      <c r="Z77" s="232"/>
      <c r="AA77" s="232"/>
      <c r="AB77" s="232"/>
      <c r="AC77" s="232"/>
      <c r="AD77" s="232"/>
      <c r="AE77" s="232"/>
      <c r="AF77" s="232"/>
      <c r="AG77" s="232"/>
      <c r="AH77" s="232"/>
      <c r="AI77" s="232"/>
      <c r="AJ77" s="232"/>
      <c r="HI77" s="762"/>
    </row>
    <row r="78" spans="1:217" ht="13.5" thickBot="1">
      <c r="B78" s="3910" t="str">
        <f>'7. Inputs'!C77</f>
        <v>Please select</v>
      </c>
      <c r="C78" s="3911"/>
      <c r="D78" s="1208">
        <f>VLOOKUP($B78,' IPCC'!$A$707:$B$722,2,)/1000</f>
        <v>0</v>
      </c>
      <c r="E78" s="2397">
        <f>IF('7. Inputs'!K251="",'7. Inputs'!I251,'7. Inputs'!K251)</f>
        <v>0</v>
      </c>
      <c r="F78" s="1204" t="s">
        <v>354</v>
      </c>
      <c r="G78" s="1847">
        <f>'7. Inputs'!I77</f>
        <v>0</v>
      </c>
      <c r="H78" s="1847">
        <f>'7. Inputs'!K77</f>
        <v>0</v>
      </c>
      <c r="I78" s="597">
        <f t="shared" si="1"/>
        <v>0</v>
      </c>
      <c r="J78" s="597">
        <f t="shared" si="2"/>
        <v>0</v>
      </c>
      <c r="K78" s="233"/>
      <c r="L78" s="233"/>
      <c r="M78" s="233"/>
      <c r="N78" s="2403"/>
      <c r="O78" s="2403"/>
      <c r="T78" s="232"/>
      <c r="U78" s="232"/>
      <c r="V78" s="232"/>
      <c r="W78" s="232"/>
      <c r="X78" s="232"/>
      <c r="Y78" s="232"/>
      <c r="Z78" s="232"/>
      <c r="AA78" s="232"/>
      <c r="AB78" s="232"/>
      <c r="AC78" s="232"/>
      <c r="AD78" s="232"/>
      <c r="AE78" s="232"/>
      <c r="AF78" s="232"/>
      <c r="AG78" s="232"/>
      <c r="AH78" s="232"/>
      <c r="AI78" s="232"/>
      <c r="AJ78" s="232"/>
      <c r="HI78" s="762"/>
    </row>
    <row r="79" spans="1:217" ht="13.5" thickBot="1">
      <c r="B79" s="3910" t="str">
        <f>'7. Inputs'!C78</f>
        <v>Please select</v>
      </c>
      <c r="C79" s="3911"/>
      <c r="D79" s="1208">
        <f>VLOOKUP($B79,' IPCC'!$A$707:$B$722,2,)/1000</f>
        <v>0</v>
      </c>
      <c r="E79" s="2397">
        <f>IF('7. Inputs'!K252="",'7. Inputs'!I252,'7. Inputs'!K252)</f>
        <v>0</v>
      </c>
      <c r="F79" s="1204" t="s">
        <v>354</v>
      </c>
      <c r="G79" s="1847">
        <f>'7. Inputs'!I78</f>
        <v>0</v>
      </c>
      <c r="H79" s="1847">
        <f>'7. Inputs'!K78</f>
        <v>0</v>
      </c>
      <c r="I79" s="597">
        <f t="shared" si="1"/>
        <v>0</v>
      </c>
      <c r="J79" s="597">
        <f t="shared" si="2"/>
        <v>0</v>
      </c>
      <c r="K79" s="233"/>
      <c r="L79" s="233"/>
      <c r="M79" s="233"/>
      <c r="N79" s="2403"/>
      <c r="O79" s="2403"/>
      <c r="T79" s="232"/>
      <c r="U79" s="232"/>
      <c r="V79" s="232"/>
      <c r="W79" s="232"/>
      <c r="X79" s="232"/>
      <c r="Y79" s="232"/>
      <c r="Z79" s="232"/>
      <c r="AA79" s="232"/>
      <c r="AB79" s="232"/>
      <c r="AC79" s="232"/>
      <c r="AD79" s="232"/>
      <c r="AE79" s="232"/>
      <c r="AF79" s="232"/>
      <c r="AG79" s="232"/>
      <c r="AH79" s="232"/>
      <c r="AI79" s="232"/>
      <c r="AJ79" s="232"/>
      <c r="HI79" s="762"/>
    </row>
    <row r="80" spans="1:217">
      <c r="B80" s="3910" t="str">
        <f>'7. Inputs'!C79</f>
        <v>Please select</v>
      </c>
      <c r="C80" s="3911"/>
      <c r="D80" s="791">
        <f>VLOOKUP($B80,' IPCC'!$A$707:$B$722,2,)/1000</f>
        <v>0</v>
      </c>
      <c r="E80" s="2397">
        <f>IF('7. Inputs'!K253="",'7. Inputs'!I253,'7. Inputs'!K253)</f>
        <v>0</v>
      </c>
      <c r="F80" s="1204" t="s">
        <v>354</v>
      </c>
      <c r="G80" s="1847">
        <f>'7. Inputs'!I79</f>
        <v>0</v>
      </c>
      <c r="H80" s="1847">
        <f>'7. Inputs'!K79</f>
        <v>0</v>
      </c>
      <c r="I80" s="597">
        <f t="shared" si="1"/>
        <v>0</v>
      </c>
      <c r="J80" s="597">
        <f t="shared" si="2"/>
        <v>0</v>
      </c>
      <c r="K80" s="233"/>
      <c r="L80" s="233"/>
      <c r="M80" s="233"/>
      <c r="N80" s="2403"/>
      <c r="O80" s="2403"/>
      <c r="T80" s="232"/>
      <c r="U80" s="232"/>
      <c r="V80" s="232"/>
      <c r="W80" s="232"/>
      <c r="X80" s="232"/>
      <c r="Y80" s="232"/>
      <c r="Z80" s="232"/>
      <c r="AA80" s="232"/>
      <c r="AB80" s="232"/>
      <c r="AC80" s="232"/>
      <c r="AD80" s="232"/>
      <c r="AE80" s="232"/>
      <c r="AF80" s="232"/>
      <c r="AG80" s="232"/>
      <c r="AH80" s="232"/>
      <c r="AI80" s="232"/>
      <c r="AJ80" s="232"/>
      <c r="HI80" s="762"/>
    </row>
    <row r="81" spans="2:217">
      <c r="B81" s="233"/>
      <c r="C81" s="233"/>
      <c r="D81" s="233"/>
      <c r="E81" s="761"/>
      <c r="F81" s="234"/>
      <c r="G81" s="234"/>
      <c r="H81" s="233"/>
      <c r="I81" s="233"/>
      <c r="J81" s="761"/>
      <c r="K81" s="233"/>
      <c r="L81" s="233"/>
      <c r="M81" s="233"/>
      <c r="N81" s="2403"/>
      <c r="O81" s="2403"/>
      <c r="T81" s="232"/>
      <c r="U81" s="232"/>
      <c r="V81" s="232"/>
      <c r="W81" s="232"/>
      <c r="X81" s="232"/>
      <c r="Y81" s="232"/>
      <c r="Z81" s="232"/>
      <c r="AA81" s="232"/>
      <c r="AB81" s="232"/>
      <c r="AC81" s="232"/>
      <c r="AD81" s="232"/>
      <c r="AE81" s="232"/>
      <c r="AF81" s="232"/>
      <c r="AG81" s="232"/>
      <c r="AH81" s="232"/>
      <c r="AI81" s="232"/>
      <c r="AJ81" s="232"/>
      <c r="HI81" s="762"/>
    </row>
    <row r="82" spans="2:217">
      <c r="B82" s="233"/>
      <c r="C82" s="233"/>
      <c r="E82" s="761"/>
      <c r="F82" s="827" t="s">
        <v>970</v>
      </c>
      <c r="G82" s="764">
        <f>SUM(I74:I80)</f>
        <v>0</v>
      </c>
      <c r="H82" s="828">
        <f>SUM(J74:J80)</f>
        <v>0</v>
      </c>
      <c r="I82" s="823" t="s">
        <v>343</v>
      </c>
      <c r="J82" s="802">
        <f>H82-G82</f>
        <v>0</v>
      </c>
      <c r="K82" s="233"/>
      <c r="L82" s="233"/>
      <c r="M82" s="233"/>
      <c r="N82" s="2403"/>
      <c r="O82" s="2403"/>
      <c r="S82" s="2412">
        <f>J82</f>
        <v>0</v>
      </c>
      <c r="T82" s="232"/>
      <c r="U82" s="232"/>
      <c r="V82" s="232"/>
      <c r="W82" s="232"/>
      <c r="X82" s="232"/>
      <c r="Y82" s="232"/>
      <c r="Z82" s="232"/>
      <c r="AA82" s="232"/>
      <c r="AB82" s="232"/>
      <c r="AC82" s="232"/>
      <c r="AD82" s="232"/>
      <c r="AE82" s="232"/>
      <c r="AF82" s="232"/>
      <c r="AG82" s="232"/>
      <c r="AH82" s="232"/>
      <c r="AI82" s="232"/>
      <c r="AJ82" s="232"/>
      <c r="HI82" s="762"/>
    </row>
    <row r="83" spans="2:217">
      <c r="B83" s="233"/>
      <c r="C83" s="233"/>
      <c r="D83" s="761"/>
      <c r="E83" s="234"/>
      <c r="F83" s="234"/>
      <c r="G83" s="233"/>
      <c r="H83" s="233"/>
      <c r="I83" s="761"/>
      <c r="J83" s="233"/>
      <c r="K83" s="233"/>
      <c r="L83" s="233"/>
      <c r="M83" s="233"/>
      <c r="N83" s="2403"/>
      <c r="O83" s="2403"/>
      <c r="T83" s="232"/>
      <c r="U83" s="232"/>
      <c r="V83" s="232"/>
      <c r="W83" s="232"/>
      <c r="X83" s="232"/>
      <c r="Y83" s="232"/>
      <c r="Z83" s="232"/>
      <c r="AA83" s="232"/>
      <c r="AB83" s="232"/>
      <c r="AC83" s="232"/>
      <c r="AD83" s="232"/>
      <c r="AE83" s="232"/>
      <c r="AF83" s="232"/>
      <c r="AG83" s="232"/>
      <c r="AH83" s="232"/>
      <c r="AI83" s="232"/>
      <c r="AJ83" s="232"/>
      <c r="HI83" s="762"/>
    </row>
    <row r="84" spans="2:217">
      <c r="B84" s="233"/>
      <c r="C84" s="233"/>
      <c r="D84" s="761"/>
      <c r="E84" s="234"/>
      <c r="F84" s="234"/>
      <c r="G84" s="233"/>
      <c r="H84" s="233"/>
      <c r="I84" s="761"/>
      <c r="J84" s="233"/>
      <c r="K84" s="233"/>
      <c r="L84" s="233"/>
      <c r="M84" s="233"/>
      <c r="N84" s="2403"/>
      <c r="O84" s="2403"/>
      <c r="T84" s="232"/>
      <c r="U84" s="232"/>
      <c r="V84" s="232"/>
      <c r="W84" s="232"/>
      <c r="X84" s="232"/>
      <c r="Y84" s="232"/>
      <c r="Z84" s="232"/>
      <c r="AA84" s="232"/>
      <c r="AB84" s="232"/>
      <c r="AC84" s="232"/>
      <c r="AD84" s="232"/>
      <c r="AE84" s="232"/>
      <c r="AF84" s="232"/>
      <c r="AG84" s="232"/>
      <c r="AH84" s="232"/>
      <c r="AI84" s="232"/>
      <c r="AJ84" s="232"/>
      <c r="HI84" s="762"/>
    </row>
    <row r="85" spans="2:217">
      <c r="B85" s="233"/>
      <c r="C85" s="233"/>
      <c r="D85" s="761"/>
      <c r="E85" s="234"/>
      <c r="F85" s="234"/>
      <c r="G85" s="233"/>
      <c r="H85" s="233"/>
      <c r="I85" s="761"/>
      <c r="J85" s="233"/>
      <c r="K85" s="233"/>
      <c r="L85" s="233"/>
      <c r="M85" s="233"/>
      <c r="N85" s="2403"/>
      <c r="O85" s="2403"/>
      <c r="T85" s="232"/>
      <c r="U85" s="232"/>
      <c r="V85" s="232"/>
      <c r="W85" s="232"/>
      <c r="X85" s="232"/>
      <c r="Y85" s="232"/>
      <c r="Z85" s="232"/>
      <c r="AA85" s="232"/>
      <c r="AB85" s="232"/>
      <c r="AC85" s="232"/>
      <c r="AD85" s="232"/>
      <c r="AE85" s="232"/>
      <c r="AF85" s="232"/>
      <c r="AG85" s="232"/>
      <c r="AH85" s="232"/>
      <c r="AI85" s="232"/>
      <c r="AJ85" s="232"/>
      <c r="HI85" s="762"/>
    </row>
    <row r="86" spans="2:217">
      <c r="B86" s="829" t="s">
        <v>971</v>
      </c>
      <c r="C86" s="830"/>
      <c r="D86" s="1205"/>
      <c r="E86" s="1443" t="s">
        <v>674</v>
      </c>
      <c r="F86" s="1444">
        <f>G82+G62+E57+E30+G63+E31+G64</f>
        <v>0</v>
      </c>
      <c r="G86" s="1445" t="s">
        <v>675</v>
      </c>
      <c r="H86" s="1444">
        <f>H82+G66+G57+G30+G65+G31+G67</f>
        <v>0</v>
      </c>
      <c r="I86" s="830" t="s">
        <v>343</v>
      </c>
      <c r="J86" s="934">
        <f>H86-F86</f>
        <v>0</v>
      </c>
      <c r="K86" s="233"/>
      <c r="L86" s="233"/>
      <c r="M86" s="233"/>
      <c r="N86" s="2403"/>
      <c r="O86" s="2403"/>
      <c r="S86" s="2412">
        <f>IF(time=0,0,S82+S68+S56+S38+S24+S15+S29)</f>
        <v>0</v>
      </c>
      <c r="T86" s="2766">
        <f>J86-S86</f>
        <v>0</v>
      </c>
      <c r="U86" s="232"/>
      <c r="V86" s="232"/>
      <c r="W86" s="232"/>
      <c r="X86" s="232"/>
      <c r="Y86" s="232"/>
      <c r="Z86" s="232"/>
      <c r="AA86" s="232"/>
      <c r="AB86" s="232"/>
      <c r="AC86" s="232"/>
      <c r="AD86" s="232"/>
      <c r="AE86" s="232"/>
      <c r="AF86" s="232"/>
      <c r="AG86" s="232"/>
      <c r="AH86" s="232"/>
      <c r="AI86" s="232"/>
      <c r="AJ86" s="232"/>
      <c r="HI86" s="762"/>
    </row>
    <row r="87" spans="2:217">
      <c r="B87" s="233"/>
      <c r="C87" s="233"/>
      <c r="D87" s="761"/>
      <c r="E87" s="234"/>
      <c r="F87" s="234"/>
      <c r="G87" s="233"/>
      <c r="H87" s="233"/>
      <c r="I87" s="761"/>
      <c r="J87" s="233"/>
      <c r="K87" s="233"/>
      <c r="L87" s="233"/>
      <c r="M87" s="233"/>
      <c r="N87" s="2403"/>
      <c r="O87" s="2403"/>
      <c r="HI87" s="762"/>
    </row>
    <row r="88" spans="2:217">
      <c r="B88" s="232"/>
      <c r="C88" s="233"/>
      <c r="D88" s="761"/>
      <c r="E88" s="234"/>
      <c r="F88" s="234"/>
      <c r="G88" s="233"/>
      <c r="H88" s="233"/>
      <c r="I88" s="761"/>
      <c r="J88" s="233"/>
      <c r="K88" s="233"/>
      <c r="L88" s="233"/>
      <c r="M88" s="233"/>
      <c r="N88" s="2403"/>
      <c r="O88" s="2403"/>
      <c r="HI88" s="762"/>
    </row>
    <row r="89" spans="2:217">
      <c r="B89" s="233"/>
      <c r="C89" s="233"/>
      <c r="D89" s="761"/>
      <c r="E89" s="234"/>
      <c r="F89" s="234"/>
      <c r="G89" s="233"/>
      <c r="H89" s="233"/>
      <c r="I89" s="761"/>
      <c r="J89" s="233"/>
      <c r="K89" s="233"/>
      <c r="L89" s="233"/>
      <c r="M89" s="233"/>
      <c r="N89" s="2403"/>
      <c r="O89" s="2403"/>
      <c r="HI89" s="762"/>
    </row>
    <row r="90" spans="2:217">
      <c r="B90" s="233"/>
      <c r="C90" s="233"/>
      <c r="D90" s="761"/>
      <c r="E90" s="234"/>
      <c r="F90" s="234"/>
      <c r="G90" s="233"/>
      <c r="H90" s="233"/>
      <c r="I90" s="761"/>
      <c r="J90" s="233"/>
      <c r="K90" s="233"/>
      <c r="L90" s="233"/>
      <c r="M90" s="233"/>
      <c r="N90" s="2403"/>
      <c r="O90" s="2403"/>
      <c r="HI90" s="762"/>
    </row>
    <row r="91" spans="2:217">
      <c r="B91" s="233"/>
      <c r="C91" s="233"/>
      <c r="D91" s="761"/>
      <c r="E91" s="234"/>
      <c r="F91" s="234"/>
      <c r="G91" s="233"/>
      <c r="H91" s="233"/>
      <c r="I91" s="761"/>
      <c r="J91" s="233"/>
      <c r="K91" s="233"/>
      <c r="L91" s="233"/>
      <c r="M91" s="233"/>
      <c r="N91" s="2403"/>
      <c r="O91" s="2403"/>
      <c r="HI91" s="762"/>
    </row>
    <row r="92" spans="2:217">
      <c r="B92" s="233"/>
      <c r="C92" s="233"/>
      <c r="D92" s="761"/>
      <c r="E92" s="234"/>
      <c r="F92" s="234"/>
      <c r="G92" s="233"/>
      <c r="H92" s="233"/>
      <c r="I92" s="761"/>
      <c r="J92" s="233"/>
      <c r="K92" s="233"/>
      <c r="L92" s="233"/>
      <c r="M92" s="233"/>
      <c r="N92" s="2403"/>
      <c r="O92" s="2403"/>
      <c r="HI92" s="762"/>
    </row>
    <row r="93" spans="2:217">
      <c r="B93" s="233"/>
      <c r="C93" s="233"/>
      <c r="D93" s="761"/>
      <c r="E93" s="234"/>
      <c r="F93" s="234"/>
      <c r="G93" s="233"/>
      <c r="H93" s="233"/>
      <c r="I93" s="761"/>
      <c r="J93" s="233"/>
      <c r="K93" s="233"/>
      <c r="L93" s="233"/>
      <c r="M93" s="233"/>
      <c r="N93" s="2403"/>
      <c r="O93" s="2403"/>
      <c r="HI93" s="762"/>
    </row>
    <row r="94" spans="2:217">
      <c r="B94" s="233"/>
      <c r="C94" s="233"/>
      <c r="D94" s="761"/>
      <c r="E94" s="234"/>
      <c r="F94" s="234"/>
      <c r="G94" s="233"/>
      <c r="H94" s="233"/>
      <c r="I94" s="761"/>
      <c r="J94" s="233"/>
      <c r="K94" s="233"/>
      <c r="L94" s="233"/>
      <c r="M94" s="233"/>
      <c r="N94" s="2403"/>
      <c r="O94" s="2403"/>
      <c r="HI94" s="762"/>
    </row>
    <row r="95" spans="2:217">
      <c r="B95" s="233"/>
      <c r="C95" s="233"/>
      <c r="D95" s="761"/>
      <c r="E95" s="234"/>
      <c r="F95" s="234"/>
      <c r="G95" s="233"/>
      <c r="H95" s="233"/>
      <c r="I95" s="761"/>
      <c r="J95" s="233"/>
      <c r="K95" s="233"/>
      <c r="L95" s="233"/>
      <c r="M95" s="233"/>
      <c r="N95" s="2403"/>
      <c r="O95" s="2403"/>
      <c r="HI95" s="762"/>
    </row>
    <row r="96" spans="2:217">
      <c r="B96" s="233"/>
      <c r="C96" s="233"/>
      <c r="D96" s="761"/>
      <c r="E96" s="234"/>
      <c r="F96" s="234"/>
      <c r="G96" s="233"/>
      <c r="H96" s="233"/>
      <c r="I96" s="761"/>
      <c r="J96" s="233"/>
      <c r="K96" s="233"/>
      <c r="L96" s="233"/>
      <c r="M96" s="233"/>
      <c r="N96" s="2403"/>
      <c r="O96" s="2403"/>
      <c r="HI96" s="762"/>
    </row>
    <row r="97" spans="2:217">
      <c r="B97" s="233"/>
      <c r="C97" s="233"/>
      <c r="D97" s="761"/>
      <c r="E97" s="234"/>
      <c r="F97" s="234"/>
      <c r="G97" s="233"/>
      <c r="H97" s="233"/>
      <c r="I97" s="761"/>
      <c r="J97" s="233"/>
      <c r="K97" s="233"/>
      <c r="L97" s="233"/>
      <c r="M97" s="233"/>
      <c r="N97" s="2403"/>
      <c r="O97" s="2403"/>
      <c r="HI97" s="762"/>
    </row>
    <row r="98" spans="2:217">
      <c r="B98" s="233"/>
      <c r="C98" s="233"/>
      <c r="D98" s="761"/>
      <c r="E98" s="234"/>
      <c r="F98" s="234"/>
      <c r="G98" s="233"/>
      <c r="H98" s="233"/>
      <c r="I98" s="761"/>
      <c r="J98" s="233"/>
      <c r="K98" s="233"/>
      <c r="L98" s="233"/>
      <c r="M98" s="233"/>
      <c r="N98" s="2403"/>
      <c r="O98" s="2403"/>
      <c r="HI98" s="762"/>
    </row>
    <row r="99" spans="2:217">
      <c r="C99" s="233"/>
      <c r="D99" s="233"/>
      <c r="E99" s="761"/>
      <c r="F99" s="234"/>
      <c r="G99" s="234"/>
      <c r="H99" s="233"/>
      <c r="I99" s="233"/>
      <c r="J99" s="761"/>
      <c r="K99" s="233"/>
      <c r="L99" s="233"/>
      <c r="M99" s="233"/>
      <c r="N99" s="2403"/>
      <c r="O99" s="2403"/>
    </row>
    <row r="100" spans="2:217">
      <c r="C100" s="233"/>
      <c r="D100" s="233"/>
      <c r="E100" s="761"/>
      <c r="F100" s="234"/>
      <c r="G100" s="234"/>
      <c r="H100" s="233"/>
      <c r="I100" s="233"/>
      <c r="J100" s="761"/>
      <c r="K100" s="233"/>
      <c r="L100" s="233"/>
      <c r="M100" s="233"/>
      <c r="N100" s="2403"/>
      <c r="O100" s="2403"/>
    </row>
    <row r="101" spans="2:217">
      <c r="C101" s="233"/>
      <c r="D101" s="233"/>
      <c r="E101" s="761"/>
      <c r="F101" s="234"/>
      <c r="G101" s="234"/>
      <c r="H101" s="233"/>
      <c r="I101" s="233"/>
      <c r="J101" s="761"/>
      <c r="K101" s="233"/>
      <c r="L101" s="233"/>
      <c r="M101" s="233"/>
      <c r="N101" s="2403"/>
      <c r="O101" s="2403"/>
    </row>
    <row r="102" spans="2:217">
      <c r="C102" s="233"/>
      <c r="D102" s="233"/>
      <c r="E102" s="761"/>
      <c r="F102" s="234"/>
      <c r="G102" s="234"/>
      <c r="H102" s="233"/>
      <c r="I102" s="233"/>
      <c r="J102" s="761"/>
      <c r="K102" s="233"/>
      <c r="L102" s="233"/>
      <c r="M102" s="233"/>
      <c r="N102" s="2403"/>
      <c r="O102" s="2403"/>
    </row>
    <row r="103" spans="2:217">
      <c r="C103" s="233"/>
      <c r="D103" s="233"/>
      <c r="E103" s="761"/>
      <c r="F103" s="234"/>
      <c r="G103" s="234"/>
      <c r="H103" s="233"/>
      <c r="I103" s="233"/>
      <c r="J103" s="761"/>
      <c r="K103" s="233"/>
      <c r="L103" s="233"/>
      <c r="M103" s="233"/>
      <c r="N103" s="2403"/>
      <c r="O103" s="2403"/>
    </row>
    <row r="104" spans="2:217">
      <c r="C104" s="233"/>
      <c r="D104" s="233"/>
      <c r="E104" s="761"/>
      <c r="F104" s="234"/>
      <c r="G104" s="234"/>
      <c r="H104" s="233"/>
      <c r="I104" s="233"/>
      <c r="J104" s="761"/>
      <c r="K104" s="233"/>
      <c r="L104" s="233"/>
      <c r="M104" s="233"/>
      <c r="N104" s="2403"/>
      <c r="O104" s="2403"/>
    </row>
    <row r="105" spans="2:217">
      <c r="C105" s="233"/>
      <c r="D105" s="233"/>
      <c r="E105" s="761"/>
      <c r="F105" s="234"/>
      <c r="G105" s="234"/>
      <c r="H105" s="233"/>
      <c r="I105" s="233"/>
      <c r="J105" s="761"/>
      <c r="K105" s="233"/>
      <c r="L105" s="233"/>
      <c r="M105" s="233"/>
      <c r="N105" s="2403"/>
      <c r="O105" s="2403"/>
    </row>
    <row r="106" spans="2:217">
      <c r="C106" s="233"/>
      <c r="D106" s="233"/>
      <c r="E106" s="761"/>
      <c r="F106" s="234"/>
      <c r="G106" s="234"/>
      <c r="H106" s="233"/>
      <c r="I106" s="233"/>
      <c r="J106" s="761"/>
      <c r="K106" s="233"/>
      <c r="L106" s="233"/>
      <c r="M106" s="233"/>
      <c r="N106" s="2403"/>
      <c r="O106" s="2403"/>
    </row>
    <row r="107" spans="2:217">
      <c r="C107" s="233"/>
      <c r="D107" s="233"/>
      <c r="E107" s="761"/>
      <c r="F107" s="234"/>
      <c r="G107" s="234"/>
      <c r="H107" s="233"/>
      <c r="I107" s="233"/>
      <c r="J107" s="761"/>
      <c r="K107" s="233"/>
      <c r="L107" s="233"/>
      <c r="M107" s="233"/>
      <c r="N107" s="2403"/>
      <c r="O107" s="2403"/>
    </row>
    <row r="108" spans="2:217">
      <c r="C108" s="233"/>
      <c r="D108" s="233"/>
      <c r="E108" s="761"/>
      <c r="F108" s="234"/>
      <c r="G108" s="234"/>
      <c r="H108" s="233"/>
      <c r="I108" s="233"/>
      <c r="J108" s="761"/>
      <c r="K108" s="233"/>
      <c r="L108" s="233"/>
      <c r="M108" s="233"/>
      <c r="N108" s="2403"/>
      <c r="O108" s="2403"/>
    </row>
    <row r="109" spans="2:217">
      <c r="C109" s="233"/>
      <c r="D109" s="233"/>
      <c r="E109" s="761"/>
      <c r="F109" s="234"/>
      <c r="G109" s="234"/>
      <c r="H109" s="233"/>
      <c r="I109" s="233"/>
      <c r="J109" s="761"/>
      <c r="K109" s="233"/>
      <c r="L109" s="233"/>
      <c r="M109" s="233"/>
      <c r="N109" s="2403"/>
      <c r="O109" s="2403"/>
    </row>
    <row r="110" spans="2:217">
      <c r="C110" s="233"/>
      <c r="D110" s="233"/>
      <c r="E110" s="761"/>
      <c r="F110" s="234"/>
      <c r="G110" s="234"/>
      <c r="H110" s="233"/>
      <c r="I110" s="233"/>
      <c r="J110" s="761"/>
      <c r="K110" s="233"/>
      <c r="L110" s="233"/>
      <c r="M110" s="233"/>
      <c r="N110" s="2403"/>
      <c r="O110" s="2403"/>
    </row>
    <row r="111" spans="2:217">
      <c r="C111" s="233"/>
      <c r="D111" s="233"/>
      <c r="E111" s="761"/>
      <c r="F111" s="234"/>
      <c r="G111" s="234"/>
      <c r="H111" s="233"/>
      <c r="I111" s="233"/>
      <c r="J111" s="761"/>
      <c r="K111" s="233"/>
      <c r="L111" s="233"/>
      <c r="M111" s="233"/>
      <c r="N111" s="2403"/>
      <c r="O111" s="2403"/>
    </row>
    <row r="112" spans="2:217">
      <c r="C112" s="233"/>
      <c r="D112" s="233"/>
      <c r="E112" s="761"/>
      <c r="F112" s="234"/>
      <c r="G112" s="234"/>
      <c r="H112" s="233"/>
      <c r="I112" s="233"/>
      <c r="J112" s="761"/>
      <c r="K112" s="233"/>
      <c r="L112" s="233"/>
      <c r="M112" s="233"/>
      <c r="N112" s="2403"/>
      <c r="O112" s="2403"/>
    </row>
    <row r="113" spans="3:15">
      <c r="C113" s="233"/>
      <c r="D113" s="233"/>
      <c r="E113" s="761"/>
      <c r="F113" s="234"/>
      <c r="G113" s="234"/>
      <c r="H113" s="233"/>
      <c r="I113" s="233"/>
      <c r="J113" s="761"/>
      <c r="K113" s="233"/>
      <c r="L113" s="233"/>
      <c r="M113" s="233"/>
      <c r="N113" s="2403"/>
      <c r="O113" s="2403"/>
    </row>
    <row r="114" spans="3:15">
      <c r="C114" s="233"/>
      <c r="D114" s="233"/>
      <c r="E114" s="761"/>
      <c r="F114" s="234"/>
      <c r="G114" s="234"/>
      <c r="H114" s="233"/>
      <c r="I114" s="233"/>
      <c r="J114" s="761"/>
      <c r="K114" s="233"/>
      <c r="L114" s="233"/>
      <c r="M114" s="233"/>
      <c r="N114" s="2403"/>
      <c r="O114" s="2403"/>
    </row>
    <row r="115" spans="3:15">
      <c r="C115" s="233"/>
      <c r="D115" s="233"/>
      <c r="E115" s="761"/>
      <c r="F115" s="234"/>
      <c r="G115" s="234"/>
      <c r="H115" s="233"/>
      <c r="I115" s="233"/>
      <c r="J115" s="761"/>
      <c r="K115" s="233"/>
      <c r="L115" s="233"/>
      <c r="M115" s="233"/>
      <c r="N115" s="2403"/>
      <c r="O115" s="2403"/>
    </row>
    <row r="116" spans="3:15">
      <c r="C116" s="233"/>
      <c r="D116" s="233"/>
      <c r="E116" s="761"/>
      <c r="F116" s="234"/>
      <c r="G116" s="234"/>
      <c r="H116" s="233"/>
      <c r="I116" s="233"/>
      <c r="J116" s="761"/>
      <c r="K116" s="233"/>
      <c r="L116" s="233"/>
      <c r="M116" s="233"/>
      <c r="N116" s="2403"/>
      <c r="O116" s="2403"/>
    </row>
    <row r="117" spans="3:15">
      <c r="C117" s="233"/>
      <c r="D117" s="233"/>
      <c r="E117" s="761"/>
      <c r="F117" s="234"/>
      <c r="G117" s="234"/>
      <c r="H117" s="233"/>
      <c r="I117" s="233"/>
      <c r="J117" s="761"/>
      <c r="K117" s="233"/>
      <c r="L117" s="233"/>
      <c r="M117" s="233"/>
      <c r="N117" s="2403"/>
      <c r="O117" s="2403"/>
    </row>
    <row r="118" spans="3:15">
      <c r="C118" s="233"/>
      <c r="D118" s="233"/>
      <c r="E118" s="761"/>
      <c r="F118" s="234"/>
      <c r="G118" s="234"/>
      <c r="H118" s="233"/>
      <c r="I118" s="233"/>
      <c r="J118" s="761"/>
      <c r="K118" s="233"/>
      <c r="L118" s="233"/>
      <c r="M118" s="233"/>
      <c r="N118" s="2403"/>
      <c r="O118" s="2403"/>
    </row>
    <row r="119" spans="3:15">
      <c r="C119" s="233"/>
      <c r="D119" s="233"/>
      <c r="E119" s="761"/>
      <c r="F119" s="234"/>
      <c r="G119" s="234"/>
      <c r="H119" s="233"/>
      <c r="I119" s="233"/>
      <c r="J119" s="761"/>
      <c r="K119" s="233"/>
      <c r="L119" s="233"/>
      <c r="M119" s="233"/>
      <c r="N119" s="2403"/>
      <c r="O119" s="2403"/>
    </row>
    <row r="120" spans="3:15">
      <c r="C120" s="233"/>
      <c r="D120" s="233"/>
      <c r="E120" s="761"/>
      <c r="F120" s="234"/>
      <c r="G120" s="234"/>
      <c r="H120" s="233"/>
      <c r="I120" s="233"/>
      <c r="J120" s="761"/>
      <c r="K120" s="233"/>
      <c r="L120" s="233"/>
      <c r="M120" s="233"/>
      <c r="N120" s="2403"/>
      <c r="O120" s="2403"/>
    </row>
    <row r="121" spans="3:15">
      <c r="C121" s="233"/>
      <c r="D121" s="233"/>
      <c r="E121" s="761"/>
      <c r="F121" s="234"/>
      <c r="G121" s="234"/>
      <c r="H121" s="233"/>
      <c r="I121" s="233"/>
      <c r="J121" s="761"/>
      <c r="K121" s="233"/>
      <c r="L121" s="233"/>
      <c r="M121" s="233"/>
      <c r="N121" s="2403"/>
      <c r="O121" s="2403"/>
    </row>
    <row r="122" spans="3:15">
      <c r="C122" s="233"/>
      <c r="D122" s="233"/>
      <c r="E122" s="761"/>
      <c r="F122" s="234"/>
      <c r="G122" s="234"/>
      <c r="H122" s="233"/>
      <c r="I122" s="233"/>
      <c r="J122" s="761"/>
      <c r="K122" s="233"/>
      <c r="L122" s="233"/>
      <c r="M122" s="233"/>
      <c r="N122" s="2403"/>
      <c r="O122" s="2403"/>
    </row>
    <row r="123" spans="3:15">
      <c r="C123" s="233"/>
      <c r="D123" s="233"/>
      <c r="E123" s="761"/>
      <c r="F123" s="234"/>
      <c r="G123" s="234"/>
      <c r="H123" s="233"/>
      <c r="I123" s="233"/>
      <c r="J123" s="761"/>
      <c r="K123" s="233"/>
      <c r="L123" s="233"/>
      <c r="M123" s="233"/>
      <c r="N123" s="2403"/>
      <c r="O123" s="2403"/>
    </row>
    <row r="124" spans="3:15">
      <c r="C124" s="233"/>
      <c r="D124" s="233"/>
      <c r="E124" s="761"/>
      <c r="F124" s="234"/>
      <c r="G124" s="234"/>
      <c r="H124" s="233"/>
      <c r="I124" s="233"/>
      <c r="J124" s="761"/>
      <c r="K124" s="233"/>
      <c r="L124" s="233"/>
      <c r="M124" s="233"/>
      <c r="N124" s="2403"/>
      <c r="O124" s="2403"/>
    </row>
    <row r="125" spans="3:15">
      <c r="C125" s="233"/>
      <c r="D125" s="233"/>
      <c r="E125" s="761"/>
      <c r="F125" s="234"/>
      <c r="G125" s="234"/>
      <c r="H125" s="233"/>
      <c r="I125" s="233"/>
      <c r="J125" s="761"/>
      <c r="K125" s="233"/>
      <c r="L125" s="233"/>
      <c r="M125" s="233"/>
      <c r="N125" s="2403"/>
      <c r="O125" s="2403"/>
    </row>
    <row r="126" spans="3:15">
      <c r="C126" s="233"/>
      <c r="D126" s="233"/>
      <c r="E126" s="761"/>
      <c r="F126" s="234"/>
      <c r="G126" s="234"/>
      <c r="H126" s="233"/>
      <c r="I126" s="233"/>
      <c r="J126" s="761"/>
      <c r="K126" s="233"/>
      <c r="L126" s="233"/>
      <c r="M126" s="233"/>
      <c r="N126" s="2403"/>
      <c r="O126" s="2403"/>
    </row>
    <row r="127" spans="3:15">
      <c r="C127" s="233"/>
      <c r="D127" s="233"/>
      <c r="E127" s="761"/>
      <c r="F127" s="234"/>
      <c r="G127" s="234"/>
      <c r="H127" s="233"/>
      <c r="I127" s="233"/>
      <c r="J127" s="761"/>
      <c r="K127" s="233"/>
      <c r="L127" s="233"/>
      <c r="M127" s="233"/>
      <c r="N127" s="2403"/>
      <c r="O127" s="2403"/>
    </row>
    <row r="128" spans="3:15">
      <c r="C128" s="233"/>
      <c r="D128" s="233"/>
      <c r="E128" s="761"/>
      <c r="F128" s="234"/>
      <c r="G128" s="234"/>
      <c r="H128" s="233"/>
      <c r="I128" s="233"/>
      <c r="J128" s="761"/>
      <c r="K128" s="233"/>
      <c r="L128" s="233"/>
      <c r="M128" s="233"/>
      <c r="N128" s="2403"/>
      <c r="O128" s="2403"/>
    </row>
    <row r="129" spans="3:15">
      <c r="C129" s="233"/>
      <c r="D129" s="233"/>
      <c r="E129" s="761"/>
      <c r="F129" s="234"/>
      <c r="G129" s="234"/>
      <c r="H129" s="233"/>
      <c r="I129" s="233"/>
      <c r="J129" s="761"/>
      <c r="K129" s="233"/>
      <c r="L129" s="233"/>
      <c r="M129" s="233"/>
      <c r="N129" s="2403"/>
      <c r="O129" s="2403"/>
    </row>
    <row r="130" spans="3:15">
      <c r="C130" s="233"/>
      <c r="D130" s="233"/>
      <c r="E130" s="761"/>
      <c r="F130" s="234"/>
      <c r="G130" s="234"/>
      <c r="H130" s="233"/>
      <c r="I130" s="233"/>
      <c r="J130" s="761"/>
      <c r="K130" s="233"/>
      <c r="L130" s="233"/>
      <c r="M130" s="233"/>
      <c r="N130" s="2403"/>
      <c r="O130" s="2403"/>
    </row>
    <row r="131" spans="3:15">
      <c r="C131" s="233"/>
      <c r="D131" s="233"/>
      <c r="E131" s="761"/>
      <c r="F131" s="234"/>
      <c r="G131" s="234"/>
      <c r="H131" s="233"/>
      <c r="I131" s="233"/>
      <c r="J131" s="761"/>
      <c r="K131" s="233"/>
      <c r="L131" s="233"/>
      <c r="M131" s="233"/>
      <c r="N131" s="2403"/>
      <c r="O131" s="2403"/>
    </row>
    <row r="132" spans="3:15">
      <c r="C132" s="233"/>
      <c r="D132" s="233"/>
      <c r="E132" s="761"/>
      <c r="F132" s="234"/>
      <c r="G132" s="234"/>
      <c r="H132" s="233"/>
      <c r="I132" s="233"/>
      <c r="J132" s="761"/>
      <c r="K132" s="233"/>
      <c r="L132" s="233"/>
      <c r="M132" s="233"/>
      <c r="N132" s="2403"/>
      <c r="O132" s="2403"/>
    </row>
    <row r="133" spans="3:15">
      <c r="C133" s="233"/>
      <c r="D133" s="233"/>
      <c r="E133" s="761"/>
      <c r="F133" s="234"/>
      <c r="G133" s="234"/>
      <c r="H133" s="233"/>
      <c r="I133" s="233"/>
      <c r="J133" s="761"/>
      <c r="K133" s="233"/>
      <c r="L133" s="233"/>
      <c r="M133" s="233"/>
      <c r="N133" s="2403"/>
      <c r="O133" s="2403"/>
    </row>
    <row r="134" spans="3:15">
      <c r="C134" s="233"/>
      <c r="D134" s="233"/>
      <c r="E134" s="761"/>
      <c r="F134" s="234"/>
      <c r="G134" s="234"/>
      <c r="H134" s="233"/>
      <c r="I134" s="233"/>
      <c r="J134" s="761"/>
      <c r="K134" s="233"/>
      <c r="L134" s="233"/>
      <c r="M134" s="233"/>
      <c r="N134" s="2403"/>
      <c r="O134" s="2403"/>
    </row>
    <row r="135" spans="3:15">
      <c r="C135" s="233"/>
      <c r="D135" s="233"/>
      <c r="E135" s="761"/>
      <c r="F135" s="234"/>
      <c r="G135" s="234"/>
      <c r="H135" s="233"/>
      <c r="I135" s="233"/>
      <c r="J135" s="761"/>
      <c r="K135" s="233"/>
      <c r="L135" s="233"/>
      <c r="M135" s="233"/>
      <c r="N135" s="2403"/>
      <c r="O135" s="2403"/>
    </row>
    <row r="136" spans="3:15">
      <c r="C136" s="233"/>
      <c r="D136" s="233"/>
      <c r="E136" s="761"/>
      <c r="F136" s="234"/>
      <c r="G136" s="234"/>
      <c r="H136" s="233"/>
      <c r="I136" s="233"/>
      <c r="J136" s="761"/>
      <c r="K136" s="233"/>
      <c r="L136" s="233"/>
      <c r="M136" s="233"/>
      <c r="N136" s="2403"/>
      <c r="O136" s="2403"/>
    </row>
    <row r="137" spans="3:15">
      <c r="C137" s="233"/>
      <c r="D137" s="233"/>
      <c r="E137" s="761"/>
      <c r="F137" s="234"/>
      <c r="G137" s="234"/>
      <c r="H137" s="233"/>
      <c r="I137" s="233"/>
      <c r="J137" s="761"/>
      <c r="K137" s="233"/>
      <c r="L137" s="233"/>
      <c r="M137" s="233"/>
      <c r="N137" s="2403"/>
      <c r="O137" s="2403"/>
    </row>
    <row r="138" spans="3:15">
      <c r="C138" s="233"/>
      <c r="D138" s="233"/>
      <c r="E138" s="761"/>
      <c r="F138" s="234"/>
      <c r="G138" s="234"/>
      <c r="H138" s="233"/>
      <c r="I138" s="233"/>
      <c r="J138" s="761"/>
      <c r="K138" s="233"/>
      <c r="L138" s="233"/>
      <c r="M138" s="233"/>
      <c r="N138" s="2403"/>
      <c r="O138" s="2403"/>
    </row>
    <row r="139" spans="3:15">
      <c r="C139" s="233"/>
      <c r="D139" s="233"/>
      <c r="E139" s="761"/>
      <c r="F139" s="234"/>
      <c r="G139" s="234"/>
      <c r="H139" s="233"/>
      <c r="I139" s="233"/>
      <c r="J139" s="761"/>
      <c r="K139" s="233"/>
      <c r="L139" s="233"/>
      <c r="M139" s="233"/>
      <c r="N139" s="2403"/>
      <c r="O139" s="2403"/>
    </row>
    <row r="140" spans="3:15">
      <c r="C140" s="233"/>
      <c r="D140" s="233"/>
      <c r="E140" s="761"/>
      <c r="F140" s="234"/>
      <c r="G140" s="234"/>
      <c r="H140" s="233"/>
      <c r="I140" s="233"/>
      <c r="J140" s="761"/>
      <c r="K140" s="233"/>
      <c r="L140" s="233"/>
      <c r="M140" s="233"/>
      <c r="N140" s="2403"/>
      <c r="O140" s="2403"/>
    </row>
    <row r="141" spans="3:15">
      <c r="C141" s="233"/>
      <c r="D141" s="233"/>
      <c r="E141" s="761"/>
      <c r="F141" s="234"/>
      <c r="G141" s="234"/>
      <c r="H141" s="233"/>
      <c r="I141" s="233"/>
      <c r="J141" s="761"/>
      <c r="K141" s="233"/>
      <c r="L141" s="233"/>
      <c r="M141" s="233"/>
      <c r="N141" s="2403"/>
      <c r="O141" s="2403"/>
    </row>
    <row r="142" spans="3:15">
      <c r="C142" s="233"/>
      <c r="D142" s="233"/>
      <c r="E142" s="761"/>
      <c r="F142" s="234"/>
      <c r="G142" s="234"/>
      <c r="H142" s="233"/>
      <c r="I142" s="233"/>
      <c r="J142" s="761"/>
      <c r="K142" s="233"/>
      <c r="L142" s="233"/>
      <c r="M142" s="233"/>
      <c r="N142" s="2403"/>
      <c r="O142" s="2403"/>
    </row>
    <row r="143" spans="3:15">
      <c r="C143" s="233"/>
      <c r="D143" s="233"/>
      <c r="E143" s="761"/>
      <c r="F143" s="234"/>
      <c r="G143" s="234"/>
      <c r="H143" s="233"/>
      <c r="I143" s="233"/>
      <c r="J143" s="761"/>
      <c r="K143" s="233"/>
      <c r="L143" s="233"/>
      <c r="M143" s="233"/>
      <c r="N143" s="2403"/>
      <c r="O143" s="2403"/>
    </row>
    <row r="144" spans="3:15">
      <c r="C144" s="233"/>
      <c r="D144" s="233"/>
      <c r="E144" s="761"/>
      <c r="F144" s="234"/>
      <c r="G144" s="234"/>
      <c r="H144" s="233"/>
      <c r="I144" s="233"/>
      <c r="J144" s="761"/>
      <c r="K144" s="233"/>
      <c r="L144" s="233"/>
      <c r="M144" s="233"/>
      <c r="N144" s="2403"/>
      <c r="O144" s="2403"/>
    </row>
    <row r="145" spans="3:15">
      <c r="C145" s="233"/>
      <c r="D145" s="233"/>
      <c r="E145" s="761"/>
      <c r="F145" s="234"/>
      <c r="G145" s="234"/>
      <c r="H145" s="233"/>
      <c r="I145" s="233"/>
      <c r="J145" s="761"/>
      <c r="K145" s="233"/>
      <c r="L145" s="233"/>
      <c r="M145" s="233"/>
      <c r="N145" s="2403"/>
      <c r="O145" s="2403"/>
    </row>
    <row r="146" spans="3:15">
      <c r="C146" s="233"/>
      <c r="D146" s="233"/>
      <c r="E146" s="761"/>
      <c r="F146" s="234"/>
      <c r="G146" s="234"/>
      <c r="H146" s="233"/>
      <c r="I146" s="233"/>
      <c r="J146" s="761"/>
      <c r="K146" s="233"/>
      <c r="L146" s="233"/>
      <c r="M146" s="233"/>
      <c r="N146" s="2403"/>
      <c r="O146" s="2403"/>
    </row>
    <row r="147" spans="3:15">
      <c r="C147" s="233"/>
      <c r="D147" s="233"/>
      <c r="E147" s="761"/>
      <c r="F147" s="234"/>
      <c r="G147" s="234"/>
      <c r="H147" s="233"/>
      <c r="I147" s="233"/>
      <c r="J147" s="761"/>
      <c r="K147" s="233"/>
      <c r="L147" s="233"/>
      <c r="M147" s="233"/>
      <c r="N147" s="2403"/>
      <c r="O147" s="2403"/>
    </row>
    <row r="148" spans="3:15">
      <c r="C148" s="233"/>
      <c r="D148" s="233"/>
      <c r="E148" s="761"/>
      <c r="F148" s="234"/>
      <c r="G148" s="234"/>
      <c r="H148" s="233"/>
      <c r="I148" s="233"/>
      <c r="J148" s="761"/>
      <c r="K148" s="233"/>
      <c r="L148" s="233"/>
      <c r="M148" s="233"/>
      <c r="N148" s="2403"/>
      <c r="O148" s="2403"/>
    </row>
    <row r="149" spans="3:15">
      <c r="C149" s="233"/>
      <c r="D149" s="233"/>
      <c r="E149" s="761"/>
      <c r="F149" s="234"/>
      <c r="G149" s="234"/>
      <c r="H149" s="233"/>
      <c r="I149" s="233"/>
      <c r="J149" s="761"/>
      <c r="K149" s="233"/>
      <c r="L149" s="233"/>
      <c r="M149" s="233"/>
      <c r="N149" s="2403"/>
      <c r="O149" s="2403"/>
    </row>
    <row r="150" spans="3:15">
      <c r="C150" s="233"/>
      <c r="D150" s="233"/>
      <c r="E150" s="761"/>
      <c r="F150" s="234"/>
      <c r="G150" s="234"/>
      <c r="H150" s="233"/>
      <c r="I150" s="233"/>
      <c r="J150" s="761"/>
      <c r="K150" s="233"/>
      <c r="L150" s="233"/>
      <c r="M150" s="233"/>
      <c r="N150" s="2403"/>
      <c r="O150" s="2403"/>
    </row>
    <row r="151" spans="3:15">
      <c r="C151" s="233"/>
      <c r="D151" s="233"/>
      <c r="E151" s="761"/>
      <c r="F151" s="234"/>
      <c r="G151" s="234"/>
      <c r="H151" s="233"/>
      <c r="I151" s="233"/>
      <c r="J151" s="761"/>
      <c r="K151" s="233"/>
      <c r="L151" s="233"/>
      <c r="M151" s="233"/>
      <c r="N151" s="2403"/>
      <c r="O151" s="2403"/>
    </row>
    <row r="152" spans="3:15">
      <c r="C152" s="233"/>
      <c r="D152" s="233"/>
      <c r="E152" s="761"/>
      <c r="F152" s="234"/>
      <c r="G152" s="234"/>
      <c r="H152" s="233"/>
      <c r="I152" s="233"/>
      <c r="J152" s="761"/>
      <c r="K152" s="233"/>
      <c r="L152" s="233"/>
      <c r="M152" s="233"/>
      <c r="N152" s="2403"/>
      <c r="O152" s="2403"/>
    </row>
    <row r="153" spans="3:15">
      <c r="C153" s="233"/>
      <c r="D153" s="233"/>
      <c r="E153" s="761"/>
      <c r="F153" s="234"/>
      <c r="G153" s="234"/>
      <c r="H153" s="233"/>
      <c r="I153" s="233"/>
      <c r="J153" s="761"/>
      <c r="K153" s="233"/>
      <c r="L153" s="233"/>
      <c r="M153" s="233"/>
      <c r="N153" s="2403"/>
      <c r="O153" s="2403"/>
    </row>
    <row r="154" spans="3:15">
      <c r="C154" s="233"/>
      <c r="D154" s="233"/>
      <c r="E154" s="761"/>
      <c r="F154" s="234"/>
      <c r="G154" s="234"/>
      <c r="H154" s="233"/>
      <c r="I154" s="233"/>
      <c r="J154" s="761"/>
      <c r="K154" s="233"/>
      <c r="L154" s="233"/>
      <c r="M154" s="233"/>
      <c r="N154" s="2403"/>
      <c r="O154" s="2403"/>
    </row>
    <row r="155" spans="3:15">
      <c r="C155" s="233"/>
      <c r="D155" s="233"/>
      <c r="E155" s="761"/>
      <c r="F155" s="234"/>
      <c r="G155" s="234"/>
      <c r="H155" s="233"/>
      <c r="I155" s="233"/>
      <c r="J155" s="761"/>
      <c r="K155" s="233"/>
      <c r="L155" s="233"/>
      <c r="M155" s="233"/>
      <c r="N155" s="2403"/>
      <c r="O155" s="2403"/>
    </row>
    <row r="156" spans="3:15">
      <c r="C156" s="233"/>
      <c r="D156" s="233"/>
      <c r="E156" s="761"/>
      <c r="F156" s="234"/>
      <c r="G156" s="234"/>
      <c r="H156" s="233"/>
      <c r="I156" s="233"/>
      <c r="J156" s="761"/>
      <c r="K156" s="233"/>
      <c r="L156" s="233"/>
      <c r="M156" s="233"/>
      <c r="N156" s="2403"/>
      <c r="O156" s="2403"/>
    </row>
    <row r="157" spans="3:15">
      <c r="C157" s="233"/>
      <c r="D157" s="233"/>
      <c r="E157" s="761"/>
      <c r="F157" s="234"/>
      <c r="G157" s="234"/>
      <c r="H157" s="233"/>
      <c r="I157" s="233"/>
      <c r="J157" s="761"/>
      <c r="K157" s="233"/>
      <c r="L157" s="233"/>
      <c r="M157" s="233"/>
      <c r="N157" s="2403"/>
      <c r="O157" s="2403"/>
    </row>
    <row r="158" spans="3:15">
      <c r="C158" s="233"/>
      <c r="D158" s="233"/>
      <c r="E158" s="761"/>
      <c r="F158" s="234"/>
      <c r="G158" s="234"/>
      <c r="H158" s="233"/>
      <c r="I158" s="233"/>
      <c r="J158" s="761"/>
      <c r="K158" s="233"/>
      <c r="L158" s="233"/>
      <c r="M158" s="233"/>
      <c r="N158" s="2403"/>
      <c r="O158" s="2403"/>
    </row>
    <row r="159" spans="3:15">
      <c r="C159" s="233"/>
      <c r="D159" s="233"/>
      <c r="E159" s="761"/>
      <c r="F159" s="234"/>
      <c r="G159" s="234"/>
      <c r="H159" s="233"/>
      <c r="I159" s="233"/>
      <c r="J159" s="761"/>
      <c r="K159" s="233"/>
      <c r="L159" s="233"/>
      <c r="M159" s="233"/>
      <c r="N159" s="2403"/>
      <c r="O159" s="2403"/>
    </row>
    <row r="160" spans="3:15">
      <c r="C160" s="233"/>
      <c r="D160" s="233"/>
      <c r="E160" s="761"/>
      <c r="F160" s="234"/>
      <c r="G160" s="234"/>
      <c r="H160" s="233"/>
      <c r="I160" s="233"/>
      <c r="J160" s="761"/>
      <c r="K160" s="233"/>
      <c r="L160" s="233"/>
      <c r="M160" s="233"/>
      <c r="N160" s="2403"/>
      <c r="O160" s="2403"/>
    </row>
    <row r="161" spans="3:15">
      <c r="C161" s="233"/>
      <c r="D161" s="233"/>
      <c r="E161" s="761"/>
      <c r="F161" s="234"/>
      <c r="G161" s="234"/>
      <c r="H161" s="233"/>
      <c r="I161" s="233"/>
      <c r="J161" s="761"/>
      <c r="K161" s="233"/>
      <c r="L161" s="233"/>
      <c r="M161" s="233"/>
      <c r="N161" s="2403"/>
      <c r="O161" s="2403"/>
    </row>
    <row r="162" spans="3:15">
      <c r="C162" s="233"/>
      <c r="D162" s="233"/>
      <c r="E162" s="761"/>
      <c r="F162" s="234"/>
      <c r="G162" s="234"/>
      <c r="H162" s="233"/>
      <c r="I162" s="233"/>
      <c r="J162" s="761"/>
      <c r="K162" s="233"/>
      <c r="L162" s="233"/>
      <c r="M162" s="233"/>
      <c r="N162" s="2403"/>
      <c r="O162" s="2403"/>
    </row>
    <row r="163" spans="3:15">
      <c r="C163" s="233"/>
      <c r="D163" s="233"/>
      <c r="E163" s="761"/>
      <c r="F163" s="234"/>
      <c r="G163" s="234"/>
      <c r="H163" s="233"/>
      <c r="I163" s="233"/>
      <c r="J163" s="761"/>
      <c r="K163" s="233"/>
      <c r="L163" s="233"/>
      <c r="M163" s="233"/>
      <c r="N163" s="2403"/>
      <c r="O163" s="2403"/>
    </row>
    <row r="164" spans="3:15">
      <c r="C164" s="233"/>
      <c r="D164" s="233"/>
      <c r="E164" s="761"/>
      <c r="F164" s="234"/>
      <c r="G164" s="234"/>
      <c r="H164" s="233"/>
      <c r="I164" s="233"/>
      <c r="J164" s="761"/>
      <c r="K164" s="233"/>
      <c r="L164" s="233"/>
      <c r="M164" s="233"/>
      <c r="N164" s="2403"/>
      <c r="O164" s="2403"/>
    </row>
    <row r="165" spans="3:15">
      <c r="C165" s="233"/>
      <c r="D165" s="233"/>
      <c r="E165" s="761"/>
      <c r="F165" s="234"/>
      <c r="G165" s="234"/>
      <c r="H165" s="233"/>
      <c r="I165" s="233"/>
      <c r="J165" s="761"/>
      <c r="K165" s="233"/>
      <c r="L165" s="233"/>
      <c r="M165" s="233"/>
      <c r="N165" s="2403"/>
      <c r="O165" s="2403"/>
    </row>
    <row r="166" spans="3:15">
      <c r="C166" s="233"/>
      <c r="D166" s="233"/>
      <c r="E166" s="761"/>
      <c r="F166" s="234"/>
      <c r="G166" s="234"/>
      <c r="H166" s="233"/>
      <c r="I166" s="233"/>
      <c r="J166" s="761"/>
      <c r="K166" s="233"/>
      <c r="L166" s="233"/>
      <c r="M166" s="233"/>
      <c r="N166" s="2403"/>
      <c r="O166" s="2403"/>
    </row>
    <row r="167" spans="3:15">
      <c r="C167" s="233"/>
      <c r="D167" s="233"/>
      <c r="E167" s="761"/>
      <c r="F167" s="234"/>
      <c r="G167" s="234"/>
      <c r="H167" s="233"/>
      <c r="I167" s="233"/>
      <c r="J167" s="761"/>
      <c r="K167" s="233"/>
      <c r="L167" s="233"/>
      <c r="M167" s="233"/>
      <c r="N167" s="2403"/>
      <c r="O167" s="2403"/>
    </row>
    <row r="168" spans="3:15">
      <c r="C168" s="233"/>
      <c r="D168" s="233"/>
      <c r="E168" s="761"/>
      <c r="F168" s="234"/>
      <c r="G168" s="234"/>
      <c r="H168" s="233"/>
      <c r="I168" s="233"/>
      <c r="J168" s="761"/>
      <c r="K168" s="233"/>
      <c r="L168" s="233"/>
      <c r="M168" s="233"/>
      <c r="N168" s="2403"/>
      <c r="O168" s="2403"/>
    </row>
    <row r="169" spans="3:15">
      <c r="C169" s="233"/>
      <c r="D169" s="233"/>
      <c r="E169" s="761"/>
      <c r="F169" s="234"/>
      <c r="G169" s="234"/>
      <c r="H169" s="233"/>
      <c r="I169" s="233"/>
      <c r="J169" s="761"/>
      <c r="K169" s="233"/>
      <c r="L169" s="233"/>
      <c r="M169" s="233"/>
      <c r="N169" s="2403"/>
      <c r="O169" s="2403"/>
    </row>
    <row r="170" spans="3:15">
      <c r="C170" s="233"/>
      <c r="D170" s="233"/>
      <c r="E170" s="761"/>
      <c r="F170" s="234"/>
      <c r="G170" s="234"/>
      <c r="H170" s="233"/>
      <c r="I170" s="233"/>
      <c r="J170" s="761"/>
      <c r="K170" s="233"/>
      <c r="L170" s="233"/>
      <c r="M170" s="233"/>
      <c r="N170" s="2403"/>
      <c r="O170" s="2403"/>
    </row>
    <row r="171" spans="3:15">
      <c r="C171" s="233"/>
      <c r="D171" s="233"/>
      <c r="E171" s="761"/>
      <c r="F171" s="234"/>
      <c r="G171" s="234"/>
      <c r="H171" s="233"/>
      <c r="I171" s="233"/>
      <c r="J171" s="761"/>
      <c r="K171" s="233"/>
      <c r="L171" s="233"/>
      <c r="M171" s="233"/>
      <c r="N171" s="2403"/>
      <c r="O171" s="2403"/>
    </row>
    <row r="172" spans="3:15">
      <c r="C172" s="233"/>
      <c r="D172" s="233"/>
      <c r="E172" s="761"/>
      <c r="F172" s="234"/>
      <c r="G172" s="234"/>
      <c r="H172" s="233"/>
      <c r="I172" s="233"/>
      <c r="J172" s="761"/>
      <c r="K172" s="233"/>
      <c r="L172" s="233"/>
      <c r="M172" s="233"/>
      <c r="N172" s="2403"/>
      <c r="O172" s="2403"/>
    </row>
    <row r="173" spans="3:15">
      <c r="C173" s="233"/>
      <c r="D173" s="233"/>
      <c r="E173" s="761"/>
      <c r="F173" s="234"/>
      <c r="G173" s="234"/>
      <c r="H173" s="233"/>
      <c r="I173" s="233"/>
      <c r="J173" s="761"/>
      <c r="K173" s="233"/>
      <c r="L173" s="233"/>
      <c r="M173" s="233"/>
      <c r="N173" s="2403"/>
      <c r="O173" s="2403"/>
    </row>
    <row r="174" spans="3:15">
      <c r="C174" s="233"/>
      <c r="D174" s="233"/>
      <c r="E174" s="761"/>
      <c r="F174" s="234"/>
      <c r="G174" s="234"/>
      <c r="H174" s="233"/>
      <c r="I174" s="233"/>
      <c r="J174" s="761"/>
      <c r="K174" s="233"/>
      <c r="L174" s="233"/>
      <c r="M174" s="233"/>
      <c r="N174" s="2403"/>
      <c r="O174" s="2403"/>
    </row>
    <row r="175" spans="3:15">
      <c r="C175" s="233"/>
      <c r="D175" s="233"/>
      <c r="E175" s="761"/>
      <c r="F175" s="234"/>
      <c r="G175" s="234"/>
      <c r="H175" s="233"/>
      <c r="I175" s="233"/>
      <c r="J175" s="761"/>
      <c r="K175" s="233"/>
      <c r="L175" s="233"/>
      <c r="M175" s="233"/>
      <c r="N175" s="2403"/>
      <c r="O175" s="2403"/>
    </row>
    <row r="176" spans="3:15">
      <c r="C176" s="233"/>
      <c r="D176" s="233"/>
      <c r="E176" s="761"/>
      <c r="F176" s="234"/>
      <c r="G176" s="234"/>
      <c r="H176" s="233"/>
      <c r="I176" s="233"/>
      <c r="J176" s="761"/>
      <c r="K176" s="233"/>
      <c r="L176" s="233"/>
      <c r="M176" s="233"/>
      <c r="N176" s="2403"/>
      <c r="O176" s="2403"/>
    </row>
    <row r="177" spans="3:15">
      <c r="C177" s="233"/>
      <c r="D177" s="233"/>
      <c r="E177" s="761"/>
      <c r="F177" s="234"/>
      <c r="G177" s="234"/>
      <c r="H177" s="233"/>
      <c r="I177" s="233"/>
      <c r="J177" s="761"/>
      <c r="K177" s="233"/>
      <c r="L177" s="233"/>
      <c r="M177" s="233"/>
      <c r="N177" s="2403"/>
      <c r="O177" s="2403"/>
    </row>
    <row r="178" spans="3:15">
      <c r="C178" s="233"/>
      <c r="D178" s="233"/>
      <c r="E178" s="761"/>
      <c r="F178" s="234"/>
      <c r="G178" s="234"/>
      <c r="H178" s="233"/>
      <c r="I178" s="233"/>
      <c r="J178" s="761"/>
      <c r="K178" s="233"/>
      <c r="L178" s="233"/>
      <c r="M178" s="233"/>
      <c r="N178" s="2403"/>
      <c r="O178" s="2403"/>
    </row>
    <row r="179" spans="3:15">
      <c r="C179" s="233"/>
      <c r="D179" s="233"/>
      <c r="E179" s="761"/>
      <c r="F179" s="234"/>
      <c r="G179" s="234"/>
      <c r="H179" s="233"/>
      <c r="I179" s="233"/>
      <c r="J179" s="761"/>
      <c r="K179" s="233"/>
      <c r="L179" s="233"/>
      <c r="M179" s="233"/>
      <c r="N179" s="2403"/>
      <c r="O179" s="2403"/>
    </row>
    <row r="180" spans="3:15">
      <c r="C180" s="233"/>
      <c r="D180" s="233"/>
      <c r="E180" s="761"/>
      <c r="F180" s="234"/>
      <c r="G180" s="234"/>
      <c r="H180" s="233"/>
      <c r="I180" s="233"/>
      <c r="J180" s="761"/>
      <c r="K180" s="233"/>
      <c r="L180" s="233"/>
      <c r="M180" s="233"/>
      <c r="N180" s="2403"/>
      <c r="O180" s="2403"/>
    </row>
    <row r="181" spans="3:15">
      <c r="C181" s="233"/>
      <c r="D181" s="233"/>
      <c r="E181" s="761"/>
      <c r="F181" s="234"/>
      <c r="G181" s="234"/>
      <c r="H181" s="233"/>
      <c r="I181" s="233"/>
      <c r="J181" s="761"/>
      <c r="K181" s="233"/>
      <c r="L181" s="233"/>
      <c r="M181" s="233"/>
      <c r="N181" s="2403"/>
      <c r="O181" s="2403"/>
    </row>
    <row r="182" spans="3:15">
      <c r="C182" s="233"/>
      <c r="D182" s="233"/>
      <c r="E182" s="761"/>
      <c r="F182" s="234"/>
      <c r="G182" s="234"/>
      <c r="H182" s="233"/>
      <c r="I182" s="233"/>
      <c r="J182" s="761"/>
      <c r="K182" s="233"/>
      <c r="L182" s="233"/>
      <c r="M182" s="233"/>
      <c r="N182" s="2403"/>
      <c r="O182" s="2403"/>
    </row>
    <row r="183" spans="3:15">
      <c r="C183" s="233"/>
      <c r="D183" s="233"/>
      <c r="E183" s="761"/>
      <c r="F183" s="234"/>
      <c r="G183" s="234"/>
      <c r="H183" s="233"/>
      <c r="I183" s="233"/>
      <c r="J183" s="761"/>
      <c r="K183" s="233"/>
      <c r="L183" s="233"/>
      <c r="M183" s="233"/>
      <c r="N183" s="2403"/>
      <c r="O183" s="2403"/>
    </row>
    <row r="184" spans="3:15">
      <c r="C184" s="233"/>
      <c r="D184" s="233"/>
      <c r="E184" s="761"/>
      <c r="F184" s="234"/>
      <c r="G184" s="234"/>
      <c r="H184" s="233"/>
      <c r="I184" s="233"/>
      <c r="J184" s="761"/>
      <c r="K184" s="233"/>
      <c r="L184" s="233"/>
      <c r="M184" s="233"/>
      <c r="N184" s="2403"/>
      <c r="O184" s="2403"/>
    </row>
    <row r="185" spans="3:15">
      <c r="C185" s="233"/>
      <c r="D185" s="233"/>
      <c r="E185" s="761"/>
      <c r="F185" s="234"/>
      <c r="G185" s="234"/>
      <c r="H185" s="233"/>
      <c r="I185" s="233"/>
      <c r="J185" s="761"/>
      <c r="K185" s="233"/>
      <c r="L185" s="233"/>
      <c r="M185" s="233"/>
      <c r="N185" s="2403"/>
      <c r="O185" s="2403"/>
    </row>
    <row r="186" spans="3:15">
      <c r="C186" s="233"/>
      <c r="D186" s="233"/>
      <c r="E186" s="761"/>
      <c r="F186" s="234"/>
      <c r="G186" s="234"/>
      <c r="H186" s="233"/>
      <c r="I186" s="233"/>
      <c r="J186" s="761"/>
      <c r="K186" s="233"/>
      <c r="L186" s="233"/>
      <c r="M186" s="233"/>
      <c r="N186" s="2403"/>
      <c r="O186" s="2403"/>
    </row>
    <row r="187" spans="3:15">
      <c r="C187" s="233"/>
      <c r="D187" s="233"/>
      <c r="E187" s="761"/>
      <c r="F187" s="234"/>
      <c r="G187" s="234"/>
      <c r="H187" s="233"/>
      <c r="I187" s="233"/>
      <c r="J187" s="761"/>
      <c r="K187" s="233"/>
      <c r="L187" s="233"/>
      <c r="M187" s="233"/>
      <c r="N187" s="2403"/>
      <c r="O187" s="2403"/>
    </row>
    <row r="188" spans="3:15">
      <c r="C188" s="233"/>
      <c r="D188" s="233"/>
      <c r="E188" s="761"/>
      <c r="F188" s="234"/>
      <c r="G188" s="234"/>
      <c r="H188" s="233"/>
      <c r="I188" s="233"/>
      <c r="J188" s="761"/>
      <c r="K188" s="233"/>
      <c r="L188" s="233"/>
      <c r="M188" s="233"/>
      <c r="N188" s="2403"/>
      <c r="O188" s="2403"/>
    </row>
    <row r="189" spans="3:15">
      <c r="C189" s="233"/>
      <c r="D189" s="233"/>
      <c r="E189" s="761"/>
      <c r="F189" s="234"/>
      <c r="G189" s="234"/>
      <c r="H189" s="233"/>
      <c r="I189" s="233"/>
      <c r="J189" s="761"/>
      <c r="K189" s="233"/>
      <c r="L189" s="233"/>
      <c r="M189" s="233"/>
      <c r="N189" s="2403"/>
      <c r="O189" s="2403"/>
    </row>
    <row r="190" spans="3:15">
      <c r="C190" s="233"/>
      <c r="D190" s="233"/>
      <c r="E190" s="761"/>
      <c r="F190" s="234"/>
      <c r="G190" s="234"/>
      <c r="H190" s="233"/>
      <c r="I190" s="233"/>
      <c r="J190" s="761"/>
      <c r="K190" s="233"/>
      <c r="L190" s="233"/>
      <c r="M190" s="233"/>
      <c r="N190" s="2403"/>
      <c r="O190" s="2403"/>
    </row>
    <row r="191" spans="3:15">
      <c r="C191" s="233"/>
      <c r="D191" s="233"/>
      <c r="E191" s="761"/>
      <c r="F191" s="234"/>
      <c r="G191" s="234"/>
      <c r="H191" s="233"/>
      <c r="I191" s="233"/>
      <c r="J191" s="761"/>
      <c r="K191" s="233"/>
      <c r="L191" s="233"/>
      <c r="M191" s="233"/>
      <c r="N191" s="2403"/>
      <c r="O191" s="2403"/>
    </row>
    <row r="192" spans="3:15">
      <c r="C192" s="233"/>
      <c r="D192" s="233"/>
      <c r="E192" s="761"/>
      <c r="F192" s="234"/>
      <c r="G192" s="234"/>
      <c r="H192" s="233"/>
      <c r="I192" s="233"/>
      <c r="J192" s="761"/>
      <c r="K192" s="233"/>
      <c r="L192" s="233"/>
      <c r="M192" s="233"/>
      <c r="N192" s="2403"/>
      <c r="O192" s="2403"/>
    </row>
    <row r="193" spans="1:222">
      <c r="C193" s="233"/>
      <c r="D193" s="233"/>
      <c r="E193" s="761"/>
      <c r="F193" s="234"/>
      <c r="G193" s="234"/>
      <c r="H193" s="233"/>
      <c r="I193" s="233"/>
      <c r="J193" s="761"/>
      <c r="K193" s="233"/>
      <c r="L193" s="233"/>
      <c r="M193" s="233"/>
      <c r="N193" s="2403"/>
      <c r="O193" s="2403"/>
    </row>
    <row r="194" spans="1:222">
      <c r="C194" s="233"/>
      <c r="D194" s="233"/>
      <c r="E194" s="761"/>
      <c r="F194" s="234"/>
      <c r="G194" s="234"/>
      <c r="H194" s="233"/>
      <c r="I194" s="233"/>
      <c r="J194" s="761"/>
      <c r="K194" s="233"/>
      <c r="L194" s="233"/>
      <c r="M194" s="233"/>
      <c r="N194" s="2403"/>
      <c r="O194" s="2403"/>
    </row>
    <row r="195" spans="1:222">
      <c r="C195" s="233"/>
      <c r="D195" s="233"/>
      <c r="E195" s="761"/>
      <c r="F195" s="234"/>
      <c r="G195" s="234"/>
      <c r="H195" s="233"/>
      <c r="I195" s="233"/>
      <c r="J195" s="761"/>
      <c r="K195" s="233"/>
      <c r="L195" s="233"/>
      <c r="M195" s="233"/>
      <c r="N195" s="2403"/>
      <c r="O195" s="2403"/>
    </row>
    <row r="196" spans="1:222">
      <c r="C196" s="233"/>
      <c r="D196" s="233"/>
      <c r="E196" s="761"/>
      <c r="F196" s="234"/>
      <c r="G196" s="234"/>
      <c r="H196" s="233"/>
      <c r="I196" s="233"/>
      <c r="J196" s="761"/>
      <c r="K196" s="233"/>
      <c r="L196" s="233"/>
      <c r="M196" s="233"/>
      <c r="N196" s="2403"/>
      <c r="O196" s="2403"/>
    </row>
    <row r="197" spans="1:222">
      <c r="C197" s="233"/>
      <c r="D197" s="233"/>
      <c r="E197" s="761"/>
      <c r="F197" s="234"/>
      <c r="G197" s="234"/>
      <c r="H197" s="233"/>
      <c r="I197" s="233"/>
      <c r="J197" s="761"/>
      <c r="K197" s="233"/>
      <c r="L197" s="233"/>
      <c r="M197" s="233"/>
      <c r="N197" s="2403"/>
      <c r="O197" s="2403"/>
    </row>
    <row r="198" spans="1:222">
      <c r="C198" s="233"/>
      <c r="D198" s="233"/>
      <c r="E198" s="761"/>
      <c r="F198" s="234"/>
      <c r="G198" s="234"/>
      <c r="H198" s="233"/>
      <c r="I198" s="233"/>
      <c r="J198" s="761"/>
      <c r="K198" s="233"/>
      <c r="L198" s="233"/>
      <c r="M198" s="233"/>
      <c r="N198" s="2403"/>
      <c r="O198" s="2403"/>
    </row>
    <row r="199" spans="1:222" s="233" customFormat="1">
      <c r="A199" s="656"/>
      <c r="B199" s="656"/>
      <c r="E199" s="761"/>
      <c r="F199" s="234"/>
      <c r="G199" s="234"/>
      <c r="J199" s="761"/>
      <c r="N199" s="2403"/>
      <c r="O199" s="2403"/>
      <c r="P199" s="2403"/>
      <c r="Q199" s="2412"/>
      <c r="R199" s="2412"/>
      <c r="S199" s="2412"/>
      <c r="T199" s="1109"/>
      <c r="U199" s="1109"/>
      <c r="V199" s="1109"/>
      <c r="W199" s="1109"/>
      <c r="X199" s="1109"/>
      <c r="Y199" s="1109"/>
      <c r="Z199" s="1109"/>
      <c r="AA199" s="1109"/>
      <c r="AB199" s="1109"/>
      <c r="AC199" s="1109"/>
      <c r="AD199" s="1109"/>
      <c r="HJ199" s="762"/>
      <c r="HK199" s="762"/>
      <c r="HL199" s="762"/>
      <c r="HM199" s="762"/>
      <c r="HN199" s="762"/>
    </row>
    <row r="200" spans="1:222" s="233" customFormat="1">
      <c r="A200" s="656"/>
      <c r="B200" s="656"/>
      <c r="E200" s="761"/>
      <c r="F200" s="234"/>
      <c r="G200" s="234"/>
      <c r="J200" s="761"/>
      <c r="N200" s="2403"/>
      <c r="O200" s="2403"/>
      <c r="P200" s="2403"/>
      <c r="Q200" s="2412"/>
      <c r="R200" s="2412"/>
      <c r="S200" s="2412"/>
      <c r="T200" s="1109"/>
      <c r="U200" s="1109"/>
      <c r="V200" s="1109"/>
      <c r="W200" s="1109"/>
      <c r="X200" s="1109"/>
      <c r="Y200" s="1109"/>
      <c r="Z200" s="1109"/>
      <c r="AA200" s="1109"/>
      <c r="AB200" s="1109"/>
      <c r="AC200" s="1109"/>
      <c r="AD200" s="1109"/>
      <c r="HJ200" s="762"/>
      <c r="HK200" s="762"/>
      <c r="HL200" s="762"/>
      <c r="HM200" s="762"/>
      <c r="HN200" s="762"/>
    </row>
    <row r="201" spans="1:222" s="233" customFormat="1">
      <c r="A201" s="656"/>
      <c r="B201" s="656"/>
      <c r="E201" s="761"/>
      <c r="F201" s="234"/>
      <c r="G201" s="234"/>
      <c r="J201" s="761"/>
      <c r="N201" s="2403"/>
      <c r="O201" s="2403"/>
      <c r="P201" s="2403"/>
      <c r="Q201" s="2412"/>
      <c r="R201" s="2412"/>
      <c r="S201" s="2412"/>
      <c r="T201" s="1109"/>
      <c r="U201" s="1109"/>
      <c r="V201" s="1109"/>
      <c r="W201" s="1109"/>
      <c r="X201" s="1109"/>
      <c r="Y201" s="1109"/>
      <c r="Z201" s="1109"/>
      <c r="AA201" s="1109"/>
      <c r="AB201" s="1109"/>
      <c r="AC201" s="1109"/>
      <c r="AD201" s="1109"/>
      <c r="HJ201" s="762"/>
      <c r="HK201" s="762"/>
      <c r="HL201" s="762"/>
      <c r="HM201" s="762"/>
      <c r="HN201" s="762"/>
    </row>
    <row r="202" spans="1:222" s="233" customFormat="1">
      <c r="A202" s="656"/>
      <c r="B202" s="656"/>
      <c r="E202" s="761"/>
      <c r="F202" s="234"/>
      <c r="G202" s="234"/>
      <c r="J202" s="761"/>
      <c r="N202" s="2403"/>
      <c r="O202" s="2403"/>
      <c r="P202" s="2403"/>
      <c r="Q202" s="2412"/>
      <c r="R202" s="2412"/>
      <c r="S202" s="2412"/>
      <c r="T202" s="1109"/>
      <c r="U202" s="1109"/>
      <c r="V202" s="1109"/>
      <c r="W202" s="1109"/>
      <c r="X202" s="1109"/>
      <c r="Y202" s="1109"/>
      <c r="Z202" s="1109"/>
      <c r="AA202" s="1109"/>
      <c r="AB202" s="1109"/>
      <c r="AC202" s="1109"/>
      <c r="AD202" s="1109"/>
      <c r="HJ202" s="762"/>
      <c r="HK202" s="762"/>
      <c r="HL202" s="762"/>
      <c r="HM202" s="762"/>
      <c r="HN202" s="762"/>
    </row>
    <row r="203" spans="1:222" s="233" customFormat="1">
      <c r="A203" s="656"/>
      <c r="B203" s="656"/>
      <c r="E203" s="761"/>
      <c r="F203" s="234"/>
      <c r="G203" s="234"/>
      <c r="J203" s="761"/>
      <c r="N203" s="2403"/>
      <c r="O203" s="2403"/>
      <c r="P203" s="2403"/>
      <c r="Q203" s="2412"/>
      <c r="R203" s="2412"/>
      <c r="S203" s="2412"/>
      <c r="T203" s="1109"/>
      <c r="U203" s="1109"/>
      <c r="V203" s="1109"/>
      <c r="W203" s="1109"/>
      <c r="X203" s="1109"/>
      <c r="Y203" s="1109"/>
      <c r="Z203" s="1109"/>
      <c r="AA203" s="1109"/>
      <c r="AB203" s="1109"/>
      <c r="AC203" s="1109"/>
      <c r="AD203" s="1109"/>
      <c r="HJ203" s="762"/>
      <c r="HK203" s="762"/>
      <c r="HL203" s="762"/>
      <c r="HM203" s="762"/>
      <c r="HN203" s="762"/>
    </row>
    <row r="204" spans="1:222" s="233" customFormat="1">
      <c r="A204" s="656"/>
      <c r="B204" s="656"/>
      <c r="E204" s="761"/>
      <c r="F204" s="234"/>
      <c r="G204" s="234"/>
      <c r="J204" s="761"/>
      <c r="N204" s="2403"/>
      <c r="O204" s="2403"/>
      <c r="P204" s="2403"/>
      <c r="Q204" s="2412"/>
      <c r="R204" s="2412"/>
      <c r="S204" s="2412"/>
      <c r="T204" s="1109"/>
      <c r="U204" s="1109"/>
      <c r="V204" s="1109"/>
      <c r="W204" s="1109"/>
      <c r="X204" s="1109"/>
      <c r="Y204" s="1109"/>
      <c r="Z204" s="1109"/>
      <c r="AA204" s="1109"/>
      <c r="AB204" s="1109"/>
      <c r="AC204" s="1109"/>
      <c r="AD204" s="1109"/>
      <c r="HJ204" s="762"/>
      <c r="HK204" s="762"/>
      <c r="HL204" s="762"/>
      <c r="HM204" s="762"/>
      <c r="HN204" s="762"/>
    </row>
    <row r="205" spans="1:222" s="233" customFormat="1">
      <c r="A205" s="656"/>
      <c r="B205" s="656"/>
      <c r="E205" s="761"/>
      <c r="F205" s="234"/>
      <c r="G205" s="234"/>
      <c r="J205" s="761"/>
      <c r="N205" s="2403"/>
      <c r="O205" s="2403"/>
      <c r="P205" s="2403"/>
      <c r="Q205" s="2412"/>
      <c r="R205" s="2412"/>
      <c r="S205" s="2412"/>
      <c r="T205" s="1109"/>
      <c r="U205" s="1109"/>
      <c r="V205" s="1109"/>
      <c r="W205" s="1109"/>
      <c r="X205" s="1109"/>
      <c r="Y205" s="1109"/>
      <c r="Z205" s="1109"/>
      <c r="AA205" s="1109"/>
      <c r="AB205" s="1109"/>
      <c r="AC205" s="1109"/>
      <c r="AD205" s="1109"/>
      <c r="HJ205" s="762"/>
      <c r="HK205" s="762"/>
      <c r="HL205" s="762"/>
      <c r="HM205" s="762"/>
      <c r="HN205" s="762"/>
    </row>
    <row r="206" spans="1:222" s="233" customFormat="1">
      <c r="A206" s="656"/>
      <c r="B206" s="656"/>
      <c r="E206" s="761"/>
      <c r="F206" s="234"/>
      <c r="G206" s="234"/>
      <c r="J206" s="761"/>
      <c r="N206" s="2403"/>
      <c r="O206" s="2403"/>
      <c r="P206" s="2403"/>
      <c r="Q206" s="2412"/>
      <c r="R206" s="2412"/>
      <c r="S206" s="2412"/>
      <c r="T206" s="1109"/>
      <c r="U206" s="1109"/>
      <c r="V206" s="1109"/>
      <c r="W206" s="1109"/>
      <c r="X206" s="1109"/>
      <c r="Y206" s="1109"/>
      <c r="Z206" s="1109"/>
      <c r="AA206" s="1109"/>
      <c r="AB206" s="1109"/>
      <c r="AC206" s="1109"/>
      <c r="AD206" s="1109"/>
      <c r="HJ206" s="762"/>
      <c r="HK206" s="762"/>
      <c r="HL206" s="762"/>
      <c r="HM206" s="762"/>
      <c r="HN206" s="762"/>
    </row>
    <row r="207" spans="1:222" s="233" customFormat="1">
      <c r="A207" s="656"/>
      <c r="B207" s="656"/>
      <c r="E207" s="761"/>
      <c r="F207" s="234"/>
      <c r="G207" s="234"/>
      <c r="J207" s="761"/>
      <c r="N207" s="2403"/>
      <c r="O207" s="2403"/>
      <c r="P207" s="2403"/>
      <c r="Q207" s="2412"/>
      <c r="R207" s="2412"/>
      <c r="S207" s="2412"/>
      <c r="T207" s="1109"/>
      <c r="U207" s="1109"/>
      <c r="V207" s="1109"/>
      <c r="W207" s="1109"/>
      <c r="X207" s="1109"/>
      <c r="Y207" s="1109"/>
      <c r="Z207" s="1109"/>
      <c r="AA207" s="1109"/>
      <c r="AB207" s="1109"/>
      <c r="AC207" s="1109"/>
      <c r="AD207" s="1109"/>
      <c r="HJ207" s="762"/>
      <c r="HK207" s="762"/>
      <c r="HL207" s="762"/>
      <c r="HM207" s="762"/>
      <c r="HN207" s="762"/>
    </row>
    <row r="208" spans="1:222" s="233" customFormat="1">
      <c r="A208" s="656"/>
      <c r="B208" s="656"/>
      <c r="E208" s="761"/>
      <c r="F208" s="234"/>
      <c r="G208" s="234"/>
      <c r="J208" s="761"/>
      <c r="N208" s="2403"/>
      <c r="O208" s="2403"/>
      <c r="P208" s="2403"/>
      <c r="Q208" s="2412"/>
      <c r="R208" s="2412"/>
      <c r="S208" s="2412"/>
      <c r="T208" s="1109"/>
      <c r="U208" s="1109"/>
      <c r="V208" s="1109"/>
      <c r="W208" s="1109"/>
      <c r="X208" s="1109"/>
      <c r="Y208" s="1109"/>
      <c r="Z208" s="1109"/>
      <c r="AA208" s="1109"/>
      <c r="AB208" s="1109"/>
      <c r="AC208" s="1109"/>
      <c r="AD208" s="1109"/>
      <c r="HJ208" s="762"/>
      <c r="HK208" s="762"/>
      <c r="HL208" s="762"/>
      <c r="HM208" s="762"/>
      <c r="HN208" s="762"/>
    </row>
    <row r="209" spans="1:222" s="233" customFormat="1">
      <c r="A209" s="656"/>
      <c r="B209" s="656"/>
      <c r="E209" s="761"/>
      <c r="F209" s="234"/>
      <c r="G209" s="234"/>
      <c r="J209" s="761"/>
      <c r="N209" s="2403"/>
      <c r="O209" s="2403"/>
      <c r="P209" s="2403"/>
      <c r="Q209" s="2412"/>
      <c r="R209" s="2412"/>
      <c r="S209" s="2412"/>
      <c r="T209" s="1109"/>
      <c r="U209" s="1109"/>
      <c r="V209" s="1109"/>
      <c r="W209" s="1109"/>
      <c r="X209" s="1109"/>
      <c r="Y209" s="1109"/>
      <c r="Z209" s="1109"/>
      <c r="AA209" s="1109"/>
      <c r="AB209" s="1109"/>
      <c r="AC209" s="1109"/>
      <c r="AD209" s="1109"/>
      <c r="HJ209" s="762"/>
      <c r="HK209" s="762"/>
      <c r="HL209" s="762"/>
      <c r="HM209" s="762"/>
      <c r="HN209" s="762"/>
    </row>
    <row r="210" spans="1:222" s="233" customFormat="1">
      <c r="A210" s="656"/>
      <c r="B210" s="656"/>
      <c r="E210" s="761"/>
      <c r="F210" s="234"/>
      <c r="G210" s="234"/>
      <c r="J210" s="761"/>
      <c r="N210" s="2403"/>
      <c r="O210" s="2403"/>
      <c r="P210" s="2403"/>
      <c r="Q210" s="2412"/>
      <c r="R210" s="2412"/>
      <c r="S210" s="2412"/>
      <c r="T210" s="1109"/>
      <c r="U210" s="1109"/>
      <c r="V210" s="1109"/>
      <c r="W210" s="1109"/>
      <c r="X210" s="1109"/>
      <c r="Y210" s="1109"/>
      <c r="Z210" s="1109"/>
      <c r="AA210" s="1109"/>
      <c r="AB210" s="1109"/>
      <c r="AC210" s="1109"/>
      <c r="AD210" s="1109"/>
      <c r="HJ210" s="762"/>
      <c r="HK210" s="762"/>
      <c r="HL210" s="762"/>
      <c r="HM210" s="762"/>
      <c r="HN210" s="762"/>
    </row>
    <row r="211" spans="1:222">
      <c r="C211" s="233"/>
      <c r="D211" s="233"/>
      <c r="E211" s="761"/>
      <c r="F211" s="234"/>
      <c r="G211" s="234"/>
      <c r="H211" s="233"/>
      <c r="I211" s="233"/>
      <c r="J211" s="761"/>
      <c r="K211" s="233"/>
      <c r="L211" s="233"/>
      <c r="M211" s="233"/>
      <c r="N211" s="2403"/>
      <c r="O211" s="2403"/>
    </row>
    <row r="212" spans="1:222">
      <c r="C212" s="233"/>
      <c r="D212" s="233"/>
      <c r="E212" s="761"/>
      <c r="F212" s="234"/>
      <c r="G212" s="234"/>
      <c r="H212" s="233"/>
      <c r="I212" s="233"/>
      <c r="J212" s="761"/>
      <c r="K212" s="233"/>
      <c r="L212" s="233"/>
      <c r="M212" s="233"/>
      <c r="N212" s="2403"/>
      <c r="O212" s="2403"/>
    </row>
    <row r="213" spans="1:222">
      <c r="C213" s="233"/>
      <c r="D213" s="233"/>
      <c r="E213" s="761"/>
      <c r="F213" s="234"/>
      <c r="G213" s="234"/>
      <c r="H213" s="233"/>
      <c r="I213" s="233"/>
      <c r="J213" s="761"/>
      <c r="K213" s="233"/>
      <c r="L213" s="233"/>
      <c r="M213" s="233"/>
      <c r="N213" s="2403"/>
      <c r="O213" s="2403"/>
    </row>
    <row r="214" spans="1:222">
      <c r="C214" s="233"/>
      <c r="D214" s="233"/>
      <c r="E214" s="761"/>
      <c r="F214" s="234"/>
      <c r="G214" s="234"/>
      <c r="H214" s="233"/>
      <c r="I214" s="233"/>
      <c r="J214" s="761"/>
      <c r="K214" s="233"/>
      <c r="L214" s="233"/>
      <c r="M214" s="233"/>
      <c r="N214" s="2403"/>
      <c r="O214" s="2403"/>
    </row>
    <row r="215" spans="1:222">
      <c r="C215" s="233"/>
      <c r="D215" s="233"/>
      <c r="E215" s="761"/>
      <c r="F215" s="234"/>
      <c r="G215" s="234"/>
      <c r="H215" s="233"/>
      <c r="I215" s="233"/>
      <c r="J215" s="761"/>
      <c r="K215" s="233"/>
      <c r="L215" s="233"/>
      <c r="M215" s="233"/>
      <c r="N215" s="2403"/>
      <c r="O215" s="2403"/>
    </row>
    <row r="216" spans="1:222">
      <c r="C216" s="233"/>
      <c r="D216" s="233"/>
      <c r="E216" s="761"/>
      <c r="F216" s="234"/>
      <c r="G216" s="234"/>
      <c r="H216" s="233"/>
      <c r="I216" s="233"/>
      <c r="J216" s="761"/>
      <c r="K216" s="233"/>
      <c r="L216" s="233"/>
      <c r="M216" s="233"/>
      <c r="N216" s="2403"/>
      <c r="O216" s="2403"/>
    </row>
    <row r="217" spans="1:222">
      <c r="C217" s="233"/>
      <c r="D217" s="233"/>
      <c r="E217" s="761"/>
      <c r="F217" s="234"/>
      <c r="G217" s="234"/>
      <c r="H217" s="233"/>
      <c r="I217" s="233"/>
      <c r="J217" s="761"/>
      <c r="K217" s="233"/>
      <c r="L217" s="233"/>
      <c r="M217" s="233"/>
      <c r="N217" s="2403"/>
      <c r="O217" s="2403"/>
    </row>
    <row r="218" spans="1:222">
      <c r="C218" s="233"/>
      <c r="D218" s="233"/>
      <c r="E218" s="761"/>
      <c r="F218" s="234"/>
      <c r="G218" s="234"/>
      <c r="H218" s="233"/>
      <c r="I218" s="233"/>
      <c r="J218" s="761"/>
      <c r="K218" s="233"/>
      <c r="L218" s="233"/>
      <c r="M218" s="233"/>
      <c r="N218" s="2403"/>
      <c r="O218" s="2403"/>
    </row>
    <row r="219" spans="1:222">
      <c r="C219" s="233"/>
      <c r="D219" s="233"/>
      <c r="E219" s="761"/>
      <c r="F219" s="234"/>
      <c r="G219" s="234"/>
      <c r="H219" s="233"/>
      <c r="I219" s="233"/>
      <c r="J219" s="761"/>
      <c r="K219" s="233"/>
      <c r="L219" s="233"/>
      <c r="M219" s="233"/>
      <c r="N219" s="2403"/>
      <c r="O219" s="2403"/>
    </row>
    <row r="220" spans="1:222">
      <c r="C220" s="233"/>
      <c r="D220" s="233"/>
      <c r="E220" s="761"/>
      <c r="F220" s="234"/>
      <c r="G220" s="234"/>
      <c r="H220" s="233"/>
      <c r="I220" s="233"/>
      <c r="J220" s="761"/>
      <c r="K220" s="233"/>
      <c r="L220" s="233"/>
      <c r="M220" s="233"/>
      <c r="N220" s="2403"/>
      <c r="O220" s="2403"/>
    </row>
    <row r="221" spans="1:222">
      <c r="C221" s="233"/>
      <c r="D221" s="233"/>
      <c r="E221" s="761"/>
      <c r="F221" s="234"/>
      <c r="G221" s="234"/>
      <c r="H221" s="233"/>
      <c r="I221" s="233"/>
      <c r="J221" s="761"/>
      <c r="K221" s="233"/>
      <c r="L221" s="233"/>
      <c r="M221" s="233"/>
      <c r="N221" s="2403"/>
      <c r="O221" s="2403"/>
    </row>
    <row r="222" spans="1:222">
      <c r="C222" s="233"/>
      <c r="D222" s="233"/>
      <c r="E222" s="761"/>
      <c r="F222" s="234"/>
      <c r="G222" s="234"/>
      <c r="H222" s="233"/>
      <c r="I222" s="233"/>
      <c r="J222" s="761"/>
      <c r="K222" s="233"/>
      <c r="L222" s="233"/>
      <c r="M222" s="233"/>
      <c r="N222" s="2403"/>
      <c r="O222" s="2403"/>
    </row>
    <row r="223" spans="1:222">
      <c r="C223" s="233"/>
      <c r="D223" s="233"/>
      <c r="E223" s="761"/>
      <c r="F223" s="234"/>
      <c r="G223" s="234"/>
      <c r="H223" s="233"/>
      <c r="I223" s="233"/>
      <c r="J223" s="761"/>
      <c r="K223" s="233"/>
      <c r="L223" s="233"/>
      <c r="M223" s="233"/>
      <c r="N223" s="2403"/>
      <c r="O223" s="2403"/>
    </row>
    <row r="224" spans="1:222">
      <c r="C224" s="233"/>
      <c r="D224" s="233"/>
      <c r="E224" s="761"/>
      <c r="F224" s="234"/>
      <c r="G224" s="234"/>
      <c r="H224" s="233"/>
      <c r="I224" s="233"/>
      <c r="J224" s="761"/>
      <c r="K224" s="233"/>
      <c r="L224" s="233"/>
      <c r="M224" s="233"/>
      <c r="N224" s="2403"/>
      <c r="O224" s="2403"/>
    </row>
    <row r="225" spans="3:15">
      <c r="C225" s="233"/>
      <c r="D225" s="233"/>
      <c r="E225" s="761"/>
      <c r="F225" s="234"/>
      <c r="G225" s="234"/>
      <c r="H225" s="233"/>
      <c r="I225" s="233"/>
      <c r="J225" s="761"/>
      <c r="K225" s="233"/>
      <c r="L225" s="233"/>
      <c r="M225" s="233"/>
      <c r="N225" s="2403"/>
      <c r="O225" s="2403"/>
    </row>
    <row r="226" spans="3:15">
      <c r="C226" s="233"/>
      <c r="D226" s="233"/>
      <c r="E226" s="761"/>
      <c r="F226" s="234"/>
      <c r="G226" s="234"/>
      <c r="H226" s="233"/>
      <c r="I226" s="233"/>
      <c r="J226" s="761"/>
      <c r="K226" s="233"/>
      <c r="L226" s="233"/>
      <c r="M226" s="233"/>
      <c r="N226" s="2403"/>
      <c r="O226" s="2403"/>
    </row>
    <row r="227" spans="3:15">
      <c r="C227" s="233"/>
      <c r="D227" s="233"/>
      <c r="E227" s="761"/>
      <c r="F227" s="234"/>
      <c r="G227" s="234"/>
      <c r="H227" s="233"/>
      <c r="I227" s="233"/>
      <c r="J227" s="761"/>
      <c r="K227" s="233"/>
      <c r="L227" s="233"/>
      <c r="M227" s="233"/>
      <c r="N227" s="2403"/>
      <c r="O227" s="2403"/>
    </row>
    <row r="228" spans="3:15">
      <c r="C228" s="233"/>
      <c r="D228" s="233"/>
      <c r="E228" s="761"/>
      <c r="F228" s="234"/>
      <c r="G228" s="234"/>
      <c r="H228" s="233"/>
      <c r="I228" s="233"/>
      <c r="J228" s="761"/>
      <c r="K228" s="233"/>
      <c r="L228" s="233"/>
      <c r="M228" s="233"/>
      <c r="N228" s="2403"/>
      <c r="O228" s="2403"/>
    </row>
    <row r="229" spans="3:15">
      <c r="C229" s="233"/>
      <c r="D229" s="233"/>
      <c r="E229" s="761"/>
      <c r="F229" s="234"/>
      <c r="G229" s="234"/>
      <c r="H229" s="233"/>
      <c r="I229" s="233"/>
      <c r="J229" s="761"/>
      <c r="K229" s="233"/>
      <c r="L229" s="233"/>
      <c r="M229" s="233"/>
      <c r="N229" s="2403"/>
      <c r="O229" s="2403"/>
    </row>
    <row r="230" spans="3:15">
      <c r="C230" s="233"/>
      <c r="D230" s="233"/>
      <c r="E230" s="761"/>
      <c r="F230" s="234"/>
      <c r="G230" s="234"/>
      <c r="H230" s="233"/>
      <c r="I230" s="233"/>
      <c r="J230" s="761"/>
      <c r="K230" s="233"/>
      <c r="L230" s="233"/>
      <c r="M230" s="233"/>
      <c r="N230" s="2403"/>
      <c r="O230" s="2403"/>
    </row>
    <row r="231" spans="3:15">
      <c r="C231" s="233"/>
      <c r="D231" s="233"/>
      <c r="E231" s="761"/>
      <c r="F231" s="234"/>
      <c r="G231" s="234"/>
      <c r="H231" s="233"/>
      <c r="I231" s="233"/>
      <c r="J231" s="761"/>
      <c r="K231" s="233"/>
      <c r="L231" s="233"/>
      <c r="M231" s="233"/>
      <c r="N231" s="2403"/>
      <c r="O231" s="2403"/>
    </row>
    <row r="232" spans="3:15">
      <c r="C232" s="233"/>
      <c r="D232" s="233"/>
      <c r="E232" s="761"/>
      <c r="F232" s="234"/>
      <c r="G232" s="234"/>
      <c r="H232" s="233"/>
      <c r="I232" s="233"/>
      <c r="J232" s="761"/>
      <c r="K232" s="233"/>
      <c r="L232" s="233"/>
      <c r="M232" s="233"/>
      <c r="N232" s="2403"/>
      <c r="O232" s="2403"/>
    </row>
    <row r="233" spans="3:15">
      <c r="C233" s="233"/>
      <c r="D233" s="233"/>
      <c r="E233" s="761"/>
      <c r="F233" s="234"/>
      <c r="G233" s="234"/>
      <c r="H233" s="233"/>
      <c r="I233" s="233"/>
      <c r="J233" s="761"/>
      <c r="K233" s="233"/>
      <c r="L233" s="233"/>
      <c r="M233" s="233"/>
      <c r="N233" s="2403"/>
      <c r="O233" s="2403"/>
    </row>
    <row r="234" spans="3:15">
      <c r="C234" s="233"/>
      <c r="D234" s="233"/>
      <c r="E234" s="761"/>
      <c r="F234" s="234"/>
      <c r="G234" s="234"/>
      <c r="H234" s="233"/>
      <c r="I234" s="233"/>
      <c r="J234" s="761"/>
      <c r="K234" s="233"/>
      <c r="L234" s="233"/>
      <c r="M234" s="233"/>
      <c r="N234" s="2403"/>
      <c r="O234" s="2403"/>
    </row>
    <row r="235" spans="3:15">
      <c r="C235" s="233"/>
      <c r="D235" s="233"/>
      <c r="E235" s="761"/>
      <c r="F235" s="234"/>
      <c r="G235" s="234"/>
      <c r="H235" s="233"/>
      <c r="I235" s="233"/>
      <c r="J235" s="761"/>
      <c r="K235" s="233"/>
      <c r="L235" s="233"/>
      <c r="M235" s="233"/>
      <c r="N235" s="2403"/>
      <c r="O235" s="2403"/>
    </row>
    <row r="236" spans="3:15">
      <c r="C236" s="233"/>
      <c r="D236" s="233"/>
      <c r="E236" s="761"/>
      <c r="F236" s="234"/>
      <c r="G236" s="234"/>
      <c r="H236" s="233"/>
      <c r="I236" s="233"/>
      <c r="J236" s="761"/>
      <c r="K236" s="233"/>
      <c r="L236" s="233"/>
      <c r="M236" s="233"/>
      <c r="N236" s="2403"/>
      <c r="O236" s="2403"/>
    </row>
    <row r="237" spans="3:15">
      <c r="C237" s="233"/>
      <c r="D237" s="233"/>
      <c r="E237" s="761"/>
      <c r="F237" s="234"/>
      <c r="G237" s="234"/>
      <c r="H237" s="233"/>
      <c r="I237" s="233"/>
      <c r="J237" s="761"/>
      <c r="K237" s="233"/>
      <c r="L237" s="233"/>
      <c r="M237" s="233"/>
      <c r="N237" s="2403"/>
      <c r="O237" s="2403"/>
    </row>
    <row r="238" spans="3:15">
      <c r="C238" s="233"/>
      <c r="D238" s="233"/>
      <c r="E238" s="761"/>
      <c r="F238" s="234"/>
      <c r="G238" s="234"/>
      <c r="H238" s="233"/>
      <c r="I238" s="233"/>
      <c r="J238" s="761"/>
      <c r="K238" s="233"/>
      <c r="L238" s="233"/>
      <c r="M238" s="233"/>
      <c r="N238" s="2403"/>
      <c r="O238" s="2403"/>
    </row>
    <row r="239" spans="3:15">
      <c r="C239" s="233"/>
      <c r="D239" s="233"/>
      <c r="E239" s="761"/>
      <c r="F239" s="234"/>
      <c r="G239" s="234"/>
      <c r="H239" s="233"/>
      <c r="I239" s="233"/>
      <c r="J239" s="761"/>
      <c r="K239" s="233"/>
      <c r="L239" s="233"/>
      <c r="M239" s="233"/>
      <c r="N239" s="2403"/>
      <c r="O239" s="2403"/>
    </row>
    <row r="240" spans="3:15">
      <c r="C240" s="233"/>
      <c r="D240" s="233"/>
      <c r="E240" s="761"/>
      <c r="F240" s="234"/>
      <c r="G240" s="234"/>
      <c r="H240" s="233"/>
      <c r="I240" s="233"/>
      <c r="J240" s="761"/>
      <c r="K240" s="233"/>
      <c r="L240" s="233"/>
      <c r="M240" s="233"/>
      <c r="N240" s="2403"/>
      <c r="O240" s="2403"/>
    </row>
    <row r="241" spans="3:15">
      <c r="C241" s="233"/>
      <c r="D241" s="233"/>
      <c r="E241" s="761"/>
      <c r="F241" s="234"/>
      <c r="G241" s="234"/>
      <c r="H241" s="233"/>
      <c r="I241" s="233"/>
      <c r="J241" s="761"/>
      <c r="K241" s="233"/>
      <c r="L241" s="233"/>
      <c r="M241" s="233"/>
      <c r="N241" s="2403"/>
      <c r="O241" s="2403"/>
    </row>
    <row r="242" spans="3:15">
      <c r="C242" s="233"/>
      <c r="D242" s="233"/>
      <c r="E242" s="761"/>
      <c r="F242" s="234"/>
      <c r="G242" s="234"/>
      <c r="H242" s="233"/>
      <c r="I242" s="233"/>
      <c r="J242" s="761"/>
      <c r="K242" s="233"/>
      <c r="L242" s="233"/>
      <c r="M242" s="233"/>
      <c r="N242" s="2403"/>
      <c r="O242" s="2403"/>
    </row>
    <row r="243" spans="3:15">
      <c r="C243" s="233"/>
      <c r="D243" s="233"/>
      <c r="E243" s="761"/>
      <c r="F243" s="234"/>
      <c r="G243" s="234"/>
      <c r="H243" s="233"/>
      <c r="I243" s="233"/>
      <c r="J243" s="761"/>
      <c r="K243" s="233"/>
      <c r="L243" s="233"/>
      <c r="M243" s="233"/>
      <c r="N243" s="2403"/>
      <c r="O243" s="2403"/>
    </row>
    <row r="244" spans="3:15">
      <c r="C244" s="233"/>
      <c r="D244" s="233"/>
      <c r="E244" s="761"/>
      <c r="F244" s="234"/>
      <c r="G244" s="234"/>
      <c r="H244" s="233"/>
      <c r="I244" s="233"/>
      <c r="J244" s="761"/>
      <c r="K244" s="233"/>
      <c r="L244" s="233"/>
      <c r="M244" s="233"/>
      <c r="N244" s="2403"/>
      <c r="O244" s="2403"/>
    </row>
    <row r="245" spans="3:15">
      <c r="C245" s="233"/>
      <c r="D245" s="233"/>
      <c r="E245" s="761"/>
      <c r="F245" s="234"/>
      <c r="G245" s="234"/>
      <c r="H245" s="233"/>
      <c r="I245" s="233"/>
      <c r="J245" s="761"/>
      <c r="K245" s="233"/>
      <c r="L245" s="233"/>
      <c r="M245" s="233"/>
      <c r="N245" s="2403"/>
      <c r="O245" s="2403"/>
    </row>
    <row r="246" spans="3:15">
      <c r="C246" s="233"/>
      <c r="D246" s="233"/>
      <c r="E246" s="761"/>
      <c r="F246" s="234"/>
      <c r="G246" s="234"/>
      <c r="H246" s="233"/>
      <c r="I246" s="233"/>
      <c r="J246" s="761"/>
      <c r="K246" s="233"/>
      <c r="L246" s="233"/>
      <c r="M246" s="233"/>
      <c r="N246" s="2403"/>
      <c r="O246" s="2403"/>
    </row>
    <row r="247" spans="3:15">
      <c r="C247" s="233"/>
      <c r="D247" s="233"/>
      <c r="E247" s="761"/>
      <c r="F247" s="234"/>
      <c r="G247" s="234"/>
      <c r="H247" s="233"/>
      <c r="I247" s="233"/>
      <c r="J247" s="761"/>
      <c r="K247" s="233"/>
      <c r="L247" s="233"/>
      <c r="M247" s="233"/>
      <c r="N247" s="2403"/>
      <c r="O247" s="2403"/>
    </row>
    <row r="248" spans="3:15">
      <c r="C248" s="233"/>
      <c r="D248" s="233"/>
      <c r="E248" s="761"/>
      <c r="F248" s="234"/>
      <c r="G248" s="234"/>
      <c r="H248" s="233"/>
      <c r="I248" s="233"/>
      <c r="J248" s="761"/>
      <c r="K248" s="233"/>
      <c r="L248" s="233"/>
      <c r="M248" s="233"/>
      <c r="N248" s="2403"/>
      <c r="O248" s="2403"/>
    </row>
    <row r="249" spans="3:15">
      <c r="C249" s="233"/>
      <c r="D249" s="233"/>
      <c r="E249" s="761"/>
      <c r="F249" s="234"/>
      <c r="G249" s="234"/>
      <c r="H249" s="233"/>
      <c r="I249" s="233"/>
      <c r="J249" s="761"/>
      <c r="K249" s="233"/>
      <c r="L249" s="233"/>
      <c r="M249" s="233"/>
      <c r="N249" s="2403"/>
      <c r="O249" s="2403"/>
    </row>
    <row r="250" spans="3:15">
      <c r="C250" s="233"/>
      <c r="D250" s="233"/>
      <c r="E250" s="761"/>
      <c r="F250" s="234"/>
      <c r="G250" s="234"/>
      <c r="H250" s="233"/>
      <c r="I250" s="233"/>
      <c r="J250" s="761"/>
      <c r="K250" s="233"/>
      <c r="L250" s="233"/>
      <c r="M250" s="233"/>
      <c r="N250" s="2403"/>
      <c r="O250" s="2403"/>
    </row>
    <row r="251" spans="3:15">
      <c r="C251" s="233"/>
      <c r="D251" s="233"/>
      <c r="E251" s="761"/>
      <c r="F251" s="234"/>
      <c r="G251" s="234"/>
      <c r="H251" s="233"/>
      <c r="I251" s="233"/>
      <c r="J251" s="761"/>
      <c r="K251" s="233"/>
      <c r="L251" s="233"/>
      <c r="M251" s="233"/>
      <c r="N251" s="2403"/>
      <c r="O251" s="2403"/>
    </row>
    <row r="252" spans="3:15">
      <c r="C252" s="233"/>
      <c r="D252" s="233"/>
      <c r="E252" s="761"/>
      <c r="F252" s="234"/>
      <c r="G252" s="234"/>
      <c r="H252" s="233"/>
      <c r="I252" s="233"/>
      <c r="J252" s="761"/>
      <c r="K252" s="233"/>
      <c r="L252" s="233"/>
      <c r="M252" s="233"/>
      <c r="N252" s="2403"/>
      <c r="O252" s="2403"/>
    </row>
    <row r="253" spans="3:15">
      <c r="C253" s="233"/>
      <c r="D253" s="233"/>
      <c r="E253" s="761"/>
      <c r="F253" s="234"/>
      <c r="G253" s="234"/>
      <c r="H253" s="233"/>
      <c r="I253" s="233"/>
      <c r="J253" s="761"/>
      <c r="K253" s="233"/>
      <c r="L253" s="233"/>
      <c r="M253" s="233"/>
      <c r="N253" s="2403"/>
      <c r="O253" s="2403"/>
    </row>
    <row r="254" spans="3:15">
      <c r="C254" s="233"/>
      <c r="D254" s="233"/>
      <c r="E254" s="761"/>
      <c r="F254" s="234"/>
      <c r="G254" s="234"/>
      <c r="H254" s="233"/>
      <c r="I254" s="233"/>
      <c r="J254" s="761"/>
      <c r="K254" s="233"/>
      <c r="L254" s="233"/>
      <c r="M254" s="233"/>
      <c r="N254" s="2403"/>
      <c r="O254" s="2403"/>
    </row>
    <row r="255" spans="3:15">
      <c r="C255" s="233"/>
      <c r="D255" s="233"/>
      <c r="E255" s="761"/>
      <c r="F255" s="234"/>
      <c r="G255" s="234"/>
      <c r="H255" s="233"/>
      <c r="I255" s="233"/>
      <c r="J255" s="761"/>
      <c r="K255" s="233"/>
      <c r="L255" s="233"/>
      <c r="M255" s="233"/>
      <c r="N255" s="2403"/>
      <c r="O255" s="2403"/>
    </row>
    <row r="256" spans="3:15">
      <c r="C256" s="233"/>
      <c r="D256" s="233"/>
      <c r="E256" s="761"/>
      <c r="F256" s="234"/>
      <c r="G256" s="234"/>
      <c r="H256" s="233"/>
      <c r="I256" s="233"/>
      <c r="J256" s="761"/>
      <c r="K256" s="233"/>
      <c r="L256" s="233"/>
      <c r="M256" s="233"/>
      <c r="N256" s="2403"/>
      <c r="O256" s="2403"/>
    </row>
    <row r="257" spans="3:15">
      <c r="C257" s="233"/>
      <c r="D257" s="233"/>
      <c r="E257" s="761"/>
      <c r="F257" s="234"/>
      <c r="G257" s="234"/>
      <c r="H257" s="233"/>
      <c r="I257" s="233"/>
      <c r="J257" s="761"/>
      <c r="K257" s="233"/>
      <c r="L257" s="233"/>
      <c r="M257" s="233"/>
      <c r="N257" s="2403"/>
      <c r="O257" s="2403"/>
    </row>
    <row r="258" spans="3:15">
      <c r="C258" s="233"/>
      <c r="D258" s="233"/>
      <c r="E258" s="761"/>
      <c r="F258" s="234"/>
      <c r="G258" s="234"/>
      <c r="H258" s="233"/>
      <c r="I258" s="233"/>
      <c r="J258" s="761"/>
      <c r="K258" s="233"/>
      <c r="L258" s="233"/>
      <c r="M258" s="233"/>
      <c r="N258" s="2403"/>
      <c r="O258" s="2403"/>
    </row>
    <row r="259" spans="3:15">
      <c r="C259" s="233"/>
      <c r="D259" s="233"/>
      <c r="E259" s="761"/>
      <c r="F259" s="234"/>
      <c r="G259" s="234"/>
      <c r="H259" s="233"/>
      <c r="I259" s="233"/>
      <c r="J259" s="761"/>
      <c r="K259" s="233"/>
      <c r="L259" s="233"/>
      <c r="M259" s="233"/>
      <c r="N259" s="2403"/>
      <c r="O259" s="2403"/>
    </row>
    <row r="260" spans="3:15">
      <c r="C260" s="233"/>
      <c r="D260" s="233"/>
      <c r="E260" s="761"/>
      <c r="F260" s="234"/>
      <c r="G260" s="234"/>
      <c r="H260" s="233"/>
      <c r="I260" s="233"/>
      <c r="J260" s="761"/>
      <c r="K260" s="233"/>
      <c r="L260" s="233"/>
      <c r="M260" s="233"/>
      <c r="N260" s="2403"/>
      <c r="O260" s="2403"/>
    </row>
    <row r="261" spans="3:15">
      <c r="C261" s="233"/>
      <c r="D261" s="233"/>
      <c r="E261" s="761"/>
      <c r="F261" s="234"/>
      <c r="G261" s="234"/>
      <c r="H261" s="233"/>
      <c r="I261" s="233"/>
      <c r="J261" s="761"/>
      <c r="K261" s="233"/>
      <c r="L261" s="233"/>
      <c r="M261" s="233"/>
      <c r="N261" s="2403"/>
      <c r="O261" s="2403"/>
    </row>
    <row r="262" spans="3:15">
      <c r="C262" s="233"/>
      <c r="D262" s="233"/>
      <c r="E262" s="761"/>
      <c r="F262" s="234"/>
      <c r="G262" s="234"/>
      <c r="H262" s="233"/>
      <c r="I262" s="233"/>
      <c r="J262" s="761"/>
      <c r="K262" s="233"/>
      <c r="L262" s="233"/>
      <c r="M262" s="233"/>
      <c r="N262" s="2403"/>
      <c r="O262" s="2403"/>
    </row>
    <row r="263" spans="3:15">
      <c r="C263" s="233"/>
      <c r="D263" s="233"/>
      <c r="E263" s="761"/>
      <c r="F263" s="234"/>
      <c r="G263" s="234"/>
      <c r="H263" s="233"/>
      <c r="I263" s="233"/>
      <c r="J263" s="761"/>
      <c r="K263" s="233"/>
      <c r="L263" s="233"/>
      <c r="M263" s="233"/>
      <c r="N263" s="2403"/>
      <c r="O263" s="2403"/>
    </row>
    <row r="264" spans="3:15">
      <c r="C264" s="233"/>
      <c r="D264" s="233"/>
      <c r="E264" s="761"/>
      <c r="F264" s="234"/>
      <c r="G264" s="234"/>
      <c r="H264" s="233"/>
      <c r="I264" s="233"/>
      <c r="J264" s="761"/>
      <c r="K264" s="233"/>
      <c r="L264" s="233"/>
      <c r="M264" s="233"/>
      <c r="N264" s="2403"/>
      <c r="O264" s="2403"/>
    </row>
    <row r="265" spans="3:15">
      <c r="C265" s="233"/>
      <c r="D265" s="233"/>
      <c r="E265" s="761"/>
      <c r="F265" s="234"/>
      <c r="G265" s="234"/>
      <c r="H265" s="233"/>
      <c r="I265" s="233"/>
      <c r="J265" s="761"/>
      <c r="K265" s="233"/>
      <c r="L265" s="233"/>
      <c r="M265" s="233"/>
      <c r="N265" s="2403"/>
      <c r="O265" s="2403"/>
    </row>
    <row r="266" spans="3:15">
      <c r="C266" s="233"/>
      <c r="D266" s="233"/>
      <c r="E266" s="761"/>
      <c r="F266" s="234"/>
      <c r="G266" s="234"/>
      <c r="H266" s="233"/>
      <c r="I266" s="233"/>
      <c r="J266" s="761"/>
      <c r="K266" s="233"/>
      <c r="L266" s="233"/>
      <c r="M266" s="233"/>
      <c r="N266" s="2403"/>
      <c r="O266" s="2403"/>
    </row>
    <row r="267" spans="3:15">
      <c r="C267" s="233"/>
      <c r="D267" s="233"/>
      <c r="E267" s="761"/>
      <c r="F267" s="234"/>
      <c r="G267" s="234"/>
      <c r="H267" s="233"/>
      <c r="I267" s="233"/>
      <c r="J267" s="761"/>
      <c r="K267" s="233"/>
      <c r="L267" s="233"/>
      <c r="M267" s="233"/>
      <c r="N267" s="2403"/>
      <c r="O267" s="2403"/>
    </row>
    <row r="268" spans="3:15">
      <c r="C268" s="233"/>
      <c r="D268" s="233"/>
      <c r="E268" s="761"/>
      <c r="F268" s="234"/>
      <c r="G268" s="234"/>
      <c r="H268" s="233"/>
      <c r="I268" s="233"/>
      <c r="J268" s="761"/>
      <c r="K268" s="233"/>
      <c r="L268" s="233"/>
      <c r="M268" s="233"/>
      <c r="N268" s="2403"/>
      <c r="O268" s="2403"/>
    </row>
    <row r="269" spans="3:15">
      <c r="C269" s="233"/>
      <c r="D269" s="233"/>
      <c r="E269" s="761"/>
      <c r="F269" s="234"/>
      <c r="G269" s="234"/>
      <c r="H269" s="233"/>
      <c r="I269" s="233"/>
      <c r="J269" s="761"/>
      <c r="K269" s="233"/>
      <c r="L269" s="233"/>
      <c r="M269" s="233"/>
      <c r="N269" s="2403"/>
      <c r="O269" s="2403"/>
    </row>
    <row r="270" spans="3:15">
      <c r="C270" s="233"/>
      <c r="D270" s="233"/>
      <c r="E270" s="761"/>
      <c r="F270" s="234"/>
      <c r="G270" s="234"/>
      <c r="H270" s="233"/>
      <c r="I270" s="233"/>
      <c r="J270" s="761"/>
      <c r="K270" s="233"/>
      <c r="L270" s="233"/>
      <c r="M270" s="233"/>
      <c r="N270" s="2403"/>
      <c r="O270" s="2403"/>
    </row>
    <row r="271" spans="3:15">
      <c r="C271" s="233"/>
      <c r="D271" s="233"/>
      <c r="E271" s="761"/>
      <c r="F271" s="234"/>
      <c r="G271" s="234"/>
      <c r="H271" s="233"/>
      <c r="I271" s="233"/>
      <c r="J271" s="761"/>
      <c r="K271" s="233"/>
      <c r="L271" s="233"/>
      <c r="M271" s="233"/>
      <c r="N271" s="2403"/>
      <c r="O271" s="2403"/>
    </row>
    <row r="272" spans="3:15">
      <c r="C272" s="233"/>
      <c r="D272" s="233"/>
      <c r="E272" s="761"/>
      <c r="F272" s="234"/>
      <c r="G272" s="234"/>
      <c r="H272" s="233"/>
      <c r="I272" s="233"/>
      <c r="J272" s="761"/>
      <c r="K272" s="233"/>
      <c r="L272" s="233"/>
      <c r="M272" s="233"/>
      <c r="N272" s="2403"/>
      <c r="O272" s="2403"/>
    </row>
    <row r="273" spans="3:15">
      <c r="C273" s="233"/>
      <c r="D273" s="233"/>
      <c r="E273" s="761"/>
      <c r="F273" s="234"/>
      <c r="G273" s="234"/>
      <c r="H273" s="233"/>
      <c r="I273" s="233"/>
      <c r="J273" s="761"/>
      <c r="K273" s="233"/>
      <c r="L273" s="233"/>
      <c r="M273" s="233"/>
      <c r="N273" s="2403"/>
      <c r="O273" s="2403"/>
    </row>
    <row r="274" spans="3:15">
      <c r="C274" s="233"/>
      <c r="D274" s="233"/>
      <c r="E274" s="761"/>
      <c r="F274" s="234"/>
      <c r="G274" s="234"/>
      <c r="H274" s="233"/>
      <c r="I274" s="233"/>
      <c r="J274" s="761"/>
      <c r="K274" s="233"/>
      <c r="L274" s="233"/>
      <c r="M274" s="233"/>
      <c r="N274" s="2403"/>
      <c r="O274" s="2403"/>
    </row>
    <row r="275" spans="3:15">
      <c r="C275" s="233"/>
      <c r="D275" s="233"/>
      <c r="E275" s="761"/>
      <c r="F275" s="234"/>
      <c r="G275" s="234"/>
      <c r="H275" s="233"/>
      <c r="I275" s="233"/>
      <c r="J275" s="761"/>
      <c r="K275" s="233"/>
      <c r="L275" s="233"/>
      <c r="M275" s="233"/>
      <c r="N275" s="2403"/>
      <c r="O275" s="2403"/>
    </row>
    <row r="276" spans="3:15">
      <c r="C276" s="233"/>
      <c r="D276" s="233"/>
      <c r="E276" s="761"/>
      <c r="F276" s="234"/>
      <c r="G276" s="234"/>
      <c r="H276" s="233"/>
      <c r="I276" s="233"/>
      <c r="J276" s="761"/>
      <c r="K276" s="233"/>
      <c r="L276" s="233"/>
      <c r="M276" s="233"/>
      <c r="N276" s="2403"/>
      <c r="O276" s="2403"/>
    </row>
    <row r="277" spans="3:15">
      <c r="C277" s="233"/>
      <c r="D277" s="233"/>
      <c r="E277" s="761"/>
      <c r="F277" s="234"/>
      <c r="G277" s="234"/>
      <c r="H277" s="233"/>
      <c r="I277" s="233"/>
      <c r="J277" s="761"/>
      <c r="K277" s="233"/>
      <c r="L277" s="233"/>
      <c r="M277" s="233"/>
      <c r="N277" s="2403"/>
      <c r="O277" s="2403"/>
    </row>
    <row r="278" spans="3:15">
      <c r="C278" s="233"/>
      <c r="D278" s="233"/>
      <c r="E278" s="761"/>
      <c r="F278" s="234"/>
      <c r="G278" s="234"/>
      <c r="H278" s="233"/>
      <c r="I278" s="233"/>
      <c r="J278" s="761"/>
      <c r="K278" s="233"/>
      <c r="L278" s="233"/>
      <c r="M278" s="233"/>
      <c r="N278" s="2403"/>
      <c r="O278" s="2403"/>
    </row>
    <row r="279" spans="3:15">
      <c r="C279" s="233"/>
      <c r="D279" s="233"/>
      <c r="E279" s="761"/>
      <c r="F279" s="234"/>
      <c r="G279" s="234"/>
      <c r="H279" s="233"/>
      <c r="I279" s="233"/>
      <c r="J279" s="761"/>
      <c r="K279" s="233"/>
      <c r="L279" s="233"/>
      <c r="M279" s="233"/>
      <c r="N279" s="2403"/>
      <c r="O279" s="2403"/>
    </row>
    <row r="280" spans="3:15">
      <c r="C280" s="233"/>
      <c r="D280" s="233"/>
      <c r="E280" s="761"/>
      <c r="F280" s="234"/>
      <c r="G280" s="234"/>
      <c r="H280" s="233"/>
      <c r="I280" s="233"/>
      <c r="J280" s="761"/>
      <c r="K280" s="233"/>
      <c r="L280" s="233"/>
      <c r="M280" s="233"/>
      <c r="N280" s="2403"/>
      <c r="O280" s="2403"/>
    </row>
    <row r="281" spans="3:15">
      <c r="C281" s="233"/>
      <c r="D281" s="233"/>
      <c r="E281" s="761"/>
      <c r="F281" s="234"/>
      <c r="G281" s="234"/>
      <c r="H281" s="233"/>
      <c r="I281" s="233"/>
      <c r="J281" s="761"/>
      <c r="K281" s="233"/>
      <c r="L281" s="233"/>
      <c r="M281" s="233"/>
      <c r="N281" s="2403"/>
      <c r="O281" s="2403"/>
    </row>
    <row r="282" spans="3:15">
      <c r="C282" s="233"/>
      <c r="D282" s="233"/>
      <c r="E282" s="761"/>
      <c r="F282" s="234"/>
      <c r="G282" s="234"/>
      <c r="H282" s="233"/>
      <c r="I282" s="233"/>
      <c r="J282" s="761"/>
      <c r="K282" s="233"/>
      <c r="L282" s="233"/>
      <c r="M282" s="233"/>
      <c r="N282" s="2403"/>
      <c r="O282" s="2403"/>
    </row>
    <row r="283" spans="3:15">
      <c r="C283" s="233"/>
      <c r="D283" s="233"/>
      <c r="E283" s="761"/>
      <c r="F283" s="234"/>
      <c r="G283" s="234"/>
      <c r="H283" s="233"/>
      <c r="I283" s="233"/>
      <c r="J283" s="761"/>
      <c r="K283" s="233"/>
      <c r="L283" s="233"/>
      <c r="M283" s="233"/>
      <c r="N283" s="2403"/>
      <c r="O283" s="2403"/>
    </row>
    <row r="284" spans="3:15">
      <c r="C284" s="233"/>
      <c r="D284" s="233"/>
      <c r="E284" s="761"/>
      <c r="F284" s="234"/>
      <c r="G284" s="234"/>
      <c r="H284" s="233"/>
      <c r="I284" s="233"/>
      <c r="J284" s="761"/>
      <c r="K284" s="233"/>
      <c r="L284" s="233"/>
      <c r="M284" s="233"/>
      <c r="N284" s="2403"/>
      <c r="O284" s="2403"/>
    </row>
    <row r="285" spans="3:15">
      <c r="C285" s="233"/>
      <c r="D285" s="233"/>
      <c r="E285" s="761"/>
      <c r="F285" s="234"/>
      <c r="G285" s="234"/>
      <c r="H285" s="233"/>
      <c r="I285" s="233"/>
      <c r="J285" s="761"/>
      <c r="K285" s="233"/>
      <c r="L285" s="233"/>
      <c r="M285" s="233"/>
      <c r="N285" s="2403"/>
      <c r="O285" s="2403"/>
    </row>
    <row r="286" spans="3:15">
      <c r="C286" s="233"/>
      <c r="D286" s="233"/>
      <c r="E286" s="761"/>
      <c r="F286" s="234"/>
      <c r="G286" s="234"/>
      <c r="H286" s="233"/>
      <c r="I286" s="233"/>
      <c r="J286" s="761"/>
      <c r="K286" s="233"/>
      <c r="L286" s="233"/>
      <c r="M286" s="233"/>
      <c r="N286" s="2403"/>
      <c r="O286" s="2403"/>
    </row>
    <row r="287" spans="3:15">
      <c r="C287" s="233"/>
      <c r="D287" s="233"/>
      <c r="E287" s="761"/>
      <c r="F287" s="234"/>
      <c r="G287" s="234"/>
      <c r="H287" s="233"/>
      <c r="I287" s="233"/>
      <c r="J287" s="761"/>
      <c r="K287" s="233"/>
      <c r="L287" s="233"/>
      <c r="M287" s="233"/>
      <c r="N287" s="2403"/>
      <c r="O287" s="2403"/>
    </row>
    <row r="288" spans="3:15">
      <c r="C288" s="233"/>
      <c r="D288" s="233"/>
      <c r="E288" s="761"/>
      <c r="F288" s="234"/>
      <c r="G288" s="234"/>
      <c r="H288" s="233"/>
      <c r="I288" s="233"/>
      <c r="J288" s="761"/>
      <c r="K288" s="233"/>
      <c r="L288" s="233"/>
      <c r="M288" s="233"/>
      <c r="N288" s="2403"/>
      <c r="O288" s="2403"/>
    </row>
    <row r="289" spans="3:15">
      <c r="C289" s="233"/>
      <c r="D289" s="233"/>
      <c r="E289" s="761"/>
      <c r="F289" s="234"/>
      <c r="G289" s="234"/>
      <c r="H289" s="233"/>
      <c r="I289" s="233"/>
      <c r="J289" s="761"/>
      <c r="K289" s="233"/>
      <c r="L289" s="233"/>
      <c r="M289" s="233"/>
      <c r="N289" s="2403"/>
      <c r="O289" s="2403"/>
    </row>
    <row r="290" spans="3:15">
      <c r="C290" s="233"/>
      <c r="D290" s="233"/>
      <c r="E290" s="761"/>
      <c r="F290" s="234"/>
      <c r="G290" s="234"/>
      <c r="H290" s="233"/>
      <c r="I290" s="233"/>
      <c r="J290" s="761"/>
      <c r="K290" s="233"/>
      <c r="L290" s="233"/>
      <c r="M290" s="233"/>
      <c r="N290" s="2403"/>
      <c r="O290" s="2403"/>
    </row>
    <row r="291" spans="3:15">
      <c r="C291" s="233"/>
      <c r="D291" s="233"/>
      <c r="E291" s="761"/>
      <c r="F291" s="234"/>
      <c r="G291" s="234"/>
      <c r="H291" s="233"/>
      <c r="I291" s="233"/>
      <c r="J291" s="761"/>
      <c r="K291" s="233"/>
      <c r="L291" s="233"/>
      <c r="M291" s="233"/>
      <c r="N291" s="2403"/>
      <c r="O291" s="2403"/>
    </row>
    <row r="292" spans="3:15">
      <c r="C292" s="233"/>
      <c r="D292" s="233"/>
      <c r="E292" s="761"/>
      <c r="F292" s="234"/>
      <c r="G292" s="234"/>
      <c r="H292" s="233"/>
      <c r="I292" s="233"/>
      <c r="J292" s="761"/>
      <c r="K292" s="233"/>
      <c r="L292" s="233"/>
      <c r="M292" s="233"/>
      <c r="N292" s="2403"/>
      <c r="O292" s="2403"/>
    </row>
    <row r="293" spans="3:15">
      <c r="C293" s="233"/>
      <c r="D293" s="233"/>
      <c r="E293" s="761"/>
      <c r="F293" s="234"/>
      <c r="G293" s="234"/>
      <c r="H293" s="233"/>
      <c r="I293" s="233"/>
      <c r="J293" s="761"/>
      <c r="K293" s="233"/>
      <c r="L293" s="233"/>
      <c r="M293" s="233"/>
      <c r="N293" s="2403"/>
      <c r="O293" s="2403"/>
    </row>
    <row r="294" spans="3:15">
      <c r="C294" s="233"/>
      <c r="D294" s="233"/>
      <c r="E294" s="761"/>
      <c r="F294" s="234"/>
      <c r="G294" s="234"/>
      <c r="H294" s="233"/>
      <c r="I294" s="233"/>
      <c r="J294" s="761"/>
      <c r="K294" s="233"/>
      <c r="L294" s="233"/>
      <c r="M294" s="233"/>
      <c r="N294" s="2403"/>
      <c r="O294" s="2403"/>
    </row>
    <row r="295" spans="3:15">
      <c r="C295" s="233"/>
      <c r="D295" s="233"/>
      <c r="E295" s="761"/>
      <c r="F295" s="234"/>
      <c r="G295" s="234"/>
      <c r="H295" s="233"/>
      <c r="I295" s="233"/>
      <c r="J295" s="761"/>
      <c r="K295" s="233"/>
      <c r="L295" s="233"/>
      <c r="M295" s="233"/>
      <c r="N295" s="2403"/>
      <c r="O295" s="2403"/>
    </row>
    <row r="296" spans="3:15">
      <c r="C296" s="233"/>
      <c r="D296" s="233"/>
      <c r="E296" s="761"/>
      <c r="F296" s="234"/>
      <c r="G296" s="234"/>
      <c r="H296" s="233"/>
      <c r="I296" s="233"/>
      <c r="J296" s="761"/>
      <c r="K296" s="233"/>
      <c r="L296" s="233"/>
      <c r="M296" s="233"/>
      <c r="N296" s="2403"/>
      <c r="O296" s="2403"/>
    </row>
    <row r="297" spans="3:15">
      <c r="C297" s="233"/>
      <c r="D297" s="233"/>
      <c r="E297" s="761"/>
      <c r="F297" s="234"/>
      <c r="G297" s="234"/>
      <c r="H297" s="233"/>
      <c r="I297" s="233"/>
      <c r="J297" s="761"/>
      <c r="K297" s="233"/>
      <c r="L297" s="233"/>
      <c r="M297" s="233"/>
      <c r="N297" s="2403"/>
      <c r="O297" s="2403"/>
    </row>
    <row r="298" spans="3:15">
      <c r="C298" s="233"/>
      <c r="D298" s="233"/>
      <c r="E298" s="761"/>
      <c r="F298" s="234"/>
      <c r="G298" s="234"/>
      <c r="H298" s="233"/>
      <c r="I298" s="233"/>
      <c r="J298" s="761"/>
      <c r="K298" s="233"/>
      <c r="L298" s="233"/>
      <c r="M298" s="233"/>
      <c r="N298" s="2403"/>
      <c r="O298" s="2403"/>
    </row>
    <row r="299" spans="3:15">
      <c r="C299" s="233"/>
      <c r="D299" s="233"/>
      <c r="E299" s="761"/>
      <c r="F299" s="234"/>
      <c r="G299" s="234"/>
      <c r="H299" s="233"/>
      <c r="I299" s="233"/>
      <c r="J299" s="761"/>
      <c r="K299" s="233"/>
      <c r="L299" s="233"/>
      <c r="M299" s="233"/>
      <c r="N299" s="2403"/>
      <c r="O299" s="2403"/>
    </row>
    <row r="300" spans="3:15">
      <c r="C300" s="233"/>
      <c r="D300" s="233"/>
      <c r="E300" s="761"/>
      <c r="F300" s="234"/>
      <c r="G300" s="234"/>
      <c r="H300" s="233"/>
      <c r="I300" s="233"/>
      <c r="J300" s="761"/>
      <c r="K300" s="233"/>
      <c r="L300" s="233"/>
      <c r="M300" s="233"/>
      <c r="N300" s="2403"/>
      <c r="O300" s="2403"/>
    </row>
    <row r="301" spans="3:15">
      <c r="C301" s="233"/>
      <c r="D301" s="233"/>
      <c r="E301" s="761"/>
      <c r="F301" s="234"/>
      <c r="G301" s="234"/>
      <c r="H301" s="233"/>
      <c r="I301" s="233"/>
      <c r="J301" s="761"/>
      <c r="K301" s="233"/>
      <c r="L301" s="233"/>
      <c r="M301" s="233"/>
      <c r="N301" s="2403"/>
      <c r="O301" s="2403"/>
    </row>
    <row r="302" spans="3:15">
      <c r="C302" s="233"/>
      <c r="D302" s="233"/>
      <c r="E302" s="761"/>
      <c r="F302" s="234"/>
      <c r="G302" s="234"/>
      <c r="H302" s="233"/>
      <c r="I302" s="233"/>
      <c r="J302" s="761"/>
      <c r="K302" s="233"/>
      <c r="L302" s="233"/>
      <c r="M302" s="233"/>
      <c r="N302" s="2403"/>
      <c r="O302" s="2403"/>
    </row>
    <row r="303" spans="3:15">
      <c r="C303" s="233"/>
      <c r="D303" s="233"/>
      <c r="E303" s="761"/>
      <c r="F303" s="234"/>
      <c r="G303" s="234"/>
      <c r="H303" s="233"/>
      <c r="I303" s="233"/>
      <c r="J303" s="761"/>
      <c r="K303" s="233"/>
      <c r="L303" s="233"/>
      <c r="M303" s="233"/>
      <c r="N303" s="2403"/>
      <c r="O303" s="2403"/>
    </row>
    <row r="304" spans="3:15">
      <c r="C304" s="233"/>
      <c r="D304" s="233"/>
      <c r="E304" s="761"/>
      <c r="F304" s="234"/>
      <c r="G304" s="234"/>
      <c r="H304" s="233"/>
      <c r="I304" s="233"/>
      <c r="J304" s="761"/>
      <c r="K304" s="233"/>
      <c r="L304" s="233"/>
      <c r="M304" s="233"/>
      <c r="N304" s="2403"/>
      <c r="O304" s="2403"/>
    </row>
    <row r="305" spans="3:15">
      <c r="C305" s="233"/>
      <c r="D305" s="233"/>
      <c r="E305" s="761"/>
      <c r="F305" s="234"/>
      <c r="G305" s="234"/>
      <c r="H305" s="233"/>
      <c r="I305" s="233"/>
      <c r="J305" s="761"/>
      <c r="K305" s="233"/>
      <c r="L305" s="233"/>
      <c r="M305" s="233"/>
      <c r="N305" s="2403"/>
      <c r="O305" s="2403"/>
    </row>
    <row r="306" spans="3:15">
      <c r="C306" s="233"/>
      <c r="D306" s="233"/>
      <c r="E306" s="761"/>
      <c r="F306" s="234"/>
      <c r="G306" s="234"/>
      <c r="H306" s="233"/>
      <c r="I306" s="233"/>
      <c r="J306" s="761"/>
      <c r="K306" s="233"/>
      <c r="L306" s="233"/>
      <c r="M306" s="233"/>
      <c r="N306" s="2403"/>
      <c r="O306" s="2403"/>
    </row>
    <row r="307" spans="3:15">
      <c r="C307" s="233"/>
      <c r="D307" s="233"/>
      <c r="E307" s="761"/>
      <c r="F307" s="234"/>
      <c r="G307" s="234"/>
      <c r="H307" s="233"/>
      <c r="I307" s="233"/>
      <c r="J307" s="761"/>
      <c r="K307" s="233"/>
      <c r="L307" s="233"/>
      <c r="M307" s="233"/>
      <c r="N307" s="2403"/>
      <c r="O307" s="2403"/>
    </row>
    <row r="308" spans="3:15">
      <c r="C308" s="233"/>
      <c r="D308" s="233"/>
      <c r="E308" s="761"/>
      <c r="F308" s="234"/>
      <c r="G308" s="234"/>
      <c r="H308" s="233"/>
      <c r="I308" s="233"/>
      <c r="J308" s="761"/>
      <c r="K308" s="233"/>
      <c r="L308" s="233"/>
      <c r="M308" s="233"/>
      <c r="N308" s="2403"/>
      <c r="O308" s="2403"/>
    </row>
    <row r="309" spans="3:15">
      <c r="C309" s="233"/>
      <c r="D309" s="233"/>
      <c r="E309" s="761"/>
      <c r="F309" s="234"/>
      <c r="G309" s="234"/>
      <c r="H309" s="233"/>
      <c r="I309" s="233"/>
      <c r="J309" s="761"/>
      <c r="K309" s="233"/>
      <c r="L309" s="233"/>
      <c r="M309" s="233"/>
      <c r="N309" s="2403"/>
      <c r="O309" s="2403"/>
    </row>
    <row r="310" spans="3:15">
      <c r="C310" s="233"/>
      <c r="D310" s="233"/>
      <c r="E310" s="761"/>
      <c r="F310" s="234"/>
      <c r="G310" s="234"/>
      <c r="H310" s="233"/>
      <c r="I310" s="233"/>
      <c r="J310" s="761"/>
      <c r="K310" s="233"/>
      <c r="L310" s="233"/>
      <c r="M310" s="233"/>
      <c r="N310" s="2403"/>
      <c r="O310" s="2403"/>
    </row>
    <row r="311" spans="3:15">
      <c r="C311" s="233"/>
      <c r="D311" s="233"/>
      <c r="E311" s="761"/>
      <c r="F311" s="234"/>
      <c r="G311" s="234"/>
      <c r="H311" s="233"/>
      <c r="I311" s="233"/>
      <c r="J311" s="761"/>
      <c r="K311" s="233"/>
      <c r="L311" s="233"/>
      <c r="M311" s="233"/>
      <c r="N311" s="2403"/>
      <c r="O311" s="2403"/>
    </row>
    <row r="312" spans="3:15">
      <c r="C312" s="233"/>
      <c r="D312" s="233"/>
      <c r="E312" s="761"/>
      <c r="F312" s="234"/>
      <c r="G312" s="234"/>
      <c r="H312" s="233"/>
      <c r="I312" s="233"/>
      <c r="J312" s="761"/>
      <c r="K312" s="233"/>
      <c r="L312" s="233"/>
      <c r="M312" s="233"/>
      <c r="N312" s="2403"/>
      <c r="O312" s="2403"/>
    </row>
    <row r="313" spans="3:15">
      <c r="C313" s="233"/>
      <c r="D313" s="233"/>
      <c r="E313" s="761"/>
      <c r="F313" s="234"/>
      <c r="G313" s="234"/>
      <c r="H313" s="233"/>
      <c r="I313" s="233"/>
      <c r="J313" s="761"/>
      <c r="K313" s="233"/>
      <c r="L313" s="233"/>
      <c r="M313" s="233"/>
      <c r="N313" s="2403"/>
      <c r="O313" s="2403"/>
    </row>
    <row r="314" spans="3:15">
      <c r="C314" s="233"/>
      <c r="D314" s="233"/>
      <c r="E314" s="761"/>
      <c r="F314" s="234"/>
      <c r="G314" s="234"/>
      <c r="H314" s="233"/>
      <c r="I314" s="233"/>
      <c r="J314" s="761"/>
      <c r="K314" s="233"/>
      <c r="L314" s="233"/>
      <c r="M314" s="233"/>
      <c r="N314" s="2403"/>
      <c r="O314" s="2403"/>
    </row>
    <row r="315" spans="3:15">
      <c r="C315" s="233"/>
      <c r="D315" s="233"/>
      <c r="E315" s="761"/>
      <c r="F315" s="234"/>
      <c r="G315" s="234"/>
      <c r="H315" s="233"/>
      <c r="I315" s="233"/>
      <c r="J315" s="761"/>
      <c r="K315" s="233"/>
      <c r="L315" s="233"/>
      <c r="M315" s="233"/>
      <c r="N315" s="2403"/>
      <c r="O315" s="2403"/>
    </row>
    <row r="316" spans="3:15">
      <c r="C316" s="233"/>
      <c r="D316" s="233"/>
      <c r="E316" s="761"/>
      <c r="F316" s="234"/>
      <c r="G316" s="234"/>
      <c r="H316" s="233"/>
      <c r="I316" s="233"/>
      <c r="J316" s="761"/>
      <c r="K316" s="233"/>
      <c r="L316" s="233"/>
      <c r="M316" s="233"/>
      <c r="N316" s="2403"/>
      <c r="O316" s="2403"/>
    </row>
    <row r="317" spans="3:15">
      <c r="C317" s="233"/>
      <c r="D317" s="233"/>
      <c r="E317" s="761"/>
      <c r="F317" s="234"/>
      <c r="G317" s="234"/>
      <c r="H317" s="233"/>
      <c r="I317" s="233"/>
      <c r="J317" s="761"/>
      <c r="K317" s="233"/>
      <c r="L317" s="233"/>
      <c r="M317" s="233"/>
      <c r="N317" s="2403"/>
      <c r="O317" s="2403"/>
    </row>
    <row r="318" spans="3:15">
      <c r="C318" s="233"/>
      <c r="D318" s="233"/>
      <c r="E318" s="761"/>
      <c r="F318" s="234"/>
      <c r="G318" s="234"/>
      <c r="H318" s="233"/>
      <c r="I318" s="233"/>
      <c r="J318" s="761"/>
      <c r="K318" s="233"/>
      <c r="L318" s="233"/>
      <c r="M318" s="233"/>
      <c r="N318" s="2403"/>
      <c r="O318" s="2403"/>
    </row>
    <row r="319" spans="3:15">
      <c r="C319" s="233"/>
      <c r="D319" s="233"/>
      <c r="E319" s="761"/>
      <c r="F319" s="234"/>
      <c r="G319" s="234"/>
      <c r="H319" s="233"/>
      <c r="I319" s="233"/>
      <c r="J319" s="761"/>
      <c r="K319" s="233"/>
      <c r="L319" s="233"/>
      <c r="M319" s="233"/>
      <c r="N319" s="2403"/>
      <c r="O319" s="2403"/>
    </row>
    <row r="320" spans="3:15">
      <c r="C320" s="233"/>
      <c r="D320" s="233"/>
      <c r="E320" s="761"/>
      <c r="F320" s="234"/>
      <c r="G320" s="234"/>
      <c r="H320" s="233"/>
      <c r="I320" s="233"/>
      <c r="J320" s="761"/>
      <c r="K320" s="233"/>
      <c r="L320" s="233"/>
      <c r="M320" s="233"/>
      <c r="N320" s="2403"/>
      <c r="O320" s="2403"/>
    </row>
    <row r="321" spans="3:15">
      <c r="C321" s="233"/>
      <c r="D321" s="233"/>
      <c r="E321" s="761"/>
      <c r="F321" s="234"/>
      <c r="G321" s="234"/>
      <c r="H321" s="233"/>
      <c r="I321" s="233"/>
      <c r="J321" s="761"/>
      <c r="K321" s="233"/>
      <c r="L321" s="233"/>
      <c r="M321" s="233"/>
      <c r="N321" s="2403"/>
      <c r="O321" s="2403"/>
    </row>
    <row r="322" spans="3:15">
      <c r="C322" s="233"/>
      <c r="D322" s="233"/>
      <c r="E322" s="761"/>
      <c r="F322" s="234"/>
      <c r="G322" s="234"/>
      <c r="H322" s="233"/>
      <c r="I322" s="233"/>
      <c r="J322" s="761"/>
      <c r="K322" s="233"/>
      <c r="L322" s="233"/>
      <c r="M322" s="233"/>
      <c r="N322" s="2403"/>
      <c r="O322" s="2403"/>
    </row>
    <row r="323" spans="3:15">
      <c r="C323" s="233"/>
      <c r="D323" s="233"/>
      <c r="E323" s="761"/>
      <c r="F323" s="234"/>
      <c r="G323" s="234"/>
      <c r="H323" s="233"/>
      <c r="I323" s="233"/>
      <c r="J323" s="761"/>
      <c r="K323" s="233"/>
      <c r="L323" s="233"/>
      <c r="M323" s="233"/>
      <c r="N323" s="2403"/>
      <c r="O323" s="2403"/>
    </row>
    <row r="324" spans="3:15">
      <c r="C324" s="233"/>
      <c r="D324" s="233"/>
      <c r="E324" s="761"/>
      <c r="F324" s="234"/>
      <c r="G324" s="234"/>
      <c r="H324" s="233"/>
      <c r="I324" s="233"/>
      <c r="J324" s="761"/>
      <c r="K324" s="233"/>
      <c r="L324" s="233"/>
      <c r="M324" s="233"/>
      <c r="N324" s="2403"/>
      <c r="O324" s="2403"/>
    </row>
    <row r="325" spans="3:15">
      <c r="C325" s="233"/>
      <c r="D325" s="233"/>
      <c r="E325" s="761"/>
      <c r="F325" s="234"/>
      <c r="G325" s="234"/>
      <c r="H325" s="233"/>
      <c r="I325" s="233"/>
      <c r="J325" s="761"/>
      <c r="K325" s="233"/>
      <c r="L325" s="233"/>
      <c r="M325" s="233"/>
      <c r="N325" s="2403"/>
      <c r="O325" s="2403"/>
    </row>
    <row r="326" spans="3:15">
      <c r="C326" s="233"/>
      <c r="D326" s="233"/>
      <c r="E326" s="761"/>
      <c r="F326" s="234"/>
      <c r="G326" s="234"/>
      <c r="H326" s="233"/>
      <c r="I326" s="233"/>
      <c r="J326" s="761"/>
      <c r="K326" s="233"/>
      <c r="L326" s="233"/>
      <c r="M326" s="233"/>
      <c r="N326" s="2403"/>
      <c r="O326" s="2403"/>
    </row>
    <row r="327" spans="3:15">
      <c r="C327" s="233"/>
      <c r="D327" s="233"/>
      <c r="E327" s="761"/>
      <c r="F327" s="234"/>
      <c r="G327" s="234"/>
      <c r="H327" s="233"/>
      <c r="I327" s="233"/>
      <c r="J327" s="761"/>
      <c r="K327" s="233"/>
      <c r="L327" s="233"/>
      <c r="M327" s="233"/>
      <c r="N327" s="2403"/>
      <c r="O327" s="2403"/>
    </row>
    <row r="328" spans="3:15">
      <c r="C328" s="233"/>
      <c r="D328" s="233"/>
      <c r="E328" s="761"/>
      <c r="F328" s="234"/>
      <c r="G328" s="234"/>
      <c r="H328" s="233"/>
      <c r="I328" s="233"/>
      <c r="J328" s="761"/>
      <c r="K328" s="233"/>
      <c r="L328" s="233"/>
      <c r="M328" s="233"/>
      <c r="N328" s="2403"/>
      <c r="O328" s="2403"/>
    </row>
    <row r="329" spans="3:15">
      <c r="C329" s="233"/>
      <c r="D329" s="233"/>
      <c r="E329" s="761"/>
      <c r="F329" s="234"/>
      <c r="G329" s="234"/>
      <c r="H329" s="233"/>
      <c r="I329" s="233"/>
      <c r="J329" s="761"/>
      <c r="K329" s="233"/>
      <c r="L329" s="233"/>
      <c r="M329" s="233"/>
      <c r="N329" s="2403"/>
      <c r="O329" s="2403"/>
    </row>
    <row r="330" spans="3:15">
      <c r="C330" s="233"/>
      <c r="D330" s="233"/>
      <c r="E330" s="761"/>
      <c r="F330" s="234"/>
      <c r="G330" s="234"/>
      <c r="H330" s="233"/>
      <c r="I330" s="233"/>
      <c r="J330" s="761"/>
      <c r="K330" s="233"/>
      <c r="L330" s="233"/>
      <c r="M330" s="233"/>
      <c r="N330" s="2403"/>
      <c r="O330" s="2403"/>
    </row>
    <row r="331" spans="3:15">
      <c r="C331" s="233"/>
      <c r="D331" s="233"/>
      <c r="E331" s="761"/>
      <c r="F331" s="234"/>
      <c r="G331" s="234"/>
      <c r="H331" s="233"/>
      <c r="I331" s="233"/>
      <c r="J331" s="761"/>
      <c r="K331" s="233"/>
      <c r="L331" s="233"/>
      <c r="M331" s="233"/>
      <c r="N331" s="2403"/>
      <c r="O331" s="2403"/>
    </row>
    <row r="332" spans="3:15">
      <c r="C332" s="233"/>
      <c r="D332" s="233"/>
      <c r="E332" s="761"/>
      <c r="F332" s="234"/>
      <c r="G332" s="234"/>
      <c r="H332" s="233"/>
      <c r="I332" s="233"/>
      <c r="J332" s="761"/>
      <c r="K332" s="233"/>
      <c r="L332" s="233"/>
      <c r="M332" s="233"/>
      <c r="N332" s="2403"/>
      <c r="O332" s="2403"/>
    </row>
    <row r="333" spans="3:15">
      <c r="C333" s="233"/>
      <c r="D333" s="233"/>
      <c r="E333" s="761"/>
      <c r="F333" s="234"/>
      <c r="G333" s="234"/>
      <c r="H333" s="233"/>
      <c r="I333" s="233"/>
      <c r="J333" s="761"/>
      <c r="K333" s="233"/>
      <c r="L333" s="233"/>
      <c r="M333" s="233"/>
      <c r="N333" s="2403"/>
      <c r="O333" s="2403"/>
    </row>
    <row r="334" spans="3:15">
      <c r="C334" s="233"/>
      <c r="D334" s="233"/>
      <c r="E334" s="761"/>
      <c r="F334" s="234"/>
      <c r="G334" s="234"/>
      <c r="H334" s="233"/>
      <c r="I334" s="233"/>
      <c r="J334" s="761"/>
      <c r="K334" s="233"/>
      <c r="L334" s="233"/>
      <c r="M334" s="233"/>
      <c r="N334" s="2403"/>
      <c r="O334" s="2403"/>
    </row>
    <row r="335" spans="3:15">
      <c r="C335" s="233"/>
      <c r="D335" s="233"/>
      <c r="E335" s="761"/>
      <c r="F335" s="234"/>
      <c r="G335" s="234"/>
      <c r="H335" s="233"/>
      <c r="I335" s="233"/>
      <c r="J335" s="761"/>
      <c r="K335" s="233"/>
      <c r="L335" s="233"/>
      <c r="M335" s="233"/>
      <c r="N335" s="2403"/>
      <c r="O335" s="2403"/>
    </row>
    <row r="336" spans="3:15">
      <c r="C336" s="233"/>
      <c r="D336" s="233"/>
      <c r="E336" s="761"/>
      <c r="F336" s="234"/>
      <c r="G336" s="234"/>
      <c r="H336" s="233"/>
      <c r="I336" s="233"/>
      <c r="J336" s="761"/>
      <c r="K336" s="233"/>
      <c r="L336" s="233"/>
      <c r="M336" s="233"/>
      <c r="N336" s="2403"/>
      <c r="O336" s="2403"/>
    </row>
    <row r="337" spans="3:15">
      <c r="C337" s="233"/>
      <c r="D337" s="233"/>
      <c r="E337" s="761"/>
      <c r="F337" s="234"/>
      <c r="G337" s="234"/>
      <c r="H337" s="233"/>
      <c r="I337" s="233"/>
      <c r="J337" s="761"/>
      <c r="K337" s="233"/>
      <c r="L337" s="233"/>
      <c r="M337" s="233"/>
      <c r="N337" s="2403"/>
      <c r="O337" s="2403"/>
    </row>
    <row r="338" spans="3:15">
      <c r="C338" s="233"/>
      <c r="D338" s="233"/>
      <c r="E338" s="761"/>
      <c r="F338" s="234"/>
      <c r="G338" s="234"/>
      <c r="H338" s="233"/>
      <c r="I338" s="233"/>
      <c r="J338" s="761"/>
      <c r="K338" s="233"/>
      <c r="L338" s="233"/>
      <c r="M338" s="233"/>
      <c r="N338" s="2403"/>
      <c r="O338" s="2403"/>
    </row>
    <row r="339" spans="3:15">
      <c r="C339" s="233"/>
      <c r="D339" s="233"/>
      <c r="E339" s="761"/>
      <c r="F339" s="234"/>
      <c r="G339" s="234"/>
      <c r="H339" s="233"/>
      <c r="I339" s="233"/>
      <c r="J339" s="761"/>
      <c r="K339" s="233"/>
      <c r="L339" s="233"/>
      <c r="M339" s="233"/>
      <c r="N339" s="2403"/>
      <c r="O339" s="2403"/>
    </row>
    <row r="340" spans="3:15">
      <c r="C340" s="233"/>
      <c r="D340" s="233"/>
      <c r="E340" s="761"/>
      <c r="F340" s="234"/>
      <c r="G340" s="234"/>
      <c r="H340" s="233"/>
      <c r="I340" s="233"/>
      <c r="J340" s="761"/>
      <c r="K340" s="233"/>
      <c r="L340" s="233"/>
      <c r="M340" s="233"/>
      <c r="N340" s="2403"/>
      <c r="O340" s="2403"/>
    </row>
    <row r="341" spans="3:15">
      <c r="C341" s="233"/>
      <c r="D341" s="233"/>
      <c r="E341" s="761"/>
      <c r="F341" s="234"/>
      <c r="G341" s="234"/>
      <c r="H341" s="233"/>
      <c r="I341" s="233"/>
      <c r="J341" s="761"/>
      <c r="K341" s="233"/>
      <c r="L341" s="233"/>
      <c r="M341" s="233"/>
      <c r="N341" s="2403"/>
      <c r="O341" s="2403"/>
    </row>
    <row r="342" spans="3:15">
      <c r="C342" s="233"/>
      <c r="D342" s="233"/>
      <c r="E342" s="761"/>
      <c r="F342" s="234"/>
      <c r="G342" s="234"/>
      <c r="H342" s="233"/>
      <c r="I342" s="233"/>
      <c r="J342" s="761"/>
      <c r="K342" s="233"/>
      <c r="L342" s="233"/>
      <c r="M342" s="233"/>
      <c r="N342" s="2403"/>
      <c r="O342" s="2403"/>
    </row>
    <row r="343" spans="3:15">
      <c r="C343" s="233"/>
      <c r="D343" s="233"/>
      <c r="E343" s="761"/>
      <c r="F343" s="234"/>
      <c r="G343" s="234"/>
      <c r="H343" s="233"/>
      <c r="I343" s="233"/>
      <c r="J343" s="761"/>
      <c r="K343" s="233"/>
      <c r="L343" s="233"/>
      <c r="M343" s="233"/>
      <c r="N343" s="2403"/>
      <c r="O343" s="2403"/>
    </row>
    <row r="344" spans="3:15">
      <c r="C344" s="233"/>
      <c r="D344" s="233"/>
      <c r="E344" s="761"/>
      <c r="F344" s="234"/>
      <c r="G344" s="234"/>
      <c r="H344" s="233"/>
      <c r="I344" s="233"/>
      <c r="J344" s="761"/>
      <c r="K344" s="233"/>
      <c r="L344" s="233"/>
      <c r="M344" s="233"/>
      <c r="N344" s="2403"/>
      <c r="O344" s="2403"/>
    </row>
    <row r="345" spans="3:15">
      <c r="C345" s="233"/>
      <c r="D345" s="233"/>
      <c r="E345" s="761"/>
      <c r="F345" s="234"/>
      <c r="G345" s="234"/>
      <c r="H345" s="233"/>
      <c r="I345" s="233"/>
      <c r="J345" s="761"/>
      <c r="K345" s="233"/>
      <c r="L345" s="233"/>
      <c r="M345" s="233"/>
      <c r="N345" s="2403"/>
      <c r="O345" s="2403"/>
    </row>
    <row r="346" spans="3:15">
      <c r="C346" s="233"/>
      <c r="D346" s="233"/>
      <c r="E346" s="761"/>
      <c r="F346" s="234"/>
      <c r="G346" s="234"/>
      <c r="H346" s="233"/>
      <c r="I346" s="233"/>
      <c r="J346" s="761"/>
      <c r="K346" s="233"/>
      <c r="L346" s="233"/>
      <c r="M346" s="233"/>
      <c r="N346" s="2403"/>
      <c r="O346" s="2403"/>
    </row>
    <row r="347" spans="3:15">
      <c r="C347" s="233"/>
      <c r="D347" s="233"/>
      <c r="E347" s="761"/>
      <c r="F347" s="234"/>
      <c r="G347" s="234"/>
      <c r="H347" s="233"/>
      <c r="I347" s="233"/>
      <c r="J347" s="761"/>
      <c r="K347" s="233"/>
      <c r="L347" s="233"/>
      <c r="M347" s="233"/>
      <c r="N347" s="2403"/>
      <c r="O347" s="2403"/>
    </row>
    <row r="348" spans="3:15">
      <c r="C348" s="233"/>
      <c r="D348" s="233"/>
      <c r="E348" s="761"/>
      <c r="F348" s="234"/>
      <c r="G348" s="234"/>
      <c r="H348" s="233"/>
      <c r="I348" s="233"/>
      <c r="J348" s="761"/>
      <c r="K348" s="233"/>
      <c r="L348" s="233"/>
      <c r="M348" s="233"/>
      <c r="N348" s="2403"/>
      <c r="O348" s="2403"/>
    </row>
    <row r="349" spans="3:15">
      <c r="C349" s="233"/>
      <c r="D349" s="233"/>
      <c r="E349" s="761"/>
      <c r="F349" s="234"/>
      <c r="G349" s="234"/>
      <c r="H349" s="233"/>
      <c r="I349" s="233"/>
      <c r="J349" s="761"/>
      <c r="K349" s="233"/>
      <c r="L349" s="233"/>
      <c r="M349" s="233"/>
      <c r="N349" s="2403"/>
      <c r="O349" s="2403"/>
    </row>
    <row r="350" spans="3:15">
      <c r="C350" s="233"/>
      <c r="D350" s="233"/>
      <c r="E350" s="761"/>
      <c r="F350" s="234"/>
      <c r="G350" s="234"/>
      <c r="H350" s="233"/>
      <c r="I350" s="233"/>
      <c r="J350" s="761"/>
      <c r="K350" s="233"/>
      <c r="L350" s="233"/>
      <c r="M350" s="233"/>
      <c r="N350" s="2403"/>
      <c r="O350" s="2403"/>
    </row>
    <row r="351" spans="3:15">
      <c r="C351" s="233"/>
      <c r="D351" s="233"/>
      <c r="E351" s="761"/>
      <c r="F351" s="234"/>
      <c r="G351" s="234"/>
      <c r="H351" s="233"/>
      <c r="I351" s="233"/>
      <c r="J351" s="761"/>
      <c r="K351" s="233"/>
      <c r="L351" s="233"/>
      <c r="M351" s="233"/>
      <c r="N351" s="2403"/>
      <c r="O351" s="2403"/>
    </row>
    <row r="352" spans="3:15">
      <c r="C352" s="233"/>
      <c r="D352" s="233"/>
      <c r="E352" s="761"/>
      <c r="F352" s="234"/>
      <c r="G352" s="234"/>
      <c r="H352" s="233"/>
      <c r="I352" s="233"/>
      <c r="J352" s="761"/>
      <c r="K352" s="233"/>
      <c r="L352" s="233"/>
      <c r="M352" s="233"/>
      <c r="N352" s="2403"/>
      <c r="O352" s="2403"/>
    </row>
    <row r="353" spans="3:15">
      <c r="C353" s="233"/>
      <c r="D353" s="233"/>
      <c r="E353" s="761"/>
      <c r="F353" s="234"/>
      <c r="G353" s="234"/>
      <c r="H353" s="233"/>
      <c r="I353" s="233"/>
      <c r="J353" s="761"/>
      <c r="K353" s="233"/>
      <c r="L353" s="233"/>
      <c r="M353" s="233"/>
      <c r="N353" s="2403"/>
      <c r="O353" s="2403"/>
    </row>
    <row r="354" spans="3:15">
      <c r="C354" s="233"/>
      <c r="D354" s="233"/>
      <c r="E354" s="761"/>
      <c r="F354" s="234"/>
      <c r="G354" s="234"/>
      <c r="H354" s="233"/>
      <c r="I354" s="233"/>
      <c r="J354" s="761"/>
      <c r="K354" s="233"/>
      <c r="L354" s="233"/>
      <c r="M354" s="233"/>
      <c r="N354" s="2403"/>
      <c r="O354" s="2403"/>
    </row>
    <row r="355" spans="3:15">
      <c r="C355" s="233"/>
      <c r="D355" s="233"/>
      <c r="E355" s="761"/>
      <c r="F355" s="234"/>
      <c r="G355" s="234"/>
      <c r="H355" s="233"/>
      <c r="I355" s="233"/>
      <c r="J355" s="761"/>
      <c r="K355" s="233"/>
      <c r="L355" s="233"/>
      <c r="M355" s="233"/>
      <c r="N355" s="2403"/>
      <c r="O355" s="2403"/>
    </row>
    <row r="356" spans="3:15">
      <c r="C356" s="233"/>
      <c r="D356" s="233"/>
      <c r="E356" s="761"/>
      <c r="F356" s="234"/>
      <c r="G356" s="234"/>
      <c r="H356" s="233"/>
      <c r="I356" s="233"/>
      <c r="J356" s="761"/>
      <c r="K356" s="233"/>
      <c r="L356" s="233"/>
      <c r="M356" s="233"/>
      <c r="N356" s="2403"/>
      <c r="O356" s="2403"/>
    </row>
    <row r="357" spans="3:15">
      <c r="C357" s="233"/>
      <c r="D357" s="233"/>
      <c r="E357" s="761"/>
      <c r="F357" s="234"/>
      <c r="G357" s="234"/>
      <c r="H357" s="233"/>
      <c r="I357" s="233"/>
      <c r="J357" s="761"/>
      <c r="K357" s="233"/>
      <c r="L357" s="233"/>
      <c r="M357" s="233"/>
      <c r="N357" s="2403"/>
      <c r="O357" s="2403"/>
    </row>
    <row r="358" spans="3:15">
      <c r="C358" s="233"/>
      <c r="D358" s="233"/>
      <c r="E358" s="761"/>
      <c r="F358" s="234"/>
      <c r="G358" s="234"/>
      <c r="H358" s="233"/>
      <c r="I358" s="233"/>
      <c r="J358" s="761"/>
      <c r="K358" s="233"/>
      <c r="L358" s="233"/>
      <c r="M358" s="233"/>
      <c r="N358" s="2403"/>
      <c r="O358" s="2403"/>
    </row>
    <row r="359" spans="3:15">
      <c r="C359" s="233"/>
      <c r="D359" s="233"/>
      <c r="E359" s="761"/>
      <c r="F359" s="234"/>
      <c r="G359" s="234"/>
      <c r="H359" s="233"/>
      <c r="I359" s="233"/>
      <c r="J359" s="761"/>
      <c r="K359" s="233"/>
      <c r="L359" s="233"/>
      <c r="M359" s="233"/>
      <c r="N359" s="2403"/>
      <c r="O359" s="2403"/>
    </row>
    <row r="360" spans="3:15">
      <c r="C360" s="233"/>
      <c r="D360" s="233"/>
      <c r="E360" s="761"/>
      <c r="F360" s="234"/>
      <c r="G360" s="234"/>
      <c r="H360" s="233"/>
      <c r="I360" s="233"/>
      <c r="J360" s="761"/>
      <c r="K360" s="233"/>
      <c r="L360" s="233"/>
      <c r="M360" s="233"/>
      <c r="N360" s="2403"/>
      <c r="O360" s="2403"/>
    </row>
    <row r="361" spans="3:15">
      <c r="C361" s="233"/>
      <c r="D361" s="233"/>
      <c r="E361" s="761"/>
      <c r="F361" s="234"/>
      <c r="G361" s="234"/>
      <c r="H361" s="233"/>
      <c r="I361" s="233"/>
      <c r="J361" s="761"/>
      <c r="K361" s="233"/>
      <c r="L361" s="233"/>
      <c r="M361" s="233"/>
      <c r="N361" s="2403"/>
      <c r="O361" s="2403"/>
    </row>
    <row r="362" spans="3:15">
      <c r="C362" s="233"/>
      <c r="D362" s="233"/>
      <c r="E362" s="761"/>
      <c r="F362" s="234"/>
      <c r="G362" s="234"/>
      <c r="H362" s="233"/>
      <c r="I362" s="233"/>
      <c r="J362" s="761"/>
      <c r="K362" s="233"/>
      <c r="L362" s="233"/>
      <c r="M362" s="233"/>
      <c r="N362" s="2403"/>
      <c r="O362" s="2403"/>
    </row>
    <row r="363" spans="3:15">
      <c r="C363" s="233"/>
      <c r="D363" s="233"/>
      <c r="E363" s="761"/>
      <c r="F363" s="234"/>
      <c r="G363" s="234"/>
      <c r="H363" s="233"/>
      <c r="I363" s="233"/>
      <c r="J363" s="761"/>
      <c r="K363" s="233"/>
      <c r="L363" s="233"/>
      <c r="M363" s="233"/>
      <c r="N363" s="2403"/>
      <c r="O363" s="2403"/>
    </row>
    <row r="364" spans="3:15">
      <c r="C364" s="233"/>
      <c r="D364" s="233"/>
      <c r="E364" s="761"/>
      <c r="F364" s="234"/>
      <c r="G364" s="234"/>
      <c r="H364" s="233"/>
      <c r="I364" s="233"/>
      <c r="J364" s="761"/>
      <c r="K364" s="233"/>
      <c r="L364" s="233"/>
      <c r="M364" s="233"/>
      <c r="N364" s="2403"/>
      <c r="O364" s="2403"/>
    </row>
    <row r="365" spans="3:15">
      <c r="C365" s="233"/>
      <c r="D365" s="233"/>
      <c r="E365" s="761"/>
      <c r="F365" s="234"/>
      <c r="G365" s="234"/>
      <c r="H365" s="233"/>
      <c r="I365" s="233"/>
      <c r="J365" s="761"/>
      <c r="K365" s="233"/>
      <c r="L365" s="233"/>
      <c r="M365" s="233"/>
      <c r="N365" s="2403"/>
      <c r="O365" s="2403"/>
    </row>
    <row r="366" spans="3:15">
      <c r="C366" s="233"/>
      <c r="D366" s="233"/>
      <c r="E366" s="761"/>
      <c r="F366" s="234"/>
      <c r="G366" s="234"/>
      <c r="H366" s="233"/>
      <c r="I366" s="233"/>
      <c r="J366" s="761"/>
      <c r="K366" s="233"/>
      <c r="L366" s="233"/>
      <c r="M366" s="233"/>
      <c r="N366" s="2403"/>
      <c r="O366" s="2403"/>
    </row>
    <row r="367" spans="3:15">
      <c r="C367" s="233"/>
      <c r="D367" s="233"/>
      <c r="E367" s="761"/>
      <c r="F367" s="234"/>
      <c r="G367" s="234"/>
      <c r="H367" s="233"/>
      <c r="I367" s="233"/>
      <c r="J367" s="761"/>
      <c r="K367" s="233"/>
      <c r="L367" s="233"/>
      <c r="M367" s="233"/>
      <c r="N367" s="2403"/>
      <c r="O367" s="2403"/>
    </row>
    <row r="368" spans="3:15">
      <c r="C368" s="233"/>
      <c r="D368" s="233"/>
      <c r="E368" s="761"/>
      <c r="F368" s="234"/>
      <c r="G368" s="234"/>
      <c r="H368" s="233"/>
      <c r="I368" s="233"/>
      <c r="J368" s="761"/>
      <c r="K368" s="233"/>
      <c r="L368" s="233"/>
      <c r="M368" s="233"/>
      <c r="N368" s="2403"/>
      <c r="O368" s="2403"/>
    </row>
    <row r="369" spans="3:15">
      <c r="C369" s="233"/>
      <c r="D369" s="233"/>
      <c r="E369" s="761"/>
      <c r="F369" s="234"/>
      <c r="G369" s="234"/>
      <c r="H369" s="233"/>
      <c r="I369" s="233"/>
      <c r="J369" s="761"/>
      <c r="K369" s="233"/>
      <c r="L369" s="233"/>
      <c r="M369" s="233"/>
      <c r="N369" s="2403"/>
      <c r="O369" s="2403"/>
    </row>
    <row r="370" spans="3:15">
      <c r="C370" s="233"/>
      <c r="D370" s="233"/>
      <c r="E370" s="761"/>
      <c r="F370" s="234"/>
      <c r="G370" s="234"/>
      <c r="H370" s="233"/>
      <c r="I370" s="233"/>
      <c r="J370" s="761"/>
      <c r="K370" s="233"/>
      <c r="L370" s="233"/>
      <c r="M370" s="233"/>
      <c r="N370" s="2403"/>
      <c r="O370" s="2403"/>
    </row>
    <row r="371" spans="3:15">
      <c r="C371" s="233"/>
      <c r="D371" s="233"/>
      <c r="E371" s="761"/>
      <c r="F371" s="234"/>
      <c r="G371" s="234"/>
      <c r="H371" s="233"/>
      <c r="I371" s="233"/>
      <c r="J371" s="761"/>
      <c r="K371" s="233"/>
      <c r="L371" s="233"/>
      <c r="M371" s="233"/>
      <c r="N371" s="2403"/>
      <c r="O371" s="2403"/>
    </row>
    <row r="372" spans="3:15">
      <c r="C372" s="233"/>
      <c r="D372" s="233"/>
      <c r="E372" s="761"/>
      <c r="F372" s="234"/>
      <c r="G372" s="234"/>
      <c r="H372" s="233"/>
      <c r="I372" s="233"/>
      <c r="J372" s="761"/>
      <c r="K372" s="233"/>
      <c r="L372" s="233"/>
      <c r="M372" s="233"/>
      <c r="N372" s="2403"/>
      <c r="O372" s="2403"/>
    </row>
    <row r="373" spans="3:15">
      <c r="C373" s="233"/>
      <c r="D373" s="233"/>
      <c r="E373" s="761"/>
      <c r="F373" s="234"/>
      <c r="G373" s="234"/>
      <c r="H373" s="233"/>
      <c r="I373" s="233"/>
      <c r="J373" s="761"/>
      <c r="K373" s="233"/>
      <c r="L373" s="233"/>
      <c r="M373" s="233"/>
      <c r="N373" s="2403"/>
      <c r="O373" s="2403"/>
    </row>
    <row r="374" spans="3:15">
      <c r="C374" s="233"/>
      <c r="D374" s="233"/>
      <c r="E374" s="761"/>
      <c r="F374" s="234"/>
      <c r="G374" s="234"/>
      <c r="H374" s="233"/>
      <c r="I374" s="233"/>
      <c r="J374" s="761"/>
      <c r="K374" s="233"/>
      <c r="L374" s="233"/>
      <c r="M374" s="233"/>
      <c r="N374" s="2403"/>
      <c r="O374" s="2403"/>
    </row>
    <row r="375" spans="3:15">
      <c r="C375" s="233"/>
      <c r="D375" s="233"/>
      <c r="E375" s="761"/>
      <c r="F375" s="234"/>
      <c r="G375" s="234"/>
      <c r="H375" s="233"/>
      <c r="I375" s="233"/>
      <c r="J375" s="761"/>
      <c r="K375" s="233"/>
      <c r="L375" s="233"/>
      <c r="M375" s="233"/>
      <c r="N375" s="2403"/>
      <c r="O375" s="2403"/>
    </row>
    <row r="376" spans="3:15">
      <c r="C376" s="233"/>
      <c r="D376" s="233"/>
      <c r="E376" s="761"/>
      <c r="F376" s="234"/>
      <c r="G376" s="234"/>
      <c r="H376" s="233"/>
      <c r="I376" s="233"/>
      <c r="J376" s="761"/>
      <c r="K376" s="233"/>
      <c r="L376" s="233"/>
      <c r="M376" s="233"/>
      <c r="N376" s="2403"/>
      <c r="O376" s="2403"/>
    </row>
    <row r="377" spans="3:15">
      <c r="C377" s="233"/>
      <c r="D377" s="233"/>
      <c r="E377" s="761"/>
      <c r="F377" s="234"/>
      <c r="G377" s="234"/>
      <c r="H377" s="233"/>
      <c r="I377" s="233"/>
      <c r="J377" s="761"/>
      <c r="K377" s="233"/>
      <c r="L377" s="233"/>
      <c r="M377" s="233"/>
      <c r="N377" s="2403"/>
      <c r="O377" s="2403"/>
    </row>
    <row r="378" spans="3:15">
      <c r="C378" s="233"/>
      <c r="D378" s="233"/>
      <c r="E378" s="761"/>
      <c r="F378" s="234"/>
      <c r="G378" s="234"/>
      <c r="H378" s="233"/>
      <c r="I378" s="233"/>
      <c r="J378" s="761"/>
      <c r="K378" s="233"/>
      <c r="L378" s="233"/>
      <c r="M378" s="233"/>
      <c r="N378" s="2403"/>
      <c r="O378" s="2403"/>
    </row>
    <row r="379" spans="3:15">
      <c r="C379" s="233"/>
      <c r="D379" s="233"/>
      <c r="E379" s="761"/>
      <c r="F379" s="234"/>
      <c r="G379" s="234"/>
      <c r="H379" s="233"/>
      <c r="I379" s="233"/>
      <c r="J379" s="761"/>
      <c r="K379" s="233"/>
      <c r="L379" s="233"/>
      <c r="M379" s="233"/>
      <c r="N379" s="2403"/>
      <c r="O379" s="2403"/>
    </row>
    <row r="380" spans="3:15">
      <c r="C380" s="233"/>
      <c r="D380" s="233"/>
      <c r="E380" s="761"/>
      <c r="F380" s="234"/>
      <c r="G380" s="234"/>
      <c r="H380" s="233"/>
      <c r="I380" s="233"/>
      <c r="J380" s="761"/>
      <c r="K380" s="233"/>
      <c r="L380" s="233"/>
      <c r="M380" s="233"/>
      <c r="N380" s="2403"/>
      <c r="O380" s="2403"/>
    </row>
    <row r="381" spans="3:15">
      <c r="C381" s="233"/>
      <c r="D381" s="233"/>
      <c r="E381" s="761"/>
      <c r="F381" s="234"/>
      <c r="G381" s="234"/>
      <c r="H381" s="233"/>
      <c r="I381" s="233"/>
      <c r="J381" s="761"/>
      <c r="K381" s="233"/>
      <c r="L381" s="233"/>
      <c r="M381" s="233"/>
      <c r="N381" s="2403"/>
      <c r="O381" s="2403"/>
    </row>
    <row r="382" spans="3:15">
      <c r="C382" s="233"/>
      <c r="D382" s="233"/>
      <c r="E382" s="761"/>
      <c r="F382" s="234"/>
      <c r="G382" s="234"/>
      <c r="H382" s="233"/>
      <c r="I382" s="233"/>
      <c r="J382" s="761"/>
      <c r="K382" s="233"/>
      <c r="L382" s="233"/>
      <c r="M382" s="233"/>
      <c r="N382" s="2403"/>
      <c r="O382" s="2403"/>
    </row>
    <row r="383" spans="3:15">
      <c r="C383" s="233"/>
      <c r="D383" s="233"/>
      <c r="E383" s="761"/>
      <c r="F383" s="234"/>
      <c r="G383" s="234"/>
      <c r="H383" s="233"/>
      <c r="I383" s="233"/>
      <c r="J383" s="761"/>
      <c r="K383" s="233"/>
      <c r="L383" s="233"/>
      <c r="M383" s="233"/>
      <c r="N383" s="2403"/>
      <c r="O383" s="2403"/>
    </row>
    <row r="384" spans="3:15">
      <c r="C384" s="233"/>
      <c r="D384" s="233"/>
      <c r="E384" s="761"/>
      <c r="F384" s="234"/>
      <c r="G384" s="234"/>
      <c r="H384" s="233"/>
      <c r="I384" s="233"/>
      <c r="J384" s="761"/>
      <c r="K384" s="233"/>
      <c r="L384" s="233"/>
      <c r="M384" s="233"/>
      <c r="N384" s="2403"/>
      <c r="O384" s="2403"/>
    </row>
    <row r="385" spans="3:15">
      <c r="C385" s="233"/>
      <c r="D385" s="233"/>
      <c r="E385" s="761"/>
      <c r="F385" s="234"/>
      <c r="G385" s="234"/>
      <c r="H385" s="233"/>
      <c r="I385" s="233"/>
      <c r="J385" s="761"/>
      <c r="K385" s="233"/>
      <c r="L385" s="233"/>
      <c r="M385" s="233"/>
      <c r="N385" s="2403"/>
      <c r="O385" s="2403"/>
    </row>
    <row r="386" spans="3:15">
      <c r="C386" s="233"/>
      <c r="D386" s="233"/>
      <c r="E386" s="761"/>
      <c r="F386" s="234"/>
      <c r="G386" s="234"/>
      <c r="H386" s="233"/>
      <c r="I386" s="233"/>
      <c r="J386" s="761"/>
      <c r="K386" s="233"/>
      <c r="L386" s="233"/>
      <c r="M386" s="233"/>
      <c r="N386" s="2403"/>
      <c r="O386" s="2403"/>
    </row>
    <row r="387" spans="3:15">
      <c r="C387" s="233"/>
      <c r="D387" s="233"/>
      <c r="E387" s="761"/>
      <c r="F387" s="234"/>
      <c r="G387" s="234"/>
      <c r="H387" s="233"/>
      <c r="I387" s="233"/>
      <c r="J387" s="761"/>
      <c r="K387" s="233"/>
      <c r="L387" s="233"/>
      <c r="M387" s="233"/>
      <c r="N387" s="2403"/>
      <c r="O387" s="2403"/>
    </row>
    <row r="388" spans="3:15">
      <c r="C388" s="233"/>
      <c r="D388" s="233"/>
      <c r="E388" s="761"/>
      <c r="F388" s="234"/>
      <c r="G388" s="234"/>
      <c r="H388" s="233"/>
      <c r="I388" s="233"/>
      <c r="J388" s="761"/>
      <c r="K388" s="233"/>
      <c r="L388" s="233"/>
      <c r="M388" s="233"/>
      <c r="N388" s="2403"/>
      <c r="O388" s="2403"/>
    </row>
    <row r="389" spans="3:15">
      <c r="C389" s="233"/>
      <c r="D389" s="233"/>
      <c r="E389" s="761"/>
      <c r="F389" s="234"/>
      <c r="G389" s="234"/>
      <c r="H389" s="233"/>
      <c r="I389" s="233"/>
      <c r="J389" s="761"/>
      <c r="K389" s="233"/>
      <c r="L389" s="233"/>
      <c r="M389" s="233"/>
      <c r="N389" s="2403"/>
      <c r="O389" s="2403"/>
    </row>
    <row r="390" spans="3:15">
      <c r="C390" s="233"/>
      <c r="D390" s="233"/>
      <c r="E390" s="761"/>
      <c r="F390" s="234"/>
      <c r="G390" s="234"/>
      <c r="H390" s="233"/>
      <c r="I390" s="233"/>
      <c r="J390" s="761"/>
      <c r="K390" s="233"/>
      <c r="L390" s="233"/>
      <c r="M390" s="233"/>
      <c r="N390" s="2403"/>
      <c r="O390" s="2403"/>
    </row>
    <row r="391" spans="3:15">
      <c r="C391" s="233"/>
      <c r="D391" s="233"/>
      <c r="E391" s="761"/>
      <c r="F391" s="234"/>
      <c r="G391" s="234"/>
      <c r="H391" s="233"/>
      <c r="I391" s="233"/>
      <c r="J391" s="761"/>
      <c r="K391" s="233"/>
      <c r="L391" s="233"/>
      <c r="M391" s="233"/>
      <c r="N391" s="2403"/>
      <c r="O391" s="2403"/>
    </row>
    <row r="392" spans="3:15">
      <c r="C392" s="233"/>
      <c r="D392" s="233"/>
      <c r="E392" s="761"/>
      <c r="F392" s="234"/>
      <c r="G392" s="234"/>
      <c r="H392" s="233"/>
      <c r="I392" s="233"/>
      <c r="J392" s="761"/>
      <c r="K392" s="233"/>
      <c r="L392" s="233"/>
      <c r="M392" s="233"/>
      <c r="N392" s="2403"/>
      <c r="O392" s="2403"/>
    </row>
    <row r="393" spans="3:15">
      <c r="C393" s="233"/>
      <c r="D393" s="233"/>
      <c r="E393" s="761"/>
      <c r="F393" s="234"/>
      <c r="G393" s="234"/>
      <c r="H393" s="233"/>
      <c r="I393" s="233"/>
      <c r="J393" s="761"/>
      <c r="K393" s="233"/>
      <c r="L393" s="233"/>
      <c r="M393" s="233"/>
      <c r="N393" s="2403"/>
      <c r="O393" s="2403"/>
    </row>
    <row r="394" spans="3:15">
      <c r="C394" s="233"/>
      <c r="D394" s="233"/>
      <c r="E394" s="761"/>
      <c r="F394" s="234"/>
      <c r="G394" s="234"/>
      <c r="H394" s="233"/>
      <c r="I394" s="233"/>
      <c r="J394" s="761"/>
      <c r="K394" s="233"/>
      <c r="L394" s="233"/>
      <c r="M394" s="233"/>
      <c r="N394" s="2403"/>
      <c r="O394" s="2403"/>
    </row>
    <row r="395" spans="3:15">
      <c r="C395" s="233"/>
      <c r="D395" s="233"/>
      <c r="E395" s="761"/>
      <c r="F395" s="234"/>
      <c r="G395" s="234"/>
      <c r="H395" s="233"/>
      <c r="I395" s="233"/>
      <c r="J395" s="761"/>
      <c r="K395" s="233"/>
      <c r="L395" s="233"/>
      <c r="M395" s="233"/>
      <c r="N395" s="2403"/>
      <c r="O395" s="2403"/>
    </row>
    <row r="396" spans="3:15">
      <c r="C396" s="233"/>
      <c r="D396" s="233"/>
      <c r="E396" s="761"/>
      <c r="F396" s="234"/>
      <c r="G396" s="234"/>
      <c r="H396" s="233"/>
      <c r="I396" s="233"/>
      <c r="J396" s="761"/>
      <c r="K396" s="233"/>
      <c r="L396" s="233"/>
      <c r="M396" s="233"/>
      <c r="N396" s="2403"/>
      <c r="O396" s="2403"/>
    </row>
    <row r="397" spans="3:15">
      <c r="C397" s="233"/>
      <c r="D397" s="233"/>
      <c r="E397" s="761"/>
      <c r="F397" s="234"/>
      <c r="G397" s="234"/>
      <c r="H397" s="233"/>
      <c r="I397" s="233"/>
      <c r="J397" s="761"/>
      <c r="K397" s="233"/>
      <c r="L397" s="233"/>
      <c r="M397" s="233"/>
      <c r="N397" s="2403"/>
      <c r="O397" s="2403"/>
    </row>
    <row r="398" spans="3:15">
      <c r="C398" s="233"/>
      <c r="D398" s="233"/>
      <c r="E398" s="761"/>
      <c r="F398" s="234"/>
      <c r="G398" s="234"/>
      <c r="H398" s="233"/>
      <c r="I398" s="233"/>
      <c r="J398" s="761"/>
      <c r="K398" s="233"/>
      <c r="L398" s="233"/>
      <c r="M398" s="233"/>
      <c r="N398" s="2403"/>
      <c r="O398" s="2403"/>
    </row>
    <row r="399" spans="3:15">
      <c r="C399" s="233"/>
      <c r="D399" s="233"/>
      <c r="E399" s="761"/>
      <c r="F399" s="234"/>
      <c r="G399" s="234"/>
      <c r="H399" s="233"/>
      <c r="I399" s="233"/>
      <c r="J399" s="761"/>
      <c r="K399" s="233"/>
      <c r="L399" s="233"/>
      <c r="M399" s="233"/>
      <c r="N399" s="2403"/>
      <c r="O399" s="2403"/>
    </row>
    <row r="400" spans="3:15">
      <c r="C400" s="233"/>
      <c r="D400" s="233"/>
      <c r="E400" s="761"/>
      <c r="F400" s="234"/>
      <c r="G400" s="234"/>
      <c r="H400" s="233"/>
      <c r="I400" s="233"/>
      <c r="J400" s="761"/>
      <c r="K400" s="233"/>
      <c r="L400" s="233"/>
      <c r="M400" s="233"/>
      <c r="N400" s="2403"/>
      <c r="O400" s="2403"/>
    </row>
    <row r="401" spans="3:15">
      <c r="C401" s="233"/>
      <c r="D401" s="233"/>
      <c r="E401" s="761"/>
      <c r="F401" s="234"/>
      <c r="G401" s="234"/>
      <c r="H401" s="233"/>
      <c r="I401" s="233"/>
      <c r="J401" s="761"/>
      <c r="K401" s="233"/>
      <c r="L401" s="233"/>
      <c r="M401" s="233"/>
      <c r="N401" s="2403"/>
      <c r="O401" s="2403"/>
    </row>
    <row r="402" spans="3:15">
      <c r="C402" s="233"/>
      <c r="D402" s="233"/>
      <c r="E402" s="761"/>
      <c r="F402" s="234"/>
      <c r="G402" s="234"/>
      <c r="H402" s="233"/>
      <c r="I402" s="233"/>
      <c r="J402" s="761"/>
      <c r="K402" s="233"/>
      <c r="L402" s="233"/>
      <c r="M402" s="233"/>
      <c r="N402" s="2403"/>
      <c r="O402" s="2403"/>
    </row>
    <row r="403" spans="3:15">
      <c r="C403" s="233"/>
      <c r="D403" s="233"/>
      <c r="E403" s="761"/>
      <c r="F403" s="234"/>
      <c r="G403" s="234"/>
      <c r="H403" s="233"/>
      <c r="I403" s="233"/>
      <c r="J403" s="761"/>
      <c r="K403" s="233"/>
      <c r="L403" s="233"/>
      <c r="M403" s="233"/>
      <c r="N403" s="2403"/>
      <c r="O403" s="2403"/>
    </row>
    <row r="404" spans="3:15">
      <c r="C404" s="233"/>
      <c r="D404" s="233"/>
      <c r="E404" s="761"/>
      <c r="F404" s="234"/>
      <c r="G404" s="234"/>
      <c r="H404" s="233"/>
      <c r="I404" s="233"/>
      <c r="J404" s="761"/>
      <c r="K404" s="233"/>
      <c r="L404" s="233"/>
      <c r="M404" s="233"/>
      <c r="N404" s="2403"/>
      <c r="O404" s="2403"/>
    </row>
    <row r="405" spans="3:15">
      <c r="C405" s="233"/>
      <c r="D405" s="233"/>
      <c r="E405" s="761"/>
      <c r="F405" s="234"/>
      <c r="G405" s="234"/>
      <c r="H405" s="233"/>
      <c r="I405" s="233"/>
      <c r="J405" s="761"/>
      <c r="K405" s="233"/>
      <c r="L405" s="233"/>
      <c r="M405" s="233"/>
      <c r="N405" s="2403"/>
      <c r="O405" s="2403"/>
    </row>
    <row r="406" spans="3:15">
      <c r="C406" s="233"/>
      <c r="D406" s="233"/>
      <c r="E406" s="761"/>
      <c r="F406" s="234"/>
      <c r="G406" s="234"/>
      <c r="H406" s="233"/>
      <c r="I406" s="233"/>
      <c r="J406" s="761"/>
      <c r="K406" s="233"/>
      <c r="L406" s="233"/>
      <c r="M406" s="233"/>
      <c r="N406" s="2403"/>
      <c r="O406" s="2403"/>
    </row>
    <row r="407" spans="3:15">
      <c r="C407" s="233"/>
      <c r="D407" s="233"/>
      <c r="E407" s="761"/>
      <c r="F407" s="234"/>
      <c r="G407" s="234"/>
      <c r="H407" s="233"/>
      <c r="I407" s="233"/>
      <c r="J407" s="761"/>
      <c r="K407" s="233"/>
      <c r="L407" s="233"/>
      <c r="M407" s="233"/>
      <c r="N407" s="2403"/>
      <c r="O407" s="2403"/>
    </row>
    <row r="408" spans="3:15">
      <c r="C408" s="233"/>
      <c r="D408" s="233"/>
      <c r="E408" s="761"/>
      <c r="F408" s="234"/>
      <c r="G408" s="234"/>
      <c r="H408" s="233"/>
      <c r="I408" s="233"/>
      <c r="J408" s="761"/>
      <c r="K408" s="233"/>
      <c r="L408" s="233"/>
      <c r="M408" s="233"/>
      <c r="N408" s="2403"/>
      <c r="O408" s="2403"/>
    </row>
    <row r="409" spans="3:15">
      <c r="C409" s="233"/>
      <c r="D409" s="233"/>
      <c r="E409" s="761"/>
      <c r="F409" s="234"/>
      <c r="G409" s="234"/>
      <c r="H409" s="233"/>
      <c r="I409" s="233"/>
      <c r="J409" s="761"/>
      <c r="K409" s="233"/>
      <c r="L409" s="233"/>
      <c r="M409" s="233"/>
      <c r="N409" s="2403"/>
      <c r="O409" s="2403"/>
    </row>
    <row r="410" spans="3:15">
      <c r="C410" s="233"/>
      <c r="D410" s="233"/>
      <c r="E410" s="761"/>
      <c r="F410" s="234"/>
      <c r="G410" s="234"/>
      <c r="H410" s="233"/>
      <c r="I410" s="233"/>
      <c r="J410" s="761"/>
      <c r="K410" s="233"/>
      <c r="L410" s="233"/>
      <c r="M410" s="233"/>
      <c r="N410" s="2403"/>
      <c r="O410" s="2403"/>
    </row>
    <row r="411" spans="3:15">
      <c r="C411" s="233"/>
      <c r="D411" s="233"/>
      <c r="E411" s="761"/>
      <c r="F411" s="234"/>
      <c r="G411" s="234"/>
      <c r="H411" s="233"/>
      <c r="I411" s="233"/>
      <c r="J411" s="761"/>
      <c r="K411" s="233"/>
      <c r="L411" s="233"/>
      <c r="M411" s="233"/>
      <c r="N411" s="2403"/>
      <c r="O411" s="2403"/>
    </row>
    <row r="412" spans="3:15">
      <c r="C412" s="233"/>
      <c r="D412" s="233"/>
      <c r="E412" s="761"/>
      <c r="F412" s="234"/>
      <c r="G412" s="234"/>
      <c r="H412" s="233"/>
      <c r="I412" s="233"/>
      <c r="J412" s="761"/>
      <c r="K412" s="233"/>
      <c r="L412" s="233"/>
      <c r="M412" s="233"/>
      <c r="N412" s="2403"/>
      <c r="O412" s="2403"/>
    </row>
    <row r="413" spans="3:15">
      <c r="C413" s="233"/>
      <c r="D413" s="233"/>
      <c r="E413" s="761"/>
      <c r="F413" s="234"/>
      <c r="G413" s="234"/>
      <c r="H413" s="233"/>
      <c r="I413" s="233"/>
      <c r="J413" s="761"/>
      <c r="K413" s="233"/>
      <c r="L413" s="233"/>
      <c r="M413" s="233"/>
      <c r="N413" s="2403"/>
      <c r="O413" s="2403"/>
    </row>
    <row r="414" spans="3:15">
      <c r="C414" s="233"/>
      <c r="D414" s="233"/>
      <c r="E414" s="761"/>
      <c r="F414" s="234"/>
      <c r="G414" s="234"/>
      <c r="H414" s="233"/>
      <c r="I414" s="233"/>
      <c r="J414" s="761"/>
      <c r="K414" s="233"/>
      <c r="L414" s="233"/>
      <c r="M414" s="233"/>
      <c r="N414" s="2403"/>
      <c r="O414" s="2403"/>
    </row>
    <row r="415" spans="3:15">
      <c r="C415" s="233"/>
      <c r="D415" s="233"/>
      <c r="E415" s="761"/>
      <c r="F415" s="234"/>
      <c r="G415" s="234"/>
      <c r="H415" s="233"/>
      <c r="I415" s="233"/>
      <c r="J415" s="761"/>
      <c r="K415" s="233"/>
      <c r="L415" s="233"/>
      <c r="M415" s="233"/>
      <c r="N415" s="2403"/>
      <c r="O415" s="2403"/>
    </row>
    <row r="416" spans="3:15">
      <c r="C416" s="233"/>
      <c r="D416" s="233"/>
      <c r="E416" s="761"/>
      <c r="F416" s="234"/>
      <c r="G416" s="234"/>
      <c r="H416" s="233"/>
      <c r="I416" s="233"/>
      <c r="J416" s="761"/>
      <c r="K416" s="233"/>
      <c r="L416" s="233"/>
      <c r="M416" s="233"/>
      <c r="N416" s="2403"/>
      <c r="O416" s="2403"/>
    </row>
    <row r="417" spans="3:15">
      <c r="C417" s="233"/>
      <c r="D417" s="233"/>
      <c r="E417" s="761"/>
      <c r="F417" s="234"/>
      <c r="G417" s="234"/>
      <c r="H417" s="233"/>
      <c r="I417" s="233"/>
      <c r="J417" s="761"/>
      <c r="K417" s="233"/>
      <c r="L417" s="233"/>
      <c r="M417" s="233"/>
      <c r="N417" s="2403"/>
      <c r="O417" s="2403"/>
    </row>
    <row r="418" spans="3:15">
      <c r="C418" s="233"/>
      <c r="D418" s="233"/>
      <c r="E418" s="761"/>
      <c r="F418" s="234"/>
      <c r="G418" s="234"/>
      <c r="H418" s="233"/>
      <c r="I418" s="233"/>
      <c r="J418" s="761"/>
      <c r="K418" s="233"/>
      <c r="L418" s="233"/>
      <c r="M418" s="233"/>
      <c r="N418" s="2403"/>
      <c r="O418" s="2403"/>
    </row>
    <row r="419" spans="3:15">
      <c r="C419" s="233"/>
      <c r="D419" s="233"/>
      <c r="E419" s="761"/>
      <c r="F419" s="234"/>
      <c r="G419" s="234"/>
      <c r="H419" s="233"/>
      <c r="I419" s="233"/>
      <c r="J419" s="761"/>
      <c r="K419" s="233"/>
      <c r="L419" s="233"/>
      <c r="M419" s="233"/>
      <c r="N419" s="2403"/>
      <c r="O419" s="2403"/>
    </row>
    <row r="420" spans="3:15">
      <c r="C420" s="233"/>
      <c r="D420" s="233"/>
      <c r="E420" s="761"/>
      <c r="F420" s="234"/>
      <c r="G420" s="234"/>
      <c r="H420" s="233"/>
      <c r="I420" s="233"/>
      <c r="J420" s="761"/>
      <c r="K420" s="233"/>
      <c r="L420" s="233"/>
      <c r="M420" s="233"/>
      <c r="N420" s="2403"/>
      <c r="O420" s="2403"/>
    </row>
    <row r="421" spans="3:15">
      <c r="C421" s="233"/>
      <c r="D421" s="233"/>
      <c r="E421" s="761"/>
      <c r="F421" s="234"/>
      <c r="G421" s="234"/>
      <c r="H421" s="233"/>
      <c r="I421" s="233"/>
      <c r="J421" s="761"/>
      <c r="K421" s="233"/>
      <c r="L421" s="233"/>
      <c r="M421" s="233"/>
      <c r="N421" s="2403"/>
      <c r="O421" s="2403"/>
    </row>
    <row r="422" spans="3:15">
      <c r="C422" s="233"/>
      <c r="D422" s="233"/>
      <c r="E422" s="761"/>
      <c r="F422" s="234"/>
      <c r="G422" s="234"/>
      <c r="H422" s="233"/>
      <c r="I422" s="233"/>
      <c r="J422" s="761"/>
      <c r="K422" s="233"/>
      <c r="L422" s="233"/>
      <c r="M422" s="233"/>
      <c r="N422" s="2403"/>
      <c r="O422" s="2403"/>
    </row>
    <row r="423" spans="3:15">
      <c r="C423" s="233"/>
      <c r="D423" s="233"/>
      <c r="E423" s="761"/>
      <c r="F423" s="234"/>
      <c r="G423" s="234"/>
      <c r="H423" s="233"/>
      <c r="I423" s="233"/>
      <c r="J423" s="761"/>
      <c r="K423" s="233"/>
      <c r="L423" s="233"/>
      <c r="M423" s="233"/>
      <c r="N423" s="2403"/>
      <c r="O423" s="2403"/>
    </row>
    <row r="424" spans="3:15">
      <c r="C424" s="233"/>
      <c r="D424" s="233"/>
      <c r="E424" s="761"/>
      <c r="F424" s="234"/>
      <c r="G424" s="234"/>
      <c r="H424" s="233"/>
      <c r="I424" s="233"/>
      <c r="J424" s="761"/>
      <c r="K424" s="233"/>
      <c r="L424" s="233"/>
      <c r="M424" s="233"/>
      <c r="N424" s="2403"/>
      <c r="O424" s="2403"/>
    </row>
    <row r="425" spans="3:15">
      <c r="C425" s="233"/>
      <c r="D425" s="233"/>
      <c r="E425" s="761"/>
      <c r="F425" s="234"/>
      <c r="G425" s="234"/>
      <c r="H425" s="233"/>
      <c r="I425" s="233"/>
      <c r="J425" s="761"/>
      <c r="K425" s="233"/>
      <c r="L425" s="233"/>
      <c r="M425" s="233"/>
      <c r="N425" s="2403"/>
      <c r="O425" s="2403"/>
    </row>
    <row r="426" spans="3:15">
      <c r="C426" s="233"/>
      <c r="D426" s="233"/>
      <c r="E426" s="761"/>
      <c r="F426" s="234"/>
      <c r="G426" s="234"/>
      <c r="H426" s="233"/>
      <c r="I426" s="233"/>
      <c r="J426" s="761"/>
      <c r="K426" s="233"/>
      <c r="L426" s="233"/>
      <c r="M426" s="233"/>
      <c r="N426" s="2403"/>
      <c r="O426" s="2403"/>
    </row>
    <row r="427" spans="3:15">
      <c r="C427" s="233"/>
      <c r="D427" s="233"/>
      <c r="E427" s="761"/>
      <c r="F427" s="234"/>
      <c r="G427" s="234"/>
      <c r="H427" s="233"/>
      <c r="I427" s="233"/>
      <c r="J427" s="761"/>
      <c r="K427" s="233"/>
      <c r="L427" s="233"/>
      <c r="M427" s="233"/>
      <c r="N427" s="2403"/>
      <c r="O427" s="2403"/>
    </row>
    <row r="428" spans="3:15">
      <c r="C428" s="233"/>
      <c r="D428" s="233"/>
      <c r="E428" s="761"/>
      <c r="F428" s="234"/>
      <c r="G428" s="234"/>
      <c r="H428" s="233"/>
      <c r="I428" s="233"/>
      <c r="J428" s="761"/>
      <c r="K428" s="233"/>
      <c r="L428" s="233"/>
      <c r="M428" s="233"/>
      <c r="N428" s="2403"/>
      <c r="O428" s="2403"/>
    </row>
    <row r="429" spans="3:15">
      <c r="C429" s="233"/>
      <c r="D429" s="233"/>
      <c r="E429" s="761"/>
      <c r="F429" s="234"/>
      <c r="G429" s="234"/>
      <c r="H429" s="233"/>
      <c r="I429" s="233"/>
      <c r="J429" s="761"/>
      <c r="K429" s="233"/>
      <c r="L429" s="233"/>
      <c r="M429" s="233"/>
      <c r="N429" s="2403"/>
      <c r="O429" s="2403"/>
    </row>
    <row r="430" spans="3:15">
      <c r="C430" s="233"/>
      <c r="D430" s="233"/>
      <c r="E430" s="761"/>
      <c r="F430" s="234"/>
      <c r="G430" s="234"/>
      <c r="H430" s="233"/>
      <c r="I430" s="233"/>
      <c r="J430" s="761"/>
      <c r="K430" s="233"/>
      <c r="L430" s="233"/>
      <c r="M430" s="233"/>
      <c r="N430" s="2403"/>
      <c r="O430" s="2403"/>
    </row>
    <row r="431" spans="3:15">
      <c r="C431" s="233"/>
      <c r="D431" s="233"/>
      <c r="E431" s="761"/>
      <c r="F431" s="234"/>
      <c r="G431" s="234"/>
      <c r="H431" s="233"/>
      <c r="I431" s="233"/>
      <c r="J431" s="761"/>
      <c r="K431" s="233"/>
      <c r="L431" s="233"/>
      <c r="M431" s="233"/>
      <c r="N431" s="2403"/>
      <c r="O431" s="2403"/>
    </row>
    <row r="432" spans="3:15">
      <c r="C432" s="233"/>
      <c r="D432" s="233"/>
      <c r="E432" s="761"/>
      <c r="F432" s="234"/>
      <c r="G432" s="234"/>
      <c r="H432" s="233"/>
      <c r="I432" s="233"/>
      <c r="J432" s="761"/>
      <c r="K432" s="233"/>
      <c r="L432" s="233"/>
      <c r="M432" s="233"/>
      <c r="N432" s="2403"/>
      <c r="O432" s="2403"/>
    </row>
    <row r="433" spans="3:15">
      <c r="C433" s="233"/>
      <c r="D433" s="233"/>
      <c r="E433" s="761"/>
      <c r="F433" s="234"/>
      <c r="G433" s="234"/>
      <c r="H433" s="233"/>
      <c r="I433" s="233"/>
      <c r="J433" s="761"/>
      <c r="K433" s="233"/>
      <c r="L433" s="233"/>
      <c r="M433" s="233"/>
      <c r="N433" s="2403"/>
      <c r="O433" s="2403"/>
    </row>
    <row r="434" spans="3:15">
      <c r="C434" s="233"/>
      <c r="D434" s="233"/>
      <c r="E434" s="761"/>
      <c r="F434" s="234"/>
      <c r="G434" s="234"/>
      <c r="H434" s="233"/>
      <c r="I434" s="233"/>
      <c r="J434" s="761"/>
      <c r="K434" s="233"/>
      <c r="L434" s="233"/>
      <c r="M434" s="233"/>
      <c r="N434" s="2403"/>
      <c r="O434" s="2403"/>
    </row>
    <row r="435" spans="3:15">
      <c r="C435" s="233"/>
      <c r="D435" s="233"/>
      <c r="E435" s="761"/>
      <c r="F435" s="234"/>
      <c r="G435" s="234"/>
      <c r="H435" s="233"/>
      <c r="I435" s="233"/>
      <c r="J435" s="761"/>
      <c r="K435" s="233"/>
      <c r="L435" s="233"/>
      <c r="M435" s="233"/>
      <c r="N435" s="2403"/>
      <c r="O435" s="2403"/>
    </row>
    <row r="436" spans="3:15">
      <c r="C436" s="233"/>
      <c r="D436" s="233"/>
      <c r="E436" s="761"/>
      <c r="F436" s="234"/>
      <c r="G436" s="234"/>
      <c r="H436" s="233"/>
      <c r="I436" s="233"/>
      <c r="J436" s="761"/>
      <c r="K436" s="233"/>
      <c r="L436" s="233"/>
      <c r="M436" s="233"/>
      <c r="N436" s="2403"/>
      <c r="O436" s="2403"/>
    </row>
    <row r="437" spans="3:15">
      <c r="C437" s="233"/>
      <c r="D437" s="233"/>
      <c r="E437" s="761"/>
      <c r="F437" s="234"/>
      <c r="G437" s="234"/>
      <c r="H437" s="233"/>
      <c r="I437" s="233"/>
      <c r="J437" s="761"/>
      <c r="K437" s="233"/>
      <c r="L437" s="233"/>
      <c r="M437" s="233"/>
      <c r="N437" s="2403"/>
      <c r="O437" s="2403"/>
    </row>
    <row r="438" spans="3:15">
      <c r="C438" s="233"/>
      <c r="D438" s="233"/>
      <c r="E438" s="761"/>
      <c r="F438" s="234"/>
      <c r="G438" s="234"/>
      <c r="H438" s="233"/>
      <c r="I438" s="233"/>
      <c r="J438" s="761"/>
      <c r="K438" s="233"/>
      <c r="L438" s="233"/>
      <c r="M438" s="233"/>
      <c r="N438" s="2403"/>
      <c r="O438" s="2403"/>
    </row>
    <row r="439" spans="3:15">
      <c r="C439" s="233"/>
      <c r="D439" s="233"/>
      <c r="E439" s="761"/>
      <c r="F439" s="234"/>
      <c r="G439" s="234"/>
      <c r="H439" s="233"/>
      <c r="I439" s="233"/>
      <c r="J439" s="761"/>
      <c r="K439" s="233"/>
      <c r="L439" s="233"/>
      <c r="M439" s="233"/>
      <c r="N439" s="2403"/>
      <c r="O439" s="2403"/>
    </row>
    <row r="440" spans="3:15">
      <c r="C440" s="233"/>
      <c r="D440" s="233"/>
      <c r="E440" s="761"/>
      <c r="F440" s="234"/>
      <c r="G440" s="234"/>
      <c r="H440" s="233"/>
      <c r="I440" s="233"/>
      <c r="J440" s="761"/>
      <c r="K440" s="233"/>
      <c r="L440" s="233"/>
      <c r="M440" s="233"/>
      <c r="N440" s="2403"/>
      <c r="O440" s="2403"/>
    </row>
    <row r="441" spans="3:15">
      <c r="C441" s="233"/>
      <c r="D441" s="233"/>
      <c r="E441" s="761"/>
      <c r="F441" s="234"/>
      <c r="G441" s="234"/>
      <c r="H441" s="233"/>
      <c r="I441" s="233"/>
      <c r="J441" s="761"/>
      <c r="K441" s="233"/>
      <c r="L441" s="233"/>
      <c r="M441" s="233"/>
      <c r="N441" s="2403"/>
      <c r="O441" s="2403"/>
    </row>
    <row r="442" spans="3:15">
      <c r="C442" s="233"/>
      <c r="D442" s="233"/>
      <c r="E442" s="761"/>
      <c r="F442" s="234"/>
      <c r="G442" s="234"/>
      <c r="H442" s="233"/>
      <c r="I442" s="233"/>
      <c r="J442" s="761"/>
      <c r="K442" s="233"/>
      <c r="L442" s="233"/>
      <c r="M442" s="233"/>
      <c r="N442" s="2403"/>
      <c r="O442" s="2403"/>
    </row>
    <row r="443" spans="3:15">
      <c r="C443" s="233"/>
      <c r="D443" s="233"/>
      <c r="E443" s="761"/>
      <c r="F443" s="234"/>
      <c r="G443" s="234"/>
      <c r="H443" s="233"/>
      <c r="I443" s="233"/>
      <c r="J443" s="761"/>
      <c r="K443" s="233"/>
      <c r="L443" s="233"/>
      <c r="M443" s="233"/>
      <c r="N443" s="2403"/>
      <c r="O443" s="2403"/>
    </row>
    <row r="444" spans="3:15">
      <c r="C444" s="233"/>
      <c r="D444" s="233"/>
      <c r="E444" s="761"/>
      <c r="F444" s="234"/>
      <c r="G444" s="234"/>
      <c r="H444" s="233"/>
      <c r="I444" s="233"/>
      <c r="J444" s="761"/>
      <c r="K444" s="233"/>
      <c r="L444" s="233"/>
      <c r="M444" s="233"/>
      <c r="N444" s="2403"/>
      <c r="O444" s="2403"/>
    </row>
    <row r="445" spans="3:15">
      <c r="C445" s="233"/>
      <c r="D445" s="233"/>
      <c r="E445" s="761"/>
      <c r="F445" s="234"/>
      <c r="G445" s="234"/>
      <c r="H445" s="233"/>
      <c r="I445" s="233"/>
      <c r="J445" s="761"/>
      <c r="K445" s="233"/>
      <c r="L445" s="233"/>
      <c r="M445" s="233"/>
      <c r="N445" s="2403"/>
      <c r="O445" s="2403"/>
    </row>
    <row r="446" spans="3:15">
      <c r="C446" s="233"/>
      <c r="D446" s="233"/>
      <c r="E446" s="761"/>
      <c r="F446" s="234"/>
      <c r="G446" s="234"/>
      <c r="H446" s="233"/>
      <c r="I446" s="233"/>
      <c r="J446" s="761"/>
      <c r="K446" s="233"/>
      <c r="L446" s="233"/>
      <c r="M446" s="233"/>
      <c r="N446" s="2403"/>
      <c r="O446" s="2403"/>
    </row>
    <row r="447" spans="3:15">
      <c r="C447" s="233"/>
      <c r="D447" s="233"/>
      <c r="E447" s="761"/>
      <c r="F447" s="234"/>
      <c r="G447" s="234"/>
      <c r="H447" s="233"/>
      <c r="I447" s="233"/>
      <c r="J447" s="761"/>
      <c r="K447" s="233"/>
      <c r="L447" s="233"/>
      <c r="M447" s="233"/>
      <c r="N447" s="2403"/>
      <c r="O447" s="2403"/>
    </row>
    <row r="448" spans="3:15">
      <c r="C448" s="233"/>
      <c r="D448" s="233"/>
      <c r="E448" s="761"/>
      <c r="F448" s="234"/>
      <c r="G448" s="234"/>
      <c r="H448" s="233"/>
      <c r="I448" s="233"/>
      <c r="J448" s="761"/>
      <c r="K448" s="233"/>
      <c r="L448" s="233"/>
      <c r="M448" s="233"/>
      <c r="N448" s="2403"/>
      <c r="O448" s="2403"/>
    </row>
    <row r="449" spans="3:15">
      <c r="C449" s="233"/>
      <c r="D449" s="233"/>
      <c r="E449" s="761"/>
      <c r="F449" s="234"/>
      <c r="G449" s="234"/>
      <c r="H449" s="233"/>
      <c r="I449" s="233"/>
      <c r="J449" s="761"/>
      <c r="K449" s="233"/>
      <c r="L449" s="233"/>
      <c r="M449" s="233"/>
      <c r="N449" s="2403"/>
      <c r="O449" s="2403"/>
    </row>
    <row r="450" spans="3:15">
      <c r="C450" s="233"/>
      <c r="D450" s="233"/>
      <c r="E450" s="761"/>
      <c r="F450" s="234"/>
      <c r="G450" s="234"/>
      <c r="H450" s="233"/>
      <c r="I450" s="233"/>
      <c r="J450" s="761"/>
      <c r="K450" s="233"/>
      <c r="L450" s="233"/>
      <c r="M450" s="233"/>
      <c r="N450" s="2403"/>
      <c r="O450" s="2403"/>
    </row>
    <row r="451" spans="3:15">
      <c r="C451" s="233"/>
      <c r="D451" s="233"/>
      <c r="E451" s="761"/>
      <c r="F451" s="234"/>
      <c r="G451" s="234"/>
      <c r="H451" s="233"/>
      <c r="I451" s="233"/>
      <c r="J451" s="761"/>
      <c r="K451" s="233"/>
      <c r="L451" s="233"/>
      <c r="M451" s="233"/>
      <c r="N451" s="2403"/>
      <c r="O451" s="2403"/>
    </row>
    <row r="452" spans="3:15">
      <c r="C452" s="233"/>
      <c r="D452" s="233"/>
      <c r="E452" s="761"/>
      <c r="F452" s="234"/>
      <c r="G452" s="234"/>
      <c r="H452" s="233"/>
      <c r="I452" s="233"/>
      <c r="J452" s="761"/>
      <c r="K452" s="233"/>
      <c r="L452" s="233"/>
      <c r="M452" s="233"/>
      <c r="N452" s="2403"/>
      <c r="O452" s="2403"/>
    </row>
    <row r="453" spans="3:15">
      <c r="C453" s="233"/>
      <c r="D453" s="233"/>
      <c r="E453" s="761"/>
      <c r="F453" s="234"/>
      <c r="G453" s="234"/>
      <c r="H453" s="233"/>
      <c r="I453" s="233"/>
      <c r="J453" s="761"/>
      <c r="K453" s="233"/>
      <c r="L453" s="233"/>
      <c r="M453" s="233"/>
      <c r="N453" s="2403"/>
      <c r="O453" s="2403"/>
    </row>
    <row r="454" spans="3:15">
      <c r="C454" s="233"/>
      <c r="D454" s="233"/>
      <c r="E454" s="761"/>
      <c r="F454" s="234"/>
      <c r="G454" s="234"/>
      <c r="H454" s="233"/>
      <c r="I454" s="233"/>
      <c r="J454" s="761"/>
      <c r="K454" s="233"/>
      <c r="L454" s="233"/>
      <c r="M454" s="233"/>
      <c r="N454" s="2403"/>
      <c r="O454" s="2403"/>
    </row>
    <row r="455" spans="3:15">
      <c r="C455" s="233"/>
      <c r="D455" s="233"/>
      <c r="E455" s="761"/>
      <c r="F455" s="234"/>
      <c r="G455" s="234"/>
      <c r="H455" s="233"/>
      <c r="I455" s="233"/>
      <c r="J455" s="761"/>
      <c r="K455" s="233"/>
      <c r="L455" s="233"/>
      <c r="M455" s="233"/>
      <c r="N455" s="2403"/>
      <c r="O455" s="2403"/>
    </row>
    <row r="456" spans="3:15">
      <c r="C456" s="233"/>
      <c r="D456" s="233"/>
      <c r="E456" s="761"/>
      <c r="F456" s="234"/>
      <c r="G456" s="234"/>
      <c r="H456" s="233"/>
      <c r="I456" s="233"/>
      <c r="J456" s="761"/>
      <c r="K456" s="233"/>
      <c r="L456" s="233"/>
      <c r="M456" s="233"/>
      <c r="N456" s="2403"/>
      <c r="O456" s="2403"/>
    </row>
    <row r="457" spans="3:15">
      <c r="C457" s="233"/>
      <c r="D457" s="233"/>
      <c r="E457" s="761"/>
      <c r="F457" s="234"/>
      <c r="G457" s="234"/>
      <c r="H457" s="233"/>
      <c r="I457" s="233"/>
      <c r="J457" s="761"/>
      <c r="K457" s="233"/>
      <c r="L457" s="233"/>
      <c r="M457" s="233"/>
      <c r="N457" s="2403"/>
      <c r="O457" s="2403"/>
    </row>
    <row r="458" spans="3:15">
      <c r="C458" s="233"/>
      <c r="D458" s="233"/>
      <c r="E458" s="761"/>
      <c r="F458" s="234"/>
      <c r="G458" s="234"/>
      <c r="H458" s="233"/>
      <c r="I458" s="233"/>
      <c r="J458" s="761"/>
      <c r="K458" s="233"/>
      <c r="L458" s="233"/>
      <c r="M458" s="233"/>
      <c r="N458" s="2403"/>
      <c r="O458" s="2403"/>
    </row>
    <row r="459" spans="3:15">
      <c r="C459" s="233"/>
      <c r="D459" s="233"/>
      <c r="E459" s="761"/>
      <c r="F459" s="234"/>
      <c r="G459" s="234"/>
      <c r="H459" s="233"/>
      <c r="I459" s="233"/>
      <c r="J459" s="761"/>
      <c r="K459" s="233"/>
      <c r="L459" s="233"/>
      <c r="M459" s="233"/>
      <c r="N459" s="2403"/>
      <c r="O459" s="2403"/>
    </row>
    <row r="460" spans="3:15">
      <c r="C460" s="233"/>
      <c r="D460" s="233"/>
      <c r="E460" s="761"/>
      <c r="F460" s="234"/>
      <c r="G460" s="234"/>
      <c r="H460" s="233"/>
      <c r="I460" s="233"/>
      <c r="J460" s="761"/>
      <c r="K460" s="233"/>
      <c r="L460" s="233"/>
      <c r="M460" s="233"/>
      <c r="N460" s="2403"/>
      <c r="O460" s="2403"/>
    </row>
    <row r="461" spans="3:15">
      <c r="C461" s="233"/>
      <c r="D461" s="233"/>
      <c r="E461" s="761"/>
      <c r="F461" s="234"/>
      <c r="G461" s="234"/>
      <c r="H461" s="233"/>
      <c r="I461" s="233"/>
      <c r="J461" s="761"/>
      <c r="K461" s="233"/>
      <c r="L461" s="233"/>
      <c r="M461" s="233"/>
      <c r="N461" s="2403"/>
      <c r="O461" s="2403"/>
    </row>
    <row r="462" spans="3:15">
      <c r="C462" s="233"/>
      <c r="D462" s="233"/>
      <c r="E462" s="761"/>
      <c r="F462" s="234"/>
      <c r="G462" s="234"/>
      <c r="H462" s="233"/>
      <c r="I462" s="233"/>
      <c r="J462" s="761"/>
      <c r="K462" s="233"/>
      <c r="L462" s="233"/>
      <c r="M462" s="233"/>
      <c r="N462" s="2403"/>
      <c r="O462" s="2403"/>
    </row>
    <row r="463" spans="3:15">
      <c r="C463" s="233"/>
      <c r="D463" s="233"/>
      <c r="E463" s="761"/>
      <c r="F463" s="234"/>
      <c r="G463" s="234"/>
      <c r="H463" s="233"/>
      <c r="I463" s="233"/>
      <c r="J463" s="761"/>
      <c r="K463" s="233"/>
      <c r="L463" s="233"/>
      <c r="M463" s="233"/>
      <c r="N463" s="2403"/>
      <c r="O463" s="2403"/>
    </row>
    <row r="464" spans="3:15">
      <c r="C464" s="233"/>
      <c r="D464" s="233"/>
      <c r="E464" s="761"/>
      <c r="F464" s="234"/>
      <c r="G464" s="234"/>
      <c r="H464" s="233"/>
      <c r="I464" s="233"/>
      <c r="J464" s="761"/>
      <c r="K464" s="233"/>
      <c r="L464" s="233"/>
      <c r="M464" s="233"/>
      <c r="N464" s="2403"/>
      <c r="O464" s="2403"/>
    </row>
    <row r="465" spans="3:15">
      <c r="C465" s="233"/>
      <c r="D465" s="233"/>
      <c r="E465" s="761"/>
      <c r="F465" s="234"/>
      <c r="G465" s="234"/>
      <c r="H465" s="233"/>
      <c r="I465" s="233"/>
      <c r="J465" s="761"/>
      <c r="K465" s="233"/>
      <c r="L465" s="233"/>
      <c r="M465" s="233"/>
      <c r="N465" s="2403"/>
      <c r="O465" s="2403"/>
    </row>
    <row r="466" spans="3:15">
      <c r="C466" s="233"/>
      <c r="D466" s="233"/>
      <c r="E466" s="761"/>
      <c r="F466" s="234"/>
      <c r="G466" s="234"/>
      <c r="H466" s="233"/>
      <c r="I466" s="233"/>
      <c r="J466" s="761"/>
      <c r="K466" s="233"/>
      <c r="L466" s="233"/>
      <c r="M466" s="233"/>
      <c r="N466" s="2403"/>
      <c r="O466" s="2403"/>
    </row>
    <row r="467" spans="3:15">
      <c r="C467" s="233"/>
      <c r="D467" s="233"/>
      <c r="E467" s="761"/>
      <c r="F467" s="234"/>
      <c r="G467" s="234"/>
      <c r="H467" s="233"/>
      <c r="I467" s="233"/>
      <c r="J467" s="761"/>
      <c r="K467" s="233"/>
      <c r="L467" s="233"/>
      <c r="M467" s="233"/>
      <c r="N467" s="2403"/>
      <c r="O467" s="2403"/>
    </row>
    <row r="468" spans="3:15">
      <c r="C468" s="233"/>
      <c r="D468" s="233"/>
      <c r="E468" s="761"/>
      <c r="F468" s="234"/>
      <c r="G468" s="234"/>
      <c r="H468" s="233"/>
      <c r="I468" s="233"/>
      <c r="J468" s="761"/>
      <c r="K468" s="233"/>
      <c r="L468" s="233"/>
      <c r="M468" s="233"/>
      <c r="N468" s="2403"/>
      <c r="O468" s="2403"/>
    </row>
    <row r="469" spans="3:15">
      <c r="C469" s="233"/>
      <c r="D469" s="233"/>
      <c r="E469" s="761"/>
      <c r="F469" s="234"/>
      <c r="G469" s="234"/>
      <c r="H469" s="233"/>
      <c r="I469" s="233"/>
      <c r="J469" s="761"/>
      <c r="K469" s="233"/>
      <c r="L469" s="233"/>
      <c r="M469" s="233"/>
      <c r="N469" s="2403"/>
      <c r="O469" s="2403"/>
    </row>
    <row r="470" spans="3:15">
      <c r="C470" s="233"/>
      <c r="D470" s="233"/>
      <c r="E470" s="761"/>
      <c r="F470" s="234"/>
      <c r="G470" s="234"/>
      <c r="H470" s="233"/>
      <c r="I470" s="233"/>
      <c r="J470" s="761"/>
      <c r="K470" s="233"/>
      <c r="L470" s="233"/>
      <c r="M470" s="233"/>
      <c r="N470" s="2403"/>
      <c r="O470" s="2403"/>
    </row>
    <row r="471" spans="3:15">
      <c r="C471" s="233"/>
      <c r="D471" s="233"/>
      <c r="E471" s="761"/>
      <c r="F471" s="234"/>
      <c r="G471" s="234"/>
      <c r="H471" s="233"/>
      <c r="I471" s="233"/>
      <c r="J471" s="761"/>
      <c r="K471" s="233"/>
      <c r="L471" s="233"/>
      <c r="M471" s="233"/>
      <c r="N471" s="2403"/>
      <c r="O471" s="2403"/>
    </row>
    <row r="472" spans="3:15">
      <c r="C472" s="233"/>
      <c r="D472" s="233"/>
      <c r="E472" s="761"/>
      <c r="F472" s="234"/>
      <c r="G472" s="234"/>
      <c r="H472" s="233"/>
      <c r="I472" s="233"/>
      <c r="J472" s="761"/>
      <c r="K472" s="233"/>
      <c r="L472" s="233"/>
      <c r="M472" s="233"/>
      <c r="N472" s="2403"/>
      <c r="O472" s="2403"/>
    </row>
    <row r="473" spans="3:15">
      <c r="C473" s="233"/>
      <c r="D473" s="233"/>
      <c r="E473" s="761"/>
      <c r="F473" s="234"/>
      <c r="G473" s="234"/>
      <c r="H473" s="233"/>
      <c r="I473" s="233"/>
      <c r="J473" s="761"/>
      <c r="K473" s="233"/>
      <c r="L473" s="233"/>
      <c r="M473" s="233"/>
      <c r="N473" s="2403"/>
      <c r="O473" s="2403"/>
    </row>
    <row r="474" spans="3:15">
      <c r="C474" s="233"/>
      <c r="D474" s="233"/>
      <c r="E474" s="761"/>
      <c r="F474" s="234"/>
      <c r="G474" s="234"/>
      <c r="H474" s="233"/>
      <c r="I474" s="233"/>
      <c r="J474" s="761"/>
      <c r="K474" s="233"/>
      <c r="L474" s="233"/>
      <c r="M474" s="233"/>
      <c r="N474" s="2403"/>
      <c r="O474" s="2403"/>
    </row>
    <row r="475" spans="3:15">
      <c r="C475" s="233"/>
      <c r="D475" s="233"/>
      <c r="E475" s="761"/>
      <c r="F475" s="234"/>
      <c r="G475" s="234"/>
      <c r="H475" s="233"/>
      <c r="I475" s="233"/>
      <c r="J475" s="761"/>
      <c r="K475" s="233"/>
      <c r="L475" s="233"/>
      <c r="M475" s="233"/>
      <c r="N475" s="2403"/>
      <c r="O475" s="2403"/>
    </row>
    <row r="476" spans="3:15">
      <c r="C476" s="233"/>
      <c r="D476" s="233"/>
      <c r="E476" s="761"/>
      <c r="F476" s="234"/>
      <c r="G476" s="234"/>
      <c r="H476" s="233"/>
      <c r="I476" s="233"/>
      <c r="J476" s="761"/>
      <c r="K476" s="233"/>
      <c r="L476" s="233"/>
      <c r="M476" s="233"/>
      <c r="N476" s="2403"/>
      <c r="O476" s="2403"/>
    </row>
    <row r="477" spans="3:15">
      <c r="C477" s="233"/>
      <c r="D477" s="233"/>
      <c r="E477" s="761"/>
      <c r="F477" s="234"/>
      <c r="G477" s="234"/>
      <c r="H477" s="233"/>
      <c r="I477" s="233"/>
      <c r="J477" s="761"/>
      <c r="K477" s="233"/>
      <c r="L477" s="233"/>
      <c r="M477" s="233"/>
      <c r="N477" s="2403"/>
      <c r="O477" s="2403"/>
    </row>
    <row r="478" spans="3:15">
      <c r="C478" s="233"/>
      <c r="D478" s="233"/>
      <c r="E478" s="761"/>
      <c r="F478" s="234"/>
      <c r="G478" s="234"/>
      <c r="H478" s="233"/>
      <c r="I478" s="233"/>
      <c r="J478" s="761"/>
      <c r="K478" s="233"/>
      <c r="L478" s="233"/>
      <c r="M478" s="233"/>
      <c r="N478" s="2403"/>
      <c r="O478" s="2403"/>
    </row>
    <row r="479" spans="3:15">
      <c r="C479" s="233"/>
      <c r="D479" s="233"/>
      <c r="E479" s="761"/>
      <c r="F479" s="234"/>
      <c r="G479" s="234"/>
      <c r="H479" s="233"/>
      <c r="I479" s="233"/>
      <c r="J479" s="761"/>
      <c r="K479" s="233"/>
      <c r="L479" s="233"/>
      <c r="M479" s="233"/>
      <c r="N479" s="2403"/>
      <c r="O479" s="2403"/>
    </row>
    <row r="480" spans="3:15">
      <c r="C480" s="233"/>
      <c r="D480" s="233"/>
      <c r="E480" s="761"/>
      <c r="F480" s="234"/>
      <c r="G480" s="234"/>
      <c r="H480" s="233"/>
      <c r="I480" s="233"/>
      <c r="J480" s="761"/>
      <c r="K480" s="233"/>
      <c r="L480" s="233"/>
      <c r="M480" s="233"/>
      <c r="N480" s="2403"/>
      <c r="O480" s="2403"/>
    </row>
    <row r="481" spans="3:15">
      <c r="C481" s="233"/>
      <c r="D481" s="233"/>
      <c r="E481" s="761"/>
      <c r="F481" s="234"/>
      <c r="G481" s="234"/>
      <c r="H481" s="233"/>
      <c r="I481" s="233"/>
      <c r="J481" s="761"/>
      <c r="K481" s="233"/>
      <c r="L481" s="233"/>
      <c r="M481" s="233"/>
      <c r="N481" s="2403"/>
      <c r="O481" s="2403"/>
    </row>
    <row r="482" spans="3:15">
      <c r="C482" s="233"/>
      <c r="D482" s="233"/>
      <c r="E482" s="761"/>
      <c r="F482" s="234"/>
      <c r="G482" s="234"/>
      <c r="H482" s="233"/>
      <c r="I482" s="233"/>
      <c r="J482" s="761"/>
      <c r="K482" s="233"/>
      <c r="L482" s="233"/>
      <c r="M482" s="233"/>
      <c r="N482" s="2403"/>
      <c r="O482" s="2403"/>
    </row>
    <row r="483" spans="3:15">
      <c r="C483" s="233"/>
      <c r="D483" s="233"/>
      <c r="E483" s="761"/>
      <c r="F483" s="234"/>
      <c r="G483" s="234"/>
      <c r="H483" s="233"/>
      <c r="I483" s="233"/>
      <c r="J483" s="761"/>
      <c r="K483" s="233"/>
      <c r="L483" s="233"/>
      <c r="M483" s="233"/>
      <c r="N483" s="2403"/>
      <c r="O483" s="2403"/>
    </row>
    <row r="484" spans="3:15">
      <c r="C484" s="233"/>
      <c r="D484" s="233"/>
      <c r="E484" s="761"/>
      <c r="F484" s="234"/>
      <c r="G484" s="234"/>
      <c r="H484" s="233"/>
      <c r="I484" s="233"/>
      <c r="J484" s="761"/>
      <c r="K484" s="233"/>
      <c r="L484" s="233"/>
      <c r="M484" s="233"/>
      <c r="N484" s="2403"/>
      <c r="O484" s="2403"/>
    </row>
    <row r="485" spans="3:15">
      <c r="C485" s="233"/>
      <c r="D485" s="233"/>
      <c r="E485" s="761"/>
      <c r="F485" s="234"/>
      <c r="G485" s="234"/>
      <c r="H485" s="233"/>
      <c r="I485" s="233"/>
      <c r="J485" s="761"/>
      <c r="K485" s="233"/>
      <c r="L485" s="233"/>
      <c r="M485" s="233"/>
      <c r="N485" s="2403"/>
      <c r="O485" s="2403"/>
    </row>
    <row r="486" spans="3:15">
      <c r="C486" s="233"/>
      <c r="D486" s="233"/>
      <c r="E486" s="761"/>
      <c r="F486" s="234"/>
      <c r="G486" s="234"/>
      <c r="H486" s="233"/>
      <c r="I486" s="233"/>
      <c r="J486" s="761"/>
      <c r="K486" s="233"/>
      <c r="L486" s="233"/>
      <c r="M486" s="233"/>
      <c r="N486" s="2403"/>
      <c r="O486" s="2403"/>
    </row>
    <row r="487" spans="3:15">
      <c r="C487" s="233"/>
      <c r="D487" s="233"/>
      <c r="E487" s="761"/>
      <c r="F487" s="234"/>
      <c r="G487" s="234"/>
      <c r="H487" s="233"/>
      <c r="I487" s="233"/>
      <c r="J487" s="761"/>
      <c r="K487" s="233"/>
      <c r="L487" s="233"/>
      <c r="M487" s="233"/>
      <c r="N487" s="2403"/>
      <c r="O487" s="2403"/>
    </row>
    <row r="488" spans="3:15">
      <c r="C488" s="233"/>
      <c r="D488" s="233"/>
      <c r="E488" s="761"/>
      <c r="F488" s="234"/>
      <c r="G488" s="234"/>
      <c r="H488" s="233"/>
      <c r="I488" s="233"/>
      <c r="J488" s="761"/>
      <c r="K488" s="233"/>
      <c r="L488" s="233"/>
      <c r="M488" s="233"/>
      <c r="N488" s="2403"/>
      <c r="O488" s="2403"/>
    </row>
    <row r="489" spans="3:15">
      <c r="C489" s="233"/>
      <c r="D489" s="233"/>
      <c r="E489" s="761"/>
      <c r="F489" s="234"/>
      <c r="G489" s="234"/>
      <c r="H489" s="233"/>
      <c r="I489" s="233"/>
      <c r="J489" s="761"/>
      <c r="K489" s="233"/>
      <c r="L489" s="233"/>
      <c r="M489" s="233"/>
      <c r="N489" s="2403"/>
      <c r="O489" s="2403"/>
    </row>
    <row r="490" spans="3:15">
      <c r="C490" s="233"/>
      <c r="D490" s="233"/>
      <c r="E490" s="761"/>
      <c r="F490" s="234"/>
      <c r="G490" s="234"/>
      <c r="H490" s="233"/>
      <c r="I490" s="233"/>
      <c r="J490" s="761"/>
      <c r="K490" s="233"/>
      <c r="L490" s="233"/>
      <c r="M490" s="233"/>
      <c r="N490" s="2403"/>
      <c r="O490" s="2403"/>
    </row>
    <row r="491" spans="3:15">
      <c r="C491" s="233"/>
      <c r="D491" s="233"/>
      <c r="E491" s="761"/>
      <c r="F491" s="234"/>
      <c r="G491" s="234"/>
      <c r="H491" s="233"/>
      <c r="I491" s="233"/>
      <c r="J491" s="761"/>
      <c r="K491" s="233"/>
      <c r="L491" s="233"/>
      <c r="M491" s="233"/>
      <c r="N491" s="2403"/>
      <c r="O491" s="2403"/>
    </row>
    <row r="492" spans="3:15">
      <c r="C492" s="233"/>
      <c r="D492" s="233"/>
      <c r="E492" s="761"/>
      <c r="F492" s="234"/>
      <c r="G492" s="234"/>
      <c r="H492" s="233"/>
      <c r="I492" s="233"/>
      <c r="J492" s="761"/>
      <c r="K492" s="233"/>
      <c r="L492" s="233"/>
      <c r="M492" s="233"/>
      <c r="N492" s="2403"/>
      <c r="O492" s="2403"/>
    </row>
    <row r="493" spans="3:15">
      <c r="C493" s="233"/>
      <c r="D493" s="233"/>
      <c r="E493" s="761"/>
      <c r="F493" s="234"/>
      <c r="G493" s="234"/>
      <c r="H493" s="233"/>
      <c r="I493" s="233"/>
      <c r="J493" s="761"/>
      <c r="K493" s="233"/>
      <c r="L493" s="233"/>
      <c r="M493" s="233"/>
      <c r="N493" s="2403"/>
      <c r="O493" s="2403"/>
    </row>
    <row r="494" spans="3:15">
      <c r="C494" s="233"/>
      <c r="D494" s="233"/>
      <c r="E494" s="761"/>
      <c r="F494" s="234"/>
      <c r="G494" s="234"/>
      <c r="H494" s="233"/>
      <c r="I494" s="233"/>
      <c r="J494" s="761"/>
      <c r="K494" s="233"/>
      <c r="L494" s="233"/>
      <c r="M494" s="233"/>
      <c r="N494" s="2403"/>
      <c r="O494" s="2403"/>
    </row>
    <row r="495" spans="3:15">
      <c r="C495" s="233"/>
      <c r="D495" s="233"/>
      <c r="E495" s="761"/>
      <c r="F495" s="234"/>
      <c r="G495" s="234"/>
      <c r="H495" s="233"/>
      <c r="I495" s="233"/>
      <c r="J495" s="761"/>
      <c r="K495" s="233"/>
      <c r="L495" s="233"/>
      <c r="M495" s="233"/>
      <c r="N495" s="2403"/>
      <c r="O495" s="2403"/>
    </row>
    <row r="496" spans="3:15">
      <c r="C496" s="233"/>
      <c r="D496" s="233"/>
      <c r="E496" s="761"/>
      <c r="F496" s="234"/>
      <c r="G496" s="234"/>
      <c r="H496" s="233"/>
      <c r="I496" s="233"/>
      <c r="J496" s="761"/>
      <c r="K496" s="233"/>
      <c r="L496" s="233"/>
      <c r="M496" s="233"/>
      <c r="N496" s="2403"/>
      <c r="O496" s="2403"/>
    </row>
    <row r="497" spans="3:15">
      <c r="C497" s="233"/>
      <c r="D497" s="233"/>
      <c r="E497" s="761"/>
      <c r="F497" s="234"/>
      <c r="G497" s="234"/>
      <c r="H497" s="233"/>
      <c r="I497" s="233"/>
      <c r="J497" s="761"/>
      <c r="K497" s="233"/>
      <c r="L497" s="233"/>
      <c r="M497" s="233"/>
      <c r="N497" s="2403"/>
      <c r="O497" s="2403"/>
    </row>
    <row r="498" spans="3:15">
      <c r="C498" s="233"/>
      <c r="D498" s="233"/>
      <c r="E498" s="761"/>
      <c r="F498" s="234"/>
      <c r="G498" s="234"/>
      <c r="H498" s="233"/>
      <c r="I498" s="233"/>
      <c r="J498" s="761"/>
      <c r="K498" s="233"/>
      <c r="L498" s="233"/>
      <c r="M498" s="233"/>
      <c r="N498" s="2403"/>
      <c r="O498" s="2403"/>
    </row>
    <row r="499" spans="3:15">
      <c r="C499" s="233"/>
      <c r="D499" s="233"/>
      <c r="E499" s="761"/>
      <c r="F499" s="234"/>
      <c r="G499" s="234"/>
      <c r="H499" s="233"/>
      <c r="I499" s="233"/>
      <c r="J499" s="761"/>
      <c r="K499" s="233"/>
      <c r="L499" s="233"/>
      <c r="M499" s="233"/>
      <c r="N499" s="2403"/>
      <c r="O499" s="2403"/>
    </row>
    <row r="500" spans="3:15">
      <c r="C500" s="233"/>
      <c r="D500" s="233"/>
      <c r="E500" s="761"/>
      <c r="F500" s="234"/>
      <c r="G500" s="234"/>
      <c r="H500" s="233"/>
      <c r="I500" s="233"/>
      <c r="J500" s="761"/>
      <c r="K500" s="233"/>
      <c r="L500" s="233"/>
      <c r="M500" s="233"/>
      <c r="N500" s="2403"/>
      <c r="O500" s="2403"/>
    </row>
    <row r="501" spans="3:15">
      <c r="C501" s="233"/>
      <c r="D501" s="233"/>
      <c r="E501" s="761"/>
      <c r="F501" s="234"/>
      <c r="G501" s="234"/>
      <c r="H501" s="233"/>
      <c r="I501" s="233"/>
      <c r="J501" s="761"/>
      <c r="K501" s="233"/>
      <c r="L501" s="233"/>
      <c r="M501" s="233"/>
      <c r="N501" s="2403"/>
      <c r="O501" s="2403"/>
    </row>
    <row r="502" spans="3:15">
      <c r="C502" s="233"/>
      <c r="D502" s="233"/>
      <c r="E502" s="761"/>
      <c r="F502" s="234"/>
      <c r="G502" s="234"/>
      <c r="H502" s="233"/>
      <c r="I502" s="233"/>
      <c r="J502" s="761"/>
      <c r="K502" s="233"/>
      <c r="L502" s="233"/>
      <c r="M502" s="233"/>
      <c r="N502" s="2403"/>
      <c r="O502" s="2403"/>
    </row>
    <row r="503" spans="3:15">
      <c r="C503" s="233"/>
      <c r="D503" s="233"/>
      <c r="E503" s="761"/>
      <c r="F503" s="234"/>
      <c r="G503" s="234"/>
      <c r="H503" s="233"/>
      <c r="I503" s="233"/>
      <c r="J503" s="761"/>
      <c r="K503" s="233"/>
      <c r="L503" s="233"/>
      <c r="M503" s="233"/>
      <c r="N503" s="2403"/>
      <c r="O503" s="2403"/>
    </row>
    <row r="504" spans="3:15">
      <c r="C504" s="233"/>
      <c r="D504" s="233"/>
      <c r="E504" s="761"/>
      <c r="F504" s="234"/>
      <c r="G504" s="234"/>
      <c r="H504" s="233"/>
      <c r="I504" s="233"/>
      <c r="J504" s="761"/>
      <c r="K504" s="233"/>
      <c r="L504" s="233"/>
      <c r="M504" s="233"/>
      <c r="N504" s="2403"/>
      <c r="O504" s="2403"/>
    </row>
    <row r="505" spans="3:15">
      <c r="C505" s="233"/>
      <c r="D505" s="233"/>
      <c r="E505" s="761"/>
      <c r="F505" s="234"/>
      <c r="G505" s="234"/>
      <c r="H505" s="233"/>
      <c r="I505" s="233"/>
      <c r="J505" s="761"/>
      <c r="K505" s="233"/>
      <c r="L505" s="233"/>
      <c r="M505" s="233"/>
      <c r="N505" s="2403"/>
      <c r="O505" s="2403"/>
    </row>
    <row r="506" spans="3:15">
      <c r="C506" s="233"/>
      <c r="D506" s="233"/>
      <c r="E506" s="761"/>
      <c r="F506" s="234"/>
      <c r="G506" s="234"/>
      <c r="H506" s="233"/>
      <c r="I506" s="233"/>
      <c r="J506" s="761"/>
      <c r="K506" s="233"/>
      <c r="L506" s="233"/>
      <c r="M506" s="233"/>
      <c r="N506" s="2403"/>
      <c r="O506" s="2403"/>
    </row>
    <row r="507" spans="3:15">
      <c r="C507" s="233"/>
      <c r="D507" s="233"/>
      <c r="E507" s="761"/>
      <c r="F507" s="234"/>
      <c r="G507" s="234"/>
      <c r="H507" s="233"/>
      <c r="I507" s="233"/>
      <c r="J507" s="761"/>
      <c r="K507" s="233"/>
      <c r="L507" s="233"/>
      <c r="M507" s="233"/>
      <c r="N507" s="2403"/>
      <c r="O507" s="2403"/>
    </row>
    <row r="508" spans="3:15">
      <c r="C508" s="233"/>
      <c r="D508" s="233"/>
      <c r="E508" s="761"/>
      <c r="F508" s="234"/>
      <c r="G508" s="234"/>
      <c r="H508" s="233"/>
      <c r="I508" s="233"/>
      <c r="J508" s="761"/>
      <c r="K508" s="233"/>
      <c r="L508" s="233"/>
      <c r="M508" s="233"/>
      <c r="N508" s="2403"/>
      <c r="O508" s="2403"/>
    </row>
    <row r="509" spans="3:15">
      <c r="C509" s="233"/>
      <c r="D509" s="233"/>
      <c r="E509" s="761"/>
      <c r="F509" s="234"/>
      <c r="G509" s="234"/>
      <c r="H509" s="233"/>
      <c r="I509" s="233"/>
      <c r="J509" s="761"/>
      <c r="K509" s="233"/>
      <c r="L509" s="233"/>
      <c r="M509" s="233"/>
      <c r="N509" s="2403"/>
      <c r="O509" s="2403"/>
    </row>
    <row r="510" spans="3:15">
      <c r="C510" s="233"/>
      <c r="D510" s="233"/>
      <c r="E510" s="761"/>
      <c r="F510" s="234"/>
      <c r="G510" s="234"/>
      <c r="H510" s="233"/>
      <c r="I510" s="233"/>
      <c r="J510" s="761"/>
      <c r="K510" s="233"/>
      <c r="L510" s="233"/>
      <c r="M510" s="233"/>
      <c r="N510" s="2403"/>
      <c r="O510" s="2403"/>
    </row>
    <row r="511" spans="3:15">
      <c r="C511" s="233"/>
      <c r="D511" s="233"/>
      <c r="E511" s="761"/>
      <c r="F511" s="234"/>
      <c r="G511" s="234"/>
      <c r="H511" s="233"/>
      <c r="I511" s="233"/>
      <c r="J511" s="761"/>
      <c r="K511" s="233"/>
      <c r="L511" s="233"/>
      <c r="M511" s="233"/>
      <c r="N511" s="2403"/>
      <c r="O511" s="2403"/>
    </row>
    <row r="512" spans="3:15">
      <c r="C512" s="233"/>
      <c r="D512" s="233"/>
      <c r="E512" s="761"/>
      <c r="F512" s="234"/>
      <c r="G512" s="234"/>
      <c r="H512" s="233"/>
      <c r="I512" s="233"/>
      <c r="J512" s="761"/>
      <c r="K512" s="233"/>
      <c r="L512" s="233"/>
      <c r="M512" s="233"/>
      <c r="N512" s="2403"/>
      <c r="O512" s="2403"/>
    </row>
    <row r="513" spans="3:15">
      <c r="C513" s="233"/>
      <c r="D513" s="233"/>
      <c r="E513" s="761"/>
      <c r="F513" s="234"/>
      <c r="G513" s="234"/>
      <c r="H513" s="233"/>
      <c r="I513" s="233"/>
      <c r="J513" s="761"/>
      <c r="K513" s="233"/>
      <c r="L513" s="233"/>
      <c r="M513" s="233"/>
      <c r="N513" s="2403"/>
      <c r="O513" s="2403"/>
    </row>
    <row r="514" spans="3:15">
      <c r="C514" s="233"/>
      <c r="D514" s="233"/>
      <c r="E514" s="761"/>
      <c r="F514" s="234"/>
      <c r="G514" s="234"/>
      <c r="H514" s="233"/>
      <c r="I514" s="233"/>
      <c r="J514" s="761"/>
      <c r="K514" s="233"/>
      <c r="L514" s="233"/>
      <c r="M514" s="233"/>
      <c r="N514" s="2403"/>
      <c r="O514" s="2403"/>
    </row>
    <row r="515" spans="3:15">
      <c r="C515" s="233"/>
      <c r="D515" s="233"/>
      <c r="E515" s="761"/>
      <c r="F515" s="234"/>
      <c r="G515" s="234"/>
      <c r="H515" s="233"/>
      <c r="I515" s="233"/>
      <c r="J515" s="761"/>
      <c r="K515" s="233"/>
      <c r="L515" s="233"/>
      <c r="M515" s="233"/>
      <c r="N515" s="2403"/>
      <c r="O515" s="2403"/>
    </row>
    <row r="516" spans="3:15">
      <c r="C516" s="233"/>
      <c r="D516" s="233"/>
      <c r="E516" s="761"/>
      <c r="F516" s="234"/>
      <c r="G516" s="234"/>
      <c r="H516" s="233"/>
      <c r="I516" s="233"/>
      <c r="J516" s="761"/>
      <c r="K516" s="233"/>
      <c r="L516" s="233"/>
      <c r="M516" s="233"/>
      <c r="N516" s="2403"/>
      <c r="O516" s="2403"/>
    </row>
    <row r="517" spans="3:15">
      <c r="C517" s="233"/>
      <c r="D517" s="233"/>
      <c r="E517" s="761"/>
      <c r="F517" s="234"/>
      <c r="G517" s="234"/>
      <c r="H517" s="233"/>
      <c r="I517" s="233"/>
      <c r="J517" s="761"/>
      <c r="K517" s="233"/>
      <c r="L517" s="233"/>
      <c r="M517" s="233"/>
      <c r="N517" s="2403"/>
      <c r="O517" s="2403"/>
    </row>
    <row r="518" spans="3:15">
      <c r="C518" s="233"/>
      <c r="D518" s="233"/>
      <c r="E518" s="761"/>
      <c r="F518" s="234"/>
      <c r="G518" s="234"/>
      <c r="H518" s="233"/>
      <c r="I518" s="233"/>
      <c r="J518" s="761"/>
      <c r="K518" s="233"/>
      <c r="L518" s="233"/>
      <c r="M518" s="233"/>
      <c r="N518" s="2403"/>
      <c r="O518" s="2403"/>
    </row>
    <row r="519" spans="3:15">
      <c r="C519" s="233"/>
      <c r="D519" s="233"/>
      <c r="E519" s="761"/>
      <c r="F519" s="234"/>
      <c r="G519" s="234"/>
      <c r="H519" s="233"/>
      <c r="I519" s="233"/>
      <c r="J519" s="761"/>
      <c r="K519" s="233"/>
      <c r="L519" s="233"/>
      <c r="M519" s="233"/>
      <c r="N519" s="2403"/>
      <c r="O519" s="2403"/>
    </row>
    <row r="520" spans="3:15">
      <c r="C520" s="233"/>
      <c r="D520" s="233"/>
      <c r="E520" s="761"/>
      <c r="F520" s="234"/>
      <c r="G520" s="234"/>
      <c r="H520" s="233"/>
      <c r="I520" s="233"/>
      <c r="J520" s="761"/>
      <c r="K520" s="233"/>
      <c r="L520" s="233"/>
      <c r="M520" s="233"/>
      <c r="N520" s="2403"/>
      <c r="O520" s="2403"/>
    </row>
    <row r="521" spans="3:15">
      <c r="C521" s="233"/>
      <c r="D521" s="233"/>
      <c r="E521" s="761"/>
      <c r="F521" s="234"/>
      <c r="G521" s="234"/>
      <c r="H521" s="233"/>
      <c r="I521" s="233"/>
      <c r="J521" s="761"/>
      <c r="K521" s="233"/>
      <c r="L521" s="233"/>
      <c r="M521" s="233"/>
      <c r="N521" s="2403"/>
      <c r="O521" s="2403"/>
    </row>
    <row r="522" spans="3:15">
      <c r="C522" s="233"/>
      <c r="D522" s="233"/>
      <c r="E522" s="761"/>
      <c r="F522" s="234"/>
      <c r="G522" s="234"/>
      <c r="H522" s="233"/>
      <c r="I522" s="233"/>
      <c r="J522" s="761"/>
      <c r="K522" s="233"/>
      <c r="L522" s="233"/>
      <c r="M522" s="233"/>
      <c r="N522" s="2403"/>
      <c r="O522" s="2403"/>
    </row>
    <row r="523" spans="3:15">
      <c r="C523" s="233"/>
      <c r="D523" s="233"/>
      <c r="E523" s="761"/>
      <c r="F523" s="234"/>
      <c r="G523" s="234"/>
      <c r="H523" s="233"/>
      <c r="I523" s="233"/>
      <c r="J523" s="761"/>
      <c r="K523" s="233"/>
      <c r="L523" s="233"/>
      <c r="M523" s="233"/>
      <c r="N523" s="2403"/>
      <c r="O523" s="2403"/>
    </row>
    <row r="524" spans="3:15">
      <c r="C524" s="233"/>
      <c r="D524" s="233"/>
      <c r="E524" s="761"/>
      <c r="F524" s="234"/>
      <c r="G524" s="234"/>
      <c r="H524" s="233"/>
      <c r="I524" s="233"/>
      <c r="J524" s="761"/>
      <c r="K524" s="233"/>
      <c r="L524" s="233"/>
      <c r="M524" s="233"/>
      <c r="N524" s="2403"/>
      <c r="O524" s="2403"/>
    </row>
    <row r="525" spans="3:15">
      <c r="C525" s="233"/>
      <c r="D525" s="233"/>
      <c r="E525" s="761"/>
      <c r="F525" s="234"/>
      <c r="G525" s="234"/>
      <c r="H525" s="233"/>
      <c r="I525" s="233"/>
      <c r="J525" s="761"/>
      <c r="K525" s="233"/>
      <c r="L525" s="233"/>
      <c r="M525" s="233"/>
      <c r="N525" s="2403"/>
      <c r="O525" s="2403"/>
    </row>
    <row r="526" spans="3:15">
      <c r="C526" s="233"/>
      <c r="D526" s="233"/>
      <c r="E526" s="761"/>
      <c r="F526" s="234"/>
      <c r="G526" s="234"/>
      <c r="H526" s="233"/>
      <c r="I526" s="233"/>
      <c r="J526" s="761"/>
      <c r="K526" s="233"/>
      <c r="L526" s="233"/>
      <c r="M526" s="233"/>
      <c r="N526" s="2403"/>
      <c r="O526" s="2403"/>
    </row>
    <row r="527" spans="3:15">
      <c r="C527" s="233"/>
      <c r="D527" s="233"/>
      <c r="E527" s="761"/>
      <c r="F527" s="234"/>
      <c r="G527" s="234"/>
      <c r="H527" s="233"/>
      <c r="I527" s="233"/>
      <c r="J527" s="761"/>
      <c r="K527" s="233"/>
      <c r="L527" s="233"/>
      <c r="M527" s="233"/>
      <c r="N527" s="2403"/>
      <c r="O527" s="2403"/>
    </row>
    <row r="528" spans="3:15">
      <c r="C528" s="233"/>
      <c r="D528" s="233"/>
      <c r="E528" s="761"/>
      <c r="F528" s="234"/>
      <c r="G528" s="234"/>
      <c r="H528" s="233"/>
      <c r="I528" s="233"/>
      <c r="J528" s="761"/>
      <c r="K528" s="233"/>
      <c r="L528" s="233"/>
      <c r="M528" s="233"/>
      <c r="N528" s="2403"/>
      <c r="O528" s="2403"/>
    </row>
    <row r="529" spans="3:15">
      <c r="C529" s="233"/>
      <c r="D529" s="233"/>
      <c r="E529" s="761"/>
      <c r="F529" s="234"/>
      <c r="G529" s="234"/>
      <c r="H529" s="233"/>
      <c r="I529" s="233"/>
      <c r="J529" s="761"/>
      <c r="K529" s="233"/>
      <c r="L529" s="233"/>
      <c r="M529" s="233"/>
      <c r="N529" s="2403"/>
      <c r="O529" s="2403"/>
    </row>
    <row r="530" spans="3:15">
      <c r="C530" s="233"/>
      <c r="D530" s="233"/>
      <c r="E530" s="761"/>
      <c r="F530" s="234"/>
      <c r="G530" s="234"/>
      <c r="H530" s="233"/>
      <c r="I530" s="233"/>
      <c r="J530" s="761"/>
      <c r="K530" s="233"/>
      <c r="L530" s="233"/>
      <c r="M530" s="233"/>
      <c r="N530" s="2403"/>
      <c r="O530" s="2403"/>
    </row>
    <row r="531" spans="3:15">
      <c r="C531" s="233"/>
      <c r="D531" s="233"/>
      <c r="E531" s="761"/>
      <c r="F531" s="234"/>
      <c r="G531" s="234"/>
      <c r="H531" s="233"/>
      <c r="I531" s="233"/>
      <c r="J531" s="761"/>
      <c r="K531" s="233"/>
      <c r="L531" s="233"/>
      <c r="M531" s="233"/>
      <c r="N531" s="2403"/>
      <c r="O531" s="2403"/>
    </row>
    <row r="532" spans="3:15">
      <c r="C532" s="233"/>
      <c r="D532" s="233"/>
      <c r="E532" s="761"/>
      <c r="F532" s="234"/>
      <c r="G532" s="234"/>
      <c r="H532" s="233"/>
      <c r="I532" s="233"/>
      <c r="J532" s="761"/>
      <c r="K532" s="233"/>
      <c r="L532" s="233"/>
      <c r="M532" s="233"/>
      <c r="N532" s="2403"/>
      <c r="O532" s="2403"/>
    </row>
    <row r="533" spans="3:15">
      <c r="C533" s="233"/>
      <c r="D533" s="233"/>
      <c r="E533" s="761"/>
      <c r="F533" s="234"/>
      <c r="G533" s="234"/>
      <c r="H533" s="233"/>
      <c r="I533" s="233"/>
      <c r="J533" s="761"/>
      <c r="K533" s="233"/>
      <c r="L533" s="233"/>
      <c r="M533" s="233"/>
      <c r="N533" s="2403"/>
      <c r="O533" s="2403"/>
    </row>
    <row r="534" spans="3:15">
      <c r="C534" s="233"/>
      <c r="D534" s="233"/>
      <c r="E534" s="761"/>
      <c r="F534" s="234"/>
      <c r="G534" s="234"/>
      <c r="H534" s="233"/>
      <c r="I534" s="233"/>
      <c r="J534" s="761"/>
      <c r="K534" s="233"/>
      <c r="L534" s="233"/>
      <c r="M534" s="233"/>
      <c r="N534" s="2403"/>
      <c r="O534" s="2403"/>
    </row>
    <row r="535" spans="3:15">
      <c r="C535" s="233"/>
      <c r="D535" s="233"/>
      <c r="E535" s="761"/>
      <c r="F535" s="234"/>
      <c r="G535" s="234"/>
      <c r="H535" s="233"/>
      <c r="I535" s="233"/>
      <c r="J535" s="761"/>
      <c r="K535" s="233"/>
      <c r="L535" s="233"/>
      <c r="M535" s="233"/>
      <c r="N535" s="2403"/>
      <c r="O535" s="2403"/>
    </row>
    <row r="536" spans="3:15">
      <c r="C536" s="233"/>
      <c r="D536" s="233"/>
      <c r="E536" s="761"/>
      <c r="F536" s="234"/>
      <c r="G536" s="234"/>
      <c r="H536" s="233"/>
      <c r="I536" s="233"/>
      <c r="J536" s="761"/>
      <c r="K536" s="233"/>
      <c r="L536" s="233"/>
      <c r="M536" s="233"/>
      <c r="N536" s="2403"/>
      <c r="O536" s="2403"/>
    </row>
    <row r="537" spans="3:15">
      <c r="C537" s="233"/>
      <c r="D537" s="233"/>
      <c r="E537" s="761"/>
      <c r="F537" s="234"/>
      <c r="G537" s="234"/>
      <c r="H537" s="233"/>
      <c r="I537" s="233"/>
      <c r="J537" s="761"/>
      <c r="K537" s="233"/>
      <c r="L537" s="233"/>
      <c r="M537" s="233"/>
      <c r="N537" s="2403"/>
      <c r="O537" s="2403"/>
    </row>
    <row r="538" spans="3:15">
      <c r="C538" s="233"/>
      <c r="D538" s="233"/>
      <c r="E538" s="761"/>
      <c r="F538" s="234"/>
      <c r="G538" s="234"/>
      <c r="H538" s="233"/>
      <c r="I538" s="233"/>
      <c r="J538" s="761"/>
      <c r="K538" s="233"/>
      <c r="L538" s="233"/>
      <c r="M538" s="233"/>
      <c r="N538" s="2403"/>
      <c r="O538" s="2403"/>
    </row>
    <row r="539" spans="3:15">
      <c r="C539" s="233"/>
      <c r="D539" s="233"/>
      <c r="E539" s="761"/>
      <c r="F539" s="234"/>
      <c r="G539" s="234"/>
      <c r="H539" s="233"/>
      <c r="I539" s="233"/>
      <c r="J539" s="761"/>
      <c r="K539" s="233"/>
      <c r="L539" s="233"/>
      <c r="M539" s="233"/>
      <c r="N539" s="2403"/>
      <c r="O539" s="2403"/>
    </row>
    <row r="540" spans="3:15">
      <c r="C540" s="233"/>
      <c r="D540" s="233"/>
      <c r="E540" s="761"/>
      <c r="F540" s="234"/>
      <c r="G540" s="234"/>
      <c r="H540" s="233"/>
      <c r="I540" s="233"/>
      <c r="J540" s="761"/>
      <c r="K540" s="233"/>
      <c r="L540" s="233"/>
      <c r="M540" s="233"/>
      <c r="N540" s="2403"/>
      <c r="O540" s="2403"/>
    </row>
    <row r="541" spans="3:15">
      <c r="C541" s="233"/>
      <c r="D541" s="233"/>
      <c r="E541" s="761"/>
      <c r="F541" s="234"/>
      <c r="G541" s="234"/>
      <c r="H541" s="233"/>
      <c r="I541" s="233"/>
      <c r="J541" s="761"/>
      <c r="K541" s="233"/>
      <c r="L541" s="233"/>
      <c r="M541" s="233"/>
      <c r="N541" s="2403"/>
      <c r="O541" s="2403"/>
    </row>
    <row r="542" spans="3:15">
      <c r="C542" s="233"/>
      <c r="D542" s="233"/>
      <c r="E542" s="761"/>
      <c r="F542" s="234"/>
      <c r="G542" s="234"/>
      <c r="H542" s="233"/>
      <c r="I542" s="233"/>
      <c r="J542" s="761"/>
      <c r="K542" s="233"/>
      <c r="L542" s="233"/>
      <c r="M542" s="233"/>
      <c r="N542" s="2403"/>
      <c r="O542" s="2403"/>
    </row>
    <row r="543" spans="3:15">
      <c r="C543" s="233"/>
      <c r="D543" s="233"/>
      <c r="E543" s="761"/>
      <c r="F543" s="234"/>
      <c r="G543" s="234"/>
      <c r="H543" s="233"/>
      <c r="I543" s="233"/>
      <c r="J543" s="761"/>
      <c r="K543" s="233"/>
      <c r="L543" s="233"/>
      <c r="M543" s="233"/>
      <c r="N543" s="2403"/>
      <c r="O543" s="2403"/>
    </row>
    <row r="544" spans="3:15">
      <c r="C544" s="233"/>
      <c r="D544" s="233"/>
      <c r="E544" s="761"/>
      <c r="F544" s="234"/>
      <c r="G544" s="234"/>
      <c r="H544" s="233"/>
      <c r="I544" s="233"/>
      <c r="J544" s="761"/>
      <c r="K544" s="233"/>
      <c r="L544" s="233"/>
      <c r="M544" s="233"/>
      <c r="N544" s="2403"/>
      <c r="O544" s="2403"/>
    </row>
    <row r="545" spans="3:15">
      <c r="C545" s="233"/>
      <c r="D545" s="233"/>
      <c r="E545" s="761"/>
      <c r="F545" s="234"/>
      <c r="G545" s="234"/>
      <c r="H545" s="233"/>
      <c r="I545" s="233"/>
      <c r="J545" s="761"/>
      <c r="K545" s="233"/>
      <c r="L545" s="233"/>
      <c r="M545" s="233"/>
      <c r="N545" s="2403"/>
      <c r="O545" s="2403"/>
    </row>
    <row r="546" spans="3:15">
      <c r="C546" s="233"/>
      <c r="D546" s="233"/>
      <c r="E546" s="761"/>
      <c r="F546" s="234"/>
      <c r="G546" s="234"/>
      <c r="H546" s="233"/>
      <c r="I546" s="233"/>
      <c r="J546" s="761"/>
      <c r="K546" s="233"/>
      <c r="L546" s="233"/>
      <c r="M546" s="233"/>
      <c r="N546" s="2403"/>
      <c r="O546" s="2403"/>
    </row>
    <row r="547" spans="3:15">
      <c r="C547" s="233"/>
      <c r="D547" s="233"/>
      <c r="E547" s="761"/>
      <c r="F547" s="234"/>
      <c r="G547" s="234"/>
      <c r="H547" s="233"/>
      <c r="I547" s="233"/>
      <c r="J547" s="761"/>
      <c r="K547" s="233"/>
      <c r="L547" s="233"/>
      <c r="M547" s="233"/>
      <c r="N547" s="2403"/>
      <c r="O547" s="2403"/>
    </row>
    <row r="548" spans="3:15">
      <c r="C548" s="233"/>
      <c r="D548" s="233"/>
      <c r="E548" s="761"/>
      <c r="F548" s="234"/>
      <c r="G548" s="234"/>
      <c r="H548" s="233"/>
      <c r="I548" s="233"/>
      <c r="J548" s="761"/>
      <c r="K548" s="233"/>
      <c r="L548" s="233"/>
      <c r="M548" s="233"/>
      <c r="N548" s="2403"/>
      <c r="O548" s="2403"/>
    </row>
    <row r="549" spans="3:15">
      <c r="C549" s="233"/>
      <c r="D549" s="233"/>
      <c r="E549" s="761"/>
      <c r="F549" s="234"/>
      <c r="G549" s="234"/>
      <c r="H549" s="233"/>
      <c r="I549" s="233"/>
      <c r="J549" s="761"/>
      <c r="K549" s="233"/>
      <c r="L549" s="233"/>
      <c r="M549" s="233"/>
      <c r="N549" s="2403"/>
      <c r="O549" s="2403"/>
    </row>
    <row r="550" spans="3:15">
      <c r="C550" s="233"/>
      <c r="D550" s="233"/>
      <c r="E550" s="761"/>
      <c r="F550" s="234"/>
      <c r="G550" s="234"/>
      <c r="H550" s="233"/>
      <c r="I550" s="233"/>
      <c r="J550" s="761"/>
      <c r="K550" s="233"/>
      <c r="L550" s="233"/>
      <c r="M550" s="233"/>
      <c r="N550" s="2403"/>
      <c r="O550" s="2403"/>
    </row>
    <row r="551" spans="3:15">
      <c r="C551" s="233"/>
      <c r="D551" s="233"/>
      <c r="E551" s="761"/>
      <c r="F551" s="234"/>
      <c r="G551" s="234"/>
      <c r="H551" s="233"/>
      <c r="I551" s="233"/>
      <c r="J551" s="761"/>
      <c r="K551" s="233"/>
      <c r="L551" s="233"/>
      <c r="M551" s="233"/>
      <c r="N551" s="2403"/>
      <c r="O551" s="2403"/>
    </row>
    <row r="552" spans="3:15">
      <c r="C552" s="233"/>
      <c r="D552" s="233"/>
      <c r="E552" s="761"/>
      <c r="F552" s="234"/>
      <c r="G552" s="234"/>
      <c r="H552" s="233"/>
      <c r="I552" s="233"/>
      <c r="J552" s="761"/>
      <c r="K552" s="233"/>
      <c r="L552" s="233"/>
      <c r="M552" s="233"/>
      <c r="N552" s="2403"/>
      <c r="O552" s="2403"/>
    </row>
    <row r="553" spans="3:15">
      <c r="C553" s="233"/>
      <c r="D553" s="233"/>
      <c r="E553" s="761"/>
      <c r="F553" s="234"/>
      <c r="G553" s="234"/>
      <c r="H553" s="233"/>
      <c r="I553" s="233"/>
      <c r="J553" s="761"/>
      <c r="K553" s="233"/>
      <c r="L553" s="233"/>
      <c r="M553" s="233"/>
      <c r="N553" s="2403"/>
      <c r="O553" s="2403"/>
    </row>
    <row r="554" spans="3:15">
      <c r="C554" s="233"/>
      <c r="D554" s="233"/>
      <c r="E554" s="761"/>
      <c r="F554" s="234"/>
      <c r="G554" s="234"/>
      <c r="H554" s="233"/>
      <c r="I554" s="233"/>
      <c r="J554" s="761"/>
      <c r="K554" s="233"/>
      <c r="L554" s="233"/>
      <c r="M554" s="233"/>
      <c r="N554" s="2403"/>
      <c r="O554" s="2403"/>
    </row>
    <row r="555" spans="3:15">
      <c r="C555" s="233"/>
      <c r="D555" s="233"/>
      <c r="E555" s="761"/>
      <c r="F555" s="234"/>
      <c r="G555" s="234"/>
      <c r="H555" s="233"/>
      <c r="I555" s="233"/>
      <c r="J555" s="761"/>
      <c r="K555" s="233"/>
      <c r="L555" s="233"/>
      <c r="M555" s="233"/>
      <c r="N555" s="2403"/>
      <c r="O555" s="2403"/>
    </row>
    <row r="556" spans="3:15">
      <c r="C556" s="233"/>
      <c r="D556" s="233"/>
      <c r="E556" s="761"/>
      <c r="F556" s="234"/>
      <c r="G556" s="234"/>
      <c r="H556" s="233"/>
      <c r="I556" s="233"/>
      <c r="J556" s="761"/>
      <c r="K556" s="233"/>
      <c r="L556" s="233"/>
      <c r="M556" s="233"/>
      <c r="N556" s="2403"/>
      <c r="O556" s="2403"/>
    </row>
    <row r="557" spans="3:15">
      <c r="C557" s="233"/>
      <c r="D557" s="233"/>
      <c r="E557" s="761"/>
      <c r="F557" s="234"/>
      <c r="G557" s="234"/>
      <c r="H557" s="233"/>
      <c r="I557" s="233"/>
      <c r="J557" s="761"/>
      <c r="K557" s="233"/>
      <c r="L557" s="233"/>
      <c r="M557" s="233"/>
      <c r="N557" s="2403"/>
      <c r="O557" s="2403"/>
    </row>
    <row r="558" spans="3:15">
      <c r="C558" s="233"/>
      <c r="D558" s="233"/>
      <c r="E558" s="761"/>
      <c r="F558" s="234"/>
      <c r="G558" s="234"/>
      <c r="H558" s="233"/>
      <c r="I558" s="233"/>
      <c r="J558" s="761"/>
      <c r="K558" s="233"/>
      <c r="L558" s="233"/>
      <c r="M558" s="233"/>
      <c r="N558" s="2403"/>
      <c r="O558" s="2403"/>
    </row>
    <row r="559" spans="3:15">
      <c r="C559" s="233"/>
      <c r="D559" s="233"/>
      <c r="E559" s="761"/>
      <c r="F559" s="234"/>
      <c r="G559" s="234"/>
      <c r="H559" s="233"/>
      <c r="I559" s="233"/>
      <c r="J559" s="761"/>
      <c r="K559" s="233"/>
      <c r="L559" s="233"/>
      <c r="M559" s="233"/>
      <c r="N559" s="2403"/>
      <c r="O559" s="2403"/>
    </row>
    <row r="560" spans="3:15">
      <c r="C560" s="233"/>
      <c r="D560" s="233"/>
      <c r="E560" s="761"/>
      <c r="F560" s="234"/>
      <c r="G560" s="234"/>
      <c r="H560" s="233"/>
      <c r="I560" s="233"/>
      <c r="J560" s="761"/>
      <c r="K560" s="233"/>
      <c r="L560" s="233"/>
      <c r="M560" s="233"/>
      <c r="N560" s="2403"/>
      <c r="O560" s="2403"/>
    </row>
    <row r="561" spans="3:15">
      <c r="C561" s="233"/>
      <c r="D561" s="233"/>
      <c r="E561" s="761"/>
      <c r="F561" s="234"/>
      <c r="G561" s="234"/>
      <c r="H561" s="233"/>
      <c r="I561" s="233"/>
      <c r="J561" s="761"/>
      <c r="K561" s="233"/>
      <c r="L561" s="233"/>
      <c r="M561" s="233"/>
      <c r="N561" s="2403"/>
      <c r="O561" s="2403"/>
    </row>
    <row r="562" spans="3:15">
      <c r="C562" s="233"/>
      <c r="D562" s="233"/>
      <c r="E562" s="761"/>
      <c r="F562" s="234"/>
      <c r="G562" s="234"/>
      <c r="H562" s="233"/>
      <c r="I562" s="233"/>
      <c r="J562" s="761"/>
      <c r="K562" s="233"/>
      <c r="L562" s="233"/>
      <c r="M562" s="233"/>
      <c r="N562" s="2403"/>
      <c r="O562" s="2403"/>
    </row>
    <row r="563" spans="3:15">
      <c r="C563" s="233"/>
      <c r="D563" s="233"/>
      <c r="E563" s="761"/>
      <c r="F563" s="234"/>
      <c r="G563" s="234"/>
      <c r="H563" s="233"/>
      <c r="I563" s="233"/>
      <c r="J563" s="761"/>
      <c r="K563" s="233"/>
      <c r="L563" s="233"/>
      <c r="M563" s="233"/>
      <c r="N563" s="2403"/>
      <c r="O563" s="2403"/>
    </row>
    <row r="564" spans="3:15">
      <c r="C564" s="233"/>
      <c r="D564" s="233"/>
      <c r="E564" s="761"/>
      <c r="F564" s="234"/>
      <c r="G564" s="234"/>
      <c r="H564" s="233"/>
      <c r="I564" s="233"/>
      <c r="J564" s="761"/>
      <c r="K564" s="233"/>
      <c r="L564" s="233"/>
      <c r="M564" s="233"/>
      <c r="N564" s="2403"/>
      <c r="O564" s="2403"/>
    </row>
    <row r="565" spans="3:15">
      <c r="C565" s="233"/>
      <c r="D565" s="233"/>
      <c r="E565" s="761"/>
      <c r="F565" s="234"/>
      <c r="G565" s="234"/>
      <c r="H565" s="233"/>
      <c r="I565" s="233"/>
      <c r="J565" s="761"/>
      <c r="K565" s="233"/>
      <c r="L565" s="233"/>
      <c r="M565" s="233"/>
      <c r="N565" s="2403"/>
      <c r="O565" s="2403"/>
    </row>
    <row r="566" spans="3:15">
      <c r="C566" s="233"/>
      <c r="D566" s="233"/>
      <c r="E566" s="761"/>
      <c r="F566" s="234"/>
      <c r="G566" s="234"/>
      <c r="H566" s="233"/>
      <c r="I566" s="233"/>
      <c r="J566" s="761"/>
      <c r="K566" s="233"/>
      <c r="L566" s="233"/>
      <c r="M566" s="233"/>
      <c r="N566" s="2403"/>
      <c r="O566" s="2403"/>
    </row>
    <row r="567" spans="3:15">
      <c r="C567" s="233"/>
      <c r="D567" s="233"/>
      <c r="E567" s="761"/>
      <c r="F567" s="234"/>
      <c r="G567" s="234"/>
      <c r="H567" s="233"/>
      <c r="I567" s="233"/>
      <c r="J567" s="761"/>
      <c r="K567" s="233"/>
      <c r="L567" s="233"/>
      <c r="M567" s="233"/>
      <c r="N567" s="2403"/>
      <c r="O567" s="2403"/>
    </row>
    <row r="568" spans="3:15">
      <c r="C568" s="233"/>
      <c r="D568" s="233"/>
      <c r="E568" s="761"/>
      <c r="F568" s="234"/>
      <c r="G568" s="234"/>
      <c r="H568" s="233"/>
      <c r="I568" s="233"/>
      <c r="J568" s="761"/>
      <c r="K568" s="233"/>
      <c r="L568" s="233"/>
      <c r="M568" s="233"/>
      <c r="N568" s="2403"/>
      <c r="O568" s="2403"/>
    </row>
    <row r="569" spans="3:15">
      <c r="C569" s="233"/>
      <c r="D569" s="233"/>
      <c r="E569" s="761"/>
      <c r="F569" s="234"/>
      <c r="G569" s="234"/>
      <c r="H569" s="233"/>
      <c r="I569" s="233"/>
      <c r="J569" s="761"/>
      <c r="K569" s="233"/>
      <c r="L569" s="233"/>
      <c r="M569" s="233"/>
      <c r="N569" s="2403"/>
      <c r="O569" s="2403"/>
    </row>
    <row r="570" spans="3:15">
      <c r="C570" s="233"/>
      <c r="D570" s="233"/>
      <c r="E570" s="761"/>
      <c r="F570" s="234"/>
      <c r="G570" s="234"/>
      <c r="H570" s="233"/>
      <c r="I570" s="233"/>
      <c r="J570" s="761"/>
      <c r="K570" s="233"/>
      <c r="L570" s="233"/>
      <c r="M570" s="233"/>
      <c r="N570" s="2403"/>
      <c r="O570" s="2403"/>
    </row>
    <row r="571" spans="3:15">
      <c r="C571" s="233"/>
      <c r="D571" s="233"/>
      <c r="E571" s="761"/>
      <c r="F571" s="234"/>
      <c r="G571" s="234"/>
      <c r="H571" s="233"/>
      <c r="I571" s="233"/>
      <c r="J571" s="761"/>
      <c r="K571" s="233"/>
      <c r="L571" s="233"/>
      <c r="M571" s="233"/>
      <c r="N571" s="2403"/>
      <c r="O571" s="2403"/>
    </row>
    <row r="572" spans="3:15">
      <c r="C572" s="233"/>
      <c r="D572" s="233"/>
      <c r="E572" s="761"/>
      <c r="F572" s="234"/>
      <c r="G572" s="234"/>
      <c r="H572" s="233"/>
      <c r="I572" s="233"/>
      <c r="J572" s="761"/>
      <c r="K572" s="233"/>
      <c r="L572" s="233"/>
      <c r="M572" s="233"/>
      <c r="N572" s="2403"/>
      <c r="O572" s="2403"/>
    </row>
    <row r="573" spans="3:15">
      <c r="C573" s="233"/>
      <c r="D573" s="233"/>
      <c r="E573" s="761"/>
      <c r="F573" s="234"/>
      <c r="G573" s="234"/>
      <c r="H573" s="233"/>
      <c r="I573" s="233"/>
      <c r="J573" s="761"/>
      <c r="K573" s="233"/>
      <c r="L573" s="233"/>
      <c r="M573" s="233"/>
      <c r="N573" s="2403"/>
      <c r="O573" s="2403"/>
    </row>
    <row r="574" spans="3:15">
      <c r="C574" s="233"/>
      <c r="D574" s="233"/>
      <c r="E574" s="761"/>
      <c r="F574" s="234"/>
      <c r="G574" s="234"/>
      <c r="H574" s="233"/>
      <c r="I574" s="233"/>
      <c r="J574" s="761"/>
      <c r="K574" s="233"/>
      <c r="L574" s="233"/>
      <c r="M574" s="233"/>
      <c r="N574" s="2403"/>
      <c r="O574" s="2403"/>
    </row>
    <row r="575" spans="3:15">
      <c r="C575" s="233"/>
      <c r="D575" s="233"/>
      <c r="E575" s="761"/>
      <c r="F575" s="234"/>
      <c r="G575" s="234"/>
      <c r="H575" s="233"/>
      <c r="I575" s="233"/>
      <c r="J575" s="761"/>
      <c r="K575" s="233"/>
      <c r="L575" s="233"/>
      <c r="M575" s="233"/>
      <c r="N575" s="2403"/>
      <c r="O575" s="2403"/>
    </row>
    <row r="576" spans="3:15">
      <c r="C576" s="233"/>
      <c r="D576" s="233"/>
      <c r="E576" s="761"/>
      <c r="F576" s="234"/>
      <c r="G576" s="234"/>
      <c r="H576" s="233"/>
      <c r="I576" s="233"/>
      <c r="J576" s="761"/>
      <c r="K576" s="233"/>
      <c r="L576" s="233"/>
      <c r="M576" s="233"/>
      <c r="N576" s="2403"/>
      <c r="O576" s="2403"/>
    </row>
    <row r="577" spans="3:15">
      <c r="C577" s="233"/>
      <c r="D577" s="233"/>
      <c r="E577" s="761"/>
      <c r="F577" s="234"/>
      <c r="G577" s="234"/>
      <c r="H577" s="233"/>
      <c r="I577" s="233"/>
      <c r="J577" s="761"/>
      <c r="K577" s="233"/>
      <c r="L577" s="233"/>
      <c r="M577" s="233"/>
      <c r="N577" s="2403"/>
      <c r="O577" s="2403"/>
    </row>
    <row r="578" spans="3:15">
      <c r="C578" s="233"/>
      <c r="D578" s="233"/>
      <c r="E578" s="761"/>
      <c r="F578" s="234"/>
      <c r="G578" s="234"/>
      <c r="H578" s="233"/>
      <c r="I578" s="233"/>
      <c r="J578" s="761"/>
      <c r="K578" s="233"/>
      <c r="L578" s="233"/>
      <c r="M578" s="233"/>
      <c r="N578" s="2403"/>
      <c r="O578" s="2403"/>
    </row>
    <row r="579" spans="3:15">
      <c r="C579" s="233"/>
      <c r="D579" s="233"/>
      <c r="E579" s="761"/>
      <c r="F579" s="234"/>
      <c r="G579" s="234"/>
      <c r="H579" s="233"/>
      <c r="I579" s="233"/>
      <c r="J579" s="761"/>
      <c r="K579" s="233"/>
      <c r="L579" s="233"/>
      <c r="M579" s="233"/>
      <c r="N579" s="2403"/>
      <c r="O579" s="2403"/>
    </row>
    <row r="580" spans="3:15">
      <c r="C580" s="233"/>
      <c r="D580" s="233"/>
      <c r="E580" s="761"/>
      <c r="F580" s="234"/>
      <c r="G580" s="234"/>
      <c r="H580" s="233"/>
      <c r="I580" s="233"/>
      <c r="J580" s="761"/>
      <c r="K580" s="233"/>
      <c r="L580" s="233"/>
      <c r="M580" s="233"/>
      <c r="N580" s="2403"/>
      <c r="O580" s="2403"/>
    </row>
    <row r="581" spans="3:15">
      <c r="C581" s="233"/>
      <c r="D581" s="233"/>
      <c r="E581" s="761"/>
      <c r="F581" s="234"/>
      <c r="G581" s="234"/>
      <c r="H581" s="233"/>
      <c r="I581" s="233"/>
      <c r="J581" s="761"/>
      <c r="K581" s="233"/>
      <c r="L581" s="233"/>
      <c r="M581" s="233"/>
      <c r="N581" s="2403"/>
      <c r="O581" s="2403"/>
    </row>
    <row r="582" spans="3:15">
      <c r="C582" s="233"/>
      <c r="D582" s="233"/>
      <c r="E582" s="761"/>
      <c r="F582" s="234"/>
      <c r="G582" s="234"/>
      <c r="H582" s="233"/>
      <c r="I582" s="233"/>
      <c r="J582" s="761"/>
      <c r="K582" s="233"/>
      <c r="L582" s="233"/>
      <c r="M582" s="233"/>
      <c r="N582" s="2403"/>
      <c r="O582" s="2403"/>
    </row>
    <row r="583" spans="3:15">
      <c r="C583" s="233"/>
      <c r="D583" s="233"/>
      <c r="E583" s="761"/>
      <c r="F583" s="234"/>
      <c r="G583" s="234"/>
      <c r="H583" s="233"/>
      <c r="I583" s="233"/>
      <c r="J583" s="761"/>
      <c r="K583" s="233"/>
      <c r="L583" s="233"/>
      <c r="M583" s="233"/>
      <c r="N583" s="2403"/>
      <c r="O583" s="2403"/>
    </row>
    <row r="584" spans="3:15">
      <c r="C584" s="233"/>
      <c r="D584" s="233"/>
      <c r="E584" s="761"/>
      <c r="F584" s="234"/>
      <c r="G584" s="234"/>
      <c r="H584" s="233"/>
      <c r="I584" s="233"/>
      <c r="J584" s="761"/>
      <c r="K584" s="233"/>
      <c r="L584" s="233"/>
      <c r="M584" s="233"/>
      <c r="N584" s="2403"/>
      <c r="O584" s="2403"/>
    </row>
    <row r="585" spans="3:15">
      <c r="C585" s="233"/>
      <c r="D585" s="233"/>
      <c r="E585" s="761"/>
      <c r="F585" s="234"/>
      <c r="G585" s="234"/>
      <c r="H585" s="233"/>
      <c r="I585" s="233"/>
      <c r="J585" s="761"/>
      <c r="K585" s="233"/>
      <c r="L585" s="233"/>
      <c r="M585" s="233"/>
      <c r="N585" s="2403"/>
      <c r="O585" s="2403"/>
    </row>
    <row r="586" spans="3:15">
      <c r="C586" s="233"/>
      <c r="D586" s="233"/>
      <c r="E586" s="761"/>
      <c r="F586" s="234"/>
      <c r="G586" s="234"/>
      <c r="H586" s="233"/>
      <c r="I586" s="233"/>
      <c r="J586" s="761"/>
      <c r="K586" s="233"/>
      <c r="L586" s="233"/>
      <c r="M586" s="233"/>
      <c r="N586" s="2403"/>
      <c r="O586" s="2403"/>
    </row>
    <row r="587" spans="3:15">
      <c r="C587" s="233"/>
      <c r="D587" s="233"/>
      <c r="E587" s="761"/>
      <c r="F587" s="234"/>
      <c r="G587" s="234"/>
      <c r="H587" s="233"/>
      <c r="I587" s="233"/>
      <c r="J587" s="761"/>
      <c r="K587" s="233"/>
      <c r="L587" s="233"/>
      <c r="M587" s="233"/>
      <c r="N587" s="2403"/>
      <c r="O587" s="2403"/>
    </row>
    <row r="588" spans="3:15">
      <c r="C588" s="233"/>
      <c r="D588" s="233"/>
      <c r="E588" s="761"/>
      <c r="F588" s="234"/>
      <c r="G588" s="234"/>
      <c r="H588" s="233"/>
      <c r="I588" s="233"/>
      <c r="J588" s="761"/>
      <c r="K588" s="233"/>
      <c r="L588" s="233"/>
      <c r="M588" s="233"/>
      <c r="N588" s="2403"/>
      <c r="O588" s="2403"/>
    </row>
    <row r="589" spans="3:15">
      <c r="C589" s="233"/>
      <c r="D589" s="233"/>
      <c r="E589" s="761"/>
      <c r="F589" s="234"/>
      <c r="G589" s="234"/>
      <c r="H589" s="233"/>
      <c r="I589" s="233"/>
      <c r="J589" s="761"/>
      <c r="K589" s="233"/>
      <c r="L589" s="233"/>
      <c r="M589" s="233"/>
      <c r="N589" s="2403"/>
      <c r="O589" s="2403"/>
    </row>
    <row r="590" spans="3:15">
      <c r="C590" s="233"/>
      <c r="D590" s="233"/>
      <c r="E590" s="761"/>
      <c r="F590" s="234"/>
      <c r="G590" s="234"/>
      <c r="H590" s="233"/>
      <c r="I590" s="233"/>
      <c r="J590" s="761"/>
      <c r="K590" s="233"/>
      <c r="L590" s="233"/>
      <c r="M590" s="233"/>
      <c r="N590" s="2403"/>
      <c r="O590" s="2403"/>
    </row>
    <row r="591" spans="3:15">
      <c r="C591" s="233"/>
      <c r="D591" s="233"/>
      <c r="E591" s="761"/>
      <c r="F591" s="234"/>
      <c r="G591" s="234"/>
      <c r="H591" s="233"/>
      <c r="I591" s="233"/>
      <c r="J591" s="761"/>
      <c r="K591" s="233"/>
      <c r="L591" s="233"/>
      <c r="M591" s="233"/>
      <c r="N591" s="2403"/>
      <c r="O591" s="2403"/>
    </row>
    <row r="592" spans="3:15">
      <c r="C592" s="233"/>
      <c r="D592" s="233"/>
      <c r="E592" s="761"/>
      <c r="F592" s="234"/>
      <c r="G592" s="234"/>
      <c r="H592" s="233"/>
      <c r="I592" s="233"/>
      <c r="J592" s="761"/>
      <c r="K592" s="233"/>
      <c r="L592" s="233"/>
      <c r="M592" s="233"/>
      <c r="N592" s="2403"/>
      <c r="O592" s="2403"/>
    </row>
    <row r="593" spans="3:15">
      <c r="C593" s="233"/>
      <c r="D593" s="233"/>
      <c r="E593" s="761"/>
      <c r="F593" s="234"/>
      <c r="G593" s="234"/>
      <c r="H593" s="233"/>
      <c r="I593" s="233"/>
      <c r="J593" s="761"/>
      <c r="K593" s="233"/>
      <c r="L593" s="233"/>
      <c r="M593" s="233"/>
      <c r="N593" s="2403"/>
      <c r="O593" s="2403"/>
    </row>
    <row r="594" spans="3:15">
      <c r="C594" s="233"/>
      <c r="D594" s="233"/>
      <c r="E594" s="761"/>
      <c r="F594" s="234"/>
      <c r="G594" s="234"/>
      <c r="H594" s="233"/>
      <c r="I594" s="233"/>
      <c r="J594" s="761"/>
      <c r="K594" s="233"/>
      <c r="L594" s="233"/>
      <c r="M594" s="233"/>
      <c r="N594" s="2403"/>
      <c r="O594" s="2403"/>
    </row>
    <row r="595" spans="3:15">
      <c r="C595" s="233"/>
      <c r="D595" s="233"/>
      <c r="E595" s="761"/>
      <c r="F595" s="234"/>
      <c r="G595" s="234"/>
      <c r="H595" s="233"/>
      <c r="I595" s="233"/>
      <c r="J595" s="761"/>
      <c r="K595" s="233"/>
      <c r="L595" s="233"/>
      <c r="M595" s="233"/>
      <c r="N595" s="2403"/>
      <c r="O595" s="2403"/>
    </row>
    <row r="596" spans="3:15">
      <c r="C596" s="233"/>
      <c r="D596" s="233"/>
      <c r="E596" s="761"/>
      <c r="F596" s="234"/>
      <c r="G596" s="234"/>
      <c r="H596" s="233"/>
      <c r="I596" s="233"/>
      <c r="J596" s="761"/>
      <c r="K596" s="233"/>
      <c r="L596" s="233"/>
      <c r="M596" s="233"/>
      <c r="N596" s="2403"/>
      <c r="O596" s="2403"/>
    </row>
    <row r="597" spans="3:15">
      <c r="C597" s="233"/>
      <c r="D597" s="233"/>
      <c r="E597" s="761"/>
      <c r="F597" s="234"/>
      <c r="G597" s="234"/>
      <c r="H597" s="233"/>
      <c r="I597" s="233"/>
      <c r="J597" s="761"/>
      <c r="K597" s="233"/>
      <c r="L597" s="233"/>
      <c r="M597" s="233"/>
      <c r="N597" s="2403"/>
      <c r="O597" s="2403"/>
    </row>
    <row r="598" spans="3:15">
      <c r="C598" s="233"/>
      <c r="D598" s="233"/>
      <c r="E598" s="761"/>
      <c r="F598" s="234"/>
      <c r="G598" s="234"/>
      <c r="H598" s="233"/>
      <c r="I598" s="233"/>
      <c r="J598" s="761"/>
      <c r="K598" s="233"/>
      <c r="L598" s="233"/>
      <c r="M598" s="233"/>
      <c r="N598" s="2403"/>
      <c r="O598" s="2403"/>
    </row>
    <row r="599" spans="3:15">
      <c r="C599" s="233"/>
      <c r="D599" s="233"/>
      <c r="E599" s="761"/>
      <c r="F599" s="234"/>
      <c r="G599" s="234"/>
      <c r="H599" s="233"/>
      <c r="I599" s="233"/>
      <c r="J599" s="761"/>
      <c r="K599" s="233"/>
      <c r="L599" s="233"/>
      <c r="M599" s="233"/>
      <c r="N599" s="2403"/>
      <c r="O599" s="2403"/>
    </row>
    <row r="600" spans="3:15">
      <c r="C600" s="233"/>
      <c r="D600" s="233"/>
      <c r="E600" s="761"/>
      <c r="F600" s="234"/>
      <c r="G600" s="234"/>
      <c r="H600" s="233"/>
      <c r="I600" s="233"/>
      <c r="J600" s="761"/>
      <c r="K600" s="233"/>
      <c r="L600" s="233"/>
      <c r="M600" s="233"/>
      <c r="N600" s="2403"/>
      <c r="O600" s="2403"/>
    </row>
    <row r="601" spans="3:15">
      <c r="C601" s="233"/>
      <c r="D601" s="233"/>
      <c r="E601" s="761"/>
      <c r="F601" s="234"/>
      <c r="G601" s="234"/>
      <c r="H601" s="233"/>
      <c r="I601" s="233"/>
      <c r="J601" s="761"/>
      <c r="K601" s="233"/>
      <c r="L601" s="233"/>
      <c r="M601" s="233"/>
      <c r="N601" s="2403"/>
      <c r="O601" s="2403"/>
    </row>
    <row r="602" spans="3:15">
      <c r="C602" s="233"/>
      <c r="D602" s="233"/>
      <c r="E602" s="761"/>
      <c r="F602" s="234"/>
      <c r="G602" s="234"/>
      <c r="H602" s="233"/>
      <c r="I602" s="233"/>
      <c r="J602" s="761"/>
      <c r="K602" s="233"/>
      <c r="L602" s="233"/>
      <c r="M602" s="233"/>
      <c r="N602" s="2403"/>
      <c r="O602" s="2403"/>
    </row>
    <row r="603" spans="3:15">
      <c r="C603" s="233"/>
      <c r="D603" s="233"/>
      <c r="E603" s="761"/>
      <c r="F603" s="234"/>
      <c r="G603" s="234"/>
      <c r="H603" s="233"/>
      <c r="I603" s="233"/>
      <c r="J603" s="761"/>
      <c r="K603" s="233"/>
      <c r="L603" s="233"/>
      <c r="M603" s="233"/>
      <c r="N603" s="2403"/>
      <c r="O603" s="2403"/>
    </row>
    <row r="604" spans="3:15">
      <c r="C604" s="233"/>
      <c r="D604" s="233"/>
      <c r="E604" s="761"/>
      <c r="F604" s="234"/>
      <c r="G604" s="234"/>
      <c r="H604" s="233"/>
      <c r="I604" s="233"/>
      <c r="J604" s="761"/>
      <c r="K604" s="233"/>
      <c r="L604" s="233"/>
      <c r="M604" s="233"/>
      <c r="N604" s="2403"/>
      <c r="O604" s="2403"/>
    </row>
    <row r="605" spans="3:15">
      <c r="C605" s="233"/>
      <c r="D605" s="233"/>
      <c r="E605" s="761"/>
      <c r="F605" s="234"/>
      <c r="G605" s="234"/>
      <c r="H605" s="233"/>
      <c r="I605" s="233"/>
      <c r="J605" s="761"/>
      <c r="K605" s="233"/>
      <c r="L605" s="233"/>
      <c r="M605" s="233"/>
      <c r="N605" s="2403"/>
      <c r="O605" s="2403"/>
    </row>
    <row r="606" spans="3:15">
      <c r="C606" s="233"/>
      <c r="D606" s="233"/>
      <c r="E606" s="761"/>
      <c r="F606" s="234"/>
      <c r="G606" s="234"/>
      <c r="H606" s="233"/>
      <c r="I606" s="233"/>
      <c r="J606" s="761"/>
      <c r="K606" s="233"/>
      <c r="L606" s="233"/>
      <c r="M606" s="233"/>
      <c r="N606" s="2403"/>
      <c r="O606" s="2403"/>
    </row>
    <row r="607" spans="3:15">
      <c r="C607" s="233"/>
      <c r="D607" s="233"/>
      <c r="E607" s="761"/>
      <c r="F607" s="234"/>
      <c r="G607" s="234"/>
      <c r="H607" s="233"/>
      <c r="I607" s="233"/>
      <c r="J607" s="761"/>
      <c r="K607" s="233"/>
      <c r="L607" s="233"/>
      <c r="M607" s="233"/>
      <c r="N607" s="2403"/>
      <c r="O607" s="2403"/>
    </row>
    <row r="608" spans="3:15">
      <c r="C608" s="233"/>
      <c r="D608" s="233"/>
      <c r="E608" s="761"/>
      <c r="F608" s="234"/>
      <c r="G608" s="234"/>
      <c r="H608" s="233"/>
      <c r="I608" s="233"/>
      <c r="J608" s="761"/>
      <c r="K608" s="233"/>
      <c r="L608" s="233"/>
      <c r="M608" s="233"/>
      <c r="N608" s="2403"/>
      <c r="O608" s="2403"/>
    </row>
    <row r="609" spans="3:15">
      <c r="C609" s="233"/>
      <c r="D609" s="233"/>
      <c r="E609" s="761"/>
      <c r="F609" s="234"/>
      <c r="G609" s="234"/>
      <c r="H609" s="233"/>
      <c r="I609" s="233"/>
      <c r="J609" s="761"/>
      <c r="K609" s="233"/>
      <c r="L609" s="233"/>
      <c r="M609" s="233"/>
      <c r="N609" s="2403"/>
      <c r="O609" s="2403"/>
    </row>
    <row r="610" spans="3:15">
      <c r="C610" s="233"/>
      <c r="D610" s="233"/>
      <c r="E610" s="761"/>
      <c r="F610" s="234"/>
      <c r="G610" s="234"/>
      <c r="H610" s="233"/>
      <c r="I610" s="233"/>
      <c r="J610" s="761"/>
      <c r="K610" s="233"/>
      <c r="L610" s="233"/>
      <c r="M610" s="233"/>
      <c r="N610" s="2403"/>
      <c r="O610" s="2403"/>
    </row>
    <row r="611" spans="3:15">
      <c r="C611" s="233"/>
      <c r="D611" s="233"/>
      <c r="E611" s="761"/>
      <c r="F611" s="234"/>
      <c r="G611" s="234"/>
      <c r="H611" s="233"/>
      <c r="I611" s="233"/>
      <c r="J611" s="761"/>
      <c r="K611" s="233"/>
      <c r="L611" s="233"/>
      <c r="M611" s="233"/>
      <c r="N611" s="2403"/>
      <c r="O611" s="2403"/>
    </row>
    <row r="612" spans="3:15">
      <c r="C612" s="233"/>
      <c r="D612" s="233"/>
      <c r="E612" s="761"/>
      <c r="F612" s="234"/>
      <c r="G612" s="234"/>
      <c r="H612" s="233"/>
      <c r="I612" s="233"/>
      <c r="J612" s="761"/>
      <c r="K612" s="233"/>
      <c r="L612" s="233"/>
      <c r="M612" s="233"/>
      <c r="N612" s="2403"/>
      <c r="O612" s="2403"/>
    </row>
    <row r="613" spans="3:15">
      <c r="C613" s="233"/>
      <c r="D613" s="233"/>
      <c r="E613" s="761"/>
      <c r="F613" s="234"/>
      <c r="G613" s="234"/>
      <c r="H613" s="233"/>
      <c r="I613" s="233"/>
      <c r="J613" s="761"/>
      <c r="K613" s="233"/>
      <c r="L613" s="233"/>
      <c r="M613" s="233"/>
      <c r="N613" s="2403"/>
      <c r="O613" s="2403"/>
    </row>
    <row r="614" spans="3:15">
      <c r="C614" s="233"/>
      <c r="D614" s="233"/>
      <c r="E614" s="761"/>
      <c r="F614" s="234"/>
      <c r="G614" s="234"/>
      <c r="H614" s="233"/>
      <c r="I614" s="233"/>
      <c r="J614" s="761"/>
      <c r="K614" s="233"/>
      <c r="L614" s="233"/>
      <c r="M614" s="233"/>
      <c r="N614" s="2403"/>
      <c r="O614" s="2403"/>
    </row>
    <row r="615" spans="3:15">
      <c r="C615" s="233"/>
      <c r="D615" s="233"/>
      <c r="E615" s="761"/>
      <c r="F615" s="234"/>
      <c r="G615" s="234"/>
      <c r="H615" s="233"/>
      <c r="I615" s="233"/>
      <c r="J615" s="761"/>
      <c r="K615" s="233"/>
      <c r="L615" s="233"/>
      <c r="M615" s="233"/>
      <c r="N615" s="2403"/>
      <c r="O615" s="2403"/>
    </row>
    <row r="616" spans="3:15">
      <c r="C616" s="233"/>
      <c r="D616" s="233"/>
      <c r="E616" s="761"/>
      <c r="F616" s="234"/>
      <c r="G616" s="234"/>
      <c r="H616" s="233"/>
      <c r="I616" s="233"/>
      <c r="J616" s="761"/>
      <c r="K616" s="233"/>
      <c r="L616" s="233"/>
      <c r="M616" s="233"/>
      <c r="N616" s="2403"/>
      <c r="O616" s="2403"/>
    </row>
    <row r="617" spans="3:15">
      <c r="C617" s="233"/>
      <c r="D617" s="233"/>
      <c r="E617" s="761"/>
      <c r="F617" s="234"/>
      <c r="G617" s="234"/>
      <c r="H617" s="233"/>
      <c r="I617" s="233"/>
      <c r="J617" s="761"/>
      <c r="K617" s="233"/>
      <c r="L617" s="233"/>
      <c r="M617" s="233"/>
      <c r="N617" s="2403"/>
      <c r="O617" s="2403"/>
    </row>
    <row r="618" spans="3:15">
      <c r="C618" s="233"/>
      <c r="D618" s="233"/>
      <c r="E618" s="761"/>
      <c r="F618" s="234"/>
      <c r="G618" s="234"/>
      <c r="H618" s="233"/>
      <c r="I618" s="233"/>
      <c r="J618" s="761"/>
      <c r="K618" s="233"/>
      <c r="L618" s="233"/>
      <c r="M618" s="233"/>
      <c r="N618" s="2403"/>
      <c r="O618" s="2403"/>
    </row>
    <row r="619" spans="3:15">
      <c r="C619" s="233"/>
      <c r="D619" s="233"/>
      <c r="E619" s="761"/>
      <c r="F619" s="234"/>
      <c r="G619" s="234"/>
      <c r="H619" s="233"/>
      <c r="I619" s="233"/>
      <c r="J619" s="761"/>
      <c r="K619" s="233"/>
      <c r="L619" s="233"/>
      <c r="M619" s="233"/>
      <c r="N619" s="2403"/>
      <c r="O619" s="2403"/>
    </row>
    <row r="620" spans="3:15">
      <c r="C620" s="233"/>
      <c r="D620" s="233"/>
      <c r="E620" s="761"/>
      <c r="F620" s="234"/>
      <c r="G620" s="234"/>
      <c r="H620" s="233"/>
      <c r="I620" s="233"/>
      <c r="J620" s="761"/>
      <c r="K620" s="233"/>
      <c r="L620" s="233"/>
      <c r="M620" s="233"/>
      <c r="N620" s="2403"/>
      <c r="O620" s="2403"/>
    </row>
    <row r="621" spans="3:15">
      <c r="C621" s="233"/>
      <c r="D621" s="233"/>
      <c r="E621" s="761"/>
      <c r="F621" s="234"/>
      <c r="G621" s="234"/>
      <c r="H621" s="233"/>
      <c r="I621" s="233"/>
      <c r="J621" s="761"/>
      <c r="K621" s="233"/>
      <c r="L621" s="233"/>
      <c r="M621" s="233"/>
      <c r="N621" s="2403"/>
      <c r="O621" s="2403"/>
    </row>
    <row r="622" spans="3:15">
      <c r="C622" s="233"/>
      <c r="D622" s="233"/>
      <c r="E622" s="761"/>
      <c r="F622" s="234"/>
      <c r="G622" s="234"/>
      <c r="H622" s="233"/>
      <c r="I622" s="233"/>
      <c r="J622" s="761"/>
      <c r="K622" s="233"/>
      <c r="L622" s="233"/>
      <c r="M622" s="233"/>
      <c r="N622" s="2403"/>
      <c r="O622" s="2403"/>
    </row>
    <row r="623" spans="3:15">
      <c r="C623" s="233"/>
      <c r="D623" s="233"/>
      <c r="E623" s="761"/>
      <c r="F623" s="234"/>
      <c r="G623" s="234"/>
      <c r="H623" s="233"/>
      <c r="I623" s="233"/>
      <c r="J623" s="761"/>
      <c r="K623" s="233"/>
      <c r="L623" s="233"/>
      <c r="M623" s="233"/>
      <c r="N623" s="2403"/>
      <c r="O623" s="2403"/>
    </row>
    <row r="624" spans="3:15">
      <c r="C624" s="233"/>
      <c r="D624" s="233"/>
      <c r="E624" s="761"/>
      <c r="F624" s="234"/>
      <c r="G624" s="234"/>
      <c r="H624" s="233"/>
      <c r="I624" s="233"/>
      <c r="J624" s="761"/>
      <c r="K624" s="233"/>
      <c r="L624" s="233"/>
      <c r="M624" s="233"/>
      <c r="N624" s="2403"/>
      <c r="O624" s="2403"/>
    </row>
    <row r="625" spans="3:15">
      <c r="C625" s="233"/>
      <c r="D625" s="233"/>
      <c r="E625" s="761"/>
      <c r="F625" s="234"/>
      <c r="G625" s="234"/>
      <c r="H625" s="233"/>
      <c r="I625" s="233"/>
      <c r="J625" s="761"/>
      <c r="K625" s="233"/>
      <c r="L625" s="233"/>
      <c r="M625" s="233"/>
      <c r="N625" s="2403"/>
      <c r="O625" s="2403"/>
    </row>
    <row r="626" spans="3:15">
      <c r="C626" s="233"/>
      <c r="D626" s="233"/>
      <c r="E626" s="761"/>
      <c r="F626" s="234"/>
      <c r="G626" s="234"/>
      <c r="H626" s="233"/>
      <c r="I626" s="233"/>
      <c r="J626" s="761"/>
      <c r="K626" s="233"/>
      <c r="L626" s="233"/>
      <c r="M626" s="233"/>
      <c r="N626" s="2403"/>
      <c r="O626" s="2403"/>
    </row>
    <row r="627" spans="3:15">
      <c r="C627" s="233"/>
      <c r="D627" s="233"/>
      <c r="E627" s="761"/>
      <c r="F627" s="234"/>
      <c r="G627" s="234"/>
      <c r="H627" s="233"/>
      <c r="I627" s="233"/>
      <c r="J627" s="761"/>
      <c r="K627" s="233"/>
      <c r="L627" s="233"/>
      <c r="M627" s="233"/>
      <c r="N627" s="2403"/>
      <c r="O627" s="2403"/>
    </row>
    <row r="628" spans="3:15">
      <c r="C628" s="233"/>
      <c r="D628" s="233"/>
      <c r="E628" s="761"/>
      <c r="F628" s="234"/>
      <c r="G628" s="234"/>
      <c r="H628" s="233"/>
      <c r="I628" s="233"/>
      <c r="J628" s="761"/>
      <c r="K628" s="233"/>
      <c r="L628" s="233"/>
      <c r="M628" s="233"/>
      <c r="N628" s="2403"/>
      <c r="O628" s="2403"/>
    </row>
    <row r="629" spans="3:15">
      <c r="C629" s="233"/>
      <c r="D629" s="233"/>
      <c r="E629" s="761"/>
      <c r="F629" s="234"/>
      <c r="G629" s="234"/>
      <c r="H629" s="233"/>
      <c r="I629" s="233"/>
      <c r="J629" s="761"/>
      <c r="K629" s="233"/>
      <c r="L629" s="233"/>
      <c r="M629" s="233"/>
      <c r="N629" s="2403"/>
      <c r="O629" s="2403"/>
    </row>
    <row r="630" spans="3:15">
      <c r="C630" s="233"/>
      <c r="D630" s="233"/>
      <c r="E630" s="761"/>
      <c r="F630" s="234"/>
      <c r="G630" s="234"/>
      <c r="H630" s="233"/>
      <c r="I630" s="233"/>
      <c r="J630" s="761"/>
      <c r="K630" s="233"/>
      <c r="L630" s="233"/>
      <c r="M630" s="233"/>
      <c r="N630" s="2403"/>
      <c r="O630" s="2403"/>
    </row>
    <row r="631" spans="3:15">
      <c r="C631" s="233"/>
      <c r="D631" s="233"/>
      <c r="E631" s="761"/>
      <c r="F631" s="234"/>
      <c r="G631" s="234"/>
      <c r="H631" s="233"/>
      <c r="I631" s="233"/>
      <c r="J631" s="761"/>
      <c r="K631" s="233"/>
      <c r="L631" s="233"/>
      <c r="M631" s="233"/>
      <c r="N631" s="2403"/>
      <c r="O631" s="2403"/>
    </row>
    <row r="632" spans="3:15">
      <c r="C632" s="233"/>
      <c r="D632" s="233"/>
      <c r="E632" s="761"/>
      <c r="F632" s="234"/>
      <c r="G632" s="234"/>
      <c r="H632" s="233"/>
      <c r="I632" s="233"/>
      <c r="J632" s="761"/>
      <c r="K632" s="233"/>
      <c r="L632" s="233"/>
      <c r="M632" s="233"/>
      <c r="N632" s="2403"/>
      <c r="O632" s="2403"/>
    </row>
    <row r="633" spans="3:15">
      <c r="C633" s="233"/>
      <c r="D633" s="233"/>
      <c r="E633" s="761"/>
      <c r="F633" s="234"/>
      <c r="G633" s="234"/>
      <c r="H633" s="233"/>
      <c r="I633" s="233"/>
      <c r="J633" s="761"/>
      <c r="K633" s="233"/>
      <c r="L633" s="233"/>
      <c r="M633" s="233"/>
      <c r="N633" s="2403"/>
      <c r="O633" s="2403"/>
    </row>
    <row r="634" spans="3:15">
      <c r="C634" s="233"/>
      <c r="D634" s="233"/>
      <c r="E634" s="761"/>
      <c r="F634" s="234"/>
      <c r="G634" s="234"/>
      <c r="H634" s="233"/>
      <c r="I634" s="233"/>
      <c r="J634" s="761"/>
      <c r="K634" s="233"/>
      <c r="L634" s="233"/>
      <c r="M634" s="233"/>
      <c r="N634" s="2403"/>
      <c r="O634" s="2403"/>
    </row>
    <row r="635" spans="3:15">
      <c r="C635" s="233"/>
      <c r="D635" s="233"/>
      <c r="E635" s="761"/>
      <c r="F635" s="234"/>
      <c r="G635" s="234"/>
      <c r="H635" s="233"/>
      <c r="I635" s="233"/>
      <c r="J635" s="761"/>
      <c r="K635" s="233"/>
      <c r="L635" s="233"/>
      <c r="M635" s="233"/>
      <c r="N635" s="2403"/>
      <c r="O635" s="2403"/>
    </row>
    <row r="636" spans="3:15">
      <c r="C636" s="233"/>
      <c r="D636" s="233"/>
      <c r="E636" s="761"/>
      <c r="F636" s="234"/>
      <c r="G636" s="234"/>
      <c r="H636" s="233"/>
      <c r="I636" s="233"/>
      <c r="J636" s="761"/>
      <c r="K636" s="233"/>
      <c r="L636" s="233"/>
      <c r="M636" s="233"/>
      <c r="N636" s="2403"/>
      <c r="O636" s="2403"/>
    </row>
    <row r="637" spans="3:15">
      <c r="C637" s="233"/>
      <c r="D637" s="233"/>
      <c r="E637" s="761"/>
      <c r="F637" s="234"/>
      <c r="G637" s="234"/>
      <c r="H637" s="233"/>
      <c r="I637" s="233"/>
      <c r="J637" s="761"/>
      <c r="K637" s="233"/>
      <c r="L637" s="233"/>
      <c r="M637" s="233"/>
      <c r="N637" s="2403"/>
      <c r="O637" s="2403"/>
    </row>
    <row r="638" spans="3:15">
      <c r="C638" s="233"/>
      <c r="D638" s="233"/>
      <c r="E638" s="761"/>
      <c r="F638" s="234"/>
      <c r="G638" s="234"/>
      <c r="H638" s="233"/>
      <c r="I638" s="233"/>
      <c r="J638" s="761"/>
      <c r="K638" s="233"/>
      <c r="L638" s="233"/>
      <c r="M638" s="233"/>
      <c r="N638" s="2403"/>
      <c r="O638" s="2403"/>
    </row>
    <row r="639" spans="3:15">
      <c r="C639" s="233"/>
      <c r="D639" s="233"/>
      <c r="E639" s="761"/>
      <c r="F639" s="234"/>
      <c r="G639" s="234"/>
      <c r="H639" s="233"/>
      <c r="I639" s="233"/>
      <c r="J639" s="761"/>
      <c r="K639" s="233"/>
      <c r="L639" s="233"/>
      <c r="M639" s="233"/>
      <c r="N639" s="2403"/>
      <c r="O639" s="2403"/>
    </row>
    <row r="640" spans="3:15">
      <c r="C640" s="233"/>
      <c r="D640" s="233"/>
      <c r="E640" s="761"/>
      <c r="F640" s="234"/>
      <c r="G640" s="234"/>
      <c r="H640" s="233"/>
      <c r="I640" s="233"/>
      <c r="J640" s="761"/>
      <c r="K640" s="233"/>
      <c r="L640" s="233"/>
      <c r="M640" s="233"/>
      <c r="N640" s="2403"/>
      <c r="O640" s="2403"/>
    </row>
    <row r="641" spans="3:15">
      <c r="C641" s="233"/>
      <c r="D641" s="233"/>
      <c r="E641" s="761"/>
      <c r="F641" s="234"/>
      <c r="G641" s="234"/>
      <c r="H641" s="233"/>
      <c r="I641" s="233"/>
      <c r="J641" s="761"/>
      <c r="K641" s="233"/>
      <c r="L641" s="233"/>
      <c r="M641" s="233"/>
      <c r="N641" s="2403"/>
      <c r="O641" s="2403"/>
    </row>
    <row r="642" spans="3:15">
      <c r="C642" s="233"/>
      <c r="D642" s="233"/>
      <c r="E642" s="761"/>
      <c r="F642" s="234"/>
      <c r="G642" s="234"/>
      <c r="H642" s="233"/>
      <c r="I642" s="233"/>
      <c r="J642" s="761"/>
      <c r="K642" s="233"/>
      <c r="L642" s="233"/>
      <c r="M642" s="233"/>
      <c r="N642" s="2403"/>
      <c r="O642" s="2403"/>
    </row>
    <row r="643" spans="3:15">
      <c r="C643" s="233"/>
      <c r="D643" s="233"/>
      <c r="E643" s="761"/>
      <c r="F643" s="234"/>
      <c r="G643" s="234"/>
      <c r="H643" s="233"/>
      <c r="I643" s="233"/>
      <c r="J643" s="761"/>
      <c r="K643" s="233"/>
      <c r="L643" s="233"/>
      <c r="M643" s="233"/>
      <c r="N643" s="2403"/>
      <c r="O643" s="2403"/>
    </row>
    <row r="644" spans="3:15">
      <c r="C644" s="233"/>
      <c r="D644" s="233"/>
      <c r="E644" s="761"/>
      <c r="F644" s="234"/>
      <c r="G644" s="234"/>
      <c r="H644" s="233"/>
      <c r="I644" s="233"/>
      <c r="J644" s="761"/>
      <c r="K644" s="233"/>
      <c r="L644" s="233"/>
      <c r="M644" s="233"/>
      <c r="N644" s="2403"/>
      <c r="O644" s="2403"/>
    </row>
    <row r="645" spans="3:15">
      <c r="C645" s="233"/>
      <c r="D645" s="233"/>
      <c r="E645" s="761"/>
      <c r="F645" s="234"/>
      <c r="G645" s="234"/>
      <c r="H645" s="233"/>
      <c r="I645" s="233"/>
      <c r="J645" s="761"/>
      <c r="K645" s="233"/>
      <c r="L645" s="233"/>
      <c r="M645" s="233"/>
      <c r="N645" s="2403"/>
      <c r="O645" s="2403"/>
    </row>
    <row r="646" spans="3:15">
      <c r="C646" s="233"/>
      <c r="D646" s="233"/>
      <c r="E646" s="761"/>
      <c r="F646" s="234"/>
      <c r="G646" s="234"/>
      <c r="H646" s="233"/>
      <c r="I646" s="233"/>
      <c r="J646" s="761"/>
      <c r="K646" s="233"/>
      <c r="L646" s="233"/>
      <c r="M646" s="233"/>
      <c r="N646" s="2403"/>
      <c r="O646" s="2403"/>
    </row>
    <row r="647" spans="3:15">
      <c r="C647" s="233"/>
      <c r="D647" s="233"/>
      <c r="E647" s="761"/>
      <c r="F647" s="234"/>
      <c r="G647" s="234"/>
      <c r="H647" s="233"/>
      <c r="I647" s="233"/>
      <c r="J647" s="761"/>
      <c r="K647" s="233"/>
      <c r="L647" s="233"/>
      <c r="M647" s="233"/>
      <c r="N647" s="2403"/>
      <c r="O647" s="2403"/>
    </row>
    <row r="648" spans="3:15">
      <c r="C648" s="233"/>
      <c r="D648" s="233"/>
      <c r="E648" s="761"/>
      <c r="F648" s="234"/>
      <c r="G648" s="234"/>
      <c r="H648" s="233"/>
      <c r="I648" s="233"/>
      <c r="J648" s="761"/>
      <c r="K648" s="233"/>
      <c r="L648" s="233"/>
      <c r="M648" s="233"/>
      <c r="N648" s="2403"/>
      <c r="O648" s="2403"/>
    </row>
    <row r="649" spans="3:15">
      <c r="C649" s="233"/>
      <c r="D649" s="233"/>
      <c r="E649" s="761"/>
      <c r="F649" s="234"/>
      <c r="G649" s="234"/>
      <c r="H649" s="233"/>
      <c r="I649" s="233"/>
      <c r="J649" s="761"/>
      <c r="K649" s="233"/>
      <c r="L649" s="233"/>
      <c r="M649" s="233"/>
      <c r="N649" s="2403"/>
      <c r="O649" s="2403"/>
    </row>
    <row r="650" spans="3:15">
      <c r="C650" s="233"/>
      <c r="D650" s="233"/>
      <c r="E650" s="761"/>
      <c r="F650" s="234"/>
      <c r="G650" s="234"/>
      <c r="H650" s="233"/>
      <c r="I650" s="233"/>
      <c r="J650" s="761"/>
      <c r="K650" s="233"/>
      <c r="L650" s="233"/>
      <c r="M650" s="233"/>
      <c r="N650" s="2403"/>
      <c r="O650" s="2403"/>
    </row>
    <row r="651" spans="3:15">
      <c r="C651" s="233"/>
      <c r="D651" s="233"/>
      <c r="E651" s="761"/>
      <c r="F651" s="234"/>
      <c r="G651" s="234"/>
      <c r="H651" s="233"/>
      <c r="I651" s="233"/>
      <c r="J651" s="761"/>
      <c r="K651" s="233"/>
      <c r="L651" s="233"/>
      <c r="M651" s="233"/>
      <c r="N651" s="2403"/>
      <c r="O651" s="2403"/>
    </row>
    <row r="652" spans="3:15">
      <c r="C652" s="233"/>
      <c r="D652" s="233"/>
      <c r="E652" s="761"/>
      <c r="F652" s="234"/>
      <c r="G652" s="234"/>
      <c r="H652" s="233"/>
      <c r="I652" s="233"/>
      <c r="J652" s="761"/>
      <c r="K652" s="233"/>
      <c r="L652" s="233"/>
      <c r="M652" s="233"/>
      <c r="N652" s="2403"/>
      <c r="O652" s="2403"/>
    </row>
    <row r="653" spans="3:15">
      <c r="C653" s="233"/>
      <c r="D653" s="233"/>
      <c r="E653" s="761"/>
      <c r="F653" s="234"/>
      <c r="G653" s="234"/>
      <c r="H653" s="233"/>
      <c r="I653" s="233"/>
      <c r="J653" s="761"/>
      <c r="K653" s="233"/>
      <c r="L653" s="233"/>
      <c r="M653" s="233"/>
      <c r="N653" s="2403"/>
      <c r="O653" s="2403"/>
    </row>
    <row r="654" spans="3:15">
      <c r="C654" s="233"/>
      <c r="D654" s="233"/>
      <c r="E654" s="761"/>
      <c r="F654" s="234"/>
      <c r="G654" s="234"/>
      <c r="H654" s="233"/>
      <c r="I654" s="233"/>
      <c r="J654" s="761"/>
      <c r="K654" s="233"/>
      <c r="L654" s="233"/>
      <c r="M654" s="233"/>
      <c r="N654" s="2403"/>
      <c r="O654" s="2403"/>
    </row>
    <row r="655" spans="3:15">
      <c r="C655" s="233"/>
      <c r="D655" s="233"/>
      <c r="E655" s="761"/>
      <c r="F655" s="234"/>
      <c r="G655" s="234"/>
      <c r="H655" s="233"/>
      <c r="I655" s="233"/>
      <c r="J655" s="761"/>
      <c r="K655" s="233"/>
      <c r="L655" s="233"/>
      <c r="M655" s="233"/>
      <c r="N655" s="2403"/>
      <c r="O655" s="2403"/>
    </row>
    <row r="656" spans="3:15">
      <c r="C656" s="233"/>
      <c r="D656" s="233"/>
      <c r="E656" s="761"/>
      <c r="F656" s="234"/>
      <c r="G656" s="234"/>
      <c r="H656" s="233"/>
      <c r="I656" s="233"/>
      <c r="J656" s="761"/>
      <c r="K656" s="233"/>
      <c r="L656" s="233"/>
      <c r="M656" s="233"/>
      <c r="N656" s="2403"/>
      <c r="O656" s="2403"/>
    </row>
    <row r="657" spans="3:15">
      <c r="C657" s="233"/>
      <c r="D657" s="233"/>
      <c r="E657" s="761"/>
      <c r="F657" s="234"/>
      <c r="G657" s="234"/>
      <c r="H657" s="233"/>
      <c r="I657" s="233"/>
      <c r="J657" s="761"/>
      <c r="K657" s="233"/>
      <c r="L657" s="233"/>
      <c r="M657" s="233"/>
      <c r="N657" s="2403"/>
      <c r="O657" s="2403"/>
    </row>
    <row r="658" spans="3:15">
      <c r="C658" s="233"/>
      <c r="D658" s="233"/>
      <c r="E658" s="761"/>
      <c r="F658" s="234"/>
      <c r="G658" s="234"/>
      <c r="H658" s="233"/>
      <c r="I658" s="233"/>
      <c r="J658" s="761"/>
      <c r="K658" s="233"/>
      <c r="L658" s="233"/>
      <c r="M658" s="233"/>
      <c r="N658" s="2403"/>
      <c r="O658" s="2403"/>
    </row>
    <row r="659" spans="3:15">
      <c r="C659" s="233"/>
      <c r="D659" s="233"/>
      <c r="E659" s="761"/>
      <c r="F659" s="234"/>
      <c r="G659" s="234"/>
      <c r="H659" s="233"/>
      <c r="I659" s="233"/>
      <c r="J659" s="761"/>
      <c r="K659" s="233"/>
      <c r="L659" s="233"/>
      <c r="M659" s="233"/>
      <c r="N659" s="2403"/>
      <c r="O659" s="2403"/>
    </row>
    <row r="660" spans="3:15">
      <c r="C660" s="233"/>
      <c r="D660" s="233"/>
      <c r="E660" s="761"/>
      <c r="F660" s="234"/>
      <c r="G660" s="234"/>
      <c r="H660" s="233"/>
      <c r="I660" s="233"/>
      <c r="J660" s="761"/>
      <c r="K660" s="233"/>
      <c r="L660" s="233"/>
      <c r="M660" s="233"/>
      <c r="N660" s="2403"/>
      <c r="O660" s="2403"/>
    </row>
    <row r="661" spans="3:15">
      <c r="C661" s="233"/>
      <c r="D661" s="233"/>
      <c r="E661" s="761"/>
      <c r="F661" s="234"/>
      <c r="G661" s="234"/>
      <c r="H661" s="233"/>
      <c r="I661" s="233"/>
      <c r="J661" s="761"/>
      <c r="K661" s="233"/>
      <c r="L661" s="233"/>
      <c r="M661" s="233"/>
      <c r="N661" s="2403"/>
      <c r="O661" s="2403"/>
    </row>
    <row r="662" spans="3:15">
      <c r="C662" s="233"/>
      <c r="D662" s="233"/>
      <c r="E662" s="761"/>
      <c r="F662" s="234"/>
      <c r="G662" s="234"/>
      <c r="H662" s="233"/>
      <c r="I662" s="233"/>
      <c r="J662" s="761"/>
      <c r="K662" s="233"/>
      <c r="L662" s="233"/>
      <c r="M662" s="233"/>
      <c r="N662" s="2403"/>
      <c r="O662" s="2403"/>
    </row>
    <row r="663" spans="3:15">
      <c r="C663" s="233"/>
      <c r="D663" s="233"/>
      <c r="E663" s="761"/>
      <c r="F663" s="234"/>
      <c r="G663" s="234"/>
      <c r="H663" s="233"/>
      <c r="I663" s="233"/>
      <c r="J663" s="761"/>
      <c r="K663" s="233"/>
      <c r="L663" s="233"/>
      <c r="M663" s="233"/>
      <c r="N663" s="2403"/>
      <c r="O663" s="2403"/>
    </row>
    <row r="664" spans="3:15">
      <c r="C664" s="233"/>
      <c r="D664" s="233"/>
      <c r="E664" s="761"/>
      <c r="F664" s="234"/>
      <c r="G664" s="234"/>
      <c r="H664" s="233"/>
      <c r="I664" s="233"/>
      <c r="J664" s="761"/>
      <c r="K664" s="233"/>
      <c r="L664" s="233"/>
      <c r="M664" s="233"/>
      <c r="N664" s="2403"/>
      <c r="O664" s="2403"/>
    </row>
    <row r="665" spans="3:15">
      <c r="C665" s="233"/>
      <c r="D665" s="233"/>
      <c r="E665" s="761"/>
      <c r="F665" s="234"/>
      <c r="G665" s="234"/>
      <c r="H665" s="233"/>
      <c r="I665" s="233"/>
      <c r="J665" s="761"/>
      <c r="K665" s="233"/>
      <c r="L665" s="233"/>
      <c r="M665" s="233"/>
      <c r="N665" s="2403"/>
      <c r="O665" s="2403"/>
    </row>
    <row r="666" spans="3:15">
      <c r="C666" s="233"/>
      <c r="D666" s="233"/>
      <c r="E666" s="761"/>
      <c r="F666" s="234"/>
      <c r="G666" s="234"/>
      <c r="H666" s="233"/>
      <c r="I666" s="233"/>
      <c r="J666" s="761"/>
      <c r="K666" s="233"/>
      <c r="L666" s="233"/>
      <c r="M666" s="233"/>
      <c r="N666" s="2403"/>
      <c r="O666" s="2403"/>
    </row>
    <row r="667" spans="3:15">
      <c r="C667" s="233"/>
      <c r="D667" s="233"/>
      <c r="E667" s="761"/>
      <c r="F667" s="234"/>
      <c r="G667" s="234"/>
      <c r="H667" s="233"/>
      <c r="I667" s="233"/>
      <c r="J667" s="761"/>
      <c r="K667" s="233"/>
      <c r="L667" s="233"/>
      <c r="M667" s="233"/>
      <c r="N667" s="2403"/>
      <c r="O667" s="2403"/>
    </row>
    <row r="668" spans="3:15">
      <c r="C668" s="233"/>
      <c r="D668" s="233"/>
      <c r="E668" s="761"/>
      <c r="F668" s="234"/>
      <c r="G668" s="234"/>
      <c r="H668" s="233"/>
      <c r="I668" s="233"/>
      <c r="J668" s="761"/>
      <c r="K668" s="233"/>
      <c r="L668" s="233"/>
      <c r="M668" s="233"/>
      <c r="N668" s="2403"/>
      <c r="O668" s="2403"/>
    </row>
    <row r="669" spans="3:15">
      <c r="C669" s="233"/>
      <c r="D669" s="233"/>
      <c r="E669" s="761"/>
      <c r="F669" s="234"/>
      <c r="G669" s="234"/>
      <c r="H669" s="233"/>
      <c r="I669" s="233"/>
      <c r="J669" s="761"/>
      <c r="K669" s="233"/>
      <c r="L669" s="233"/>
      <c r="M669" s="233"/>
      <c r="N669" s="2403"/>
      <c r="O669" s="2403"/>
    </row>
    <row r="670" spans="3:15">
      <c r="C670" s="233"/>
      <c r="D670" s="233"/>
      <c r="E670" s="761"/>
      <c r="F670" s="234"/>
      <c r="G670" s="234"/>
      <c r="H670" s="233"/>
      <c r="I670" s="233"/>
      <c r="J670" s="761"/>
      <c r="K670" s="233"/>
      <c r="L670" s="233"/>
      <c r="M670" s="233"/>
      <c r="N670" s="2403"/>
      <c r="O670" s="2403"/>
    </row>
    <row r="671" spans="3:15">
      <c r="C671" s="233"/>
      <c r="D671" s="233"/>
      <c r="E671" s="761"/>
      <c r="F671" s="234"/>
      <c r="G671" s="234"/>
      <c r="H671" s="233"/>
      <c r="I671" s="233"/>
      <c r="J671" s="761"/>
      <c r="K671" s="233"/>
      <c r="L671" s="233"/>
      <c r="M671" s="233"/>
      <c r="N671" s="2403"/>
      <c r="O671" s="2403"/>
    </row>
    <row r="672" spans="3:15">
      <c r="C672" s="233"/>
      <c r="D672" s="233"/>
      <c r="E672" s="761"/>
      <c r="F672" s="234"/>
      <c r="G672" s="234"/>
      <c r="H672" s="233"/>
      <c r="I672" s="233"/>
      <c r="J672" s="761"/>
      <c r="K672" s="233"/>
      <c r="L672" s="233"/>
      <c r="M672" s="233"/>
      <c r="N672" s="2403"/>
      <c r="O672" s="2403"/>
    </row>
    <row r="673" spans="3:15">
      <c r="C673" s="233"/>
      <c r="D673" s="233"/>
      <c r="E673" s="761"/>
      <c r="F673" s="234"/>
      <c r="G673" s="234"/>
      <c r="H673" s="233"/>
      <c r="I673" s="233"/>
      <c r="J673" s="761"/>
      <c r="K673" s="233"/>
      <c r="L673" s="233"/>
      <c r="M673" s="233"/>
      <c r="N673" s="2403"/>
      <c r="O673" s="2403"/>
    </row>
    <row r="674" spans="3:15">
      <c r="C674" s="233"/>
      <c r="D674" s="233"/>
      <c r="E674" s="761"/>
      <c r="F674" s="234"/>
      <c r="G674" s="234"/>
      <c r="H674" s="233"/>
      <c r="I674" s="233"/>
      <c r="J674" s="761"/>
      <c r="K674" s="233"/>
      <c r="L674" s="233"/>
      <c r="M674" s="233"/>
      <c r="N674" s="2403"/>
      <c r="O674" s="2403"/>
    </row>
    <row r="675" spans="3:15">
      <c r="C675" s="233"/>
      <c r="D675" s="233"/>
      <c r="E675" s="761"/>
      <c r="F675" s="234"/>
      <c r="G675" s="234"/>
      <c r="H675" s="233"/>
      <c r="I675" s="233"/>
      <c r="J675" s="761"/>
      <c r="K675" s="233"/>
      <c r="L675" s="233"/>
      <c r="M675" s="233"/>
      <c r="N675" s="2403"/>
      <c r="O675" s="2403"/>
    </row>
    <row r="676" spans="3:15">
      <c r="C676" s="233"/>
      <c r="D676" s="233"/>
      <c r="E676" s="761"/>
      <c r="F676" s="234"/>
      <c r="G676" s="234"/>
      <c r="H676" s="233"/>
      <c r="I676" s="233"/>
      <c r="J676" s="761"/>
      <c r="K676" s="233"/>
      <c r="L676" s="233"/>
      <c r="M676" s="233"/>
      <c r="N676" s="2403"/>
      <c r="O676" s="2403"/>
    </row>
    <row r="677" spans="3:15">
      <c r="C677" s="233"/>
      <c r="D677" s="233"/>
      <c r="E677" s="761"/>
      <c r="F677" s="234"/>
      <c r="G677" s="234"/>
      <c r="H677" s="233"/>
      <c r="I677" s="233"/>
      <c r="J677" s="761"/>
      <c r="K677" s="233"/>
      <c r="L677" s="233"/>
      <c r="M677" s="233"/>
      <c r="N677" s="2403"/>
      <c r="O677" s="2403"/>
    </row>
    <row r="678" spans="3:15">
      <c r="C678" s="233"/>
      <c r="D678" s="233"/>
      <c r="E678" s="761"/>
      <c r="F678" s="234"/>
      <c r="G678" s="234"/>
      <c r="H678" s="233"/>
      <c r="I678" s="233"/>
      <c r="J678" s="761"/>
      <c r="K678" s="233"/>
      <c r="L678" s="233"/>
      <c r="M678" s="233"/>
      <c r="N678" s="2403"/>
      <c r="O678" s="2403"/>
    </row>
    <row r="679" spans="3:15">
      <c r="C679" s="233"/>
      <c r="D679" s="233"/>
      <c r="E679" s="761"/>
      <c r="F679" s="234"/>
      <c r="G679" s="234"/>
      <c r="H679" s="233"/>
      <c r="I679" s="233"/>
      <c r="J679" s="761"/>
      <c r="K679" s="233"/>
      <c r="L679" s="233"/>
      <c r="M679" s="233"/>
      <c r="N679" s="2403"/>
      <c r="O679" s="2403"/>
    </row>
    <row r="680" spans="3:15">
      <c r="C680" s="233"/>
      <c r="D680" s="233"/>
      <c r="E680" s="761"/>
      <c r="F680" s="234"/>
      <c r="G680" s="234"/>
      <c r="H680" s="233"/>
      <c r="I680" s="233"/>
      <c r="J680" s="761"/>
      <c r="K680" s="233"/>
      <c r="L680" s="233"/>
      <c r="M680" s="233"/>
      <c r="N680" s="2403"/>
      <c r="O680" s="2403"/>
    </row>
    <row r="681" spans="3:15">
      <c r="C681" s="233"/>
      <c r="D681" s="233"/>
      <c r="E681" s="761"/>
      <c r="F681" s="234"/>
      <c r="G681" s="234"/>
      <c r="H681" s="233"/>
      <c r="I681" s="233"/>
      <c r="J681" s="761"/>
      <c r="K681" s="233"/>
      <c r="L681" s="233"/>
      <c r="M681" s="233"/>
      <c r="N681" s="2403"/>
      <c r="O681" s="2403"/>
    </row>
    <row r="682" spans="3:15">
      <c r="C682" s="233"/>
      <c r="D682" s="233"/>
      <c r="E682" s="761"/>
      <c r="F682" s="234"/>
      <c r="G682" s="234"/>
      <c r="H682" s="233"/>
      <c r="I682" s="233"/>
      <c r="J682" s="761"/>
      <c r="K682" s="233"/>
      <c r="L682" s="233"/>
      <c r="M682" s="233"/>
      <c r="N682" s="2403"/>
      <c r="O682" s="2403"/>
    </row>
    <row r="683" spans="3:15">
      <c r="C683" s="233"/>
      <c r="D683" s="233"/>
      <c r="E683" s="761"/>
      <c r="F683" s="234"/>
      <c r="G683" s="234"/>
      <c r="H683" s="233"/>
      <c r="I683" s="233"/>
      <c r="J683" s="761"/>
      <c r="K683" s="233"/>
      <c r="L683" s="233"/>
      <c r="M683" s="233"/>
      <c r="N683" s="2403"/>
      <c r="O683" s="2403"/>
    </row>
    <row r="684" spans="3:15">
      <c r="C684" s="233"/>
      <c r="D684" s="233"/>
      <c r="E684" s="761"/>
      <c r="F684" s="234"/>
      <c r="G684" s="234"/>
      <c r="H684" s="233"/>
      <c r="I684" s="233"/>
      <c r="J684" s="761"/>
      <c r="K684" s="233"/>
      <c r="L684" s="233"/>
      <c r="M684" s="233"/>
      <c r="N684" s="2403"/>
      <c r="O684" s="2403"/>
    </row>
    <row r="685" spans="3:15">
      <c r="C685" s="233"/>
      <c r="D685" s="233"/>
      <c r="E685" s="761"/>
      <c r="F685" s="234"/>
      <c r="G685" s="234"/>
      <c r="H685" s="233"/>
      <c r="I685" s="233"/>
      <c r="J685" s="761"/>
      <c r="K685" s="233"/>
      <c r="L685" s="233"/>
      <c r="M685" s="233"/>
      <c r="N685" s="2403"/>
      <c r="O685" s="2403"/>
    </row>
    <row r="686" spans="3:15">
      <c r="C686" s="233"/>
      <c r="D686" s="233"/>
      <c r="E686" s="761"/>
      <c r="F686" s="234"/>
      <c r="G686" s="234"/>
      <c r="H686" s="233"/>
      <c r="I686" s="233"/>
      <c r="J686" s="761"/>
      <c r="K686" s="233"/>
      <c r="L686" s="233"/>
      <c r="M686" s="233"/>
      <c r="N686" s="2403"/>
      <c r="O686" s="2403"/>
    </row>
    <row r="687" spans="3:15">
      <c r="C687" s="233"/>
      <c r="D687" s="233"/>
      <c r="E687" s="761"/>
      <c r="F687" s="234"/>
      <c r="G687" s="234"/>
      <c r="H687" s="233"/>
      <c r="I687" s="233"/>
      <c r="J687" s="761"/>
      <c r="K687" s="233"/>
      <c r="L687" s="233"/>
      <c r="M687" s="233"/>
      <c r="N687" s="2403"/>
      <c r="O687" s="2403"/>
    </row>
    <row r="688" spans="3:15">
      <c r="C688" s="233"/>
      <c r="D688" s="233"/>
      <c r="E688" s="761"/>
      <c r="F688" s="234"/>
      <c r="G688" s="234"/>
      <c r="H688" s="233"/>
      <c r="I688" s="233"/>
      <c r="J688" s="761"/>
      <c r="K688" s="233"/>
      <c r="L688" s="233"/>
      <c r="M688" s="233"/>
      <c r="N688" s="2403"/>
      <c r="O688" s="2403"/>
    </row>
    <row r="689" spans="3:15">
      <c r="C689" s="233"/>
      <c r="D689" s="233"/>
      <c r="E689" s="761"/>
      <c r="F689" s="234"/>
      <c r="G689" s="234"/>
      <c r="H689" s="233"/>
      <c r="I689" s="233"/>
      <c r="J689" s="761"/>
      <c r="K689" s="233"/>
      <c r="L689" s="233"/>
      <c r="M689" s="233"/>
      <c r="N689" s="2403"/>
      <c r="O689" s="2403"/>
    </row>
    <row r="690" spans="3:15">
      <c r="C690" s="233"/>
      <c r="D690" s="233"/>
      <c r="E690" s="761"/>
      <c r="F690" s="234"/>
      <c r="G690" s="234"/>
      <c r="H690" s="233"/>
      <c r="I690" s="233"/>
      <c r="J690" s="761"/>
      <c r="K690" s="233"/>
      <c r="L690" s="233"/>
      <c r="M690" s="233"/>
      <c r="N690" s="2403"/>
      <c r="O690" s="2403"/>
    </row>
    <row r="691" spans="3:15">
      <c r="C691" s="233"/>
      <c r="D691" s="233"/>
      <c r="E691" s="761"/>
      <c r="F691" s="234"/>
      <c r="G691" s="234"/>
      <c r="H691" s="233"/>
      <c r="I691" s="233"/>
      <c r="J691" s="761"/>
      <c r="K691" s="233"/>
      <c r="L691" s="233"/>
      <c r="M691" s="233"/>
      <c r="N691" s="2403"/>
      <c r="O691" s="2403"/>
    </row>
    <row r="692" spans="3:15">
      <c r="C692" s="233"/>
      <c r="D692" s="233"/>
      <c r="E692" s="761"/>
      <c r="F692" s="234"/>
      <c r="G692" s="234"/>
      <c r="H692" s="233"/>
      <c r="I692" s="233"/>
      <c r="J692" s="761"/>
      <c r="K692" s="233"/>
      <c r="L692" s="233"/>
      <c r="M692" s="233"/>
      <c r="N692" s="2403"/>
      <c r="O692" s="2403"/>
    </row>
    <row r="693" spans="3:15">
      <c r="C693" s="233"/>
      <c r="D693" s="233"/>
      <c r="E693" s="761"/>
      <c r="F693" s="234"/>
      <c r="G693" s="234"/>
      <c r="H693" s="233"/>
      <c r="I693" s="233"/>
      <c r="J693" s="761"/>
      <c r="K693" s="233"/>
      <c r="L693" s="233"/>
      <c r="M693" s="233"/>
      <c r="N693" s="2403"/>
      <c r="O693" s="2403"/>
    </row>
    <row r="694" spans="3:15">
      <c r="C694" s="233"/>
      <c r="D694" s="233"/>
      <c r="E694" s="761"/>
      <c r="F694" s="234"/>
      <c r="G694" s="234"/>
      <c r="H694" s="233"/>
      <c r="I694" s="233"/>
      <c r="J694" s="761"/>
      <c r="K694" s="233"/>
      <c r="L694" s="233"/>
      <c r="M694" s="233"/>
      <c r="N694" s="2403"/>
      <c r="O694" s="2403"/>
    </row>
    <row r="695" spans="3:15">
      <c r="C695" s="233"/>
      <c r="D695" s="233"/>
      <c r="E695" s="761"/>
      <c r="F695" s="234"/>
      <c r="G695" s="234"/>
      <c r="H695" s="233"/>
      <c r="I695" s="233"/>
      <c r="J695" s="761"/>
      <c r="K695" s="233"/>
      <c r="L695" s="233"/>
      <c r="M695" s="233"/>
      <c r="N695" s="2403"/>
      <c r="O695" s="2403"/>
    </row>
    <row r="696" spans="3:15">
      <c r="C696" s="233"/>
      <c r="D696" s="233"/>
      <c r="E696" s="761"/>
      <c r="F696" s="234"/>
      <c r="G696" s="234"/>
      <c r="H696" s="233"/>
      <c r="I696" s="233"/>
      <c r="J696" s="761"/>
      <c r="K696" s="233"/>
      <c r="L696" s="233"/>
      <c r="M696" s="233"/>
      <c r="N696" s="2403"/>
      <c r="O696" s="2403"/>
    </row>
    <row r="697" spans="3:15">
      <c r="C697" s="233"/>
      <c r="D697" s="233"/>
      <c r="E697" s="761"/>
      <c r="F697" s="234"/>
      <c r="G697" s="234"/>
      <c r="H697" s="233"/>
      <c r="I697" s="233"/>
      <c r="J697" s="761"/>
      <c r="K697" s="233"/>
      <c r="L697" s="233"/>
      <c r="M697" s="233"/>
      <c r="N697" s="2403"/>
      <c r="O697" s="2403"/>
    </row>
    <row r="698" spans="3:15">
      <c r="C698" s="233"/>
      <c r="D698" s="233"/>
      <c r="E698" s="761"/>
      <c r="F698" s="234"/>
      <c r="G698" s="234"/>
      <c r="H698" s="233"/>
      <c r="I698" s="233"/>
      <c r="J698" s="761"/>
      <c r="K698" s="233"/>
      <c r="L698" s="233"/>
      <c r="M698" s="233"/>
      <c r="N698" s="2403"/>
      <c r="O698" s="2403"/>
    </row>
    <row r="699" spans="3:15">
      <c r="C699" s="233"/>
      <c r="D699" s="233"/>
      <c r="E699" s="761"/>
      <c r="F699" s="234"/>
      <c r="G699" s="234"/>
      <c r="H699" s="233"/>
      <c r="I699" s="233"/>
      <c r="J699" s="761"/>
      <c r="K699" s="233"/>
      <c r="L699" s="233"/>
      <c r="M699" s="233"/>
      <c r="N699" s="2403"/>
      <c r="O699" s="2403"/>
    </row>
    <row r="700" spans="3:15">
      <c r="C700" s="233"/>
      <c r="D700" s="233"/>
      <c r="E700" s="761"/>
      <c r="F700" s="234"/>
      <c r="G700" s="234"/>
      <c r="H700" s="233"/>
      <c r="I700" s="233"/>
      <c r="J700" s="761"/>
      <c r="K700" s="233"/>
      <c r="L700" s="233"/>
      <c r="M700" s="233"/>
      <c r="N700" s="2403"/>
      <c r="O700" s="2403"/>
    </row>
    <row r="701" spans="3:15">
      <c r="C701" s="233"/>
      <c r="D701" s="233"/>
      <c r="E701" s="761"/>
      <c r="F701" s="234"/>
      <c r="G701" s="234"/>
      <c r="H701" s="233"/>
      <c r="I701" s="233"/>
      <c r="J701" s="761"/>
      <c r="K701" s="233"/>
      <c r="L701" s="233"/>
      <c r="M701" s="233"/>
      <c r="N701" s="2403"/>
      <c r="O701" s="2403"/>
    </row>
    <row r="702" spans="3:15">
      <c r="C702" s="233"/>
      <c r="D702" s="233"/>
      <c r="E702" s="761"/>
      <c r="F702" s="234"/>
      <c r="G702" s="234"/>
      <c r="H702" s="233"/>
      <c r="I702" s="233"/>
      <c r="J702" s="761"/>
      <c r="K702" s="233"/>
      <c r="L702" s="233"/>
      <c r="M702" s="233"/>
      <c r="N702" s="2403"/>
      <c r="O702" s="2403"/>
    </row>
    <row r="703" spans="3:15">
      <c r="C703" s="233"/>
      <c r="D703" s="233"/>
      <c r="E703" s="761"/>
      <c r="F703" s="234"/>
      <c r="G703" s="234"/>
      <c r="H703" s="233"/>
      <c r="I703" s="233"/>
      <c r="J703" s="761"/>
      <c r="K703" s="233"/>
      <c r="L703" s="233"/>
      <c r="M703" s="233"/>
      <c r="N703" s="2403"/>
      <c r="O703" s="2403"/>
    </row>
    <row r="704" spans="3:15">
      <c r="C704" s="233"/>
      <c r="D704" s="233"/>
      <c r="E704" s="761"/>
      <c r="F704" s="234"/>
      <c r="G704" s="234"/>
      <c r="H704" s="233"/>
      <c r="I704" s="233"/>
      <c r="J704" s="761"/>
      <c r="K704" s="233"/>
      <c r="L704" s="233"/>
      <c r="M704" s="233"/>
      <c r="N704" s="2403"/>
      <c r="O704" s="2403"/>
    </row>
    <row r="705" spans="3:15">
      <c r="C705" s="233"/>
      <c r="D705" s="233"/>
      <c r="E705" s="761"/>
      <c r="F705" s="234"/>
      <c r="G705" s="234"/>
      <c r="H705" s="233"/>
      <c r="I705" s="233"/>
      <c r="J705" s="761"/>
      <c r="K705" s="233"/>
      <c r="L705" s="233"/>
      <c r="M705" s="233"/>
      <c r="N705" s="2403"/>
      <c r="O705" s="2403"/>
    </row>
    <row r="706" spans="3:15">
      <c r="C706" s="233"/>
      <c r="D706" s="233"/>
      <c r="E706" s="761"/>
      <c r="F706" s="234"/>
      <c r="G706" s="234"/>
      <c r="H706" s="233"/>
      <c r="I706" s="233"/>
      <c r="J706" s="761"/>
      <c r="K706" s="233"/>
      <c r="L706" s="233"/>
      <c r="M706" s="233"/>
      <c r="N706" s="2403"/>
      <c r="O706" s="2403"/>
    </row>
    <row r="707" spans="3:15">
      <c r="C707" s="233"/>
      <c r="D707" s="233"/>
      <c r="E707" s="761"/>
      <c r="F707" s="234"/>
      <c r="G707" s="234"/>
      <c r="H707" s="233"/>
      <c r="I707" s="233"/>
      <c r="J707" s="761"/>
      <c r="K707" s="233"/>
      <c r="L707" s="233"/>
      <c r="M707" s="233"/>
      <c r="N707" s="2403"/>
      <c r="O707" s="2403"/>
    </row>
    <row r="708" spans="3:15">
      <c r="C708" s="233"/>
      <c r="D708" s="233"/>
      <c r="E708" s="761"/>
      <c r="F708" s="234"/>
      <c r="G708" s="234"/>
      <c r="H708" s="233"/>
      <c r="I708" s="233"/>
      <c r="J708" s="761"/>
      <c r="K708" s="233"/>
      <c r="L708" s="233"/>
      <c r="M708" s="233"/>
      <c r="N708" s="2403"/>
      <c r="O708" s="2403"/>
    </row>
    <row r="709" spans="3:15">
      <c r="C709" s="233"/>
      <c r="D709" s="233"/>
      <c r="E709" s="761"/>
      <c r="F709" s="234"/>
      <c r="G709" s="234"/>
      <c r="H709" s="233"/>
      <c r="I709" s="233"/>
      <c r="J709" s="761"/>
      <c r="K709" s="233"/>
      <c r="L709" s="233"/>
      <c r="M709" s="233"/>
      <c r="N709" s="2403"/>
      <c r="O709" s="2403"/>
    </row>
    <row r="710" spans="3:15">
      <c r="C710" s="233"/>
      <c r="D710" s="233"/>
      <c r="E710" s="761"/>
      <c r="F710" s="234"/>
      <c r="G710" s="234"/>
      <c r="H710" s="233"/>
      <c r="I710" s="233"/>
      <c r="J710" s="761"/>
      <c r="K710" s="233"/>
      <c r="L710" s="233"/>
      <c r="M710" s="233"/>
      <c r="N710" s="2403"/>
      <c r="O710" s="2403"/>
    </row>
    <row r="711" spans="3:15">
      <c r="C711" s="233"/>
      <c r="D711" s="233"/>
      <c r="E711" s="761"/>
      <c r="F711" s="234"/>
      <c r="G711" s="234"/>
      <c r="H711" s="233"/>
      <c r="I711" s="233"/>
      <c r="J711" s="761"/>
      <c r="K711" s="233"/>
      <c r="L711" s="233"/>
      <c r="M711" s="233"/>
      <c r="N711" s="2403"/>
      <c r="O711" s="2403"/>
    </row>
    <row r="712" spans="3:15">
      <c r="C712" s="233"/>
      <c r="D712" s="233"/>
      <c r="E712" s="761"/>
      <c r="F712" s="234"/>
      <c r="G712" s="234"/>
      <c r="H712" s="233"/>
      <c r="I712" s="233"/>
      <c r="J712" s="761"/>
      <c r="K712" s="233"/>
      <c r="L712" s="233"/>
      <c r="M712" s="233"/>
      <c r="N712" s="2403"/>
      <c r="O712" s="2403"/>
    </row>
    <row r="713" spans="3:15">
      <c r="C713" s="233"/>
      <c r="D713" s="233"/>
      <c r="E713" s="761"/>
      <c r="F713" s="234"/>
      <c r="G713" s="234"/>
      <c r="H713" s="233"/>
      <c r="I713" s="233"/>
      <c r="J713" s="761"/>
      <c r="K713" s="233"/>
      <c r="L713" s="233"/>
      <c r="M713" s="233"/>
      <c r="N713" s="2403"/>
      <c r="O713" s="2403"/>
    </row>
    <row r="714" spans="3:15">
      <c r="C714" s="233"/>
      <c r="D714" s="233"/>
      <c r="E714" s="761"/>
      <c r="F714" s="234"/>
      <c r="G714" s="234"/>
      <c r="H714" s="233"/>
      <c r="I714" s="233"/>
      <c r="J714" s="761"/>
      <c r="K714" s="233"/>
      <c r="L714" s="233"/>
      <c r="M714" s="233"/>
      <c r="N714" s="2403"/>
      <c r="O714" s="2403"/>
    </row>
    <row r="715" spans="3:15">
      <c r="C715" s="233"/>
      <c r="D715" s="233"/>
      <c r="E715" s="761"/>
      <c r="F715" s="234"/>
      <c r="G715" s="234"/>
      <c r="H715" s="233"/>
      <c r="I715" s="233"/>
      <c r="J715" s="761"/>
      <c r="K715" s="233"/>
      <c r="L715" s="233"/>
      <c r="M715" s="233"/>
      <c r="N715" s="2403"/>
      <c r="O715" s="2403"/>
    </row>
    <row r="716" spans="3:15">
      <c r="C716" s="233"/>
      <c r="D716" s="233"/>
      <c r="E716" s="761"/>
      <c r="F716" s="234"/>
      <c r="G716" s="234"/>
      <c r="H716" s="233"/>
      <c r="I716" s="233"/>
      <c r="J716" s="761"/>
      <c r="K716" s="233"/>
      <c r="L716" s="233"/>
      <c r="M716" s="233"/>
      <c r="N716" s="2403"/>
      <c r="O716" s="2403"/>
    </row>
    <row r="717" spans="3:15">
      <c r="C717" s="233"/>
      <c r="D717" s="233"/>
      <c r="E717" s="761"/>
      <c r="F717" s="234"/>
      <c r="G717" s="234"/>
      <c r="H717" s="233"/>
      <c r="I717" s="233"/>
      <c r="J717" s="761"/>
      <c r="K717" s="233"/>
      <c r="L717" s="233"/>
      <c r="M717" s="233"/>
      <c r="N717" s="2403"/>
      <c r="O717" s="2403"/>
    </row>
    <row r="718" spans="3:15">
      <c r="C718" s="233"/>
      <c r="D718" s="233"/>
      <c r="E718" s="761"/>
      <c r="F718" s="234"/>
      <c r="G718" s="234"/>
      <c r="H718" s="233"/>
      <c r="I718" s="233"/>
      <c r="J718" s="761"/>
      <c r="K718" s="233"/>
      <c r="L718" s="233"/>
      <c r="M718" s="233"/>
      <c r="N718" s="2403"/>
      <c r="O718" s="2403"/>
    </row>
    <row r="719" spans="3:15">
      <c r="C719" s="233"/>
      <c r="D719" s="233"/>
      <c r="E719" s="761"/>
      <c r="F719" s="234"/>
      <c r="G719" s="234"/>
      <c r="H719" s="233"/>
      <c r="I719" s="233"/>
      <c r="J719" s="761"/>
      <c r="K719" s="233"/>
      <c r="L719" s="233"/>
      <c r="M719" s="233"/>
      <c r="N719" s="2403"/>
      <c r="O719" s="2403"/>
    </row>
    <row r="720" spans="3:15">
      <c r="C720" s="233"/>
      <c r="D720" s="233"/>
      <c r="E720" s="761"/>
      <c r="F720" s="234"/>
      <c r="G720" s="234"/>
      <c r="H720" s="233"/>
      <c r="I720" s="233"/>
      <c r="J720" s="761"/>
      <c r="K720" s="233"/>
      <c r="L720" s="233"/>
      <c r="M720" s="233"/>
      <c r="N720" s="2403"/>
      <c r="O720" s="2403"/>
    </row>
    <row r="721" spans="3:15">
      <c r="C721" s="233"/>
      <c r="D721" s="233"/>
      <c r="E721" s="761"/>
      <c r="F721" s="234"/>
      <c r="G721" s="234"/>
      <c r="H721" s="233"/>
      <c r="I721" s="233"/>
      <c r="J721" s="761"/>
      <c r="K721" s="233"/>
      <c r="L721" s="233"/>
      <c r="M721" s="233"/>
      <c r="N721" s="2403"/>
      <c r="O721" s="2403"/>
    </row>
    <row r="722" spans="3:15">
      <c r="C722" s="233"/>
      <c r="D722" s="233"/>
      <c r="E722" s="761"/>
      <c r="F722" s="234"/>
      <c r="G722" s="234"/>
      <c r="H722" s="233"/>
      <c r="I722" s="233"/>
      <c r="J722" s="761"/>
      <c r="K722" s="233"/>
      <c r="L722" s="233"/>
      <c r="M722" s="233"/>
      <c r="N722" s="2403"/>
      <c r="O722" s="2403"/>
    </row>
    <row r="723" spans="3:15">
      <c r="C723" s="233"/>
      <c r="D723" s="233"/>
      <c r="E723" s="761"/>
      <c r="F723" s="234"/>
      <c r="G723" s="234"/>
      <c r="H723" s="233"/>
      <c r="I723" s="233"/>
      <c r="J723" s="761"/>
      <c r="K723" s="233"/>
      <c r="L723" s="233"/>
      <c r="M723" s="233"/>
      <c r="N723" s="2403"/>
      <c r="O723" s="2403"/>
    </row>
    <row r="724" spans="3:15">
      <c r="C724" s="233"/>
      <c r="D724" s="233"/>
      <c r="E724" s="761"/>
      <c r="F724" s="234"/>
      <c r="G724" s="234"/>
      <c r="H724" s="233"/>
      <c r="I724" s="233"/>
      <c r="J724" s="761"/>
      <c r="K724" s="233"/>
      <c r="L724" s="233"/>
      <c r="M724" s="233"/>
      <c r="N724" s="2403"/>
      <c r="O724" s="2403"/>
    </row>
    <row r="725" spans="3:15">
      <c r="C725" s="233"/>
      <c r="D725" s="233"/>
      <c r="E725" s="761"/>
      <c r="F725" s="234"/>
      <c r="G725" s="234"/>
      <c r="H725" s="233"/>
      <c r="I725" s="233"/>
      <c r="J725" s="761"/>
      <c r="K725" s="233"/>
      <c r="L725" s="233"/>
      <c r="M725" s="233"/>
      <c r="N725" s="2403"/>
      <c r="O725" s="2403"/>
    </row>
    <row r="726" spans="3:15">
      <c r="C726" s="233"/>
      <c r="D726" s="233"/>
      <c r="E726" s="761"/>
      <c r="F726" s="234"/>
      <c r="G726" s="234"/>
      <c r="H726" s="233"/>
      <c r="I726" s="233"/>
      <c r="J726" s="761"/>
      <c r="K726" s="233"/>
      <c r="L726" s="233"/>
      <c r="M726" s="233"/>
      <c r="N726" s="2403"/>
      <c r="O726" s="2403"/>
    </row>
    <row r="727" spans="3:15">
      <c r="C727" s="233"/>
      <c r="D727" s="233"/>
      <c r="E727" s="761"/>
      <c r="F727" s="234"/>
      <c r="G727" s="234"/>
      <c r="H727" s="233"/>
      <c r="I727" s="233"/>
      <c r="J727" s="761"/>
      <c r="K727" s="233"/>
      <c r="L727" s="233"/>
      <c r="M727" s="233"/>
      <c r="N727" s="2403"/>
      <c r="O727" s="2403"/>
    </row>
    <row r="728" spans="3:15">
      <c r="C728" s="233"/>
      <c r="D728" s="233"/>
      <c r="E728" s="761"/>
      <c r="F728" s="234"/>
      <c r="G728" s="234"/>
      <c r="H728" s="233"/>
      <c r="I728" s="233"/>
      <c r="J728" s="761"/>
      <c r="K728" s="233"/>
      <c r="L728" s="233"/>
      <c r="M728" s="233"/>
      <c r="N728" s="2403"/>
      <c r="O728" s="2403"/>
    </row>
    <row r="729" spans="3:15">
      <c r="C729" s="233"/>
      <c r="D729" s="233"/>
      <c r="E729" s="761"/>
      <c r="F729" s="234"/>
      <c r="G729" s="234"/>
      <c r="H729" s="233"/>
      <c r="I729" s="233"/>
      <c r="J729" s="761"/>
      <c r="K729" s="233"/>
      <c r="L729" s="233"/>
      <c r="M729" s="233"/>
      <c r="N729" s="2403"/>
      <c r="O729" s="2403"/>
    </row>
    <row r="730" spans="3:15">
      <c r="C730" s="233"/>
      <c r="D730" s="233"/>
      <c r="E730" s="761"/>
      <c r="F730" s="234"/>
      <c r="G730" s="234"/>
      <c r="H730" s="233"/>
      <c r="I730" s="233"/>
      <c r="J730" s="761"/>
      <c r="K730" s="233"/>
      <c r="L730" s="233"/>
      <c r="M730" s="233"/>
      <c r="N730" s="2403"/>
      <c r="O730" s="2403"/>
    </row>
    <row r="731" spans="3:15">
      <c r="C731" s="233"/>
      <c r="D731" s="233"/>
      <c r="E731" s="761"/>
      <c r="F731" s="234"/>
      <c r="G731" s="234"/>
      <c r="H731" s="233"/>
      <c r="I731" s="233"/>
      <c r="J731" s="761"/>
      <c r="K731" s="233"/>
      <c r="L731" s="233"/>
      <c r="M731" s="233"/>
      <c r="N731" s="2403"/>
      <c r="O731" s="2403"/>
    </row>
    <row r="732" spans="3:15">
      <c r="C732" s="233"/>
      <c r="D732" s="233"/>
      <c r="E732" s="761"/>
      <c r="F732" s="234"/>
      <c r="G732" s="234"/>
      <c r="H732" s="233"/>
      <c r="I732" s="233"/>
      <c r="J732" s="761"/>
      <c r="K732" s="233"/>
      <c r="L732" s="233"/>
      <c r="M732" s="233"/>
      <c r="N732" s="2403"/>
      <c r="O732" s="2403"/>
    </row>
    <row r="733" spans="3:15">
      <c r="C733" s="233"/>
      <c r="D733" s="233"/>
      <c r="E733" s="761"/>
      <c r="F733" s="234"/>
      <c r="G733" s="234"/>
      <c r="H733" s="233"/>
      <c r="I733" s="233"/>
      <c r="J733" s="761"/>
      <c r="K733" s="233"/>
      <c r="L733" s="233"/>
      <c r="M733" s="233"/>
      <c r="N733" s="2403"/>
      <c r="O733" s="2403"/>
    </row>
    <row r="734" spans="3:15">
      <c r="C734" s="233"/>
      <c r="D734" s="233"/>
      <c r="E734" s="761"/>
      <c r="F734" s="234"/>
      <c r="G734" s="234"/>
      <c r="H734" s="233"/>
      <c r="I734" s="233"/>
      <c r="J734" s="761"/>
      <c r="K734" s="233"/>
      <c r="L734" s="233"/>
      <c r="M734" s="233"/>
      <c r="N734" s="2403"/>
      <c r="O734" s="2403"/>
    </row>
    <row r="735" spans="3:15">
      <c r="C735" s="233"/>
      <c r="D735" s="233"/>
      <c r="E735" s="761"/>
      <c r="F735" s="234"/>
      <c r="G735" s="234"/>
      <c r="H735" s="233"/>
      <c r="I735" s="233"/>
      <c r="J735" s="761"/>
      <c r="K735" s="233"/>
      <c r="L735" s="233"/>
      <c r="M735" s="233"/>
      <c r="N735" s="2403"/>
      <c r="O735" s="2403"/>
    </row>
    <row r="736" spans="3:15">
      <c r="C736" s="233"/>
      <c r="D736" s="233"/>
      <c r="E736" s="761"/>
      <c r="F736" s="234"/>
      <c r="G736" s="234"/>
      <c r="H736" s="233"/>
      <c r="I736" s="233"/>
      <c r="J736" s="761"/>
      <c r="K736" s="233"/>
      <c r="L736" s="233"/>
      <c r="M736" s="233"/>
      <c r="N736" s="2403"/>
      <c r="O736" s="2403"/>
    </row>
    <row r="737" spans="3:15">
      <c r="C737" s="233"/>
      <c r="D737" s="233"/>
      <c r="E737" s="761"/>
      <c r="F737" s="234"/>
      <c r="G737" s="234"/>
      <c r="H737" s="233"/>
      <c r="I737" s="233"/>
      <c r="J737" s="761"/>
      <c r="K737" s="233"/>
      <c r="L737" s="233"/>
      <c r="M737" s="233"/>
      <c r="N737" s="2403"/>
      <c r="O737" s="2403"/>
    </row>
    <row r="738" spans="3:15">
      <c r="C738" s="233"/>
      <c r="D738" s="233"/>
      <c r="E738" s="761"/>
      <c r="F738" s="234"/>
      <c r="G738" s="234"/>
      <c r="H738" s="233"/>
      <c r="I738" s="233"/>
      <c r="J738" s="761"/>
      <c r="K738" s="233"/>
      <c r="L738" s="233"/>
      <c r="M738" s="233"/>
      <c r="N738" s="2403"/>
      <c r="O738" s="2403"/>
    </row>
    <row r="739" spans="3:15">
      <c r="C739" s="233"/>
      <c r="D739" s="233"/>
      <c r="E739" s="761"/>
      <c r="F739" s="234"/>
      <c r="G739" s="234"/>
      <c r="H739" s="233"/>
      <c r="I739" s="233"/>
      <c r="J739" s="761"/>
      <c r="K739" s="233"/>
      <c r="L739" s="233"/>
      <c r="M739" s="233"/>
      <c r="N739" s="2403"/>
      <c r="O739" s="2403"/>
    </row>
    <row r="740" spans="3:15">
      <c r="C740" s="233"/>
      <c r="D740" s="233"/>
      <c r="E740" s="761"/>
      <c r="F740" s="234"/>
      <c r="G740" s="234"/>
      <c r="H740" s="233"/>
      <c r="I740" s="233"/>
      <c r="J740" s="761"/>
      <c r="K740" s="233"/>
      <c r="L740" s="233"/>
      <c r="M740" s="233"/>
      <c r="N740" s="2403"/>
      <c r="O740" s="2403"/>
    </row>
    <row r="741" spans="3:15">
      <c r="C741" s="233"/>
      <c r="D741" s="233"/>
      <c r="E741" s="761"/>
      <c r="F741" s="234"/>
      <c r="G741" s="234"/>
      <c r="H741" s="233"/>
      <c r="I741" s="233"/>
      <c r="J741" s="761"/>
      <c r="K741" s="233"/>
      <c r="L741" s="233"/>
      <c r="M741" s="233"/>
      <c r="N741" s="2403"/>
      <c r="O741" s="2403"/>
    </row>
    <row r="742" spans="3:15">
      <c r="C742" s="233"/>
      <c r="D742" s="233"/>
      <c r="E742" s="761"/>
      <c r="F742" s="234"/>
      <c r="G742" s="234"/>
      <c r="H742" s="233"/>
      <c r="I742" s="233"/>
      <c r="J742" s="761"/>
      <c r="K742" s="233"/>
      <c r="L742" s="233"/>
      <c r="M742" s="233"/>
      <c r="N742" s="2403"/>
      <c r="O742" s="2403"/>
    </row>
    <row r="743" spans="3:15">
      <c r="C743" s="233"/>
      <c r="D743" s="233"/>
      <c r="E743" s="761"/>
      <c r="F743" s="234"/>
      <c r="G743" s="234"/>
      <c r="H743" s="233"/>
      <c r="I743" s="233"/>
      <c r="J743" s="761"/>
      <c r="K743" s="233"/>
      <c r="L743" s="233"/>
      <c r="M743" s="233"/>
      <c r="N743" s="2403"/>
      <c r="O743" s="2403"/>
    </row>
    <row r="744" spans="3:15">
      <c r="C744" s="233"/>
      <c r="D744" s="233"/>
      <c r="E744" s="761"/>
      <c r="F744" s="234"/>
      <c r="G744" s="234"/>
      <c r="H744" s="233"/>
      <c r="I744" s="233"/>
      <c r="J744" s="761"/>
      <c r="K744" s="233"/>
      <c r="L744" s="233"/>
      <c r="M744" s="233"/>
      <c r="N744" s="2403"/>
      <c r="O744" s="2403"/>
    </row>
    <row r="745" spans="3:15">
      <c r="C745" s="233"/>
      <c r="D745" s="233"/>
      <c r="E745" s="761"/>
      <c r="F745" s="234"/>
      <c r="G745" s="234"/>
      <c r="H745" s="233"/>
      <c r="I745" s="233"/>
      <c r="J745" s="761"/>
      <c r="K745" s="233"/>
      <c r="L745" s="233"/>
      <c r="M745" s="233"/>
      <c r="N745" s="2403"/>
      <c r="O745" s="2403"/>
    </row>
    <row r="746" spans="3:15">
      <c r="C746" s="233"/>
      <c r="D746" s="233"/>
      <c r="E746" s="761"/>
      <c r="F746" s="234"/>
      <c r="G746" s="234"/>
      <c r="H746" s="233"/>
      <c r="I746" s="233"/>
      <c r="J746" s="761"/>
      <c r="K746" s="233"/>
      <c r="L746" s="233"/>
      <c r="M746" s="233"/>
      <c r="N746" s="2403"/>
      <c r="O746" s="2403"/>
    </row>
    <row r="747" spans="3:15">
      <c r="C747" s="233"/>
      <c r="D747" s="233"/>
      <c r="E747" s="761"/>
      <c r="F747" s="234"/>
      <c r="G747" s="234"/>
      <c r="H747" s="233"/>
      <c r="I747" s="233"/>
      <c r="J747" s="761"/>
      <c r="K747" s="233"/>
      <c r="L747" s="233"/>
      <c r="M747" s="233"/>
      <c r="N747" s="2403"/>
      <c r="O747" s="2403"/>
    </row>
    <row r="748" spans="3:15">
      <c r="C748" s="233"/>
      <c r="D748" s="233"/>
      <c r="E748" s="761"/>
      <c r="F748" s="234"/>
      <c r="G748" s="234"/>
      <c r="H748" s="233"/>
      <c r="I748" s="233"/>
      <c r="J748" s="761"/>
      <c r="K748" s="233"/>
      <c r="L748" s="233"/>
      <c r="M748" s="233"/>
      <c r="N748" s="2403"/>
      <c r="O748" s="2403"/>
    </row>
    <row r="749" spans="3:15">
      <c r="C749" s="233"/>
      <c r="D749" s="233"/>
      <c r="E749" s="761"/>
      <c r="F749" s="234"/>
      <c r="G749" s="234"/>
      <c r="H749" s="233"/>
      <c r="I749" s="233"/>
      <c r="J749" s="761"/>
      <c r="K749" s="233"/>
      <c r="L749" s="233"/>
      <c r="M749" s="233"/>
      <c r="N749" s="2403"/>
      <c r="O749" s="2403"/>
    </row>
    <row r="750" spans="3:15">
      <c r="C750" s="233"/>
      <c r="D750" s="233"/>
      <c r="E750" s="761"/>
      <c r="F750" s="234"/>
      <c r="G750" s="234"/>
      <c r="H750" s="233"/>
      <c r="I750" s="233"/>
      <c r="J750" s="761"/>
      <c r="K750" s="233"/>
      <c r="L750" s="233"/>
      <c r="M750" s="233"/>
      <c r="N750" s="2403"/>
      <c r="O750" s="2403"/>
    </row>
    <row r="751" spans="3:15">
      <c r="C751" s="233"/>
      <c r="D751" s="233"/>
      <c r="E751" s="761"/>
      <c r="F751" s="234"/>
      <c r="G751" s="234"/>
      <c r="H751" s="233"/>
      <c r="I751" s="233"/>
      <c r="J751" s="761"/>
      <c r="K751" s="233"/>
      <c r="L751" s="233"/>
      <c r="M751" s="233"/>
      <c r="N751" s="2403"/>
      <c r="O751" s="2403"/>
    </row>
    <row r="752" spans="3:15">
      <c r="C752" s="233"/>
      <c r="D752" s="233"/>
      <c r="E752" s="761"/>
      <c r="F752" s="234"/>
      <c r="G752" s="234"/>
      <c r="H752" s="233"/>
      <c r="I752" s="233"/>
      <c r="J752" s="761"/>
      <c r="K752" s="233"/>
      <c r="L752" s="233"/>
      <c r="M752" s="233"/>
      <c r="N752" s="2403"/>
      <c r="O752" s="2403"/>
    </row>
    <row r="753" spans="3:15">
      <c r="C753" s="233"/>
      <c r="D753" s="233"/>
      <c r="E753" s="761"/>
      <c r="F753" s="234"/>
      <c r="G753" s="234"/>
      <c r="H753" s="233"/>
      <c r="I753" s="233"/>
      <c r="J753" s="761"/>
      <c r="K753" s="233"/>
      <c r="L753" s="233"/>
      <c r="M753" s="233"/>
      <c r="N753" s="2403"/>
      <c r="O753" s="2403"/>
    </row>
    <row r="754" spans="3:15">
      <c r="C754" s="233"/>
      <c r="D754" s="233"/>
      <c r="E754" s="761"/>
      <c r="F754" s="234"/>
      <c r="G754" s="234"/>
      <c r="H754" s="233"/>
      <c r="I754" s="233"/>
      <c r="J754" s="761"/>
      <c r="K754" s="233"/>
      <c r="L754" s="233"/>
      <c r="M754" s="233"/>
      <c r="N754" s="2403"/>
      <c r="O754" s="2403"/>
    </row>
    <row r="755" spans="3:15">
      <c r="C755" s="233"/>
      <c r="D755" s="233"/>
      <c r="E755" s="761"/>
      <c r="F755" s="234"/>
      <c r="G755" s="234"/>
      <c r="H755" s="233"/>
      <c r="I755" s="233"/>
      <c r="J755" s="761"/>
      <c r="K755" s="233"/>
      <c r="L755" s="233"/>
      <c r="M755" s="233"/>
      <c r="N755" s="2403"/>
      <c r="O755" s="2403"/>
    </row>
    <row r="756" spans="3:15">
      <c r="C756" s="233"/>
      <c r="D756" s="233"/>
      <c r="E756" s="761"/>
      <c r="F756" s="234"/>
      <c r="G756" s="234"/>
      <c r="H756" s="233"/>
      <c r="I756" s="233"/>
      <c r="J756" s="761"/>
      <c r="K756" s="233"/>
      <c r="L756" s="233"/>
      <c r="M756" s="233"/>
      <c r="N756" s="2403"/>
      <c r="O756" s="2403"/>
    </row>
    <row r="757" spans="3:15">
      <c r="C757" s="233"/>
      <c r="D757" s="233"/>
      <c r="E757" s="761"/>
      <c r="F757" s="234"/>
      <c r="G757" s="234"/>
      <c r="H757" s="233"/>
      <c r="I757" s="233"/>
      <c r="J757" s="761"/>
      <c r="K757" s="233"/>
      <c r="L757" s="233"/>
      <c r="M757" s="233"/>
      <c r="N757" s="2403"/>
      <c r="O757" s="2403"/>
    </row>
    <row r="758" spans="3:15">
      <c r="C758" s="233"/>
      <c r="D758" s="233"/>
      <c r="E758" s="761"/>
      <c r="F758" s="234"/>
      <c r="G758" s="234"/>
      <c r="H758" s="233"/>
      <c r="I758" s="233"/>
      <c r="J758" s="761"/>
      <c r="K758" s="233"/>
      <c r="L758" s="233"/>
      <c r="M758" s="233"/>
      <c r="N758" s="2403"/>
      <c r="O758" s="2403"/>
    </row>
    <row r="759" spans="3:15">
      <c r="C759" s="233"/>
      <c r="D759" s="233"/>
      <c r="E759" s="761"/>
      <c r="F759" s="234"/>
      <c r="G759" s="234"/>
      <c r="H759" s="233"/>
      <c r="I759" s="233"/>
      <c r="J759" s="761"/>
      <c r="K759" s="233"/>
      <c r="L759" s="233"/>
      <c r="M759" s="233"/>
      <c r="N759" s="2403"/>
      <c r="O759" s="2403"/>
    </row>
    <row r="760" spans="3:15">
      <c r="C760" s="233"/>
      <c r="D760" s="233"/>
      <c r="E760" s="761"/>
      <c r="F760" s="234"/>
      <c r="G760" s="234"/>
      <c r="H760" s="233"/>
      <c r="I760" s="233"/>
      <c r="J760" s="761"/>
      <c r="K760" s="233"/>
      <c r="L760" s="233"/>
      <c r="M760" s="233"/>
      <c r="N760" s="2403"/>
      <c r="O760" s="2403"/>
    </row>
    <row r="761" spans="3:15">
      <c r="C761" s="233"/>
      <c r="D761" s="233"/>
      <c r="E761" s="761"/>
      <c r="F761" s="234"/>
      <c r="G761" s="234"/>
      <c r="H761" s="233"/>
      <c r="I761" s="233"/>
      <c r="J761" s="761"/>
      <c r="K761" s="233"/>
      <c r="L761" s="233"/>
      <c r="M761" s="233"/>
      <c r="N761" s="2403"/>
      <c r="O761" s="2403"/>
    </row>
    <row r="762" spans="3:15">
      <c r="C762" s="233"/>
      <c r="D762" s="233"/>
      <c r="E762" s="761"/>
      <c r="F762" s="234"/>
      <c r="G762" s="234"/>
      <c r="H762" s="233"/>
      <c r="I762" s="233"/>
      <c r="J762" s="761"/>
      <c r="K762" s="233"/>
      <c r="L762" s="233"/>
      <c r="M762" s="233"/>
      <c r="N762" s="2403"/>
      <c r="O762" s="2403"/>
    </row>
    <row r="763" spans="3:15">
      <c r="C763" s="233"/>
      <c r="D763" s="233"/>
      <c r="E763" s="761"/>
      <c r="F763" s="234"/>
      <c r="G763" s="234"/>
      <c r="H763" s="233"/>
      <c r="I763" s="233"/>
      <c r="J763" s="761"/>
      <c r="K763" s="233"/>
      <c r="L763" s="233"/>
      <c r="M763" s="233"/>
      <c r="N763" s="2403"/>
      <c r="O763" s="2403"/>
    </row>
    <row r="764" spans="3:15">
      <c r="C764" s="233"/>
      <c r="D764" s="233"/>
      <c r="E764" s="761"/>
      <c r="F764" s="234"/>
      <c r="G764" s="234"/>
      <c r="H764" s="233"/>
      <c r="I764" s="233"/>
      <c r="J764" s="761"/>
      <c r="K764" s="233"/>
      <c r="L764" s="233"/>
      <c r="M764" s="233"/>
      <c r="N764" s="2403"/>
      <c r="O764" s="2403"/>
    </row>
    <row r="765" spans="3:15">
      <c r="C765" s="233"/>
      <c r="D765" s="233"/>
      <c r="E765" s="761"/>
      <c r="F765" s="234"/>
      <c r="G765" s="234"/>
      <c r="H765" s="233"/>
      <c r="I765" s="233"/>
      <c r="J765" s="761"/>
      <c r="K765" s="233"/>
      <c r="L765" s="233"/>
      <c r="M765" s="233"/>
      <c r="N765" s="2403"/>
      <c r="O765" s="2403"/>
    </row>
    <row r="766" spans="3:15">
      <c r="C766" s="233"/>
      <c r="D766" s="233"/>
      <c r="E766" s="761"/>
      <c r="F766" s="234"/>
      <c r="G766" s="234"/>
      <c r="H766" s="233"/>
      <c r="I766" s="233"/>
      <c r="J766" s="761"/>
      <c r="K766" s="233"/>
      <c r="L766" s="233"/>
      <c r="M766" s="233"/>
      <c r="N766" s="2403"/>
      <c r="O766" s="2403"/>
    </row>
    <row r="767" spans="3:15">
      <c r="C767" s="233"/>
      <c r="D767" s="233"/>
      <c r="E767" s="761"/>
      <c r="F767" s="234"/>
      <c r="G767" s="234"/>
      <c r="H767" s="233"/>
      <c r="I767" s="233"/>
      <c r="J767" s="761"/>
      <c r="K767" s="233"/>
      <c r="L767" s="233"/>
      <c r="M767" s="233"/>
      <c r="N767" s="2403"/>
      <c r="O767" s="2403"/>
    </row>
    <row r="768" spans="3:15">
      <c r="C768" s="233"/>
      <c r="D768" s="233"/>
      <c r="E768" s="761"/>
      <c r="F768" s="234"/>
      <c r="G768" s="234"/>
      <c r="H768" s="233"/>
      <c r="I768" s="233"/>
      <c r="J768" s="761"/>
      <c r="K768" s="233"/>
      <c r="L768" s="233"/>
      <c r="M768" s="233"/>
      <c r="N768" s="2403"/>
      <c r="O768" s="2403"/>
    </row>
    <row r="769" spans="3:15">
      <c r="C769" s="233"/>
      <c r="D769" s="233"/>
      <c r="E769" s="761"/>
      <c r="F769" s="234"/>
      <c r="G769" s="234"/>
      <c r="H769" s="233"/>
      <c r="I769" s="233"/>
      <c r="J769" s="761"/>
      <c r="K769" s="233"/>
      <c r="L769" s="233"/>
      <c r="M769" s="233"/>
      <c r="N769" s="2403"/>
      <c r="O769" s="2403"/>
    </row>
    <row r="770" spans="3:15">
      <c r="C770" s="233"/>
      <c r="D770" s="233"/>
      <c r="E770" s="761"/>
      <c r="F770" s="234"/>
      <c r="G770" s="234"/>
      <c r="H770" s="233"/>
      <c r="I770" s="233"/>
      <c r="J770" s="761"/>
      <c r="K770" s="233"/>
      <c r="L770" s="233"/>
      <c r="M770" s="233"/>
      <c r="N770" s="2403"/>
      <c r="O770" s="2403"/>
    </row>
    <row r="771" spans="3:15">
      <c r="C771" s="233"/>
      <c r="D771" s="233"/>
      <c r="E771" s="761"/>
      <c r="F771" s="234"/>
      <c r="G771" s="234"/>
      <c r="H771" s="233"/>
      <c r="I771" s="233"/>
      <c r="J771" s="761"/>
      <c r="K771" s="233"/>
      <c r="L771" s="233"/>
      <c r="M771" s="233"/>
      <c r="N771" s="2403"/>
      <c r="O771" s="2403"/>
    </row>
    <row r="772" spans="3:15">
      <c r="C772" s="233"/>
      <c r="D772" s="233"/>
      <c r="E772" s="761"/>
      <c r="F772" s="234"/>
      <c r="G772" s="234"/>
      <c r="H772" s="233"/>
      <c r="I772" s="233"/>
      <c r="J772" s="761"/>
      <c r="K772" s="233"/>
      <c r="L772" s="233"/>
      <c r="M772" s="233"/>
      <c r="N772" s="2403"/>
      <c r="O772" s="2403"/>
    </row>
    <row r="773" spans="3:15">
      <c r="C773" s="233"/>
      <c r="D773" s="233"/>
      <c r="E773" s="761"/>
      <c r="F773" s="234"/>
      <c r="G773" s="234"/>
      <c r="H773" s="233"/>
      <c r="I773" s="233"/>
      <c r="J773" s="761"/>
      <c r="K773" s="233"/>
      <c r="L773" s="233"/>
      <c r="M773" s="233"/>
      <c r="N773" s="2403"/>
      <c r="O773" s="2403"/>
    </row>
    <row r="774" spans="3:15">
      <c r="C774" s="233"/>
      <c r="D774" s="233"/>
      <c r="E774" s="761"/>
      <c r="F774" s="234"/>
      <c r="G774" s="234"/>
      <c r="H774" s="233"/>
      <c r="I774" s="233"/>
      <c r="J774" s="761"/>
      <c r="K774" s="233"/>
      <c r="L774" s="233"/>
      <c r="M774" s="233"/>
      <c r="N774" s="2403"/>
      <c r="O774" s="2403"/>
    </row>
    <row r="775" spans="3:15">
      <c r="C775" s="233"/>
      <c r="D775" s="233"/>
      <c r="E775" s="761"/>
      <c r="F775" s="234"/>
      <c r="G775" s="234"/>
      <c r="H775" s="233"/>
      <c r="I775" s="233"/>
      <c r="J775" s="761"/>
      <c r="K775" s="233"/>
      <c r="L775" s="233"/>
      <c r="M775" s="233"/>
      <c r="N775" s="2403"/>
      <c r="O775" s="2403"/>
    </row>
    <row r="776" spans="3:15">
      <c r="C776" s="233"/>
      <c r="D776" s="233"/>
      <c r="E776" s="761"/>
      <c r="F776" s="234"/>
      <c r="G776" s="234"/>
      <c r="H776" s="233"/>
      <c r="I776" s="233"/>
      <c r="J776" s="761"/>
      <c r="K776" s="233"/>
      <c r="L776" s="233"/>
      <c r="M776" s="233"/>
      <c r="N776" s="2403"/>
      <c r="O776" s="2403"/>
    </row>
    <row r="777" spans="3:15">
      <c r="C777" s="233"/>
      <c r="D777" s="233"/>
      <c r="E777" s="761"/>
      <c r="F777" s="234"/>
      <c r="G777" s="234"/>
      <c r="H777" s="233"/>
      <c r="I777" s="233"/>
      <c r="J777" s="761"/>
      <c r="K777" s="233"/>
      <c r="L777" s="233"/>
      <c r="M777" s="233"/>
      <c r="N777" s="2403"/>
      <c r="O777" s="2403"/>
    </row>
    <row r="778" spans="3:15">
      <c r="C778" s="233"/>
      <c r="D778" s="233"/>
      <c r="E778" s="761"/>
      <c r="F778" s="234"/>
      <c r="G778" s="234"/>
      <c r="H778" s="233"/>
      <c r="I778" s="233"/>
      <c r="J778" s="761"/>
      <c r="K778" s="233"/>
      <c r="L778" s="233"/>
      <c r="M778" s="233"/>
      <c r="N778" s="2403"/>
      <c r="O778" s="2403"/>
    </row>
    <row r="779" spans="3:15">
      <c r="C779" s="233"/>
      <c r="D779" s="233"/>
      <c r="E779" s="761"/>
      <c r="F779" s="234"/>
      <c r="G779" s="234"/>
      <c r="H779" s="233"/>
      <c r="I779" s="233"/>
      <c r="J779" s="761"/>
      <c r="K779" s="233"/>
      <c r="L779" s="233"/>
      <c r="M779" s="233"/>
      <c r="N779" s="2403"/>
      <c r="O779" s="2403"/>
    </row>
    <row r="780" spans="3:15">
      <c r="C780" s="233"/>
      <c r="D780" s="233"/>
      <c r="E780" s="761"/>
      <c r="F780" s="234"/>
      <c r="G780" s="234"/>
      <c r="H780" s="233"/>
      <c r="I780" s="233"/>
      <c r="J780" s="761"/>
      <c r="K780" s="233"/>
      <c r="L780" s="233"/>
      <c r="M780" s="233"/>
      <c r="N780" s="2403"/>
      <c r="O780" s="2403"/>
    </row>
    <row r="781" spans="3:15">
      <c r="C781" s="233"/>
      <c r="D781" s="233"/>
      <c r="E781" s="761"/>
      <c r="F781" s="234"/>
      <c r="G781" s="234"/>
      <c r="H781" s="233"/>
      <c r="I781" s="233"/>
      <c r="J781" s="761"/>
      <c r="K781" s="233"/>
      <c r="L781" s="233"/>
      <c r="M781" s="233"/>
      <c r="N781" s="2403"/>
      <c r="O781" s="2403"/>
    </row>
    <row r="782" spans="3:15">
      <c r="C782" s="233"/>
      <c r="D782" s="233"/>
      <c r="E782" s="761"/>
      <c r="F782" s="234"/>
      <c r="G782" s="234"/>
      <c r="H782" s="233"/>
      <c r="I782" s="233"/>
      <c r="J782" s="761"/>
      <c r="K782" s="233"/>
      <c r="L782" s="233"/>
      <c r="M782" s="233"/>
      <c r="N782" s="2403"/>
      <c r="O782" s="2403"/>
    </row>
    <row r="783" spans="3:15">
      <c r="C783" s="233"/>
      <c r="D783" s="233"/>
      <c r="E783" s="761"/>
      <c r="F783" s="234"/>
      <c r="G783" s="234"/>
      <c r="H783" s="233"/>
      <c r="I783" s="233"/>
      <c r="J783" s="761"/>
      <c r="K783" s="233"/>
      <c r="L783" s="233"/>
      <c r="M783" s="233"/>
      <c r="N783" s="2403"/>
      <c r="O783" s="2403"/>
    </row>
    <row r="784" spans="3:15">
      <c r="C784" s="233"/>
      <c r="D784" s="233"/>
      <c r="E784" s="761"/>
      <c r="F784" s="234"/>
      <c r="G784" s="234"/>
      <c r="H784" s="233"/>
      <c r="I784" s="233"/>
      <c r="J784" s="761"/>
      <c r="K784" s="233"/>
      <c r="L784" s="233"/>
      <c r="M784" s="233"/>
      <c r="N784" s="2403"/>
      <c r="O784" s="2403"/>
    </row>
    <row r="785" spans="3:15">
      <c r="C785" s="233"/>
      <c r="D785" s="233"/>
      <c r="E785" s="761"/>
      <c r="F785" s="234"/>
      <c r="G785" s="234"/>
      <c r="H785" s="233"/>
      <c r="I785" s="233"/>
      <c r="J785" s="761"/>
      <c r="K785" s="233"/>
      <c r="L785" s="233"/>
      <c r="M785" s="233"/>
      <c r="N785" s="2403"/>
      <c r="O785" s="2403"/>
    </row>
    <row r="786" spans="3:15">
      <c r="C786" s="233"/>
      <c r="D786" s="233"/>
      <c r="E786" s="761"/>
      <c r="F786" s="234"/>
      <c r="G786" s="234"/>
      <c r="H786" s="233"/>
      <c r="I786" s="233"/>
      <c r="J786" s="761"/>
      <c r="K786" s="233"/>
      <c r="L786" s="233"/>
      <c r="M786" s="233"/>
      <c r="N786" s="2403"/>
      <c r="O786" s="2403"/>
    </row>
    <row r="787" spans="3:15">
      <c r="C787" s="233"/>
      <c r="D787" s="233"/>
      <c r="E787" s="761"/>
      <c r="F787" s="234"/>
      <c r="G787" s="234"/>
      <c r="H787" s="233"/>
      <c r="I787" s="233"/>
      <c r="J787" s="761"/>
      <c r="K787" s="233"/>
      <c r="L787" s="233"/>
      <c r="M787" s="233"/>
      <c r="N787" s="2403"/>
      <c r="O787" s="2403"/>
    </row>
    <row r="788" spans="3:15">
      <c r="C788" s="233"/>
      <c r="D788" s="233"/>
      <c r="E788" s="761"/>
      <c r="F788" s="234"/>
      <c r="G788" s="234"/>
      <c r="H788" s="233"/>
      <c r="I788" s="233"/>
      <c r="J788" s="761"/>
      <c r="K788" s="233"/>
      <c r="L788" s="233"/>
      <c r="M788" s="233"/>
      <c r="N788" s="2403"/>
      <c r="O788" s="2403"/>
    </row>
    <row r="789" spans="3:15">
      <c r="C789" s="233"/>
      <c r="D789" s="233"/>
      <c r="E789" s="761"/>
      <c r="F789" s="234"/>
      <c r="G789" s="234"/>
      <c r="H789" s="233"/>
      <c r="I789" s="233"/>
      <c r="J789" s="761"/>
      <c r="K789" s="233"/>
      <c r="L789" s="233"/>
      <c r="M789" s="233"/>
      <c r="N789" s="2403"/>
      <c r="O789" s="2403"/>
    </row>
    <row r="790" spans="3:15">
      <c r="C790" s="233"/>
      <c r="D790" s="233"/>
      <c r="E790" s="761"/>
      <c r="F790" s="234"/>
      <c r="G790" s="234"/>
      <c r="H790" s="233"/>
      <c r="I790" s="233"/>
      <c r="J790" s="761"/>
      <c r="K790" s="233"/>
      <c r="L790" s="233"/>
      <c r="M790" s="233"/>
      <c r="N790" s="2403"/>
      <c r="O790" s="2403"/>
    </row>
    <row r="791" spans="3:15">
      <c r="C791" s="233"/>
      <c r="D791" s="233"/>
      <c r="E791" s="761"/>
      <c r="F791" s="234"/>
      <c r="G791" s="234"/>
      <c r="H791" s="233"/>
      <c r="I791" s="233"/>
      <c r="J791" s="761"/>
      <c r="K791" s="233"/>
      <c r="L791" s="233"/>
      <c r="M791" s="233"/>
      <c r="N791" s="2403"/>
      <c r="O791" s="2403"/>
    </row>
    <row r="792" spans="3:15">
      <c r="C792" s="233"/>
      <c r="D792" s="233"/>
      <c r="E792" s="761"/>
      <c r="F792" s="234"/>
      <c r="G792" s="234"/>
      <c r="H792" s="233"/>
      <c r="I792" s="233"/>
      <c r="J792" s="761"/>
      <c r="K792" s="233"/>
      <c r="L792" s="233"/>
      <c r="M792" s="233"/>
      <c r="N792" s="2403"/>
      <c r="O792" s="2403"/>
    </row>
    <row r="793" spans="3:15">
      <c r="C793" s="233"/>
      <c r="D793" s="233"/>
      <c r="E793" s="761"/>
      <c r="F793" s="234"/>
      <c r="G793" s="234"/>
      <c r="H793" s="233"/>
      <c r="I793" s="233"/>
      <c r="J793" s="761"/>
      <c r="K793" s="233"/>
      <c r="L793" s="233"/>
      <c r="M793" s="233"/>
      <c r="N793" s="2403"/>
      <c r="O793" s="2403"/>
    </row>
    <row r="794" spans="3:15">
      <c r="C794" s="233"/>
      <c r="D794" s="233"/>
      <c r="E794" s="761"/>
      <c r="F794" s="234"/>
      <c r="G794" s="234"/>
      <c r="H794" s="233"/>
      <c r="I794" s="233"/>
      <c r="J794" s="761"/>
      <c r="K794" s="233"/>
      <c r="L794" s="233"/>
      <c r="M794" s="233"/>
      <c r="N794" s="2403"/>
      <c r="O794" s="2403"/>
    </row>
    <row r="795" spans="3:15">
      <c r="C795" s="233"/>
      <c r="D795" s="233"/>
      <c r="E795" s="761"/>
      <c r="F795" s="234"/>
      <c r="G795" s="234"/>
      <c r="H795" s="233"/>
      <c r="I795" s="233"/>
      <c r="J795" s="761"/>
      <c r="K795" s="233"/>
      <c r="L795" s="233"/>
      <c r="M795" s="233"/>
      <c r="N795" s="2403"/>
      <c r="O795" s="2403"/>
    </row>
    <row r="796" spans="3:15">
      <c r="C796" s="233"/>
      <c r="D796" s="233"/>
      <c r="E796" s="761"/>
      <c r="F796" s="234"/>
      <c r="G796" s="234"/>
      <c r="H796" s="233"/>
      <c r="I796" s="233"/>
      <c r="J796" s="761"/>
      <c r="K796" s="233"/>
      <c r="L796" s="233"/>
      <c r="M796" s="233"/>
      <c r="N796" s="2403"/>
      <c r="O796" s="2403"/>
    </row>
    <row r="797" spans="3:15">
      <c r="C797" s="233"/>
      <c r="D797" s="233"/>
      <c r="E797" s="761"/>
      <c r="F797" s="234"/>
      <c r="G797" s="234"/>
      <c r="H797" s="233"/>
      <c r="I797" s="233"/>
      <c r="J797" s="761"/>
      <c r="K797" s="233"/>
      <c r="L797" s="233"/>
      <c r="M797" s="233"/>
      <c r="N797" s="2403"/>
      <c r="O797" s="2403"/>
    </row>
    <row r="798" spans="3:15">
      <c r="C798" s="233"/>
      <c r="D798" s="233"/>
      <c r="E798" s="761"/>
      <c r="F798" s="234"/>
      <c r="G798" s="234"/>
      <c r="H798" s="233"/>
      <c r="I798" s="233"/>
      <c r="J798" s="761"/>
      <c r="K798" s="233"/>
      <c r="L798" s="233"/>
      <c r="M798" s="233"/>
      <c r="N798" s="2403"/>
      <c r="O798" s="2403"/>
    </row>
    <row r="799" spans="3:15">
      <c r="C799" s="233"/>
      <c r="D799" s="233"/>
      <c r="E799" s="761"/>
      <c r="F799" s="234"/>
      <c r="G799" s="234"/>
      <c r="H799" s="233"/>
      <c r="I799" s="233"/>
      <c r="J799" s="761"/>
      <c r="K799" s="233"/>
      <c r="L799" s="233"/>
      <c r="M799" s="233"/>
      <c r="N799" s="2403"/>
      <c r="O799" s="2403"/>
    </row>
    <row r="800" spans="3:15">
      <c r="C800" s="233"/>
      <c r="D800" s="233"/>
      <c r="E800" s="761"/>
      <c r="F800" s="234"/>
      <c r="G800" s="234"/>
      <c r="H800" s="233"/>
      <c r="I800" s="233"/>
      <c r="J800" s="761"/>
      <c r="K800" s="233"/>
      <c r="L800" s="233"/>
      <c r="M800" s="233"/>
      <c r="N800" s="2403"/>
      <c r="O800" s="2403"/>
    </row>
    <row r="801" spans="3:15">
      <c r="C801" s="233"/>
      <c r="D801" s="233"/>
      <c r="E801" s="761"/>
      <c r="F801" s="234"/>
      <c r="G801" s="234"/>
      <c r="H801" s="233"/>
      <c r="I801" s="233"/>
      <c r="J801" s="761"/>
      <c r="K801" s="233"/>
      <c r="L801" s="233"/>
      <c r="M801" s="233"/>
      <c r="N801" s="2403"/>
      <c r="O801" s="2403"/>
    </row>
    <row r="802" spans="3:15">
      <c r="C802" s="233"/>
      <c r="D802" s="233"/>
      <c r="E802" s="761"/>
      <c r="F802" s="234"/>
      <c r="G802" s="234"/>
      <c r="H802" s="233"/>
      <c r="I802" s="233"/>
      <c r="J802" s="761"/>
      <c r="K802" s="233"/>
      <c r="L802" s="233"/>
      <c r="M802" s="233"/>
      <c r="N802" s="2403"/>
      <c r="O802" s="2403"/>
    </row>
    <row r="803" spans="3:15">
      <c r="C803" s="233"/>
      <c r="D803" s="233"/>
      <c r="E803" s="761"/>
      <c r="F803" s="234"/>
      <c r="G803" s="234"/>
      <c r="H803" s="233"/>
      <c r="I803" s="233"/>
      <c r="J803" s="761"/>
      <c r="K803" s="233"/>
      <c r="L803" s="233"/>
      <c r="M803" s="233"/>
      <c r="N803" s="2403"/>
      <c r="O803" s="2403"/>
    </row>
    <row r="804" spans="3:15">
      <c r="C804" s="233"/>
      <c r="D804" s="233"/>
      <c r="E804" s="761"/>
      <c r="F804" s="234"/>
      <c r="G804" s="234"/>
      <c r="H804" s="233"/>
      <c r="I804" s="233"/>
      <c r="J804" s="761"/>
      <c r="K804" s="233"/>
      <c r="L804" s="233"/>
      <c r="M804" s="233"/>
      <c r="N804" s="2403"/>
      <c r="O804" s="2403"/>
    </row>
    <row r="805" spans="3:15">
      <c r="C805" s="233"/>
      <c r="D805" s="233"/>
      <c r="E805" s="761"/>
      <c r="F805" s="234"/>
      <c r="G805" s="234"/>
      <c r="H805" s="233"/>
      <c r="I805" s="233"/>
      <c r="J805" s="761"/>
      <c r="K805" s="233"/>
      <c r="L805" s="233"/>
      <c r="M805" s="233"/>
      <c r="N805" s="2403"/>
      <c r="O805" s="2403"/>
    </row>
    <row r="806" spans="3:15">
      <c r="C806" s="233"/>
      <c r="D806" s="233"/>
      <c r="E806" s="761"/>
      <c r="F806" s="234"/>
      <c r="G806" s="234"/>
      <c r="H806" s="233"/>
      <c r="I806" s="233"/>
      <c r="J806" s="761"/>
      <c r="K806" s="233"/>
      <c r="L806" s="233"/>
      <c r="M806" s="233"/>
      <c r="N806" s="2403"/>
      <c r="O806" s="2403"/>
    </row>
    <row r="807" spans="3:15">
      <c r="C807" s="233"/>
      <c r="D807" s="233"/>
      <c r="E807" s="761"/>
      <c r="F807" s="234"/>
      <c r="G807" s="234"/>
      <c r="H807" s="233"/>
      <c r="I807" s="233"/>
      <c r="J807" s="761"/>
      <c r="K807" s="233"/>
      <c r="L807" s="233"/>
      <c r="M807" s="233"/>
      <c r="N807" s="2403"/>
      <c r="O807" s="2403"/>
    </row>
    <row r="808" spans="3:15">
      <c r="C808" s="233"/>
      <c r="D808" s="233"/>
      <c r="E808" s="761"/>
      <c r="F808" s="234"/>
      <c r="G808" s="234"/>
      <c r="H808" s="233"/>
      <c r="I808" s="233"/>
      <c r="J808" s="761"/>
      <c r="K808" s="233"/>
      <c r="L808" s="233"/>
      <c r="M808" s="233"/>
      <c r="N808" s="2403"/>
      <c r="O808" s="2403"/>
    </row>
    <row r="809" spans="3:15">
      <c r="C809" s="233"/>
      <c r="D809" s="233"/>
      <c r="E809" s="761"/>
      <c r="F809" s="234"/>
      <c r="G809" s="234"/>
      <c r="H809" s="233"/>
      <c r="I809" s="233"/>
      <c r="J809" s="761"/>
      <c r="K809" s="233"/>
      <c r="L809" s="233"/>
      <c r="M809" s="233"/>
      <c r="N809" s="2403"/>
      <c r="O809" s="2403"/>
    </row>
    <row r="810" spans="3:15">
      <c r="C810" s="233"/>
      <c r="D810" s="233"/>
      <c r="E810" s="761"/>
      <c r="F810" s="234"/>
      <c r="G810" s="234"/>
      <c r="H810" s="233"/>
      <c r="I810" s="233"/>
      <c r="J810" s="761"/>
      <c r="K810" s="233"/>
      <c r="L810" s="233"/>
      <c r="M810" s="233"/>
      <c r="N810" s="2403"/>
      <c r="O810" s="2403"/>
    </row>
    <row r="811" spans="3:15">
      <c r="C811" s="233"/>
      <c r="D811" s="233"/>
      <c r="E811" s="761"/>
      <c r="F811" s="234"/>
      <c r="G811" s="234"/>
      <c r="H811" s="233"/>
      <c r="I811" s="233"/>
      <c r="J811" s="761"/>
      <c r="K811" s="233"/>
      <c r="L811" s="233"/>
      <c r="M811" s="233"/>
      <c r="N811" s="2403"/>
      <c r="O811" s="2403"/>
    </row>
    <row r="812" spans="3:15">
      <c r="C812" s="233"/>
      <c r="D812" s="233"/>
      <c r="E812" s="761"/>
      <c r="F812" s="234"/>
      <c r="G812" s="234"/>
      <c r="H812" s="233"/>
      <c r="I812" s="233"/>
      <c r="J812" s="761"/>
      <c r="K812" s="233"/>
      <c r="L812" s="233"/>
      <c r="M812" s="233"/>
      <c r="N812" s="2403"/>
      <c r="O812" s="2403"/>
    </row>
    <row r="813" spans="3:15">
      <c r="C813" s="233"/>
      <c r="D813" s="233"/>
      <c r="E813" s="761"/>
      <c r="F813" s="234"/>
      <c r="G813" s="234"/>
      <c r="H813" s="233"/>
      <c r="I813" s="233"/>
      <c r="J813" s="761"/>
      <c r="K813" s="233"/>
      <c r="L813" s="233"/>
      <c r="M813" s="233"/>
      <c r="N813" s="2403"/>
      <c r="O813" s="2403"/>
    </row>
    <row r="814" spans="3:15">
      <c r="C814" s="233"/>
      <c r="D814" s="233"/>
      <c r="E814" s="761"/>
      <c r="F814" s="234"/>
      <c r="G814" s="234"/>
      <c r="H814" s="233"/>
      <c r="I814" s="233"/>
      <c r="J814" s="761"/>
      <c r="K814" s="233"/>
      <c r="L814" s="233"/>
      <c r="M814" s="233"/>
      <c r="N814" s="2403"/>
      <c r="O814" s="2403"/>
    </row>
    <row r="815" spans="3:15">
      <c r="C815" s="233"/>
      <c r="D815" s="233"/>
      <c r="E815" s="761"/>
      <c r="F815" s="234"/>
      <c r="G815" s="234"/>
      <c r="H815" s="233"/>
      <c r="I815" s="233"/>
      <c r="J815" s="761"/>
      <c r="K815" s="233"/>
      <c r="L815" s="233"/>
      <c r="M815" s="233"/>
      <c r="N815" s="2403"/>
      <c r="O815" s="2403"/>
    </row>
    <row r="816" spans="3:15">
      <c r="C816" s="233"/>
      <c r="D816" s="233"/>
      <c r="E816" s="761"/>
      <c r="F816" s="234"/>
      <c r="G816" s="234"/>
      <c r="H816" s="233"/>
      <c r="I816" s="233"/>
      <c r="J816" s="761"/>
      <c r="K816" s="233"/>
      <c r="L816" s="233"/>
      <c r="M816" s="233"/>
      <c r="N816" s="2403"/>
      <c r="O816" s="2403"/>
    </row>
    <row r="817" spans="3:15">
      <c r="C817" s="233"/>
      <c r="D817" s="233"/>
      <c r="E817" s="761"/>
      <c r="F817" s="234"/>
      <c r="G817" s="234"/>
      <c r="H817" s="233"/>
      <c r="I817" s="233"/>
      <c r="J817" s="761"/>
      <c r="K817" s="233"/>
      <c r="L817" s="233"/>
      <c r="M817" s="233"/>
      <c r="N817" s="2403"/>
      <c r="O817" s="2403"/>
    </row>
    <row r="818" spans="3:15">
      <c r="C818" s="233"/>
      <c r="D818" s="233"/>
      <c r="E818" s="761"/>
      <c r="F818" s="234"/>
      <c r="G818" s="234"/>
      <c r="H818" s="233"/>
      <c r="I818" s="233"/>
      <c r="J818" s="761"/>
      <c r="K818" s="233"/>
      <c r="L818" s="233"/>
      <c r="M818" s="233"/>
      <c r="N818" s="2403"/>
      <c r="O818" s="2403"/>
    </row>
    <row r="819" spans="3:15">
      <c r="C819" s="233"/>
      <c r="D819" s="233"/>
      <c r="E819" s="761"/>
      <c r="F819" s="234"/>
      <c r="G819" s="234"/>
      <c r="H819" s="233"/>
      <c r="I819" s="233"/>
      <c r="J819" s="761"/>
      <c r="K819" s="233"/>
      <c r="L819" s="233"/>
      <c r="M819" s="233"/>
      <c r="N819" s="2403"/>
      <c r="O819" s="2403"/>
    </row>
    <row r="820" spans="3:15">
      <c r="C820" s="233"/>
      <c r="D820" s="233"/>
      <c r="E820" s="761"/>
      <c r="F820" s="234"/>
      <c r="G820" s="234"/>
      <c r="H820" s="233"/>
      <c r="I820" s="233"/>
      <c r="J820" s="761"/>
      <c r="K820" s="233"/>
      <c r="L820" s="233"/>
      <c r="M820" s="233"/>
      <c r="N820" s="2403"/>
      <c r="O820" s="2403"/>
    </row>
    <row r="821" spans="3:15">
      <c r="C821" s="233"/>
      <c r="D821" s="233"/>
      <c r="E821" s="761"/>
      <c r="F821" s="234"/>
      <c r="G821" s="234"/>
      <c r="H821" s="233"/>
      <c r="I821" s="233"/>
      <c r="J821" s="761"/>
      <c r="K821" s="233"/>
      <c r="L821" s="233"/>
      <c r="M821" s="233"/>
      <c r="N821" s="2403"/>
      <c r="O821" s="2403"/>
    </row>
    <row r="822" spans="3:15">
      <c r="C822" s="233"/>
      <c r="D822" s="233"/>
      <c r="E822" s="761"/>
      <c r="F822" s="234"/>
      <c r="G822" s="234"/>
      <c r="H822" s="233"/>
      <c r="I822" s="233"/>
      <c r="J822" s="761"/>
      <c r="K822" s="233"/>
      <c r="L822" s="233"/>
      <c r="M822" s="233"/>
      <c r="N822" s="2403"/>
      <c r="O822" s="2403"/>
    </row>
    <row r="823" spans="3:15">
      <c r="C823" s="233"/>
      <c r="D823" s="233"/>
      <c r="E823" s="761"/>
      <c r="F823" s="234"/>
      <c r="G823" s="234"/>
      <c r="H823" s="233"/>
      <c r="I823" s="233"/>
      <c r="J823" s="761"/>
      <c r="K823" s="233"/>
      <c r="L823" s="233"/>
      <c r="M823" s="233"/>
      <c r="N823" s="2403"/>
      <c r="O823" s="2403"/>
    </row>
    <row r="824" spans="3:15">
      <c r="C824" s="233"/>
      <c r="D824" s="233"/>
      <c r="E824" s="761"/>
      <c r="F824" s="234"/>
      <c r="G824" s="234"/>
      <c r="H824" s="233"/>
      <c r="I824" s="233"/>
      <c r="J824" s="761"/>
      <c r="K824" s="233"/>
      <c r="L824" s="233"/>
      <c r="M824" s="233"/>
      <c r="N824" s="2403"/>
      <c r="O824" s="2403"/>
    </row>
    <row r="825" spans="3:15">
      <c r="C825" s="233"/>
      <c r="D825" s="233"/>
      <c r="E825" s="761"/>
      <c r="F825" s="234"/>
      <c r="G825" s="234"/>
      <c r="H825" s="233"/>
      <c r="I825" s="233"/>
      <c r="J825" s="761"/>
      <c r="K825" s="233"/>
      <c r="L825" s="233"/>
      <c r="M825" s="233"/>
      <c r="N825" s="2403"/>
      <c r="O825" s="2403"/>
    </row>
    <row r="826" spans="3:15">
      <c r="C826" s="233"/>
      <c r="D826" s="233"/>
      <c r="E826" s="761"/>
      <c r="F826" s="234"/>
      <c r="G826" s="234"/>
      <c r="H826" s="233"/>
      <c r="I826" s="233"/>
      <c r="J826" s="761"/>
      <c r="K826" s="233"/>
      <c r="L826" s="233"/>
      <c r="M826" s="233"/>
      <c r="N826" s="2403"/>
      <c r="O826" s="2403"/>
    </row>
    <row r="827" spans="3:15">
      <c r="C827" s="233"/>
      <c r="D827" s="233"/>
      <c r="E827" s="761"/>
      <c r="F827" s="234"/>
      <c r="G827" s="234"/>
      <c r="H827" s="233"/>
      <c r="I827" s="233"/>
      <c r="J827" s="761"/>
      <c r="K827" s="233"/>
      <c r="L827" s="233"/>
      <c r="M827" s="233"/>
      <c r="N827" s="2403"/>
      <c r="O827" s="2403"/>
    </row>
    <row r="828" spans="3:15">
      <c r="C828" s="233"/>
      <c r="D828" s="233"/>
      <c r="E828" s="761"/>
      <c r="F828" s="234"/>
      <c r="G828" s="234"/>
      <c r="H828" s="233"/>
      <c r="I828" s="233"/>
      <c r="J828" s="761"/>
      <c r="K828" s="233"/>
      <c r="L828" s="233"/>
      <c r="M828" s="233"/>
      <c r="N828" s="2403"/>
      <c r="O828" s="2403"/>
    </row>
    <row r="829" spans="3:15">
      <c r="C829" s="233"/>
      <c r="D829" s="233"/>
      <c r="E829" s="761"/>
      <c r="F829" s="234"/>
      <c r="G829" s="234"/>
      <c r="H829" s="233"/>
      <c r="I829" s="233"/>
      <c r="J829" s="761"/>
      <c r="K829" s="233"/>
      <c r="L829" s="233"/>
      <c r="M829" s="233"/>
      <c r="N829" s="2403"/>
      <c r="O829" s="2403"/>
    </row>
    <row r="830" spans="3:15">
      <c r="C830" s="233"/>
      <c r="D830" s="233"/>
      <c r="E830" s="761"/>
      <c r="F830" s="234"/>
      <c r="G830" s="234"/>
      <c r="H830" s="233"/>
      <c r="I830" s="233"/>
      <c r="J830" s="761"/>
      <c r="K830" s="233"/>
      <c r="L830" s="233"/>
      <c r="M830" s="233"/>
      <c r="N830" s="2403"/>
      <c r="O830" s="2403"/>
    </row>
    <row r="831" spans="3:15">
      <c r="C831" s="233"/>
      <c r="D831" s="233"/>
      <c r="E831" s="761"/>
      <c r="F831" s="234"/>
      <c r="G831" s="234"/>
      <c r="H831" s="233"/>
      <c r="I831" s="233"/>
      <c r="J831" s="761"/>
      <c r="K831" s="233"/>
      <c r="L831" s="233"/>
      <c r="M831" s="233"/>
      <c r="N831" s="2403"/>
      <c r="O831" s="2403"/>
    </row>
    <row r="832" spans="3:15">
      <c r="C832" s="233"/>
      <c r="D832" s="233"/>
      <c r="E832" s="761"/>
      <c r="F832" s="234"/>
      <c r="G832" s="234"/>
      <c r="H832" s="233"/>
      <c r="I832" s="233"/>
      <c r="J832" s="761"/>
      <c r="K832" s="233"/>
      <c r="L832" s="233"/>
      <c r="M832" s="233"/>
      <c r="N832" s="2403"/>
      <c r="O832" s="2403"/>
    </row>
    <row r="833" spans="3:15">
      <c r="C833" s="233"/>
      <c r="D833" s="233"/>
      <c r="E833" s="761"/>
      <c r="F833" s="234"/>
      <c r="G833" s="234"/>
      <c r="H833" s="233"/>
      <c r="I833" s="233"/>
      <c r="J833" s="761"/>
      <c r="K833" s="233"/>
      <c r="L833" s="233"/>
      <c r="M833" s="233"/>
      <c r="N833" s="2403"/>
      <c r="O833" s="2403"/>
    </row>
    <row r="834" spans="3:15">
      <c r="C834" s="233"/>
      <c r="D834" s="233"/>
      <c r="E834" s="761"/>
      <c r="F834" s="234"/>
      <c r="G834" s="234"/>
      <c r="H834" s="233"/>
      <c r="I834" s="233"/>
      <c r="J834" s="761"/>
      <c r="K834" s="233"/>
      <c r="L834" s="233"/>
      <c r="M834" s="233"/>
      <c r="N834" s="2403"/>
      <c r="O834" s="2403"/>
    </row>
    <row r="835" spans="3:15">
      <c r="C835" s="233"/>
      <c r="D835" s="233"/>
      <c r="E835" s="761"/>
      <c r="F835" s="234"/>
      <c r="G835" s="234"/>
      <c r="H835" s="233"/>
      <c r="I835" s="233"/>
      <c r="J835" s="761"/>
      <c r="K835" s="233"/>
      <c r="L835" s="233"/>
      <c r="M835" s="233"/>
      <c r="N835" s="2403"/>
      <c r="O835" s="2403"/>
    </row>
    <row r="836" spans="3:15">
      <c r="C836" s="233"/>
      <c r="D836" s="233"/>
      <c r="E836" s="761"/>
      <c r="F836" s="234"/>
      <c r="G836" s="234"/>
      <c r="H836" s="233"/>
      <c r="I836" s="233"/>
      <c r="J836" s="761"/>
      <c r="K836" s="233"/>
      <c r="L836" s="233"/>
      <c r="M836" s="233"/>
      <c r="N836" s="2403"/>
      <c r="O836" s="2403"/>
    </row>
    <row r="837" spans="3:15">
      <c r="C837" s="233"/>
      <c r="D837" s="233"/>
      <c r="E837" s="761"/>
      <c r="F837" s="234"/>
      <c r="G837" s="234"/>
      <c r="H837" s="233"/>
      <c r="I837" s="233"/>
      <c r="J837" s="761"/>
      <c r="K837" s="233"/>
      <c r="L837" s="233"/>
      <c r="M837" s="233"/>
      <c r="N837" s="2403"/>
      <c r="O837" s="2403"/>
    </row>
    <row r="838" spans="3:15">
      <c r="C838" s="233"/>
      <c r="D838" s="233"/>
      <c r="E838" s="761"/>
      <c r="F838" s="234"/>
      <c r="G838" s="234"/>
      <c r="H838" s="233"/>
      <c r="I838" s="233"/>
      <c r="J838" s="761"/>
      <c r="K838" s="233"/>
      <c r="L838" s="233"/>
      <c r="M838" s="233"/>
      <c r="N838" s="2403"/>
      <c r="O838" s="2403"/>
    </row>
    <row r="839" spans="3:15">
      <c r="C839" s="233"/>
      <c r="D839" s="233"/>
      <c r="E839" s="761"/>
      <c r="F839" s="234"/>
      <c r="G839" s="234"/>
      <c r="H839" s="233"/>
      <c r="I839" s="233"/>
      <c r="J839" s="761"/>
      <c r="K839" s="233"/>
      <c r="L839" s="233"/>
      <c r="M839" s="233"/>
      <c r="N839" s="2403"/>
      <c r="O839" s="2403"/>
    </row>
    <row r="840" spans="3:15">
      <c r="C840" s="233"/>
      <c r="D840" s="233"/>
      <c r="E840" s="761"/>
      <c r="F840" s="234"/>
      <c r="G840" s="234"/>
      <c r="H840" s="233"/>
      <c r="I840" s="233"/>
      <c r="J840" s="761"/>
      <c r="K840" s="233"/>
      <c r="L840" s="233"/>
      <c r="M840" s="233"/>
      <c r="N840" s="2403"/>
      <c r="O840" s="2403"/>
    </row>
    <row r="841" spans="3:15">
      <c r="C841" s="233"/>
      <c r="D841" s="233"/>
      <c r="E841" s="761"/>
      <c r="F841" s="234"/>
      <c r="G841" s="234"/>
      <c r="H841" s="233"/>
      <c r="I841" s="233"/>
      <c r="J841" s="761"/>
      <c r="K841" s="233"/>
      <c r="L841" s="233"/>
      <c r="M841" s="233"/>
      <c r="N841" s="2403"/>
      <c r="O841" s="2403"/>
    </row>
    <row r="842" spans="3:15">
      <c r="C842" s="233"/>
      <c r="D842" s="233"/>
      <c r="E842" s="761"/>
      <c r="F842" s="234"/>
      <c r="G842" s="234"/>
      <c r="H842" s="233"/>
      <c r="I842" s="233"/>
      <c r="J842" s="761"/>
      <c r="K842" s="233"/>
      <c r="L842" s="233"/>
      <c r="M842" s="233"/>
      <c r="N842" s="2403"/>
      <c r="O842" s="2403"/>
    </row>
    <row r="843" spans="3:15">
      <c r="C843" s="233"/>
      <c r="D843" s="233"/>
      <c r="E843" s="761"/>
      <c r="F843" s="234"/>
      <c r="G843" s="234"/>
      <c r="H843" s="233"/>
      <c r="I843" s="233"/>
      <c r="J843" s="761"/>
      <c r="K843" s="233"/>
      <c r="L843" s="233"/>
      <c r="M843" s="233"/>
      <c r="N843" s="2403"/>
      <c r="O843" s="2403"/>
    </row>
    <row r="844" spans="3:15">
      <c r="C844" s="233"/>
      <c r="D844" s="233"/>
      <c r="E844" s="761"/>
      <c r="F844" s="234"/>
      <c r="G844" s="234"/>
      <c r="H844" s="233"/>
      <c r="I844" s="233"/>
      <c r="J844" s="761"/>
      <c r="K844" s="233"/>
      <c r="L844" s="233"/>
      <c r="M844" s="233"/>
      <c r="N844" s="2403"/>
      <c r="O844" s="2403"/>
    </row>
    <row r="845" spans="3:15">
      <c r="C845" s="233"/>
      <c r="D845" s="233"/>
      <c r="E845" s="761"/>
      <c r="F845" s="234"/>
      <c r="G845" s="234"/>
      <c r="H845" s="233"/>
      <c r="I845" s="233"/>
      <c r="J845" s="761"/>
      <c r="K845" s="233"/>
      <c r="L845" s="233"/>
      <c r="M845" s="233"/>
      <c r="N845" s="2403"/>
      <c r="O845" s="2403"/>
    </row>
    <row r="846" spans="3:15">
      <c r="C846" s="233"/>
      <c r="D846" s="233"/>
      <c r="E846" s="761"/>
      <c r="F846" s="234"/>
      <c r="G846" s="234"/>
      <c r="H846" s="233"/>
      <c r="I846" s="233"/>
      <c r="J846" s="761"/>
      <c r="K846" s="233"/>
      <c r="L846" s="233"/>
      <c r="M846" s="233"/>
      <c r="N846" s="2403"/>
      <c r="O846" s="2403"/>
    </row>
    <row r="847" spans="3:15">
      <c r="C847" s="233"/>
      <c r="D847" s="233"/>
      <c r="E847" s="761"/>
      <c r="F847" s="234"/>
      <c r="G847" s="234"/>
      <c r="H847" s="233"/>
      <c r="I847" s="233"/>
      <c r="J847" s="761"/>
      <c r="K847" s="233"/>
      <c r="L847" s="233"/>
      <c r="M847" s="233"/>
      <c r="N847" s="2403"/>
      <c r="O847" s="2403"/>
    </row>
    <row r="848" spans="3:15">
      <c r="C848" s="233"/>
      <c r="D848" s="233"/>
      <c r="E848" s="761"/>
      <c r="F848" s="234"/>
      <c r="G848" s="234"/>
      <c r="H848" s="233"/>
      <c r="I848" s="233"/>
      <c r="J848" s="761"/>
      <c r="K848" s="233"/>
      <c r="L848" s="233"/>
      <c r="M848" s="233"/>
      <c r="N848" s="2403"/>
      <c r="O848" s="2403"/>
    </row>
    <row r="849" spans="3:15">
      <c r="C849" s="233"/>
      <c r="D849" s="233"/>
      <c r="E849" s="761"/>
      <c r="F849" s="234"/>
      <c r="G849" s="234"/>
      <c r="H849" s="233"/>
      <c r="I849" s="233"/>
      <c r="J849" s="761"/>
      <c r="K849" s="233"/>
      <c r="L849" s="233"/>
      <c r="M849" s="233"/>
      <c r="N849" s="2403"/>
      <c r="O849" s="2403"/>
    </row>
    <row r="850" spans="3:15">
      <c r="C850" s="233"/>
      <c r="D850" s="233"/>
      <c r="E850" s="761"/>
      <c r="F850" s="234"/>
      <c r="G850" s="234"/>
      <c r="H850" s="233"/>
      <c r="I850" s="233"/>
      <c r="J850" s="761"/>
      <c r="K850" s="233"/>
      <c r="L850" s="233"/>
      <c r="M850" s="233"/>
      <c r="N850" s="2403"/>
      <c r="O850" s="2403"/>
    </row>
    <row r="851" spans="3:15">
      <c r="C851" s="233"/>
      <c r="D851" s="233"/>
      <c r="E851" s="761"/>
      <c r="F851" s="234"/>
      <c r="G851" s="234"/>
      <c r="H851" s="233"/>
      <c r="I851" s="233"/>
      <c r="J851" s="761"/>
      <c r="K851" s="233"/>
      <c r="L851" s="233"/>
      <c r="M851" s="233"/>
      <c r="N851" s="2403"/>
      <c r="O851" s="2403"/>
    </row>
    <row r="852" spans="3:15">
      <c r="C852" s="233"/>
      <c r="D852" s="233"/>
      <c r="E852" s="761"/>
      <c r="F852" s="234"/>
      <c r="G852" s="234"/>
      <c r="H852" s="233"/>
      <c r="I852" s="233"/>
      <c r="J852" s="761"/>
      <c r="K852" s="233"/>
      <c r="L852" s="233"/>
      <c r="M852" s="233"/>
      <c r="N852" s="2403"/>
      <c r="O852" s="2403"/>
    </row>
    <row r="853" spans="3:15">
      <c r="C853" s="233"/>
      <c r="D853" s="233"/>
      <c r="E853" s="761"/>
      <c r="F853" s="234"/>
      <c r="G853" s="234"/>
      <c r="H853" s="233"/>
      <c r="I853" s="233"/>
      <c r="J853" s="761"/>
      <c r="K853" s="233"/>
      <c r="L853" s="233"/>
      <c r="M853" s="233"/>
      <c r="N853" s="2403"/>
      <c r="O853" s="2403"/>
    </row>
    <row r="854" spans="3:15">
      <c r="C854" s="233"/>
      <c r="D854" s="233"/>
      <c r="E854" s="761"/>
      <c r="F854" s="234"/>
      <c r="G854" s="234"/>
      <c r="H854" s="233"/>
      <c r="I854" s="233"/>
      <c r="J854" s="761"/>
      <c r="K854" s="233"/>
      <c r="L854" s="233"/>
      <c r="M854" s="233"/>
      <c r="N854" s="2403"/>
      <c r="O854" s="2403"/>
    </row>
    <row r="855" spans="3:15">
      <c r="C855" s="233"/>
      <c r="D855" s="233"/>
      <c r="E855" s="761"/>
      <c r="F855" s="234"/>
      <c r="G855" s="234"/>
      <c r="H855" s="233"/>
      <c r="I855" s="233"/>
      <c r="J855" s="761"/>
      <c r="K855" s="233"/>
      <c r="L855" s="233"/>
      <c r="M855" s="233"/>
      <c r="N855" s="2403"/>
      <c r="O855" s="2403"/>
    </row>
    <row r="856" spans="3:15">
      <c r="C856" s="233"/>
      <c r="D856" s="233"/>
      <c r="E856" s="761"/>
      <c r="F856" s="234"/>
      <c r="G856" s="234"/>
      <c r="H856" s="233"/>
      <c r="I856" s="233"/>
      <c r="J856" s="761"/>
      <c r="K856" s="233"/>
      <c r="L856" s="233"/>
      <c r="M856" s="233"/>
      <c r="N856" s="2403"/>
      <c r="O856" s="2403"/>
    </row>
    <row r="857" spans="3:15">
      <c r="C857" s="233"/>
      <c r="D857" s="233"/>
      <c r="E857" s="761"/>
      <c r="F857" s="234"/>
      <c r="G857" s="234"/>
      <c r="H857" s="233"/>
      <c r="I857" s="233"/>
      <c r="J857" s="761"/>
      <c r="K857" s="233"/>
      <c r="L857" s="233"/>
      <c r="M857" s="233"/>
      <c r="N857" s="2403"/>
      <c r="O857" s="2403"/>
    </row>
    <row r="858" spans="3:15">
      <c r="C858" s="233"/>
      <c r="D858" s="233"/>
      <c r="E858" s="761"/>
      <c r="F858" s="234"/>
      <c r="G858" s="234"/>
      <c r="H858" s="233"/>
      <c r="I858" s="233"/>
      <c r="J858" s="761"/>
      <c r="K858" s="233"/>
      <c r="L858" s="233"/>
      <c r="M858" s="233"/>
      <c r="N858" s="2403"/>
      <c r="O858" s="2403"/>
    </row>
    <row r="859" spans="3:15">
      <c r="C859" s="233"/>
      <c r="D859" s="233"/>
      <c r="E859" s="761"/>
      <c r="F859" s="234"/>
      <c r="G859" s="234"/>
      <c r="H859" s="233"/>
      <c r="I859" s="233"/>
      <c r="J859" s="761"/>
      <c r="K859" s="233"/>
      <c r="L859" s="233"/>
      <c r="M859" s="233"/>
      <c r="N859" s="2403"/>
      <c r="O859" s="2403"/>
    </row>
    <row r="860" spans="3:15">
      <c r="C860" s="233"/>
      <c r="D860" s="233"/>
      <c r="E860" s="761"/>
      <c r="F860" s="234"/>
      <c r="G860" s="234"/>
      <c r="H860" s="233"/>
      <c r="I860" s="233"/>
      <c r="J860" s="761"/>
      <c r="K860" s="233"/>
      <c r="L860" s="233"/>
      <c r="M860" s="233"/>
      <c r="N860" s="2403"/>
      <c r="O860" s="2403"/>
    </row>
    <row r="861" spans="3:15">
      <c r="C861" s="233"/>
      <c r="D861" s="233"/>
      <c r="E861" s="761"/>
      <c r="F861" s="234"/>
      <c r="G861" s="234"/>
      <c r="H861" s="233"/>
      <c r="I861" s="233"/>
      <c r="J861" s="761"/>
      <c r="K861" s="233"/>
      <c r="L861" s="233"/>
      <c r="M861" s="233"/>
      <c r="N861" s="2403"/>
      <c r="O861" s="2403"/>
    </row>
    <row r="862" spans="3:15">
      <c r="C862" s="233"/>
      <c r="D862" s="233"/>
      <c r="E862" s="761"/>
      <c r="F862" s="234"/>
      <c r="G862" s="234"/>
      <c r="H862" s="233"/>
      <c r="I862" s="233"/>
      <c r="J862" s="761"/>
      <c r="K862" s="233"/>
      <c r="L862" s="233"/>
      <c r="M862" s="233"/>
      <c r="N862" s="2403"/>
      <c r="O862" s="2403"/>
    </row>
    <row r="863" spans="3:15">
      <c r="C863" s="233"/>
      <c r="D863" s="233"/>
      <c r="E863" s="761"/>
      <c r="F863" s="234"/>
      <c r="G863" s="234"/>
      <c r="H863" s="233"/>
      <c r="I863" s="233"/>
      <c r="J863" s="761"/>
      <c r="K863" s="233"/>
      <c r="L863" s="233"/>
      <c r="M863" s="233"/>
      <c r="N863" s="2403"/>
      <c r="O863" s="2403"/>
    </row>
    <row r="864" spans="3:15">
      <c r="C864" s="233"/>
      <c r="D864" s="233"/>
      <c r="E864" s="761"/>
      <c r="F864" s="234"/>
      <c r="G864" s="234"/>
      <c r="H864" s="233"/>
      <c r="I864" s="233"/>
      <c r="J864" s="761"/>
      <c r="K864" s="233"/>
      <c r="L864" s="233"/>
      <c r="M864" s="233"/>
      <c r="N864" s="2403"/>
      <c r="O864" s="2403"/>
    </row>
    <row r="865" spans="3:15">
      <c r="C865" s="233"/>
      <c r="D865" s="233"/>
      <c r="E865" s="761"/>
      <c r="F865" s="234"/>
      <c r="G865" s="234"/>
      <c r="H865" s="233"/>
      <c r="I865" s="233"/>
      <c r="J865" s="761"/>
      <c r="K865" s="233"/>
      <c r="L865" s="233"/>
      <c r="M865" s="233"/>
      <c r="N865" s="2403"/>
      <c r="O865" s="2403"/>
    </row>
    <row r="866" spans="3:15">
      <c r="C866" s="233"/>
      <c r="D866" s="233"/>
      <c r="E866" s="761"/>
      <c r="F866" s="234"/>
      <c r="G866" s="234"/>
      <c r="H866" s="233"/>
      <c r="I866" s="233"/>
      <c r="J866" s="761"/>
      <c r="K866" s="233"/>
      <c r="L866" s="233"/>
      <c r="M866" s="233"/>
      <c r="N866" s="2403"/>
      <c r="O866" s="2403"/>
    </row>
    <row r="867" spans="3:15">
      <c r="C867" s="233"/>
      <c r="D867" s="233"/>
      <c r="E867" s="761"/>
      <c r="F867" s="234"/>
      <c r="G867" s="234"/>
      <c r="H867" s="233"/>
      <c r="I867" s="233"/>
      <c r="J867" s="761"/>
      <c r="K867" s="233"/>
      <c r="L867" s="233"/>
      <c r="M867" s="233"/>
      <c r="N867" s="2403"/>
      <c r="O867" s="2403"/>
    </row>
    <row r="868" spans="3:15">
      <c r="C868" s="233"/>
      <c r="D868" s="233"/>
      <c r="E868" s="761"/>
      <c r="F868" s="234"/>
      <c r="G868" s="234"/>
      <c r="H868" s="233"/>
      <c r="I868" s="233"/>
      <c r="J868" s="761"/>
      <c r="K868" s="233"/>
      <c r="L868" s="233"/>
      <c r="M868" s="233"/>
      <c r="N868" s="2403"/>
      <c r="O868" s="2403"/>
    </row>
    <row r="869" spans="3:15">
      <c r="C869" s="233"/>
      <c r="D869" s="233"/>
      <c r="E869" s="761"/>
      <c r="F869" s="234"/>
      <c r="G869" s="234"/>
      <c r="H869" s="233"/>
      <c r="I869" s="233"/>
      <c r="J869" s="761"/>
      <c r="K869" s="233"/>
      <c r="L869" s="233"/>
      <c r="M869" s="233"/>
      <c r="N869" s="2403"/>
      <c r="O869" s="2403"/>
    </row>
    <row r="870" spans="3:15">
      <c r="C870" s="233"/>
      <c r="D870" s="233"/>
      <c r="E870" s="761"/>
      <c r="F870" s="234"/>
      <c r="G870" s="234"/>
      <c r="H870" s="233"/>
      <c r="I870" s="233"/>
      <c r="J870" s="761"/>
      <c r="K870" s="233"/>
      <c r="L870" s="233"/>
      <c r="M870" s="233"/>
      <c r="N870" s="2403"/>
      <c r="O870" s="2403"/>
    </row>
    <row r="871" spans="3:15">
      <c r="C871" s="233"/>
      <c r="D871" s="233"/>
      <c r="E871" s="761"/>
      <c r="F871" s="234"/>
      <c r="G871" s="234"/>
      <c r="H871" s="233"/>
      <c r="I871" s="233"/>
      <c r="J871" s="761"/>
      <c r="K871" s="233"/>
      <c r="L871" s="233"/>
      <c r="M871" s="233"/>
      <c r="N871" s="2403"/>
      <c r="O871" s="2403"/>
    </row>
    <row r="872" spans="3:15">
      <c r="C872" s="233"/>
      <c r="D872" s="233"/>
      <c r="E872" s="761"/>
      <c r="F872" s="234"/>
      <c r="G872" s="234"/>
      <c r="H872" s="233"/>
      <c r="I872" s="233"/>
      <c r="J872" s="761"/>
      <c r="K872" s="233"/>
      <c r="L872" s="233"/>
      <c r="M872" s="233"/>
      <c r="N872" s="2403"/>
      <c r="O872" s="2403"/>
    </row>
    <row r="873" spans="3:15">
      <c r="C873" s="233"/>
      <c r="D873" s="233"/>
      <c r="E873" s="761"/>
      <c r="F873" s="234"/>
      <c r="G873" s="234"/>
      <c r="H873" s="233"/>
      <c r="I873" s="233"/>
      <c r="J873" s="761"/>
      <c r="K873" s="233"/>
      <c r="L873" s="233"/>
      <c r="M873" s="233"/>
      <c r="N873" s="2403"/>
      <c r="O873" s="2403"/>
    </row>
    <row r="874" spans="3:15">
      <c r="C874" s="233"/>
      <c r="D874" s="233"/>
      <c r="E874" s="761"/>
      <c r="F874" s="234"/>
      <c r="G874" s="234"/>
      <c r="H874" s="233"/>
      <c r="I874" s="233"/>
      <c r="J874" s="761"/>
      <c r="K874" s="233"/>
      <c r="L874" s="233"/>
      <c r="M874" s="233"/>
      <c r="N874" s="2403"/>
      <c r="O874" s="2403"/>
    </row>
    <row r="875" spans="3:15">
      <c r="C875" s="233"/>
      <c r="D875" s="233"/>
      <c r="E875" s="761"/>
      <c r="F875" s="234"/>
      <c r="G875" s="234"/>
      <c r="H875" s="233"/>
      <c r="I875" s="233"/>
      <c r="J875" s="761"/>
      <c r="K875" s="233"/>
      <c r="L875" s="233"/>
      <c r="M875" s="233"/>
      <c r="N875" s="2403"/>
      <c r="O875" s="2403"/>
    </row>
    <row r="876" spans="3:15">
      <c r="C876" s="233"/>
      <c r="D876" s="233"/>
      <c r="E876" s="761"/>
      <c r="F876" s="234"/>
      <c r="G876" s="234"/>
      <c r="H876" s="233"/>
      <c r="I876" s="233"/>
      <c r="J876" s="761"/>
      <c r="K876" s="233"/>
      <c r="L876" s="233"/>
      <c r="M876" s="233"/>
      <c r="N876" s="2403"/>
      <c r="O876" s="2403"/>
    </row>
    <row r="877" spans="3:15">
      <c r="C877" s="233"/>
      <c r="D877" s="233"/>
      <c r="E877" s="761"/>
      <c r="F877" s="234"/>
      <c r="G877" s="234"/>
      <c r="H877" s="233"/>
      <c r="I877" s="233"/>
      <c r="J877" s="761"/>
      <c r="K877" s="233"/>
      <c r="L877" s="233"/>
      <c r="M877" s="233"/>
      <c r="N877" s="2403"/>
      <c r="O877" s="2403"/>
    </row>
    <row r="878" spans="3:15">
      <c r="C878" s="233"/>
      <c r="D878" s="233"/>
      <c r="E878" s="761"/>
      <c r="F878" s="234"/>
      <c r="G878" s="234"/>
      <c r="H878" s="233"/>
      <c r="I878" s="233"/>
      <c r="J878" s="761"/>
      <c r="K878" s="233"/>
      <c r="L878" s="233"/>
      <c r="M878" s="233"/>
      <c r="N878" s="2403"/>
      <c r="O878" s="2403"/>
    </row>
    <row r="879" spans="3:15">
      <c r="C879" s="233"/>
      <c r="D879" s="233"/>
      <c r="E879" s="761"/>
      <c r="F879" s="234"/>
      <c r="G879" s="234"/>
      <c r="H879" s="233"/>
      <c r="I879" s="233"/>
      <c r="J879" s="761"/>
      <c r="K879" s="233"/>
      <c r="L879" s="233"/>
      <c r="M879" s="233"/>
      <c r="N879" s="2403"/>
      <c r="O879" s="2403"/>
    </row>
    <row r="880" spans="3:15">
      <c r="C880" s="233"/>
      <c r="D880" s="233"/>
      <c r="E880" s="761"/>
      <c r="F880" s="234"/>
      <c r="G880" s="234"/>
      <c r="H880" s="233"/>
      <c r="I880" s="233"/>
      <c r="J880" s="761"/>
      <c r="K880" s="233"/>
      <c r="L880" s="233"/>
      <c r="M880" s="233"/>
      <c r="N880" s="2403"/>
      <c r="O880" s="2403"/>
    </row>
    <row r="881" spans="3:15">
      <c r="C881" s="233"/>
      <c r="D881" s="233"/>
      <c r="E881" s="761"/>
      <c r="F881" s="234"/>
      <c r="G881" s="234"/>
      <c r="H881" s="233"/>
      <c r="I881" s="233"/>
      <c r="J881" s="761"/>
      <c r="K881" s="233"/>
      <c r="L881" s="233"/>
      <c r="M881" s="233"/>
      <c r="N881" s="2403"/>
      <c r="O881" s="2403"/>
    </row>
    <row r="882" spans="3:15">
      <c r="C882" s="233"/>
      <c r="D882" s="233"/>
      <c r="E882" s="761"/>
      <c r="F882" s="234"/>
      <c r="G882" s="234"/>
      <c r="H882" s="233"/>
      <c r="I882" s="233"/>
      <c r="J882" s="761"/>
      <c r="K882" s="233"/>
      <c r="L882" s="233"/>
      <c r="M882" s="233"/>
      <c r="N882" s="2403"/>
      <c r="O882" s="2403"/>
    </row>
    <row r="883" spans="3:15">
      <c r="C883" s="233"/>
      <c r="D883" s="233"/>
      <c r="E883" s="761"/>
      <c r="F883" s="234"/>
      <c r="G883" s="234"/>
      <c r="H883" s="233"/>
      <c r="I883" s="233"/>
      <c r="J883" s="761"/>
      <c r="K883" s="233"/>
      <c r="L883" s="233"/>
      <c r="M883" s="233"/>
      <c r="N883" s="2403"/>
      <c r="O883" s="2403"/>
    </row>
    <row r="884" spans="3:15">
      <c r="C884" s="233"/>
      <c r="D884" s="233"/>
      <c r="E884" s="761"/>
      <c r="F884" s="234"/>
      <c r="G884" s="234"/>
      <c r="H884" s="233"/>
      <c r="I884" s="233"/>
      <c r="J884" s="761"/>
      <c r="K884" s="233"/>
      <c r="L884" s="233"/>
      <c r="M884" s="233"/>
      <c r="N884" s="2403"/>
      <c r="O884" s="2403"/>
    </row>
    <row r="885" spans="3:15">
      <c r="C885" s="233"/>
      <c r="D885" s="233"/>
      <c r="E885" s="761"/>
      <c r="F885" s="234"/>
      <c r="G885" s="234"/>
      <c r="H885" s="233"/>
      <c r="I885" s="233"/>
      <c r="J885" s="761"/>
      <c r="K885" s="233"/>
      <c r="L885" s="233"/>
      <c r="M885" s="233"/>
      <c r="N885" s="2403"/>
      <c r="O885" s="2403"/>
    </row>
    <row r="886" spans="3:15">
      <c r="C886" s="233"/>
      <c r="D886" s="233"/>
      <c r="E886" s="761"/>
      <c r="F886" s="234"/>
      <c r="G886" s="234"/>
      <c r="H886" s="233"/>
      <c r="I886" s="233"/>
      <c r="J886" s="761"/>
      <c r="K886" s="233"/>
      <c r="L886" s="233"/>
      <c r="M886" s="233"/>
      <c r="N886" s="2403"/>
      <c r="O886" s="2403"/>
    </row>
    <row r="887" spans="3:15">
      <c r="C887" s="233"/>
      <c r="D887" s="233"/>
      <c r="E887" s="761"/>
      <c r="F887" s="234"/>
      <c r="G887" s="234"/>
      <c r="H887" s="233"/>
      <c r="I887" s="233"/>
      <c r="J887" s="761"/>
      <c r="K887" s="233"/>
      <c r="L887" s="233"/>
      <c r="M887" s="233"/>
      <c r="N887" s="2403"/>
      <c r="O887" s="2403"/>
    </row>
    <row r="888" spans="3:15">
      <c r="C888" s="233"/>
      <c r="D888" s="233"/>
      <c r="E888" s="761"/>
      <c r="F888" s="234"/>
      <c r="G888" s="234"/>
      <c r="H888" s="233"/>
      <c r="I888" s="233"/>
      <c r="J888" s="761"/>
      <c r="K888" s="233"/>
      <c r="L888" s="233"/>
      <c r="M888" s="233"/>
      <c r="N888" s="2403"/>
      <c r="O888" s="2403"/>
    </row>
    <row r="889" spans="3:15">
      <c r="C889" s="233"/>
      <c r="D889" s="233"/>
      <c r="E889" s="761"/>
      <c r="F889" s="234"/>
      <c r="G889" s="234"/>
      <c r="H889" s="233"/>
      <c r="I889" s="233"/>
      <c r="J889" s="761"/>
      <c r="K889" s="233"/>
      <c r="L889" s="233"/>
      <c r="M889" s="233"/>
      <c r="N889" s="2403"/>
      <c r="O889" s="2403"/>
    </row>
    <row r="890" spans="3:15">
      <c r="C890" s="233"/>
      <c r="D890" s="233"/>
      <c r="E890" s="761"/>
      <c r="F890" s="234"/>
      <c r="G890" s="234"/>
      <c r="H890" s="233"/>
      <c r="I890" s="233"/>
      <c r="J890" s="761"/>
      <c r="K890" s="233"/>
      <c r="L890" s="233"/>
      <c r="M890" s="233"/>
      <c r="N890" s="2403"/>
      <c r="O890" s="2403"/>
    </row>
    <row r="891" spans="3:15">
      <c r="C891" s="233"/>
      <c r="D891" s="233"/>
      <c r="E891" s="761"/>
      <c r="F891" s="234"/>
      <c r="G891" s="234"/>
      <c r="H891" s="233"/>
      <c r="I891" s="233"/>
      <c r="J891" s="761"/>
      <c r="K891" s="233"/>
      <c r="L891" s="233"/>
      <c r="M891" s="233"/>
      <c r="N891" s="2403"/>
      <c r="O891" s="2403"/>
    </row>
    <row r="892" spans="3:15">
      <c r="C892" s="233"/>
      <c r="D892" s="233"/>
      <c r="E892" s="761"/>
      <c r="F892" s="234"/>
      <c r="G892" s="234"/>
      <c r="H892" s="233"/>
      <c r="I892" s="233"/>
      <c r="J892" s="761"/>
      <c r="K892" s="233"/>
      <c r="L892" s="233"/>
      <c r="M892" s="233"/>
      <c r="N892" s="2403"/>
      <c r="O892" s="2403"/>
    </row>
    <row r="893" spans="3:15">
      <c r="C893" s="233"/>
      <c r="D893" s="233"/>
      <c r="E893" s="761"/>
      <c r="F893" s="234"/>
      <c r="G893" s="234"/>
      <c r="H893" s="233"/>
      <c r="I893" s="233"/>
      <c r="J893" s="761"/>
      <c r="K893" s="233"/>
      <c r="L893" s="233"/>
      <c r="M893" s="233"/>
      <c r="N893" s="2403"/>
      <c r="O893" s="2403"/>
    </row>
    <row r="894" spans="3:15">
      <c r="C894" s="233"/>
      <c r="D894" s="233"/>
      <c r="E894" s="761"/>
      <c r="F894" s="234"/>
      <c r="G894" s="234"/>
      <c r="H894" s="233"/>
      <c r="I894" s="233"/>
      <c r="J894" s="761"/>
      <c r="K894" s="233"/>
      <c r="L894" s="233"/>
      <c r="M894" s="233"/>
      <c r="N894" s="2403"/>
      <c r="O894" s="2403"/>
    </row>
    <row r="895" spans="3:15">
      <c r="C895" s="233"/>
      <c r="D895" s="233"/>
      <c r="E895" s="761"/>
      <c r="F895" s="234"/>
      <c r="G895" s="234"/>
      <c r="H895" s="233"/>
      <c r="I895" s="233"/>
      <c r="J895" s="761"/>
      <c r="K895" s="233"/>
      <c r="L895" s="233"/>
      <c r="M895" s="233"/>
      <c r="N895" s="2403"/>
      <c r="O895" s="2403"/>
    </row>
    <row r="896" spans="3:15">
      <c r="C896" s="233"/>
      <c r="D896" s="233"/>
      <c r="E896" s="761"/>
      <c r="F896" s="234"/>
      <c r="G896" s="234"/>
      <c r="H896" s="233"/>
      <c r="I896" s="233"/>
      <c r="J896" s="761"/>
      <c r="K896" s="233"/>
      <c r="L896" s="233"/>
      <c r="M896" s="233"/>
      <c r="N896" s="2403"/>
      <c r="O896" s="2403"/>
    </row>
    <row r="897" spans="3:15">
      <c r="C897" s="233"/>
      <c r="D897" s="233"/>
      <c r="E897" s="761"/>
      <c r="F897" s="234"/>
      <c r="G897" s="234"/>
      <c r="H897" s="233"/>
      <c r="I897" s="233"/>
      <c r="J897" s="761"/>
      <c r="K897" s="233"/>
      <c r="L897" s="233"/>
      <c r="M897" s="233"/>
      <c r="N897" s="2403"/>
      <c r="O897" s="2403"/>
    </row>
    <row r="898" spans="3:15">
      <c r="C898" s="233"/>
      <c r="D898" s="233"/>
      <c r="E898" s="761"/>
      <c r="F898" s="234"/>
      <c r="G898" s="234"/>
      <c r="H898" s="233"/>
      <c r="I898" s="233"/>
      <c r="J898" s="761"/>
      <c r="K898" s="233"/>
      <c r="L898" s="233"/>
      <c r="M898" s="233"/>
      <c r="N898" s="2403"/>
      <c r="O898" s="2403"/>
    </row>
    <row r="899" spans="3:15">
      <c r="C899" s="233"/>
      <c r="D899" s="233"/>
      <c r="E899" s="761"/>
      <c r="F899" s="234"/>
      <c r="G899" s="234"/>
      <c r="H899" s="233"/>
      <c r="I899" s="233"/>
      <c r="J899" s="761"/>
      <c r="K899" s="233"/>
      <c r="L899" s="233"/>
      <c r="M899" s="233"/>
      <c r="N899" s="2403"/>
      <c r="O899" s="2403"/>
    </row>
    <row r="900" spans="3:15">
      <c r="C900" s="233"/>
      <c r="D900" s="233"/>
      <c r="E900" s="761"/>
      <c r="F900" s="234"/>
      <c r="G900" s="234"/>
      <c r="H900" s="233"/>
      <c r="I900" s="233"/>
      <c r="J900" s="761"/>
      <c r="K900" s="233"/>
      <c r="L900" s="233"/>
      <c r="M900" s="233"/>
      <c r="N900" s="2403"/>
      <c r="O900" s="2403"/>
    </row>
    <row r="901" spans="3:15">
      <c r="C901" s="233"/>
      <c r="D901" s="233"/>
      <c r="E901" s="761"/>
      <c r="F901" s="234"/>
      <c r="G901" s="234"/>
      <c r="H901" s="233"/>
      <c r="I901" s="233"/>
      <c r="J901" s="761"/>
      <c r="K901" s="233"/>
      <c r="L901" s="233"/>
      <c r="M901" s="233"/>
      <c r="N901" s="2403"/>
      <c r="O901" s="2403"/>
    </row>
    <row r="902" spans="3:15">
      <c r="C902" s="233"/>
      <c r="D902" s="233"/>
      <c r="E902" s="761"/>
      <c r="F902" s="234"/>
      <c r="G902" s="234"/>
      <c r="H902" s="233"/>
      <c r="I902" s="233"/>
      <c r="J902" s="761"/>
      <c r="K902" s="233"/>
      <c r="L902" s="233"/>
      <c r="M902" s="233"/>
      <c r="N902" s="2403"/>
      <c r="O902" s="2403"/>
    </row>
    <row r="903" spans="3:15">
      <c r="C903" s="233"/>
      <c r="D903" s="233"/>
      <c r="E903" s="761"/>
      <c r="F903" s="234"/>
      <c r="G903" s="234"/>
      <c r="H903" s="233"/>
      <c r="I903" s="233"/>
      <c r="J903" s="761"/>
      <c r="K903" s="233"/>
      <c r="L903" s="233"/>
      <c r="M903" s="233"/>
      <c r="N903" s="2403"/>
      <c r="O903" s="2403"/>
    </row>
    <row r="904" spans="3:15">
      <c r="C904" s="233"/>
      <c r="D904" s="233"/>
      <c r="E904" s="761"/>
      <c r="F904" s="234"/>
      <c r="G904" s="234"/>
      <c r="H904" s="233"/>
      <c r="I904" s="233"/>
      <c r="J904" s="761"/>
      <c r="K904" s="233"/>
      <c r="L904" s="233"/>
      <c r="M904" s="233"/>
      <c r="N904" s="2403"/>
      <c r="O904" s="2403"/>
    </row>
    <row r="905" spans="3:15">
      <c r="C905" s="233"/>
      <c r="D905" s="233"/>
      <c r="E905" s="761"/>
      <c r="F905" s="234"/>
      <c r="G905" s="234"/>
      <c r="H905" s="233"/>
      <c r="I905" s="233"/>
      <c r="J905" s="761"/>
      <c r="K905" s="233"/>
      <c r="L905" s="233"/>
      <c r="M905" s="233"/>
      <c r="N905" s="2403"/>
      <c r="O905" s="2403"/>
    </row>
    <row r="906" spans="3:15">
      <c r="C906" s="233"/>
      <c r="D906" s="233"/>
      <c r="E906" s="761"/>
      <c r="F906" s="234"/>
      <c r="G906" s="234"/>
      <c r="H906" s="233"/>
      <c r="I906" s="233"/>
      <c r="J906" s="761"/>
      <c r="K906" s="233"/>
      <c r="L906" s="233"/>
      <c r="M906" s="233"/>
      <c r="N906" s="2403"/>
      <c r="O906" s="2403"/>
    </row>
    <row r="907" spans="3:15">
      <c r="C907" s="233"/>
      <c r="D907" s="233"/>
      <c r="E907" s="761"/>
      <c r="F907" s="234"/>
      <c r="G907" s="234"/>
      <c r="H907" s="233"/>
      <c r="I907" s="233"/>
      <c r="J907" s="761"/>
      <c r="K907" s="233"/>
      <c r="L907" s="233"/>
      <c r="M907" s="233"/>
      <c r="N907" s="2403"/>
      <c r="O907" s="2403"/>
    </row>
    <row r="908" spans="3:15">
      <c r="C908" s="233"/>
      <c r="D908" s="233"/>
      <c r="E908" s="761"/>
      <c r="F908" s="234"/>
      <c r="G908" s="234"/>
      <c r="H908" s="233"/>
      <c r="I908" s="233"/>
      <c r="J908" s="761"/>
      <c r="K908" s="233"/>
      <c r="L908" s="233"/>
      <c r="M908" s="233"/>
      <c r="N908" s="2403"/>
      <c r="O908" s="2403"/>
    </row>
    <row r="909" spans="3:15">
      <c r="C909" s="233"/>
      <c r="D909" s="233"/>
      <c r="E909" s="761"/>
      <c r="F909" s="234"/>
      <c r="G909" s="234"/>
      <c r="H909" s="233"/>
      <c r="I909" s="233"/>
      <c r="J909" s="761"/>
      <c r="K909" s="233"/>
      <c r="L909" s="233"/>
      <c r="M909" s="233"/>
      <c r="N909" s="2403"/>
      <c r="O909" s="2403"/>
    </row>
    <row r="910" spans="3:15">
      <c r="C910" s="233"/>
      <c r="D910" s="233"/>
      <c r="E910" s="761"/>
      <c r="F910" s="234"/>
      <c r="G910" s="234"/>
      <c r="H910" s="233"/>
      <c r="I910" s="233"/>
      <c r="J910" s="761"/>
      <c r="K910" s="233"/>
      <c r="L910" s="233"/>
      <c r="M910" s="233"/>
      <c r="N910" s="2403"/>
      <c r="O910" s="2403"/>
    </row>
    <row r="911" spans="3:15">
      <c r="C911" s="233"/>
      <c r="D911" s="233"/>
      <c r="E911" s="761"/>
      <c r="F911" s="234"/>
      <c r="G911" s="234"/>
      <c r="H911" s="233"/>
      <c r="I911" s="233"/>
      <c r="J911" s="761"/>
      <c r="K911" s="233"/>
      <c r="L911" s="233"/>
      <c r="M911" s="233"/>
      <c r="N911" s="2403"/>
      <c r="O911" s="2403"/>
    </row>
    <row r="912" spans="3:15">
      <c r="C912" s="233"/>
      <c r="D912" s="233"/>
      <c r="E912" s="761"/>
      <c r="F912" s="234"/>
      <c r="G912" s="234"/>
      <c r="H912" s="233"/>
      <c r="I912" s="233"/>
      <c r="J912" s="761"/>
      <c r="K912" s="233"/>
      <c r="L912" s="233"/>
      <c r="M912" s="233"/>
      <c r="N912" s="2403"/>
      <c r="O912" s="2403"/>
    </row>
    <row r="913" spans="3:15">
      <c r="C913" s="233"/>
      <c r="D913" s="233"/>
      <c r="E913" s="761"/>
      <c r="F913" s="234"/>
      <c r="G913" s="234"/>
      <c r="H913" s="233"/>
      <c r="I913" s="233"/>
      <c r="J913" s="761"/>
      <c r="K913" s="233"/>
      <c r="L913" s="233"/>
      <c r="M913" s="233"/>
      <c r="N913" s="2403"/>
      <c r="O913" s="2403"/>
    </row>
    <row r="914" spans="3:15">
      <c r="C914" s="233"/>
      <c r="D914" s="233"/>
      <c r="E914" s="761"/>
      <c r="F914" s="234"/>
      <c r="G914" s="234"/>
      <c r="H914" s="233"/>
      <c r="I914" s="233"/>
      <c r="J914" s="761"/>
      <c r="K914" s="233"/>
      <c r="L914" s="233"/>
      <c r="M914" s="233"/>
      <c r="N914" s="2403"/>
      <c r="O914" s="2403"/>
    </row>
    <row r="915" spans="3:15">
      <c r="C915" s="233"/>
      <c r="D915" s="233"/>
      <c r="E915" s="761"/>
      <c r="F915" s="234"/>
      <c r="G915" s="234"/>
      <c r="H915" s="233"/>
      <c r="I915" s="233"/>
      <c r="J915" s="761"/>
      <c r="K915" s="233"/>
      <c r="L915" s="233"/>
      <c r="M915" s="233"/>
      <c r="N915" s="2403"/>
      <c r="O915" s="2403"/>
    </row>
    <row r="916" spans="3:15">
      <c r="C916" s="233"/>
      <c r="D916" s="233"/>
      <c r="E916" s="761"/>
      <c r="F916" s="234"/>
      <c r="G916" s="234"/>
      <c r="H916" s="233"/>
      <c r="I916" s="233"/>
      <c r="J916" s="761"/>
      <c r="K916" s="233"/>
      <c r="L916" s="233"/>
      <c r="M916" s="233"/>
      <c r="N916" s="2403"/>
      <c r="O916" s="2403"/>
    </row>
    <row r="917" spans="3:15">
      <c r="C917" s="233"/>
      <c r="D917" s="233"/>
      <c r="E917" s="761"/>
      <c r="F917" s="234"/>
      <c r="G917" s="234"/>
      <c r="H917" s="233"/>
      <c r="I917" s="233"/>
      <c r="J917" s="761"/>
      <c r="K917" s="233"/>
      <c r="L917" s="233"/>
      <c r="M917" s="233"/>
      <c r="N917" s="2403"/>
      <c r="O917" s="2403"/>
    </row>
    <row r="918" spans="3:15">
      <c r="C918" s="233"/>
      <c r="D918" s="233"/>
      <c r="E918" s="761"/>
      <c r="F918" s="234"/>
      <c r="G918" s="234"/>
      <c r="H918" s="233"/>
      <c r="I918" s="233"/>
      <c r="J918" s="761"/>
      <c r="K918" s="233"/>
      <c r="L918" s="233"/>
      <c r="M918" s="233"/>
      <c r="N918" s="2403"/>
      <c r="O918" s="2403"/>
    </row>
    <row r="919" spans="3:15">
      <c r="C919" s="233"/>
      <c r="D919" s="233"/>
      <c r="E919" s="761"/>
      <c r="F919" s="234"/>
      <c r="G919" s="234"/>
      <c r="H919" s="233"/>
      <c r="I919" s="233"/>
      <c r="J919" s="761"/>
      <c r="K919" s="233"/>
      <c r="L919" s="233"/>
      <c r="M919" s="233"/>
      <c r="N919" s="2403"/>
      <c r="O919" s="2403"/>
    </row>
    <row r="920" spans="3:15">
      <c r="C920" s="233"/>
      <c r="D920" s="233"/>
      <c r="E920" s="761"/>
      <c r="F920" s="234"/>
      <c r="G920" s="234"/>
      <c r="H920" s="233"/>
      <c r="I920" s="233"/>
      <c r="J920" s="761"/>
      <c r="K920" s="233"/>
      <c r="L920" s="233"/>
      <c r="M920" s="233"/>
      <c r="N920" s="2403"/>
      <c r="O920" s="2403"/>
    </row>
    <row r="921" spans="3:15">
      <c r="C921" s="233"/>
      <c r="D921" s="233"/>
      <c r="E921" s="761"/>
      <c r="F921" s="234"/>
      <c r="G921" s="234"/>
      <c r="H921" s="233"/>
      <c r="I921" s="233"/>
      <c r="J921" s="761"/>
      <c r="K921" s="233"/>
      <c r="L921" s="233"/>
      <c r="M921" s="233"/>
      <c r="N921" s="2403"/>
      <c r="O921" s="2403"/>
    </row>
    <row r="922" spans="3:15">
      <c r="C922" s="233"/>
      <c r="D922" s="233"/>
      <c r="E922" s="761"/>
      <c r="F922" s="234"/>
      <c r="G922" s="234"/>
      <c r="H922" s="233"/>
      <c r="I922" s="233"/>
      <c r="J922" s="761"/>
      <c r="K922" s="233"/>
      <c r="L922" s="233"/>
      <c r="M922" s="233"/>
      <c r="N922" s="2403"/>
      <c r="O922" s="2403"/>
    </row>
    <row r="923" spans="3:15">
      <c r="C923" s="233"/>
      <c r="D923" s="233"/>
      <c r="E923" s="761"/>
      <c r="F923" s="234"/>
      <c r="G923" s="234"/>
      <c r="H923" s="233"/>
      <c r="I923" s="233"/>
      <c r="J923" s="761"/>
      <c r="K923" s="233"/>
      <c r="L923" s="233"/>
      <c r="M923" s="233"/>
      <c r="N923" s="2403"/>
      <c r="O923" s="2403"/>
    </row>
    <row r="924" spans="3:15">
      <c r="C924" s="233"/>
      <c r="D924" s="233"/>
      <c r="E924" s="761"/>
      <c r="F924" s="234"/>
      <c r="G924" s="234"/>
      <c r="H924" s="233"/>
      <c r="I924" s="233"/>
      <c r="J924" s="761"/>
      <c r="K924" s="233"/>
      <c r="L924" s="233"/>
      <c r="M924" s="233"/>
      <c r="N924" s="2403"/>
      <c r="O924" s="2403"/>
    </row>
    <row r="925" spans="3:15">
      <c r="C925" s="233"/>
      <c r="D925" s="233"/>
      <c r="E925" s="761"/>
      <c r="F925" s="234"/>
      <c r="G925" s="234"/>
      <c r="H925" s="233"/>
      <c r="I925" s="233"/>
      <c r="J925" s="761"/>
      <c r="K925" s="233"/>
      <c r="L925" s="233"/>
      <c r="M925" s="233"/>
      <c r="N925" s="2403"/>
      <c r="O925" s="2403"/>
    </row>
    <row r="926" spans="3:15">
      <c r="C926" s="233"/>
      <c r="D926" s="233"/>
      <c r="E926" s="761"/>
      <c r="F926" s="234"/>
      <c r="G926" s="234"/>
      <c r="H926" s="233"/>
      <c r="I926" s="233"/>
      <c r="J926" s="761"/>
      <c r="K926" s="233"/>
      <c r="L926" s="233"/>
      <c r="M926" s="233"/>
      <c r="N926" s="2403"/>
      <c r="O926" s="2403"/>
    </row>
    <row r="927" spans="3:15">
      <c r="C927" s="233"/>
      <c r="D927" s="233"/>
      <c r="E927" s="761"/>
      <c r="F927" s="234"/>
      <c r="G927" s="234"/>
      <c r="H927" s="233"/>
      <c r="I927" s="233"/>
      <c r="J927" s="761"/>
      <c r="K927" s="233"/>
      <c r="L927" s="233"/>
      <c r="M927" s="233"/>
      <c r="N927" s="2403"/>
      <c r="O927" s="2403"/>
    </row>
    <row r="928" spans="3:15">
      <c r="C928" s="233"/>
      <c r="D928" s="233"/>
      <c r="E928" s="761"/>
      <c r="F928" s="234"/>
      <c r="G928" s="234"/>
      <c r="H928" s="233"/>
      <c r="I928" s="233"/>
      <c r="J928" s="761"/>
      <c r="K928" s="233"/>
      <c r="L928" s="233"/>
      <c r="M928" s="233"/>
      <c r="N928" s="2403"/>
      <c r="O928" s="2403"/>
    </row>
    <row r="929" spans="3:15">
      <c r="C929" s="233"/>
      <c r="D929" s="233"/>
      <c r="E929" s="761"/>
      <c r="F929" s="234"/>
      <c r="G929" s="234"/>
      <c r="H929" s="233"/>
      <c r="I929" s="233"/>
      <c r="J929" s="761"/>
      <c r="K929" s="233"/>
      <c r="L929" s="233"/>
      <c r="M929" s="233"/>
      <c r="N929" s="2403"/>
      <c r="O929" s="2403"/>
    </row>
    <row r="930" spans="3:15">
      <c r="C930" s="233"/>
      <c r="D930" s="233"/>
      <c r="E930" s="761"/>
      <c r="F930" s="234"/>
      <c r="G930" s="234"/>
      <c r="H930" s="233"/>
      <c r="I930" s="233"/>
      <c r="J930" s="761"/>
      <c r="K930" s="233"/>
      <c r="L930" s="233"/>
      <c r="M930" s="233"/>
      <c r="N930" s="2403"/>
      <c r="O930" s="2403"/>
    </row>
    <row r="931" spans="3:15">
      <c r="C931" s="233"/>
      <c r="D931" s="233"/>
      <c r="E931" s="761"/>
      <c r="F931" s="234"/>
      <c r="G931" s="234"/>
      <c r="H931" s="233"/>
      <c r="I931" s="233"/>
      <c r="J931" s="761"/>
      <c r="K931" s="233"/>
      <c r="L931" s="233"/>
      <c r="M931" s="233"/>
      <c r="N931" s="2403"/>
      <c r="O931" s="2403"/>
    </row>
    <row r="932" spans="3:15">
      <c r="C932" s="233"/>
      <c r="D932" s="233"/>
      <c r="E932" s="761"/>
      <c r="F932" s="234"/>
      <c r="G932" s="234"/>
      <c r="H932" s="233"/>
      <c r="I932" s="233"/>
      <c r="J932" s="761"/>
      <c r="K932" s="233"/>
      <c r="L932" s="233"/>
      <c r="M932" s="233"/>
      <c r="N932" s="2403"/>
      <c r="O932" s="2403"/>
    </row>
    <row r="933" spans="3:15">
      <c r="C933" s="233"/>
      <c r="D933" s="233"/>
      <c r="E933" s="761"/>
      <c r="F933" s="234"/>
      <c r="G933" s="234"/>
      <c r="H933" s="233"/>
      <c r="I933" s="233"/>
      <c r="J933" s="761"/>
      <c r="K933" s="233"/>
      <c r="L933" s="233"/>
      <c r="M933" s="233"/>
      <c r="N933" s="2403"/>
      <c r="O933" s="2403"/>
    </row>
    <row r="934" spans="3:15">
      <c r="C934" s="233"/>
      <c r="D934" s="233"/>
      <c r="E934" s="761"/>
      <c r="F934" s="234"/>
      <c r="G934" s="234"/>
      <c r="H934" s="233"/>
      <c r="I934" s="233"/>
      <c r="J934" s="761"/>
      <c r="K934" s="233"/>
      <c r="L934" s="233"/>
      <c r="M934" s="233"/>
      <c r="N934" s="2403"/>
      <c r="O934" s="2403"/>
    </row>
    <row r="935" spans="3:15">
      <c r="C935" s="233"/>
      <c r="D935" s="233"/>
      <c r="E935" s="761"/>
      <c r="F935" s="234"/>
      <c r="G935" s="234"/>
      <c r="H935" s="233"/>
      <c r="I935" s="233"/>
      <c r="J935" s="761"/>
      <c r="K935" s="233"/>
      <c r="L935" s="233"/>
      <c r="M935" s="233"/>
      <c r="N935" s="2403"/>
      <c r="O935" s="2403"/>
    </row>
    <row r="936" spans="3:15">
      <c r="C936" s="233"/>
      <c r="D936" s="233"/>
      <c r="E936" s="761"/>
      <c r="F936" s="234"/>
      <c r="G936" s="234"/>
      <c r="H936" s="233"/>
      <c r="I936" s="233"/>
      <c r="J936" s="761"/>
      <c r="K936" s="233"/>
      <c r="L936" s="233"/>
      <c r="M936" s="233"/>
      <c r="N936" s="2403"/>
      <c r="O936" s="2403"/>
    </row>
    <row r="937" spans="3:15">
      <c r="C937" s="233"/>
      <c r="D937" s="233"/>
      <c r="E937" s="761"/>
      <c r="F937" s="234"/>
      <c r="G937" s="234"/>
      <c r="H937" s="233"/>
      <c r="I937" s="233"/>
      <c r="J937" s="761"/>
      <c r="K937" s="233"/>
      <c r="L937" s="233"/>
      <c r="M937" s="233"/>
      <c r="N937" s="2403"/>
      <c r="O937" s="2403"/>
    </row>
    <row r="938" spans="3:15">
      <c r="C938" s="233"/>
      <c r="D938" s="233"/>
      <c r="E938" s="761"/>
      <c r="F938" s="234"/>
      <c r="G938" s="234"/>
      <c r="H938" s="233"/>
      <c r="I938" s="233"/>
      <c r="J938" s="761"/>
      <c r="K938" s="233"/>
      <c r="L938" s="233"/>
      <c r="M938" s="233"/>
      <c r="N938" s="2403"/>
      <c r="O938" s="2403"/>
    </row>
    <row r="939" spans="3:15">
      <c r="C939" s="233"/>
      <c r="D939" s="233"/>
      <c r="E939" s="761"/>
      <c r="F939" s="234"/>
      <c r="G939" s="234"/>
      <c r="H939" s="233"/>
      <c r="I939" s="233"/>
      <c r="J939" s="761"/>
      <c r="K939" s="233"/>
      <c r="L939" s="233"/>
      <c r="M939" s="233"/>
      <c r="N939" s="2403"/>
      <c r="O939" s="2403"/>
    </row>
    <row r="940" spans="3:15">
      <c r="C940" s="233"/>
      <c r="D940" s="233"/>
      <c r="E940" s="761"/>
      <c r="F940" s="234"/>
      <c r="G940" s="234"/>
      <c r="H940" s="233"/>
      <c r="I940" s="233"/>
      <c r="J940" s="761"/>
      <c r="K940" s="233"/>
      <c r="L940" s="233"/>
      <c r="M940" s="233"/>
      <c r="N940" s="2403"/>
      <c r="O940" s="2403"/>
    </row>
    <row r="941" spans="3:15">
      <c r="C941" s="233"/>
      <c r="D941" s="233"/>
      <c r="E941" s="761"/>
      <c r="F941" s="234"/>
      <c r="G941" s="234"/>
      <c r="H941" s="233"/>
      <c r="I941" s="233"/>
      <c r="J941" s="761"/>
      <c r="K941" s="233"/>
      <c r="L941" s="233"/>
      <c r="M941" s="233"/>
      <c r="N941" s="2403"/>
      <c r="O941" s="2403"/>
    </row>
    <row r="942" spans="3:15">
      <c r="C942" s="233"/>
      <c r="D942" s="233"/>
      <c r="E942" s="761"/>
      <c r="F942" s="234"/>
      <c r="G942" s="234"/>
      <c r="H942" s="233"/>
      <c r="I942" s="233"/>
      <c r="J942" s="761"/>
      <c r="K942" s="233"/>
      <c r="L942" s="233"/>
      <c r="M942" s="233"/>
      <c r="N942" s="2403"/>
      <c r="O942" s="2403"/>
    </row>
    <row r="943" spans="3:15">
      <c r="C943" s="233"/>
      <c r="D943" s="233"/>
      <c r="E943" s="761"/>
      <c r="F943" s="234"/>
      <c r="G943" s="234"/>
      <c r="H943" s="233"/>
      <c r="I943" s="233"/>
      <c r="J943" s="761"/>
      <c r="K943" s="233"/>
      <c r="L943" s="233"/>
      <c r="M943" s="233"/>
      <c r="N943" s="2403"/>
      <c r="O943" s="2403"/>
    </row>
    <row r="944" spans="3:15">
      <c r="C944" s="233"/>
      <c r="D944" s="233"/>
      <c r="E944" s="761"/>
      <c r="F944" s="234"/>
      <c r="G944" s="234"/>
      <c r="H944" s="233"/>
      <c r="I944" s="233"/>
      <c r="J944" s="761"/>
      <c r="K944" s="233"/>
      <c r="L944" s="233"/>
      <c r="M944" s="233"/>
      <c r="N944" s="2403"/>
      <c r="O944" s="2403"/>
    </row>
    <row r="945" spans="3:15">
      <c r="C945" s="233"/>
      <c r="D945" s="233"/>
      <c r="E945" s="761"/>
      <c r="F945" s="234"/>
      <c r="G945" s="234"/>
      <c r="H945" s="233"/>
      <c r="I945" s="233"/>
      <c r="J945" s="761"/>
      <c r="K945" s="233"/>
      <c r="L945" s="233"/>
      <c r="M945" s="233"/>
      <c r="N945" s="2403"/>
      <c r="O945" s="2403"/>
    </row>
    <row r="946" spans="3:15">
      <c r="C946" s="233"/>
      <c r="D946" s="233"/>
      <c r="E946" s="761"/>
      <c r="F946" s="234"/>
      <c r="G946" s="234"/>
      <c r="H946" s="233"/>
      <c r="I946" s="233"/>
      <c r="J946" s="761"/>
      <c r="K946" s="233"/>
      <c r="L946" s="233"/>
      <c r="M946" s="233"/>
      <c r="N946" s="2403"/>
      <c r="O946" s="2403"/>
    </row>
    <row r="947" spans="3:15">
      <c r="C947" s="233"/>
      <c r="D947" s="233"/>
      <c r="E947" s="761"/>
      <c r="F947" s="234"/>
      <c r="G947" s="234"/>
      <c r="H947" s="233"/>
      <c r="I947" s="233"/>
      <c r="J947" s="761"/>
      <c r="K947" s="233"/>
      <c r="L947" s="233"/>
      <c r="M947" s="233"/>
      <c r="N947" s="2403"/>
      <c r="O947" s="2403"/>
    </row>
    <row r="948" spans="3:15">
      <c r="C948" s="233"/>
      <c r="D948" s="233"/>
      <c r="E948" s="761"/>
      <c r="F948" s="234"/>
      <c r="G948" s="234"/>
      <c r="H948" s="233"/>
      <c r="I948" s="233"/>
      <c r="J948" s="761"/>
      <c r="K948" s="233"/>
      <c r="L948" s="233"/>
      <c r="M948" s="233"/>
      <c r="N948" s="2403"/>
      <c r="O948" s="2403"/>
    </row>
    <row r="949" spans="3:15">
      <c r="C949" s="233"/>
      <c r="D949" s="233"/>
      <c r="E949" s="761"/>
      <c r="F949" s="234"/>
      <c r="G949" s="234"/>
      <c r="H949" s="233"/>
      <c r="I949" s="233"/>
      <c r="J949" s="761"/>
      <c r="K949" s="233"/>
      <c r="L949" s="233"/>
      <c r="M949" s="233"/>
      <c r="N949" s="2403"/>
      <c r="O949" s="2403"/>
    </row>
    <row r="950" spans="3:15">
      <c r="C950" s="233"/>
      <c r="D950" s="233"/>
      <c r="E950" s="761"/>
      <c r="F950" s="234"/>
      <c r="G950" s="234"/>
      <c r="H950" s="233"/>
      <c r="I950" s="233"/>
      <c r="J950" s="761"/>
      <c r="K950" s="233"/>
      <c r="L950" s="233"/>
      <c r="M950" s="233"/>
      <c r="N950" s="2403"/>
      <c r="O950" s="2403"/>
    </row>
    <row r="951" spans="3:15">
      <c r="C951" s="233"/>
      <c r="D951" s="233"/>
      <c r="E951" s="761"/>
      <c r="F951" s="234"/>
      <c r="G951" s="234"/>
      <c r="H951" s="233"/>
      <c r="I951" s="233"/>
      <c r="J951" s="761"/>
      <c r="K951" s="233"/>
      <c r="L951" s="233"/>
      <c r="M951" s="233"/>
      <c r="N951" s="2403"/>
      <c r="O951" s="2403"/>
    </row>
    <row r="952" spans="3:15">
      <c r="C952" s="233"/>
      <c r="D952" s="233"/>
      <c r="E952" s="761"/>
      <c r="F952" s="234"/>
      <c r="G952" s="234"/>
      <c r="H952" s="233"/>
      <c r="I952" s="233"/>
      <c r="J952" s="761"/>
      <c r="K952" s="233"/>
      <c r="L952" s="233"/>
      <c r="M952" s="233"/>
      <c r="N952" s="2403"/>
      <c r="O952" s="2403"/>
    </row>
    <row r="953" spans="3:15">
      <c r="C953" s="233"/>
      <c r="D953" s="233"/>
      <c r="E953" s="761"/>
      <c r="F953" s="234"/>
      <c r="G953" s="234"/>
      <c r="H953" s="233"/>
      <c r="I953" s="233"/>
      <c r="J953" s="761"/>
      <c r="K953" s="233"/>
      <c r="L953" s="233"/>
      <c r="M953" s="233"/>
      <c r="N953" s="2403"/>
      <c r="O953" s="2403"/>
    </row>
    <row r="954" spans="3:15">
      <c r="C954" s="233"/>
      <c r="D954" s="233"/>
      <c r="E954" s="761"/>
      <c r="F954" s="234"/>
      <c r="G954" s="234"/>
      <c r="H954" s="233"/>
      <c r="I954" s="233"/>
      <c r="J954" s="761"/>
      <c r="K954" s="233"/>
      <c r="L954" s="233"/>
      <c r="M954" s="233"/>
      <c r="N954" s="2403"/>
      <c r="O954" s="2403"/>
    </row>
    <row r="955" spans="3:15">
      <c r="C955" s="233"/>
      <c r="D955" s="233"/>
      <c r="E955" s="761"/>
      <c r="F955" s="234"/>
      <c r="G955" s="234"/>
      <c r="H955" s="233"/>
      <c r="I955" s="233"/>
      <c r="J955" s="761"/>
      <c r="K955" s="233"/>
      <c r="L955" s="233"/>
      <c r="M955" s="233"/>
      <c r="N955" s="2403"/>
      <c r="O955" s="2403"/>
    </row>
    <row r="956" spans="3:15">
      <c r="C956" s="233"/>
      <c r="D956" s="233"/>
      <c r="E956" s="761"/>
      <c r="F956" s="234"/>
      <c r="G956" s="234"/>
      <c r="H956" s="233"/>
      <c r="I956" s="233"/>
      <c r="J956" s="761"/>
      <c r="K956" s="233"/>
      <c r="L956" s="233"/>
      <c r="M956" s="233"/>
      <c r="N956" s="2403"/>
      <c r="O956" s="2403"/>
    </row>
    <row r="957" spans="3:15">
      <c r="C957" s="233"/>
      <c r="D957" s="233"/>
      <c r="E957" s="761"/>
      <c r="F957" s="234"/>
      <c r="G957" s="234"/>
      <c r="H957" s="233"/>
      <c r="I957" s="233"/>
      <c r="J957" s="761"/>
      <c r="K957" s="233"/>
      <c r="L957" s="233"/>
      <c r="M957" s="233"/>
      <c r="N957" s="2403"/>
      <c r="O957" s="2403"/>
    </row>
    <row r="958" spans="3:15">
      <c r="C958" s="233"/>
      <c r="D958" s="233"/>
      <c r="E958" s="761"/>
      <c r="F958" s="234"/>
      <c r="G958" s="234"/>
      <c r="H958" s="233"/>
      <c r="I958" s="233"/>
      <c r="J958" s="761"/>
      <c r="K958" s="233"/>
      <c r="L958" s="233"/>
      <c r="M958" s="233"/>
      <c r="N958" s="2403"/>
      <c r="O958" s="2403"/>
    </row>
    <row r="959" spans="3:15">
      <c r="C959" s="233"/>
      <c r="D959" s="233"/>
      <c r="E959" s="761"/>
      <c r="F959" s="234"/>
      <c r="G959" s="234"/>
      <c r="H959" s="233"/>
      <c r="I959" s="233"/>
      <c r="J959" s="761"/>
      <c r="K959" s="233"/>
      <c r="L959" s="233"/>
      <c r="M959" s="233"/>
      <c r="N959" s="2403"/>
      <c r="O959" s="2403"/>
    </row>
    <row r="960" spans="3:15">
      <c r="C960" s="233"/>
      <c r="D960" s="233"/>
      <c r="E960" s="761"/>
      <c r="F960" s="234"/>
      <c r="G960" s="234"/>
      <c r="H960" s="233"/>
      <c r="I960" s="233"/>
      <c r="J960" s="761"/>
      <c r="K960" s="233"/>
      <c r="L960" s="233"/>
      <c r="M960" s="233"/>
      <c r="N960" s="2403"/>
      <c r="O960" s="2403"/>
    </row>
    <row r="961" spans="3:15">
      <c r="C961" s="233"/>
      <c r="D961" s="233"/>
      <c r="E961" s="761"/>
      <c r="F961" s="234"/>
      <c r="G961" s="234"/>
      <c r="H961" s="233"/>
      <c r="I961" s="233"/>
      <c r="J961" s="761"/>
      <c r="K961" s="233"/>
      <c r="L961" s="233"/>
      <c r="M961" s="233"/>
      <c r="N961" s="2403"/>
      <c r="O961" s="2403"/>
    </row>
    <row r="962" spans="3:15">
      <c r="C962" s="233"/>
      <c r="D962" s="233"/>
      <c r="E962" s="761"/>
      <c r="F962" s="234"/>
      <c r="G962" s="234"/>
      <c r="H962" s="233"/>
      <c r="I962" s="233"/>
      <c r="J962" s="761"/>
      <c r="K962" s="233"/>
      <c r="L962" s="233"/>
      <c r="M962" s="233"/>
      <c r="N962" s="2403"/>
      <c r="O962" s="2403"/>
    </row>
    <row r="963" spans="3:15">
      <c r="C963" s="233"/>
      <c r="D963" s="233"/>
      <c r="E963" s="761"/>
      <c r="F963" s="234"/>
      <c r="G963" s="234"/>
      <c r="H963" s="233"/>
      <c r="I963" s="233"/>
      <c r="J963" s="761"/>
      <c r="K963" s="233"/>
      <c r="L963" s="233"/>
      <c r="M963" s="233"/>
      <c r="N963" s="2403"/>
      <c r="O963" s="2403"/>
    </row>
    <row r="964" spans="3:15">
      <c r="C964" s="233"/>
      <c r="D964" s="233"/>
      <c r="E964" s="761"/>
      <c r="F964" s="234"/>
      <c r="G964" s="234"/>
      <c r="H964" s="233"/>
      <c r="I964" s="233"/>
      <c r="J964" s="761"/>
      <c r="K964" s="233"/>
      <c r="L964" s="233"/>
      <c r="M964" s="233"/>
      <c r="N964" s="2403"/>
      <c r="O964" s="2403"/>
    </row>
    <row r="965" spans="3:15">
      <c r="C965" s="233"/>
      <c r="D965" s="233"/>
      <c r="E965" s="761"/>
      <c r="F965" s="234"/>
      <c r="G965" s="234"/>
      <c r="H965" s="233"/>
      <c r="I965" s="233"/>
      <c r="J965" s="761"/>
      <c r="K965" s="233"/>
      <c r="L965" s="233"/>
      <c r="M965" s="233"/>
      <c r="N965" s="2403"/>
      <c r="O965" s="2403"/>
    </row>
    <row r="966" spans="3:15">
      <c r="C966" s="233"/>
      <c r="D966" s="233"/>
      <c r="E966" s="761"/>
      <c r="F966" s="234"/>
      <c r="G966" s="234"/>
      <c r="H966" s="233"/>
      <c r="I966" s="233"/>
      <c r="J966" s="761"/>
      <c r="K966" s="233"/>
      <c r="L966" s="233"/>
      <c r="M966" s="233"/>
      <c r="N966" s="2403"/>
      <c r="O966" s="2403"/>
    </row>
    <row r="967" spans="3:15">
      <c r="C967" s="233"/>
      <c r="D967" s="233"/>
      <c r="E967" s="761"/>
      <c r="F967" s="234"/>
      <c r="G967" s="234"/>
      <c r="H967" s="233"/>
      <c r="I967" s="233"/>
      <c r="J967" s="761"/>
      <c r="K967" s="233"/>
      <c r="L967" s="233"/>
      <c r="M967" s="233"/>
      <c r="N967" s="2403"/>
      <c r="O967" s="2403"/>
    </row>
    <row r="968" spans="3:15">
      <c r="C968" s="233"/>
      <c r="D968" s="233"/>
      <c r="E968" s="761"/>
      <c r="F968" s="234"/>
      <c r="G968" s="234"/>
      <c r="H968" s="233"/>
      <c r="I968" s="233"/>
      <c r="J968" s="761"/>
      <c r="K968" s="233"/>
      <c r="L968" s="233"/>
      <c r="M968" s="233"/>
      <c r="N968" s="2403"/>
      <c r="O968" s="2403"/>
    </row>
    <row r="969" spans="3:15">
      <c r="C969" s="233"/>
      <c r="D969" s="233"/>
      <c r="E969" s="761"/>
      <c r="F969" s="234"/>
      <c r="G969" s="234"/>
      <c r="H969" s="233"/>
      <c r="I969" s="233"/>
      <c r="J969" s="761"/>
      <c r="K969" s="233"/>
      <c r="L969" s="233"/>
      <c r="M969" s="233"/>
      <c r="N969" s="2403"/>
      <c r="O969" s="2403"/>
    </row>
    <row r="970" spans="3:15">
      <c r="C970" s="233"/>
      <c r="D970" s="233"/>
      <c r="E970" s="761"/>
      <c r="F970" s="234"/>
      <c r="G970" s="234"/>
      <c r="H970" s="233"/>
      <c r="I970" s="233"/>
      <c r="J970" s="761"/>
      <c r="K970" s="233"/>
      <c r="L970" s="233"/>
      <c r="M970" s="233"/>
      <c r="N970" s="2403"/>
      <c r="O970" s="2403"/>
    </row>
    <row r="971" spans="3:15">
      <c r="C971" s="233"/>
      <c r="D971" s="233"/>
      <c r="E971" s="761"/>
      <c r="F971" s="234"/>
      <c r="G971" s="234"/>
      <c r="H971" s="233"/>
      <c r="I971" s="233"/>
      <c r="J971" s="761"/>
      <c r="K971" s="233"/>
      <c r="L971" s="233"/>
      <c r="M971" s="233"/>
      <c r="N971" s="2403"/>
      <c r="O971" s="2403"/>
    </row>
    <row r="972" spans="3:15">
      <c r="C972" s="233"/>
      <c r="D972" s="233"/>
      <c r="E972" s="761"/>
      <c r="F972" s="234"/>
      <c r="G972" s="234"/>
      <c r="H972" s="233"/>
      <c r="I972" s="233"/>
      <c r="J972" s="761"/>
      <c r="K972" s="233"/>
      <c r="L972" s="233"/>
      <c r="M972" s="233"/>
      <c r="N972" s="2403"/>
      <c r="O972" s="2403"/>
    </row>
    <row r="973" spans="3:15">
      <c r="C973" s="233"/>
      <c r="D973" s="233"/>
      <c r="E973" s="761"/>
      <c r="F973" s="234"/>
      <c r="G973" s="234"/>
      <c r="H973" s="233"/>
      <c r="I973" s="233"/>
      <c r="J973" s="761"/>
      <c r="K973" s="233"/>
      <c r="L973" s="233"/>
      <c r="M973" s="233"/>
      <c r="N973" s="2403"/>
      <c r="O973" s="2403"/>
    </row>
    <row r="974" spans="3:15">
      <c r="C974" s="233"/>
      <c r="D974" s="233"/>
      <c r="E974" s="761"/>
      <c r="F974" s="234"/>
      <c r="G974" s="234"/>
      <c r="H974" s="233"/>
      <c r="I974" s="233"/>
      <c r="J974" s="761"/>
      <c r="K974" s="233"/>
      <c r="L974" s="233"/>
      <c r="M974" s="233"/>
      <c r="N974" s="2403"/>
      <c r="O974" s="2403"/>
    </row>
    <row r="975" spans="3:15">
      <c r="C975" s="233"/>
      <c r="D975" s="233"/>
      <c r="E975" s="761"/>
      <c r="F975" s="234"/>
      <c r="G975" s="234"/>
      <c r="H975" s="233"/>
      <c r="I975" s="233"/>
      <c r="J975" s="761"/>
      <c r="K975" s="233"/>
      <c r="L975" s="233"/>
      <c r="M975" s="233"/>
      <c r="N975" s="2403"/>
      <c r="O975" s="2403"/>
    </row>
    <row r="976" spans="3:15">
      <c r="C976" s="233"/>
      <c r="D976" s="233"/>
      <c r="E976" s="761"/>
      <c r="F976" s="234"/>
      <c r="G976" s="234"/>
      <c r="H976" s="233"/>
      <c r="I976" s="233"/>
      <c r="J976" s="761"/>
      <c r="K976" s="233"/>
      <c r="L976" s="233"/>
      <c r="M976" s="233"/>
      <c r="N976" s="2403"/>
      <c r="O976" s="2403"/>
    </row>
    <row r="977" spans="3:15">
      <c r="C977" s="233"/>
      <c r="D977" s="233"/>
      <c r="E977" s="761"/>
      <c r="F977" s="234"/>
      <c r="G977" s="234"/>
      <c r="H977" s="233"/>
      <c r="I977" s="233"/>
      <c r="J977" s="761"/>
      <c r="K977" s="233"/>
      <c r="L977" s="233"/>
      <c r="M977" s="233"/>
      <c r="N977" s="2403"/>
      <c r="O977" s="2403"/>
    </row>
    <row r="978" spans="3:15">
      <c r="C978" s="233"/>
      <c r="D978" s="233"/>
      <c r="E978" s="761"/>
      <c r="F978" s="234"/>
      <c r="G978" s="234"/>
      <c r="H978" s="233"/>
      <c r="I978" s="233"/>
      <c r="J978" s="761"/>
      <c r="K978" s="233"/>
      <c r="L978" s="233"/>
      <c r="M978" s="233"/>
      <c r="N978" s="2403"/>
      <c r="O978" s="2403"/>
    </row>
    <row r="979" spans="3:15">
      <c r="C979" s="233"/>
      <c r="D979" s="233"/>
      <c r="E979" s="761"/>
      <c r="F979" s="234"/>
      <c r="G979" s="234"/>
      <c r="H979" s="233"/>
      <c r="I979" s="233"/>
      <c r="J979" s="761"/>
      <c r="K979" s="233"/>
      <c r="L979" s="233"/>
      <c r="M979" s="233"/>
      <c r="N979" s="2403"/>
      <c r="O979" s="2403"/>
    </row>
    <row r="980" spans="3:15">
      <c r="C980" s="233"/>
      <c r="D980" s="233"/>
      <c r="E980" s="761"/>
      <c r="F980" s="234"/>
      <c r="G980" s="234"/>
      <c r="H980" s="233"/>
      <c r="I980" s="233"/>
      <c r="J980" s="761"/>
      <c r="K980" s="233"/>
      <c r="L980" s="233"/>
      <c r="M980" s="233"/>
      <c r="N980" s="2403"/>
      <c r="O980" s="2403"/>
    </row>
    <row r="981" spans="3:15">
      <c r="C981" s="233"/>
      <c r="D981" s="233"/>
      <c r="E981" s="761"/>
      <c r="F981" s="234"/>
      <c r="G981" s="234"/>
      <c r="H981" s="233"/>
      <c r="I981" s="233"/>
      <c r="J981" s="761"/>
      <c r="K981" s="233"/>
      <c r="L981" s="233"/>
      <c r="M981" s="233"/>
      <c r="N981" s="2403"/>
      <c r="O981" s="2403"/>
    </row>
    <row r="982" spans="3:15">
      <c r="C982" s="233"/>
      <c r="D982" s="233"/>
      <c r="E982" s="761"/>
      <c r="F982" s="234"/>
      <c r="G982" s="234"/>
      <c r="H982" s="233"/>
      <c r="I982" s="233"/>
      <c r="J982" s="761"/>
      <c r="K982" s="233"/>
      <c r="L982" s="233"/>
      <c r="M982" s="233"/>
      <c r="N982" s="2403"/>
      <c r="O982" s="2403"/>
    </row>
    <row r="983" spans="3:15">
      <c r="C983" s="233"/>
      <c r="D983" s="233"/>
      <c r="E983" s="761"/>
      <c r="F983" s="234"/>
      <c r="G983" s="234"/>
      <c r="H983" s="233"/>
      <c r="I983" s="233"/>
      <c r="J983" s="761"/>
      <c r="K983" s="233"/>
      <c r="L983" s="233"/>
      <c r="M983" s="233"/>
      <c r="N983" s="2403"/>
      <c r="O983" s="2403"/>
    </row>
    <row r="984" spans="3:15">
      <c r="C984" s="233"/>
      <c r="D984" s="233"/>
      <c r="E984" s="761"/>
      <c r="F984" s="234"/>
      <c r="G984" s="234"/>
      <c r="H984" s="233"/>
      <c r="I984" s="233"/>
      <c r="J984" s="761"/>
      <c r="K984" s="233"/>
      <c r="L984" s="233"/>
      <c r="M984" s="233"/>
      <c r="N984" s="2403"/>
      <c r="O984" s="2403"/>
    </row>
    <row r="985" spans="3:15">
      <c r="C985" s="233"/>
      <c r="D985" s="233"/>
      <c r="E985" s="761"/>
      <c r="F985" s="234"/>
      <c r="G985" s="234"/>
      <c r="H985" s="233"/>
      <c r="I985" s="233"/>
      <c r="J985" s="761"/>
      <c r="K985" s="233"/>
      <c r="L985" s="233"/>
      <c r="M985" s="233"/>
      <c r="N985" s="2403"/>
      <c r="O985" s="2403"/>
    </row>
    <row r="986" spans="3:15">
      <c r="C986" s="233"/>
      <c r="D986" s="233"/>
      <c r="E986" s="761"/>
      <c r="F986" s="234"/>
      <c r="G986" s="234"/>
      <c r="H986" s="233"/>
      <c r="I986" s="233"/>
      <c r="J986" s="761"/>
      <c r="K986" s="233"/>
      <c r="L986" s="233"/>
      <c r="M986" s="233"/>
      <c r="N986" s="2403"/>
      <c r="O986" s="2403"/>
    </row>
    <row r="987" spans="3:15">
      <c r="C987" s="233"/>
      <c r="D987" s="233"/>
      <c r="E987" s="761"/>
      <c r="F987" s="234"/>
      <c r="G987" s="234"/>
      <c r="H987" s="233"/>
      <c r="I987" s="233"/>
      <c r="J987" s="761"/>
      <c r="K987" s="233"/>
      <c r="L987" s="233"/>
      <c r="M987" s="233"/>
      <c r="N987" s="2403"/>
      <c r="O987" s="2403"/>
    </row>
    <row r="988" spans="3:15">
      <c r="C988" s="233"/>
      <c r="D988" s="233"/>
      <c r="E988" s="761"/>
      <c r="F988" s="234"/>
      <c r="G988" s="234"/>
      <c r="H988" s="233"/>
      <c r="I988" s="233"/>
      <c r="J988" s="761"/>
      <c r="K988" s="233"/>
      <c r="L988" s="233"/>
      <c r="M988" s="233"/>
      <c r="N988" s="2403"/>
      <c r="O988" s="2403"/>
    </row>
    <row r="989" spans="3:15">
      <c r="C989" s="233"/>
      <c r="D989" s="233"/>
      <c r="E989" s="761"/>
      <c r="F989" s="234"/>
      <c r="G989" s="234"/>
      <c r="H989" s="233"/>
      <c r="I989" s="233"/>
      <c r="J989" s="761"/>
      <c r="K989" s="233"/>
      <c r="L989" s="233"/>
      <c r="M989" s="233"/>
      <c r="N989" s="2403"/>
      <c r="O989" s="2403"/>
    </row>
    <row r="990" spans="3:15">
      <c r="C990" s="233"/>
      <c r="D990" s="233"/>
      <c r="E990" s="761"/>
      <c r="F990" s="234"/>
      <c r="G990" s="234"/>
      <c r="H990" s="233"/>
      <c r="I990" s="233"/>
      <c r="J990" s="761"/>
      <c r="K990" s="233"/>
      <c r="L990" s="233"/>
      <c r="M990" s="233"/>
      <c r="N990" s="2403"/>
      <c r="O990" s="2403"/>
    </row>
    <row r="991" spans="3:15">
      <c r="C991" s="233"/>
      <c r="D991" s="233"/>
      <c r="E991" s="761"/>
      <c r="F991" s="234"/>
      <c r="G991" s="234"/>
      <c r="H991" s="233"/>
      <c r="I991" s="233"/>
      <c r="J991" s="761"/>
      <c r="K991" s="233"/>
      <c r="L991" s="233"/>
      <c r="M991" s="233"/>
      <c r="N991" s="2403"/>
      <c r="O991" s="2403"/>
    </row>
    <row r="992" spans="3:15">
      <c r="C992" s="233"/>
      <c r="D992" s="233"/>
      <c r="E992" s="761"/>
      <c r="F992" s="234"/>
      <c r="G992" s="234"/>
      <c r="H992" s="233"/>
      <c r="I992" s="233"/>
      <c r="J992" s="761"/>
      <c r="K992" s="233"/>
      <c r="L992" s="233"/>
      <c r="M992" s="233"/>
      <c r="N992" s="2403"/>
      <c r="O992" s="2403"/>
    </row>
    <row r="993" spans="3:15">
      <c r="C993" s="233"/>
      <c r="D993" s="233"/>
      <c r="E993" s="761"/>
      <c r="F993" s="234"/>
      <c r="G993" s="234"/>
      <c r="H993" s="233"/>
      <c r="I993" s="233"/>
      <c r="J993" s="761"/>
      <c r="K993" s="233"/>
      <c r="L993" s="233"/>
      <c r="M993" s="233"/>
      <c r="N993" s="2403"/>
      <c r="O993" s="2403"/>
    </row>
    <row r="994" spans="3:15">
      <c r="C994" s="233"/>
      <c r="D994" s="233"/>
      <c r="E994" s="761"/>
      <c r="F994" s="234"/>
      <c r="G994" s="234"/>
      <c r="H994" s="233"/>
      <c r="I994" s="233"/>
      <c r="J994" s="761"/>
      <c r="K994" s="233"/>
      <c r="L994" s="233"/>
      <c r="M994" s="233"/>
      <c r="N994" s="2403"/>
      <c r="O994" s="2403"/>
    </row>
    <row r="995" spans="3:15">
      <c r="C995" s="233"/>
      <c r="D995" s="233"/>
      <c r="E995" s="761"/>
      <c r="F995" s="234"/>
      <c r="G995" s="234"/>
      <c r="H995" s="233"/>
      <c r="I995" s="233"/>
      <c r="J995" s="761"/>
      <c r="K995" s="233"/>
      <c r="L995" s="233"/>
      <c r="M995" s="233"/>
      <c r="N995" s="2403"/>
      <c r="O995" s="2403"/>
    </row>
    <row r="996" spans="3:15">
      <c r="C996" s="233"/>
      <c r="D996" s="233"/>
      <c r="E996" s="761"/>
      <c r="F996" s="234"/>
      <c r="G996" s="234"/>
      <c r="H996" s="233"/>
      <c r="I996" s="233"/>
      <c r="J996" s="761"/>
      <c r="K996" s="233"/>
      <c r="L996" s="233"/>
      <c r="M996" s="233"/>
      <c r="N996" s="2403"/>
      <c r="O996" s="2403"/>
    </row>
    <row r="997" spans="3:15">
      <c r="C997" s="233"/>
      <c r="D997" s="233"/>
      <c r="E997" s="761"/>
      <c r="F997" s="234"/>
      <c r="G997" s="234"/>
      <c r="H997" s="233"/>
      <c r="I997" s="233"/>
      <c r="J997" s="761"/>
      <c r="K997" s="233"/>
      <c r="L997" s="233"/>
      <c r="M997" s="233"/>
      <c r="N997" s="2403"/>
      <c r="O997" s="2403"/>
    </row>
    <row r="998" spans="3:15">
      <c r="C998" s="233"/>
      <c r="D998" s="233"/>
      <c r="E998" s="761"/>
      <c r="F998" s="234"/>
      <c r="G998" s="234"/>
      <c r="H998" s="233"/>
      <c r="I998" s="233"/>
      <c r="J998" s="761"/>
      <c r="K998" s="233"/>
      <c r="L998" s="233"/>
      <c r="M998" s="233"/>
      <c r="N998" s="2403"/>
      <c r="O998" s="2403"/>
    </row>
    <row r="999" spans="3:15">
      <c r="C999" s="233"/>
      <c r="D999" s="233"/>
      <c r="E999" s="761"/>
      <c r="F999" s="234"/>
      <c r="G999" s="234"/>
      <c r="H999" s="233"/>
      <c r="I999" s="233"/>
      <c r="J999" s="761"/>
      <c r="K999" s="233"/>
      <c r="L999" s="233"/>
      <c r="M999" s="233"/>
      <c r="N999" s="2403"/>
      <c r="O999" s="2403"/>
    </row>
    <row r="1000" spans="3:15">
      <c r="C1000" s="233"/>
      <c r="D1000" s="233"/>
      <c r="E1000" s="761"/>
      <c r="F1000" s="234"/>
      <c r="G1000" s="234"/>
      <c r="H1000" s="233"/>
      <c r="I1000" s="233"/>
      <c r="J1000" s="761"/>
      <c r="K1000" s="233"/>
      <c r="L1000" s="233"/>
      <c r="M1000" s="233"/>
      <c r="N1000" s="2403"/>
      <c r="O1000" s="2403"/>
    </row>
    <row r="1001" spans="3:15">
      <c r="C1001" s="233"/>
      <c r="D1001" s="233"/>
      <c r="E1001" s="761"/>
      <c r="F1001" s="234"/>
      <c r="G1001" s="234"/>
      <c r="H1001" s="233"/>
      <c r="I1001" s="233"/>
      <c r="J1001" s="761"/>
      <c r="K1001" s="233"/>
      <c r="L1001" s="233"/>
      <c r="M1001" s="233"/>
      <c r="N1001" s="2403"/>
      <c r="O1001" s="2403"/>
    </row>
    <row r="1002" spans="3:15">
      <c r="C1002" s="233"/>
      <c r="D1002" s="233"/>
      <c r="E1002" s="761"/>
      <c r="F1002" s="234"/>
      <c r="G1002" s="234"/>
      <c r="H1002" s="233"/>
      <c r="I1002" s="233"/>
      <c r="J1002" s="761"/>
      <c r="K1002" s="233"/>
      <c r="L1002" s="233"/>
      <c r="M1002" s="233"/>
      <c r="N1002" s="2403"/>
      <c r="O1002" s="2403"/>
    </row>
    <row r="1003" spans="3:15">
      <c r="C1003" s="233"/>
      <c r="D1003" s="233"/>
      <c r="E1003" s="761"/>
      <c r="F1003" s="234"/>
      <c r="G1003" s="234"/>
      <c r="H1003" s="233"/>
      <c r="I1003" s="233"/>
      <c r="J1003" s="761"/>
      <c r="K1003" s="233"/>
      <c r="L1003" s="233"/>
      <c r="M1003" s="233"/>
      <c r="N1003" s="2403"/>
      <c r="O1003" s="2403"/>
    </row>
    <row r="1004" spans="3:15">
      <c r="C1004" s="233"/>
      <c r="D1004" s="233"/>
      <c r="E1004" s="761"/>
      <c r="F1004" s="234"/>
      <c r="G1004" s="234"/>
      <c r="H1004" s="233"/>
      <c r="I1004" s="233"/>
      <c r="J1004" s="761"/>
      <c r="K1004" s="233"/>
      <c r="L1004" s="233"/>
      <c r="M1004" s="233"/>
      <c r="N1004" s="2403"/>
      <c r="O1004" s="2403"/>
    </row>
    <row r="1005" spans="3:15">
      <c r="C1005" s="233"/>
      <c r="D1005" s="233"/>
      <c r="E1005" s="761"/>
      <c r="F1005" s="234"/>
      <c r="G1005" s="234"/>
      <c r="H1005" s="233"/>
      <c r="I1005" s="233"/>
      <c r="J1005" s="761"/>
      <c r="K1005" s="233"/>
      <c r="L1005" s="233"/>
      <c r="M1005" s="233"/>
      <c r="N1005" s="2403"/>
      <c r="O1005" s="2403"/>
    </row>
    <row r="1006" spans="3:15">
      <c r="C1006" s="233"/>
      <c r="D1006" s="233"/>
      <c r="E1006" s="761"/>
      <c r="F1006" s="234"/>
      <c r="G1006" s="234"/>
      <c r="H1006" s="233"/>
      <c r="I1006" s="233"/>
      <c r="J1006" s="761"/>
      <c r="K1006" s="233"/>
      <c r="L1006" s="233"/>
      <c r="M1006" s="233"/>
      <c r="N1006" s="2403"/>
      <c r="O1006" s="2403"/>
    </row>
    <row r="1007" spans="3:15">
      <c r="C1007" s="233"/>
      <c r="D1007" s="233"/>
      <c r="E1007" s="761"/>
      <c r="F1007" s="234"/>
      <c r="G1007" s="234"/>
      <c r="H1007" s="233"/>
      <c r="I1007" s="233"/>
      <c r="J1007" s="761"/>
      <c r="K1007" s="233"/>
      <c r="L1007" s="233"/>
      <c r="M1007" s="233"/>
      <c r="N1007" s="2403"/>
      <c r="O1007" s="2403"/>
    </row>
    <row r="1008" spans="3:15">
      <c r="C1008" s="233"/>
      <c r="D1008" s="233"/>
      <c r="E1008" s="761"/>
      <c r="F1008" s="234"/>
      <c r="G1008" s="234"/>
      <c r="H1008" s="233"/>
      <c r="I1008" s="233"/>
      <c r="J1008" s="761"/>
      <c r="K1008" s="233"/>
      <c r="L1008" s="233"/>
      <c r="M1008" s="233"/>
      <c r="N1008" s="2403"/>
      <c r="O1008" s="2403"/>
    </row>
    <row r="1009" spans="3:15">
      <c r="C1009" s="233"/>
      <c r="D1009" s="233"/>
      <c r="E1009" s="761"/>
      <c r="F1009" s="234"/>
      <c r="G1009" s="234"/>
      <c r="H1009" s="233"/>
      <c r="I1009" s="233"/>
      <c r="J1009" s="761"/>
      <c r="K1009" s="233"/>
      <c r="L1009" s="233"/>
      <c r="M1009" s="233"/>
      <c r="N1009" s="2403"/>
      <c r="O1009" s="2403"/>
    </row>
    <row r="1010" spans="3:15">
      <c r="C1010" s="233"/>
      <c r="D1010" s="233"/>
      <c r="E1010" s="761"/>
      <c r="F1010" s="234"/>
      <c r="G1010" s="234"/>
      <c r="H1010" s="233"/>
      <c r="I1010" s="233"/>
      <c r="J1010" s="761"/>
      <c r="K1010" s="233"/>
      <c r="L1010" s="233"/>
      <c r="M1010" s="233"/>
      <c r="N1010" s="2403"/>
      <c r="O1010" s="2403"/>
    </row>
    <row r="1011" spans="3:15">
      <c r="C1011" s="233"/>
      <c r="D1011" s="233"/>
      <c r="E1011" s="761"/>
      <c r="F1011" s="234"/>
      <c r="G1011" s="234"/>
      <c r="H1011" s="233"/>
      <c r="I1011" s="233"/>
      <c r="J1011" s="761"/>
      <c r="K1011" s="233"/>
      <c r="L1011" s="233"/>
      <c r="M1011" s="233"/>
      <c r="N1011" s="2403"/>
      <c r="O1011" s="2403"/>
    </row>
    <row r="1012" spans="3:15">
      <c r="C1012" s="233"/>
      <c r="D1012" s="233"/>
      <c r="E1012" s="761"/>
      <c r="F1012" s="234"/>
      <c r="G1012" s="234"/>
      <c r="H1012" s="233"/>
      <c r="I1012" s="233"/>
      <c r="J1012" s="761"/>
      <c r="K1012" s="233"/>
      <c r="L1012" s="233"/>
      <c r="M1012" s="233"/>
      <c r="N1012" s="2403"/>
      <c r="O1012" s="2403"/>
    </row>
    <row r="1013" spans="3:15">
      <c r="C1013" s="233"/>
      <c r="D1013" s="233"/>
      <c r="E1013" s="761"/>
      <c r="F1013" s="234"/>
      <c r="G1013" s="234"/>
      <c r="H1013" s="233"/>
      <c r="I1013" s="233"/>
      <c r="J1013" s="761"/>
      <c r="K1013" s="233"/>
      <c r="L1013" s="233"/>
      <c r="M1013" s="233"/>
      <c r="N1013" s="2403"/>
      <c r="O1013" s="2403"/>
    </row>
    <row r="1014" spans="3:15">
      <c r="C1014" s="233"/>
      <c r="D1014" s="233"/>
      <c r="E1014" s="761"/>
      <c r="F1014" s="234"/>
      <c r="G1014" s="234"/>
      <c r="H1014" s="233"/>
      <c r="I1014" s="233"/>
      <c r="J1014" s="761"/>
      <c r="K1014" s="233"/>
      <c r="L1014" s="233"/>
      <c r="M1014" s="233"/>
      <c r="N1014" s="2403"/>
      <c r="O1014" s="2403"/>
    </row>
    <row r="1015" spans="3:15">
      <c r="C1015" s="233"/>
      <c r="D1015" s="233"/>
      <c r="E1015" s="761"/>
      <c r="F1015" s="234"/>
      <c r="G1015" s="234"/>
      <c r="H1015" s="233"/>
      <c r="I1015" s="233"/>
      <c r="J1015" s="761"/>
      <c r="K1015" s="233"/>
      <c r="L1015" s="233"/>
      <c r="M1015" s="233"/>
      <c r="N1015" s="2403"/>
      <c r="O1015" s="2403"/>
    </row>
    <row r="1016" spans="3:15">
      <c r="C1016" s="233"/>
      <c r="D1016" s="233"/>
      <c r="E1016" s="761"/>
      <c r="F1016" s="234"/>
      <c r="G1016" s="234"/>
      <c r="H1016" s="233"/>
      <c r="I1016" s="233"/>
      <c r="J1016" s="761"/>
      <c r="K1016" s="233"/>
      <c r="L1016" s="233"/>
      <c r="M1016" s="233"/>
      <c r="N1016" s="2403"/>
      <c r="O1016" s="2403"/>
    </row>
    <row r="1017" spans="3:15">
      <c r="C1017" s="233"/>
      <c r="D1017" s="233"/>
      <c r="E1017" s="761"/>
      <c r="F1017" s="234"/>
      <c r="G1017" s="234"/>
      <c r="H1017" s="233"/>
      <c r="I1017" s="233"/>
      <c r="J1017" s="761"/>
      <c r="K1017" s="233"/>
      <c r="L1017" s="233"/>
      <c r="M1017" s="233"/>
      <c r="N1017" s="2403"/>
      <c r="O1017" s="2403"/>
    </row>
    <row r="1018" spans="3:15">
      <c r="C1018" s="233"/>
      <c r="D1018" s="233"/>
      <c r="E1018" s="761"/>
      <c r="F1018" s="234"/>
      <c r="G1018" s="234"/>
      <c r="H1018" s="233"/>
      <c r="I1018" s="233"/>
      <c r="J1018" s="761"/>
      <c r="K1018" s="233"/>
      <c r="L1018" s="233"/>
      <c r="M1018" s="233"/>
      <c r="N1018" s="2403"/>
      <c r="O1018" s="2403"/>
    </row>
    <row r="1019" spans="3:15">
      <c r="C1019" s="233"/>
      <c r="D1019" s="233"/>
      <c r="E1019" s="761"/>
      <c r="F1019" s="234"/>
      <c r="G1019" s="234"/>
      <c r="H1019" s="233"/>
      <c r="I1019" s="233"/>
      <c r="J1019" s="761"/>
      <c r="K1019" s="233"/>
      <c r="L1019" s="233"/>
      <c r="M1019" s="233"/>
      <c r="N1019" s="2403"/>
      <c r="O1019" s="2403"/>
    </row>
    <row r="1020" spans="3:15">
      <c r="C1020" s="233"/>
      <c r="D1020" s="233"/>
      <c r="E1020" s="761"/>
      <c r="F1020" s="234"/>
      <c r="G1020" s="234"/>
      <c r="H1020" s="233"/>
      <c r="I1020" s="233"/>
      <c r="J1020" s="761"/>
      <c r="K1020" s="233"/>
      <c r="L1020" s="233"/>
      <c r="M1020" s="233"/>
      <c r="N1020" s="2403"/>
      <c r="O1020" s="2403"/>
    </row>
    <row r="1021" spans="3:15">
      <c r="C1021" s="233"/>
      <c r="D1021" s="233"/>
      <c r="E1021" s="761"/>
      <c r="F1021" s="234"/>
      <c r="G1021" s="234"/>
      <c r="H1021" s="233"/>
      <c r="I1021" s="233"/>
      <c r="J1021" s="761"/>
      <c r="K1021" s="233"/>
      <c r="L1021" s="233"/>
      <c r="M1021" s="233"/>
      <c r="N1021" s="2403"/>
      <c r="O1021" s="2403"/>
    </row>
    <row r="1022" spans="3:15">
      <c r="C1022" s="233"/>
      <c r="D1022" s="233"/>
      <c r="E1022" s="761"/>
      <c r="F1022" s="234"/>
      <c r="G1022" s="234"/>
      <c r="H1022" s="233"/>
      <c r="I1022" s="233"/>
      <c r="J1022" s="761"/>
      <c r="K1022" s="233"/>
      <c r="L1022" s="233"/>
      <c r="M1022" s="233"/>
      <c r="N1022" s="2403"/>
      <c r="O1022" s="2403"/>
    </row>
    <row r="1023" spans="3:15">
      <c r="C1023" s="233"/>
      <c r="D1023" s="233"/>
      <c r="E1023" s="761"/>
      <c r="F1023" s="234"/>
      <c r="G1023" s="234"/>
      <c r="H1023" s="233"/>
      <c r="I1023" s="233"/>
      <c r="J1023" s="761"/>
      <c r="K1023" s="233"/>
      <c r="L1023" s="233"/>
      <c r="M1023" s="233"/>
      <c r="N1023" s="2403"/>
      <c r="O1023" s="2403"/>
    </row>
    <row r="1024" spans="3:15">
      <c r="C1024" s="233"/>
      <c r="D1024" s="233"/>
      <c r="E1024" s="761"/>
      <c r="F1024" s="234"/>
      <c r="G1024" s="234"/>
      <c r="H1024" s="233"/>
      <c r="I1024" s="233"/>
      <c r="J1024" s="761"/>
      <c r="K1024" s="233"/>
      <c r="L1024" s="233"/>
      <c r="M1024" s="233"/>
      <c r="N1024" s="2403"/>
      <c r="O1024" s="2403"/>
    </row>
    <row r="1025" spans="3:15">
      <c r="C1025" s="233"/>
      <c r="D1025" s="233"/>
      <c r="E1025" s="761"/>
      <c r="F1025" s="234"/>
      <c r="G1025" s="234"/>
      <c r="H1025" s="233"/>
      <c r="I1025" s="233"/>
      <c r="J1025" s="761"/>
      <c r="K1025" s="233"/>
      <c r="L1025" s="233"/>
      <c r="M1025" s="233"/>
      <c r="N1025" s="2403"/>
      <c r="O1025" s="2403"/>
    </row>
    <row r="1026" spans="3:15">
      <c r="C1026" s="233"/>
      <c r="D1026" s="233"/>
      <c r="E1026" s="761"/>
      <c r="F1026" s="234"/>
      <c r="G1026" s="234"/>
      <c r="H1026" s="233"/>
      <c r="I1026" s="233"/>
      <c r="J1026" s="761"/>
      <c r="K1026" s="233"/>
      <c r="L1026" s="233"/>
      <c r="M1026" s="233"/>
      <c r="N1026" s="2403"/>
      <c r="O1026" s="2403"/>
    </row>
    <row r="1027" spans="3:15">
      <c r="C1027" s="233"/>
      <c r="D1027" s="233"/>
      <c r="E1027" s="761"/>
      <c r="F1027" s="234"/>
      <c r="G1027" s="234"/>
      <c r="H1027" s="233"/>
      <c r="I1027" s="233"/>
      <c r="J1027" s="761"/>
      <c r="K1027" s="233"/>
      <c r="L1027" s="233"/>
      <c r="M1027" s="233"/>
      <c r="N1027" s="2403"/>
      <c r="O1027" s="2403"/>
    </row>
    <row r="1028" spans="3:15">
      <c r="C1028" s="233"/>
      <c r="D1028" s="233"/>
      <c r="E1028" s="761"/>
      <c r="F1028" s="234"/>
      <c r="G1028" s="234"/>
      <c r="H1028" s="233"/>
      <c r="I1028" s="233"/>
      <c r="J1028" s="761"/>
      <c r="K1028" s="233"/>
      <c r="L1028" s="233"/>
      <c r="M1028" s="233"/>
      <c r="N1028" s="2403"/>
      <c r="O1028" s="2403"/>
    </row>
    <row r="1029" spans="3:15">
      <c r="C1029" s="233"/>
      <c r="D1029" s="233"/>
      <c r="E1029" s="761"/>
      <c r="F1029" s="234"/>
      <c r="G1029" s="234"/>
      <c r="H1029" s="233"/>
      <c r="I1029" s="233"/>
      <c r="J1029" s="761"/>
      <c r="K1029" s="233"/>
      <c r="L1029" s="233"/>
      <c r="M1029" s="233"/>
      <c r="N1029" s="2403"/>
      <c r="O1029" s="2403"/>
    </row>
    <row r="1030" spans="3:15">
      <c r="C1030" s="233"/>
      <c r="D1030" s="233"/>
      <c r="E1030" s="761"/>
      <c r="F1030" s="234"/>
      <c r="G1030" s="234"/>
      <c r="H1030" s="233"/>
      <c r="I1030" s="233"/>
      <c r="J1030" s="761"/>
      <c r="K1030" s="233"/>
      <c r="L1030" s="233"/>
      <c r="M1030" s="233"/>
      <c r="N1030" s="2403"/>
      <c r="O1030" s="2403"/>
    </row>
    <row r="1031" spans="3:15">
      <c r="C1031" s="233"/>
      <c r="D1031" s="233"/>
      <c r="E1031" s="761"/>
      <c r="F1031" s="234"/>
      <c r="G1031" s="234"/>
      <c r="H1031" s="233"/>
      <c r="I1031" s="233"/>
      <c r="J1031" s="761"/>
      <c r="K1031" s="233"/>
      <c r="L1031" s="233"/>
      <c r="M1031" s="233"/>
      <c r="N1031" s="2403"/>
      <c r="O1031" s="2403"/>
    </row>
    <row r="1032" spans="3:15">
      <c r="C1032" s="233"/>
      <c r="D1032" s="233"/>
      <c r="E1032" s="761"/>
      <c r="F1032" s="234"/>
      <c r="G1032" s="234"/>
      <c r="H1032" s="233"/>
      <c r="I1032" s="233"/>
      <c r="J1032" s="761"/>
      <c r="K1032" s="233"/>
      <c r="L1032" s="233"/>
      <c r="M1032" s="233"/>
      <c r="N1032" s="2403"/>
      <c r="O1032" s="2403"/>
    </row>
    <row r="1033" spans="3:15">
      <c r="C1033" s="233"/>
      <c r="D1033" s="233"/>
      <c r="E1033" s="761"/>
      <c r="F1033" s="234"/>
      <c r="G1033" s="234"/>
      <c r="H1033" s="233"/>
      <c r="I1033" s="233"/>
      <c r="J1033" s="761"/>
      <c r="K1033" s="233"/>
      <c r="L1033" s="233"/>
      <c r="M1033" s="233"/>
      <c r="N1033" s="2403"/>
      <c r="O1033" s="2403"/>
    </row>
    <row r="1034" spans="3:15">
      <c r="C1034" s="233"/>
      <c r="D1034" s="233"/>
      <c r="E1034" s="761"/>
      <c r="F1034" s="234"/>
      <c r="G1034" s="234"/>
      <c r="H1034" s="233"/>
      <c r="I1034" s="233"/>
      <c r="J1034" s="761"/>
      <c r="K1034" s="233"/>
      <c r="L1034" s="233"/>
      <c r="M1034" s="233"/>
      <c r="N1034" s="2403"/>
      <c r="O1034" s="2403"/>
    </row>
    <row r="1035" spans="3:15">
      <c r="C1035" s="233"/>
      <c r="D1035" s="233"/>
      <c r="E1035" s="761"/>
      <c r="F1035" s="234"/>
      <c r="G1035" s="234"/>
      <c r="H1035" s="233"/>
      <c r="I1035" s="233"/>
      <c r="J1035" s="761"/>
      <c r="K1035" s="233"/>
      <c r="L1035" s="233"/>
      <c r="M1035" s="233"/>
      <c r="N1035" s="2403"/>
      <c r="O1035" s="2403"/>
    </row>
    <row r="1036" spans="3:15">
      <c r="C1036" s="233"/>
      <c r="D1036" s="233"/>
      <c r="E1036" s="761"/>
      <c r="F1036" s="234"/>
      <c r="G1036" s="234"/>
      <c r="H1036" s="233"/>
      <c r="I1036" s="233"/>
      <c r="J1036" s="761"/>
      <c r="K1036" s="233"/>
      <c r="L1036" s="233"/>
      <c r="M1036" s="233"/>
      <c r="N1036" s="2403"/>
      <c r="O1036" s="2403"/>
    </row>
    <row r="1037" spans="3:15">
      <c r="C1037" s="233"/>
      <c r="D1037" s="233"/>
      <c r="E1037" s="761"/>
      <c r="F1037" s="234"/>
      <c r="G1037" s="234"/>
      <c r="H1037" s="233"/>
      <c r="I1037" s="233"/>
      <c r="J1037" s="761"/>
      <c r="K1037" s="233"/>
      <c r="L1037" s="233"/>
      <c r="M1037" s="233"/>
      <c r="N1037" s="2403"/>
      <c r="O1037" s="2403"/>
    </row>
    <row r="1038" spans="3:15">
      <c r="C1038" s="233"/>
      <c r="D1038" s="233"/>
      <c r="E1038" s="761"/>
      <c r="F1038" s="234"/>
      <c r="G1038" s="234"/>
      <c r="H1038" s="233"/>
      <c r="I1038" s="233"/>
      <c r="J1038" s="761"/>
      <c r="K1038" s="233"/>
      <c r="L1038" s="233"/>
      <c r="M1038" s="233"/>
      <c r="N1038" s="2403"/>
      <c r="O1038" s="2403"/>
    </row>
    <row r="1039" spans="3:15">
      <c r="C1039" s="233"/>
      <c r="D1039" s="233"/>
      <c r="E1039" s="761"/>
      <c r="F1039" s="234"/>
      <c r="G1039" s="234"/>
      <c r="H1039" s="233"/>
      <c r="I1039" s="233"/>
      <c r="J1039" s="761"/>
      <c r="K1039" s="233"/>
      <c r="L1039" s="233"/>
      <c r="M1039" s="233"/>
      <c r="N1039" s="2403"/>
      <c r="O1039" s="2403"/>
    </row>
    <row r="1040" spans="3:15">
      <c r="C1040" s="233"/>
      <c r="D1040" s="233"/>
      <c r="E1040" s="761"/>
      <c r="F1040" s="234"/>
      <c r="G1040" s="234"/>
      <c r="H1040" s="233"/>
      <c r="I1040" s="233"/>
      <c r="J1040" s="761"/>
      <c r="K1040" s="233"/>
      <c r="L1040" s="233"/>
      <c r="M1040" s="233"/>
      <c r="N1040" s="2403"/>
      <c r="O1040" s="2403"/>
    </row>
    <row r="1041" spans="3:15">
      <c r="C1041" s="233"/>
      <c r="D1041" s="233"/>
      <c r="E1041" s="761"/>
      <c r="F1041" s="234"/>
      <c r="G1041" s="234"/>
      <c r="H1041" s="233"/>
      <c r="I1041" s="233"/>
      <c r="J1041" s="761"/>
      <c r="K1041" s="233"/>
      <c r="L1041" s="233"/>
      <c r="M1041" s="233"/>
      <c r="N1041" s="2403"/>
      <c r="O1041" s="2403"/>
    </row>
    <row r="1042" spans="3:15">
      <c r="C1042" s="233"/>
      <c r="D1042" s="233"/>
      <c r="E1042" s="761"/>
      <c r="F1042" s="234"/>
      <c r="G1042" s="234"/>
      <c r="H1042" s="233"/>
      <c r="I1042" s="233"/>
      <c r="J1042" s="761"/>
      <c r="K1042" s="233"/>
      <c r="L1042" s="233"/>
      <c r="M1042" s="233"/>
      <c r="N1042" s="2403"/>
      <c r="O1042" s="2403"/>
    </row>
    <row r="1043" spans="3:15">
      <c r="C1043" s="233"/>
      <c r="D1043" s="233"/>
      <c r="E1043" s="761"/>
      <c r="F1043" s="234"/>
      <c r="G1043" s="234"/>
      <c r="H1043" s="233"/>
      <c r="I1043" s="233"/>
      <c r="J1043" s="761"/>
      <c r="K1043" s="233"/>
      <c r="L1043" s="233"/>
      <c r="M1043" s="233"/>
      <c r="N1043" s="2403"/>
      <c r="O1043" s="2403"/>
    </row>
    <row r="1044" spans="3:15">
      <c r="C1044" s="233"/>
      <c r="D1044" s="233"/>
      <c r="E1044" s="761"/>
      <c r="F1044" s="234"/>
      <c r="G1044" s="234"/>
      <c r="H1044" s="233"/>
      <c r="I1044" s="233"/>
      <c r="J1044" s="761"/>
      <c r="K1044" s="233"/>
      <c r="L1044" s="233"/>
      <c r="M1044" s="233"/>
      <c r="N1044" s="2403"/>
      <c r="O1044" s="2403"/>
    </row>
    <row r="1045" spans="3:15">
      <c r="C1045" s="233"/>
      <c r="D1045" s="233"/>
      <c r="E1045" s="761"/>
      <c r="F1045" s="234"/>
      <c r="G1045" s="234"/>
      <c r="H1045" s="233"/>
      <c r="I1045" s="233"/>
      <c r="J1045" s="761"/>
      <c r="K1045" s="233"/>
      <c r="L1045" s="233"/>
      <c r="M1045" s="233"/>
      <c r="N1045" s="2403"/>
      <c r="O1045" s="2403"/>
    </row>
    <row r="1046" spans="3:15">
      <c r="C1046" s="233"/>
      <c r="D1046" s="233"/>
      <c r="E1046" s="761"/>
      <c r="F1046" s="234"/>
      <c r="G1046" s="234"/>
      <c r="H1046" s="233"/>
      <c r="I1046" s="233"/>
      <c r="J1046" s="761"/>
      <c r="K1046" s="233"/>
      <c r="L1046" s="233"/>
      <c r="M1046" s="233"/>
      <c r="N1046" s="2403"/>
      <c r="O1046" s="2403"/>
    </row>
    <row r="1047" spans="3:15">
      <c r="C1047" s="233"/>
      <c r="D1047" s="233"/>
      <c r="E1047" s="761"/>
      <c r="F1047" s="234"/>
      <c r="G1047" s="234"/>
      <c r="H1047" s="233"/>
      <c r="I1047" s="233"/>
      <c r="J1047" s="761"/>
      <c r="K1047" s="233"/>
      <c r="L1047" s="233"/>
      <c r="M1047" s="233"/>
      <c r="N1047" s="2403"/>
      <c r="O1047" s="2403"/>
    </row>
    <row r="1048" spans="3:15">
      <c r="C1048" s="233"/>
      <c r="D1048" s="233"/>
      <c r="E1048" s="761"/>
      <c r="F1048" s="234"/>
      <c r="G1048" s="234"/>
      <c r="H1048" s="233"/>
      <c r="I1048" s="233"/>
      <c r="J1048" s="761"/>
      <c r="K1048" s="233"/>
      <c r="L1048" s="233"/>
      <c r="M1048" s="233"/>
      <c r="N1048" s="2403"/>
      <c r="O1048" s="2403"/>
    </row>
    <row r="1049" spans="3:15">
      <c r="C1049" s="233"/>
      <c r="D1049" s="233"/>
      <c r="E1049" s="761"/>
      <c r="F1049" s="234"/>
      <c r="G1049" s="234"/>
      <c r="H1049" s="233"/>
      <c r="I1049" s="233"/>
      <c r="J1049" s="761"/>
      <c r="K1049" s="233"/>
      <c r="L1049" s="233"/>
      <c r="M1049" s="233"/>
      <c r="N1049" s="2403"/>
      <c r="O1049" s="2403"/>
    </row>
    <row r="1050" spans="3:15">
      <c r="C1050" s="233"/>
      <c r="D1050" s="233"/>
      <c r="E1050" s="761"/>
      <c r="F1050" s="234"/>
      <c r="G1050" s="234"/>
      <c r="H1050" s="233"/>
      <c r="I1050" s="233"/>
      <c r="J1050" s="761"/>
      <c r="K1050" s="233"/>
      <c r="L1050" s="233"/>
      <c r="M1050" s="233"/>
      <c r="N1050" s="2403"/>
      <c r="O1050" s="2403"/>
    </row>
    <row r="1051" spans="3:15">
      <c r="C1051" s="233"/>
      <c r="D1051" s="233"/>
      <c r="E1051" s="761"/>
      <c r="F1051" s="234"/>
      <c r="G1051" s="234"/>
      <c r="H1051" s="233"/>
      <c r="I1051" s="233"/>
      <c r="J1051" s="761"/>
      <c r="K1051" s="233"/>
      <c r="L1051" s="233"/>
      <c r="M1051" s="233"/>
      <c r="N1051" s="2403"/>
      <c r="O1051" s="2403"/>
    </row>
    <row r="1052" spans="3:15">
      <c r="C1052" s="233"/>
      <c r="D1052" s="233"/>
      <c r="E1052" s="761"/>
      <c r="F1052" s="234"/>
      <c r="G1052" s="234"/>
      <c r="H1052" s="233"/>
      <c r="I1052" s="233"/>
      <c r="J1052" s="761"/>
      <c r="K1052" s="233"/>
      <c r="L1052" s="233"/>
      <c r="M1052" s="233"/>
      <c r="N1052" s="2403"/>
      <c r="O1052" s="2403"/>
    </row>
    <row r="1053" spans="3:15">
      <c r="C1053" s="233"/>
      <c r="D1053" s="233"/>
      <c r="E1053" s="761"/>
      <c r="F1053" s="234"/>
      <c r="G1053" s="234"/>
      <c r="H1053" s="233"/>
      <c r="I1053" s="233"/>
      <c r="J1053" s="761"/>
      <c r="K1053" s="233"/>
      <c r="L1053" s="233"/>
      <c r="M1053" s="233"/>
      <c r="N1053" s="2403"/>
      <c r="O1053" s="2403"/>
    </row>
    <row r="1054" spans="3:15">
      <c r="C1054" s="233"/>
      <c r="D1054" s="233"/>
      <c r="E1054" s="761"/>
      <c r="F1054" s="234"/>
      <c r="G1054" s="234"/>
      <c r="H1054" s="233"/>
      <c r="I1054" s="233"/>
      <c r="J1054" s="761"/>
      <c r="K1054" s="233"/>
      <c r="L1054" s="233"/>
      <c r="M1054" s="233"/>
      <c r="N1054" s="2403"/>
      <c r="O1054" s="2403"/>
    </row>
    <row r="1055" spans="3:15">
      <c r="C1055" s="233"/>
      <c r="D1055" s="233"/>
      <c r="E1055" s="761"/>
      <c r="F1055" s="234"/>
      <c r="G1055" s="234"/>
      <c r="H1055" s="233"/>
      <c r="I1055" s="233"/>
      <c r="J1055" s="761"/>
      <c r="K1055" s="233"/>
      <c r="L1055" s="233"/>
      <c r="M1055" s="233"/>
      <c r="N1055" s="2403"/>
      <c r="O1055" s="2403"/>
    </row>
    <row r="1056" spans="3:15">
      <c r="C1056" s="233"/>
      <c r="D1056" s="233"/>
      <c r="E1056" s="761"/>
      <c r="F1056" s="234"/>
      <c r="G1056" s="234"/>
      <c r="H1056" s="233"/>
      <c r="I1056" s="233"/>
      <c r="J1056" s="761"/>
      <c r="K1056" s="233"/>
      <c r="L1056" s="233"/>
      <c r="M1056" s="233"/>
      <c r="N1056" s="2403"/>
      <c r="O1056" s="2403"/>
    </row>
    <row r="1057" spans="3:15">
      <c r="C1057" s="233"/>
      <c r="D1057" s="233"/>
      <c r="E1057" s="761"/>
      <c r="F1057" s="234"/>
      <c r="G1057" s="234"/>
      <c r="H1057" s="233"/>
      <c r="I1057" s="233"/>
      <c r="J1057" s="761"/>
      <c r="K1057" s="233"/>
      <c r="L1057" s="233"/>
      <c r="M1057" s="233"/>
      <c r="N1057" s="2403"/>
      <c r="O1057" s="2403"/>
    </row>
    <row r="1058" spans="3:15">
      <c r="C1058" s="233"/>
      <c r="D1058" s="233"/>
      <c r="E1058" s="761"/>
      <c r="F1058" s="234"/>
      <c r="G1058" s="234"/>
      <c r="H1058" s="233"/>
      <c r="I1058" s="233"/>
      <c r="J1058" s="761"/>
      <c r="K1058" s="233"/>
      <c r="L1058" s="233"/>
      <c r="M1058" s="233"/>
      <c r="N1058" s="2403"/>
      <c r="O1058" s="2403"/>
    </row>
    <row r="1059" spans="3:15">
      <c r="C1059" s="233"/>
      <c r="D1059" s="233"/>
      <c r="E1059" s="761"/>
      <c r="F1059" s="234"/>
      <c r="G1059" s="234"/>
      <c r="H1059" s="233"/>
      <c r="I1059" s="233"/>
      <c r="J1059" s="761"/>
      <c r="K1059" s="233"/>
      <c r="L1059" s="233"/>
      <c r="M1059" s="233"/>
      <c r="N1059" s="2403"/>
      <c r="O1059" s="2403"/>
    </row>
    <row r="1060" spans="3:15">
      <c r="C1060" s="233"/>
      <c r="D1060" s="233"/>
      <c r="E1060" s="761"/>
      <c r="F1060" s="234"/>
      <c r="G1060" s="234"/>
      <c r="H1060" s="233"/>
      <c r="I1060" s="233"/>
      <c r="J1060" s="761"/>
      <c r="K1060" s="233"/>
      <c r="L1060" s="233"/>
      <c r="M1060" s="233"/>
      <c r="N1060" s="2403"/>
      <c r="O1060" s="2403"/>
    </row>
    <row r="1061" spans="3:15">
      <c r="C1061" s="233"/>
      <c r="D1061" s="233"/>
      <c r="E1061" s="761"/>
      <c r="F1061" s="234"/>
      <c r="G1061" s="234"/>
      <c r="H1061" s="233"/>
      <c r="I1061" s="233"/>
      <c r="J1061" s="761"/>
      <c r="K1061" s="233"/>
      <c r="L1061" s="233"/>
      <c r="M1061" s="233"/>
      <c r="N1061" s="2403"/>
      <c r="O1061" s="2403"/>
    </row>
    <row r="1062" spans="3:15">
      <c r="C1062" s="233"/>
      <c r="D1062" s="233"/>
      <c r="E1062" s="761"/>
      <c r="F1062" s="234"/>
      <c r="G1062" s="234"/>
      <c r="H1062" s="233"/>
      <c r="I1062" s="233"/>
      <c r="J1062" s="761"/>
      <c r="K1062" s="233"/>
      <c r="L1062" s="233"/>
      <c r="M1062" s="233"/>
      <c r="N1062" s="2403"/>
      <c r="O1062" s="2403"/>
    </row>
    <row r="1063" spans="3:15">
      <c r="C1063" s="233"/>
      <c r="D1063" s="233"/>
      <c r="E1063" s="761"/>
      <c r="F1063" s="234"/>
      <c r="G1063" s="234"/>
      <c r="H1063" s="233"/>
      <c r="I1063" s="233"/>
      <c r="J1063" s="761"/>
      <c r="K1063" s="233"/>
      <c r="L1063" s="233"/>
      <c r="M1063" s="233"/>
      <c r="N1063" s="2403"/>
      <c r="O1063" s="2403"/>
    </row>
    <row r="1064" spans="3:15">
      <c r="C1064" s="233"/>
      <c r="D1064" s="233"/>
      <c r="E1064" s="761"/>
      <c r="F1064" s="234"/>
      <c r="G1064" s="234"/>
      <c r="H1064" s="233"/>
      <c r="I1064" s="233"/>
      <c r="J1064" s="761"/>
      <c r="K1064" s="233"/>
      <c r="L1064" s="233"/>
      <c r="M1064" s="233"/>
      <c r="N1064" s="2403"/>
      <c r="O1064" s="2403"/>
    </row>
    <row r="1065" spans="3:15">
      <c r="C1065" s="233"/>
      <c r="D1065" s="233"/>
      <c r="E1065" s="761"/>
      <c r="F1065" s="234"/>
      <c r="G1065" s="234"/>
      <c r="H1065" s="233"/>
      <c r="I1065" s="233"/>
      <c r="J1065" s="761"/>
      <c r="K1065" s="233"/>
      <c r="L1065" s="233"/>
      <c r="M1065" s="233"/>
      <c r="N1065" s="2403"/>
      <c r="O1065" s="2403"/>
    </row>
    <row r="1066" spans="3:15">
      <c r="C1066" s="233"/>
      <c r="D1066" s="233"/>
      <c r="E1066" s="761"/>
      <c r="F1066" s="234"/>
      <c r="G1066" s="234"/>
      <c r="H1066" s="233"/>
      <c r="I1066" s="233"/>
      <c r="J1066" s="761"/>
      <c r="K1066" s="233"/>
      <c r="L1066" s="233"/>
      <c r="M1066" s="233"/>
      <c r="N1066" s="2403"/>
      <c r="O1066" s="2403"/>
    </row>
    <row r="1067" spans="3:15">
      <c r="C1067" s="233"/>
      <c r="D1067" s="233"/>
      <c r="E1067" s="761"/>
      <c r="F1067" s="234"/>
      <c r="G1067" s="234"/>
      <c r="H1067" s="233"/>
      <c r="I1067" s="233"/>
      <c r="J1067" s="761"/>
      <c r="K1067" s="233"/>
      <c r="L1067" s="233"/>
      <c r="M1067" s="233"/>
      <c r="N1067" s="2403"/>
      <c r="O1067" s="2403"/>
    </row>
    <row r="1068" spans="3:15">
      <c r="C1068" s="233"/>
      <c r="D1068" s="233"/>
      <c r="E1068" s="761"/>
      <c r="F1068" s="234"/>
      <c r="G1068" s="234"/>
      <c r="H1068" s="233"/>
      <c r="I1068" s="233"/>
      <c r="J1068" s="761"/>
      <c r="K1068" s="233"/>
      <c r="L1068" s="233"/>
      <c r="M1068" s="233"/>
      <c r="N1068" s="2403"/>
      <c r="O1068" s="2403"/>
    </row>
    <row r="1069" spans="3:15">
      <c r="C1069" s="233"/>
      <c r="D1069" s="233"/>
      <c r="E1069" s="761"/>
      <c r="F1069" s="234"/>
      <c r="G1069" s="234"/>
      <c r="H1069" s="233"/>
      <c r="I1069" s="233"/>
      <c r="J1069" s="761"/>
      <c r="K1069" s="233"/>
      <c r="L1069" s="233"/>
      <c r="M1069" s="233"/>
      <c r="N1069" s="2403"/>
      <c r="O1069" s="2403"/>
    </row>
    <row r="1070" spans="3:15">
      <c r="C1070" s="233"/>
      <c r="D1070" s="233"/>
      <c r="E1070" s="761"/>
      <c r="F1070" s="234"/>
      <c r="G1070" s="234"/>
      <c r="H1070" s="233"/>
      <c r="I1070" s="233"/>
      <c r="J1070" s="761"/>
      <c r="K1070" s="233"/>
      <c r="L1070" s="233"/>
      <c r="M1070" s="233"/>
      <c r="N1070" s="2403"/>
      <c r="O1070" s="2403"/>
    </row>
    <row r="1071" spans="3:15">
      <c r="C1071" s="233"/>
      <c r="D1071" s="233"/>
      <c r="E1071" s="761"/>
      <c r="F1071" s="234"/>
      <c r="G1071" s="234"/>
      <c r="H1071" s="233"/>
      <c r="I1071" s="233"/>
      <c r="J1071" s="761"/>
      <c r="K1071" s="233"/>
      <c r="L1071" s="233"/>
      <c r="M1071" s="233"/>
      <c r="N1071" s="2403"/>
      <c r="O1071" s="2403"/>
    </row>
    <row r="1072" spans="3:15">
      <c r="C1072" s="233"/>
      <c r="D1072" s="233"/>
      <c r="E1072" s="761"/>
      <c r="F1072" s="234"/>
      <c r="G1072" s="234"/>
      <c r="H1072" s="233"/>
      <c r="I1072" s="233"/>
      <c r="J1072" s="761"/>
      <c r="K1072" s="233"/>
      <c r="L1072" s="233"/>
      <c r="M1072" s="233"/>
      <c r="N1072" s="2403"/>
      <c r="O1072" s="2403"/>
    </row>
    <row r="1073" spans="3:15">
      <c r="C1073" s="233"/>
      <c r="D1073" s="233"/>
      <c r="E1073" s="761"/>
      <c r="F1073" s="234"/>
      <c r="G1073" s="234"/>
      <c r="H1073" s="233"/>
      <c r="I1073" s="233"/>
      <c r="J1073" s="761"/>
      <c r="K1073" s="233"/>
      <c r="L1073" s="233"/>
      <c r="M1073" s="233"/>
      <c r="N1073" s="2403"/>
      <c r="O1073" s="2403"/>
    </row>
    <row r="1074" spans="3:15">
      <c r="C1074" s="233"/>
      <c r="D1074" s="233"/>
      <c r="E1074" s="761"/>
      <c r="F1074" s="234"/>
      <c r="G1074" s="234"/>
      <c r="H1074" s="233"/>
      <c r="I1074" s="233"/>
      <c r="J1074" s="761"/>
      <c r="K1074" s="233"/>
      <c r="L1074" s="233"/>
      <c r="M1074" s="233"/>
      <c r="N1074" s="2403"/>
      <c r="O1074" s="2403"/>
    </row>
    <row r="1075" spans="3:15">
      <c r="C1075" s="233"/>
      <c r="D1075" s="233"/>
      <c r="E1075" s="761"/>
      <c r="F1075" s="234"/>
      <c r="G1075" s="234"/>
      <c r="H1075" s="233"/>
      <c r="I1075" s="233"/>
      <c r="J1075" s="761"/>
      <c r="K1075" s="233"/>
      <c r="L1075" s="233"/>
      <c r="M1075" s="233"/>
      <c r="N1075" s="2403"/>
      <c r="O1075" s="2403"/>
    </row>
    <row r="1076" spans="3:15">
      <c r="C1076" s="233"/>
      <c r="D1076" s="233"/>
      <c r="E1076" s="761"/>
      <c r="F1076" s="234"/>
      <c r="G1076" s="234"/>
      <c r="H1076" s="233"/>
      <c r="I1076" s="233"/>
      <c r="J1076" s="761"/>
      <c r="K1076" s="233"/>
      <c r="L1076" s="233"/>
      <c r="M1076" s="233"/>
      <c r="N1076" s="2403"/>
      <c r="O1076" s="2403"/>
    </row>
    <row r="1077" spans="3:15">
      <c r="C1077" s="233"/>
      <c r="D1077" s="233"/>
      <c r="E1077" s="761"/>
      <c r="F1077" s="234"/>
      <c r="G1077" s="234"/>
      <c r="H1077" s="233"/>
      <c r="I1077" s="233"/>
      <c r="J1077" s="761"/>
      <c r="K1077" s="233"/>
      <c r="L1077" s="233"/>
      <c r="M1077" s="233"/>
      <c r="N1077" s="2403"/>
      <c r="O1077" s="2403"/>
    </row>
    <row r="1078" spans="3:15">
      <c r="C1078" s="233"/>
      <c r="D1078" s="233"/>
      <c r="E1078" s="761"/>
      <c r="F1078" s="234"/>
      <c r="G1078" s="234"/>
      <c r="H1078" s="233"/>
      <c r="I1078" s="233"/>
      <c r="J1078" s="761"/>
      <c r="K1078" s="233"/>
      <c r="L1078" s="233"/>
      <c r="M1078" s="233"/>
      <c r="N1078" s="2403"/>
      <c r="O1078" s="2403"/>
    </row>
    <row r="1079" spans="3:15">
      <c r="C1079" s="233"/>
      <c r="D1079" s="233"/>
      <c r="E1079" s="761"/>
      <c r="F1079" s="234"/>
      <c r="G1079" s="234"/>
      <c r="H1079" s="233"/>
      <c r="I1079" s="233"/>
      <c r="J1079" s="761"/>
      <c r="K1079" s="233"/>
      <c r="L1079" s="233"/>
      <c r="M1079" s="233"/>
      <c r="N1079" s="2403"/>
      <c r="O1079" s="2403"/>
    </row>
    <row r="1080" spans="3:15">
      <c r="C1080" s="233"/>
      <c r="D1080" s="233"/>
      <c r="E1080" s="761"/>
      <c r="F1080" s="234"/>
      <c r="G1080" s="234"/>
      <c r="H1080" s="233"/>
      <c r="I1080" s="233"/>
      <c r="J1080" s="761"/>
      <c r="K1080" s="233"/>
      <c r="L1080" s="233"/>
      <c r="M1080" s="233"/>
      <c r="N1080" s="2403"/>
      <c r="O1080" s="2403"/>
    </row>
    <row r="1081" spans="3:15">
      <c r="C1081" s="233"/>
      <c r="D1081" s="233"/>
      <c r="E1081" s="761"/>
      <c r="F1081" s="234"/>
      <c r="G1081" s="234"/>
      <c r="H1081" s="233"/>
      <c r="I1081" s="233"/>
      <c r="J1081" s="761"/>
      <c r="K1081" s="233"/>
      <c r="L1081" s="233"/>
      <c r="M1081" s="233"/>
      <c r="N1081" s="2403"/>
      <c r="O1081" s="2403"/>
    </row>
    <row r="1082" spans="3:15">
      <c r="C1082" s="233"/>
      <c r="D1082" s="233"/>
      <c r="E1082" s="761"/>
      <c r="F1082" s="234"/>
      <c r="G1082" s="234"/>
      <c r="H1082" s="233"/>
      <c r="I1082" s="233"/>
      <c r="J1082" s="761"/>
      <c r="K1082" s="233"/>
      <c r="L1082" s="233"/>
      <c r="M1082" s="233"/>
      <c r="N1082" s="2403"/>
      <c r="O1082" s="2403"/>
    </row>
    <row r="1083" spans="3:15">
      <c r="C1083" s="233"/>
      <c r="D1083" s="233"/>
      <c r="E1083" s="761"/>
      <c r="F1083" s="234"/>
      <c r="G1083" s="234"/>
      <c r="H1083" s="233"/>
      <c r="I1083" s="233"/>
      <c r="J1083" s="761"/>
      <c r="K1083" s="233"/>
      <c r="L1083" s="233"/>
      <c r="M1083" s="233"/>
      <c r="N1083" s="2403"/>
      <c r="O1083" s="2403"/>
    </row>
    <row r="1084" spans="3:15">
      <c r="C1084" s="233"/>
      <c r="D1084" s="233"/>
      <c r="E1084" s="761"/>
      <c r="F1084" s="234"/>
      <c r="G1084" s="234"/>
      <c r="H1084" s="233"/>
      <c r="I1084" s="233"/>
      <c r="J1084" s="761"/>
      <c r="K1084" s="233"/>
      <c r="L1084" s="233"/>
      <c r="M1084" s="233"/>
      <c r="N1084" s="2403"/>
      <c r="O1084" s="2403"/>
    </row>
    <row r="1085" spans="3:15">
      <c r="C1085" s="233"/>
      <c r="D1085" s="233"/>
      <c r="E1085" s="761"/>
      <c r="F1085" s="234"/>
      <c r="G1085" s="234"/>
      <c r="H1085" s="233"/>
      <c r="I1085" s="233"/>
      <c r="J1085" s="761"/>
      <c r="K1085" s="233"/>
      <c r="L1085" s="233"/>
      <c r="M1085" s="233"/>
      <c r="N1085" s="2403"/>
      <c r="O1085" s="2403"/>
    </row>
    <row r="1086" spans="3:15">
      <c r="C1086" s="233"/>
      <c r="D1086" s="233"/>
      <c r="E1086" s="761"/>
      <c r="F1086" s="234"/>
      <c r="G1086" s="234"/>
      <c r="H1086" s="233"/>
      <c r="I1086" s="233"/>
      <c r="J1086" s="761"/>
      <c r="K1086" s="233"/>
      <c r="L1086" s="233"/>
      <c r="M1086" s="233"/>
      <c r="N1086" s="2403"/>
      <c r="O1086" s="2403"/>
    </row>
    <row r="1087" spans="3:15">
      <c r="C1087" s="233"/>
      <c r="D1087" s="233"/>
      <c r="E1087" s="761"/>
      <c r="F1087" s="234"/>
      <c r="G1087" s="234"/>
      <c r="H1087" s="233"/>
      <c r="I1087" s="233"/>
      <c r="J1087" s="761"/>
      <c r="K1087" s="233"/>
      <c r="L1087" s="233"/>
      <c r="M1087" s="233"/>
      <c r="N1087" s="2403"/>
      <c r="O1087" s="2403"/>
    </row>
    <row r="1088" spans="3:15">
      <c r="C1088" s="233"/>
      <c r="D1088" s="233"/>
      <c r="E1088" s="761"/>
      <c r="F1088" s="234"/>
      <c r="G1088" s="234"/>
      <c r="H1088" s="233"/>
      <c r="I1088" s="233"/>
      <c r="J1088" s="761"/>
      <c r="K1088" s="233"/>
      <c r="L1088" s="233"/>
      <c r="M1088" s="233"/>
      <c r="N1088" s="2403"/>
      <c r="O1088" s="2403"/>
    </row>
    <row r="1089" spans="3:15">
      <c r="C1089" s="233"/>
      <c r="D1089" s="233"/>
      <c r="E1089" s="761"/>
      <c r="F1089" s="234"/>
      <c r="G1089" s="234"/>
      <c r="H1089" s="233"/>
      <c r="I1089" s="233"/>
      <c r="J1089" s="761"/>
      <c r="K1089" s="233"/>
      <c r="L1089" s="233"/>
      <c r="M1089" s="233"/>
      <c r="N1089" s="2403"/>
      <c r="O1089" s="2403"/>
    </row>
    <row r="1090" spans="3:15">
      <c r="C1090" s="233"/>
      <c r="D1090" s="233"/>
      <c r="E1090" s="761"/>
      <c r="F1090" s="234"/>
      <c r="G1090" s="234"/>
      <c r="H1090" s="233"/>
      <c r="I1090" s="233"/>
      <c r="J1090" s="761"/>
      <c r="K1090" s="233"/>
      <c r="L1090" s="233"/>
      <c r="M1090" s="233"/>
      <c r="N1090" s="2403"/>
      <c r="O1090" s="2403"/>
    </row>
    <row r="1091" spans="3:15">
      <c r="C1091" s="233"/>
      <c r="D1091" s="233"/>
      <c r="E1091" s="761"/>
      <c r="F1091" s="234"/>
      <c r="G1091" s="234"/>
      <c r="H1091" s="233"/>
      <c r="I1091" s="233"/>
      <c r="J1091" s="761"/>
      <c r="K1091" s="233"/>
      <c r="L1091" s="233"/>
      <c r="M1091" s="233"/>
      <c r="N1091" s="2403"/>
      <c r="O1091" s="2403"/>
    </row>
    <row r="1092" spans="3:15">
      <c r="C1092" s="233"/>
      <c r="D1092" s="233"/>
      <c r="E1092" s="761"/>
      <c r="F1092" s="234"/>
      <c r="G1092" s="234"/>
      <c r="H1092" s="233"/>
      <c r="I1092" s="233"/>
      <c r="J1092" s="761"/>
      <c r="K1092" s="233"/>
      <c r="L1092" s="233"/>
      <c r="M1092" s="233"/>
      <c r="N1092" s="2403"/>
      <c r="O1092" s="2403"/>
    </row>
    <row r="1093" spans="3:15">
      <c r="C1093" s="233"/>
      <c r="D1093" s="233"/>
      <c r="E1093" s="761"/>
      <c r="F1093" s="234"/>
      <c r="G1093" s="234"/>
      <c r="H1093" s="233"/>
      <c r="I1093" s="233"/>
      <c r="J1093" s="761"/>
      <c r="K1093" s="233"/>
      <c r="L1093" s="233"/>
      <c r="M1093" s="233"/>
      <c r="N1093" s="2403"/>
      <c r="O1093" s="2403"/>
    </row>
    <row r="1094" spans="3:15">
      <c r="C1094" s="233"/>
      <c r="D1094" s="233"/>
      <c r="E1094" s="761"/>
      <c r="F1094" s="234"/>
      <c r="G1094" s="234"/>
      <c r="H1094" s="233"/>
      <c r="I1094" s="233"/>
      <c r="J1094" s="761"/>
      <c r="K1094" s="233"/>
      <c r="L1094" s="233"/>
      <c r="M1094" s="233"/>
      <c r="N1094" s="2403"/>
      <c r="O1094" s="2403"/>
    </row>
    <row r="1095" spans="3:15">
      <c r="C1095" s="233"/>
      <c r="D1095" s="233"/>
      <c r="E1095" s="761"/>
      <c r="F1095" s="234"/>
      <c r="G1095" s="234"/>
      <c r="H1095" s="233"/>
      <c r="I1095" s="233"/>
      <c r="J1095" s="761"/>
      <c r="K1095" s="233"/>
      <c r="L1095" s="233"/>
      <c r="M1095" s="233"/>
      <c r="N1095" s="2403"/>
      <c r="O1095" s="2403"/>
    </row>
    <row r="1096" spans="3:15">
      <c r="C1096" s="233"/>
      <c r="D1096" s="233"/>
      <c r="E1096" s="761"/>
      <c r="F1096" s="234"/>
      <c r="G1096" s="234"/>
      <c r="H1096" s="233"/>
      <c r="I1096" s="233"/>
      <c r="J1096" s="761"/>
      <c r="K1096" s="233"/>
      <c r="L1096" s="233"/>
      <c r="M1096" s="233"/>
      <c r="N1096" s="2403"/>
      <c r="O1096" s="2403"/>
    </row>
    <row r="1097" spans="3:15">
      <c r="C1097" s="233"/>
      <c r="D1097" s="233"/>
      <c r="E1097" s="761"/>
      <c r="F1097" s="234"/>
      <c r="G1097" s="234"/>
      <c r="H1097" s="233"/>
      <c r="I1097" s="233"/>
      <c r="J1097" s="761"/>
      <c r="K1097" s="233"/>
      <c r="L1097" s="233"/>
      <c r="M1097" s="233"/>
      <c r="N1097" s="2403"/>
      <c r="O1097" s="2403"/>
    </row>
    <row r="1098" spans="3:15">
      <c r="C1098" s="233"/>
      <c r="D1098" s="233"/>
      <c r="E1098" s="761"/>
      <c r="F1098" s="234"/>
      <c r="G1098" s="234"/>
      <c r="H1098" s="233"/>
      <c r="I1098" s="233"/>
      <c r="J1098" s="761"/>
      <c r="K1098" s="233"/>
      <c r="L1098" s="233"/>
      <c r="M1098" s="233"/>
      <c r="N1098" s="2403"/>
      <c r="O1098" s="2403"/>
    </row>
    <row r="1099" spans="3:15">
      <c r="C1099" s="233"/>
      <c r="D1099" s="233"/>
      <c r="E1099" s="761"/>
      <c r="F1099" s="234"/>
      <c r="G1099" s="234"/>
      <c r="H1099" s="233"/>
      <c r="I1099" s="233"/>
      <c r="J1099" s="761"/>
      <c r="K1099" s="233"/>
      <c r="L1099" s="233"/>
      <c r="M1099" s="233"/>
      <c r="N1099" s="2403"/>
      <c r="O1099" s="2403"/>
    </row>
    <row r="1100" spans="3:15">
      <c r="C1100" s="233"/>
      <c r="D1100" s="233"/>
      <c r="E1100" s="761"/>
      <c r="F1100" s="234"/>
      <c r="G1100" s="234"/>
      <c r="H1100" s="233"/>
      <c r="I1100" s="233"/>
      <c r="J1100" s="761"/>
      <c r="K1100" s="233"/>
      <c r="L1100" s="233"/>
      <c r="M1100" s="233"/>
      <c r="N1100" s="2403"/>
      <c r="O1100" s="2403"/>
    </row>
    <row r="1101" spans="3:15">
      <c r="C1101" s="233"/>
      <c r="D1101" s="233"/>
      <c r="E1101" s="761"/>
      <c r="F1101" s="234"/>
      <c r="G1101" s="234"/>
      <c r="H1101" s="233"/>
      <c r="I1101" s="233"/>
      <c r="J1101" s="761"/>
      <c r="K1101" s="233"/>
      <c r="L1101" s="233"/>
      <c r="M1101" s="233"/>
      <c r="N1101" s="2403"/>
      <c r="O1101" s="2403"/>
    </row>
    <row r="1102" spans="3:15">
      <c r="C1102" s="233"/>
      <c r="D1102" s="233"/>
      <c r="E1102" s="761"/>
      <c r="F1102" s="234"/>
      <c r="G1102" s="234"/>
      <c r="H1102" s="233"/>
      <c r="I1102" s="233"/>
      <c r="J1102" s="761"/>
      <c r="K1102" s="233"/>
      <c r="L1102" s="233"/>
      <c r="M1102" s="233"/>
      <c r="N1102" s="2403"/>
      <c r="O1102" s="2403"/>
    </row>
    <row r="1103" spans="3:15">
      <c r="C1103" s="233"/>
      <c r="D1103" s="233"/>
      <c r="E1103" s="761"/>
      <c r="F1103" s="234"/>
      <c r="G1103" s="234"/>
      <c r="H1103" s="233"/>
      <c r="I1103" s="233"/>
      <c r="J1103" s="761"/>
      <c r="K1103" s="233"/>
      <c r="L1103" s="233"/>
      <c r="M1103" s="233"/>
      <c r="N1103" s="2403"/>
      <c r="O1103" s="2403"/>
    </row>
    <row r="1104" spans="3:15">
      <c r="C1104" s="233"/>
      <c r="D1104" s="233"/>
      <c r="E1104" s="761"/>
      <c r="F1104" s="234"/>
      <c r="G1104" s="234"/>
      <c r="H1104" s="233"/>
      <c r="I1104" s="233"/>
      <c r="J1104" s="761"/>
      <c r="K1104" s="233"/>
      <c r="L1104" s="233"/>
      <c r="M1104" s="233"/>
      <c r="N1104" s="2403"/>
      <c r="O1104" s="2403"/>
    </row>
    <row r="1105" spans="3:15">
      <c r="C1105" s="233"/>
      <c r="D1105" s="233"/>
      <c r="E1105" s="761"/>
      <c r="F1105" s="234"/>
      <c r="G1105" s="234"/>
      <c r="H1105" s="233"/>
      <c r="I1105" s="233"/>
      <c r="J1105" s="761"/>
      <c r="K1105" s="233"/>
      <c r="L1105" s="233"/>
      <c r="M1105" s="233"/>
      <c r="N1105" s="2403"/>
      <c r="O1105" s="2403"/>
    </row>
    <row r="1106" spans="3:15">
      <c r="C1106" s="233"/>
      <c r="D1106" s="233"/>
      <c r="E1106" s="761"/>
      <c r="F1106" s="234"/>
      <c r="G1106" s="234"/>
      <c r="H1106" s="233"/>
      <c r="I1106" s="233"/>
      <c r="J1106" s="761"/>
      <c r="K1106" s="233"/>
      <c r="L1106" s="233"/>
      <c r="M1106" s="233"/>
      <c r="N1106" s="2403"/>
      <c r="O1106" s="2403"/>
    </row>
    <row r="1107" spans="3:15">
      <c r="C1107" s="233"/>
      <c r="D1107" s="233"/>
      <c r="E1107" s="761"/>
      <c r="F1107" s="234"/>
      <c r="G1107" s="234"/>
      <c r="H1107" s="233"/>
      <c r="I1107" s="233"/>
      <c r="J1107" s="761"/>
      <c r="K1107" s="233"/>
      <c r="L1107" s="233"/>
      <c r="M1107" s="233"/>
      <c r="N1107" s="2403"/>
      <c r="O1107" s="2403"/>
    </row>
    <row r="1108" spans="3:15">
      <c r="C1108" s="233"/>
      <c r="D1108" s="233"/>
      <c r="E1108" s="761"/>
      <c r="F1108" s="234"/>
      <c r="G1108" s="234"/>
      <c r="H1108" s="233"/>
      <c r="I1108" s="233"/>
      <c r="J1108" s="761"/>
      <c r="K1108" s="233"/>
      <c r="L1108" s="233"/>
      <c r="M1108" s="233"/>
      <c r="N1108" s="2403"/>
      <c r="O1108" s="2403"/>
    </row>
    <row r="1109" spans="3:15">
      <c r="C1109" s="233"/>
      <c r="D1109" s="233"/>
      <c r="E1109" s="761"/>
      <c r="F1109" s="234"/>
      <c r="G1109" s="234"/>
      <c r="H1109" s="233"/>
      <c r="I1109" s="233"/>
      <c r="J1109" s="761"/>
      <c r="K1109" s="233"/>
      <c r="L1109" s="233"/>
      <c r="M1109" s="233"/>
      <c r="N1109" s="2403"/>
      <c r="O1109" s="2403"/>
    </row>
    <row r="1110" spans="3:15">
      <c r="C1110" s="233"/>
      <c r="D1110" s="233"/>
      <c r="E1110" s="761"/>
      <c r="F1110" s="234"/>
      <c r="G1110" s="234"/>
      <c r="H1110" s="233"/>
      <c r="I1110" s="233"/>
      <c r="J1110" s="761"/>
      <c r="K1110" s="233"/>
      <c r="L1110" s="233"/>
      <c r="M1110" s="233"/>
      <c r="N1110" s="2403"/>
      <c r="O1110" s="2403"/>
    </row>
    <row r="1111" spans="3:15">
      <c r="C1111" s="233"/>
      <c r="D1111" s="233"/>
      <c r="E1111" s="761"/>
      <c r="F1111" s="234"/>
      <c r="G1111" s="234"/>
      <c r="H1111" s="233"/>
      <c r="I1111" s="233"/>
      <c r="J1111" s="761"/>
      <c r="K1111" s="233"/>
      <c r="L1111" s="233"/>
      <c r="M1111" s="233"/>
      <c r="N1111" s="2403"/>
      <c r="O1111" s="2403"/>
    </row>
    <row r="1112" spans="3:15">
      <c r="C1112" s="233"/>
      <c r="D1112" s="233"/>
      <c r="E1112" s="761"/>
      <c r="F1112" s="234"/>
      <c r="G1112" s="234"/>
      <c r="H1112" s="233"/>
      <c r="I1112" s="233"/>
      <c r="J1112" s="761"/>
      <c r="K1112" s="233"/>
      <c r="L1112" s="233"/>
      <c r="M1112" s="233"/>
      <c r="N1112" s="2403"/>
      <c r="O1112" s="2403"/>
    </row>
    <row r="1113" spans="3:15">
      <c r="C1113" s="233"/>
      <c r="D1113" s="233"/>
      <c r="E1113" s="761"/>
      <c r="F1113" s="234"/>
      <c r="G1113" s="234"/>
      <c r="H1113" s="233"/>
      <c r="I1113" s="233"/>
      <c r="J1113" s="761"/>
      <c r="K1113" s="233"/>
      <c r="L1113" s="233"/>
      <c r="M1113" s="233"/>
      <c r="N1113" s="2403"/>
      <c r="O1113" s="2403"/>
    </row>
    <row r="1114" spans="3:15">
      <c r="C1114" s="233"/>
      <c r="D1114" s="233"/>
      <c r="E1114" s="761"/>
      <c r="F1114" s="234"/>
      <c r="G1114" s="234"/>
      <c r="H1114" s="233"/>
      <c r="I1114" s="233"/>
      <c r="J1114" s="761"/>
      <c r="K1114" s="233"/>
      <c r="L1114" s="233"/>
      <c r="M1114" s="233"/>
      <c r="N1114" s="2403"/>
      <c r="O1114" s="2403"/>
    </row>
    <row r="1115" spans="3:15">
      <c r="C1115" s="233"/>
      <c r="D1115" s="233"/>
      <c r="E1115" s="761"/>
      <c r="F1115" s="234"/>
      <c r="G1115" s="234"/>
      <c r="H1115" s="233"/>
      <c r="I1115" s="233"/>
      <c r="J1115" s="761"/>
      <c r="K1115" s="233"/>
      <c r="L1115" s="233"/>
      <c r="M1115" s="233"/>
      <c r="N1115" s="2403"/>
      <c r="O1115" s="2403"/>
    </row>
    <row r="1116" spans="3:15">
      <c r="C1116" s="233"/>
      <c r="D1116" s="233"/>
      <c r="E1116" s="761"/>
      <c r="F1116" s="234"/>
      <c r="G1116" s="234"/>
      <c r="H1116" s="233"/>
      <c r="I1116" s="233"/>
      <c r="J1116" s="761"/>
      <c r="K1116" s="233"/>
      <c r="L1116" s="233"/>
      <c r="M1116" s="233"/>
      <c r="N1116" s="2403"/>
      <c r="O1116" s="2403"/>
    </row>
    <row r="1117" spans="3:15">
      <c r="C1117" s="233"/>
      <c r="D1117" s="233"/>
      <c r="E1117" s="761"/>
      <c r="F1117" s="234"/>
      <c r="G1117" s="234"/>
      <c r="H1117" s="233"/>
      <c r="I1117" s="233"/>
      <c r="J1117" s="761"/>
      <c r="K1117" s="233"/>
      <c r="L1117" s="233"/>
      <c r="M1117" s="233"/>
      <c r="N1117" s="2403"/>
      <c r="O1117" s="2403"/>
    </row>
    <row r="1118" spans="3:15">
      <c r="C1118" s="233"/>
      <c r="D1118" s="233"/>
      <c r="E1118" s="761"/>
      <c r="F1118" s="234"/>
      <c r="G1118" s="234"/>
      <c r="H1118" s="233"/>
      <c r="I1118" s="233"/>
      <c r="J1118" s="761"/>
      <c r="K1118" s="233"/>
      <c r="L1118" s="233"/>
      <c r="M1118" s="233"/>
      <c r="N1118" s="2403"/>
      <c r="O1118" s="2403"/>
    </row>
    <row r="1119" spans="3:15">
      <c r="C1119" s="233"/>
      <c r="D1119" s="233"/>
      <c r="E1119" s="761"/>
      <c r="F1119" s="234"/>
      <c r="G1119" s="234"/>
      <c r="H1119" s="233"/>
      <c r="I1119" s="233"/>
      <c r="J1119" s="761"/>
      <c r="K1119" s="233"/>
      <c r="L1119" s="233"/>
      <c r="M1119" s="233"/>
      <c r="N1119" s="2403"/>
      <c r="O1119" s="2403"/>
    </row>
    <row r="1120" spans="3:15">
      <c r="C1120" s="233"/>
      <c r="D1120" s="233"/>
      <c r="E1120" s="761"/>
      <c r="F1120" s="234"/>
      <c r="G1120" s="234"/>
      <c r="H1120" s="233"/>
      <c r="I1120" s="233"/>
      <c r="J1120" s="761"/>
      <c r="K1120" s="233"/>
      <c r="L1120" s="233"/>
      <c r="M1120" s="233"/>
      <c r="N1120" s="2403"/>
      <c r="O1120" s="2403"/>
    </row>
    <row r="1121" spans="3:15">
      <c r="C1121" s="233"/>
      <c r="D1121" s="233"/>
      <c r="E1121" s="761"/>
      <c r="F1121" s="234"/>
      <c r="G1121" s="234"/>
      <c r="H1121" s="233"/>
      <c r="I1121" s="233"/>
      <c r="J1121" s="761"/>
      <c r="K1121" s="233"/>
      <c r="L1121" s="233"/>
      <c r="M1121" s="233"/>
      <c r="N1121" s="2403"/>
      <c r="O1121" s="2403"/>
    </row>
    <row r="1122" spans="3:15">
      <c r="C1122" s="233"/>
      <c r="D1122" s="233"/>
      <c r="E1122" s="761"/>
      <c r="F1122" s="234"/>
      <c r="G1122" s="234"/>
      <c r="H1122" s="233"/>
      <c r="I1122" s="233"/>
      <c r="J1122" s="761"/>
      <c r="K1122" s="233"/>
      <c r="L1122" s="233"/>
      <c r="M1122" s="233"/>
      <c r="N1122" s="2403"/>
      <c r="O1122" s="2403"/>
    </row>
    <row r="1123" spans="3:15">
      <c r="C1123" s="233"/>
      <c r="D1123" s="233"/>
      <c r="E1123" s="761"/>
      <c r="F1123" s="234"/>
      <c r="G1123" s="234"/>
      <c r="H1123" s="233"/>
      <c r="I1123" s="233"/>
      <c r="J1123" s="761"/>
      <c r="K1123" s="233"/>
      <c r="L1123" s="233"/>
      <c r="M1123" s="233"/>
      <c r="N1123" s="2403"/>
      <c r="O1123" s="2403"/>
    </row>
    <row r="1124" spans="3:15">
      <c r="C1124" s="233"/>
      <c r="D1124" s="233"/>
      <c r="E1124" s="761"/>
      <c r="F1124" s="234"/>
      <c r="G1124" s="234"/>
      <c r="H1124" s="233"/>
      <c r="I1124" s="233"/>
      <c r="J1124" s="761"/>
      <c r="K1124" s="233"/>
      <c r="L1124" s="233"/>
      <c r="M1124" s="233"/>
      <c r="N1124" s="2403"/>
      <c r="O1124" s="2403"/>
    </row>
    <row r="1125" spans="3:15">
      <c r="C1125" s="233"/>
      <c r="D1125" s="233"/>
      <c r="E1125" s="761"/>
      <c r="F1125" s="234"/>
      <c r="G1125" s="234"/>
      <c r="H1125" s="233"/>
      <c r="I1125" s="233"/>
      <c r="J1125" s="761"/>
      <c r="K1125" s="233"/>
      <c r="L1125" s="233"/>
      <c r="M1125" s="233"/>
      <c r="N1125" s="2403"/>
      <c r="O1125" s="2403"/>
    </row>
    <row r="1126" spans="3:15">
      <c r="C1126" s="233"/>
      <c r="D1126" s="233"/>
      <c r="E1126" s="761"/>
      <c r="F1126" s="234"/>
      <c r="G1126" s="234"/>
      <c r="H1126" s="233"/>
      <c r="I1126" s="233"/>
      <c r="J1126" s="761"/>
      <c r="K1126" s="233"/>
      <c r="L1126" s="233"/>
      <c r="M1126" s="233"/>
      <c r="N1126" s="2403"/>
      <c r="O1126" s="2403"/>
    </row>
    <row r="1127" spans="3:15">
      <c r="C1127" s="233"/>
      <c r="D1127" s="233"/>
      <c r="E1127" s="761"/>
      <c r="F1127" s="234"/>
      <c r="G1127" s="234"/>
      <c r="H1127" s="233"/>
      <c r="I1127" s="233"/>
      <c r="J1127" s="761"/>
      <c r="K1127" s="233"/>
      <c r="L1127" s="233"/>
      <c r="M1127" s="233"/>
      <c r="N1127" s="2403"/>
      <c r="O1127" s="2403"/>
    </row>
    <row r="1128" spans="3:15">
      <c r="C1128" s="233"/>
      <c r="D1128" s="233"/>
      <c r="E1128" s="761"/>
      <c r="F1128" s="234"/>
      <c r="G1128" s="234"/>
      <c r="H1128" s="233"/>
      <c r="I1128" s="233"/>
      <c r="J1128" s="761"/>
      <c r="K1128" s="233"/>
      <c r="L1128" s="233"/>
      <c r="M1128" s="233"/>
      <c r="N1128" s="2403"/>
      <c r="O1128" s="2403"/>
    </row>
    <row r="1129" spans="3:15">
      <c r="C1129" s="233"/>
      <c r="D1129" s="233"/>
      <c r="E1129" s="761"/>
      <c r="F1129" s="234"/>
      <c r="G1129" s="234"/>
      <c r="H1129" s="233"/>
      <c r="I1129" s="233"/>
      <c r="J1129" s="761"/>
      <c r="K1129" s="233"/>
      <c r="L1129" s="233"/>
      <c r="M1129" s="233"/>
      <c r="N1129" s="2403"/>
      <c r="O1129" s="2403"/>
    </row>
    <row r="1130" spans="3:15">
      <c r="C1130" s="233"/>
      <c r="D1130" s="233"/>
      <c r="E1130" s="761"/>
      <c r="F1130" s="234"/>
      <c r="G1130" s="234"/>
      <c r="H1130" s="233"/>
      <c r="I1130" s="233"/>
      <c r="J1130" s="761"/>
      <c r="K1130" s="233"/>
      <c r="L1130" s="233"/>
      <c r="M1130" s="233"/>
      <c r="N1130" s="2403"/>
      <c r="O1130" s="2403"/>
    </row>
    <row r="1131" spans="3:15">
      <c r="C1131" s="233"/>
      <c r="D1131" s="233"/>
      <c r="E1131" s="761"/>
      <c r="F1131" s="234"/>
      <c r="G1131" s="234"/>
      <c r="H1131" s="233"/>
      <c r="I1131" s="233"/>
      <c r="J1131" s="761"/>
      <c r="K1131" s="233"/>
      <c r="L1131" s="233"/>
      <c r="M1131" s="233"/>
      <c r="N1131" s="2403"/>
      <c r="O1131" s="2403"/>
    </row>
    <row r="1132" spans="3:15">
      <c r="C1132" s="233"/>
      <c r="D1132" s="233"/>
      <c r="E1132" s="761"/>
      <c r="F1132" s="234"/>
      <c r="G1132" s="234"/>
      <c r="H1132" s="233"/>
      <c r="I1132" s="233"/>
      <c r="J1132" s="761"/>
      <c r="K1132" s="233"/>
      <c r="L1132" s="233"/>
      <c r="M1132" s="233"/>
      <c r="N1132" s="2403"/>
      <c r="O1132" s="2403"/>
    </row>
    <row r="1133" spans="3:15">
      <c r="C1133" s="233"/>
      <c r="D1133" s="233"/>
      <c r="E1133" s="761"/>
      <c r="F1133" s="234"/>
      <c r="G1133" s="234"/>
      <c r="H1133" s="233"/>
      <c r="I1133" s="233"/>
      <c r="J1133" s="761"/>
      <c r="K1133" s="233"/>
      <c r="L1133" s="233"/>
      <c r="M1133" s="233"/>
      <c r="N1133" s="2403"/>
      <c r="O1133" s="2403"/>
    </row>
    <row r="1134" spans="3:15">
      <c r="C1134" s="233"/>
      <c r="D1134" s="233"/>
      <c r="E1134" s="761"/>
      <c r="F1134" s="234"/>
      <c r="G1134" s="234"/>
      <c r="H1134" s="233"/>
      <c r="I1134" s="233"/>
      <c r="J1134" s="761"/>
      <c r="K1134" s="233"/>
      <c r="L1134" s="233"/>
      <c r="M1134" s="233"/>
      <c r="N1134" s="2403"/>
      <c r="O1134" s="2403"/>
    </row>
    <row r="1135" spans="3:15">
      <c r="C1135" s="233"/>
      <c r="D1135" s="233"/>
      <c r="E1135" s="761"/>
      <c r="F1135" s="234"/>
      <c r="G1135" s="234"/>
      <c r="H1135" s="233"/>
      <c r="I1135" s="233"/>
      <c r="J1135" s="761"/>
      <c r="K1135" s="233"/>
      <c r="L1135" s="233"/>
      <c r="M1135" s="233"/>
      <c r="N1135" s="2403"/>
      <c r="O1135" s="2403"/>
    </row>
    <row r="1136" spans="3:15">
      <c r="C1136" s="233"/>
      <c r="D1136" s="233"/>
      <c r="E1136" s="761"/>
      <c r="F1136" s="234"/>
      <c r="G1136" s="234"/>
      <c r="H1136" s="233"/>
      <c r="I1136" s="233"/>
      <c r="J1136" s="761"/>
      <c r="K1136" s="233"/>
      <c r="L1136" s="233"/>
      <c r="M1136" s="233"/>
      <c r="N1136" s="2403"/>
      <c r="O1136" s="2403"/>
    </row>
    <row r="1137" spans="3:15">
      <c r="C1137" s="233"/>
      <c r="D1137" s="233"/>
      <c r="E1137" s="761"/>
      <c r="F1137" s="234"/>
      <c r="G1137" s="234"/>
      <c r="H1137" s="233"/>
      <c r="I1137" s="233"/>
      <c r="J1137" s="761"/>
      <c r="K1137" s="233"/>
      <c r="L1137" s="233"/>
      <c r="M1137" s="233"/>
      <c r="N1137" s="2403"/>
      <c r="O1137" s="2403"/>
    </row>
    <row r="1138" spans="3:15">
      <c r="C1138" s="233"/>
      <c r="D1138" s="233"/>
      <c r="E1138" s="761"/>
      <c r="F1138" s="234"/>
      <c r="G1138" s="234"/>
      <c r="H1138" s="233"/>
      <c r="I1138" s="233"/>
      <c r="J1138" s="761"/>
      <c r="K1138" s="233"/>
      <c r="L1138" s="233"/>
      <c r="M1138" s="233"/>
      <c r="N1138" s="2403"/>
      <c r="O1138" s="2403"/>
    </row>
    <row r="1139" spans="3:15">
      <c r="C1139" s="233"/>
      <c r="D1139" s="233"/>
      <c r="E1139" s="761"/>
      <c r="F1139" s="234"/>
      <c r="G1139" s="234"/>
      <c r="H1139" s="233"/>
      <c r="I1139" s="233"/>
      <c r="J1139" s="761"/>
      <c r="K1139" s="233"/>
      <c r="L1139" s="233"/>
      <c r="M1139" s="233"/>
      <c r="N1139" s="2403"/>
      <c r="O1139" s="2403"/>
    </row>
    <row r="1140" spans="3:15">
      <c r="C1140" s="233"/>
      <c r="D1140" s="233"/>
      <c r="E1140" s="761"/>
      <c r="F1140" s="234"/>
      <c r="G1140" s="234"/>
      <c r="H1140" s="233"/>
      <c r="I1140" s="233"/>
      <c r="J1140" s="761"/>
      <c r="K1140" s="233"/>
      <c r="L1140" s="233"/>
      <c r="M1140" s="233"/>
      <c r="N1140" s="2403"/>
      <c r="O1140" s="2403"/>
    </row>
    <row r="1141" spans="3:15">
      <c r="C1141" s="233"/>
      <c r="D1141" s="233"/>
      <c r="E1141" s="761"/>
      <c r="F1141" s="234"/>
      <c r="G1141" s="234"/>
      <c r="H1141" s="233"/>
      <c r="I1141" s="233"/>
      <c r="J1141" s="761"/>
      <c r="K1141" s="233"/>
      <c r="L1141" s="233"/>
      <c r="M1141" s="233"/>
      <c r="N1141" s="2403"/>
      <c r="O1141" s="2403"/>
    </row>
    <row r="1142" spans="3:15">
      <c r="C1142" s="233"/>
      <c r="D1142" s="233"/>
      <c r="E1142" s="761"/>
      <c r="F1142" s="234"/>
      <c r="G1142" s="234"/>
      <c r="H1142" s="233"/>
      <c r="I1142" s="233"/>
      <c r="J1142" s="761"/>
      <c r="K1142" s="233"/>
      <c r="L1142" s="233"/>
      <c r="M1142" s="233"/>
      <c r="N1142" s="2403"/>
      <c r="O1142" s="2403"/>
    </row>
    <row r="1143" spans="3:15">
      <c r="C1143" s="233"/>
      <c r="D1143" s="233"/>
      <c r="E1143" s="761"/>
      <c r="F1143" s="234"/>
      <c r="G1143" s="234"/>
      <c r="H1143" s="233"/>
      <c r="I1143" s="233"/>
      <c r="J1143" s="761"/>
      <c r="K1143" s="233"/>
      <c r="L1143" s="233"/>
      <c r="M1143" s="233"/>
      <c r="N1143" s="2403"/>
      <c r="O1143" s="2403"/>
    </row>
    <row r="1144" spans="3:15">
      <c r="C1144" s="233"/>
      <c r="D1144" s="233"/>
      <c r="E1144" s="761"/>
      <c r="F1144" s="234"/>
      <c r="G1144" s="234"/>
      <c r="H1144" s="233"/>
      <c r="I1144" s="233"/>
      <c r="J1144" s="761"/>
      <c r="K1144" s="233"/>
      <c r="L1144" s="233"/>
      <c r="M1144" s="233"/>
      <c r="N1144" s="2403"/>
      <c r="O1144" s="2403"/>
    </row>
    <row r="1145" spans="3:15">
      <c r="C1145" s="233"/>
      <c r="D1145" s="233"/>
      <c r="E1145" s="761"/>
      <c r="F1145" s="234"/>
      <c r="G1145" s="234"/>
      <c r="H1145" s="233"/>
      <c r="I1145" s="233"/>
      <c r="J1145" s="761"/>
      <c r="K1145" s="233"/>
      <c r="L1145" s="233"/>
      <c r="M1145" s="233"/>
      <c r="N1145" s="2403"/>
      <c r="O1145" s="2403"/>
    </row>
    <row r="1146" spans="3:15">
      <c r="C1146" s="233"/>
      <c r="D1146" s="233"/>
      <c r="E1146" s="761"/>
      <c r="F1146" s="234"/>
      <c r="G1146" s="234"/>
      <c r="H1146" s="233"/>
      <c r="I1146" s="233"/>
      <c r="J1146" s="761"/>
      <c r="K1146" s="233"/>
      <c r="L1146" s="233"/>
      <c r="M1146" s="233"/>
      <c r="N1146" s="2403"/>
      <c r="O1146" s="2403"/>
    </row>
    <row r="1147" spans="3:15">
      <c r="C1147" s="233"/>
      <c r="D1147" s="233"/>
      <c r="E1147" s="761"/>
      <c r="F1147" s="234"/>
      <c r="G1147" s="234"/>
      <c r="H1147" s="233"/>
      <c r="I1147" s="233"/>
      <c r="J1147" s="761"/>
      <c r="K1147" s="233"/>
      <c r="L1147" s="233"/>
      <c r="M1147" s="233"/>
      <c r="N1147" s="2403"/>
      <c r="O1147" s="2403"/>
    </row>
    <row r="1148" spans="3:15">
      <c r="C1148" s="233"/>
      <c r="D1148" s="233"/>
      <c r="E1148" s="761"/>
      <c r="F1148" s="234"/>
      <c r="G1148" s="234"/>
      <c r="H1148" s="233"/>
      <c r="I1148" s="233"/>
      <c r="J1148" s="761"/>
      <c r="K1148" s="233"/>
      <c r="L1148" s="233"/>
      <c r="M1148" s="233"/>
      <c r="N1148" s="2403"/>
      <c r="O1148" s="2403"/>
    </row>
    <row r="1149" spans="3:15">
      <c r="C1149" s="233"/>
      <c r="D1149" s="233"/>
      <c r="E1149" s="761"/>
      <c r="F1149" s="234"/>
      <c r="G1149" s="234"/>
      <c r="H1149" s="233"/>
      <c r="I1149" s="233"/>
      <c r="J1149" s="761"/>
      <c r="K1149" s="233"/>
      <c r="L1149" s="233"/>
      <c r="M1149" s="233"/>
      <c r="N1149" s="2403"/>
      <c r="O1149" s="2403"/>
    </row>
    <row r="1150" spans="3:15">
      <c r="C1150" s="233"/>
      <c r="D1150" s="233"/>
      <c r="E1150" s="761"/>
      <c r="F1150" s="234"/>
      <c r="G1150" s="234"/>
      <c r="H1150" s="233"/>
      <c r="I1150" s="233"/>
      <c r="J1150" s="761"/>
      <c r="K1150" s="233"/>
      <c r="L1150" s="233"/>
      <c r="M1150" s="233"/>
      <c r="N1150" s="2403"/>
      <c r="O1150" s="2403"/>
    </row>
    <row r="1151" spans="3:15">
      <c r="C1151" s="233"/>
      <c r="D1151" s="233"/>
      <c r="E1151" s="761"/>
      <c r="F1151" s="234"/>
      <c r="G1151" s="234"/>
      <c r="H1151" s="233"/>
      <c r="I1151" s="233"/>
      <c r="J1151" s="761"/>
      <c r="K1151" s="233"/>
      <c r="L1151" s="233"/>
      <c r="M1151" s="233"/>
      <c r="N1151" s="2403"/>
      <c r="O1151" s="2403"/>
    </row>
    <row r="1152" spans="3:15">
      <c r="C1152" s="233"/>
      <c r="D1152" s="233"/>
      <c r="E1152" s="761"/>
      <c r="F1152" s="234"/>
      <c r="G1152" s="234"/>
      <c r="H1152" s="233"/>
      <c r="I1152" s="233"/>
      <c r="J1152" s="761"/>
      <c r="K1152" s="233"/>
      <c r="L1152" s="233"/>
      <c r="M1152" s="233"/>
      <c r="N1152" s="2403"/>
      <c r="O1152" s="2403"/>
    </row>
    <row r="1153" spans="3:15">
      <c r="C1153" s="233"/>
      <c r="D1153" s="233"/>
      <c r="E1153" s="761"/>
      <c r="F1153" s="234"/>
      <c r="G1153" s="234"/>
      <c r="H1153" s="233"/>
      <c r="I1153" s="233"/>
      <c r="J1153" s="761"/>
      <c r="K1153" s="233"/>
      <c r="L1153" s="233"/>
      <c r="M1153" s="233"/>
      <c r="N1153" s="2403"/>
      <c r="O1153" s="2403"/>
    </row>
    <row r="1154" spans="3:15">
      <c r="C1154" s="233"/>
      <c r="D1154" s="233"/>
      <c r="E1154" s="761"/>
      <c r="F1154" s="234"/>
      <c r="G1154" s="234"/>
      <c r="H1154" s="233"/>
      <c r="I1154" s="233"/>
      <c r="J1154" s="761"/>
      <c r="K1154" s="233"/>
      <c r="L1154" s="233"/>
      <c r="M1154" s="233"/>
      <c r="N1154" s="2403"/>
      <c r="O1154" s="2403"/>
    </row>
    <row r="1155" spans="3:15">
      <c r="C1155" s="233"/>
      <c r="D1155" s="233"/>
      <c r="E1155" s="761"/>
      <c r="F1155" s="234"/>
      <c r="G1155" s="234"/>
      <c r="H1155" s="233"/>
      <c r="I1155" s="233"/>
      <c r="J1155" s="761"/>
      <c r="K1155" s="233"/>
      <c r="L1155" s="233"/>
      <c r="M1155" s="233"/>
      <c r="N1155" s="2403"/>
      <c r="O1155" s="2403"/>
    </row>
    <row r="1156" spans="3:15">
      <c r="C1156" s="233"/>
      <c r="D1156" s="233"/>
      <c r="E1156" s="761"/>
      <c r="F1156" s="234"/>
      <c r="G1156" s="234"/>
      <c r="H1156" s="233"/>
      <c r="I1156" s="233"/>
      <c r="J1156" s="761"/>
      <c r="K1156" s="233"/>
      <c r="L1156" s="233"/>
      <c r="M1156" s="233"/>
      <c r="N1156" s="2403"/>
      <c r="O1156" s="2403"/>
    </row>
    <row r="1157" spans="3:15">
      <c r="C1157" s="233"/>
      <c r="D1157" s="233"/>
      <c r="E1157" s="761"/>
      <c r="F1157" s="234"/>
      <c r="G1157" s="234"/>
      <c r="H1157" s="233"/>
      <c r="I1157" s="233"/>
      <c r="J1157" s="761"/>
      <c r="K1157" s="233"/>
      <c r="L1157" s="233"/>
      <c r="M1157" s="233"/>
      <c r="N1157" s="2403"/>
      <c r="O1157" s="2403"/>
    </row>
    <row r="1158" spans="3:15">
      <c r="C1158" s="233"/>
      <c r="D1158" s="233"/>
      <c r="E1158" s="761"/>
      <c r="F1158" s="234"/>
      <c r="G1158" s="234"/>
      <c r="H1158" s="233"/>
      <c r="I1158" s="233"/>
      <c r="J1158" s="761"/>
      <c r="K1158" s="233"/>
      <c r="L1158" s="233"/>
      <c r="M1158" s="233"/>
      <c r="N1158" s="2403"/>
      <c r="O1158" s="2403"/>
    </row>
    <row r="1159" spans="3:15">
      <c r="C1159" s="233"/>
      <c r="D1159" s="233"/>
      <c r="E1159" s="761"/>
      <c r="F1159" s="234"/>
      <c r="G1159" s="234"/>
      <c r="H1159" s="233"/>
      <c r="I1159" s="233"/>
      <c r="J1159" s="761"/>
      <c r="K1159" s="233"/>
      <c r="L1159" s="233"/>
      <c r="M1159" s="233"/>
      <c r="N1159" s="2403"/>
      <c r="O1159" s="2403"/>
    </row>
    <row r="1160" spans="3:15">
      <c r="C1160" s="233"/>
      <c r="D1160" s="233"/>
      <c r="E1160" s="761"/>
      <c r="F1160" s="234"/>
      <c r="G1160" s="234"/>
      <c r="H1160" s="233"/>
      <c r="I1160" s="233"/>
      <c r="J1160" s="761"/>
      <c r="K1160" s="233"/>
      <c r="L1160" s="233"/>
      <c r="M1160" s="233"/>
      <c r="N1160" s="2403"/>
      <c r="O1160" s="2403"/>
    </row>
    <row r="1161" spans="3:15">
      <c r="C1161" s="233"/>
      <c r="D1161" s="233"/>
      <c r="E1161" s="761"/>
      <c r="F1161" s="234"/>
      <c r="G1161" s="234"/>
      <c r="H1161" s="233"/>
      <c r="I1161" s="233"/>
      <c r="J1161" s="761"/>
      <c r="K1161" s="233"/>
      <c r="L1161" s="233"/>
      <c r="M1161" s="233"/>
      <c r="N1161" s="2403"/>
      <c r="O1161" s="2403"/>
    </row>
    <row r="1162" spans="3:15">
      <c r="C1162" s="233"/>
      <c r="D1162" s="233"/>
      <c r="E1162" s="761"/>
      <c r="F1162" s="234"/>
      <c r="G1162" s="234"/>
      <c r="H1162" s="233"/>
      <c r="I1162" s="233"/>
      <c r="J1162" s="761"/>
      <c r="K1162" s="233"/>
      <c r="L1162" s="233"/>
      <c r="M1162" s="233"/>
      <c r="N1162" s="2403"/>
      <c r="O1162" s="2403"/>
    </row>
    <row r="1163" spans="3:15">
      <c r="C1163" s="233"/>
      <c r="D1163" s="233"/>
      <c r="E1163" s="761"/>
      <c r="F1163" s="234"/>
      <c r="G1163" s="234"/>
      <c r="H1163" s="233"/>
      <c r="I1163" s="233"/>
      <c r="J1163" s="761"/>
      <c r="K1163" s="233"/>
      <c r="L1163" s="233"/>
      <c r="M1163" s="233"/>
      <c r="N1163" s="2403"/>
      <c r="O1163" s="2403"/>
    </row>
    <row r="1164" spans="3:15">
      <c r="C1164" s="233"/>
      <c r="D1164" s="233"/>
      <c r="E1164" s="761"/>
      <c r="F1164" s="234"/>
      <c r="G1164" s="234"/>
      <c r="H1164" s="233"/>
      <c r="I1164" s="233"/>
      <c r="J1164" s="761"/>
      <c r="K1164" s="233"/>
      <c r="L1164" s="233"/>
      <c r="M1164" s="233"/>
      <c r="N1164" s="2403"/>
      <c r="O1164" s="2403"/>
    </row>
    <row r="1165" spans="3:15">
      <c r="C1165" s="233"/>
      <c r="D1165" s="233"/>
      <c r="E1165" s="761"/>
      <c r="F1165" s="234"/>
      <c r="G1165" s="234"/>
      <c r="H1165" s="233"/>
      <c r="I1165" s="233"/>
      <c r="J1165" s="761"/>
      <c r="K1165" s="233"/>
      <c r="L1165" s="233"/>
      <c r="M1165" s="233"/>
      <c r="N1165" s="2403"/>
      <c r="O1165" s="2403"/>
    </row>
    <row r="1166" spans="3:15">
      <c r="C1166" s="233"/>
      <c r="D1166" s="233"/>
      <c r="E1166" s="761"/>
      <c r="F1166" s="234"/>
      <c r="G1166" s="234"/>
      <c r="H1166" s="233"/>
      <c r="I1166" s="233"/>
      <c r="J1166" s="761"/>
      <c r="K1166" s="233"/>
      <c r="L1166" s="233"/>
      <c r="M1166" s="233"/>
      <c r="N1166" s="2403"/>
      <c r="O1166" s="2403"/>
    </row>
    <row r="1167" spans="3:15">
      <c r="C1167" s="233"/>
      <c r="D1167" s="233"/>
      <c r="E1167" s="761"/>
      <c r="F1167" s="234"/>
      <c r="G1167" s="234"/>
      <c r="H1167" s="233"/>
      <c r="I1167" s="233"/>
      <c r="J1167" s="761"/>
      <c r="K1167" s="233"/>
      <c r="L1167" s="233"/>
      <c r="M1167" s="233"/>
      <c r="N1167" s="2403"/>
      <c r="O1167" s="2403"/>
    </row>
    <row r="1168" spans="3:15">
      <c r="C1168" s="233"/>
      <c r="D1168" s="233"/>
      <c r="E1168" s="761"/>
      <c r="F1168" s="234"/>
      <c r="G1168" s="234"/>
      <c r="H1168" s="233"/>
      <c r="I1168" s="233"/>
      <c r="J1168" s="761"/>
      <c r="K1168" s="233"/>
      <c r="L1168" s="233"/>
      <c r="M1168" s="233"/>
      <c r="N1168" s="2403"/>
      <c r="O1168" s="2403"/>
    </row>
    <row r="1169" spans="3:15">
      <c r="C1169" s="233"/>
      <c r="D1169" s="233"/>
      <c r="E1169" s="761"/>
      <c r="F1169" s="234"/>
      <c r="G1169" s="234"/>
      <c r="H1169" s="233"/>
      <c r="I1169" s="233"/>
      <c r="J1169" s="761"/>
      <c r="K1169" s="233"/>
      <c r="L1169" s="233"/>
      <c r="M1169" s="233"/>
      <c r="N1169" s="2403"/>
      <c r="O1169" s="2403"/>
    </row>
    <row r="1170" spans="3:15">
      <c r="C1170" s="233"/>
      <c r="D1170" s="233"/>
      <c r="E1170" s="761"/>
      <c r="F1170" s="234"/>
      <c r="G1170" s="234"/>
      <c r="H1170" s="233"/>
      <c r="I1170" s="233"/>
      <c r="J1170" s="761"/>
      <c r="K1170" s="233"/>
      <c r="L1170" s="233"/>
      <c r="M1170" s="233"/>
      <c r="N1170" s="2403"/>
      <c r="O1170" s="2403"/>
    </row>
    <row r="1171" spans="3:15">
      <c r="C1171" s="233"/>
      <c r="D1171" s="233"/>
      <c r="E1171" s="761"/>
      <c r="F1171" s="234"/>
      <c r="G1171" s="234"/>
      <c r="H1171" s="233"/>
      <c r="I1171" s="233"/>
      <c r="J1171" s="761"/>
      <c r="K1171" s="233"/>
      <c r="L1171" s="233"/>
      <c r="M1171" s="233"/>
      <c r="N1171" s="2403"/>
      <c r="O1171" s="2403"/>
    </row>
    <row r="1172" spans="3:15">
      <c r="C1172" s="233"/>
      <c r="D1172" s="233"/>
      <c r="E1172" s="761"/>
      <c r="F1172" s="234"/>
      <c r="G1172" s="234"/>
      <c r="H1172" s="233"/>
      <c r="I1172" s="233"/>
      <c r="J1172" s="761"/>
      <c r="K1172" s="233"/>
      <c r="L1172" s="233"/>
      <c r="M1172" s="233"/>
      <c r="N1172" s="2403"/>
      <c r="O1172" s="2403"/>
    </row>
    <row r="1173" spans="3:15">
      <c r="C1173" s="233"/>
      <c r="D1173" s="233"/>
      <c r="E1173" s="761"/>
      <c r="F1173" s="234"/>
      <c r="G1173" s="234"/>
      <c r="H1173" s="233"/>
      <c r="I1173" s="233"/>
      <c r="J1173" s="761"/>
      <c r="K1173" s="233"/>
      <c r="L1173" s="233"/>
      <c r="M1173" s="233"/>
      <c r="N1173" s="2403"/>
      <c r="O1173" s="2403"/>
    </row>
    <row r="1174" spans="3:15">
      <c r="C1174" s="233"/>
      <c r="D1174" s="233"/>
      <c r="E1174" s="761"/>
      <c r="F1174" s="234"/>
      <c r="G1174" s="234"/>
      <c r="H1174" s="233"/>
      <c r="I1174" s="233"/>
      <c r="J1174" s="761"/>
      <c r="K1174" s="233"/>
      <c r="L1174" s="233"/>
      <c r="M1174" s="233"/>
      <c r="N1174" s="2403"/>
      <c r="O1174" s="2403"/>
    </row>
    <row r="1175" spans="3:15">
      <c r="C1175" s="233"/>
      <c r="D1175" s="233"/>
      <c r="E1175" s="761"/>
      <c r="F1175" s="234"/>
      <c r="G1175" s="234"/>
      <c r="H1175" s="233"/>
      <c r="I1175" s="233"/>
      <c r="J1175" s="761"/>
      <c r="K1175" s="233"/>
      <c r="L1175" s="233"/>
      <c r="M1175" s="233"/>
      <c r="N1175" s="2403"/>
      <c r="O1175" s="2403"/>
    </row>
    <row r="1176" spans="3:15">
      <c r="C1176" s="233"/>
      <c r="D1176" s="233"/>
      <c r="E1176" s="761"/>
      <c r="F1176" s="234"/>
      <c r="G1176" s="234"/>
      <c r="H1176" s="233"/>
      <c r="I1176" s="233"/>
      <c r="J1176" s="761"/>
      <c r="K1176" s="233"/>
      <c r="L1176" s="233"/>
      <c r="M1176" s="233"/>
      <c r="N1176" s="2403"/>
      <c r="O1176" s="2403"/>
    </row>
    <row r="1177" spans="3:15">
      <c r="C1177" s="233"/>
      <c r="D1177" s="233"/>
      <c r="E1177" s="761"/>
      <c r="F1177" s="234"/>
      <c r="G1177" s="234"/>
      <c r="H1177" s="233"/>
      <c r="I1177" s="233"/>
      <c r="J1177" s="761"/>
      <c r="K1177" s="233"/>
      <c r="L1177" s="233"/>
      <c r="M1177" s="233"/>
      <c r="N1177" s="2403"/>
      <c r="O1177" s="2403"/>
    </row>
    <row r="1178" spans="3:15">
      <c r="C1178" s="233"/>
      <c r="D1178" s="233"/>
      <c r="E1178" s="761"/>
      <c r="F1178" s="234"/>
      <c r="G1178" s="234"/>
      <c r="H1178" s="233"/>
      <c r="I1178" s="233"/>
      <c r="J1178" s="761"/>
      <c r="K1178" s="233"/>
      <c r="L1178" s="233"/>
      <c r="M1178" s="233"/>
      <c r="N1178" s="2403"/>
      <c r="O1178" s="2403"/>
    </row>
    <row r="1179" spans="3:15">
      <c r="C1179" s="233"/>
      <c r="D1179" s="233"/>
      <c r="E1179" s="761"/>
      <c r="F1179" s="234"/>
      <c r="G1179" s="234"/>
      <c r="H1179" s="233"/>
      <c r="I1179" s="233"/>
      <c r="J1179" s="761"/>
      <c r="K1179" s="233"/>
      <c r="L1179" s="233"/>
      <c r="M1179" s="233"/>
      <c r="N1179" s="2403"/>
      <c r="O1179" s="2403"/>
    </row>
    <row r="1180" spans="3:15">
      <c r="C1180" s="233"/>
      <c r="D1180" s="233"/>
      <c r="E1180" s="761"/>
      <c r="F1180" s="234"/>
      <c r="G1180" s="234"/>
      <c r="H1180" s="233"/>
      <c r="I1180" s="233"/>
      <c r="J1180" s="761"/>
      <c r="K1180" s="233"/>
      <c r="L1180" s="233"/>
      <c r="M1180" s="233"/>
      <c r="N1180" s="2403"/>
      <c r="O1180" s="2403"/>
    </row>
    <row r="1181" spans="3:15">
      <c r="C1181" s="233"/>
      <c r="D1181" s="233"/>
      <c r="E1181" s="761"/>
      <c r="F1181" s="234"/>
      <c r="G1181" s="234"/>
      <c r="H1181" s="233"/>
      <c r="I1181" s="233"/>
      <c r="J1181" s="761"/>
      <c r="K1181" s="233"/>
      <c r="L1181" s="233"/>
      <c r="M1181" s="233"/>
      <c r="N1181" s="2403"/>
      <c r="O1181" s="2403"/>
    </row>
    <row r="1182" spans="3:15">
      <c r="C1182" s="233"/>
      <c r="D1182" s="233"/>
      <c r="E1182" s="761"/>
      <c r="F1182" s="234"/>
      <c r="G1182" s="234"/>
      <c r="H1182" s="233"/>
      <c r="I1182" s="233"/>
      <c r="J1182" s="761"/>
      <c r="K1182" s="233"/>
      <c r="L1182" s="233"/>
      <c r="M1182" s="233"/>
      <c r="N1182" s="2403"/>
      <c r="O1182" s="2403"/>
    </row>
    <row r="1183" spans="3:15">
      <c r="C1183" s="233"/>
      <c r="D1183" s="233"/>
      <c r="E1183" s="761"/>
      <c r="F1183" s="234"/>
      <c r="G1183" s="234"/>
      <c r="H1183" s="233"/>
      <c r="I1183" s="233"/>
      <c r="J1183" s="761"/>
      <c r="K1183" s="233"/>
      <c r="L1183" s="233"/>
      <c r="M1183" s="233"/>
      <c r="N1183" s="2403"/>
      <c r="O1183" s="2403"/>
    </row>
    <row r="1184" spans="3:15">
      <c r="C1184" s="233"/>
      <c r="D1184" s="233"/>
      <c r="E1184" s="761"/>
      <c r="F1184" s="234"/>
      <c r="G1184" s="234"/>
      <c r="H1184" s="233"/>
      <c r="I1184" s="233"/>
      <c r="J1184" s="761"/>
      <c r="K1184" s="233"/>
      <c r="L1184" s="233"/>
      <c r="M1184" s="233"/>
      <c r="N1184" s="2403"/>
      <c r="O1184" s="2403"/>
    </row>
    <row r="1185" spans="3:15">
      <c r="C1185" s="233"/>
      <c r="D1185" s="233"/>
      <c r="E1185" s="761"/>
      <c r="F1185" s="234"/>
      <c r="G1185" s="234"/>
      <c r="H1185" s="233"/>
      <c r="I1185" s="233"/>
      <c r="J1185" s="761"/>
      <c r="K1185" s="233"/>
      <c r="L1185" s="233"/>
      <c r="M1185" s="233"/>
      <c r="N1185" s="2403"/>
      <c r="O1185" s="2403"/>
    </row>
    <row r="1186" spans="3:15">
      <c r="C1186" s="233"/>
      <c r="D1186" s="233"/>
      <c r="E1186" s="761"/>
      <c r="F1186" s="234"/>
      <c r="G1186" s="234"/>
      <c r="H1186" s="233"/>
      <c r="I1186" s="233"/>
      <c r="J1186" s="761"/>
      <c r="K1186" s="233"/>
      <c r="L1186" s="233"/>
      <c r="M1186" s="233"/>
      <c r="N1186" s="2403"/>
      <c r="O1186" s="2403"/>
    </row>
    <row r="1187" spans="3:15">
      <c r="C1187" s="233"/>
      <c r="D1187" s="233"/>
      <c r="E1187" s="761"/>
      <c r="F1187" s="234"/>
      <c r="G1187" s="234"/>
      <c r="H1187" s="233"/>
      <c r="I1187" s="233"/>
      <c r="J1187" s="761"/>
      <c r="K1187" s="233"/>
      <c r="L1187" s="233"/>
      <c r="M1187" s="233"/>
      <c r="N1187" s="2403"/>
      <c r="O1187" s="2403"/>
    </row>
    <row r="1188" spans="3:15">
      <c r="C1188" s="233"/>
      <c r="D1188" s="233"/>
      <c r="E1188" s="761"/>
      <c r="F1188" s="234"/>
      <c r="G1188" s="234"/>
      <c r="H1188" s="233"/>
      <c r="I1188" s="233"/>
      <c r="J1188" s="761"/>
      <c r="K1188" s="233"/>
      <c r="L1188" s="233"/>
      <c r="M1188" s="233"/>
      <c r="N1188" s="2403"/>
      <c r="O1188" s="2403"/>
    </row>
    <row r="1189" spans="3:15">
      <c r="C1189" s="233"/>
      <c r="D1189" s="233"/>
      <c r="E1189" s="761"/>
      <c r="F1189" s="234"/>
      <c r="G1189" s="234"/>
      <c r="H1189" s="233"/>
      <c r="I1189" s="233"/>
      <c r="J1189" s="761"/>
      <c r="K1189" s="233"/>
      <c r="L1189" s="233"/>
      <c r="M1189" s="233"/>
      <c r="N1189" s="2403"/>
      <c r="O1189" s="2403"/>
    </row>
    <row r="1190" spans="3:15">
      <c r="C1190" s="233"/>
      <c r="D1190" s="233"/>
      <c r="E1190" s="761"/>
      <c r="F1190" s="234"/>
      <c r="G1190" s="234"/>
      <c r="H1190" s="233"/>
      <c r="I1190" s="233"/>
      <c r="J1190" s="761"/>
      <c r="K1190" s="233"/>
      <c r="L1190" s="233"/>
      <c r="M1190" s="233"/>
      <c r="N1190" s="2403"/>
      <c r="O1190" s="2403"/>
    </row>
    <row r="1191" spans="3:15">
      <c r="C1191" s="233"/>
      <c r="D1191" s="233"/>
      <c r="E1191" s="761"/>
      <c r="F1191" s="234"/>
      <c r="G1191" s="234"/>
      <c r="H1191" s="233"/>
      <c r="I1191" s="233"/>
      <c r="J1191" s="761"/>
      <c r="K1191" s="233"/>
      <c r="L1191" s="233"/>
      <c r="M1191" s="233"/>
      <c r="N1191" s="2403"/>
      <c r="O1191" s="2403"/>
    </row>
    <row r="1192" spans="3:15">
      <c r="C1192" s="233"/>
      <c r="D1192" s="233"/>
      <c r="E1192" s="761"/>
      <c r="F1192" s="234"/>
      <c r="G1192" s="234"/>
      <c r="H1192" s="233"/>
      <c r="I1192" s="233"/>
      <c r="J1192" s="761"/>
      <c r="K1192" s="233"/>
      <c r="L1192" s="233"/>
      <c r="M1192" s="233"/>
      <c r="N1192" s="2403"/>
      <c r="O1192" s="2403"/>
    </row>
    <row r="1193" spans="3:15">
      <c r="C1193" s="233"/>
      <c r="D1193" s="233"/>
      <c r="E1193" s="761"/>
      <c r="F1193" s="234"/>
      <c r="G1193" s="234"/>
      <c r="H1193" s="233"/>
      <c r="I1193" s="233"/>
      <c r="J1193" s="761"/>
      <c r="K1193" s="233"/>
      <c r="L1193" s="233"/>
      <c r="M1193" s="233"/>
      <c r="N1193" s="2403"/>
      <c r="O1193" s="2403"/>
    </row>
    <row r="1194" spans="3:15">
      <c r="C1194" s="233"/>
      <c r="D1194" s="233"/>
      <c r="E1194" s="761"/>
      <c r="F1194" s="234"/>
      <c r="G1194" s="234"/>
      <c r="H1194" s="233"/>
      <c r="I1194" s="233"/>
      <c r="J1194" s="761"/>
      <c r="K1194" s="233"/>
      <c r="L1194" s="233"/>
      <c r="M1194" s="233"/>
      <c r="N1194" s="2403"/>
      <c r="O1194" s="2403"/>
    </row>
    <row r="1195" spans="3:15">
      <c r="C1195" s="233"/>
      <c r="D1195" s="233"/>
      <c r="E1195" s="761"/>
      <c r="F1195" s="234"/>
      <c r="G1195" s="234"/>
      <c r="H1195" s="233"/>
      <c r="I1195" s="233"/>
      <c r="J1195" s="761"/>
      <c r="K1195" s="233"/>
      <c r="L1195" s="233"/>
      <c r="M1195" s="233"/>
      <c r="N1195" s="2403"/>
      <c r="O1195" s="2403"/>
    </row>
    <row r="1196" spans="3:15">
      <c r="C1196" s="233"/>
      <c r="D1196" s="233"/>
      <c r="E1196" s="761"/>
      <c r="F1196" s="234"/>
      <c r="G1196" s="234"/>
      <c r="H1196" s="233"/>
      <c r="I1196" s="233"/>
      <c r="J1196" s="761"/>
      <c r="K1196" s="233"/>
      <c r="L1196" s="233"/>
      <c r="M1196" s="233"/>
      <c r="N1196" s="2403"/>
      <c r="O1196" s="2403"/>
    </row>
    <row r="1197" spans="3:15">
      <c r="C1197" s="233"/>
      <c r="D1197" s="233"/>
      <c r="E1197" s="761"/>
      <c r="F1197" s="234"/>
      <c r="G1197" s="234"/>
      <c r="H1197" s="233"/>
      <c r="I1197" s="233"/>
      <c r="J1197" s="761"/>
      <c r="K1197" s="233"/>
      <c r="L1197" s="233"/>
      <c r="M1197" s="233"/>
      <c r="N1197" s="2403"/>
      <c r="O1197" s="2403"/>
    </row>
    <row r="1198" spans="3:15">
      <c r="C1198" s="233"/>
      <c r="D1198" s="233"/>
      <c r="E1198" s="761"/>
      <c r="F1198" s="234"/>
      <c r="G1198" s="234"/>
      <c r="H1198" s="233"/>
      <c r="I1198" s="233"/>
      <c r="J1198" s="761"/>
      <c r="K1198" s="233"/>
      <c r="L1198" s="233"/>
      <c r="M1198" s="233"/>
      <c r="N1198" s="2403"/>
      <c r="O1198" s="2403"/>
    </row>
    <row r="1199" spans="3:15">
      <c r="C1199" s="233"/>
      <c r="D1199" s="233"/>
      <c r="E1199" s="761"/>
      <c r="F1199" s="234"/>
      <c r="G1199" s="234"/>
      <c r="H1199" s="233"/>
      <c r="I1199" s="233"/>
      <c r="J1199" s="761"/>
      <c r="K1199" s="233"/>
      <c r="L1199" s="233"/>
      <c r="M1199" s="233"/>
      <c r="N1199" s="2403"/>
      <c r="O1199" s="2403"/>
    </row>
    <row r="1200" spans="3:15">
      <c r="C1200" s="233"/>
      <c r="D1200" s="233"/>
      <c r="E1200" s="761"/>
      <c r="F1200" s="234"/>
      <c r="G1200" s="234"/>
      <c r="H1200" s="233"/>
      <c r="I1200" s="233"/>
      <c r="J1200" s="761"/>
      <c r="K1200" s="233"/>
      <c r="L1200" s="233"/>
      <c r="M1200" s="233"/>
      <c r="N1200" s="2403"/>
      <c r="O1200" s="2403"/>
    </row>
    <row r="1201" spans="3:15">
      <c r="C1201" s="233"/>
      <c r="D1201" s="233"/>
      <c r="E1201" s="761"/>
      <c r="F1201" s="234"/>
      <c r="G1201" s="234"/>
      <c r="H1201" s="233"/>
      <c r="I1201" s="233"/>
      <c r="J1201" s="761"/>
      <c r="K1201" s="233"/>
      <c r="L1201" s="233"/>
      <c r="M1201" s="233"/>
      <c r="N1201" s="2403"/>
      <c r="O1201" s="2403"/>
    </row>
    <row r="1202" spans="3:15">
      <c r="C1202" s="233"/>
      <c r="D1202" s="233"/>
      <c r="E1202" s="761"/>
      <c r="F1202" s="234"/>
      <c r="G1202" s="234"/>
      <c r="H1202" s="233"/>
      <c r="I1202" s="233"/>
      <c r="J1202" s="761"/>
      <c r="K1202" s="233"/>
      <c r="L1202" s="233"/>
      <c r="M1202" s="233"/>
      <c r="N1202" s="2403"/>
      <c r="O1202" s="2403"/>
    </row>
    <row r="1203" spans="3:15">
      <c r="C1203" s="233"/>
      <c r="D1203" s="233"/>
      <c r="E1203" s="761"/>
      <c r="F1203" s="234"/>
      <c r="G1203" s="234"/>
      <c r="H1203" s="233"/>
      <c r="I1203" s="233"/>
      <c r="J1203" s="761"/>
      <c r="K1203" s="233"/>
      <c r="L1203" s="233"/>
      <c r="M1203" s="233"/>
      <c r="N1203" s="2403"/>
      <c r="O1203" s="2403"/>
    </row>
    <row r="1204" spans="3:15">
      <c r="C1204" s="233"/>
      <c r="D1204" s="233"/>
      <c r="E1204" s="761"/>
      <c r="F1204" s="234"/>
      <c r="G1204" s="234"/>
      <c r="H1204" s="233"/>
      <c r="I1204" s="233"/>
      <c r="J1204" s="761"/>
      <c r="K1204" s="233"/>
      <c r="L1204" s="233"/>
      <c r="M1204" s="233"/>
      <c r="N1204" s="2403"/>
      <c r="O1204" s="2403"/>
    </row>
    <row r="1205" spans="3:15">
      <c r="C1205" s="233"/>
      <c r="D1205" s="233"/>
      <c r="E1205" s="761"/>
      <c r="F1205" s="234"/>
      <c r="G1205" s="234"/>
      <c r="H1205" s="233"/>
      <c r="I1205" s="233"/>
      <c r="J1205" s="761"/>
      <c r="K1205" s="233"/>
      <c r="L1205" s="233"/>
      <c r="M1205" s="233"/>
      <c r="N1205" s="2403"/>
      <c r="O1205" s="2403"/>
    </row>
    <row r="1206" spans="3:15">
      <c r="C1206" s="233"/>
      <c r="D1206" s="233"/>
      <c r="E1206" s="761"/>
      <c r="F1206" s="234"/>
      <c r="G1206" s="234"/>
      <c r="H1206" s="233"/>
      <c r="I1206" s="233"/>
      <c r="J1206" s="761"/>
      <c r="K1206" s="233"/>
      <c r="L1206" s="233"/>
      <c r="M1206" s="233"/>
      <c r="N1206" s="2403"/>
      <c r="O1206" s="2403"/>
    </row>
    <row r="1207" spans="3:15">
      <c r="C1207" s="233"/>
      <c r="D1207" s="233"/>
      <c r="E1207" s="761"/>
      <c r="F1207" s="234"/>
      <c r="G1207" s="234"/>
      <c r="H1207" s="233"/>
      <c r="I1207" s="233"/>
      <c r="J1207" s="761"/>
      <c r="K1207" s="233"/>
      <c r="L1207" s="233"/>
      <c r="M1207" s="233"/>
      <c r="N1207" s="2403"/>
      <c r="O1207" s="2403"/>
    </row>
    <row r="1208" spans="3:15">
      <c r="C1208" s="233"/>
      <c r="D1208" s="233"/>
      <c r="E1208" s="761"/>
      <c r="F1208" s="234"/>
      <c r="G1208" s="234"/>
      <c r="H1208" s="233"/>
      <c r="I1208" s="233"/>
      <c r="J1208" s="761"/>
      <c r="K1208" s="233"/>
      <c r="L1208" s="233"/>
      <c r="M1208" s="233"/>
      <c r="N1208" s="2403"/>
      <c r="O1208" s="2403"/>
    </row>
    <row r="1209" spans="3:15">
      <c r="C1209" s="233"/>
      <c r="D1209" s="233"/>
      <c r="E1209" s="761"/>
      <c r="F1209" s="234"/>
      <c r="G1209" s="234"/>
      <c r="H1209" s="233"/>
      <c r="I1209" s="233"/>
      <c r="J1209" s="761"/>
      <c r="K1209" s="233"/>
      <c r="L1209" s="233"/>
      <c r="M1209" s="233"/>
      <c r="N1209" s="2403"/>
      <c r="O1209" s="2403"/>
    </row>
    <row r="1210" spans="3:15">
      <c r="C1210" s="233"/>
      <c r="D1210" s="233"/>
      <c r="E1210" s="761"/>
      <c r="F1210" s="234"/>
      <c r="G1210" s="234"/>
      <c r="H1210" s="233"/>
      <c r="I1210" s="233"/>
      <c r="J1210" s="761"/>
      <c r="K1210" s="233"/>
      <c r="L1210" s="233"/>
      <c r="M1210" s="233"/>
      <c r="N1210" s="2403"/>
      <c r="O1210" s="2403"/>
    </row>
    <row r="1211" spans="3:15">
      <c r="C1211" s="233"/>
      <c r="D1211" s="233"/>
      <c r="E1211" s="761"/>
      <c r="F1211" s="234"/>
      <c r="G1211" s="234"/>
      <c r="H1211" s="233"/>
      <c r="I1211" s="233"/>
      <c r="J1211" s="761"/>
      <c r="K1211" s="233"/>
      <c r="L1211" s="233"/>
      <c r="M1211" s="233"/>
      <c r="N1211" s="2403"/>
      <c r="O1211" s="2403"/>
    </row>
    <row r="1212" spans="3:15">
      <c r="C1212" s="233"/>
      <c r="D1212" s="233"/>
      <c r="E1212" s="761"/>
      <c r="F1212" s="234"/>
      <c r="G1212" s="234"/>
      <c r="H1212" s="233"/>
      <c r="I1212" s="233"/>
      <c r="J1212" s="761"/>
      <c r="K1212" s="233"/>
      <c r="L1212" s="233"/>
      <c r="M1212" s="233"/>
      <c r="N1212" s="2403"/>
      <c r="O1212" s="2403"/>
    </row>
    <row r="1213" spans="3:15">
      <c r="C1213" s="233"/>
      <c r="D1213" s="233"/>
      <c r="E1213" s="761"/>
      <c r="F1213" s="234"/>
      <c r="G1213" s="234"/>
      <c r="H1213" s="233"/>
      <c r="I1213" s="233"/>
      <c r="J1213" s="761"/>
      <c r="K1213" s="233"/>
      <c r="L1213" s="233"/>
      <c r="M1213" s="233"/>
      <c r="N1213" s="2403"/>
      <c r="O1213" s="2403"/>
    </row>
    <row r="1214" spans="3:15">
      <c r="C1214" s="233"/>
      <c r="D1214" s="233"/>
      <c r="E1214" s="761"/>
      <c r="F1214" s="234"/>
      <c r="G1214" s="234"/>
      <c r="H1214" s="233"/>
      <c r="I1214" s="233"/>
      <c r="J1214" s="761"/>
      <c r="K1214" s="233"/>
      <c r="L1214" s="233"/>
      <c r="M1214" s="233"/>
      <c r="N1214" s="2403"/>
      <c r="O1214" s="2403"/>
    </row>
    <row r="1215" spans="3:15">
      <c r="C1215" s="233"/>
      <c r="D1215" s="233"/>
      <c r="E1215" s="761"/>
      <c r="F1215" s="234"/>
      <c r="G1215" s="234"/>
      <c r="H1215" s="233"/>
      <c r="I1215" s="233"/>
      <c r="J1215" s="761"/>
      <c r="K1215" s="233"/>
      <c r="L1215" s="233"/>
      <c r="M1215" s="233"/>
      <c r="N1215" s="2403"/>
      <c r="O1215" s="2403"/>
    </row>
    <row r="1216" spans="3:15">
      <c r="C1216" s="233"/>
      <c r="D1216" s="233"/>
      <c r="E1216" s="761"/>
      <c r="F1216" s="234"/>
      <c r="G1216" s="234"/>
      <c r="H1216" s="233"/>
      <c r="I1216" s="233"/>
      <c r="J1216" s="761"/>
      <c r="K1216" s="233"/>
      <c r="L1216" s="233"/>
      <c r="M1216" s="233"/>
      <c r="N1216" s="2403"/>
      <c r="O1216" s="2403"/>
    </row>
    <row r="1217" spans="3:15">
      <c r="C1217" s="233"/>
      <c r="D1217" s="233"/>
      <c r="E1217" s="761"/>
      <c r="F1217" s="234"/>
      <c r="G1217" s="234"/>
      <c r="H1217" s="233"/>
      <c r="I1217" s="233"/>
      <c r="J1217" s="761"/>
      <c r="K1217" s="233"/>
      <c r="L1217" s="233"/>
      <c r="M1217" s="233"/>
      <c r="N1217" s="2403"/>
      <c r="O1217" s="2403"/>
    </row>
    <row r="1218" spans="3:15">
      <c r="C1218" s="233"/>
      <c r="D1218" s="233"/>
      <c r="E1218" s="761"/>
      <c r="F1218" s="234"/>
      <c r="G1218" s="234"/>
      <c r="H1218" s="233"/>
      <c r="I1218" s="233"/>
      <c r="J1218" s="761"/>
      <c r="K1218" s="233"/>
      <c r="L1218" s="233"/>
      <c r="M1218" s="233"/>
      <c r="N1218" s="2403"/>
      <c r="O1218" s="2403"/>
    </row>
    <row r="1219" spans="3:15">
      <c r="C1219" s="233"/>
      <c r="D1219" s="233"/>
      <c r="E1219" s="761"/>
      <c r="F1219" s="234"/>
      <c r="G1219" s="234"/>
      <c r="H1219" s="233"/>
      <c r="I1219" s="233"/>
      <c r="J1219" s="761"/>
      <c r="K1219" s="233"/>
      <c r="L1219" s="233"/>
      <c r="M1219" s="233"/>
      <c r="N1219" s="2403"/>
      <c r="O1219" s="2403"/>
    </row>
    <row r="1220" spans="3:15">
      <c r="C1220" s="233"/>
      <c r="D1220" s="233"/>
      <c r="E1220" s="761"/>
      <c r="F1220" s="234"/>
      <c r="G1220" s="234"/>
      <c r="H1220" s="233"/>
      <c r="I1220" s="233"/>
      <c r="J1220" s="761"/>
      <c r="K1220" s="233"/>
      <c r="L1220" s="233"/>
      <c r="M1220" s="233"/>
      <c r="N1220" s="2403"/>
      <c r="O1220" s="2403"/>
    </row>
    <row r="1221" spans="3:15">
      <c r="C1221" s="233"/>
      <c r="D1221" s="233"/>
      <c r="E1221" s="761"/>
      <c r="F1221" s="234"/>
      <c r="G1221" s="234"/>
      <c r="H1221" s="233"/>
      <c r="I1221" s="233"/>
      <c r="J1221" s="761"/>
      <c r="K1221" s="233"/>
      <c r="L1221" s="233"/>
      <c r="M1221" s="233"/>
      <c r="N1221" s="2403"/>
      <c r="O1221" s="2403"/>
    </row>
    <row r="1222" spans="3:15">
      <c r="C1222" s="233"/>
      <c r="D1222" s="233"/>
      <c r="E1222" s="761"/>
      <c r="F1222" s="234"/>
      <c r="G1222" s="234"/>
      <c r="H1222" s="233"/>
      <c r="I1222" s="233"/>
      <c r="J1222" s="761"/>
      <c r="K1222" s="233"/>
      <c r="L1222" s="233"/>
      <c r="M1222" s="233"/>
      <c r="N1222" s="2403"/>
      <c r="O1222" s="2403"/>
    </row>
    <row r="1223" spans="3:15">
      <c r="C1223" s="233"/>
      <c r="D1223" s="233"/>
      <c r="E1223" s="761"/>
      <c r="F1223" s="234"/>
      <c r="G1223" s="234"/>
      <c r="H1223" s="233"/>
      <c r="I1223" s="233"/>
      <c r="J1223" s="761"/>
      <c r="K1223" s="233"/>
      <c r="L1223" s="233"/>
      <c r="M1223" s="233"/>
      <c r="N1223" s="2403"/>
      <c r="O1223" s="2403"/>
    </row>
    <row r="1224" spans="3:15">
      <c r="C1224" s="233"/>
      <c r="D1224" s="233"/>
      <c r="E1224" s="761"/>
      <c r="F1224" s="234"/>
      <c r="G1224" s="234"/>
      <c r="H1224" s="233"/>
      <c r="I1224" s="233"/>
      <c r="J1224" s="761"/>
      <c r="K1224" s="233"/>
      <c r="L1224" s="233"/>
      <c r="M1224" s="233"/>
      <c r="N1224" s="2403"/>
      <c r="O1224" s="2403"/>
    </row>
    <row r="1225" spans="3:15">
      <c r="C1225" s="233"/>
      <c r="D1225" s="233"/>
      <c r="E1225" s="761"/>
      <c r="F1225" s="234"/>
      <c r="G1225" s="234"/>
      <c r="H1225" s="233"/>
      <c r="I1225" s="233"/>
      <c r="J1225" s="761"/>
      <c r="K1225" s="233"/>
      <c r="L1225" s="233"/>
      <c r="M1225" s="233"/>
      <c r="N1225" s="2403"/>
      <c r="O1225" s="2403"/>
    </row>
    <row r="1226" spans="3:15">
      <c r="C1226" s="233"/>
      <c r="D1226" s="233"/>
      <c r="E1226" s="761"/>
      <c r="F1226" s="234"/>
      <c r="G1226" s="234"/>
      <c r="H1226" s="233"/>
      <c r="I1226" s="233"/>
      <c r="J1226" s="761"/>
      <c r="K1226" s="233"/>
      <c r="L1226" s="233"/>
      <c r="M1226" s="233"/>
      <c r="N1226" s="2403"/>
      <c r="O1226" s="2403"/>
    </row>
    <row r="1227" spans="3:15">
      <c r="C1227" s="233"/>
      <c r="D1227" s="233"/>
      <c r="E1227" s="761"/>
      <c r="F1227" s="234"/>
      <c r="G1227" s="234"/>
      <c r="H1227" s="233"/>
      <c r="I1227" s="233"/>
      <c r="J1227" s="761"/>
      <c r="K1227" s="233"/>
      <c r="L1227" s="233"/>
      <c r="M1227" s="233"/>
      <c r="N1227" s="2403"/>
      <c r="O1227" s="2403"/>
    </row>
    <row r="1228" spans="3:15">
      <c r="C1228" s="233"/>
      <c r="D1228" s="233"/>
      <c r="E1228" s="761"/>
      <c r="F1228" s="234"/>
      <c r="G1228" s="234"/>
      <c r="H1228" s="233"/>
      <c r="I1228" s="233"/>
      <c r="J1228" s="761"/>
      <c r="K1228" s="233"/>
      <c r="L1228" s="233"/>
      <c r="M1228" s="233"/>
      <c r="N1228" s="2403"/>
      <c r="O1228" s="2403"/>
    </row>
    <row r="1229" spans="3:15">
      <c r="C1229" s="233"/>
      <c r="D1229" s="233"/>
      <c r="E1229" s="761"/>
      <c r="F1229" s="234"/>
      <c r="G1229" s="234"/>
      <c r="H1229" s="233"/>
      <c r="I1229" s="233"/>
      <c r="J1229" s="761"/>
      <c r="K1229" s="233"/>
      <c r="L1229" s="233"/>
      <c r="M1229" s="233"/>
      <c r="N1229" s="2403"/>
      <c r="O1229" s="2403"/>
    </row>
    <row r="1230" spans="3:15">
      <c r="C1230" s="233"/>
      <c r="D1230" s="233"/>
      <c r="E1230" s="761"/>
      <c r="F1230" s="234"/>
      <c r="G1230" s="234"/>
      <c r="H1230" s="233"/>
      <c r="I1230" s="233"/>
      <c r="J1230" s="761"/>
      <c r="K1230" s="233"/>
      <c r="L1230" s="233"/>
      <c r="M1230" s="233"/>
      <c r="N1230" s="2403"/>
      <c r="O1230" s="2403"/>
    </row>
    <row r="1231" spans="3:15">
      <c r="C1231" s="233"/>
      <c r="D1231" s="233"/>
      <c r="E1231" s="761"/>
      <c r="F1231" s="234"/>
      <c r="G1231" s="234"/>
      <c r="H1231" s="233"/>
      <c r="I1231" s="233"/>
      <c r="J1231" s="761"/>
      <c r="K1231" s="233"/>
      <c r="L1231" s="233"/>
      <c r="M1231" s="233"/>
      <c r="N1231" s="2403"/>
      <c r="O1231" s="2403"/>
    </row>
    <row r="1232" spans="3:15">
      <c r="C1232" s="233"/>
      <c r="D1232" s="233"/>
      <c r="E1232" s="761"/>
      <c r="F1232" s="234"/>
      <c r="G1232" s="234"/>
      <c r="H1232" s="233"/>
      <c r="I1232" s="233"/>
      <c r="J1232" s="761"/>
      <c r="K1232" s="233"/>
      <c r="L1232" s="233"/>
      <c r="M1232" s="233"/>
      <c r="N1232" s="2403"/>
      <c r="O1232" s="2403"/>
    </row>
    <row r="1233" spans="3:15">
      <c r="C1233" s="233"/>
      <c r="D1233" s="233"/>
      <c r="E1233" s="761"/>
      <c r="F1233" s="234"/>
      <c r="G1233" s="234"/>
      <c r="H1233" s="233"/>
      <c r="I1233" s="233"/>
      <c r="J1233" s="761"/>
      <c r="K1233" s="233"/>
      <c r="L1233" s="233"/>
      <c r="M1233" s="233"/>
      <c r="N1233" s="2403"/>
      <c r="O1233" s="2403"/>
    </row>
    <row r="1234" spans="3:15">
      <c r="C1234" s="233"/>
      <c r="D1234" s="233"/>
      <c r="E1234" s="761"/>
      <c r="F1234" s="234"/>
      <c r="G1234" s="234"/>
      <c r="H1234" s="233"/>
      <c r="I1234" s="233"/>
      <c r="J1234" s="761"/>
      <c r="K1234" s="233"/>
      <c r="L1234" s="233"/>
      <c r="M1234" s="233"/>
      <c r="N1234" s="2403"/>
      <c r="O1234" s="2403"/>
    </row>
    <row r="1235" spans="3:15">
      <c r="C1235" s="233"/>
      <c r="D1235" s="233"/>
      <c r="E1235" s="761"/>
      <c r="F1235" s="234"/>
      <c r="G1235" s="234"/>
      <c r="H1235" s="233"/>
      <c r="I1235" s="233"/>
      <c r="J1235" s="761"/>
      <c r="K1235" s="233"/>
      <c r="L1235" s="233"/>
      <c r="M1235" s="233"/>
      <c r="N1235" s="2403"/>
      <c r="O1235" s="2403"/>
    </row>
    <row r="1236" spans="3:15">
      <c r="C1236" s="233"/>
      <c r="D1236" s="233"/>
      <c r="E1236" s="761"/>
      <c r="F1236" s="234"/>
      <c r="G1236" s="234"/>
      <c r="H1236" s="233"/>
      <c r="I1236" s="233"/>
      <c r="J1236" s="761"/>
      <c r="K1236" s="233"/>
      <c r="L1236" s="233"/>
      <c r="M1236" s="233"/>
      <c r="N1236" s="2403"/>
      <c r="O1236" s="2403"/>
    </row>
    <row r="1237" spans="3:15">
      <c r="C1237" s="233"/>
      <c r="D1237" s="233"/>
      <c r="E1237" s="761"/>
      <c r="F1237" s="234"/>
      <c r="G1237" s="234"/>
      <c r="H1237" s="233"/>
      <c r="I1237" s="233"/>
      <c r="J1237" s="761"/>
      <c r="K1237" s="233"/>
      <c r="L1237" s="233"/>
      <c r="M1237" s="233"/>
      <c r="N1237" s="2403"/>
      <c r="O1237" s="2403"/>
    </row>
    <row r="1238" spans="3:15">
      <c r="C1238" s="233"/>
      <c r="D1238" s="233"/>
      <c r="E1238" s="761"/>
      <c r="F1238" s="234"/>
      <c r="G1238" s="234"/>
      <c r="H1238" s="233"/>
      <c r="I1238" s="233"/>
      <c r="J1238" s="761"/>
      <c r="K1238" s="233"/>
      <c r="L1238" s="233"/>
      <c r="M1238" s="233"/>
      <c r="N1238" s="2403"/>
      <c r="O1238" s="2403"/>
    </row>
    <row r="1239" spans="3:15">
      <c r="C1239" s="233"/>
      <c r="D1239" s="233"/>
      <c r="E1239" s="761"/>
      <c r="F1239" s="234"/>
      <c r="G1239" s="234"/>
      <c r="H1239" s="233"/>
      <c r="I1239" s="233"/>
      <c r="J1239" s="761"/>
      <c r="K1239" s="233"/>
      <c r="L1239" s="233"/>
      <c r="M1239" s="233"/>
      <c r="N1239" s="2403"/>
      <c r="O1239" s="2403"/>
    </row>
    <row r="1240" spans="3:15">
      <c r="C1240" s="233"/>
      <c r="D1240" s="233"/>
      <c r="E1240" s="761"/>
      <c r="F1240" s="234"/>
      <c r="G1240" s="234"/>
      <c r="H1240" s="233"/>
      <c r="I1240" s="233"/>
      <c r="J1240" s="761"/>
      <c r="K1240" s="233"/>
      <c r="L1240" s="233"/>
      <c r="M1240" s="233"/>
      <c r="N1240" s="2403"/>
      <c r="O1240" s="2403"/>
    </row>
    <row r="1241" spans="3:15">
      <c r="C1241" s="233"/>
      <c r="D1241" s="233"/>
      <c r="E1241" s="761"/>
      <c r="F1241" s="234"/>
      <c r="G1241" s="234"/>
      <c r="H1241" s="233"/>
      <c r="I1241" s="233"/>
      <c r="J1241" s="761"/>
      <c r="K1241" s="233"/>
      <c r="L1241" s="233"/>
      <c r="M1241" s="233"/>
      <c r="N1241" s="2403"/>
      <c r="O1241" s="2403"/>
    </row>
    <row r="1242" spans="3:15">
      <c r="C1242" s="233"/>
      <c r="D1242" s="233"/>
      <c r="E1242" s="761"/>
      <c r="F1242" s="234"/>
      <c r="G1242" s="234"/>
      <c r="H1242" s="233"/>
      <c r="I1242" s="233"/>
      <c r="J1242" s="761"/>
      <c r="K1242" s="233"/>
      <c r="L1242" s="233"/>
      <c r="M1242" s="233"/>
      <c r="N1242" s="2403"/>
      <c r="O1242" s="2403"/>
    </row>
    <row r="1243" spans="3:15">
      <c r="C1243" s="233"/>
      <c r="D1243" s="233"/>
      <c r="E1243" s="761"/>
      <c r="F1243" s="234"/>
      <c r="G1243" s="234"/>
      <c r="H1243" s="233"/>
      <c r="I1243" s="233"/>
      <c r="J1243" s="761"/>
      <c r="K1243" s="233"/>
      <c r="L1243" s="233"/>
      <c r="M1243" s="233"/>
      <c r="N1243" s="2403"/>
      <c r="O1243" s="2403"/>
    </row>
    <row r="1244" spans="3:15">
      <c r="C1244" s="233"/>
      <c r="D1244" s="233"/>
      <c r="E1244" s="761"/>
      <c r="F1244" s="234"/>
      <c r="G1244" s="234"/>
      <c r="H1244" s="233"/>
      <c r="I1244" s="233"/>
      <c r="J1244" s="761"/>
      <c r="K1244" s="233"/>
      <c r="L1244" s="233"/>
      <c r="M1244" s="233"/>
      <c r="N1244" s="2403"/>
      <c r="O1244" s="2403"/>
    </row>
    <row r="1245" spans="3:15">
      <c r="C1245" s="233"/>
      <c r="D1245" s="233"/>
      <c r="E1245" s="761"/>
      <c r="F1245" s="234"/>
      <c r="G1245" s="234"/>
      <c r="H1245" s="233"/>
      <c r="I1245" s="233"/>
      <c r="J1245" s="761"/>
      <c r="K1245" s="233"/>
      <c r="L1245" s="233"/>
      <c r="M1245" s="233"/>
      <c r="N1245" s="2403"/>
      <c r="O1245" s="2403"/>
    </row>
    <row r="1246" spans="3:15">
      <c r="C1246" s="233"/>
      <c r="D1246" s="233"/>
      <c r="E1246" s="761"/>
      <c r="F1246" s="234"/>
      <c r="G1246" s="234"/>
      <c r="H1246" s="233"/>
      <c r="I1246" s="233"/>
      <c r="J1246" s="761"/>
      <c r="K1246" s="233"/>
      <c r="L1246" s="233"/>
      <c r="M1246" s="233"/>
      <c r="N1246" s="2403"/>
      <c r="O1246" s="2403"/>
    </row>
    <row r="1247" spans="3:15">
      <c r="C1247" s="233"/>
      <c r="D1247" s="233"/>
      <c r="E1247" s="761"/>
      <c r="F1247" s="234"/>
      <c r="G1247" s="234"/>
      <c r="H1247" s="233"/>
      <c r="I1247" s="233"/>
      <c r="J1247" s="761"/>
      <c r="K1247" s="233"/>
      <c r="L1247" s="233"/>
      <c r="M1247" s="233"/>
      <c r="N1247" s="2403"/>
      <c r="O1247" s="2403"/>
    </row>
    <row r="1248" spans="3:15">
      <c r="C1248" s="233"/>
      <c r="D1248" s="233"/>
      <c r="E1248" s="761"/>
      <c r="F1248" s="234"/>
      <c r="G1248" s="234"/>
      <c r="H1248" s="233"/>
      <c r="I1248" s="233"/>
      <c r="J1248" s="761"/>
      <c r="K1248" s="233"/>
      <c r="L1248" s="233"/>
      <c r="M1248" s="233"/>
      <c r="N1248" s="2403"/>
      <c r="O1248" s="2403"/>
    </row>
    <row r="1249" spans="3:15">
      <c r="C1249" s="233"/>
      <c r="D1249" s="233"/>
      <c r="E1249" s="761"/>
      <c r="F1249" s="234"/>
      <c r="G1249" s="234"/>
      <c r="H1249" s="233"/>
      <c r="I1249" s="233"/>
      <c r="J1249" s="761"/>
      <c r="K1249" s="233"/>
      <c r="L1249" s="233"/>
      <c r="M1249" s="233"/>
      <c r="N1249" s="2403"/>
      <c r="O1249" s="2403"/>
    </row>
    <row r="1250" spans="3:15">
      <c r="C1250" s="233"/>
      <c r="D1250" s="233"/>
      <c r="E1250" s="761"/>
      <c r="F1250" s="234"/>
      <c r="G1250" s="234"/>
      <c r="H1250" s="233"/>
      <c r="I1250" s="233"/>
      <c r="J1250" s="761"/>
      <c r="K1250" s="233"/>
      <c r="L1250" s="233"/>
      <c r="M1250" s="233"/>
      <c r="N1250" s="2403"/>
      <c r="O1250" s="2403"/>
    </row>
    <row r="1251" spans="3:15">
      <c r="C1251" s="233"/>
      <c r="D1251" s="233"/>
      <c r="E1251" s="761"/>
      <c r="F1251" s="234"/>
      <c r="G1251" s="234"/>
      <c r="H1251" s="233"/>
      <c r="I1251" s="233"/>
      <c r="J1251" s="761"/>
      <c r="K1251" s="233"/>
      <c r="L1251" s="233"/>
      <c r="M1251" s="233"/>
      <c r="N1251" s="2403"/>
      <c r="O1251" s="2403"/>
    </row>
    <row r="1252" spans="3:15">
      <c r="C1252" s="233"/>
      <c r="D1252" s="233"/>
      <c r="E1252" s="761"/>
      <c r="F1252" s="234"/>
      <c r="G1252" s="234"/>
      <c r="H1252" s="233"/>
      <c r="I1252" s="233"/>
      <c r="J1252" s="761"/>
      <c r="K1252" s="233"/>
      <c r="L1252" s="233"/>
      <c r="M1252" s="233"/>
      <c r="N1252" s="2403"/>
      <c r="O1252" s="2403"/>
    </row>
    <row r="1253" spans="3:15">
      <c r="C1253" s="233"/>
      <c r="D1253" s="233"/>
      <c r="E1253" s="761"/>
      <c r="F1253" s="234"/>
      <c r="G1253" s="234"/>
      <c r="H1253" s="233"/>
      <c r="I1253" s="233"/>
      <c r="J1253" s="761"/>
      <c r="K1253" s="233"/>
      <c r="L1253" s="233"/>
      <c r="M1253" s="233"/>
      <c r="N1253" s="2403"/>
      <c r="O1253" s="2403"/>
    </row>
    <row r="1254" spans="3:15">
      <c r="C1254" s="233"/>
      <c r="D1254" s="233"/>
      <c r="E1254" s="761"/>
      <c r="F1254" s="234"/>
      <c r="G1254" s="234"/>
      <c r="H1254" s="233"/>
      <c r="I1254" s="233"/>
      <c r="J1254" s="761"/>
      <c r="K1254" s="233"/>
      <c r="L1254" s="233"/>
      <c r="M1254" s="233"/>
      <c r="N1254" s="2403"/>
      <c r="O1254" s="2403"/>
    </row>
    <row r="1255" spans="3:15">
      <c r="C1255" s="233"/>
      <c r="D1255" s="233"/>
      <c r="E1255" s="761"/>
      <c r="F1255" s="234"/>
      <c r="G1255" s="234"/>
      <c r="H1255" s="233"/>
      <c r="I1255" s="233"/>
      <c r="J1255" s="761"/>
      <c r="K1255" s="233"/>
      <c r="L1255" s="233"/>
      <c r="M1255" s="233"/>
      <c r="N1255" s="2403"/>
      <c r="O1255" s="2403"/>
    </row>
    <row r="1256" spans="3:15">
      <c r="C1256" s="233"/>
      <c r="D1256" s="233"/>
      <c r="E1256" s="761"/>
      <c r="F1256" s="234"/>
      <c r="G1256" s="234"/>
      <c r="H1256" s="233"/>
      <c r="I1256" s="233"/>
      <c r="J1256" s="761"/>
      <c r="K1256" s="233"/>
      <c r="L1256" s="233"/>
      <c r="M1256" s="233"/>
      <c r="N1256" s="2403"/>
      <c r="O1256" s="2403"/>
    </row>
    <row r="1257" spans="3:15">
      <c r="C1257" s="233"/>
      <c r="D1257" s="233"/>
      <c r="E1257" s="761"/>
      <c r="F1257" s="234"/>
      <c r="G1257" s="234"/>
      <c r="H1257" s="233"/>
      <c r="I1257" s="233"/>
      <c r="J1257" s="761"/>
      <c r="K1257" s="233"/>
      <c r="L1257" s="233"/>
      <c r="M1257" s="233"/>
      <c r="N1257" s="2403"/>
      <c r="O1257" s="2403"/>
    </row>
    <row r="1258" spans="3:15">
      <c r="C1258" s="233"/>
      <c r="D1258" s="233"/>
      <c r="E1258" s="761"/>
      <c r="F1258" s="234"/>
      <c r="G1258" s="234"/>
      <c r="H1258" s="233"/>
      <c r="I1258" s="233"/>
      <c r="J1258" s="761"/>
      <c r="K1258" s="233"/>
      <c r="L1258" s="233"/>
      <c r="M1258" s="233"/>
      <c r="N1258" s="2403"/>
      <c r="O1258" s="2403"/>
    </row>
    <row r="1259" spans="3:15">
      <c r="C1259" s="233"/>
      <c r="D1259" s="233"/>
      <c r="E1259" s="761"/>
      <c r="F1259" s="234"/>
      <c r="G1259" s="234"/>
      <c r="H1259" s="233"/>
      <c r="I1259" s="233"/>
      <c r="J1259" s="761"/>
      <c r="K1259" s="233"/>
      <c r="L1259" s="233"/>
      <c r="M1259" s="233"/>
      <c r="N1259" s="2403"/>
      <c r="O1259" s="2403"/>
    </row>
    <row r="1260" spans="3:15">
      <c r="C1260" s="233"/>
      <c r="D1260" s="233"/>
      <c r="E1260" s="761"/>
      <c r="F1260" s="234"/>
      <c r="G1260" s="234"/>
      <c r="H1260" s="233"/>
      <c r="I1260" s="233"/>
      <c r="J1260" s="761"/>
      <c r="K1260" s="233"/>
      <c r="L1260" s="233"/>
      <c r="M1260" s="233"/>
      <c r="N1260" s="2403"/>
      <c r="O1260" s="2403"/>
    </row>
    <row r="1261" spans="3:15">
      <c r="C1261" s="233"/>
      <c r="D1261" s="233"/>
      <c r="E1261" s="761"/>
      <c r="F1261" s="234"/>
      <c r="G1261" s="234"/>
      <c r="H1261" s="233"/>
      <c r="I1261" s="233"/>
      <c r="J1261" s="761"/>
      <c r="K1261" s="233"/>
      <c r="L1261" s="233"/>
      <c r="M1261" s="233"/>
      <c r="N1261" s="2403"/>
      <c r="O1261" s="2403"/>
    </row>
    <row r="1262" spans="3:15">
      <c r="C1262" s="233"/>
      <c r="D1262" s="233"/>
      <c r="E1262" s="761"/>
      <c r="F1262" s="234"/>
      <c r="G1262" s="234"/>
      <c r="H1262" s="233"/>
      <c r="I1262" s="233"/>
      <c r="J1262" s="761"/>
      <c r="K1262" s="233"/>
      <c r="L1262" s="233"/>
      <c r="M1262" s="233"/>
      <c r="N1262" s="2403"/>
      <c r="O1262" s="2403"/>
    </row>
    <row r="1263" spans="3:15">
      <c r="C1263" s="233"/>
      <c r="D1263" s="233"/>
      <c r="E1263" s="761"/>
      <c r="F1263" s="234"/>
      <c r="G1263" s="234"/>
      <c r="H1263" s="233"/>
      <c r="I1263" s="233"/>
      <c r="J1263" s="761"/>
      <c r="K1263" s="233"/>
      <c r="L1263" s="233"/>
      <c r="M1263" s="233"/>
      <c r="N1263" s="2403"/>
      <c r="O1263" s="2403"/>
    </row>
    <row r="1264" spans="3:15">
      <c r="C1264" s="233"/>
      <c r="D1264" s="233"/>
      <c r="E1264" s="761"/>
      <c r="F1264" s="234"/>
      <c r="G1264" s="234"/>
      <c r="H1264" s="233"/>
      <c r="I1264" s="233"/>
      <c r="J1264" s="761"/>
      <c r="K1264" s="233"/>
      <c r="L1264" s="233"/>
      <c r="M1264" s="233"/>
      <c r="N1264" s="2403"/>
      <c r="O1264" s="2403"/>
    </row>
    <row r="1265" spans="3:15">
      <c r="C1265" s="233"/>
      <c r="D1265" s="233"/>
      <c r="E1265" s="761"/>
      <c r="F1265" s="234"/>
      <c r="G1265" s="234"/>
      <c r="H1265" s="233"/>
      <c r="I1265" s="233"/>
      <c r="J1265" s="761"/>
      <c r="K1265" s="233"/>
      <c r="L1265" s="233"/>
      <c r="M1265" s="233"/>
      <c r="N1265" s="2403"/>
      <c r="O1265" s="2403"/>
    </row>
    <row r="1266" spans="3:15">
      <c r="C1266" s="233"/>
      <c r="D1266" s="233"/>
      <c r="E1266" s="761"/>
      <c r="F1266" s="234"/>
      <c r="G1266" s="234"/>
      <c r="H1266" s="233"/>
      <c r="I1266" s="233"/>
      <c r="J1266" s="761"/>
      <c r="K1266" s="233"/>
      <c r="L1266" s="233"/>
      <c r="M1266" s="233"/>
      <c r="N1266" s="2403"/>
      <c r="O1266" s="2403"/>
    </row>
    <row r="1267" spans="3:15">
      <c r="C1267" s="233"/>
      <c r="D1267" s="233"/>
      <c r="E1267" s="761"/>
      <c r="F1267" s="234"/>
      <c r="G1267" s="234"/>
      <c r="H1267" s="233"/>
      <c r="I1267" s="233"/>
      <c r="J1267" s="761"/>
      <c r="K1267" s="233"/>
      <c r="L1267" s="233"/>
      <c r="M1267" s="233"/>
      <c r="N1267" s="2403"/>
      <c r="O1267" s="2403"/>
    </row>
    <row r="1268" spans="3:15">
      <c r="C1268" s="233"/>
      <c r="D1268" s="233"/>
      <c r="E1268" s="761"/>
      <c r="F1268" s="234"/>
      <c r="G1268" s="234"/>
      <c r="H1268" s="233"/>
      <c r="I1268" s="233"/>
      <c r="J1268" s="761"/>
      <c r="K1268" s="233"/>
      <c r="L1268" s="233"/>
      <c r="M1268" s="233"/>
      <c r="N1268" s="2403"/>
      <c r="O1268" s="2403"/>
    </row>
    <row r="1269" spans="3:15">
      <c r="C1269" s="233"/>
      <c r="D1269" s="233"/>
      <c r="E1269" s="761"/>
      <c r="F1269" s="234"/>
      <c r="G1269" s="234"/>
      <c r="H1269" s="233"/>
      <c r="I1269" s="233"/>
      <c r="J1269" s="761"/>
      <c r="K1269" s="233"/>
      <c r="L1269" s="233"/>
      <c r="M1269" s="233"/>
      <c r="N1269" s="2403"/>
      <c r="O1269" s="2403"/>
    </row>
    <row r="1270" spans="3:15">
      <c r="C1270" s="233"/>
      <c r="D1270" s="233"/>
      <c r="E1270" s="761"/>
      <c r="F1270" s="234"/>
      <c r="G1270" s="234"/>
      <c r="H1270" s="233"/>
      <c r="I1270" s="233"/>
      <c r="J1270" s="761"/>
      <c r="K1270" s="233"/>
      <c r="L1270" s="233"/>
      <c r="M1270" s="233"/>
      <c r="N1270" s="2403"/>
      <c r="O1270" s="2403"/>
    </row>
    <row r="1271" spans="3:15">
      <c r="C1271" s="233"/>
      <c r="D1271" s="233"/>
      <c r="E1271" s="761"/>
      <c r="F1271" s="234"/>
      <c r="G1271" s="234"/>
      <c r="H1271" s="233"/>
      <c r="I1271" s="233"/>
      <c r="J1271" s="761"/>
      <c r="K1271" s="233"/>
      <c r="L1271" s="233"/>
      <c r="M1271" s="233"/>
      <c r="N1271" s="2403"/>
      <c r="O1271" s="2403"/>
    </row>
    <row r="1272" spans="3:15">
      <c r="C1272" s="233"/>
      <c r="D1272" s="233"/>
      <c r="E1272" s="761"/>
      <c r="F1272" s="234"/>
      <c r="G1272" s="234"/>
      <c r="H1272" s="233"/>
      <c r="I1272" s="233"/>
      <c r="J1272" s="761"/>
      <c r="K1272" s="233"/>
      <c r="L1272" s="233"/>
      <c r="M1272" s="233"/>
      <c r="N1272" s="2403"/>
      <c r="O1272" s="2403"/>
    </row>
    <row r="1273" spans="3:15">
      <c r="C1273" s="233"/>
      <c r="D1273" s="233"/>
      <c r="E1273" s="761"/>
      <c r="F1273" s="234"/>
      <c r="G1273" s="234"/>
      <c r="H1273" s="233"/>
      <c r="I1273" s="233"/>
      <c r="J1273" s="761"/>
      <c r="K1273" s="233"/>
      <c r="L1273" s="233"/>
      <c r="M1273" s="233"/>
      <c r="N1273" s="2403"/>
      <c r="O1273" s="2403"/>
    </row>
    <row r="1274" spans="3:15">
      <c r="C1274" s="233"/>
      <c r="D1274" s="233"/>
      <c r="E1274" s="761"/>
      <c r="F1274" s="234"/>
      <c r="G1274" s="234"/>
      <c r="H1274" s="233"/>
      <c r="I1274" s="233"/>
      <c r="J1274" s="761"/>
      <c r="K1274" s="233"/>
      <c r="L1274" s="233"/>
      <c r="M1274" s="233"/>
      <c r="N1274" s="2403"/>
      <c r="O1274" s="2403"/>
    </row>
    <row r="1275" spans="3:15">
      <c r="C1275" s="233"/>
      <c r="D1275" s="233"/>
      <c r="E1275" s="761"/>
      <c r="F1275" s="234"/>
      <c r="G1275" s="234"/>
      <c r="H1275" s="233"/>
      <c r="I1275" s="233"/>
      <c r="J1275" s="761"/>
      <c r="K1275" s="233"/>
      <c r="L1275" s="233"/>
      <c r="M1275" s="233"/>
      <c r="N1275" s="2403"/>
      <c r="O1275" s="2403"/>
    </row>
    <row r="1276" spans="3:15">
      <c r="C1276" s="233"/>
      <c r="D1276" s="233"/>
      <c r="E1276" s="761"/>
      <c r="F1276" s="234"/>
      <c r="G1276" s="234"/>
      <c r="H1276" s="233"/>
      <c r="I1276" s="233"/>
      <c r="J1276" s="761"/>
      <c r="K1276" s="233"/>
      <c r="L1276" s="233"/>
      <c r="M1276" s="233"/>
      <c r="N1276" s="2403"/>
      <c r="O1276" s="2403"/>
    </row>
    <row r="1277" spans="3:15">
      <c r="C1277" s="233"/>
      <c r="D1277" s="233"/>
      <c r="E1277" s="761"/>
      <c r="F1277" s="234"/>
      <c r="G1277" s="234"/>
      <c r="H1277" s="233"/>
      <c r="I1277" s="233"/>
      <c r="J1277" s="761"/>
      <c r="K1277" s="233"/>
      <c r="L1277" s="233"/>
      <c r="M1277" s="233"/>
      <c r="N1277" s="2403"/>
      <c r="O1277" s="2403"/>
    </row>
    <row r="1278" spans="3:15">
      <c r="C1278" s="233"/>
      <c r="D1278" s="233"/>
      <c r="E1278" s="761"/>
      <c r="F1278" s="234"/>
      <c r="G1278" s="234"/>
      <c r="H1278" s="233"/>
      <c r="I1278" s="233"/>
      <c r="J1278" s="761"/>
      <c r="K1278" s="233"/>
      <c r="L1278" s="233"/>
      <c r="M1278" s="233"/>
      <c r="N1278" s="2403"/>
      <c r="O1278" s="2403"/>
    </row>
    <row r="1279" spans="3:15">
      <c r="C1279" s="233"/>
      <c r="D1279" s="233"/>
      <c r="E1279" s="761"/>
      <c r="F1279" s="234"/>
      <c r="G1279" s="234"/>
      <c r="H1279" s="233"/>
      <c r="I1279" s="233"/>
      <c r="J1279" s="761"/>
      <c r="K1279" s="233"/>
      <c r="L1279" s="233"/>
      <c r="M1279" s="233"/>
      <c r="N1279" s="2403"/>
      <c r="O1279" s="2403"/>
    </row>
    <row r="1280" spans="3:15">
      <c r="C1280" s="233"/>
      <c r="D1280" s="233"/>
      <c r="E1280" s="761"/>
      <c r="F1280" s="234"/>
      <c r="G1280" s="234"/>
      <c r="H1280" s="233"/>
      <c r="I1280" s="233"/>
      <c r="J1280" s="761"/>
      <c r="K1280" s="233"/>
      <c r="L1280" s="233"/>
      <c r="M1280" s="233"/>
      <c r="N1280" s="2403"/>
      <c r="O1280" s="2403"/>
    </row>
    <row r="1281" spans="3:15">
      <c r="C1281" s="233"/>
      <c r="D1281" s="233"/>
      <c r="E1281" s="761"/>
      <c r="F1281" s="234"/>
      <c r="G1281" s="234"/>
      <c r="H1281" s="233"/>
      <c r="I1281" s="233"/>
      <c r="J1281" s="761"/>
      <c r="K1281" s="233"/>
      <c r="L1281" s="233"/>
      <c r="M1281" s="233"/>
      <c r="N1281" s="2403"/>
      <c r="O1281" s="2403"/>
    </row>
    <row r="1282" spans="3:15">
      <c r="C1282" s="233"/>
      <c r="D1282" s="233"/>
      <c r="E1282" s="761"/>
      <c r="F1282" s="234"/>
      <c r="G1282" s="234"/>
      <c r="H1282" s="233"/>
      <c r="I1282" s="233"/>
      <c r="J1282" s="761"/>
      <c r="K1282" s="233"/>
      <c r="L1282" s="233"/>
      <c r="M1282" s="233"/>
      <c r="N1282" s="2403"/>
      <c r="O1282" s="2403"/>
    </row>
    <row r="1283" spans="3:15">
      <c r="C1283" s="233"/>
      <c r="D1283" s="233"/>
      <c r="E1283" s="761"/>
      <c r="F1283" s="234"/>
      <c r="G1283" s="234"/>
      <c r="H1283" s="233"/>
      <c r="I1283" s="233"/>
      <c r="J1283" s="761"/>
      <c r="K1283" s="233"/>
      <c r="L1283" s="233"/>
      <c r="M1283" s="233"/>
      <c r="N1283" s="2403"/>
      <c r="O1283" s="2403"/>
    </row>
    <row r="1284" spans="3:15">
      <c r="C1284" s="233"/>
      <c r="D1284" s="233"/>
      <c r="E1284" s="761"/>
      <c r="F1284" s="234"/>
      <c r="G1284" s="234"/>
      <c r="H1284" s="233"/>
      <c r="I1284" s="233"/>
      <c r="J1284" s="761"/>
      <c r="K1284" s="233"/>
      <c r="L1284" s="233"/>
      <c r="M1284" s="233"/>
      <c r="N1284" s="2403"/>
      <c r="O1284" s="2403"/>
    </row>
    <row r="1285" spans="3:15">
      <c r="C1285" s="233"/>
      <c r="D1285" s="233"/>
      <c r="E1285" s="761"/>
      <c r="F1285" s="234"/>
      <c r="G1285" s="234"/>
      <c r="H1285" s="233"/>
      <c r="I1285" s="233"/>
      <c r="J1285" s="761"/>
      <c r="K1285" s="233"/>
      <c r="L1285" s="233"/>
      <c r="M1285" s="233"/>
      <c r="N1285" s="2403"/>
      <c r="O1285" s="2403"/>
    </row>
    <row r="1286" spans="3:15">
      <c r="C1286" s="233"/>
      <c r="D1286" s="233"/>
      <c r="E1286" s="761"/>
      <c r="F1286" s="234"/>
      <c r="G1286" s="234"/>
      <c r="H1286" s="233"/>
      <c r="I1286" s="233"/>
      <c r="J1286" s="761"/>
      <c r="K1286" s="233"/>
      <c r="L1286" s="233"/>
      <c r="M1286" s="233"/>
      <c r="N1286" s="2403"/>
      <c r="O1286" s="2403"/>
    </row>
    <row r="1287" spans="3:15">
      <c r="C1287" s="233"/>
      <c r="D1287" s="233"/>
      <c r="E1287" s="761"/>
      <c r="F1287" s="234"/>
      <c r="G1287" s="234"/>
      <c r="H1287" s="233"/>
      <c r="I1287" s="233"/>
      <c r="J1287" s="761"/>
      <c r="K1287" s="233"/>
      <c r="L1287" s="233"/>
      <c r="M1287" s="233"/>
      <c r="N1287" s="2403"/>
      <c r="O1287" s="2403"/>
    </row>
    <row r="1288" spans="3:15">
      <c r="C1288" s="233"/>
      <c r="D1288" s="233"/>
      <c r="E1288" s="761"/>
      <c r="F1288" s="234"/>
      <c r="G1288" s="234"/>
      <c r="H1288" s="233"/>
      <c r="I1288" s="233"/>
      <c r="J1288" s="761"/>
      <c r="K1288" s="233"/>
      <c r="L1288" s="233"/>
      <c r="M1288" s="233"/>
      <c r="N1288" s="2403"/>
      <c r="O1288" s="2403"/>
    </row>
    <row r="1289" spans="3:15">
      <c r="C1289" s="233"/>
      <c r="D1289" s="233"/>
      <c r="E1289" s="761"/>
      <c r="F1289" s="234"/>
      <c r="G1289" s="234"/>
      <c r="H1289" s="233"/>
      <c r="I1289" s="233"/>
      <c r="J1289" s="761"/>
      <c r="K1289" s="233"/>
      <c r="L1289" s="233"/>
      <c r="M1289" s="233"/>
      <c r="N1289" s="2403"/>
      <c r="O1289" s="2403"/>
    </row>
    <row r="1290" spans="3:15">
      <c r="C1290" s="233"/>
      <c r="D1290" s="233"/>
      <c r="E1290" s="761"/>
      <c r="F1290" s="234"/>
      <c r="G1290" s="234"/>
      <c r="H1290" s="233"/>
      <c r="I1290" s="233"/>
      <c r="J1290" s="761"/>
      <c r="K1290" s="233"/>
      <c r="L1290" s="233"/>
      <c r="M1290" s="233"/>
      <c r="N1290" s="2403"/>
      <c r="O1290" s="2403"/>
    </row>
    <row r="1291" spans="3:15">
      <c r="C1291" s="233"/>
      <c r="D1291" s="233"/>
      <c r="E1291" s="761"/>
      <c r="F1291" s="234"/>
      <c r="G1291" s="234"/>
      <c r="H1291" s="233"/>
      <c r="I1291" s="233"/>
      <c r="J1291" s="761"/>
      <c r="K1291" s="233"/>
      <c r="L1291" s="233"/>
      <c r="M1291" s="233"/>
      <c r="N1291" s="2403"/>
      <c r="O1291" s="2403"/>
    </row>
    <row r="1292" spans="3:15">
      <c r="C1292" s="233"/>
      <c r="D1292" s="233"/>
      <c r="E1292" s="761"/>
      <c r="F1292" s="234"/>
      <c r="G1292" s="234"/>
      <c r="H1292" s="233"/>
      <c r="I1292" s="233"/>
      <c r="J1292" s="761"/>
      <c r="K1292" s="233"/>
      <c r="L1292" s="233"/>
      <c r="M1292" s="233"/>
      <c r="N1292" s="2403"/>
      <c r="O1292" s="2403"/>
    </row>
    <row r="1293" spans="3:15">
      <c r="C1293" s="233"/>
      <c r="D1293" s="233"/>
      <c r="E1293" s="761"/>
      <c r="F1293" s="234"/>
      <c r="G1293" s="234"/>
      <c r="H1293" s="233"/>
      <c r="I1293" s="233"/>
      <c r="J1293" s="761"/>
      <c r="K1293" s="233"/>
      <c r="L1293" s="233"/>
      <c r="M1293" s="233"/>
      <c r="N1293" s="2403"/>
      <c r="O1293" s="2403"/>
    </row>
    <row r="1294" spans="3:15">
      <c r="C1294" s="233"/>
      <c r="D1294" s="233"/>
      <c r="E1294" s="761"/>
      <c r="F1294" s="234"/>
      <c r="G1294" s="234"/>
      <c r="H1294" s="233"/>
      <c r="I1294" s="233"/>
      <c r="J1294" s="761"/>
      <c r="K1294" s="233"/>
      <c r="L1294" s="233"/>
      <c r="M1294" s="233"/>
      <c r="N1294" s="2403"/>
      <c r="O1294" s="2403"/>
    </row>
    <row r="1295" spans="3:15">
      <c r="C1295" s="233"/>
      <c r="D1295" s="233"/>
      <c r="E1295" s="761"/>
      <c r="F1295" s="234"/>
      <c r="G1295" s="234"/>
      <c r="H1295" s="233"/>
      <c r="I1295" s="233"/>
      <c r="J1295" s="761"/>
      <c r="K1295" s="233"/>
      <c r="L1295" s="233"/>
      <c r="M1295" s="233"/>
      <c r="N1295" s="2403"/>
      <c r="O1295" s="2403"/>
    </row>
    <row r="1296" spans="3:15">
      <c r="C1296" s="233"/>
      <c r="D1296" s="233"/>
      <c r="E1296" s="761"/>
      <c r="F1296" s="234"/>
      <c r="G1296" s="234"/>
      <c r="H1296" s="233"/>
      <c r="I1296" s="233"/>
      <c r="J1296" s="761"/>
      <c r="K1296" s="233"/>
      <c r="L1296" s="233"/>
      <c r="M1296" s="233"/>
      <c r="N1296" s="2403"/>
      <c r="O1296" s="2403"/>
    </row>
    <row r="1297" spans="3:15">
      <c r="C1297" s="233"/>
      <c r="D1297" s="233"/>
      <c r="E1297" s="761"/>
      <c r="F1297" s="234"/>
      <c r="G1297" s="234"/>
      <c r="H1297" s="233"/>
      <c r="I1297" s="233"/>
      <c r="J1297" s="761"/>
      <c r="K1297" s="233"/>
      <c r="L1297" s="233"/>
      <c r="M1297" s="233"/>
      <c r="N1297" s="2403"/>
      <c r="O1297" s="2403"/>
    </row>
    <row r="1298" spans="3:15">
      <c r="C1298" s="233"/>
      <c r="D1298" s="233"/>
      <c r="E1298" s="761"/>
      <c r="F1298" s="234"/>
      <c r="G1298" s="234"/>
      <c r="H1298" s="233"/>
      <c r="I1298" s="233"/>
      <c r="J1298" s="761"/>
      <c r="K1298" s="233"/>
      <c r="L1298" s="233"/>
      <c r="M1298" s="233"/>
      <c r="N1298" s="2403"/>
      <c r="O1298" s="2403"/>
    </row>
    <row r="1299" spans="3:15">
      <c r="C1299" s="233"/>
      <c r="D1299" s="233"/>
      <c r="E1299" s="761"/>
      <c r="F1299" s="234"/>
      <c r="G1299" s="234"/>
      <c r="H1299" s="233"/>
      <c r="I1299" s="233"/>
      <c r="J1299" s="761"/>
      <c r="K1299" s="233"/>
      <c r="L1299" s="233"/>
      <c r="M1299" s="233"/>
      <c r="N1299" s="2403"/>
      <c r="O1299" s="2403"/>
    </row>
    <row r="1300" spans="3:15">
      <c r="C1300" s="233"/>
      <c r="D1300" s="233"/>
      <c r="E1300" s="761"/>
      <c r="F1300" s="234"/>
      <c r="G1300" s="234"/>
      <c r="H1300" s="233"/>
      <c r="I1300" s="233"/>
      <c r="J1300" s="761"/>
      <c r="K1300" s="233"/>
      <c r="L1300" s="233"/>
      <c r="M1300" s="233"/>
      <c r="N1300" s="2403"/>
      <c r="O1300" s="2403"/>
    </row>
    <row r="1301" spans="3:15">
      <c r="C1301" s="233"/>
      <c r="D1301" s="233"/>
      <c r="E1301" s="761"/>
      <c r="F1301" s="234"/>
      <c r="G1301" s="234"/>
      <c r="H1301" s="233"/>
      <c r="I1301" s="233"/>
      <c r="J1301" s="761"/>
      <c r="K1301" s="233"/>
      <c r="L1301" s="233"/>
      <c r="M1301" s="233"/>
      <c r="N1301" s="2403"/>
      <c r="O1301" s="2403"/>
    </row>
    <row r="1302" spans="3:15">
      <c r="C1302" s="233"/>
      <c r="D1302" s="233"/>
      <c r="E1302" s="761"/>
      <c r="F1302" s="234"/>
      <c r="G1302" s="234"/>
      <c r="H1302" s="233"/>
      <c r="I1302" s="233"/>
      <c r="J1302" s="761"/>
      <c r="K1302" s="233"/>
      <c r="L1302" s="233"/>
      <c r="M1302" s="233"/>
      <c r="N1302" s="2403"/>
      <c r="O1302" s="2403"/>
    </row>
    <row r="1303" spans="3:15">
      <c r="C1303" s="233"/>
      <c r="D1303" s="233"/>
      <c r="E1303" s="761"/>
      <c r="F1303" s="234"/>
      <c r="G1303" s="234"/>
      <c r="H1303" s="233"/>
      <c r="I1303" s="233"/>
      <c r="J1303" s="761"/>
      <c r="K1303" s="233"/>
      <c r="L1303" s="233"/>
      <c r="M1303" s="233"/>
      <c r="N1303" s="2403"/>
      <c r="O1303" s="2403"/>
    </row>
    <row r="1304" spans="3:15">
      <c r="C1304" s="233"/>
      <c r="D1304" s="233"/>
      <c r="E1304" s="761"/>
      <c r="F1304" s="234"/>
      <c r="G1304" s="234"/>
      <c r="H1304" s="233"/>
      <c r="I1304" s="233"/>
      <c r="J1304" s="761"/>
      <c r="K1304" s="233"/>
      <c r="L1304" s="233"/>
      <c r="M1304" s="233"/>
      <c r="N1304" s="2403"/>
      <c r="O1304" s="2403"/>
    </row>
    <row r="1305" spans="3:15">
      <c r="C1305" s="233"/>
      <c r="D1305" s="233"/>
      <c r="E1305" s="761"/>
      <c r="F1305" s="234"/>
      <c r="G1305" s="234"/>
      <c r="H1305" s="233"/>
      <c r="I1305" s="233"/>
      <c r="J1305" s="761"/>
      <c r="K1305" s="233"/>
      <c r="L1305" s="233"/>
      <c r="M1305" s="233"/>
      <c r="N1305" s="2403"/>
      <c r="O1305" s="2403"/>
    </row>
    <row r="1306" spans="3:15">
      <c r="C1306" s="233"/>
      <c r="D1306" s="233"/>
      <c r="E1306" s="761"/>
      <c r="F1306" s="234"/>
      <c r="G1306" s="234"/>
      <c r="H1306" s="233"/>
      <c r="I1306" s="233"/>
      <c r="J1306" s="761"/>
      <c r="K1306" s="233"/>
      <c r="L1306" s="233"/>
      <c r="M1306" s="233"/>
      <c r="N1306" s="2403"/>
      <c r="O1306" s="2403"/>
    </row>
    <row r="1307" spans="3:15">
      <c r="C1307" s="233"/>
      <c r="D1307" s="233"/>
      <c r="E1307" s="761"/>
      <c r="F1307" s="234"/>
      <c r="G1307" s="234"/>
      <c r="H1307" s="233"/>
      <c r="I1307" s="233"/>
      <c r="J1307" s="761"/>
      <c r="K1307" s="233"/>
      <c r="L1307" s="233"/>
      <c r="M1307" s="233"/>
      <c r="N1307" s="2403"/>
      <c r="O1307" s="2403"/>
    </row>
    <row r="1308" spans="3:15">
      <c r="C1308" s="233"/>
      <c r="D1308" s="233"/>
      <c r="E1308" s="761"/>
      <c r="F1308" s="234"/>
      <c r="G1308" s="234"/>
      <c r="H1308" s="233"/>
      <c r="I1308" s="233"/>
      <c r="J1308" s="761"/>
      <c r="K1308" s="233"/>
      <c r="L1308" s="233"/>
      <c r="M1308" s="233"/>
      <c r="N1308" s="2403"/>
      <c r="O1308" s="2403"/>
    </row>
    <row r="1309" spans="3:15">
      <c r="C1309" s="233"/>
      <c r="D1309" s="233"/>
      <c r="E1309" s="761"/>
      <c r="F1309" s="234"/>
      <c r="G1309" s="234"/>
      <c r="H1309" s="233"/>
      <c r="I1309" s="233"/>
      <c r="J1309" s="761"/>
      <c r="K1309" s="233"/>
      <c r="L1309" s="233"/>
      <c r="M1309" s="233"/>
      <c r="N1309" s="2403"/>
      <c r="O1309" s="2403"/>
    </row>
    <row r="1310" spans="3:15">
      <c r="C1310" s="233"/>
      <c r="D1310" s="233"/>
      <c r="E1310" s="761"/>
      <c r="F1310" s="234"/>
      <c r="G1310" s="234"/>
      <c r="H1310" s="233"/>
      <c r="I1310" s="233"/>
      <c r="J1310" s="761"/>
      <c r="K1310" s="233"/>
      <c r="L1310" s="233"/>
      <c r="M1310" s="233"/>
      <c r="N1310" s="2403"/>
      <c r="O1310" s="2403"/>
    </row>
    <row r="1311" spans="3:15">
      <c r="C1311" s="233"/>
      <c r="D1311" s="233"/>
      <c r="E1311" s="761"/>
      <c r="F1311" s="234"/>
      <c r="G1311" s="234"/>
      <c r="H1311" s="233"/>
      <c r="I1311" s="233"/>
      <c r="J1311" s="761"/>
      <c r="K1311" s="233"/>
      <c r="L1311" s="233"/>
      <c r="M1311" s="233"/>
      <c r="N1311" s="2403"/>
      <c r="O1311" s="2403"/>
    </row>
    <row r="1312" spans="3:15">
      <c r="C1312" s="233"/>
      <c r="D1312" s="233"/>
      <c r="E1312" s="761"/>
      <c r="F1312" s="234"/>
      <c r="G1312" s="234"/>
      <c r="H1312" s="233"/>
      <c r="I1312" s="233"/>
      <c r="J1312" s="761"/>
      <c r="K1312" s="233"/>
      <c r="L1312" s="233"/>
      <c r="M1312" s="233"/>
      <c r="N1312" s="2403"/>
      <c r="O1312" s="2403"/>
    </row>
    <row r="1313" spans="3:15">
      <c r="C1313" s="233"/>
      <c r="D1313" s="233"/>
      <c r="E1313" s="761"/>
      <c r="F1313" s="234"/>
      <c r="G1313" s="234"/>
      <c r="H1313" s="233"/>
      <c r="I1313" s="233"/>
      <c r="J1313" s="761"/>
      <c r="K1313" s="233"/>
      <c r="L1313" s="233"/>
      <c r="M1313" s="233"/>
      <c r="N1313" s="2403"/>
      <c r="O1313" s="2403"/>
    </row>
    <row r="1314" spans="3:15">
      <c r="C1314" s="233"/>
      <c r="D1314" s="233"/>
      <c r="E1314" s="761"/>
      <c r="F1314" s="234"/>
      <c r="G1314" s="234"/>
      <c r="H1314" s="233"/>
      <c r="I1314" s="233"/>
      <c r="J1314" s="761"/>
      <c r="K1314" s="233"/>
      <c r="L1314" s="233"/>
      <c r="M1314" s="233"/>
      <c r="N1314" s="2403"/>
      <c r="O1314" s="2403"/>
    </row>
    <row r="1315" spans="3:15">
      <c r="C1315" s="233"/>
      <c r="D1315" s="233"/>
      <c r="E1315" s="761"/>
      <c r="F1315" s="234"/>
      <c r="G1315" s="234"/>
      <c r="H1315" s="233"/>
      <c r="I1315" s="233"/>
      <c r="J1315" s="761"/>
      <c r="K1315" s="233"/>
      <c r="L1315" s="233"/>
      <c r="M1315" s="233"/>
      <c r="N1315" s="2403"/>
      <c r="O1315" s="2403"/>
    </row>
    <row r="1316" spans="3:15">
      <c r="C1316" s="233"/>
      <c r="D1316" s="233"/>
      <c r="E1316" s="761"/>
      <c r="F1316" s="234"/>
      <c r="G1316" s="234"/>
      <c r="H1316" s="233"/>
      <c r="I1316" s="233"/>
      <c r="J1316" s="761"/>
      <c r="K1316" s="233"/>
      <c r="L1316" s="233"/>
      <c r="M1316" s="233"/>
      <c r="N1316" s="2403"/>
      <c r="O1316" s="2403"/>
    </row>
    <row r="1317" spans="3:15">
      <c r="C1317" s="233"/>
      <c r="D1317" s="233"/>
      <c r="E1317" s="761"/>
      <c r="F1317" s="234"/>
      <c r="G1317" s="234"/>
      <c r="H1317" s="233"/>
      <c r="I1317" s="233"/>
      <c r="J1317" s="761"/>
      <c r="K1317" s="233"/>
      <c r="L1317" s="233"/>
      <c r="M1317" s="233"/>
      <c r="N1317" s="2403"/>
      <c r="O1317" s="2403"/>
    </row>
    <row r="1318" spans="3:15">
      <c r="C1318" s="233"/>
      <c r="D1318" s="233"/>
      <c r="E1318" s="761"/>
      <c r="F1318" s="234"/>
      <c r="G1318" s="234"/>
      <c r="H1318" s="233"/>
      <c r="I1318" s="233"/>
      <c r="J1318" s="761"/>
      <c r="K1318" s="233"/>
      <c r="L1318" s="233"/>
      <c r="M1318" s="233"/>
      <c r="N1318" s="2403"/>
      <c r="O1318" s="2403"/>
    </row>
    <row r="1319" spans="3:15">
      <c r="C1319" s="233"/>
      <c r="D1319" s="233"/>
      <c r="E1319" s="761"/>
      <c r="F1319" s="234"/>
      <c r="G1319" s="234"/>
      <c r="H1319" s="233"/>
      <c r="I1319" s="233"/>
      <c r="J1319" s="761"/>
      <c r="K1319" s="233"/>
      <c r="L1319" s="233"/>
      <c r="M1319" s="233"/>
      <c r="N1319" s="2403"/>
      <c r="O1319" s="2403"/>
    </row>
    <row r="1320" spans="3:15">
      <c r="C1320" s="233"/>
      <c r="D1320" s="233"/>
      <c r="E1320" s="761"/>
      <c r="F1320" s="234"/>
      <c r="G1320" s="234"/>
      <c r="H1320" s="233"/>
      <c r="I1320" s="233"/>
      <c r="J1320" s="761"/>
      <c r="K1320" s="233"/>
      <c r="L1320" s="233"/>
      <c r="M1320" s="233"/>
      <c r="N1320" s="2403"/>
      <c r="O1320" s="2403"/>
    </row>
    <row r="1321" spans="3:15">
      <c r="C1321" s="233"/>
      <c r="D1321" s="233"/>
      <c r="E1321" s="761"/>
      <c r="F1321" s="234"/>
      <c r="G1321" s="234"/>
      <c r="H1321" s="233"/>
      <c r="I1321" s="233"/>
      <c r="J1321" s="761"/>
      <c r="K1321" s="233"/>
      <c r="L1321" s="233"/>
      <c r="M1321" s="233"/>
      <c r="N1321" s="2403"/>
      <c r="O1321" s="2403"/>
    </row>
    <row r="1322" spans="3:15">
      <c r="C1322" s="233"/>
      <c r="D1322" s="233"/>
      <c r="E1322" s="761"/>
      <c r="F1322" s="234"/>
      <c r="G1322" s="234"/>
      <c r="H1322" s="233"/>
      <c r="I1322" s="233"/>
      <c r="J1322" s="761"/>
      <c r="K1322" s="233"/>
      <c r="L1322" s="233"/>
      <c r="M1322" s="233"/>
      <c r="N1322" s="2403"/>
      <c r="O1322" s="2403"/>
    </row>
    <row r="1323" spans="3:15">
      <c r="C1323" s="233"/>
      <c r="D1323" s="233"/>
      <c r="E1323" s="761"/>
      <c r="F1323" s="234"/>
      <c r="G1323" s="234"/>
      <c r="H1323" s="233"/>
      <c r="I1323" s="233"/>
      <c r="J1323" s="761"/>
      <c r="K1323" s="233"/>
      <c r="L1323" s="233"/>
      <c r="M1323" s="233"/>
      <c r="N1323" s="2403"/>
      <c r="O1323" s="2403"/>
    </row>
    <row r="1324" spans="3:15">
      <c r="C1324" s="233"/>
      <c r="D1324" s="233"/>
      <c r="E1324" s="761"/>
      <c r="F1324" s="234"/>
      <c r="G1324" s="234"/>
      <c r="H1324" s="233"/>
      <c r="I1324" s="233"/>
      <c r="J1324" s="761"/>
      <c r="K1324" s="233"/>
      <c r="L1324" s="233"/>
      <c r="M1324" s="233"/>
      <c r="N1324" s="2403"/>
      <c r="O1324" s="2403"/>
    </row>
    <row r="1325" spans="3:15">
      <c r="C1325" s="233"/>
      <c r="D1325" s="233"/>
      <c r="E1325" s="761"/>
      <c r="F1325" s="234"/>
      <c r="G1325" s="234"/>
      <c r="H1325" s="233"/>
      <c r="I1325" s="233"/>
      <c r="J1325" s="761"/>
      <c r="K1325" s="233"/>
      <c r="L1325" s="233"/>
      <c r="M1325" s="233"/>
      <c r="N1325" s="2403"/>
      <c r="O1325" s="2403"/>
    </row>
    <row r="1326" spans="3:15">
      <c r="C1326" s="233"/>
      <c r="D1326" s="233"/>
      <c r="E1326" s="761"/>
      <c r="F1326" s="234"/>
      <c r="G1326" s="234"/>
      <c r="H1326" s="233"/>
      <c r="I1326" s="233"/>
      <c r="J1326" s="761"/>
      <c r="K1326" s="233"/>
      <c r="L1326" s="233"/>
      <c r="M1326" s="233"/>
      <c r="N1326" s="2403"/>
      <c r="O1326" s="2403"/>
    </row>
    <row r="1327" spans="3:15">
      <c r="C1327" s="233"/>
      <c r="D1327" s="233"/>
      <c r="E1327" s="761"/>
      <c r="F1327" s="234"/>
      <c r="G1327" s="234"/>
      <c r="H1327" s="233"/>
      <c r="I1327" s="233"/>
      <c r="J1327" s="761"/>
      <c r="K1327" s="233"/>
      <c r="L1327" s="233"/>
      <c r="M1327" s="233"/>
      <c r="N1327" s="2403"/>
      <c r="O1327" s="2403"/>
    </row>
    <row r="1328" spans="3:15">
      <c r="C1328" s="233"/>
      <c r="D1328" s="233"/>
      <c r="E1328" s="761"/>
      <c r="F1328" s="234"/>
      <c r="G1328" s="234"/>
      <c r="H1328" s="233"/>
      <c r="I1328" s="233"/>
      <c r="J1328" s="761"/>
      <c r="K1328" s="233"/>
      <c r="L1328" s="233"/>
      <c r="M1328" s="233"/>
      <c r="N1328" s="2403"/>
      <c r="O1328" s="2403"/>
    </row>
    <row r="1329" spans="3:15">
      <c r="C1329" s="233"/>
      <c r="D1329" s="233"/>
      <c r="E1329" s="761"/>
      <c r="F1329" s="234"/>
      <c r="G1329" s="234"/>
      <c r="H1329" s="233"/>
      <c r="I1329" s="233"/>
      <c r="J1329" s="761"/>
      <c r="K1329" s="233"/>
      <c r="L1329" s="233"/>
      <c r="M1329" s="233"/>
      <c r="N1329" s="2403"/>
      <c r="O1329" s="2403"/>
    </row>
    <row r="1330" spans="3:15">
      <c r="C1330" s="233"/>
      <c r="D1330" s="233"/>
      <c r="E1330" s="761"/>
      <c r="F1330" s="234"/>
      <c r="G1330" s="234"/>
      <c r="H1330" s="233"/>
      <c r="I1330" s="233"/>
      <c r="J1330" s="761"/>
      <c r="K1330" s="233"/>
      <c r="L1330" s="233"/>
      <c r="M1330" s="233"/>
      <c r="N1330" s="2403"/>
      <c r="O1330" s="2403"/>
    </row>
    <row r="1331" spans="3:15">
      <c r="C1331" s="233"/>
      <c r="D1331" s="233"/>
      <c r="E1331" s="761"/>
      <c r="F1331" s="234"/>
      <c r="G1331" s="234"/>
      <c r="H1331" s="233"/>
      <c r="I1331" s="233"/>
      <c r="J1331" s="761"/>
      <c r="K1331" s="233"/>
      <c r="L1331" s="233"/>
      <c r="M1331" s="233"/>
      <c r="N1331" s="2403"/>
      <c r="O1331" s="2403"/>
    </row>
    <row r="1332" spans="3:15">
      <c r="C1332" s="233"/>
      <c r="D1332" s="233"/>
      <c r="E1332" s="761"/>
      <c r="F1332" s="234"/>
      <c r="G1332" s="234"/>
      <c r="H1332" s="233"/>
      <c r="I1332" s="233"/>
      <c r="J1332" s="761"/>
      <c r="K1332" s="233"/>
      <c r="L1332" s="233"/>
      <c r="M1332" s="233"/>
      <c r="N1332" s="2403"/>
      <c r="O1332" s="2403"/>
    </row>
    <row r="1333" spans="3:15">
      <c r="C1333" s="233"/>
      <c r="D1333" s="233"/>
      <c r="E1333" s="761"/>
      <c r="F1333" s="234"/>
      <c r="G1333" s="234"/>
      <c r="H1333" s="233"/>
      <c r="I1333" s="233"/>
      <c r="J1333" s="761"/>
      <c r="K1333" s="233"/>
      <c r="L1333" s="233"/>
      <c r="M1333" s="233"/>
      <c r="N1333" s="2403"/>
      <c r="O1333" s="2403"/>
    </row>
    <row r="1334" spans="3:15">
      <c r="C1334" s="233"/>
      <c r="D1334" s="233"/>
      <c r="E1334" s="761"/>
      <c r="F1334" s="234"/>
      <c r="G1334" s="234"/>
      <c r="H1334" s="233"/>
      <c r="I1334" s="233"/>
      <c r="J1334" s="761"/>
      <c r="K1334" s="233"/>
      <c r="L1334" s="233"/>
      <c r="M1334" s="233"/>
      <c r="N1334" s="2403"/>
      <c r="O1334" s="2403"/>
    </row>
    <row r="1335" spans="3:15">
      <c r="C1335" s="233"/>
      <c r="D1335" s="233"/>
      <c r="E1335" s="761"/>
      <c r="F1335" s="234"/>
      <c r="G1335" s="234"/>
      <c r="H1335" s="233"/>
      <c r="I1335" s="233"/>
      <c r="J1335" s="761"/>
      <c r="K1335" s="233"/>
      <c r="L1335" s="233"/>
      <c r="M1335" s="233"/>
      <c r="N1335" s="2403"/>
      <c r="O1335" s="2403"/>
    </row>
    <row r="1336" spans="3:15">
      <c r="C1336" s="233"/>
      <c r="D1336" s="233"/>
      <c r="E1336" s="761"/>
      <c r="F1336" s="234"/>
      <c r="G1336" s="234"/>
      <c r="H1336" s="233"/>
      <c r="I1336" s="233"/>
      <c r="J1336" s="761"/>
      <c r="K1336" s="233"/>
      <c r="L1336" s="233"/>
      <c r="M1336" s="233"/>
      <c r="N1336" s="2403"/>
      <c r="O1336" s="2403"/>
    </row>
    <row r="1337" spans="3:15">
      <c r="C1337" s="233"/>
      <c r="D1337" s="233"/>
      <c r="E1337" s="761"/>
      <c r="F1337" s="234"/>
      <c r="G1337" s="234"/>
      <c r="H1337" s="233"/>
      <c r="I1337" s="233"/>
      <c r="J1337" s="761"/>
      <c r="K1337" s="233"/>
      <c r="L1337" s="233"/>
      <c r="M1337" s="233"/>
      <c r="N1337" s="2403"/>
      <c r="O1337" s="2403"/>
    </row>
    <row r="1338" spans="3:15">
      <c r="C1338" s="233"/>
      <c r="D1338" s="233"/>
      <c r="E1338" s="761"/>
      <c r="F1338" s="234"/>
      <c r="G1338" s="234"/>
      <c r="H1338" s="233"/>
      <c r="I1338" s="233"/>
      <c r="J1338" s="761"/>
      <c r="K1338" s="233"/>
      <c r="L1338" s="233"/>
      <c r="M1338" s="233"/>
      <c r="N1338" s="2403"/>
      <c r="O1338" s="2403"/>
    </row>
    <row r="1339" spans="3:15">
      <c r="C1339" s="233"/>
      <c r="D1339" s="233"/>
      <c r="E1339" s="761"/>
      <c r="F1339" s="234"/>
      <c r="G1339" s="234"/>
      <c r="H1339" s="233"/>
      <c r="I1339" s="233"/>
      <c r="J1339" s="761"/>
      <c r="K1339" s="233"/>
      <c r="L1339" s="233"/>
      <c r="M1339" s="233"/>
      <c r="N1339" s="2403"/>
      <c r="O1339" s="2403"/>
    </row>
    <row r="1340" spans="3:15">
      <c r="C1340" s="233"/>
      <c r="D1340" s="233"/>
      <c r="E1340" s="761"/>
      <c r="F1340" s="234"/>
      <c r="G1340" s="234"/>
      <c r="H1340" s="233"/>
      <c r="I1340" s="233"/>
      <c r="J1340" s="761"/>
      <c r="K1340" s="233"/>
      <c r="L1340" s="233"/>
      <c r="M1340" s="233"/>
      <c r="N1340" s="2403"/>
      <c r="O1340" s="2403"/>
    </row>
    <row r="1341" spans="3:15">
      <c r="C1341" s="233"/>
      <c r="D1341" s="233"/>
      <c r="E1341" s="761"/>
      <c r="F1341" s="234"/>
      <c r="G1341" s="234"/>
      <c r="H1341" s="233"/>
      <c r="I1341" s="233"/>
      <c r="J1341" s="761"/>
      <c r="K1341" s="233"/>
      <c r="L1341" s="233"/>
      <c r="M1341" s="233"/>
      <c r="N1341" s="2403"/>
      <c r="O1341" s="2403"/>
    </row>
    <row r="1342" spans="3:15">
      <c r="C1342" s="233"/>
      <c r="D1342" s="233"/>
      <c r="E1342" s="761"/>
      <c r="F1342" s="234"/>
      <c r="G1342" s="234"/>
      <c r="H1342" s="233"/>
      <c r="I1342" s="233"/>
      <c r="J1342" s="761"/>
      <c r="K1342" s="233"/>
      <c r="L1342" s="233"/>
      <c r="M1342" s="233"/>
      <c r="N1342" s="2403"/>
      <c r="O1342" s="2403"/>
    </row>
    <row r="1343" spans="3:15">
      <c r="C1343" s="233"/>
      <c r="D1343" s="233"/>
      <c r="E1343" s="761"/>
      <c r="F1343" s="234"/>
      <c r="G1343" s="234"/>
      <c r="H1343" s="233"/>
      <c r="I1343" s="233"/>
      <c r="J1343" s="761"/>
      <c r="K1343" s="233"/>
      <c r="L1343" s="233"/>
      <c r="M1343" s="233"/>
      <c r="N1343" s="2403"/>
      <c r="O1343" s="2403"/>
    </row>
    <row r="1344" spans="3:15">
      <c r="C1344" s="233"/>
      <c r="D1344" s="233"/>
      <c r="E1344" s="761"/>
      <c r="F1344" s="234"/>
      <c r="G1344" s="234"/>
      <c r="H1344" s="233"/>
      <c r="I1344" s="233"/>
      <c r="J1344" s="761"/>
      <c r="K1344" s="233"/>
      <c r="L1344" s="233"/>
      <c r="M1344" s="233"/>
      <c r="N1344" s="2403"/>
      <c r="O1344" s="2403"/>
    </row>
    <row r="1345" spans="3:15">
      <c r="C1345" s="233"/>
      <c r="D1345" s="233"/>
      <c r="E1345" s="761"/>
      <c r="F1345" s="234"/>
      <c r="G1345" s="234"/>
      <c r="H1345" s="233"/>
      <c r="I1345" s="233"/>
      <c r="J1345" s="761"/>
      <c r="K1345" s="233"/>
      <c r="L1345" s="233"/>
      <c r="M1345" s="233"/>
      <c r="N1345" s="2403"/>
      <c r="O1345" s="2403"/>
    </row>
    <row r="1346" spans="3:15">
      <c r="C1346" s="233"/>
      <c r="D1346" s="233"/>
      <c r="E1346" s="761"/>
      <c r="F1346" s="234"/>
      <c r="G1346" s="234"/>
      <c r="H1346" s="233"/>
      <c r="I1346" s="233"/>
      <c r="J1346" s="761"/>
      <c r="K1346" s="233"/>
      <c r="L1346" s="233"/>
      <c r="M1346" s="233"/>
      <c r="N1346" s="2403"/>
      <c r="O1346" s="2403"/>
    </row>
    <row r="1347" spans="3:15">
      <c r="C1347" s="233"/>
      <c r="D1347" s="233"/>
      <c r="E1347" s="761"/>
      <c r="F1347" s="234"/>
      <c r="G1347" s="234"/>
      <c r="H1347" s="233"/>
      <c r="I1347" s="233"/>
      <c r="J1347" s="761"/>
      <c r="K1347" s="233"/>
      <c r="L1347" s="233"/>
      <c r="M1347" s="233"/>
      <c r="N1347" s="2403"/>
      <c r="O1347" s="2403"/>
    </row>
    <row r="1348" spans="3:15">
      <c r="C1348" s="233"/>
      <c r="D1348" s="233"/>
      <c r="E1348" s="761"/>
      <c r="F1348" s="234"/>
      <c r="G1348" s="234"/>
      <c r="H1348" s="233"/>
      <c r="I1348" s="233"/>
      <c r="J1348" s="761"/>
      <c r="K1348" s="233"/>
      <c r="L1348" s="233"/>
      <c r="M1348" s="233"/>
      <c r="N1348" s="2403"/>
      <c r="O1348" s="2403"/>
    </row>
    <row r="1349" spans="3:15">
      <c r="C1349" s="233"/>
      <c r="D1349" s="233"/>
      <c r="E1349" s="761"/>
      <c r="F1349" s="234"/>
      <c r="G1349" s="234"/>
      <c r="H1349" s="233"/>
      <c r="I1349" s="233"/>
      <c r="J1349" s="761"/>
      <c r="K1349" s="233"/>
      <c r="L1349" s="233"/>
      <c r="M1349" s="233"/>
      <c r="N1349" s="2403"/>
      <c r="O1349" s="2403"/>
    </row>
    <row r="1350" spans="3:15">
      <c r="C1350" s="233"/>
      <c r="D1350" s="233"/>
      <c r="E1350" s="761"/>
      <c r="F1350" s="234"/>
      <c r="G1350" s="234"/>
      <c r="H1350" s="233"/>
      <c r="I1350" s="233"/>
      <c r="J1350" s="761"/>
      <c r="K1350" s="233"/>
      <c r="L1350" s="233"/>
      <c r="M1350" s="233"/>
      <c r="N1350" s="2403"/>
      <c r="O1350" s="2403"/>
    </row>
    <row r="1351" spans="3:15">
      <c r="C1351" s="233"/>
      <c r="D1351" s="233"/>
      <c r="E1351" s="761"/>
      <c r="F1351" s="234"/>
      <c r="G1351" s="234"/>
      <c r="H1351" s="233"/>
      <c r="I1351" s="233"/>
      <c r="J1351" s="761"/>
      <c r="K1351" s="233"/>
      <c r="L1351" s="233"/>
      <c r="M1351" s="233"/>
      <c r="N1351" s="2403"/>
      <c r="O1351" s="2403"/>
    </row>
    <row r="1352" spans="3:15">
      <c r="C1352" s="233"/>
      <c r="D1352" s="233"/>
      <c r="E1352" s="761"/>
      <c r="F1352" s="234"/>
      <c r="G1352" s="234"/>
      <c r="H1352" s="233"/>
      <c r="I1352" s="233"/>
      <c r="J1352" s="761"/>
      <c r="K1352" s="233"/>
      <c r="L1352" s="233"/>
      <c r="M1352" s="233"/>
      <c r="N1352" s="2403"/>
      <c r="O1352" s="2403"/>
    </row>
    <row r="1353" spans="3:15">
      <c r="C1353" s="233"/>
      <c r="D1353" s="233"/>
      <c r="E1353" s="761"/>
      <c r="F1353" s="234"/>
      <c r="G1353" s="234"/>
      <c r="H1353" s="233"/>
      <c r="I1353" s="233"/>
      <c r="J1353" s="761"/>
      <c r="K1353" s="233"/>
      <c r="L1353" s="233"/>
      <c r="M1353" s="233"/>
      <c r="N1353" s="2403"/>
      <c r="O1353" s="2403"/>
    </row>
    <row r="1354" spans="3:15">
      <c r="C1354" s="233"/>
      <c r="D1354" s="233"/>
      <c r="E1354" s="761"/>
      <c r="F1354" s="234"/>
      <c r="G1354" s="234"/>
      <c r="H1354" s="233"/>
      <c r="I1354" s="233"/>
      <c r="J1354" s="761"/>
      <c r="K1354" s="233"/>
      <c r="L1354" s="233"/>
      <c r="M1354" s="233"/>
      <c r="N1354" s="2403"/>
      <c r="O1354" s="2403"/>
    </row>
    <row r="1355" spans="3:15">
      <c r="C1355" s="233"/>
      <c r="D1355" s="233"/>
      <c r="E1355" s="761"/>
      <c r="F1355" s="234"/>
      <c r="G1355" s="234"/>
      <c r="H1355" s="233"/>
      <c r="I1355" s="233"/>
      <c r="J1355" s="761"/>
      <c r="K1355" s="233"/>
      <c r="L1355" s="233"/>
      <c r="M1355" s="233"/>
      <c r="N1355" s="2403"/>
      <c r="O1355" s="2403"/>
    </row>
    <row r="1356" spans="3:15">
      <c r="C1356" s="233"/>
      <c r="D1356" s="233"/>
      <c r="E1356" s="761"/>
      <c r="F1356" s="234"/>
      <c r="G1356" s="234"/>
      <c r="H1356" s="233"/>
      <c r="I1356" s="233"/>
      <c r="J1356" s="761"/>
      <c r="K1356" s="233"/>
      <c r="L1356" s="233"/>
      <c r="M1356" s="233"/>
      <c r="N1356" s="2403"/>
      <c r="O1356" s="2403"/>
    </row>
    <row r="1357" spans="3:15">
      <c r="C1357" s="233"/>
      <c r="D1357" s="233"/>
      <c r="E1357" s="761"/>
      <c r="F1357" s="234"/>
      <c r="G1357" s="234"/>
      <c r="H1357" s="233"/>
      <c r="I1357" s="233"/>
      <c r="J1357" s="761"/>
      <c r="K1357" s="233"/>
      <c r="L1357" s="233"/>
      <c r="M1357" s="233"/>
      <c r="N1357" s="2403"/>
      <c r="O1357" s="2403"/>
    </row>
    <row r="1358" spans="3:15">
      <c r="C1358" s="233"/>
      <c r="D1358" s="233"/>
      <c r="E1358" s="761"/>
      <c r="F1358" s="234"/>
      <c r="G1358" s="234"/>
      <c r="H1358" s="233"/>
      <c r="I1358" s="233"/>
      <c r="J1358" s="761"/>
      <c r="K1358" s="233"/>
      <c r="L1358" s="233"/>
      <c r="M1358" s="233"/>
      <c r="N1358" s="2403"/>
      <c r="O1358" s="2403"/>
    </row>
    <row r="1359" spans="3:15">
      <c r="C1359" s="233"/>
      <c r="D1359" s="233"/>
      <c r="E1359" s="761"/>
      <c r="F1359" s="234"/>
      <c r="G1359" s="234"/>
      <c r="H1359" s="233"/>
      <c r="I1359" s="233"/>
      <c r="J1359" s="761"/>
      <c r="K1359" s="233"/>
      <c r="L1359" s="233"/>
      <c r="M1359" s="233"/>
      <c r="N1359" s="2403"/>
      <c r="O1359" s="2403"/>
    </row>
    <row r="1360" spans="3:15">
      <c r="C1360" s="233"/>
      <c r="D1360" s="233"/>
      <c r="E1360" s="761"/>
      <c r="F1360" s="234"/>
      <c r="G1360" s="234"/>
      <c r="H1360" s="233"/>
      <c r="I1360" s="233"/>
      <c r="J1360" s="761"/>
      <c r="K1360" s="233"/>
      <c r="L1360" s="233"/>
      <c r="M1360" s="233"/>
      <c r="N1360" s="2403"/>
      <c r="O1360" s="2403"/>
    </row>
    <row r="1361" spans="3:15">
      <c r="C1361" s="233"/>
      <c r="D1361" s="233"/>
      <c r="E1361" s="761"/>
      <c r="F1361" s="234"/>
      <c r="G1361" s="234"/>
      <c r="H1361" s="233"/>
      <c r="I1361" s="233"/>
      <c r="J1361" s="761"/>
      <c r="K1361" s="233"/>
      <c r="L1361" s="233"/>
      <c r="M1361" s="233"/>
      <c r="N1361" s="2403"/>
      <c r="O1361" s="2403"/>
    </row>
    <row r="1362" spans="3:15">
      <c r="C1362" s="233"/>
      <c r="D1362" s="233"/>
      <c r="E1362" s="761"/>
      <c r="F1362" s="234"/>
      <c r="G1362" s="234"/>
      <c r="H1362" s="233"/>
      <c r="I1362" s="233"/>
      <c r="J1362" s="761"/>
      <c r="K1362" s="233"/>
      <c r="L1362" s="233"/>
      <c r="M1362" s="233"/>
      <c r="N1362" s="2403"/>
      <c r="O1362" s="2403"/>
    </row>
    <row r="1363" spans="3:15">
      <c r="C1363" s="233"/>
      <c r="D1363" s="233"/>
      <c r="E1363" s="761"/>
      <c r="F1363" s="234"/>
      <c r="G1363" s="234"/>
      <c r="H1363" s="233"/>
      <c r="I1363" s="233"/>
      <c r="J1363" s="761"/>
      <c r="K1363" s="233"/>
      <c r="L1363" s="233"/>
      <c r="M1363" s="233"/>
      <c r="N1363" s="2403"/>
      <c r="O1363" s="2403"/>
    </row>
    <row r="1364" spans="3:15">
      <c r="C1364" s="233"/>
      <c r="D1364" s="233"/>
      <c r="E1364" s="761"/>
      <c r="F1364" s="234"/>
      <c r="G1364" s="234"/>
      <c r="H1364" s="233"/>
      <c r="I1364" s="233"/>
      <c r="J1364" s="761"/>
      <c r="K1364" s="233"/>
      <c r="L1364" s="233"/>
      <c r="M1364" s="233"/>
      <c r="N1364" s="2403"/>
      <c r="O1364" s="2403"/>
    </row>
    <row r="1365" spans="3:15">
      <c r="C1365" s="233"/>
      <c r="D1365" s="233"/>
      <c r="E1365" s="761"/>
      <c r="F1365" s="234"/>
      <c r="G1365" s="234"/>
      <c r="H1365" s="233"/>
      <c r="I1365" s="233"/>
      <c r="J1365" s="761"/>
      <c r="K1365" s="233"/>
      <c r="L1365" s="233"/>
      <c r="M1365" s="233"/>
      <c r="N1365" s="2403"/>
      <c r="O1365" s="2403"/>
    </row>
    <row r="1366" spans="3:15">
      <c r="C1366" s="233"/>
      <c r="D1366" s="233"/>
      <c r="E1366" s="761"/>
      <c r="F1366" s="234"/>
      <c r="G1366" s="234"/>
      <c r="H1366" s="233"/>
      <c r="I1366" s="233"/>
      <c r="J1366" s="761"/>
      <c r="K1366" s="233"/>
      <c r="L1366" s="233"/>
      <c r="M1366" s="233"/>
      <c r="N1366" s="2403"/>
      <c r="O1366" s="2403"/>
    </row>
    <row r="1367" spans="3:15">
      <c r="C1367" s="233"/>
      <c r="D1367" s="233"/>
      <c r="E1367" s="761"/>
      <c r="F1367" s="234"/>
      <c r="G1367" s="234"/>
      <c r="H1367" s="233"/>
      <c r="I1367" s="233"/>
      <c r="J1367" s="761"/>
      <c r="K1367" s="233"/>
      <c r="L1367" s="233"/>
      <c r="M1367" s="233"/>
      <c r="N1367" s="2403"/>
      <c r="O1367" s="2403"/>
    </row>
    <row r="1368" spans="3:15">
      <c r="C1368" s="233"/>
      <c r="D1368" s="233"/>
      <c r="E1368" s="761"/>
      <c r="F1368" s="234"/>
      <c r="G1368" s="234"/>
      <c r="H1368" s="233"/>
      <c r="I1368" s="233"/>
      <c r="J1368" s="761"/>
      <c r="K1368" s="233"/>
      <c r="L1368" s="233"/>
      <c r="M1368" s="233"/>
      <c r="N1368" s="2403"/>
      <c r="O1368" s="2403"/>
    </row>
    <row r="1369" spans="3:15">
      <c r="C1369" s="233"/>
      <c r="D1369" s="233"/>
      <c r="E1369" s="761"/>
      <c r="F1369" s="234"/>
      <c r="G1369" s="234"/>
      <c r="H1369" s="233"/>
      <c r="I1369" s="233"/>
      <c r="J1369" s="761"/>
      <c r="K1369" s="233"/>
      <c r="L1369" s="233"/>
      <c r="M1369" s="233"/>
      <c r="N1369" s="2403"/>
      <c r="O1369" s="2403"/>
    </row>
    <row r="1370" spans="3:15">
      <c r="C1370" s="233"/>
      <c r="D1370" s="233"/>
      <c r="E1370" s="761"/>
      <c r="F1370" s="234"/>
      <c r="G1370" s="234"/>
      <c r="H1370" s="233"/>
      <c r="I1370" s="233"/>
      <c r="J1370" s="761"/>
      <c r="K1370" s="233"/>
      <c r="L1370" s="233"/>
      <c r="M1370" s="233"/>
      <c r="N1370" s="2403"/>
      <c r="O1370" s="2403"/>
    </row>
    <row r="1371" spans="3:15">
      <c r="C1371" s="233"/>
      <c r="D1371" s="233"/>
      <c r="E1371" s="761"/>
      <c r="F1371" s="234"/>
      <c r="G1371" s="234"/>
      <c r="H1371" s="233"/>
      <c r="I1371" s="233"/>
      <c r="J1371" s="761"/>
      <c r="K1371" s="233"/>
      <c r="L1371" s="233"/>
      <c r="M1371" s="233"/>
      <c r="N1371" s="2403"/>
      <c r="O1371" s="2403"/>
    </row>
    <row r="1372" spans="3:15">
      <c r="C1372" s="233"/>
      <c r="D1372" s="233"/>
      <c r="E1372" s="761"/>
      <c r="F1372" s="234"/>
      <c r="G1372" s="234"/>
      <c r="H1372" s="233"/>
      <c r="I1372" s="233"/>
      <c r="J1372" s="761"/>
      <c r="K1372" s="233"/>
      <c r="L1372" s="233"/>
      <c r="M1372" s="233"/>
      <c r="N1372" s="2403"/>
      <c r="O1372" s="2403"/>
    </row>
    <row r="1373" spans="3:15">
      <c r="C1373" s="233"/>
      <c r="D1373" s="233"/>
      <c r="E1373" s="761"/>
      <c r="F1373" s="234"/>
      <c r="G1373" s="234"/>
      <c r="H1373" s="233"/>
      <c r="I1373" s="233"/>
      <c r="J1373" s="761"/>
      <c r="K1373" s="233"/>
      <c r="L1373" s="233"/>
      <c r="M1373" s="233"/>
      <c r="N1373" s="2403"/>
      <c r="O1373" s="2403"/>
    </row>
    <row r="1374" spans="3:15">
      <c r="C1374" s="233"/>
      <c r="D1374" s="233"/>
      <c r="E1374" s="761"/>
      <c r="F1374" s="234"/>
      <c r="G1374" s="234"/>
      <c r="H1374" s="233"/>
      <c r="I1374" s="233"/>
      <c r="J1374" s="761"/>
      <c r="K1374" s="233"/>
      <c r="L1374" s="233"/>
      <c r="M1374" s="233"/>
      <c r="N1374" s="2403"/>
      <c r="O1374" s="2403"/>
    </row>
    <row r="1375" spans="3:15">
      <c r="C1375" s="233"/>
      <c r="D1375" s="233"/>
      <c r="E1375" s="761"/>
      <c r="F1375" s="234"/>
      <c r="G1375" s="234"/>
      <c r="H1375" s="233"/>
      <c r="I1375" s="233"/>
      <c r="J1375" s="761"/>
      <c r="K1375" s="233"/>
      <c r="L1375" s="233"/>
      <c r="M1375" s="233"/>
      <c r="N1375" s="2403"/>
      <c r="O1375" s="2403"/>
    </row>
    <row r="1376" spans="3:15">
      <c r="C1376" s="233"/>
      <c r="D1376" s="233"/>
      <c r="E1376" s="761"/>
      <c r="F1376" s="234"/>
      <c r="G1376" s="234"/>
      <c r="H1376" s="233"/>
      <c r="I1376" s="233"/>
      <c r="J1376" s="761"/>
      <c r="K1376" s="233"/>
      <c r="L1376" s="233"/>
      <c r="M1376" s="233"/>
      <c r="N1376" s="2403"/>
      <c r="O1376" s="2403"/>
    </row>
    <row r="1377" spans="3:15">
      <c r="C1377" s="233"/>
      <c r="D1377" s="233"/>
      <c r="E1377" s="761"/>
      <c r="F1377" s="234"/>
      <c r="G1377" s="234"/>
      <c r="H1377" s="233"/>
      <c r="I1377" s="233"/>
      <c r="J1377" s="761"/>
      <c r="K1377" s="233"/>
      <c r="L1377" s="233"/>
      <c r="M1377" s="233"/>
      <c r="N1377" s="2403"/>
      <c r="O1377" s="2403"/>
    </row>
    <row r="1378" spans="3:15">
      <c r="C1378" s="233"/>
      <c r="D1378" s="233"/>
      <c r="E1378" s="761"/>
      <c r="F1378" s="234"/>
      <c r="G1378" s="234"/>
      <c r="H1378" s="233"/>
      <c r="I1378" s="233"/>
      <c r="J1378" s="761"/>
      <c r="K1378" s="233"/>
      <c r="L1378" s="233"/>
      <c r="M1378" s="233"/>
      <c r="N1378" s="2403"/>
      <c r="O1378" s="2403"/>
    </row>
    <row r="1379" spans="3:15">
      <c r="C1379" s="233"/>
      <c r="D1379" s="233"/>
      <c r="E1379" s="761"/>
      <c r="F1379" s="234"/>
      <c r="G1379" s="234"/>
      <c r="H1379" s="233"/>
      <c r="I1379" s="233"/>
      <c r="J1379" s="761"/>
      <c r="K1379" s="233"/>
      <c r="L1379" s="233"/>
      <c r="M1379" s="233"/>
      <c r="N1379" s="2403"/>
      <c r="O1379" s="2403"/>
    </row>
    <row r="1380" spans="3:15">
      <c r="C1380" s="233"/>
      <c r="D1380" s="233"/>
      <c r="E1380" s="761"/>
      <c r="F1380" s="234"/>
      <c r="G1380" s="234"/>
      <c r="H1380" s="233"/>
      <c r="I1380" s="233"/>
      <c r="J1380" s="761"/>
      <c r="K1380" s="233"/>
      <c r="L1380" s="233"/>
      <c r="M1380" s="233"/>
      <c r="N1380" s="2403"/>
      <c r="O1380" s="2403"/>
    </row>
    <row r="1381" spans="3:15">
      <c r="C1381" s="233"/>
      <c r="D1381" s="233"/>
      <c r="E1381" s="761"/>
      <c r="F1381" s="234"/>
      <c r="G1381" s="234"/>
      <c r="H1381" s="233"/>
      <c r="I1381" s="233"/>
      <c r="J1381" s="761"/>
      <c r="K1381" s="233"/>
      <c r="L1381" s="233"/>
      <c r="M1381" s="233"/>
      <c r="N1381" s="2403"/>
      <c r="O1381" s="2403"/>
    </row>
    <row r="1382" spans="3:15">
      <c r="C1382" s="233"/>
      <c r="D1382" s="233"/>
      <c r="E1382" s="761"/>
      <c r="F1382" s="234"/>
      <c r="G1382" s="234"/>
      <c r="H1382" s="233"/>
      <c r="I1382" s="233"/>
      <c r="J1382" s="761"/>
      <c r="K1382" s="233"/>
      <c r="L1382" s="233"/>
      <c r="M1382" s="233"/>
      <c r="N1382" s="2403"/>
      <c r="O1382" s="2403"/>
    </row>
    <row r="1383" spans="3:15">
      <c r="C1383" s="233"/>
      <c r="D1383" s="233"/>
      <c r="E1383" s="761"/>
      <c r="F1383" s="234"/>
      <c r="G1383" s="234"/>
      <c r="H1383" s="233"/>
      <c r="I1383" s="233"/>
      <c r="J1383" s="761"/>
      <c r="K1383" s="233"/>
      <c r="L1383" s="233"/>
      <c r="M1383" s="233"/>
      <c r="N1383" s="2403"/>
      <c r="O1383" s="2403"/>
    </row>
    <row r="1384" spans="3:15">
      <c r="C1384" s="233"/>
      <c r="D1384" s="233"/>
      <c r="E1384" s="761"/>
      <c r="F1384" s="234"/>
      <c r="G1384" s="234"/>
      <c r="H1384" s="233"/>
      <c r="I1384" s="233"/>
      <c r="J1384" s="761"/>
      <c r="K1384" s="233"/>
      <c r="L1384" s="233"/>
      <c r="M1384" s="233"/>
      <c r="N1384" s="2403"/>
      <c r="O1384" s="2403"/>
    </row>
    <row r="1385" spans="3:15">
      <c r="C1385" s="233"/>
      <c r="D1385" s="233"/>
      <c r="E1385" s="761"/>
      <c r="F1385" s="234"/>
      <c r="G1385" s="234"/>
      <c r="H1385" s="233"/>
      <c r="I1385" s="233"/>
      <c r="J1385" s="761"/>
      <c r="K1385" s="233"/>
      <c r="L1385" s="233"/>
      <c r="M1385" s="233"/>
      <c r="N1385" s="2403"/>
      <c r="O1385" s="2403"/>
    </row>
    <row r="1386" spans="3:15">
      <c r="C1386" s="233"/>
      <c r="D1386" s="233"/>
      <c r="E1386" s="761"/>
      <c r="F1386" s="234"/>
      <c r="G1386" s="234"/>
      <c r="H1386" s="233"/>
      <c r="I1386" s="233"/>
      <c r="J1386" s="761"/>
      <c r="K1386" s="233"/>
      <c r="L1386" s="233"/>
      <c r="M1386" s="233"/>
      <c r="N1386" s="2403"/>
      <c r="O1386" s="2403"/>
    </row>
    <row r="1387" spans="3:15">
      <c r="C1387" s="233"/>
      <c r="D1387" s="233"/>
      <c r="E1387" s="761"/>
      <c r="F1387" s="234"/>
      <c r="G1387" s="234"/>
      <c r="H1387" s="233"/>
      <c r="I1387" s="233"/>
      <c r="J1387" s="761"/>
      <c r="K1387" s="233"/>
      <c r="L1387" s="233"/>
      <c r="M1387" s="233"/>
      <c r="N1387" s="2403"/>
      <c r="O1387" s="2403"/>
    </row>
    <row r="1388" spans="3:15">
      <c r="C1388" s="233"/>
      <c r="D1388" s="233"/>
      <c r="E1388" s="761"/>
      <c r="F1388" s="234"/>
      <c r="G1388" s="234"/>
      <c r="H1388" s="233"/>
      <c r="I1388" s="233"/>
      <c r="J1388" s="761"/>
      <c r="K1388" s="233"/>
      <c r="L1388" s="233"/>
      <c r="M1388" s="233"/>
      <c r="N1388" s="2403"/>
      <c r="O1388" s="2403"/>
    </row>
    <row r="1389" spans="3:15">
      <c r="C1389" s="233"/>
      <c r="D1389" s="233"/>
      <c r="E1389" s="761"/>
      <c r="F1389" s="234"/>
      <c r="G1389" s="234"/>
      <c r="H1389" s="233"/>
      <c r="I1389" s="233"/>
      <c r="J1389" s="761"/>
      <c r="K1389" s="233"/>
      <c r="L1389" s="233"/>
      <c r="M1389" s="233"/>
      <c r="N1389" s="2403"/>
      <c r="O1389" s="2403"/>
    </row>
    <row r="1390" spans="3:15">
      <c r="C1390" s="233"/>
      <c r="D1390" s="233"/>
      <c r="E1390" s="761"/>
      <c r="F1390" s="234"/>
      <c r="G1390" s="234"/>
      <c r="H1390" s="233"/>
      <c r="I1390" s="233"/>
      <c r="J1390" s="761"/>
      <c r="K1390" s="233"/>
      <c r="L1390" s="233"/>
      <c r="M1390" s="233"/>
      <c r="N1390" s="2403"/>
      <c r="O1390" s="2403"/>
    </row>
    <row r="1391" spans="3:15">
      <c r="C1391" s="233"/>
      <c r="D1391" s="233"/>
      <c r="E1391" s="761"/>
      <c r="F1391" s="234"/>
      <c r="G1391" s="234"/>
      <c r="H1391" s="233"/>
      <c r="I1391" s="233"/>
      <c r="J1391" s="761"/>
      <c r="K1391" s="233"/>
      <c r="L1391" s="233"/>
      <c r="M1391" s="233"/>
      <c r="N1391" s="2403"/>
      <c r="O1391" s="2403"/>
    </row>
    <row r="1392" spans="3:15">
      <c r="C1392" s="233"/>
      <c r="D1392" s="233"/>
      <c r="E1392" s="761"/>
      <c r="F1392" s="234"/>
      <c r="G1392" s="234"/>
      <c r="H1392" s="233"/>
      <c r="I1392" s="233"/>
      <c r="J1392" s="761"/>
      <c r="K1392" s="233"/>
      <c r="L1392" s="233"/>
      <c r="M1392" s="233"/>
      <c r="N1392" s="2403"/>
      <c r="O1392" s="2403"/>
    </row>
    <row r="1393" spans="3:15">
      <c r="C1393" s="233"/>
      <c r="D1393" s="233"/>
      <c r="E1393" s="761"/>
      <c r="F1393" s="234"/>
      <c r="G1393" s="234"/>
      <c r="H1393" s="233"/>
      <c r="I1393" s="233"/>
      <c r="J1393" s="761"/>
      <c r="K1393" s="233"/>
      <c r="L1393" s="233"/>
      <c r="M1393" s="233"/>
      <c r="N1393" s="2403"/>
      <c r="O1393" s="2403"/>
    </row>
    <row r="1394" spans="3:15">
      <c r="C1394" s="233"/>
      <c r="D1394" s="233"/>
      <c r="E1394" s="761"/>
      <c r="F1394" s="234"/>
      <c r="G1394" s="234"/>
      <c r="H1394" s="233"/>
      <c r="I1394" s="233"/>
      <c r="J1394" s="761"/>
      <c r="K1394" s="233"/>
      <c r="L1394" s="233"/>
      <c r="M1394" s="233"/>
      <c r="N1394" s="2403"/>
      <c r="O1394" s="2403"/>
    </row>
    <row r="1395" spans="3:15">
      <c r="C1395" s="233"/>
      <c r="D1395" s="233"/>
      <c r="E1395" s="761"/>
      <c r="F1395" s="234"/>
      <c r="G1395" s="234"/>
      <c r="H1395" s="233"/>
      <c r="I1395" s="233"/>
      <c r="J1395" s="761"/>
      <c r="K1395" s="233"/>
      <c r="L1395" s="233"/>
      <c r="M1395" s="233"/>
      <c r="N1395" s="2403"/>
      <c r="O1395" s="2403"/>
    </row>
    <row r="1396" spans="3:15">
      <c r="C1396" s="233"/>
      <c r="D1396" s="233"/>
      <c r="E1396" s="761"/>
      <c r="F1396" s="234"/>
      <c r="G1396" s="234"/>
      <c r="H1396" s="233"/>
      <c r="I1396" s="233"/>
      <c r="J1396" s="761"/>
      <c r="K1396" s="233"/>
      <c r="L1396" s="233"/>
      <c r="M1396" s="233"/>
      <c r="N1396" s="2403"/>
      <c r="O1396" s="2403"/>
    </row>
    <row r="1397" spans="3:15">
      <c r="C1397" s="233"/>
      <c r="D1397" s="233"/>
      <c r="E1397" s="761"/>
      <c r="F1397" s="234"/>
      <c r="G1397" s="234"/>
      <c r="H1397" s="233"/>
      <c r="I1397" s="233"/>
      <c r="J1397" s="761"/>
      <c r="K1397" s="233"/>
      <c r="L1397" s="233"/>
      <c r="M1397" s="233"/>
      <c r="N1397" s="2403"/>
      <c r="O1397" s="2403"/>
    </row>
    <row r="1398" spans="3:15">
      <c r="C1398" s="233"/>
      <c r="D1398" s="233"/>
      <c r="E1398" s="761"/>
      <c r="F1398" s="234"/>
      <c r="G1398" s="234"/>
      <c r="H1398" s="233"/>
      <c r="I1398" s="233"/>
      <c r="J1398" s="761"/>
      <c r="K1398" s="233"/>
      <c r="L1398" s="233"/>
      <c r="M1398" s="233"/>
      <c r="N1398" s="2403"/>
      <c r="O1398" s="2403"/>
    </row>
    <row r="1399" spans="3:15">
      <c r="C1399" s="233"/>
      <c r="D1399" s="233"/>
      <c r="E1399" s="761"/>
      <c r="F1399" s="234"/>
      <c r="G1399" s="234"/>
      <c r="H1399" s="233"/>
      <c r="I1399" s="233"/>
      <c r="J1399" s="761"/>
      <c r="K1399" s="233"/>
      <c r="L1399" s="233"/>
      <c r="M1399" s="233"/>
      <c r="N1399" s="2403"/>
      <c r="O1399" s="2403"/>
    </row>
    <row r="1400" spans="3:15">
      <c r="C1400" s="233"/>
      <c r="D1400" s="233"/>
      <c r="E1400" s="761"/>
      <c r="F1400" s="234"/>
      <c r="G1400" s="234"/>
      <c r="H1400" s="233"/>
      <c r="I1400" s="233"/>
      <c r="J1400" s="761"/>
      <c r="K1400" s="233"/>
      <c r="L1400" s="233"/>
      <c r="M1400" s="233"/>
      <c r="N1400" s="2403"/>
      <c r="O1400" s="2403"/>
    </row>
    <row r="1401" spans="3:15">
      <c r="C1401" s="233"/>
      <c r="D1401" s="233"/>
      <c r="E1401" s="761"/>
      <c r="F1401" s="234"/>
      <c r="G1401" s="234"/>
      <c r="H1401" s="233"/>
      <c r="I1401" s="233"/>
      <c r="J1401" s="761"/>
      <c r="K1401" s="233"/>
      <c r="L1401" s="233"/>
      <c r="M1401" s="233"/>
      <c r="N1401" s="2403"/>
      <c r="O1401" s="2403"/>
    </row>
    <row r="1402" spans="3:15">
      <c r="C1402" s="233"/>
      <c r="D1402" s="233"/>
      <c r="E1402" s="761"/>
      <c r="F1402" s="234"/>
      <c r="G1402" s="234"/>
      <c r="H1402" s="233"/>
      <c r="I1402" s="233"/>
      <c r="J1402" s="761"/>
      <c r="K1402" s="233"/>
      <c r="L1402" s="233"/>
      <c r="M1402" s="233"/>
      <c r="N1402" s="2403"/>
      <c r="O1402" s="2403"/>
    </row>
    <row r="1403" spans="3:15">
      <c r="C1403" s="233"/>
      <c r="D1403" s="233"/>
      <c r="E1403" s="761"/>
      <c r="F1403" s="234"/>
      <c r="G1403" s="234"/>
      <c r="H1403" s="233"/>
      <c r="I1403" s="233"/>
      <c r="J1403" s="761"/>
      <c r="K1403" s="233"/>
      <c r="L1403" s="233"/>
      <c r="M1403" s="233"/>
      <c r="N1403" s="2403"/>
      <c r="O1403" s="2403"/>
    </row>
    <row r="1404" spans="3:15">
      <c r="C1404" s="233"/>
      <c r="D1404" s="233"/>
      <c r="E1404" s="761"/>
      <c r="F1404" s="234"/>
      <c r="G1404" s="234"/>
      <c r="H1404" s="233"/>
      <c r="I1404" s="233"/>
      <c r="J1404" s="761"/>
      <c r="K1404" s="233"/>
      <c r="L1404" s="233"/>
      <c r="M1404" s="233"/>
      <c r="N1404" s="2403"/>
      <c r="O1404" s="2403"/>
    </row>
    <row r="1405" spans="3:15">
      <c r="C1405" s="233"/>
      <c r="D1405" s="233"/>
      <c r="E1405" s="761"/>
      <c r="F1405" s="234"/>
      <c r="G1405" s="234"/>
      <c r="H1405" s="233"/>
      <c r="I1405" s="233"/>
      <c r="J1405" s="761"/>
      <c r="K1405" s="233"/>
      <c r="L1405" s="233"/>
      <c r="M1405" s="233"/>
      <c r="N1405" s="2403"/>
      <c r="O1405" s="2403"/>
    </row>
    <row r="1406" spans="3:15">
      <c r="C1406" s="233"/>
      <c r="D1406" s="233"/>
      <c r="E1406" s="761"/>
      <c r="F1406" s="234"/>
      <c r="G1406" s="234"/>
      <c r="H1406" s="233"/>
      <c r="I1406" s="233"/>
      <c r="J1406" s="761"/>
      <c r="K1406" s="233"/>
      <c r="L1406" s="233"/>
      <c r="M1406" s="233"/>
      <c r="N1406" s="2403"/>
      <c r="O1406" s="2403"/>
    </row>
    <row r="1407" spans="3:15">
      <c r="C1407" s="233"/>
      <c r="D1407" s="233"/>
      <c r="E1407" s="761"/>
      <c r="F1407" s="234"/>
      <c r="G1407" s="234"/>
      <c r="H1407" s="233"/>
      <c r="I1407" s="233"/>
      <c r="J1407" s="761"/>
      <c r="K1407" s="233"/>
      <c r="L1407" s="233"/>
      <c r="M1407" s="233"/>
      <c r="N1407" s="2403"/>
      <c r="O1407" s="2403"/>
    </row>
    <row r="1408" spans="3:15">
      <c r="C1408" s="233"/>
      <c r="D1408" s="233"/>
      <c r="E1408" s="761"/>
      <c r="F1408" s="234"/>
      <c r="G1408" s="234"/>
      <c r="H1408" s="233"/>
      <c r="I1408" s="233"/>
      <c r="J1408" s="761"/>
      <c r="K1408" s="233"/>
      <c r="L1408" s="233"/>
      <c r="M1408" s="233"/>
      <c r="N1408" s="2403"/>
      <c r="O1408" s="2403"/>
    </row>
    <row r="1409" spans="3:15">
      <c r="C1409" s="233"/>
      <c r="D1409" s="233"/>
      <c r="E1409" s="761"/>
      <c r="F1409" s="234"/>
      <c r="G1409" s="234"/>
      <c r="H1409" s="233"/>
      <c r="I1409" s="233"/>
      <c r="J1409" s="761"/>
      <c r="K1409" s="233"/>
      <c r="L1409" s="233"/>
      <c r="M1409" s="233"/>
      <c r="N1409" s="2403"/>
      <c r="O1409" s="2403"/>
    </row>
    <row r="1410" spans="3:15">
      <c r="C1410" s="233"/>
      <c r="D1410" s="233"/>
      <c r="E1410" s="761"/>
      <c r="F1410" s="234"/>
      <c r="G1410" s="234"/>
      <c r="H1410" s="233"/>
      <c r="I1410" s="233"/>
      <c r="J1410" s="761"/>
      <c r="K1410" s="233"/>
      <c r="L1410" s="233"/>
      <c r="M1410" s="233"/>
      <c r="N1410" s="2403"/>
      <c r="O1410" s="2403"/>
    </row>
    <row r="1411" spans="3:15">
      <c r="C1411" s="233"/>
      <c r="D1411" s="233"/>
      <c r="E1411" s="761"/>
      <c r="F1411" s="234"/>
      <c r="G1411" s="234"/>
      <c r="H1411" s="233"/>
      <c r="I1411" s="233"/>
      <c r="J1411" s="761"/>
      <c r="K1411" s="233"/>
      <c r="L1411" s="233"/>
      <c r="M1411" s="233"/>
      <c r="N1411" s="2403"/>
      <c r="O1411" s="2403"/>
    </row>
    <row r="1412" spans="3:15">
      <c r="C1412" s="233"/>
      <c r="D1412" s="233"/>
      <c r="E1412" s="761"/>
      <c r="F1412" s="234"/>
      <c r="G1412" s="234"/>
      <c r="H1412" s="233"/>
      <c r="I1412" s="233"/>
      <c r="J1412" s="761"/>
      <c r="K1412" s="233"/>
      <c r="L1412" s="233"/>
      <c r="M1412" s="233"/>
      <c r="N1412" s="2403"/>
      <c r="O1412" s="2403"/>
    </row>
    <row r="1413" spans="3:15">
      <c r="C1413" s="233"/>
      <c r="D1413" s="233"/>
      <c r="E1413" s="761"/>
      <c r="F1413" s="234"/>
      <c r="G1413" s="234"/>
      <c r="H1413" s="233"/>
      <c r="I1413" s="233"/>
      <c r="J1413" s="761"/>
      <c r="K1413" s="233"/>
      <c r="L1413" s="233"/>
      <c r="M1413" s="233"/>
      <c r="N1413" s="2403"/>
      <c r="O1413" s="2403"/>
    </row>
    <row r="1414" spans="3:15">
      <c r="C1414" s="233"/>
      <c r="D1414" s="233"/>
      <c r="E1414" s="761"/>
      <c r="F1414" s="234"/>
      <c r="G1414" s="234"/>
      <c r="H1414" s="233"/>
      <c r="I1414" s="233"/>
      <c r="J1414" s="761"/>
      <c r="K1414" s="233"/>
      <c r="L1414" s="233"/>
      <c r="M1414" s="233"/>
      <c r="N1414" s="2403"/>
      <c r="O1414" s="2403"/>
    </row>
    <row r="1415" spans="3:15">
      <c r="C1415" s="233"/>
      <c r="D1415" s="233"/>
      <c r="E1415" s="761"/>
      <c r="F1415" s="234"/>
      <c r="G1415" s="234"/>
      <c r="H1415" s="233"/>
      <c r="I1415" s="233"/>
      <c r="J1415" s="761"/>
      <c r="K1415" s="233"/>
      <c r="L1415" s="233"/>
      <c r="M1415" s="233"/>
      <c r="N1415" s="2403"/>
      <c r="O1415" s="2403"/>
    </row>
    <row r="1416" spans="3:15">
      <c r="C1416" s="233"/>
      <c r="D1416" s="233"/>
      <c r="E1416" s="761"/>
      <c r="F1416" s="234"/>
      <c r="G1416" s="234"/>
      <c r="H1416" s="233"/>
      <c r="I1416" s="233"/>
      <c r="J1416" s="761"/>
      <c r="K1416" s="233"/>
      <c r="L1416" s="233"/>
      <c r="M1416" s="233"/>
      <c r="N1416" s="2403"/>
      <c r="O1416" s="2403"/>
    </row>
    <row r="1417" spans="3:15">
      <c r="C1417" s="233"/>
      <c r="D1417" s="233"/>
      <c r="E1417" s="761"/>
      <c r="F1417" s="234"/>
      <c r="G1417" s="234"/>
      <c r="H1417" s="233"/>
      <c r="I1417" s="233"/>
      <c r="J1417" s="761"/>
      <c r="K1417" s="233"/>
      <c r="L1417" s="233"/>
      <c r="M1417" s="233"/>
      <c r="N1417" s="2403"/>
      <c r="O1417" s="2403"/>
    </row>
    <row r="1418" spans="3:15">
      <c r="C1418" s="233"/>
      <c r="D1418" s="233"/>
      <c r="E1418" s="761"/>
      <c r="F1418" s="234"/>
      <c r="G1418" s="234"/>
      <c r="H1418" s="233"/>
      <c r="I1418" s="233"/>
      <c r="J1418" s="761"/>
      <c r="K1418" s="233"/>
      <c r="L1418" s="233"/>
      <c r="M1418" s="233"/>
      <c r="N1418" s="2403"/>
      <c r="O1418" s="2403"/>
    </row>
    <row r="1419" spans="3:15">
      <c r="C1419" s="233"/>
      <c r="D1419" s="233"/>
      <c r="E1419" s="761"/>
      <c r="F1419" s="234"/>
      <c r="G1419" s="234"/>
      <c r="H1419" s="233"/>
      <c r="I1419" s="233"/>
      <c r="J1419" s="761"/>
      <c r="K1419" s="233"/>
      <c r="L1419" s="233"/>
      <c r="M1419" s="233"/>
      <c r="N1419" s="2403"/>
      <c r="O1419" s="2403"/>
    </row>
    <row r="1420" spans="3:15">
      <c r="C1420" s="233"/>
      <c r="D1420" s="233"/>
      <c r="E1420" s="761"/>
      <c r="F1420" s="234"/>
      <c r="G1420" s="234"/>
      <c r="H1420" s="233"/>
      <c r="I1420" s="233"/>
      <c r="J1420" s="761"/>
      <c r="K1420" s="233"/>
      <c r="L1420" s="233"/>
      <c r="M1420" s="233"/>
      <c r="N1420" s="2403"/>
      <c r="O1420" s="2403"/>
    </row>
    <row r="1421" spans="3:15">
      <c r="C1421" s="233"/>
      <c r="D1421" s="233"/>
      <c r="E1421" s="761"/>
      <c r="F1421" s="234"/>
      <c r="G1421" s="234"/>
      <c r="H1421" s="233"/>
      <c r="I1421" s="233"/>
      <c r="J1421" s="761"/>
      <c r="K1421" s="233"/>
      <c r="L1421" s="233"/>
      <c r="M1421" s="233"/>
      <c r="N1421" s="2403"/>
      <c r="O1421" s="2403"/>
    </row>
    <row r="1422" spans="3:15">
      <c r="C1422" s="233"/>
      <c r="D1422" s="233"/>
      <c r="E1422" s="761"/>
      <c r="F1422" s="234"/>
      <c r="G1422" s="234"/>
      <c r="H1422" s="233"/>
      <c r="I1422" s="233"/>
      <c r="J1422" s="761"/>
      <c r="K1422" s="233"/>
      <c r="L1422" s="233"/>
      <c r="M1422" s="233"/>
      <c r="N1422" s="2403"/>
      <c r="O1422" s="2403"/>
    </row>
    <row r="1423" spans="3:15">
      <c r="C1423" s="233"/>
      <c r="D1423" s="233"/>
      <c r="E1423" s="761"/>
      <c r="F1423" s="234"/>
      <c r="G1423" s="234"/>
      <c r="H1423" s="233"/>
      <c r="I1423" s="233"/>
      <c r="J1423" s="761"/>
      <c r="K1423" s="233"/>
      <c r="L1423" s="233"/>
      <c r="M1423" s="233"/>
      <c r="N1423" s="2403"/>
      <c r="O1423" s="2403"/>
    </row>
    <row r="1424" spans="3:15">
      <c r="C1424" s="233"/>
      <c r="D1424" s="233"/>
      <c r="E1424" s="761"/>
      <c r="F1424" s="234"/>
      <c r="G1424" s="234"/>
      <c r="H1424" s="233"/>
      <c r="I1424" s="233"/>
      <c r="J1424" s="761"/>
      <c r="K1424" s="233"/>
      <c r="L1424" s="233"/>
      <c r="M1424" s="233"/>
      <c r="N1424" s="2403"/>
      <c r="O1424" s="2403"/>
    </row>
    <row r="1425" spans="3:15">
      <c r="C1425" s="233"/>
      <c r="D1425" s="233"/>
      <c r="E1425" s="761"/>
      <c r="F1425" s="234"/>
      <c r="G1425" s="234"/>
      <c r="H1425" s="233"/>
      <c r="I1425" s="233"/>
      <c r="J1425" s="761"/>
      <c r="K1425" s="233"/>
      <c r="L1425" s="233"/>
      <c r="M1425" s="233"/>
      <c r="N1425" s="2403"/>
      <c r="O1425" s="2403"/>
    </row>
    <row r="1426" spans="3:15">
      <c r="C1426" s="233"/>
      <c r="D1426" s="233"/>
      <c r="E1426" s="761"/>
      <c r="F1426" s="234"/>
      <c r="G1426" s="234"/>
      <c r="H1426" s="233"/>
      <c r="I1426" s="233"/>
      <c r="J1426" s="761"/>
      <c r="K1426" s="233"/>
      <c r="L1426" s="233"/>
      <c r="M1426" s="233"/>
      <c r="N1426" s="2403"/>
      <c r="O1426" s="2403"/>
    </row>
    <row r="1427" spans="3:15">
      <c r="C1427" s="233"/>
      <c r="D1427" s="233"/>
      <c r="E1427" s="761"/>
      <c r="F1427" s="234"/>
      <c r="G1427" s="234"/>
      <c r="H1427" s="233"/>
      <c r="I1427" s="233"/>
      <c r="J1427" s="761"/>
      <c r="K1427" s="233"/>
      <c r="L1427" s="233"/>
      <c r="M1427" s="233"/>
      <c r="N1427" s="2403"/>
      <c r="O1427" s="2403"/>
    </row>
    <row r="1428" spans="3:15">
      <c r="C1428" s="233"/>
      <c r="D1428" s="233"/>
      <c r="E1428" s="761"/>
      <c r="F1428" s="234"/>
      <c r="G1428" s="234"/>
      <c r="H1428" s="233"/>
      <c r="I1428" s="233"/>
      <c r="J1428" s="761"/>
      <c r="K1428" s="233"/>
      <c r="L1428" s="233"/>
      <c r="M1428" s="233"/>
      <c r="N1428" s="2403"/>
      <c r="O1428" s="2403"/>
    </row>
    <row r="1429" spans="3:15">
      <c r="C1429" s="233"/>
      <c r="D1429" s="233"/>
      <c r="E1429" s="761"/>
      <c r="F1429" s="234"/>
      <c r="G1429" s="234"/>
      <c r="H1429" s="233"/>
      <c r="I1429" s="233"/>
      <c r="J1429" s="761"/>
      <c r="K1429" s="233"/>
      <c r="L1429" s="233"/>
      <c r="M1429" s="233"/>
      <c r="N1429" s="2403"/>
      <c r="O1429" s="2403"/>
    </row>
    <row r="1430" spans="3:15">
      <c r="C1430" s="233"/>
      <c r="D1430" s="233"/>
      <c r="E1430" s="761"/>
      <c r="F1430" s="234"/>
      <c r="G1430" s="234"/>
      <c r="H1430" s="233"/>
      <c r="I1430" s="233"/>
      <c r="J1430" s="761"/>
      <c r="K1430" s="233"/>
      <c r="L1430" s="233"/>
      <c r="M1430" s="233"/>
      <c r="N1430" s="2403"/>
      <c r="O1430" s="2403"/>
    </row>
    <row r="1431" spans="3:15">
      <c r="C1431" s="233"/>
      <c r="D1431" s="233"/>
      <c r="E1431" s="761"/>
      <c r="F1431" s="234"/>
      <c r="G1431" s="234"/>
      <c r="H1431" s="233"/>
      <c r="I1431" s="233"/>
      <c r="J1431" s="761"/>
      <c r="K1431" s="233"/>
      <c r="L1431" s="233"/>
      <c r="M1431" s="233"/>
      <c r="N1431" s="2403"/>
      <c r="O1431" s="2403"/>
    </row>
    <row r="1432" spans="3:15">
      <c r="C1432" s="233"/>
      <c r="D1432" s="233"/>
      <c r="E1432" s="761"/>
      <c r="F1432" s="234"/>
      <c r="G1432" s="234"/>
      <c r="H1432" s="233"/>
      <c r="I1432" s="233"/>
      <c r="J1432" s="761"/>
      <c r="K1432" s="233"/>
      <c r="L1432" s="233"/>
      <c r="M1432" s="233"/>
      <c r="N1432" s="2403"/>
      <c r="O1432" s="2403"/>
    </row>
    <row r="1433" spans="3:15">
      <c r="C1433" s="233"/>
      <c r="D1433" s="233"/>
      <c r="E1433" s="761"/>
      <c r="F1433" s="234"/>
      <c r="G1433" s="234"/>
      <c r="H1433" s="233"/>
      <c r="I1433" s="233"/>
      <c r="J1433" s="761"/>
      <c r="K1433" s="233"/>
      <c r="L1433" s="233"/>
      <c r="M1433" s="233"/>
      <c r="N1433" s="2403"/>
      <c r="O1433" s="2403"/>
    </row>
    <row r="1434" spans="3:15">
      <c r="C1434" s="233"/>
      <c r="D1434" s="233"/>
      <c r="E1434" s="761"/>
      <c r="F1434" s="234"/>
      <c r="G1434" s="234"/>
      <c r="H1434" s="233"/>
      <c r="I1434" s="233"/>
      <c r="J1434" s="761"/>
      <c r="K1434" s="233"/>
      <c r="L1434" s="233"/>
      <c r="M1434" s="233"/>
      <c r="N1434" s="2403"/>
      <c r="O1434" s="2403"/>
    </row>
    <row r="1435" spans="3:15">
      <c r="C1435" s="233"/>
      <c r="D1435" s="233"/>
      <c r="E1435" s="761"/>
      <c r="F1435" s="234"/>
      <c r="G1435" s="234"/>
      <c r="H1435" s="233"/>
      <c r="I1435" s="233"/>
      <c r="J1435" s="761"/>
      <c r="K1435" s="233"/>
      <c r="L1435" s="233"/>
      <c r="M1435" s="233"/>
      <c r="N1435" s="2403"/>
      <c r="O1435" s="2403"/>
    </row>
    <row r="1436" spans="3:15">
      <c r="C1436" s="233"/>
      <c r="D1436" s="233"/>
      <c r="E1436" s="761"/>
      <c r="F1436" s="234"/>
      <c r="G1436" s="234"/>
      <c r="H1436" s="233"/>
      <c r="I1436" s="233"/>
      <c r="J1436" s="761"/>
      <c r="K1436" s="233"/>
      <c r="L1436" s="233"/>
      <c r="M1436" s="233"/>
      <c r="N1436" s="2403"/>
      <c r="O1436" s="2403"/>
    </row>
    <row r="1437" spans="3:15">
      <c r="C1437" s="233"/>
      <c r="D1437" s="233"/>
      <c r="E1437" s="761"/>
      <c r="F1437" s="234"/>
      <c r="G1437" s="234"/>
      <c r="H1437" s="233"/>
      <c r="I1437" s="233"/>
      <c r="J1437" s="761"/>
      <c r="K1437" s="233"/>
      <c r="L1437" s="233"/>
      <c r="M1437" s="233"/>
      <c r="N1437" s="2403"/>
      <c r="O1437" s="2403"/>
    </row>
    <row r="1438" spans="3:15">
      <c r="C1438" s="233"/>
      <c r="D1438" s="233"/>
      <c r="E1438" s="761"/>
      <c r="F1438" s="234"/>
      <c r="G1438" s="234"/>
      <c r="H1438" s="233"/>
      <c r="I1438" s="233"/>
      <c r="J1438" s="761"/>
      <c r="K1438" s="233"/>
      <c r="L1438" s="233"/>
      <c r="M1438" s="233"/>
      <c r="N1438" s="2403"/>
      <c r="O1438" s="2403"/>
    </row>
    <row r="1439" spans="3:15">
      <c r="C1439" s="233"/>
      <c r="D1439" s="233"/>
      <c r="E1439" s="761"/>
      <c r="F1439" s="234"/>
      <c r="G1439" s="234"/>
      <c r="H1439" s="233"/>
      <c r="I1439" s="233"/>
      <c r="J1439" s="761"/>
      <c r="K1439" s="233"/>
      <c r="L1439" s="233"/>
      <c r="M1439" s="233"/>
      <c r="N1439" s="2403"/>
      <c r="O1439" s="2403"/>
    </row>
    <row r="1440" spans="3:15">
      <c r="C1440" s="233"/>
      <c r="D1440" s="233"/>
      <c r="E1440" s="761"/>
      <c r="F1440" s="234"/>
      <c r="G1440" s="234"/>
      <c r="H1440" s="233"/>
      <c r="I1440" s="233"/>
      <c r="J1440" s="761"/>
      <c r="K1440" s="233"/>
      <c r="L1440" s="233"/>
      <c r="M1440" s="233"/>
      <c r="N1440" s="2403"/>
      <c r="O1440" s="2403"/>
    </row>
    <row r="1441" spans="3:15">
      <c r="C1441" s="233"/>
      <c r="D1441" s="233"/>
      <c r="E1441" s="761"/>
      <c r="F1441" s="234"/>
      <c r="G1441" s="234"/>
      <c r="H1441" s="233"/>
      <c r="I1441" s="233"/>
      <c r="J1441" s="761"/>
      <c r="K1441" s="233"/>
      <c r="L1441" s="233"/>
      <c r="M1441" s="233"/>
      <c r="N1441" s="2403"/>
      <c r="O1441" s="2403"/>
    </row>
    <row r="1442" spans="3:15">
      <c r="C1442" s="233"/>
      <c r="D1442" s="233"/>
      <c r="E1442" s="761"/>
      <c r="F1442" s="234"/>
      <c r="G1442" s="234"/>
      <c r="H1442" s="233"/>
      <c r="I1442" s="233"/>
      <c r="J1442" s="761"/>
      <c r="K1442" s="233"/>
      <c r="L1442" s="233"/>
      <c r="M1442" s="233"/>
      <c r="N1442" s="2403"/>
      <c r="O1442" s="2403"/>
    </row>
    <row r="1443" spans="3:15">
      <c r="C1443" s="233"/>
      <c r="D1443" s="233"/>
      <c r="E1443" s="761"/>
      <c r="F1443" s="234"/>
      <c r="G1443" s="234"/>
      <c r="H1443" s="233"/>
      <c r="I1443" s="233"/>
      <c r="J1443" s="761"/>
      <c r="K1443" s="233"/>
      <c r="L1443" s="233"/>
      <c r="M1443" s="233"/>
      <c r="N1443" s="2403"/>
      <c r="O1443" s="2403"/>
    </row>
    <row r="1444" spans="3:15">
      <c r="C1444" s="233"/>
      <c r="D1444" s="233"/>
      <c r="E1444" s="761"/>
      <c r="F1444" s="234"/>
      <c r="G1444" s="234"/>
      <c r="H1444" s="233"/>
      <c r="I1444" s="233"/>
      <c r="J1444" s="761"/>
      <c r="K1444" s="233"/>
      <c r="L1444" s="233"/>
      <c r="M1444" s="233"/>
      <c r="N1444" s="2403"/>
      <c r="O1444" s="2403"/>
    </row>
    <row r="1445" spans="3:15">
      <c r="C1445" s="233"/>
      <c r="D1445" s="233"/>
      <c r="E1445" s="761"/>
      <c r="F1445" s="234"/>
      <c r="G1445" s="234"/>
      <c r="H1445" s="233"/>
      <c r="I1445" s="233"/>
      <c r="J1445" s="761"/>
      <c r="K1445" s="233"/>
      <c r="L1445" s="233"/>
      <c r="M1445" s="233"/>
      <c r="N1445" s="2403"/>
      <c r="O1445" s="2403"/>
    </row>
    <row r="1446" spans="3:15">
      <c r="C1446" s="233"/>
      <c r="D1446" s="233"/>
      <c r="E1446" s="761"/>
      <c r="F1446" s="234"/>
      <c r="G1446" s="234"/>
      <c r="H1446" s="233"/>
      <c r="I1446" s="233"/>
      <c r="J1446" s="761"/>
      <c r="K1446" s="233"/>
      <c r="L1446" s="233"/>
      <c r="M1446" s="233"/>
      <c r="N1446" s="2403"/>
      <c r="O1446" s="2403"/>
    </row>
    <row r="1447" spans="3:15">
      <c r="C1447" s="233"/>
      <c r="D1447" s="233"/>
      <c r="E1447" s="761"/>
      <c r="F1447" s="234"/>
      <c r="G1447" s="234"/>
      <c r="H1447" s="233"/>
      <c r="I1447" s="233"/>
      <c r="J1447" s="761"/>
      <c r="K1447" s="233"/>
      <c r="L1447" s="233"/>
      <c r="M1447" s="233"/>
      <c r="N1447" s="2403"/>
      <c r="O1447" s="2403"/>
    </row>
    <row r="1448" spans="3:15">
      <c r="C1448" s="233"/>
      <c r="D1448" s="233"/>
      <c r="E1448" s="761"/>
      <c r="F1448" s="234"/>
      <c r="G1448" s="234"/>
      <c r="H1448" s="233"/>
      <c r="I1448" s="233"/>
      <c r="J1448" s="761"/>
      <c r="K1448" s="233"/>
      <c r="L1448" s="233"/>
      <c r="M1448" s="233"/>
      <c r="N1448" s="2403"/>
      <c r="O1448" s="2403"/>
    </row>
    <row r="1449" spans="3:15">
      <c r="C1449" s="233"/>
      <c r="D1449" s="233"/>
      <c r="E1449" s="761"/>
      <c r="F1449" s="234"/>
      <c r="G1449" s="234"/>
      <c r="H1449" s="233"/>
      <c r="I1449" s="233"/>
      <c r="J1449" s="761"/>
      <c r="K1449" s="233"/>
      <c r="L1449" s="233"/>
      <c r="M1449" s="233"/>
      <c r="N1449" s="2403"/>
      <c r="O1449" s="2403"/>
    </row>
    <row r="1450" spans="3:15">
      <c r="C1450" s="233"/>
      <c r="D1450" s="233"/>
      <c r="E1450" s="761"/>
      <c r="F1450" s="234"/>
      <c r="G1450" s="234"/>
      <c r="H1450" s="233"/>
      <c r="I1450" s="233"/>
      <c r="J1450" s="761"/>
      <c r="K1450" s="233"/>
      <c r="L1450" s="233"/>
      <c r="M1450" s="233"/>
      <c r="N1450" s="2403"/>
      <c r="O1450" s="2403"/>
    </row>
    <row r="1451" spans="3:15">
      <c r="C1451" s="233"/>
      <c r="D1451" s="233"/>
      <c r="E1451" s="761"/>
      <c r="F1451" s="234"/>
      <c r="G1451" s="234"/>
      <c r="H1451" s="233"/>
      <c r="I1451" s="233"/>
      <c r="J1451" s="761"/>
      <c r="K1451" s="233"/>
      <c r="L1451" s="233"/>
      <c r="M1451" s="233"/>
      <c r="N1451" s="2403"/>
      <c r="O1451" s="2403"/>
    </row>
    <row r="1452" spans="3:15">
      <c r="C1452" s="233"/>
      <c r="D1452" s="233"/>
      <c r="E1452" s="761"/>
      <c r="F1452" s="234"/>
      <c r="G1452" s="234"/>
      <c r="H1452" s="233"/>
      <c r="I1452" s="233"/>
      <c r="J1452" s="761"/>
      <c r="K1452" s="233"/>
      <c r="L1452" s="233"/>
      <c r="M1452" s="233"/>
      <c r="N1452" s="2403"/>
      <c r="O1452" s="2403"/>
    </row>
    <row r="1453" spans="3:15">
      <c r="C1453" s="233"/>
      <c r="D1453" s="233"/>
      <c r="E1453" s="761"/>
      <c r="F1453" s="234"/>
      <c r="G1453" s="234"/>
      <c r="H1453" s="233"/>
      <c r="I1453" s="233"/>
      <c r="J1453" s="761"/>
      <c r="K1453" s="233"/>
      <c r="L1453" s="233"/>
      <c r="M1453" s="233"/>
      <c r="N1453" s="2403"/>
      <c r="O1453" s="2403"/>
    </row>
    <row r="1454" spans="3:15">
      <c r="C1454" s="233"/>
      <c r="D1454" s="233"/>
      <c r="E1454" s="761"/>
      <c r="F1454" s="234"/>
      <c r="G1454" s="234"/>
      <c r="H1454" s="233"/>
      <c r="I1454" s="233"/>
      <c r="J1454" s="761"/>
      <c r="K1454" s="233"/>
      <c r="L1454" s="233"/>
      <c r="M1454" s="233"/>
      <c r="N1454" s="2403"/>
      <c r="O1454" s="2403"/>
    </row>
    <row r="1455" spans="3:15">
      <c r="C1455" s="233"/>
      <c r="D1455" s="233"/>
      <c r="E1455" s="761"/>
      <c r="F1455" s="234"/>
      <c r="G1455" s="234"/>
      <c r="H1455" s="233"/>
      <c r="I1455" s="233"/>
      <c r="J1455" s="761"/>
      <c r="K1455" s="233"/>
      <c r="L1455" s="233"/>
      <c r="M1455" s="233"/>
      <c r="N1455" s="2403"/>
      <c r="O1455" s="2403"/>
    </row>
    <row r="1456" spans="3:15">
      <c r="C1456" s="233"/>
      <c r="D1456" s="233"/>
      <c r="E1456" s="761"/>
      <c r="F1456" s="234"/>
      <c r="G1456" s="234"/>
      <c r="H1456" s="233"/>
      <c r="I1456" s="233"/>
      <c r="J1456" s="761"/>
      <c r="K1456" s="233"/>
      <c r="L1456" s="233"/>
      <c r="M1456" s="233"/>
      <c r="N1456" s="2403"/>
      <c r="O1456" s="2403"/>
    </row>
    <row r="1457" spans="3:15">
      <c r="C1457" s="233"/>
      <c r="D1457" s="233"/>
      <c r="E1457" s="761"/>
      <c r="F1457" s="234"/>
      <c r="G1457" s="234"/>
      <c r="H1457" s="233"/>
      <c r="I1457" s="233"/>
      <c r="J1457" s="761"/>
      <c r="K1457" s="233"/>
      <c r="L1457" s="233"/>
      <c r="M1457" s="233"/>
      <c r="N1457" s="2403"/>
      <c r="O1457" s="2403"/>
    </row>
    <row r="1458" spans="3:15">
      <c r="C1458" s="233"/>
      <c r="D1458" s="233"/>
      <c r="E1458" s="761"/>
      <c r="F1458" s="234"/>
      <c r="G1458" s="234"/>
      <c r="H1458" s="233"/>
      <c r="I1458" s="233"/>
      <c r="J1458" s="761"/>
      <c r="K1458" s="233"/>
      <c r="L1458" s="233"/>
      <c r="M1458" s="233"/>
      <c r="N1458" s="2403"/>
      <c r="O1458" s="2403"/>
    </row>
    <row r="1459" spans="3:15">
      <c r="C1459" s="233"/>
      <c r="D1459" s="233"/>
      <c r="E1459" s="761"/>
      <c r="F1459" s="234"/>
      <c r="G1459" s="234"/>
      <c r="H1459" s="233"/>
      <c r="I1459" s="233"/>
      <c r="J1459" s="761"/>
      <c r="K1459" s="233"/>
      <c r="L1459" s="233"/>
      <c r="M1459" s="233"/>
      <c r="N1459" s="2403"/>
      <c r="O1459" s="2403"/>
    </row>
    <row r="1460" spans="3:15">
      <c r="C1460" s="233"/>
      <c r="D1460" s="233"/>
      <c r="E1460" s="761"/>
      <c r="F1460" s="234"/>
      <c r="G1460" s="234"/>
      <c r="H1460" s="233"/>
      <c r="I1460" s="233"/>
      <c r="J1460" s="761"/>
      <c r="K1460" s="233"/>
      <c r="L1460" s="233"/>
      <c r="M1460" s="233"/>
      <c r="N1460" s="2403"/>
      <c r="O1460" s="2403"/>
    </row>
    <row r="1461" spans="3:15">
      <c r="C1461" s="233"/>
      <c r="D1461" s="233"/>
      <c r="E1461" s="761"/>
      <c r="F1461" s="234"/>
      <c r="G1461" s="234"/>
      <c r="H1461" s="233"/>
      <c r="I1461" s="233"/>
      <c r="J1461" s="761"/>
      <c r="K1461" s="233"/>
      <c r="L1461" s="233"/>
      <c r="M1461" s="233"/>
      <c r="N1461" s="2403"/>
      <c r="O1461" s="2403"/>
    </row>
    <row r="1462" spans="3:15">
      <c r="C1462" s="233"/>
      <c r="D1462" s="233"/>
      <c r="E1462" s="761"/>
      <c r="F1462" s="234"/>
      <c r="G1462" s="234"/>
      <c r="H1462" s="233"/>
      <c r="I1462" s="233"/>
      <c r="J1462" s="761"/>
      <c r="K1462" s="233"/>
      <c r="L1462" s="233"/>
      <c r="M1462" s="233"/>
      <c r="N1462" s="2403"/>
      <c r="O1462" s="2403"/>
    </row>
    <row r="1463" spans="3:15">
      <c r="C1463" s="233"/>
      <c r="D1463" s="233"/>
      <c r="E1463" s="761"/>
      <c r="F1463" s="234"/>
      <c r="G1463" s="234"/>
      <c r="H1463" s="233"/>
      <c r="I1463" s="233"/>
      <c r="J1463" s="761"/>
      <c r="K1463" s="233"/>
      <c r="L1463" s="233"/>
      <c r="M1463" s="233"/>
      <c r="N1463" s="2403"/>
      <c r="O1463" s="2403"/>
    </row>
    <row r="1464" spans="3:15">
      <c r="C1464" s="233"/>
      <c r="D1464" s="233"/>
      <c r="E1464" s="761"/>
      <c r="F1464" s="234"/>
      <c r="G1464" s="234"/>
      <c r="H1464" s="233"/>
      <c r="I1464" s="233"/>
      <c r="J1464" s="761"/>
      <c r="K1464" s="233"/>
      <c r="L1464" s="233"/>
      <c r="M1464" s="233"/>
      <c r="N1464" s="2403"/>
      <c r="O1464" s="2403"/>
    </row>
    <row r="1465" spans="3:15">
      <c r="C1465" s="233"/>
      <c r="D1465" s="233"/>
      <c r="E1465" s="761"/>
      <c r="F1465" s="234"/>
      <c r="G1465" s="234"/>
      <c r="H1465" s="233"/>
      <c r="I1465" s="233"/>
      <c r="J1465" s="761"/>
      <c r="K1465" s="233"/>
      <c r="L1465" s="233"/>
      <c r="M1465" s="233"/>
      <c r="N1465" s="2403"/>
      <c r="O1465" s="2403"/>
    </row>
    <row r="1466" spans="3:15">
      <c r="C1466" s="233"/>
      <c r="D1466" s="233"/>
      <c r="E1466" s="761"/>
      <c r="F1466" s="234"/>
      <c r="G1466" s="234"/>
      <c r="H1466" s="233"/>
      <c r="I1466" s="233"/>
      <c r="J1466" s="761"/>
      <c r="K1466" s="233"/>
      <c r="L1466" s="233"/>
      <c r="M1466" s="233"/>
      <c r="N1466" s="2403"/>
      <c r="O1466" s="2403"/>
    </row>
    <row r="1467" spans="3:15">
      <c r="C1467" s="233"/>
      <c r="D1467" s="233"/>
      <c r="E1467" s="761"/>
      <c r="F1467" s="234"/>
      <c r="G1467" s="234"/>
      <c r="H1467" s="233"/>
      <c r="I1467" s="233"/>
      <c r="J1467" s="761"/>
      <c r="K1467" s="233"/>
      <c r="L1467" s="233"/>
      <c r="M1467" s="233"/>
      <c r="N1467" s="2403"/>
      <c r="O1467" s="2403"/>
    </row>
    <row r="1468" spans="3:15">
      <c r="C1468" s="233"/>
      <c r="D1468" s="233"/>
      <c r="E1468" s="761"/>
      <c r="F1468" s="234"/>
      <c r="G1468" s="234"/>
      <c r="H1468" s="233"/>
      <c r="I1468" s="233"/>
      <c r="J1468" s="761"/>
      <c r="K1468" s="233"/>
      <c r="L1468" s="233"/>
      <c r="M1468" s="233"/>
      <c r="N1468" s="2403"/>
      <c r="O1468" s="2403"/>
    </row>
    <row r="1469" spans="3:15">
      <c r="C1469" s="233"/>
      <c r="D1469" s="233"/>
      <c r="E1469" s="761"/>
      <c r="F1469" s="234"/>
      <c r="G1469" s="234"/>
      <c r="H1469" s="233"/>
      <c r="I1469" s="233"/>
      <c r="J1469" s="761"/>
      <c r="K1469" s="233"/>
      <c r="L1469" s="233"/>
      <c r="M1469" s="233"/>
      <c r="N1469" s="2403"/>
      <c r="O1469" s="2403"/>
    </row>
    <row r="1470" spans="3:15">
      <c r="C1470" s="233"/>
      <c r="D1470" s="233"/>
      <c r="E1470" s="761"/>
      <c r="F1470" s="234"/>
      <c r="G1470" s="234"/>
      <c r="H1470" s="233"/>
      <c r="I1470" s="233"/>
      <c r="J1470" s="761"/>
      <c r="K1470" s="233"/>
      <c r="L1470" s="233"/>
      <c r="M1470" s="233"/>
      <c r="N1470" s="2403"/>
      <c r="O1470" s="2403"/>
    </row>
    <row r="1471" spans="3:15">
      <c r="C1471" s="233"/>
      <c r="D1471" s="233"/>
      <c r="E1471" s="761"/>
      <c r="F1471" s="234"/>
      <c r="G1471" s="234"/>
      <c r="H1471" s="233"/>
      <c r="I1471" s="233"/>
      <c r="J1471" s="761"/>
      <c r="K1471" s="233"/>
      <c r="L1471" s="233"/>
      <c r="M1471" s="233"/>
      <c r="N1471" s="2403"/>
      <c r="O1471" s="2403"/>
    </row>
    <row r="1472" spans="3:15">
      <c r="C1472" s="233"/>
      <c r="D1472" s="233"/>
      <c r="E1472" s="761"/>
      <c r="F1472" s="234"/>
      <c r="G1472" s="234"/>
      <c r="H1472" s="233"/>
      <c r="I1472" s="233"/>
      <c r="J1472" s="761"/>
      <c r="K1472" s="233"/>
      <c r="L1472" s="233"/>
      <c r="M1472" s="233"/>
      <c r="N1472" s="2403"/>
      <c r="O1472" s="2403"/>
    </row>
    <row r="1473" spans="3:15">
      <c r="C1473" s="233"/>
      <c r="D1473" s="233"/>
      <c r="E1473" s="761"/>
      <c r="F1473" s="234"/>
      <c r="G1473" s="234"/>
      <c r="H1473" s="233"/>
      <c r="I1473" s="233"/>
      <c r="J1473" s="761"/>
      <c r="K1473" s="233"/>
      <c r="L1473" s="233"/>
      <c r="M1473" s="233"/>
      <c r="N1473" s="2403"/>
      <c r="O1473" s="2403"/>
    </row>
    <row r="1474" spans="3:15">
      <c r="C1474" s="233"/>
      <c r="D1474" s="233"/>
      <c r="E1474" s="761"/>
      <c r="F1474" s="234"/>
      <c r="G1474" s="234"/>
      <c r="H1474" s="233"/>
      <c r="I1474" s="233"/>
      <c r="J1474" s="761"/>
      <c r="K1474" s="233"/>
      <c r="L1474" s="233"/>
      <c r="M1474" s="233"/>
      <c r="N1474" s="2403"/>
      <c r="O1474" s="2403"/>
    </row>
    <row r="1475" spans="3:15">
      <c r="C1475" s="233"/>
      <c r="D1475" s="233"/>
      <c r="E1475" s="761"/>
      <c r="F1475" s="234"/>
      <c r="G1475" s="234"/>
      <c r="H1475" s="233"/>
      <c r="I1475" s="233"/>
      <c r="J1475" s="761"/>
      <c r="K1475" s="233"/>
      <c r="L1475" s="233"/>
      <c r="M1475" s="233"/>
      <c r="N1475" s="2403"/>
      <c r="O1475" s="2403"/>
    </row>
    <row r="1476" spans="3:15">
      <c r="C1476" s="233"/>
      <c r="D1476" s="233"/>
      <c r="E1476" s="761"/>
      <c r="F1476" s="234"/>
      <c r="G1476" s="234"/>
      <c r="H1476" s="233"/>
      <c r="I1476" s="233"/>
      <c r="J1476" s="761"/>
      <c r="K1476" s="233"/>
      <c r="L1476" s="233"/>
      <c r="M1476" s="233"/>
      <c r="N1476" s="2403"/>
      <c r="O1476" s="2403"/>
    </row>
    <row r="1477" spans="3:15">
      <c r="C1477" s="233"/>
      <c r="D1477" s="233"/>
      <c r="E1477" s="761"/>
      <c r="F1477" s="234"/>
      <c r="G1477" s="234"/>
      <c r="H1477" s="233"/>
      <c r="I1477" s="233"/>
      <c r="J1477" s="761"/>
      <c r="K1477" s="233"/>
      <c r="L1477" s="233"/>
      <c r="M1477" s="233"/>
      <c r="N1477" s="2403"/>
      <c r="O1477" s="2403"/>
    </row>
    <row r="1478" spans="3:15">
      <c r="C1478" s="233"/>
      <c r="D1478" s="233"/>
      <c r="E1478" s="761"/>
      <c r="F1478" s="234"/>
      <c r="G1478" s="234"/>
      <c r="H1478" s="233"/>
      <c r="I1478" s="233"/>
      <c r="J1478" s="761"/>
      <c r="K1478" s="233"/>
      <c r="L1478" s="233"/>
      <c r="M1478" s="233"/>
      <c r="N1478" s="2403"/>
      <c r="O1478" s="2403"/>
    </row>
    <row r="1479" spans="3:15">
      <c r="C1479" s="233"/>
      <c r="D1479" s="233"/>
      <c r="E1479" s="761"/>
      <c r="F1479" s="234"/>
      <c r="G1479" s="234"/>
      <c r="H1479" s="233"/>
      <c r="I1479" s="233"/>
      <c r="J1479" s="761"/>
      <c r="K1479" s="233"/>
      <c r="L1479" s="233"/>
      <c r="M1479" s="233"/>
      <c r="N1479" s="2403"/>
      <c r="O1479" s="2403"/>
    </row>
    <row r="1480" spans="3:15">
      <c r="C1480" s="233"/>
      <c r="D1480" s="233"/>
      <c r="E1480" s="761"/>
      <c r="F1480" s="234"/>
      <c r="G1480" s="234"/>
      <c r="H1480" s="233"/>
      <c r="I1480" s="233"/>
      <c r="J1480" s="761"/>
      <c r="K1480" s="233"/>
      <c r="L1480" s="233"/>
      <c r="M1480" s="233"/>
      <c r="N1480" s="2403"/>
      <c r="O1480" s="2403"/>
    </row>
    <row r="1481" spans="3:15">
      <c r="C1481" s="233"/>
      <c r="D1481" s="233"/>
      <c r="E1481" s="761"/>
      <c r="F1481" s="234"/>
      <c r="G1481" s="234"/>
      <c r="H1481" s="233"/>
      <c r="I1481" s="233"/>
      <c r="J1481" s="761"/>
      <c r="K1481" s="233"/>
      <c r="L1481" s="233"/>
      <c r="M1481" s="233"/>
      <c r="N1481" s="2403"/>
      <c r="O1481" s="2403"/>
    </row>
    <row r="1482" spans="3:15">
      <c r="C1482" s="233"/>
      <c r="D1482" s="233"/>
      <c r="E1482" s="761"/>
      <c r="F1482" s="234"/>
      <c r="G1482" s="234"/>
      <c r="H1482" s="233"/>
      <c r="I1482" s="233"/>
      <c r="J1482" s="761"/>
      <c r="K1482" s="233"/>
      <c r="L1482" s="233"/>
      <c r="M1482" s="233"/>
      <c r="N1482" s="2403"/>
      <c r="O1482" s="2403"/>
    </row>
    <row r="1483" spans="3:15">
      <c r="C1483" s="233"/>
      <c r="D1483" s="233"/>
      <c r="E1483" s="761"/>
      <c r="F1483" s="234"/>
      <c r="G1483" s="234"/>
      <c r="H1483" s="233"/>
      <c r="I1483" s="233"/>
      <c r="J1483" s="761"/>
      <c r="K1483" s="233"/>
      <c r="L1483" s="233"/>
      <c r="M1483" s="233"/>
      <c r="N1483" s="2403"/>
      <c r="O1483" s="2403"/>
    </row>
    <row r="1484" spans="3:15">
      <c r="C1484" s="233"/>
      <c r="D1484" s="233"/>
      <c r="E1484" s="761"/>
      <c r="F1484" s="234"/>
      <c r="G1484" s="234"/>
      <c r="H1484" s="233"/>
      <c r="I1484" s="233"/>
      <c r="J1484" s="761"/>
      <c r="K1484" s="233"/>
      <c r="L1484" s="233"/>
      <c r="M1484" s="233"/>
      <c r="N1484" s="2403"/>
      <c r="O1484" s="2403"/>
    </row>
    <row r="1485" spans="3:15">
      <c r="C1485" s="233"/>
      <c r="D1485" s="233"/>
      <c r="E1485" s="761"/>
      <c r="F1485" s="234"/>
      <c r="G1485" s="234"/>
      <c r="H1485" s="233"/>
      <c r="I1485" s="233"/>
      <c r="J1485" s="761"/>
      <c r="K1485" s="233"/>
      <c r="L1485" s="233"/>
      <c r="M1485" s="233"/>
      <c r="N1485" s="2403"/>
      <c r="O1485" s="2403"/>
    </row>
    <row r="1486" spans="3:15">
      <c r="C1486" s="233"/>
      <c r="D1486" s="233"/>
      <c r="E1486" s="761"/>
      <c r="F1486" s="234"/>
      <c r="G1486" s="234"/>
      <c r="H1486" s="233"/>
      <c r="I1486" s="233"/>
      <c r="J1486" s="761"/>
      <c r="K1486" s="233"/>
      <c r="L1486" s="233"/>
      <c r="M1486" s="233"/>
      <c r="N1486" s="2403"/>
      <c r="O1486" s="2403"/>
    </row>
    <row r="1487" spans="3:15">
      <c r="C1487" s="233"/>
      <c r="D1487" s="233"/>
      <c r="E1487" s="761"/>
      <c r="F1487" s="234"/>
      <c r="G1487" s="234"/>
      <c r="H1487" s="233"/>
      <c r="I1487" s="233"/>
      <c r="J1487" s="761"/>
      <c r="K1487" s="233"/>
      <c r="L1487" s="233"/>
      <c r="M1487" s="233"/>
      <c r="N1487" s="2403"/>
      <c r="O1487" s="2403"/>
    </row>
    <row r="1488" spans="3:15">
      <c r="C1488" s="233"/>
      <c r="D1488" s="233"/>
      <c r="E1488" s="761"/>
      <c r="F1488" s="234"/>
      <c r="G1488" s="234"/>
      <c r="H1488" s="233"/>
      <c r="I1488" s="233"/>
      <c r="J1488" s="761"/>
      <c r="K1488" s="233"/>
      <c r="L1488" s="233"/>
      <c r="M1488" s="233"/>
      <c r="N1488" s="2403"/>
      <c r="O1488" s="2403"/>
    </row>
    <row r="1489" spans="3:15">
      <c r="C1489" s="233"/>
      <c r="D1489" s="233"/>
      <c r="E1489" s="761"/>
      <c r="F1489" s="234"/>
      <c r="G1489" s="234"/>
      <c r="H1489" s="233"/>
      <c r="I1489" s="233"/>
      <c r="J1489" s="761"/>
      <c r="K1489" s="233"/>
      <c r="L1489" s="233"/>
      <c r="M1489" s="233"/>
      <c r="N1489" s="2403"/>
      <c r="O1489" s="2403"/>
    </row>
    <row r="1490" spans="3:15">
      <c r="C1490" s="233"/>
      <c r="D1490" s="233"/>
      <c r="E1490" s="761"/>
      <c r="F1490" s="234"/>
      <c r="G1490" s="234"/>
      <c r="H1490" s="233"/>
      <c r="I1490" s="233"/>
      <c r="J1490" s="761"/>
      <c r="K1490" s="233"/>
      <c r="L1490" s="233"/>
      <c r="M1490" s="233"/>
      <c r="N1490" s="2403"/>
      <c r="O1490" s="2403"/>
    </row>
    <row r="1491" spans="3:15">
      <c r="C1491" s="233"/>
      <c r="D1491" s="233"/>
      <c r="E1491" s="761"/>
      <c r="F1491" s="234"/>
      <c r="G1491" s="234"/>
      <c r="H1491" s="233"/>
      <c r="I1491" s="233"/>
      <c r="J1491" s="761"/>
      <c r="K1491" s="233"/>
      <c r="L1491" s="233"/>
      <c r="M1491" s="233"/>
      <c r="N1491" s="2403"/>
      <c r="O1491" s="2403"/>
    </row>
    <row r="1492" spans="3:15">
      <c r="C1492" s="233"/>
      <c r="D1492" s="233"/>
      <c r="E1492" s="761"/>
      <c r="F1492" s="234"/>
      <c r="G1492" s="234"/>
      <c r="H1492" s="233"/>
      <c r="I1492" s="233"/>
      <c r="J1492" s="761"/>
      <c r="K1492" s="233"/>
      <c r="L1492" s="233"/>
      <c r="M1492" s="233"/>
      <c r="N1492" s="2403"/>
      <c r="O1492" s="2403"/>
    </row>
    <row r="1493" spans="3:15">
      <c r="C1493" s="233"/>
      <c r="D1493" s="233"/>
      <c r="E1493" s="761"/>
      <c r="F1493" s="234"/>
      <c r="G1493" s="234"/>
      <c r="H1493" s="233"/>
      <c r="I1493" s="233"/>
      <c r="J1493" s="761"/>
      <c r="K1493" s="233"/>
      <c r="L1493" s="233"/>
      <c r="M1493" s="233"/>
      <c r="N1493" s="2403"/>
      <c r="O1493" s="2403"/>
    </row>
    <row r="1494" spans="3:15">
      <c r="C1494" s="233"/>
      <c r="D1494" s="233"/>
      <c r="E1494" s="761"/>
      <c r="F1494" s="234"/>
      <c r="G1494" s="234"/>
      <c r="H1494" s="233"/>
      <c r="I1494" s="233"/>
      <c r="J1494" s="761"/>
      <c r="K1494" s="233"/>
      <c r="L1494" s="233"/>
      <c r="M1494" s="233"/>
      <c r="N1494" s="2403"/>
      <c r="O1494" s="2403"/>
    </row>
    <row r="1495" spans="3:15">
      <c r="C1495" s="233"/>
      <c r="D1495" s="233"/>
      <c r="E1495" s="761"/>
      <c r="F1495" s="234"/>
      <c r="G1495" s="234"/>
      <c r="H1495" s="233"/>
      <c r="I1495" s="233"/>
      <c r="J1495" s="761"/>
      <c r="K1495" s="233"/>
      <c r="L1495" s="233"/>
      <c r="M1495" s="233"/>
      <c r="N1495" s="2403"/>
      <c r="O1495" s="2403"/>
    </row>
    <row r="1496" spans="3:15">
      <c r="C1496" s="233"/>
      <c r="D1496" s="233"/>
      <c r="E1496" s="761"/>
      <c r="F1496" s="234"/>
      <c r="G1496" s="234"/>
      <c r="H1496" s="233"/>
      <c r="I1496" s="233"/>
      <c r="J1496" s="761"/>
      <c r="K1496" s="233"/>
      <c r="L1496" s="233"/>
      <c r="M1496" s="233"/>
      <c r="N1496" s="2403"/>
      <c r="O1496" s="2403"/>
    </row>
    <row r="1497" spans="3:15">
      <c r="C1497" s="233"/>
      <c r="D1497" s="233"/>
      <c r="E1497" s="761"/>
      <c r="F1497" s="234"/>
      <c r="G1497" s="234"/>
      <c r="H1497" s="233"/>
      <c r="I1497" s="233"/>
      <c r="J1497" s="761"/>
      <c r="K1497" s="233"/>
      <c r="L1497" s="233"/>
      <c r="M1497" s="233"/>
      <c r="N1497" s="2403"/>
      <c r="O1497" s="2403"/>
    </row>
    <row r="1498" spans="3:15">
      <c r="C1498" s="233"/>
      <c r="D1498" s="233"/>
      <c r="E1498" s="761"/>
      <c r="F1498" s="234"/>
      <c r="G1498" s="234"/>
      <c r="H1498" s="233"/>
      <c r="I1498" s="233"/>
      <c r="J1498" s="761"/>
      <c r="K1498" s="233"/>
      <c r="L1498" s="233"/>
      <c r="M1498" s="233"/>
      <c r="N1498" s="2403"/>
      <c r="O1498" s="2403"/>
    </row>
    <row r="1499" spans="3:15">
      <c r="C1499" s="233"/>
      <c r="D1499" s="233"/>
      <c r="E1499" s="761"/>
      <c r="F1499" s="234"/>
      <c r="G1499" s="234"/>
      <c r="H1499" s="233"/>
      <c r="I1499" s="233"/>
      <c r="J1499" s="761"/>
      <c r="K1499" s="233"/>
      <c r="L1499" s="233"/>
      <c r="M1499" s="233"/>
      <c r="N1499" s="2403"/>
      <c r="O1499" s="2403"/>
    </row>
    <row r="1500" spans="3:15">
      <c r="C1500" s="233"/>
      <c r="D1500" s="233"/>
      <c r="E1500" s="761"/>
      <c r="F1500" s="234"/>
      <c r="G1500" s="234"/>
      <c r="H1500" s="233"/>
      <c r="I1500" s="233"/>
      <c r="J1500" s="761"/>
      <c r="K1500" s="233"/>
      <c r="L1500" s="233"/>
      <c r="M1500" s="233"/>
      <c r="N1500" s="2403"/>
      <c r="O1500" s="2403"/>
    </row>
    <row r="1501" spans="3:15">
      <c r="C1501" s="233"/>
      <c r="D1501" s="233"/>
      <c r="E1501" s="761"/>
      <c r="F1501" s="234"/>
      <c r="G1501" s="234"/>
      <c r="H1501" s="233"/>
      <c r="I1501" s="233"/>
      <c r="J1501" s="761"/>
      <c r="K1501" s="233"/>
      <c r="L1501" s="233"/>
      <c r="M1501" s="233"/>
      <c r="N1501" s="2403"/>
      <c r="O1501" s="2403"/>
    </row>
    <row r="1502" spans="3:15">
      <c r="C1502" s="233"/>
      <c r="D1502" s="233"/>
      <c r="E1502" s="761"/>
      <c r="F1502" s="234"/>
      <c r="G1502" s="234"/>
      <c r="H1502" s="233"/>
      <c r="I1502" s="233"/>
      <c r="J1502" s="761"/>
      <c r="K1502" s="233"/>
      <c r="L1502" s="233"/>
      <c r="M1502" s="233"/>
      <c r="N1502" s="2403"/>
      <c r="O1502" s="2403"/>
    </row>
    <row r="1503" spans="3:15">
      <c r="C1503" s="233"/>
      <c r="D1503" s="233"/>
      <c r="E1503" s="761"/>
      <c r="F1503" s="234"/>
      <c r="G1503" s="234"/>
      <c r="H1503" s="233"/>
      <c r="I1503" s="233"/>
      <c r="J1503" s="761"/>
      <c r="K1503" s="233"/>
      <c r="L1503" s="233"/>
      <c r="M1503" s="233"/>
      <c r="N1503" s="2403"/>
      <c r="O1503" s="2403"/>
    </row>
    <row r="1504" spans="3:15">
      <c r="C1504" s="233"/>
      <c r="D1504" s="233"/>
      <c r="E1504" s="761"/>
      <c r="F1504" s="234"/>
      <c r="G1504" s="234"/>
      <c r="H1504" s="233"/>
      <c r="I1504" s="233"/>
      <c r="J1504" s="761"/>
      <c r="K1504" s="233"/>
      <c r="L1504" s="233"/>
      <c r="M1504" s="233"/>
      <c r="N1504" s="2403"/>
      <c r="O1504" s="2403"/>
    </row>
    <row r="1505" spans="3:15">
      <c r="C1505" s="233"/>
      <c r="D1505" s="233"/>
      <c r="E1505" s="761"/>
      <c r="F1505" s="234"/>
      <c r="G1505" s="234"/>
      <c r="H1505" s="233"/>
      <c r="I1505" s="233"/>
      <c r="J1505" s="761"/>
      <c r="K1505" s="233"/>
      <c r="L1505" s="233"/>
      <c r="M1505" s="233"/>
      <c r="N1505" s="2403"/>
      <c r="O1505" s="2403"/>
    </row>
    <row r="1506" spans="3:15">
      <c r="C1506" s="233"/>
      <c r="D1506" s="233"/>
      <c r="E1506" s="761"/>
      <c r="F1506" s="234"/>
      <c r="G1506" s="234"/>
      <c r="H1506" s="233"/>
      <c r="I1506" s="233"/>
      <c r="J1506" s="761"/>
      <c r="K1506" s="233"/>
      <c r="L1506" s="233"/>
      <c r="M1506" s="233"/>
      <c r="N1506" s="2403"/>
      <c r="O1506" s="2403"/>
    </row>
    <row r="1507" spans="3:15">
      <c r="C1507" s="233"/>
      <c r="D1507" s="233"/>
      <c r="E1507" s="761"/>
      <c r="F1507" s="234"/>
      <c r="G1507" s="234"/>
      <c r="H1507" s="233"/>
      <c r="I1507" s="233"/>
      <c r="J1507" s="761"/>
      <c r="K1507" s="233"/>
      <c r="L1507" s="233"/>
      <c r="M1507" s="233"/>
      <c r="N1507" s="2403"/>
      <c r="O1507" s="2403"/>
    </row>
    <row r="1508" spans="3:15">
      <c r="C1508" s="233"/>
      <c r="D1508" s="233"/>
      <c r="E1508" s="761"/>
      <c r="F1508" s="234"/>
      <c r="G1508" s="234"/>
      <c r="H1508" s="233"/>
      <c r="I1508" s="233"/>
      <c r="J1508" s="761"/>
      <c r="K1508" s="233"/>
      <c r="L1508" s="233"/>
      <c r="M1508" s="233"/>
      <c r="N1508" s="2403"/>
      <c r="O1508" s="2403"/>
    </row>
    <row r="1509" spans="3:15">
      <c r="C1509" s="233"/>
      <c r="D1509" s="233"/>
      <c r="E1509" s="761"/>
      <c r="F1509" s="234"/>
      <c r="G1509" s="234"/>
      <c r="H1509" s="233"/>
      <c r="I1509" s="233"/>
      <c r="J1509" s="761"/>
      <c r="K1509" s="233"/>
      <c r="L1509" s="233"/>
      <c r="M1509" s="233"/>
      <c r="N1509" s="2403"/>
      <c r="O1509" s="2403"/>
    </row>
    <row r="1510" spans="3:15">
      <c r="C1510" s="233"/>
      <c r="D1510" s="233"/>
      <c r="E1510" s="761"/>
      <c r="F1510" s="234"/>
      <c r="G1510" s="234"/>
      <c r="H1510" s="233"/>
      <c r="I1510" s="233"/>
      <c r="J1510" s="761"/>
      <c r="K1510" s="233"/>
      <c r="L1510" s="233"/>
      <c r="M1510" s="233"/>
      <c r="N1510" s="2403"/>
      <c r="O1510" s="2403"/>
    </row>
    <row r="1511" spans="3:15">
      <c r="C1511" s="233"/>
      <c r="D1511" s="233"/>
      <c r="E1511" s="761"/>
      <c r="F1511" s="234"/>
      <c r="G1511" s="234"/>
      <c r="H1511" s="233"/>
      <c r="I1511" s="233"/>
      <c r="J1511" s="761"/>
      <c r="K1511" s="233"/>
      <c r="L1511" s="233"/>
      <c r="M1511" s="233"/>
      <c r="N1511" s="2403"/>
      <c r="O1511" s="2403"/>
    </row>
    <row r="1512" spans="3:15">
      <c r="C1512" s="233"/>
      <c r="D1512" s="233"/>
      <c r="E1512" s="761"/>
      <c r="F1512" s="234"/>
      <c r="G1512" s="234"/>
      <c r="H1512" s="233"/>
      <c r="I1512" s="233"/>
      <c r="J1512" s="761"/>
      <c r="K1512" s="233"/>
      <c r="L1512" s="233"/>
      <c r="M1512" s="233"/>
      <c r="N1512" s="2403"/>
      <c r="O1512" s="2403"/>
    </row>
    <row r="1513" spans="3:15">
      <c r="C1513" s="233"/>
      <c r="D1513" s="233"/>
      <c r="E1513" s="761"/>
      <c r="F1513" s="234"/>
      <c r="G1513" s="234"/>
      <c r="H1513" s="233"/>
      <c r="I1513" s="233"/>
      <c r="J1513" s="761"/>
      <c r="K1513" s="233"/>
      <c r="L1513" s="233"/>
      <c r="M1513" s="233"/>
      <c r="N1513" s="2403"/>
      <c r="O1513" s="2403"/>
    </row>
    <row r="1514" spans="3:15">
      <c r="C1514" s="233"/>
      <c r="D1514" s="233"/>
      <c r="E1514" s="761"/>
      <c r="F1514" s="234"/>
      <c r="G1514" s="234"/>
      <c r="H1514" s="233"/>
      <c r="I1514" s="233"/>
      <c r="J1514" s="761"/>
      <c r="K1514" s="233"/>
      <c r="L1514" s="233"/>
      <c r="M1514" s="233"/>
      <c r="N1514" s="2403"/>
      <c r="O1514" s="2403"/>
    </row>
    <row r="1515" spans="3:15">
      <c r="C1515" s="233"/>
      <c r="D1515" s="233"/>
      <c r="E1515" s="761"/>
      <c r="F1515" s="234"/>
      <c r="G1515" s="234"/>
      <c r="H1515" s="233"/>
      <c r="I1515" s="233"/>
      <c r="J1515" s="761"/>
      <c r="K1515" s="233"/>
      <c r="L1515" s="233"/>
      <c r="M1515" s="233"/>
      <c r="N1515" s="2403"/>
      <c r="O1515" s="2403"/>
    </row>
    <row r="1516" spans="3:15">
      <c r="C1516" s="233"/>
      <c r="D1516" s="233"/>
      <c r="E1516" s="761"/>
      <c r="F1516" s="234"/>
      <c r="G1516" s="234"/>
      <c r="H1516" s="233"/>
      <c r="I1516" s="233"/>
      <c r="J1516" s="761"/>
      <c r="K1516" s="233"/>
      <c r="L1516" s="233"/>
      <c r="M1516" s="233"/>
      <c r="N1516" s="2403"/>
      <c r="O1516" s="2403"/>
    </row>
    <row r="1517" spans="3:15">
      <c r="C1517" s="233"/>
      <c r="D1517" s="233"/>
      <c r="E1517" s="761"/>
      <c r="F1517" s="234"/>
      <c r="G1517" s="234"/>
      <c r="H1517" s="233"/>
      <c r="I1517" s="233"/>
      <c r="J1517" s="761"/>
      <c r="K1517" s="233"/>
      <c r="L1517" s="233"/>
      <c r="M1517" s="233"/>
      <c r="N1517" s="2403"/>
      <c r="O1517" s="2403"/>
    </row>
    <row r="1518" spans="3:15">
      <c r="C1518" s="233"/>
      <c r="D1518" s="233"/>
      <c r="E1518" s="761"/>
      <c r="F1518" s="234"/>
      <c r="G1518" s="234"/>
      <c r="H1518" s="233"/>
      <c r="I1518" s="233"/>
      <c r="J1518" s="761"/>
      <c r="K1518" s="233"/>
      <c r="L1518" s="233"/>
      <c r="M1518" s="233"/>
      <c r="N1518" s="2403"/>
      <c r="O1518" s="2403"/>
    </row>
    <row r="1519" spans="3:15">
      <c r="C1519" s="233"/>
      <c r="D1519" s="233"/>
      <c r="E1519" s="761"/>
      <c r="F1519" s="234"/>
      <c r="G1519" s="234"/>
      <c r="H1519" s="233"/>
      <c r="I1519" s="233"/>
      <c r="J1519" s="761"/>
      <c r="K1519" s="233"/>
      <c r="L1519" s="233"/>
      <c r="M1519" s="233"/>
      <c r="N1519" s="2403"/>
      <c r="O1519" s="2403"/>
    </row>
    <row r="1520" spans="3:15">
      <c r="C1520" s="233"/>
      <c r="D1520" s="233"/>
      <c r="E1520" s="761"/>
      <c r="F1520" s="234"/>
      <c r="G1520" s="234"/>
      <c r="H1520" s="233"/>
      <c r="I1520" s="233"/>
      <c r="J1520" s="761"/>
      <c r="K1520" s="233"/>
      <c r="L1520" s="233"/>
      <c r="M1520" s="233"/>
      <c r="N1520" s="2403"/>
      <c r="O1520" s="2403"/>
    </row>
    <row r="1521" spans="3:15">
      <c r="C1521" s="233"/>
      <c r="D1521" s="233"/>
      <c r="E1521" s="761"/>
      <c r="F1521" s="234"/>
      <c r="G1521" s="234"/>
      <c r="H1521" s="233"/>
      <c r="I1521" s="233"/>
      <c r="J1521" s="761"/>
      <c r="K1521" s="233"/>
      <c r="L1521" s="233"/>
      <c r="M1521" s="233"/>
      <c r="N1521" s="2403"/>
      <c r="O1521" s="2403"/>
    </row>
    <row r="1522" spans="3:15">
      <c r="C1522" s="233"/>
      <c r="D1522" s="233"/>
      <c r="E1522" s="761"/>
      <c r="F1522" s="234"/>
      <c r="G1522" s="234"/>
      <c r="H1522" s="233"/>
      <c r="I1522" s="233"/>
      <c r="J1522" s="761"/>
      <c r="K1522" s="233"/>
      <c r="L1522" s="233"/>
      <c r="M1522" s="233"/>
      <c r="N1522" s="2403"/>
      <c r="O1522" s="2403"/>
    </row>
    <row r="1523" spans="3:15">
      <c r="C1523" s="233"/>
      <c r="D1523" s="233"/>
      <c r="E1523" s="761"/>
      <c r="F1523" s="234"/>
      <c r="G1523" s="234"/>
      <c r="H1523" s="233"/>
      <c r="I1523" s="233"/>
      <c r="J1523" s="761"/>
      <c r="K1523" s="233"/>
      <c r="L1523" s="233"/>
      <c r="M1523" s="233"/>
      <c r="N1523" s="2403"/>
      <c r="O1523" s="2403"/>
    </row>
    <row r="1524" spans="3:15">
      <c r="C1524" s="233"/>
      <c r="D1524" s="233"/>
      <c r="E1524" s="761"/>
      <c r="F1524" s="234"/>
      <c r="G1524" s="234"/>
      <c r="H1524" s="233"/>
      <c r="I1524" s="233"/>
      <c r="J1524" s="761"/>
      <c r="K1524" s="233"/>
      <c r="L1524" s="233"/>
      <c r="M1524" s="233"/>
      <c r="N1524" s="2403"/>
      <c r="O1524" s="2403"/>
    </row>
    <row r="1525" spans="3:15">
      <c r="C1525" s="233"/>
      <c r="D1525" s="233"/>
      <c r="E1525" s="761"/>
      <c r="F1525" s="234"/>
      <c r="G1525" s="234"/>
      <c r="H1525" s="233"/>
      <c r="I1525" s="233"/>
      <c r="J1525" s="761"/>
      <c r="K1525" s="233"/>
      <c r="L1525" s="233"/>
      <c r="M1525" s="233"/>
      <c r="N1525" s="2403"/>
      <c r="O1525" s="2403"/>
    </row>
    <row r="1526" spans="3:15">
      <c r="C1526" s="233"/>
      <c r="D1526" s="233"/>
      <c r="E1526" s="761"/>
      <c r="F1526" s="234"/>
      <c r="G1526" s="234"/>
      <c r="H1526" s="233"/>
      <c r="I1526" s="233"/>
      <c r="J1526" s="761"/>
      <c r="K1526" s="233"/>
      <c r="L1526" s="233"/>
      <c r="M1526" s="233"/>
      <c r="N1526" s="2403"/>
      <c r="O1526" s="2403"/>
    </row>
    <row r="1527" spans="3:15">
      <c r="C1527" s="233"/>
      <c r="D1527" s="233"/>
      <c r="E1527" s="761"/>
      <c r="F1527" s="234"/>
      <c r="G1527" s="234"/>
      <c r="H1527" s="233"/>
      <c r="I1527" s="233"/>
      <c r="J1527" s="761"/>
      <c r="K1527" s="233"/>
      <c r="L1527" s="233"/>
      <c r="M1527" s="233"/>
      <c r="N1527" s="2403"/>
      <c r="O1527" s="2403"/>
    </row>
    <row r="1528" spans="3:15">
      <c r="C1528" s="233"/>
      <c r="D1528" s="233"/>
      <c r="E1528" s="761"/>
      <c r="F1528" s="234"/>
      <c r="G1528" s="234"/>
      <c r="H1528" s="233"/>
      <c r="I1528" s="233"/>
      <c r="J1528" s="761"/>
      <c r="K1528" s="233"/>
      <c r="L1528" s="233"/>
      <c r="M1528" s="233"/>
      <c r="N1528" s="2403"/>
      <c r="O1528" s="2403"/>
    </row>
    <row r="1529" spans="3:15">
      <c r="C1529" s="233"/>
      <c r="D1529" s="233"/>
      <c r="E1529" s="761"/>
      <c r="F1529" s="234"/>
      <c r="G1529" s="234"/>
      <c r="H1529" s="233"/>
      <c r="I1529" s="233"/>
      <c r="J1529" s="761"/>
      <c r="K1529" s="233"/>
      <c r="L1529" s="233"/>
      <c r="M1529" s="233"/>
      <c r="N1529" s="2403"/>
      <c r="O1529" s="2403"/>
    </row>
    <row r="1530" spans="3:15">
      <c r="C1530" s="233"/>
      <c r="D1530" s="233"/>
      <c r="E1530" s="761"/>
      <c r="F1530" s="234"/>
      <c r="G1530" s="234"/>
      <c r="H1530" s="233"/>
      <c r="I1530" s="233"/>
      <c r="J1530" s="761"/>
      <c r="K1530" s="233"/>
      <c r="L1530" s="233"/>
      <c r="M1530" s="233"/>
      <c r="N1530" s="2403"/>
      <c r="O1530" s="2403"/>
    </row>
    <row r="1531" spans="3:15">
      <c r="C1531" s="233"/>
      <c r="D1531" s="233"/>
      <c r="E1531" s="761"/>
      <c r="F1531" s="234"/>
      <c r="G1531" s="234"/>
      <c r="H1531" s="233"/>
      <c r="I1531" s="233"/>
      <c r="J1531" s="761"/>
      <c r="K1531" s="233"/>
      <c r="L1531" s="233"/>
      <c r="M1531" s="233"/>
      <c r="N1531" s="2403"/>
      <c r="O1531" s="2403"/>
    </row>
    <row r="1532" spans="3:15">
      <c r="C1532" s="233"/>
      <c r="D1532" s="233"/>
      <c r="E1532" s="761"/>
      <c r="F1532" s="234"/>
      <c r="G1532" s="234"/>
      <c r="H1532" s="233"/>
      <c r="I1532" s="233"/>
      <c r="J1532" s="761"/>
      <c r="K1532" s="233"/>
      <c r="L1532" s="233"/>
      <c r="M1532" s="233"/>
      <c r="N1532" s="2403"/>
      <c r="O1532" s="2403"/>
    </row>
    <row r="1533" spans="3:15">
      <c r="C1533" s="233"/>
      <c r="D1533" s="233"/>
      <c r="E1533" s="761"/>
      <c r="F1533" s="234"/>
      <c r="G1533" s="234"/>
      <c r="H1533" s="233"/>
      <c r="I1533" s="233"/>
      <c r="J1533" s="761"/>
      <c r="K1533" s="233"/>
      <c r="L1533" s="233"/>
      <c r="M1533" s="233"/>
      <c r="N1533" s="2403"/>
      <c r="O1533" s="2403"/>
    </row>
    <row r="1534" spans="3:15">
      <c r="C1534" s="233"/>
      <c r="D1534" s="233"/>
      <c r="E1534" s="761"/>
      <c r="F1534" s="234"/>
      <c r="G1534" s="234"/>
      <c r="H1534" s="233"/>
      <c r="I1534" s="233"/>
      <c r="J1534" s="761"/>
      <c r="K1534" s="233"/>
      <c r="L1534" s="233"/>
      <c r="M1534" s="233"/>
      <c r="N1534" s="2403"/>
      <c r="O1534" s="2403"/>
    </row>
    <row r="1535" spans="3:15">
      <c r="C1535" s="233"/>
      <c r="D1535" s="233"/>
      <c r="E1535" s="761"/>
      <c r="F1535" s="234"/>
      <c r="G1535" s="234"/>
      <c r="H1535" s="233"/>
      <c r="I1535" s="233"/>
      <c r="J1535" s="761"/>
      <c r="K1535" s="233"/>
      <c r="L1535" s="233"/>
      <c r="M1535" s="233"/>
      <c r="N1535" s="2403"/>
      <c r="O1535" s="2403"/>
    </row>
    <row r="1536" spans="3:15">
      <c r="C1536" s="233"/>
      <c r="D1536" s="233"/>
      <c r="E1536" s="761"/>
      <c r="F1536" s="234"/>
      <c r="G1536" s="234"/>
      <c r="H1536" s="233"/>
      <c r="I1536" s="233"/>
      <c r="J1536" s="761"/>
      <c r="K1536" s="233"/>
      <c r="L1536" s="233"/>
      <c r="M1536" s="233"/>
      <c r="N1536" s="2403"/>
      <c r="O1536" s="2403"/>
    </row>
    <row r="1537" spans="3:15">
      <c r="C1537" s="233"/>
      <c r="D1537" s="233"/>
      <c r="E1537" s="761"/>
      <c r="F1537" s="234"/>
      <c r="G1537" s="234"/>
      <c r="H1537" s="233"/>
      <c r="I1537" s="233"/>
      <c r="J1537" s="761"/>
      <c r="K1537" s="233"/>
      <c r="L1537" s="233"/>
      <c r="M1537" s="233"/>
      <c r="N1537" s="2403"/>
      <c r="O1537" s="2403"/>
    </row>
    <row r="1538" spans="3:15">
      <c r="C1538" s="233"/>
      <c r="D1538" s="233"/>
      <c r="E1538" s="761"/>
      <c r="F1538" s="234"/>
      <c r="G1538" s="234"/>
      <c r="H1538" s="233"/>
      <c r="I1538" s="233"/>
      <c r="J1538" s="761"/>
      <c r="K1538" s="233"/>
      <c r="L1538" s="233"/>
      <c r="M1538" s="233"/>
      <c r="N1538" s="2403"/>
      <c r="O1538" s="2403"/>
    </row>
    <row r="1539" spans="3:15">
      <c r="C1539" s="233"/>
      <c r="D1539" s="233"/>
      <c r="E1539" s="761"/>
      <c r="F1539" s="234"/>
      <c r="G1539" s="234"/>
      <c r="H1539" s="233"/>
      <c r="I1539" s="233"/>
      <c r="J1539" s="761"/>
      <c r="K1539" s="233"/>
      <c r="L1539" s="233"/>
      <c r="M1539" s="233"/>
      <c r="N1539" s="2403"/>
      <c r="O1539" s="2403"/>
    </row>
    <row r="1540" spans="3:15">
      <c r="C1540" s="233"/>
      <c r="D1540" s="233"/>
      <c r="E1540" s="761"/>
      <c r="F1540" s="234"/>
      <c r="G1540" s="234"/>
      <c r="H1540" s="233"/>
      <c r="I1540" s="233"/>
      <c r="J1540" s="761"/>
      <c r="K1540" s="233"/>
      <c r="L1540" s="233"/>
      <c r="M1540" s="233"/>
      <c r="N1540" s="2403"/>
      <c r="O1540" s="2403"/>
    </row>
    <row r="1541" spans="3:15">
      <c r="C1541" s="233"/>
      <c r="D1541" s="233"/>
      <c r="E1541" s="761"/>
      <c r="F1541" s="234"/>
      <c r="G1541" s="234"/>
      <c r="H1541" s="233"/>
      <c r="I1541" s="233"/>
      <c r="J1541" s="761"/>
      <c r="K1541" s="233"/>
      <c r="L1541" s="233"/>
      <c r="M1541" s="233"/>
      <c r="N1541" s="2403"/>
      <c r="O1541" s="2403"/>
    </row>
    <row r="1542" spans="3:15">
      <c r="C1542" s="233"/>
      <c r="D1542" s="233"/>
      <c r="E1542" s="761"/>
      <c r="F1542" s="234"/>
      <c r="G1542" s="234"/>
      <c r="H1542" s="233"/>
      <c r="I1542" s="233"/>
      <c r="J1542" s="761"/>
      <c r="K1542" s="233"/>
      <c r="L1542" s="233"/>
      <c r="M1542" s="233"/>
      <c r="N1542" s="2403"/>
      <c r="O1542" s="2403"/>
    </row>
    <row r="1543" spans="3:15">
      <c r="C1543" s="233"/>
      <c r="D1543" s="233"/>
      <c r="E1543" s="761"/>
      <c r="F1543" s="234"/>
      <c r="G1543" s="234"/>
      <c r="H1543" s="233"/>
      <c r="I1543" s="233"/>
      <c r="J1543" s="761"/>
      <c r="K1543" s="233"/>
      <c r="L1543" s="233"/>
      <c r="M1543" s="233"/>
      <c r="N1543" s="2403"/>
      <c r="O1543" s="2403"/>
    </row>
    <row r="1544" spans="3:15">
      <c r="C1544" s="233"/>
      <c r="D1544" s="233"/>
      <c r="E1544" s="761"/>
      <c r="F1544" s="234"/>
      <c r="G1544" s="234"/>
      <c r="H1544" s="233"/>
      <c r="I1544" s="233"/>
      <c r="J1544" s="761"/>
      <c r="K1544" s="233"/>
      <c r="L1544" s="233"/>
      <c r="M1544" s="233"/>
      <c r="N1544" s="2403"/>
      <c r="O1544" s="2403"/>
    </row>
    <row r="1545" spans="3:15">
      <c r="C1545" s="233"/>
      <c r="D1545" s="233"/>
      <c r="E1545" s="761"/>
      <c r="F1545" s="234"/>
      <c r="G1545" s="234"/>
      <c r="H1545" s="233"/>
      <c r="I1545" s="233"/>
      <c r="J1545" s="761"/>
      <c r="K1545" s="233"/>
      <c r="L1545" s="233"/>
      <c r="M1545" s="233"/>
      <c r="N1545" s="2403"/>
      <c r="O1545" s="2403"/>
    </row>
    <row r="1546" spans="3:15">
      <c r="C1546" s="233"/>
      <c r="D1546" s="233"/>
      <c r="E1546" s="761"/>
      <c r="F1546" s="234"/>
      <c r="G1546" s="234"/>
      <c r="H1546" s="233"/>
      <c r="I1546" s="233"/>
      <c r="J1546" s="761"/>
      <c r="K1546" s="233"/>
      <c r="L1546" s="233"/>
      <c r="M1546" s="233"/>
      <c r="N1546" s="2403"/>
      <c r="O1546" s="2403"/>
    </row>
    <row r="1547" spans="3:15">
      <c r="C1547" s="233"/>
      <c r="D1547" s="233"/>
      <c r="E1547" s="761"/>
      <c r="F1547" s="234"/>
      <c r="G1547" s="234"/>
      <c r="H1547" s="233"/>
      <c r="I1547" s="233"/>
      <c r="J1547" s="761"/>
      <c r="K1547" s="233"/>
      <c r="L1547" s="233"/>
      <c r="M1547" s="233"/>
      <c r="N1547" s="2403"/>
      <c r="O1547" s="2403"/>
    </row>
    <row r="1548" spans="3:15">
      <c r="C1548" s="233"/>
      <c r="D1548" s="233"/>
      <c r="E1548" s="761"/>
      <c r="F1548" s="234"/>
      <c r="G1548" s="234"/>
      <c r="H1548" s="233"/>
      <c r="I1548" s="233"/>
      <c r="J1548" s="761"/>
      <c r="K1548" s="233"/>
      <c r="L1548" s="233"/>
      <c r="M1548" s="233"/>
      <c r="N1548" s="2403"/>
      <c r="O1548" s="2403"/>
    </row>
    <row r="1549" spans="3:15">
      <c r="C1549" s="233"/>
      <c r="D1549" s="233"/>
      <c r="E1549" s="761"/>
      <c r="F1549" s="234"/>
      <c r="G1549" s="234"/>
      <c r="H1549" s="233"/>
      <c r="I1549" s="233"/>
      <c r="J1549" s="761"/>
      <c r="K1549" s="233"/>
      <c r="L1549" s="233"/>
      <c r="M1549" s="233"/>
      <c r="N1549" s="2403"/>
      <c r="O1549" s="2403"/>
    </row>
    <row r="1550" spans="3:15">
      <c r="C1550" s="233"/>
      <c r="D1550" s="233"/>
      <c r="E1550" s="761"/>
      <c r="F1550" s="234"/>
      <c r="G1550" s="234"/>
      <c r="H1550" s="233"/>
      <c r="I1550" s="233"/>
      <c r="J1550" s="761"/>
      <c r="K1550" s="233"/>
      <c r="L1550" s="233"/>
      <c r="M1550" s="233"/>
      <c r="N1550" s="2403"/>
      <c r="O1550" s="2403"/>
    </row>
    <row r="1551" spans="3:15">
      <c r="C1551" s="233"/>
      <c r="D1551" s="233"/>
      <c r="E1551" s="761"/>
      <c r="F1551" s="234"/>
      <c r="G1551" s="234"/>
      <c r="H1551" s="233"/>
      <c r="I1551" s="233"/>
      <c r="J1551" s="761"/>
      <c r="K1551" s="233"/>
      <c r="L1551" s="233"/>
      <c r="M1551" s="233"/>
      <c r="N1551" s="2403"/>
      <c r="O1551" s="2403"/>
    </row>
    <row r="1552" spans="3:15">
      <c r="C1552" s="233"/>
      <c r="D1552" s="233"/>
      <c r="E1552" s="761"/>
      <c r="F1552" s="234"/>
      <c r="G1552" s="234"/>
      <c r="H1552" s="233"/>
      <c r="I1552" s="233"/>
      <c r="J1552" s="761"/>
      <c r="K1552" s="233"/>
      <c r="L1552" s="233"/>
      <c r="M1552" s="233"/>
      <c r="N1552" s="2403"/>
      <c r="O1552" s="2403"/>
    </row>
    <row r="1553" spans="3:15">
      <c r="C1553" s="233"/>
      <c r="D1553" s="233"/>
      <c r="E1553" s="761"/>
      <c r="F1553" s="234"/>
      <c r="G1553" s="234"/>
      <c r="H1553" s="233"/>
      <c r="I1553" s="233"/>
      <c r="J1553" s="761"/>
      <c r="K1553" s="233"/>
      <c r="L1553" s="233"/>
      <c r="M1553" s="233"/>
      <c r="N1553" s="2403"/>
      <c r="O1553" s="2403"/>
    </row>
    <row r="1554" spans="3:15">
      <c r="C1554" s="233"/>
      <c r="D1554" s="233"/>
      <c r="E1554" s="761"/>
      <c r="F1554" s="234"/>
      <c r="G1554" s="234"/>
      <c r="H1554" s="233"/>
      <c r="I1554" s="233"/>
      <c r="J1554" s="761"/>
      <c r="K1554" s="233"/>
      <c r="L1554" s="233"/>
      <c r="M1554" s="233"/>
      <c r="N1554" s="2403"/>
      <c r="O1554" s="2403"/>
    </row>
    <row r="1555" spans="3:15">
      <c r="C1555" s="233"/>
      <c r="D1555" s="233"/>
      <c r="E1555" s="761"/>
      <c r="F1555" s="234"/>
      <c r="G1555" s="234"/>
      <c r="H1555" s="233"/>
      <c r="I1555" s="233"/>
      <c r="J1555" s="761"/>
      <c r="K1555" s="233"/>
      <c r="L1555" s="233"/>
      <c r="M1555" s="233"/>
      <c r="N1555" s="2403"/>
      <c r="O1555" s="2403"/>
    </row>
    <row r="1556" spans="3:15">
      <c r="C1556" s="233"/>
      <c r="D1556" s="233"/>
      <c r="E1556" s="761"/>
      <c r="F1556" s="234"/>
      <c r="G1556" s="234"/>
      <c r="H1556" s="233"/>
      <c r="I1556" s="233"/>
      <c r="J1556" s="761"/>
      <c r="K1556" s="233"/>
      <c r="L1556" s="233"/>
      <c r="M1556" s="233"/>
      <c r="N1556" s="2403"/>
      <c r="O1556" s="2403"/>
    </row>
    <row r="1557" spans="3:15">
      <c r="C1557" s="233"/>
      <c r="D1557" s="233"/>
      <c r="E1557" s="761"/>
      <c r="F1557" s="234"/>
      <c r="G1557" s="234"/>
      <c r="H1557" s="233"/>
      <c r="I1557" s="233"/>
      <c r="J1557" s="761"/>
      <c r="K1557" s="233"/>
      <c r="L1557" s="233"/>
      <c r="M1557" s="233"/>
      <c r="N1557" s="2403"/>
      <c r="O1557" s="2403"/>
    </row>
    <row r="1558" spans="3:15">
      <c r="C1558" s="233"/>
      <c r="D1558" s="233"/>
      <c r="E1558" s="761"/>
      <c r="F1558" s="234"/>
      <c r="G1558" s="234"/>
      <c r="H1558" s="233"/>
      <c r="I1558" s="233"/>
      <c r="J1558" s="761"/>
      <c r="K1558" s="233"/>
      <c r="L1558" s="233"/>
      <c r="M1558" s="233"/>
      <c r="N1558" s="2403"/>
      <c r="O1558" s="2403"/>
    </row>
    <row r="1559" spans="3:15">
      <c r="C1559" s="233"/>
      <c r="D1559" s="233"/>
      <c r="E1559" s="761"/>
      <c r="F1559" s="234"/>
      <c r="G1559" s="234"/>
      <c r="H1559" s="233"/>
      <c r="I1559" s="233"/>
      <c r="J1559" s="761"/>
      <c r="K1559" s="233"/>
      <c r="L1559" s="233"/>
      <c r="M1559" s="233"/>
      <c r="N1559" s="2403"/>
      <c r="O1559" s="2403"/>
    </row>
    <row r="1560" spans="3:15">
      <c r="C1560" s="233"/>
      <c r="D1560" s="233"/>
      <c r="E1560" s="761"/>
      <c r="F1560" s="234"/>
      <c r="G1560" s="234"/>
      <c r="H1560" s="233"/>
      <c r="I1560" s="233"/>
      <c r="J1560" s="761"/>
      <c r="K1560" s="233"/>
      <c r="L1560" s="233"/>
      <c r="M1560" s="233"/>
      <c r="N1560" s="2403"/>
      <c r="O1560" s="2403"/>
    </row>
    <row r="1561" spans="3:15">
      <c r="C1561" s="233"/>
      <c r="D1561" s="233"/>
      <c r="E1561" s="761"/>
      <c r="F1561" s="234"/>
      <c r="G1561" s="234"/>
      <c r="H1561" s="233"/>
      <c r="I1561" s="233"/>
      <c r="J1561" s="761"/>
      <c r="K1561" s="233"/>
      <c r="L1561" s="233"/>
      <c r="M1561" s="233"/>
      <c r="N1561" s="2403"/>
      <c r="O1561" s="2403"/>
    </row>
    <row r="1562" spans="3:15">
      <c r="C1562" s="233"/>
      <c r="D1562" s="233"/>
      <c r="E1562" s="761"/>
      <c r="F1562" s="234"/>
      <c r="G1562" s="234"/>
      <c r="H1562" s="233"/>
      <c r="I1562" s="233"/>
      <c r="J1562" s="761"/>
      <c r="K1562" s="233"/>
      <c r="L1562" s="233"/>
      <c r="M1562" s="233"/>
      <c r="N1562" s="2403"/>
      <c r="O1562" s="2403"/>
    </row>
    <row r="1563" spans="3:15">
      <c r="C1563" s="233"/>
      <c r="D1563" s="233"/>
      <c r="E1563" s="761"/>
      <c r="F1563" s="234"/>
      <c r="G1563" s="234"/>
      <c r="H1563" s="233"/>
      <c r="I1563" s="233"/>
      <c r="J1563" s="761"/>
      <c r="K1563" s="233"/>
      <c r="L1563" s="233"/>
      <c r="M1563" s="233"/>
      <c r="N1563" s="2403"/>
      <c r="O1563" s="2403"/>
    </row>
    <row r="1564" spans="3:15">
      <c r="C1564" s="233"/>
      <c r="D1564" s="233"/>
      <c r="E1564" s="761"/>
      <c r="F1564" s="234"/>
      <c r="G1564" s="234"/>
      <c r="H1564" s="233"/>
      <c r="I1564" s="233"/>
      <c r="J1564" s="761"/>
      <c r="K1564" s="233"/>
      <c r="L1564" s="233"/>
      <c r="M1564" s="233"/>
      <c r="N1564" s="2403"/>
      <c r="O1564" s="2403"/>
    </row>
    <row r="1565" spans="3:15">
      <c r="C1565" s="233"/>
      <c r="D1565" s="233"/>
      <c r="E1565" s="761"/>
      <c r="F1565" s="234"/>
      <c r="G1565" s="234"/>
      <c r="H1565" s="233"/>
      <c r="I1565" s="233"/>
      <c r="J1565" s="761"/>
      <c r="K1565" s="233"/>
      <c r="L1565" s="233"/>
      <c r="M1565" s="233"/>
      <c r="N1565" s="2403"/>
      <c r="O1565" s="2403"/>
    </row>
    <row r="1566" spans="3:15">
      <c r="C1566" s="233"/>
      <c r="D1566" s="233"/>
      <c r="E1566" s="761"/>
      <c r="F1566" s="234"/>
      <c r="G1566" s="234"/>
      <c r="H1566" s="233"/>
      <c r="I1566" s="233"/>
      <c r="J1566" s="761"/>
      <c r="K1566" s="233"/>
      <c r="L1566" s="233"/>
      <c r="M1566" s="233"/>
      <c r="N1566" s="2403"/>
      <c r="O1566" s="2403"/>
    </row>
    <row r="1567" spans="3:15">
      <c r="C1567" s="233"/>
      <c r="D1567" s="233"/>
      <c r="E1567" s="761"/>
      <c r="F1567" s="234"/>
      <c r="G1567" s="234"/>
      <c r="H1567" s="233"/>
      <c r="I1567" s="233"/>
      <c r="J1567" s="761"/>
      <c r="K1567" s="233"/>
      <c r="L1567" s="233"/>
      <c r="M1567" s="233"/>
      <c r="N1567" s="2403"/>
      <c r="O1567" s="2403"/>
    </row>
    <row r="1568" spans="3:15">
      <c r="C1568" s="233"/>
      <c r="D1568" s="233"/>
      <c r="E1568" s="761"/>
      <c r="F1568" s="234"/>
      <c r="G1568" s="234"/>
      <c r="H1568" s="233"/>
      <c r="I1568" s="233"/>
      <c r="J1568" s="761"/>
      <c r="K1568" s="233"/>
      <c r="L1568" s="233"/>
      <c r="M1568" s="233"/>
      <c r="N1568" s="2403"/>
      <c r="O1568" s="2403"/>
    </row>
    <row r="1569" spans="3:15">
      <c r="C1569" s="233"/>
      <c r="D1569" s="233"/>
      <c r="E1569" s="761"/>
      <c r="F1569" s="234"/>
      <c r="G1569" s="234"/>
      <c r="H1569" s="233"/>
      <c r="I1569" s="233"/>
      <c r="J1569" s="761"/>
      <c r="K1569" s="233"/>
      <c r="L1569" s="233"/>
      <c r="M1569" s="233"/>
      <c r="N1569" s="2403"/>
      <c r="O1569" s="2403"/>
    </row>
    <row r="1570" spans="3:15">
      <c r="C1570" s="233"/>
      <c r="D1570" s="233"/>
      <c r="E1570" s="761"/>
      <c r="F1570" s="234"/>
      <c r="G1570" s="234"/>
      <c r="H1570" s="233"/>
      <c r="I1570" s="233"/>
      <c r="J1570" s="761"/>
      <c r="K1570" s="233"/>
      <c r="L1570" s="233"/>
      <c r="M1570" s="233"/>
      <c r="N1570" s="2403"/>
      <c r="O1570" s="2403"/>
    </row>
    <row r="1571" spans="3:15">
      <c r="C1571" s="233"/>
      <c r="D1571" s="233"/>
      <c r="E1571" s="761"/>
      <c r="F1571" s="234"/>
      <c r="G1571" s="234"/>
      <c r="H1571" s="233"/>
      <c r="I1571" s="233"/>
      <c r="J1571" s="761"/>
      <c r="K1571" s="233"/>
      <c r="L1571" s="233"/>
      <c r="M1571" s="233"/>
      <c r="N1571" s="2403"/>
      <c r="O1571" s="2403"/>
    </row>
    <row r="1572" spans="3:15">
      <c r="C1572" s="233"/>
      <c r="D1572" s="233"/>
      <c r="E1572" s="761"/>
      <c r="F1572" s="234"/>
      <c r="G1572" s="234"/>
      <c r="H1572" s="233"/>
      <c r="I1572" s="233"/>
      <c r="J1572" s="761"/>
      <c r="K1572" s="233"/>
      <c r="L1572" s="233"/>
      <c r="M1572" s="233"/>
      <c r="N1572" s="2403"/>
      <c r="O1572" s="2403"/>
    </row>
    <row r="1573" spans="3:15">
      <c r="C1573" s="233"/>
      <c r="D1573" s="233"/>
      <c r="E1573" s="761"/>
      <c r="F1573" s="234"/>
      <c r="G1573" s="234"/>
      <c r="H1573" s="233"/>
      <c r="I1573" s="233"/>
      <c r="J1573" s="761"/>
      <c r="K1573" s="233"/>
      <c r="L1573" s="233"/>
      <c r="M1573" s="233"/>
      <c r="N1573" s="2403"/>
      <c r="O1573" s="2403"/>
    </row>
    <row r="1574" spans="3:15">
      <c r="C1574" s="233"/>
      <c r="D1574" s="233"/>
      <c r="E1574" s="761"/>
      <c r="F1574" s="234"/>
      <c r="G1574" s="234"/>
      <c r="H1574" s="233"/>
      <c r="I1574" s="233"/>
      <c r="J1574" s="761"/>
      <c r="K1574" s="233"/>
      <c r="L1574" s="233"/>
      <c r="M1574" s="233"/>
      <c r="N1574" s="2403"/>
      <c r="O1574" s="2403"/>
    </row>
    <row r="1575" spans="3:15">
      <c r="C1575" s="233"/>
      <c r="D1575" s="233"/>
      <c r="E1575" s="761"/>
      <c r="F1575" s="234"/>
      <c r="G1575" s="234"/>
      <c r="H1575" s="233"/>
      <c r="I1575" s="233"/>
      <c r="J1575" s="761"/>
      <c r="K1575" s="233"/>
      <c r="L1575" s="233"/>
      <c r="M1575" s="233"/>
      <c r="N1575" s="2403"/>
      <c r="O1575" s="2403"/>
    </row>
    <row r="1576" spans="3:15">
      <c r="C1576" s="233"/>
      <c r="D1576" s="233"/>
      <c r="E1576" s="761"/>
      <c r="F1576" s="234"/>
      <c r="G1576" s="234"/>
      <c r="H1576" s="233"/>
      <c r="I1576" s="233"/>
      <c r="J1576" s="761"/>
      <c r="K1576" s="233"/>
      <c r="L1576" s="233"/>
      <c r="M1576" s="233"/>
      <c r="N1576" s="2403"/>
      <c r="O1576" s="2403"/>
    </row>
    <row r="1577" spans="3:15">
      <c r="C1577" s="233"/>
      <c r="D1577" s="233"/>
      <c r="E1577" s="761"/>
      <c r="F1577" s="234"/>
      <c r="G1577" s="234"/>
      <c r="H1577" s="233"/>
      <c r="I1577" s="233"/>
      <c r="J1577" s="761"/>
      <c r="K1577" s="233"/>
      <c r="L1577" s="233"/>
      <c r="M1577" s="233"/>
      <c r="N1577" s="2403"/>
      <c r="O1577" s="2403"/>
    </row>
    <row r="1578" spans="3:15">
      <c r="C1578" s="233"/>
      <c r="D1578" s="233"/>
      <c r="E1578" s="761"/>
      <c r="F1578" s="234"/>
      <c r="G1578" s="234"/>
      <c r="H1578" s="233"/>
      <c r="I1578" s="233"/>
      <c r="J1578" s="761"/>
      <c r="K1578" s="233"/>
      <c r="L1578" s="233"/>
      <c r="M1578" s="233"/>
      <c r="N1578" s="2403"/>
      <c r="O1578" s="2403"/>
    </row>
    <row r="1579" spans="3:15">
      <c r="C1579" s="233"/>
      <c r="D1579" s="233"/>
      <c r="E1579" s="761"/>
      <c r="F1579" s="234"/>
      <c r="G1579" s="234"/>
      <c r="H1579" s="233"/>
      <c r="I1579" s="233"/>
      <c r="J1579" s="761"/>
      <c r="K1579" s="233"/>
      <c r="L1579" s="233"/>
      <c r="M1579" s="233"/>
      <c r="N1579" s="2403"/>
      <c r="O1579" s="2403"/>
    </row>
    <row r="1580" spans="3:15">
      <c r="C1580" s="233"/>
      <c r="D1580" s="233"/>
      <c r="E1580" s="761"/>
      <c r="F1580" s="234"/>
      <c r="G1580" s="234"/>
      <c r="H1580" s="233"/>
      <c r="I1580" s="233"/>
      <c r="J1580" s="761"/>
      <c r="K1580" s="233"/>
      <c r="L1580" s="233"/>
      <c r="M1580" s="233"/>
      <c r="N1580" s="2403"/>
      <c r="O1580" s="2403"/>
    </row>
    <row r="1581" spans="3:15">
      <c r="C1581" s="233"/>
      <c r="D1581" s="233"/>
      <c r="E1581" s="761"/>
      <c r="F1581" s="234"/>
      <c r="G1581" s="234"/>
      <c r="H1581" s="233"/>
      <c r="I1581" s="233"/>
      <c r="J1581" s="761"/>
      <c r="K1581" s="233"/>
      <c r="L1581" s="233"/>
      <c r="M1581" s="233"/>
      <c r="N1581" s="2403"/>
      <c r="O1581" s="2403"/>
    </row>
    <row r="1582" spans="3:15">
      <c r="C1582" s="233"/>
      <c r="D1582" s="233"/>
      <c r="E1582" s="761"/>
      <c r="F1582" s="234"/>
      <c r="G1582" s="234"/>
      <c r="H1582" s="233"/>
      <c r="I1582" s="233"/>
      <c r="J1582" s="761"/>
      <c r="K1582" s="233"/>
      <c r="L1582" s="233"/>
      <c r="M1582" s="233"/>
      <c r="N1582" s="2403"/>
      <c r="O1582" s="2403"/>
    </row>
    <row r="1583" spans="3:15">
      <c r="C1583" s="233"/>
      <c r="D1583" s="233"/>
      <c r="E1583" s="761"/>
      <c r="F1583" s="234"/>
      <c r="G1583" s="234"/>
      <c r="H1583" s="233"/>
      <c r="I1583" s="233"/>
      <c r="J1583" s="761"/>
      <c r="K1583" s="233"/>
      <c r="L1583" s="233"/>
      <c r="M1583" s="233"/>
      <c r="N1583" s="2403"/>
      <c r="O1583" s="2403"/>
    </row>
    <row r="1584" spans="3:15">
      <c r="C1584" s="233"/>
      <c r="D1584" s="233"/>
      <c r="E1584" s="761"/>
      <c r="F1584" s="234"/>
      <c r="G1584" s="234"/>
      <c r="H1584" s="233"/>
      <c r="I1584" s="233"/>
      <c r="J1584" s="761"/>
      <c r="K1584" s="233"/>
      <c r="L1584" s="233"/>
      <c r="M1584" s="233"/>
      <c r="N1584" s="2403"/>
      <c r="O1584" s="2403"/>
    </row>
    <row r="1585" spans="3:15">
      <c r="C1585" s="233"/>
      <c r="D1585" s="233"/>
      <c r="E1585" s="761"/>
      <c r="F1585" s="234"/>
      <c r="G1585" s="234"/>
      <c r="H1585" s="233"/>
      <c r="I1585" s="233"/>
      <c r="J1585" s="761"/>
      <c r="K1585" s="233"/>
      <c r="L1585" s="233"/>
      <c r="M1585" s="233"/>
      <c r="N1585" s="2403"/>
      <c r="O1585" s="2403"/>
    </row>
    <row r="1586" spans="3:15">
      <c r="C1586" s="233"/>
      <c r="D1586" s="233"/>
      <c r="E1586" s="761"/>
      <c r="F1586" s="234"/>
      <c r="G1586" s="234"/>
      <c r="H1586" s="233"/>
      <c r="I1586" s="233"/>
      <c r="J1586" s="761"/>
      <c r="K1586" s="233"/>
      <c r="L1586" s="233"/>
      <c r="M1586" s="233"/>
      <c r="N1586" s="2403"/>
      <c r="O1586" s="2403"/>
    </row>
    <row r="1587" spans="3:15">
      <c r="C1587" s="233"/>
      <c r="D1587" s="233"/>
      <c r="E1587" s="761"/>
      <c r="F1587" s="234"/>
      <c r="G1587" s="234"/>
      <c r="H1587" s="233"/>
      <c r="I1587" s="233"/>
      <c r="J1587" s="761"/>
      <c r="K1587" s="233"/>
      <c r="L1587" s="233"/>
      <c r="M1587" s="233"/>
      <c r="N1587" s="2403"/>
      <c r="O1587" s="2403"/>
    </row>
    <row r="1588" spans="3:15">
      <c r="C1588" s="233"/>
      <c r="D1588" s="233"/>
      <c r="E1588" s="761"/>
      <c r="F1588" s="234"/>
      <c r="G1588" s="234"/>
      <c r="H1588" s="233"/>
      <c r="I1588" s="233"/>
      <c r="J1588" s="761"/>
      <c r="K1588" s="233"/>
      <c r="L1588" s="233"/>
      <c r="M1588" s="233"/>
      <c r="N1588" s="2403"/>
      <c r="O1588" s="2403"/>
    </row>
    <row r="1589" spans="3:15">
      <c r="C1589" s="233"/>
      <c r="D1589" s="233"/>
      <c r="E1589" s="761"/>
      <c r="F1589" s="234"/>
      <c r="G1589" s="234"/>
      <c r="H1589" s="233"/>
      <c r="I1589" s="233"/>
      <c r="J1589" s="761"/>
      <c r="K1589" s="233"/>
      <c r="L1589" s="233"/>
      <c r="M1589" s="233"/>
      <c r="N1589" s="2403"/>
      <c r="O1589" s="2403"/>
    </row>
    <row r="1590" spans="3:15">
      <c r="C1590" s="233"/>
      <c r="D1590" s="233"/>
      <c r="E1590" s="761"/>
      <c r="F1590" s="234"/>
      <c r="G1590" s="234"/>
      <c r="H1590" s="233"/>
      <c r="I1590" s="233"/>
      <c r="J1590" s="761"/>
      <c r="K1590" s="233"/>
      <c r="L1590" s="233"/>
      <c r="M1590" s="233"/>
      <c r="N1590" s="2403"/>
      <c r="O1590" s="2403"/>
    </row>
    <row r="1591" spans="3:15">
      <c r="C1591" s="233"/>
      <c r="D1591" s="233"/>
      <c r="E1591" s="761"/>
      <c r="F1591" s="234"/>
      <c r="G1591" s="234"/>
      <c r="H1591" s="233"/>
      <c r="I1591" s="233"/>
      <c r="J1591" s="761"/>
      <c r="K1591" s="233"/>
      <c r="L1591" s="233"/>
      <c r="M1591" s="233"/>
      <c r="N1591" s="2403"/>
      <c r="O1591" s="2403"/>
    </row>
    <row r="1592" spans="3:15">
      <c r="C1592" s="233"/>
      <c r="D1592" s="233"/>
      <c r="E1592" s="761"/>
      <c r="F1592" s="234"/>
      <c r="G1592" s="234"/>
      <c r="H1592" s="233"/>
      <c r="I1592" s="233"/>
      <c r="J1592" s="761"/>
      <c r="K1592" s="233"/>
      <c r="L1592" s="233"/>
      <c r="M1592" s="233"/>
      <c r="N1592" s="2403"/>
      <c r="O1592" s="2403"/>
    </row>
    <row r="1593" spans="3:15">
      <c r="C1593" s="233"/>
      <c r="D1593" s="233"/>
      <c r="E1593" s="761"/>
      <c r="F1593" s="234"/>
      <c r="G1593" s="234"/>
      <c r="H1593" s="233"/>
      <c r="I1593" s="233"/>
      <c r="J1593" s="761"/>
      <c r="K1593" s="233"/>
      <c r="L1593" s="233"/>
      <c r="M1593" s="233"/>
      <c r="N1593" s="2403"/>
      <c r="O1593" s="2403"/>
    </row>
    <row r="1594" spans="3:15">
      <c r="C1594" s="233"/>
      <c r="D1594" s="233"/>
      <c r="E1594" s="761"/>
      <c r="F1594" s="234"/>
      <c r="G1594" s="234"/>
      <c r="H1594" s="233"/>
      <c r="I1594" s="233"/>
      <c r="J1594" s="761"/>
      <c r="K1594" s="233"/>
      <c r="L1594" s="233"/>
      <c r="M1594" s="233"/>
      <c r="N1594" s="2403"/>
      <c r="O1594" s="2403"/>
    </row>
    <row r="1595" spans="3:15">
      <c r="C1595" s="233"/>
      <c r="D1595" s="233"/>
      <c r="E1595" s="761"/>
      <c r="F1595" s="234"/>
      <c r="G1595" s="234"/>
      <c r="H1595" s="233"/>
      <c r="I1595" s="233"/>
      <c r="J1595" s="761"/>
      <c r="K1595" s="233"/>
      <c r="L1595" s="233"/>
      <c r="M1595" s="233"/>
      <c r="N1595" s="2403"/>
      <c r="O1595" s="2403"/>
    </row>
    <row r="1596" spans="3:15">
      <c r="C1596" s="233"/>
      <c r="D1596" s="233"/>
      <c r="E1596" s="761"/>
      <c r="F1596" s="234"/>
      <c r="G1596" s="234"/>
      <c r="H1596" s="233"/>
      <c r="I1596" s="233"/>
      <c r="J1596" s="761"/>
      <c r="K1596" s="233"/>
      <c r="L1596" s="233"/>
      <c r="M1596" s="233"/>
      <c r="N1596" s="2403"/>
      <c r="O1596" s="2403"/>
    </row>
    <row r="1597" spans="3:15">
      <c r="C1597" s="233"/>
      <c r="D1597" s="233"/>
      <c r="E1597" s="761"/>
      <c r="F1597" s="234"/>
      <c r="G1597" s="234"/>
      <c r="H1597" s="233"/>
      <c r="I1597" s="233"/>
      <c r="J1597" s="761"/>
      <c r="K1597" s="233"/>
      <c r="L1597" s="233"/>
      <c r="M1597" s="233"/>
      <c r="N1597" s="2403"/>
      <c r="O1597" s="2403"/>
    </row>
    <row r="1598" spans="3:15">
      <c r="C1598" s="233"/>
      <c r="D1598" s="233"/>
      <c r="E1598" s="761"/>
      <c r="F1598" s="234"/>
      <c r="G1598" s="234"/>
      <c r="H1598" s="233"/>
      <c r="I1598" s="233"/>
      <c r="J1598" s="761"/>
      <c r="K1598" s="233"/>
      <c r="L1598" s="233"/>
      <c r="M1598" s="233"/>
      <c r="N1598" s="2403"/>
      <c r="O1598" s="2403"/>
    </row>
    <row r="1599" spans="3:15">
      <c r="C1599" s="233"/>
      <c r="D1599" s="233"/>
      <c r="E1599" s="761"/>
      <c r="F1599" s="234"/>
      <c r="G1599" s="234"/>
      <c r="H1599" s="233"/>
      <c r="I1599" s="233"/>
      <c r="J1599" s="761"/>
      <c r="K1599" s="233"/>
      <c r="L1599" s="233"/>
      <c r="M1599" s="233"/>
      <c r="N1599" s="2403"/>
      <c r="O1599" s="2403"/>
    </row>
    <row r="1600" spans="3:15">
      <c r="C1600" s="233"/>
      <c r="D1600" s="233"/>
      <c r="E1600" s="761"/>
      <c r="F1600" s="234"/>
      <c r="G1600" s="234"/>
      <c r="H1600" s="233"/>
      <c r="I1600" s="233"/>
      <c r="J1600" s="761"/>
      <c r="K1600" s="233"/>
      <c r="L1600" s="233"/>
      <c r="M1600" s="233"/>
      <c r="N1600" s="2403"/>
      <c r="O1600" s="2403"/>
    </row>
    <row r="1601" spans="3:15">
      <c r="C1601" s="233"/>
      <c r="D1601" s="233"/>
      <c r="E1601" s="761"/>
      <c r="F1601" s="234"/>
      <c r="G1601" s="234"/>
      <c r="H1601" s="233"/>
      <c r="I1601" s="233"/>
      <c r="J1601" s="761"/>
      <c r="K1601" s="233"/>
      <c r="L1601" s="233"/>
      <c r="M1601" s="233"/>
      <c r="N1601" s="2403"/>
      <c r="O1601" s="2403"/>
    </row>
    <row r="1602" spans="3:15">
      <c r="C1602" s="233"/>
      <c r="D1602" s="233"/>
      <c r="E1602" s="761"/>
      <c r="F1602" s="234"/>
      <c r="G1602" s="234"/>
      <c r="H1602" s="233"/>
      <c r="I1602" s="233"/>
      <c r="J1602" s="761"/>
      <c r="K1602" s="233"/>
      <c r="L1602" s="233"/>
      <c r="M1602" s="233"/>
      <c r="N1602" s="2403"/>
      <c r="O1602" s="2403"/>
    </row>
    <row r="1603" spans="3:15">
      <c r="C1603" s="233"/>
      <c r="D1603" s="233"/>
      <c r="E1603" s="761"/>
      <c r="F1603" s="234"/>
      <c r="G1603" s="234"/>
      <c r="H1603" s="233"/>
      <c r="I1603" s="233"/>
      <c r="J1603" s="761"/>
      <c r="K1603" s="233"/>
      <c r="L1603" s="233"/>
      <c r="M1603" s="233"/>
      <c r="N1603" s="2403"/>
      <c r="O1603" s="2403"/>
    </row>
    <row r="1604" spans="3:15">
      <c r="C1604" s="233"/>
      <c r="D1604" s="233"/>
      <c r="E1604" s="761"/>
      <c r="F1604" s="234"/>
      <c r="G1604" s="234"/>
      <c r="H1604" s="233"/>
      <c r="I1604" s="233"/>
      <c r="J1604" s="761"/>
      <c r="K1604" s="233"/>
      <c r="L1604" s="233"/>
      <c r="M1604" s="233"/>
      <c r="N1604" s="2403"/>
      <c r="O1604" s="2403"/>
    </row>
    <row r="1605" spans="3:15">
      <c r="C1605" s="233"/>
      <c r="D1605" s="233"/>
      <c r="E1605" s="761"/>
      <c r="F1605" s="234"/>
      <c r="G1605" s="234"/>
      <c r="H1605" s="233"/>
      <c r="I1605" s="233"/>
      <c r="J1605" s="761"/>
      <c r="K1605" s="233"/>
      <c r="L1605" s="233"/>
      <c r="M1605" s="233"/>
      <c r="N1605" s="2403"/>
      <c r="O1605" s="2403"/>
    </row>
    <row r="1606" spans="3:15">
      <c r="C1606" s="233"/>
      <c r="D1606" s="233"/>
      <c r="E1606" s="761"/>
      <c r="F1606" s="234"/>
      <c r="G1606" s="234"/>
      <c r="H1606" s="233"/>
      <c r="I1606" s="233"/>
      <c r="J1606" s="761"/>
      <c r="K1606" s="233"/>
      <c r="L1606" s="233"/>
      <c r="M1606" s="233"/>
      <c r="N1606" s="2403"/>
      <c r="O1606" s="2403"/>
    </row>
    <row r="1607" spans="3:15">
      <c r="C1607" s="233"/>
      <c r="D1607" s="233"/>
      <c r="E1607" s="761"/>
      <c r="F1607" s="234"/>
      <c r="G1607" s="234"/>
      <c r="H1607" s="233"/>
      <c r="I1607" s="233"/>
      <c r="J1607" s="761"/>
      <c r="K1607" s="233"/>
      <c r="L1607" s="233"/>
      <c r="M1607" s="233"/>
      <c r="N1607" s="2403"/>
      <c r="O1607" s="2403"/>
    </row>
    <row r="1608" spans="3:15">
      <c r="C1608" s="233"/>
      <c r="D1608" s="233"/>
      <c r="E1608" s="761"/>
      <c r="F1608" s="234"/>
      <c r="G1608" s="234"/>
      <c r="H1608" s="233"/>
      <c r="I1608" s="233"/>
      <c r="J1608" s="761"/>
      <c r="K1608" s="233"/>
      <c r="L1608" s="233"/>
      <c r="M1608" s="233"/>
      <c r="N1608" s="2403"/>
      <c r="O1608" s="2403"/>
    </row>
    <row r="1609" spans="3:15">
      <c r="C1609" s="233"/>
      <c r="D1609" s="233"/>
      <c r="E1609" s="761"/>
      <c r="F1609" s="234"/>
      <c r="G1609" s="234"/>
      <c r="H1609" s="233"/>
      <c r="I1609" s="233"/>
      <c r="J1609" s="761"/>
      <c r="K1609" s="233"/>
      <c r="L1609" s="233"/>
      <c r="M1609" s="233"/>
      <c r="N1609" s="2403"/>
      <c r="O1609" s="2403"/>
    </row>
    <row r="1610" spans="3:15">
      <c r="C1610" s="233"/>
      <c r="D1610" s="233"/>
      <c r="E1610" s="761"/>
      <c r="F1610" s="234"/>
      <c r="G1610" s="234"/>
      <c r="H1610" s="233"/>
      <c r="I1610" s="233"/>
      <c r="J1610" s="761"/>
      <c r="K1610" s="233"/>
      <c r="L1610" s="233"/>
      <c r="M1610" s="233"/>
      <c r="N1610" s="2403"/>
      <c r="O1610" s="2403"/>
    </row>
    <row r="1611" spans="3:15">
      <c r="C1611" s="233"/>
      <c r="D1611" s="233"/>
      <c r="E1611" s="761"/>
      <c r="F1611" s="234"/>
      <c r="G1611" s="234"/>
      <c r="H1611" s="233"/>
      <c r="I1611" s="233"/>
      <c r="J1611" s="761"/>
      <c r="K1611" s="233"/>
      <c r="L1611" s="233"/>
      <c r="M1611" s="233"/>
      <c r="N1611" s="2403"/>
      <c r="O1611" s="2403"/>
    </row>
    <row r="1612" spans="3:15">
      <c r="C1612" s="233"/>
      <c r="D1612" s="233"/>
      <c r="E1612" s="761"/>
      <c r="F1612" s="234"/>
      <c r="G1612" s="234"/>
      <c r="H1612" s="233"/>
      <c r="I1612" s="233"/>
      <c r="J1612" s="761"/>
      <c r="K1612" s="233"/>
      <c r="L1612" s="233"/>
      <c r="M1612" s="233"/>
      <c r="N1612" s="2403"/>
      <c r="O1612" s="2403"/>
    </row>
    <row r="1613" spans="3:15">
      <c r="C1613" s="233"/>
      <c r="D1613" s="233"/>
      <c r="E1613" s="761"/>
      <c r="F1613" s="234"/>
      <c r="G1613" s="234"/>
      <c r="H1613" s="233"/>
      <c r="I1613" s="233"/>
      <c r="J1613" s="761"/>
      <c r="K1613" s="233"/>
      <c r="L1613" s="233"/>
      <c r="M1613" s="233"/>
      <c r="N1613" s="2403"/>
      <c r="O1613" s="2403"/>
    </row>
    <row r="1614" spans="3:15">
      <c r="C1614" s="233"/>
      <c r="D1614" s="233"/>
      <c r="E1614" s="761"/>
      <c r="F1614" s="234"/>
      <c r="G1614" s="234"/>
      <c r="H1614" s="233"/>
      <c r="I1614" s="233"/>
      <c r="J1614" s="761"/>
      <c r="K1614" s="233"/>
      <c r="L1614" s="233"/>
      <c r="M1614" s="233"/>
      <c r="N1614" s="2403"/>
      <c r="O1614" s="2403"/>
    </row>
    <row r="1615" spans="3:15">
      <c r="C1615" s="233"/>
      <c r="D1615" s="233"/>
      <c r="E1615" s="761"/>
      <c r="F1615" s="234"/>
      <c r="G1615" s="234"/>
      <c r="H1615" s="233"/>
      <c r="I1615" s="233"/>
      <c r="J1615" s="761"/>
      <c r="K1615" s="233"/>
      <c r="L1615" s="233"/>
      <c r="M1615" s="233"/>
      <c r="N1615" s="2403"/>
      <c r="O1615" s="2403"/>
    </row>
    <row r="1616" spans="3:15">
      <c r="C1616" s="233"/>
      <c r="D1616" s="233"/>
      <c r="E1616" s="761"/>
      <c r="F1616" s="234"/>
      <c r="G1616" s="234"/>
      <c r="H1616" s="233"/>
      <c r="I1616" s="233"/>
      <c r="J1616" s="761"/>
      <c r="K1616" s="233"/>
      <c r="L1616" s="233"/>
      <c r="M1616" s="233"/>
      <c r="N1616" s="2403"/>
      <c r="O1616" s="2403"/>
    </row>
    <row r="1617" spans="3:15">
      <c r="C1617" s="233"/>
      <c r="D1617" s="233"/>
      <c r="E1617" s="761"/>
      <c r="F1617" s="234"/>
      <c r="G1617" s="234"/>
      <c r="H1617" s="233"/>
      <c r="I1617" s="233"/>
      <c r="J1617" s="761"/>
      <c r="K1617" s="233"/>
      <c r="L1617" s="233"/>
      <c r="M1617" s="233"/>
      <c r="N1617" s="2403"/>
      <c r="O1617" s="2403"/>
    </row>
    <row r="1618" spans="3:15">
      <c r="C1618" s="233"/>
      <c r="D1618" s="233"/>
      <c r="E1618" s="761"/>
      <c r="F1618" s="234"/>
      <c r="G1618" s="234"/>
      <c r="H1618" s="233"/>
      <c r="I1618" s="233"/>
      <c r="J1618" s="761"/>
      <c r="K1618" s="233"/>
      <c r="L1618" s="233"/>
      <c r="M1618" s="233"/>
      <c r="N1618" s="2403"/>
      <c r="O1618" s="2403"/>
    </row>
    <row r="1619" spans="3:15">
      <c r="C1619" s="233"/>
      <c r="D1619" s="233"/>
      <c r="E1619" s="761"/>
      <c r="F1619" s="234"/>
      <c r="G1619" s="234"/>
      <c r="H1619" s="233"/>
      <c r="I1619" s="233"/>
      <c r="J1619" s="761"/>
      <c r="K1619" s="233"/>
      <c r="L1619" s="233"/>
      <c r="M1619" s="233"/>
      <c r="N1619" s="2403"/>
      <c r="O1619" s="2403"/>
    </row>
    <row r="1620" spans="3:15">
      <c r="C1620" s="233"/>
      <c r="D1620" s="233"/>
      <c r="E1620" s="761"/>
      <c r="F1620" s="234"/>
      <c r="G1620" s="234"/>
      <c r="H1620" s="233"/>
      <c r="I1620" s="233"/>
      <c r="J1620" s="761"/>
      <c r="K1620" s="233"/>
      <c r="L1620" s="233"/>
      <c r="M1620" s="233"/>
      <c r="N1620" s="2403"/>
      <c r="O1620" s="2403"/>
    </row>
    <row r="1621" spans="3:15">
      <c r="C1621" s="233"/>
      <c r="D1621" s="233"/>
      <c r="E1621" s="761"/>
      <c r="F1621" s="234"/>
      <c r="G1621" s="234"/>
      <c r="H1621" s="233"/>
      <c r="I1621" s="233"/>
      <c r="J1621" s="761"/>
      <c r="K1621" s="233"/>
      <c r="L1621" s="233"/>
      <c r="M1621" s="233"/>
      <c r="N1621" s="2403"/>
      <c r="O1621" s="2403"/>
    </row>
    <row r="1622" spans="3:15">
      <c r="C1622" s="233"/>
      <c r="D1622" s="233"/>
      <c r="E1622" s="761"/>
      <c r="F1622" s="234"/>
      <c r="G1622" s="234"/>
      <c r="H1622" s="233"/>
      <c r="I1622" s="233"/>
      <c r="J1622" s="761"/>
      <c r="K1622" s="233"/>
      <c r="L1622" s="233"/>
      <c r="M1622" s="233"/>
      <c r="N1622" s="2403"/>
      <c r="O1622" s="2403"/>
    </row>
    <row r="1623" spans="3:15">
      <c r="C1623" s="233"/>
      <c r="D1623" s="233"/>
      <c r="E1623" s="761"/>
      <c r="F1623" s="234"/>
      <c r="G1623" s="234"/>
      <c r="H1623" s="233"/>
      <c r="I1623" s="233"/>
      <c r="J1623" s="761"/>
      <c r="K1623" s="233"/>
      <c r="L1623" s="233"/>
      <c r="M1623" s="233"/>
      <c r="N1623" s="2403"/>
      <c r="O1623" s="2403"/>
    </row>
    <row r="1624" spans="3:15">
      <c r="C1624" s="233"/>
      <c r="D1624" s="233"/>
      <c r="E1624" s="761"/>
      <c r="F1624" s="234"/>
      <c r="G1624" s="234"/>
      <c r="H1624" s="233"/>
      <c r="I1624" s="233"/>
      <c r="J1624" s="761"/>
      <c r="K1624" s="233"/>
      <c r="L1624" s="233"/>
      <c r="M1624" s="233"/>
      <c r="N1624" s="2403"/>
      <c r="O1624" s="2403"/>
    </row>
    <row r="1625" spans="3:15">
      <c r="C1625" s="233"/>
      <c r="D1625" s="233"/>
      <c r="E1625" s="761"/>
      <c r="F1625" s="234"/>
      <c r="G1625" s="234"/>
      <c r="H1625" s="233"/>
      <c r="I1625" s="233"/>
      <c r="J1625" s="761"/>
      <c r="K1625" s="233"/>
      <c r="L1625" s="233"/>
      <c r="M1625" s="233"/>
      <c r="N1625" s="2403"/>
      <c r="O1625" s="2403"/>
    </row>
    <row r="1626" spans="3:15">
      <c r="C1626" s="233"/>
      <c r="D1626" s="233"/>
      <c r="E1626" s="761"/>
      <c r="F1626" s="234"/>
      <c r="G1626" s="234"/>
      <c r="H1626" s="233"/>
      <c r="I1626" s="233"/>
      <c r="J1626" s="761"/>
      <c r="K1626" s="233"/>
      <c r="L1626" s="233"/>
      <c r="M1626" s="233"/>
      <c r="N1626" s="2403"/>
      <c r="O1626" s="2403"/>
    </row>
    <row r="1627" spans="3:15">
      <c r="C1627" s="233"/>
      <c r="D1627" s="233"/>
      <c r="E1627" s="761"/>
      <c r="F1627" s="234"/>
      <c r="G1627" s="234"/>
      <c r="H1627" s="233"/>
      <c r="I1627" s="233"/>
      <c r="J1627" s="761"/>
      <c r="K1627" s="233"/>
      <c r="L1627" s="233"/>
      <c r="M1627" s="233"/>
      <c r="N1627" s="2403"/>
      <c r="O1627" s="2403"/>
    </row>
    <row r="1628" spans="3:15">
      <c r="C1628" s="233"/>
      <c r="D1628" s="233"/>
      <c r="E1628" s="761"/>
      <c r="F1628" s="234"/>
      <c r="G1628" s="234"/>
      <c r="H1628" s="233"/>
      <c r="I1628" s="233"/>
      <c r="J1628" s="761"/>
      <c r="K1628" s="233"/>
      <c r="L1628" s="233"/>
      <c r="M1628" s="233"/>
      <c r="N1628" s="2403"/>
      <c r="O1628" s="2403"/>
    </row>
    <row r="1629" spans="3:15">
      <c r="C1629" s="233"/>
      <c r="D1629" s="233"/>
      <c r="E1629" s="761"/>
      <c r="F1629" s="234"/>
      <c r="G1629" s="234"/>
      <c r="H1629" s="233"/>
      <c r="I1629" s="233"/>
      <c r="J1629" s="761"/>
      <c r="K1629" s="233"/>
      <c r="L1629" s="233"/>
      <c r="M1629" s="233"/>
      <c r="N1629" s="2403"/>
      <c r="O1629" s="2403"/>
    </row>
    <row r="1630" spans="3:15">
      <c r="C1630" s="233"/>
      <c r="D1630" s="233"/>
      <c r="E1630" s="761"/>
      <c r="F1630" s="234"/>
      <c r="G1630" s="234"/>
      <c r="H1630" s="233"/>
      <c r="I1630" s="233"/>
      <c r="J1630" s="761"/>
      <c r="K1630" s="233"/>
      <c r="L1630" s="233"/>
      <c r="M1630" s="233"/>
      <c r="N1630" s="2403"/>
      <c r="O1630" s="2403"/>
    </row>
    <row r="1631" spans="3:15">
      <c r="C1631" s="233"/>
      <c r="D1631" s="233"/>
      <c r="E1631" s="761"/>
      <c r="F1631" s="234"/>
      <c r="G1631" s="234"/>
      <c r="H1631" s="233"/>
      <c r="I1631" s="233"/>
      <c r="J1631" s="761"/>
      <c r="K1631" s="233"/>
      <c r="L1631" s="233"/>
      <c r="M1631" s="233"/>
      <c r="N1631" s="2403"/>
      <c r="O1631" s="2403"/>
    </row>
    <row r="1632" spans="3:15">
      <c r="C1632" s="233"/>
      <c r="D1632" s="233"/>
      <c r="E1632" s="761"/>
      <c r="F1632" s="234"/>
      <c r="G1632" s="234"/>
      <c r="H1632" s="233"/>
      <c r="I1632" s="233"/>
      <c r="J1632" s="761"/>
      <c r="K1632" s="233"/>
      <c r="L1632" s="233"/>
      <c r="M1632" s="233"/>
      <c r="N1632" s="2403"/>
      <c r="O1632" s="2403"/>
    </row>
    <row r="1633" spans="3:15">
      <c r="C1633" s="233"/>
      <c r="D1633" s="233"/>
      <c r="E1633" s="761"/>
      <c r="F1633" s="234"/>
      <c r="G1633" s="234"/>
      <c r="H1633" s="233"/>
      <c r="I1633" s="233"/>
      <c r="J1633" s="761"/>
      <c r="K1633" s="233"/>
      <c r="L1633" s="233"/>
      <c r="M1633" s="233"/>
      <c r="N1633" s="2403"/>
      <c r="O1633" s="2403"/>
    </row>
    <row r="1634" spans="3:15">
      <c r="C1634" s="233"/>
      <c r="D1634" s="233"/>
      <c r="E1634" s="761"/>
      <c r="F1634" s="234"/>
      <c r="G1634" s="234"/>
      <c r="H1634" s="233"/>
      <c r="I1634" s="233"/>
      <c r="J1634" s="761"/>
      <c r="K1634" s="233"/>
      <c r="L1634" s="233"/>
      <c r="M1634" s="233"/>
      <c r="N1634" s="2403"/>
      <c r="O1634" s="2403"/>
    </row>
    <row r="1635" spans="3:15">
      <c r="C1635" s="233"/>
      <c r="D1635" s="233"/>
      <c r="E1635" s="761"/>
      <c r="F1635" s="234"/>
      <c r="G1635" s="234"/>
      <c r="H1635" s="233"/>
      <c r="I1635" s="233"/>
      <c r="J1635" s="761"/>
      <c r="K1635" s="233"/>
      <c r="L1635" s="233"/>
      <c r="M1635" s="233"/>
      <c r="N1635" s="2403"/>
      <c r="O1635" s="2403"/>
    </row>
    <row r="1636" spans="3:15">
      <c r="C1636" s="233"/>
      <c r="D1636" s="233"/>
      <c r="E1636" s="761"/>
      <c r="F1636" s="234"/>
      <c r="G1636" s="234"/>
      <c r="H1636" s="233"/>
      <c r="I1636" s="233"/>
      <c r="J1636" s="761"/>
      <c r="K1636" s="233"/>
      <c r="L1636" s="233"/>
      <c r="M1636" s="233"/>
      <c r="N1636" s="2403"/>
      <c r="O1636" s="2403"/>
    </row>
    <row r="1637" spans="3:15">
      <c r="C1637" s="233"/>
      <c r="D1637" s="233"/>
      <c r="E1637" s="761"/>
      <c r="F1637" s="234"/>
      <c r="G1637" s="234"/>
      <c r="H1637" s="233"/>
      <c r="I1637" s="233"/>
      <c r="J1637" s="761"/>
      <c r="K1637" s="233"/>
      <c r="L1637" s="233"/>
      <c r="M1637" s="233"/>
      <c r="N1637" s="2403"/>
      <c r="O1637" s="2403"/>
    </row>
    <row r="1638" spans="3:15">
      <c r="C1638" s="233"/>
      <c r="D1638" s="233"/>
      <c r="E1638" s="761"/>
      <c r="F1638" s="234"/>
      <c r="G1638" s="234"/>
      <c r="H1638" s="233"/>
      <c r="I1638" s="233"/>
      <c r="J1638" s="761"/>
      <c r="K1638" s="233"/>
      <c r="L1638" s="233"/>
      <c r="M1638" s="233"/>
      <c r="N1638" s="2403"/>
      <c r="O1638" s="2403"/>
    </row>
    <row r="1639" spans="3:15">
      <c r="C1639" s="233"/>
      <c r="D1639" s="233"/>
      <c r="E1639" s="761"/>
      <c r="F1639" s="234"/>
      <c r="G1639" s="234"/>
      <c r="H1639" s="233"/>
      <c r="I1639" s="233"/>
      <c r="J1639" s="761"/>
      <c r="K1639" s="233"/>
      <c r="L1639" s="233"/>
      <c r="M1639" s="233"/>
      <c r="N1639" s="2403"/>
      <c r="O1639" s="2403"/>
    </row>
    <row r="1640" spans="3:15">
      <c r="C1640" s="233"/>
      <c r="D1640" s="233"/>
      <c r="E1640" s="761"/>
      <c r="F1640" s="234"/>
      <c r="G1640" s="234"/>
      <c r="H1640" s="233"/>
      <c r="I1640" s="233"/>
      <c r="J1640" s="761"/>
      <c r="K1640" s="233"/>
      <c r="L1640" s="233"/>
      <c r="M1640" s="233"/>
      <c r="N1640" s="2403"/>
      <c r="O1640" s="2403"/>
    </row>
    <row r="1641" spans="3:15">
      <c r="C1641" s="233"/>
      <c r="D1641" s="233"/>
      <c r="E1641" s="761"/>
      <c r="F1641" s="234"/>
      <c r="G1641" s="234"/>
      <c r="H1641" s="233"/>
      <c r="I1641" s="233"/>
      <c r="J1641" s="761"/>
      <c r="K1641" s="233"/>
      <c r="L1641" s="233"/>
      <c r="M1641" s="233"/>
      <c r="N1641" s="2403"/>
      <c r="O1641" s="2403"/>
    </row>
    <row r="1642" spans="3:15">
      <c r="C1642" s="233"/>
      <c r="D1642" s="233"/>
      <c r="E1642" s="761"/>
      <c r="F1642" s="234"/>
      <c r="G1642" s="234"/>
      <c r="H1642" s="233"/>
      <c r="I1642" s="233"/>
      <c r="J1642" s="761"/>
      <c r="K1642" s="233"/>
      <c r="L1642" s="233"/>
      <c r="M1642" s="233"/>
      <c r="N1642" s="2403"/>
      <c r="O1642" s="2403"/>
    </row>
    <row r="1643" spans="3:15">
      <c r="C1643" s="233"/>
      <c r="D1643" s="233"/>
      <c r="E1643" s="761"/>
      <c r="F1643" s="234"/>
      <c r="G1643" s="234"/>
      <c r="H1643" s="233"/>
      <c r="I1643" s="233"/>
      <c r="J1643" s="761"/>
      <c r="K1643" s="233"/>
      <c r="L1643" s="233"/>
      <c r="M1643" s="233"/>
      <c r="N1643" s="2403"/>
      <c r="O1643" s="2403"/>
    </row>
    <row r="1644" spans="3:15">
      <c r="C1644" s="233"/>
      <c r="D1644" s="233"/>
      <c r="E1644" s="761"/>
      <c r="F1644" s="234"/>
      <c r="G1644" s="234"/>
      <c r="H1644" s="233"/>
      <c r="I1644" s="233"/>
      <c r="J1644" s="761"/>
      <c r="K1644" s="233"/>
      <c r="L1644" s="233"/>
      <c r="M1644" s="233"/>
      <c r="N1644" s="2403"/>
      <c r="O1644" s="2403"/>
    </row>
    <row r="1645" spans="3:15">
      <c r="C1645" s="233"/>
      <c r="D1645" s="233"/>
      <c r="E1645" s="761"/>
      <c r="F1645" s="234"/>
      <c r="G1645" s="234"/>
      <c r="H1645" s="233"/>
      <c r="I1645" s="233"/>
      <c r="J1645" s="761"/>
      <c r="K1645" s="233"/>
      <c r="L1645" s="233"/>
      <c r="M1645" s="233"/>
      <c r="N1645" s="2403"/>
      <c r="O1645" s="2403"/>
    </row>
    <row r="1646" spans="3:15">
      <c r="C1646" s="233"/>
      <c r="D1646" s="233"/>
      <c r="E1646" s="761"/>
      <c r="F1646" s="234"/>
      <c r="G1646" s="234"/>
      <c r="H1646" s="233"/>
      <c r="I1646" s="233"/>
      <c r="J1646" s="761"/>
      <c r="K1646" s="233"/>
      <c r="L1646" s="233"/>
      <c r="M1646" s="233"/>
      <c r="N1646" s="2403"/>
      <c r="O1646" s="2403"/>
    </row>
    <row r="1647" spans="3:15">
      <c r="C1647" s="233"/>
      <c r="D1647" s="233"/>
      <c r="E1647" s="761"/>
      <c r="F1647" s="234"/>
      <c r="G1647" s="234"/>
      <c r="H1647" s="233"/>
      <c r="I1647" s="233"/>
      <c r="J1647" s="761"/>
      <c r="K1647" s="233"/>
      <c r="L1647" s="233"/>
      <c r="M1647" s="233"/>
      <c r="N1647" s="2403"/>
      <c r="O1647" s="2403"/>
    </row>
    <row r="1648" spans="3:15">
      <c r="C1648" s="233"/>
      <c r="D1648" s="233"/>
      <c r="E1648" s="761"/>
      <c r="F1648" s="234"/>
      <c r="G1648" s="234"/>
      <c r="H1648" s="233"/>
      <c r="I1648" s="233"/>
      <c r="J1648" s="761"/>
      <c r="K1648" s="233"/>
      <c r="L1648" s="233"/>
      <c r="M1648" s="233"/>
      <c r="N1648" s="2403"/>
      <c r="O1648" s="2403"/>
    </row>
    <row r="1649" spans="3:15">
      <c r="C1649" s="233"/>
      <c r="D1649" s="233"/>
      <c r="E1649" s="761"/>
      <c r="F1649" s="234"/>
      <c r="G1649" s="234"/>
      <c r="H1649" s="233"/>
      <c r="I1649" s="233"/>
      <c r="J1649" s="761"/>
      <c r="K1649" s="233"/>
      <c r="L1649" s="233"/>
      <c r="M1649" s="233"/>
      <c r="N1649" s="2403"/>
      <c r="O1649" s="2403"/>
    </row>
    <row r="1650" spans="3:15">
      <c r="C1650" s="233"/>
      <c r="D1650" s="233"/>
      <c r="E1650" s="761"/>
      <c r="F1650" s="234"/>
      <c r="G1650" s="234"/>
      <c r="H1650" s="233"/>
      <c r="I1650" s="233"/>
      <c r="J1650" s="761"/>
      <c r="K1650" s="233"/>
      <c r="L1650" s="233"/>
      <c r="M1650" s="233"/>
      <c r="N1650" s="2403"/>
      <c r="O1650" s="2403"/>
    </row>
    <row r="1651" spans="3:15">
      <c r="C1651" s="233"/>
      <c r="D1651" s="233"/>
      <c r="E1651" s="761"/>
      <c r="F1651" s="234"/>
      <c r="G1651" s="234"/>
      <c r="H1651" s="233"/>
      <c r="I1651" s="233"/>
      <c r="J1651" s="761"/>
      <c r="K1651" s="233"/>
      <c r="L1651" s="233"/>
      <c r="M1651" s="233"/>
      <c r="N1651" s="2403"/>
      <c r="O1651" s="2403"/>
    </row>
    <row r="1652" spans="3:15">
      <c r="C1652" s="233"/>
      <c r="D1652" s="233"/>
      <c r="E1652" s="761"/>
      <c r="F1652" s="234"/>
      <c r="G1652" s="234"/>
      <c r="H1652" s="233"/>
      <c r="I1652" s="233"/>
      <c r="J1652" s="761"/>
      <c r="K1652" s="233"/>
      <c r="L1652" s="233"/>
      <c r="M1652" s="233"/>
      <c r="N1652" s="2403"/>
      <c r="O1652" s="2403"/>
    </row>
    <row r="1653" spans="3:15">
      <c r="C1653" s="233"/>
      <c r="D1653" s="233"/>
      <c r="E1653" s="761"/>
      <c r="F1653" s="234"/>
      <c r="G1653" s="234"/>
      <c r="H1653" s="233"/>
      <c r="I1653" s="233"/>
      <c r="J1653" s="761"/>
      <c r="K1653" s="233"/>
      <c r="L1653" s="233"/>
      <c r="M1653" s="233"/>
      <c r="N1653" s="2403"/>
      <c r="O1653" s="2403"/>
    </row>
    <row r="1654" spans="3:15">
      <c r="C1654" s="233"/>
      <c r="D1654" s="233"/>
      <c r="E1654" s="761"/>
      <c r="F1654" s="234"/>
      <c r="G1654" s="234"/>
      <c r="H1654" s="233"/>
      <c r="I1654" s="233"/>
      <c r="J1654" s="761"/>
      <c r="K1654" s="233"/>
      <c r="L1654" s="233"/>
      <c r="M1654" s="233"/>
      <c r="N1654" s="2403"/>
      <c r="O1654" s="2403"/>
    </row>
    <row r="1655" spans="3:15">
      <c r="C1655" s="233"/>
      <c r="D1655" s="233"/>
      <c r="E1655" s="761"/>
      <c r="F1655" s="234"/>
      <c r="G1655" s="234"/>
      <c r="H1655" s="233"/>
      <c r="I1655" s="233"/>
      <c r="J1655" s="761"/>
      <c r="K1655" s="233"/>
      <c r="L1655" s="233"/>
      <c r="M1655" s="233"/>
      <c r="N1655" s="2403"/>
      <c r="O1655" s="2403"/>
    </row>
    <row r="1656" spans="3:15">
      <c r="C1656" s="233"/>
      <c r="D1656" s="233"/>
      <c r="E1656" s="761"/>
      <c r="F1656" s="234"/>
      <c r="G1656" s="234"/>
      <c r="H1656" s="233"/>
      <c r="I1656" s="233"/>
      <c r="J1656" s="761"/>
      <c r="K1656" s="233"/>
      <c r="L1656" s="233"/>
      <c r="M1656" s="233"/>
      <c r="N1656" s="2403"/>
      <c r="O1656" s="2403"/>
    </row>
    <row r="1657" spans="3:15">
      <c r="C1657" s="233"/>
      <c r="D1657" s="233"/>
      <c r="E1657" s="761"/>
      <c r="F1657" s="234"/>
      <c r="G1657" s="234"/>
      <c r="H1657" s="233"/>
      <c r="I1657" s="233"/>
      <c r="J1657" s="761"/>
      <c r="K1657" s="233"/>
      <c r="L1657" s="233"/>
      <c r="M1657" s="233"/>
      <c r="N1657" s="2403"/>
      <c r="O1657" s="2403"/>
    </row>
    <row r="1658" spans="3:15">
      <c r="C1658" s="233"/>
      <c r="D1658" s="233"/>
      <c r="E1658" s="761"/>
      <c r="F1658" s="234"/>
      <c r="G1658" s="234"/>
      <c r="H1658" s="233"/>
      <c r="I1658" s="233"/>
      <c r="J1658" s="761"/>
      <c r="K1658" s="233"/>
      <c r="L1658" s="233"/>
      <c r="M1658" s="233"/>
      <c r="N1658" s="2403"/>
      <c r="O1658" s="2403"/>
    </row>
    <row r="1659" spans="3:15">
      <c r="C1659" s="233"/>
      <c r="D1659" s="233"/>
      <c r="E1659" s="761"/>
      <c r="F1659" s="234"/>
      <c r="G1659" s="234"/>
      <c r="H1659" s="233"/>
      <c r="I1659" s="233"/>
      <c r="J1659" s="761"/>
      <c r="K1659" s="233"/>
      <c r="L1659" s="233"/>
      <c r="M1659" s="233"/>
      <c r="N1659" s="2403"/>
      <c r="O1659" s="2403"/>
    </row>
    <row r="1660" spans="3:15">
      <c r="C1660" s="233"/>
      <c r="D1660" s="233"/>
      <c r="E1660" s="761"/>
      <c r="F1660" s="234"/>
      <c r="G1660" s="234"/>
      <c r="H1660" s="233"/>
      <c r="I1660" s="233"/>
      <c r="J1660" s="761"/>
      <c r="K1660" s="233"/>
      <c r="L1660" s="233"/>
      <c r="M1660" s="233"/>
      <c r="N1660" s="2403"/>
      <c r="O1660" s="2403"/>
    </row>
    <row r="1661" spans="3:15">
      <c r="C1661" s="233"/>
      <c r="D1661" s="233"/>
      <c r="E1661" s="761"/>
      <c r="F1661" s="234"/>
      <c r="G1661" s="234"/>
      <c r="H1661" s="233"/>
      <c r="I1661" s="233"/>
      <c r="J1661" s="761"/>
      <c r="K1661" s="233"/>
      <c r="L1661" s="233"/>
      <c r="M1661" s="233"/>
      <c r="N1661" s="2403"/>
      <c r="O1661" s="2403"/>
    </row>
    <row r="1662" spans="3:15">
      <c r="C1662" s="233"/>
      <c r="D1662" s="233"/>
      <c r="E1662" s="761"/>
      <c r="F1662" s="234"/>
      <c r="G1662" s="234"/>
      <c r="H1662" s="233"/>
      <c r="I1662" s="233"/>
      <c r="J1662" s="761"/>
      <c r="K1662" s="233"/>
      <c r="L1662" s="233"/>
      <c r="M1662" s="233"/>
      <c r="N1662" s="2403"/>
      <c r="O1662" s="2403"/>
    </row>
    <row r="1663" spans="3:15">
      <c r="C1663" s="233"/>
      <c r="D1663" s="233"/>
      <c r="E1663" s="761"/>
      <c r="F1663" s="234"/>
      <c r="G1663" s="234"/>
      <c r="H1663" s="233"/>
      <c r="I1663" s="233"/>
      <c r="J1663" s="761"/>
      <c r="K1663" s="233"/>
      <c r="L1663" s="233"/>
      <c r="M1663" s="233"/>
      <c r="N1663" s="2403"/>
      <c r="O1663" s="2403"/>
    </row>
    <row r="1664" spans="3:15">
      <c r="C1664" s="233"/>
      <c r="D1664" s="233"/>
      <c r="E1664" s="761"/>
      <c r="F1664" s="234"/>
      <c r="G1664" s="234"/>
      <c r="H1664" s="233"/>
      <c r="I1664" s="233"/>
      <c r="J1664" s="761"/>
      <c r="K1664" s="233"/>
      <c r="L1664" s="233"/>
      <c r="M1664" s="233"/>
      <c r="N1664" s="2403"/>
      <c r="O1664" s="2403"/>
    </row>
    <row r="1665" spans="3:15">
      <c r="C1665" s="233"/>
      <c r="D1665" s="233"/>
      <c r="E1665" s="761"/>
      <c r="F1665" s="234"/>
      <c r="G1665" s="234"/>
      <c r="H1665" s="233"/>
      <c r="I1665" s="233"/>
      <c r="J1665" s="761"/>
      <c r="K1665" s="233"/>
      <c r="L1665" s="233"/>
      <c r="M1665" s="233"/>
      <c r="N1665" s="2403"/>
      <c r="O1665" s="2403"/>
    </row>
    <row r="1666" spans="3:15">
      <c r="C1666" s="233"/>
      <c r="D1666" s="233"/>
      <c r="E1666" s="761"/>
      <c r="F1666" s="234"/>
      <c r="G1666" s="234"/>
      <c r="H1666" s="233"/>
      <c r="I1666" s="233"/>
      <c r="J1666" s="761"/>
      <c r="K1666" s="233"/>
      <c r="L1666" s="233"/>
      <c r="M1666" s="233"/>
      <c r="N1666" s="2403"/>
      <c r="O1666" s="2403"/>
    </row>
    <row r="1667" spans="3:15">
      <c r="C1667" s="233"/>
      <c r="D1667" s="233"/>
      <c r="E1667" s="761"/>
      <c r="F1667" s="234"/>
      <c r="G1667" s="234"/>
      <c r="H1667" s="233"/>
      <c r="I1667" s="233"/>
      <c r="J1667" s="761"/>
      <c r="K1667" s="233"/>
      <c r="L1667" s="233"/>
      <c r="M1667" s="233"/>
      <c r="N1667" s="2403"/>
      <c r="O1667" s="2403"/>
    </row>
    <row r="1668" spans="3:15">
      <c r="C1668" s="233"/>
      <c r="D1668" s="233"/>
      <c r="E1668" s="761"/>
      <c r="F1668" s="234"/>
      <c r="G1668" s="234"/>
      <c r="H1668" s="233"/>
      <c r="I1668" s="233"/>
      <c r="J1668" s="761"/>
      <c r="K1668" s="233"/>
      <c r="L1668" s="233"/>
      <c r="M1668" s="233"/>
      <c r="N1668" s="2403"/>
      <c r="O1668" s="2403"/>
    </row>
    <row r="1669" spans="3:15">
      <c r="C1669" s="233"/>
      <c r="D1669" s="233"/>
      <c r="E1669" s="761"/>
      <c r="F1669" s="234"/>
      <c r="G1669" s="234"/>
      <c r="H1669" s="233"/>
      <c r="I1669" s="233"/>
      <c r="J1669" s="761"/>
      <c r="K1669" s="233"/>
      <c r="L1669" s="233"/>
      <c r="M1669" s="233"/>
      <c r="N1669" s="2403"/>
      <c r="O1669" s="2403"/>
    </row>
    <row r="1670" spans="3:15">
      <c r="C1670" s="233"/>
      <c r="D1670" s="233"/>
      <c r="E1670" s="761"/>
      <c r="F1670" s="234"/>
      <c r="G1670" s="234"/>
      <c r="H1670" s="233"/>
      <c r="I1670" s="233"/>
      <c r="J1670" s="761"/>
      <c r="K1670" s="233"/>
      <c r="L1670" s="233"/>
      <c r="M1670" s="233"/>
      <c r="N1670" s="2403"/>
      <c r="O1670" s="2403"/>
    </row>
    <row r="1671" spans="3:15">
      <c r="C1671" s="233"/>
      <c r="D1671" s="233"/>
      <c r="E1671" s="761"/>
      <c r="F1671" s="234"/>
      <c r="G1671" s="234"/>
      <c r="H1671" s="233"/>
      <c r="I1671" s="233"/>
      <c r="J1671" s="761"/>
      <c r="K1671" s="233"/>
      <c r="L1671" s="233"/>
      <c r="M1671" s="233"/>
      <c r="N1671" s="2403"/>
      <c r="O1671" s="2403"/>
    </row>
    <row r="1672" spans="3:15">
      <c r="C1672" s="233"/>
      <c r="D1672" s="233"/>
      <c r="E1672" s="761"/>
      <c r="F1672" s="234"/>
      <c r="G1672" s="234"/>
      <c r="H1672" s="233"/>
      <c r="I1672" s="233"/>
      <c r="J1672" s="761"/>
      <c r="K1672" s="233"/>
      <c r="L1672" s="233"/>
      <c r="M1672" s="233"/>
      <c r="N1672" s="2403"/>
      <c r="O1672" s="2403"/>
    </row>
    <row r="1673" spans="3:15">
      <c r="C1673" s="233"/>
      <c r="D1673" s="233"/>
      <c r="E1673" s="761"/>
      <c r="F1673" s="234"/>
      <c r="G1673" s="234"/>
      <c r="H1673" s="233"/>
      <c r="I1673" s="233"/>
      <c r="J1673" s="761"/>
      <c r="K1673" s="233"/>
      <c r="L1673" s="233"/>
      <c r="M1673" s="233"/>
      <c r="N1673" s="2403"/>
      <c r="O1673" s="2403"/>
    </row>
    <row r="1674" spans="3:15">
      <c r="C1674" s="233"/>
      <c r="D1674" s="233"/>
      <c r="E1674" s="761"/>
      <c r="F1674" s="234"/>
      <c r="G1674" s="234"/>
      <c r="H1674" s="233"/>
      <c r="I1674" s="233"/>
      <c r="J1674" s="761"/>
      <c r="K1674" s="233"/>
      <c r="L1674" s="233"/>
      <c r="M1674" s="233"/>
      <c r="N1674" s="2403"/>
      <c r="O1674" s="2403"/>
    </row>
    <row r="1675" spans="3:15">
      <c r="C1675" s="233"/>
      <c r="D1675" s="233"/>
      <c r="E1675" s="761"/>
      <c r="F1675" s="234"/>
      <c r="G1675" s="234"/>
      <c r="H1675" s="233"/>
      <c r="I1675" s="233"/>
      <c r="J1675" s="761"/>
      <c r="K1675" s="233"/>
      <c r="L1675" s="233"/>
      <c r="M1675" s="233"/>
      <c r="N1675" s="2403"/>
      <c r="O1675" s="2403"/>
    </row>
    <row r="1676" spans="3:15">
      <c r="C1676" s="233"/>
      <c r="D1676" s="233"/>
      <c r="E1676" s="761"/>
      <c r="F1676" s="234"/>
      <c r="G1676" s="234"/>
      <c r="H1676" s="233"/>
      <c r="I1676" s="233"/>
      <c r="J1676" s="761"/>
      <c r="K1676" s="233"/>
      <c r="L1676" s="233"/>
      <c r="M1676" s="233"/>
      <c r="N1676" s="2403"/>
      <c r="O1676" s="2403"/>
    </row>
    <row r="1677" spans="3:15">
      <c r="C1677" s="233"/>
      <c r="D1677" s="233"/>
      <c r="E1677" s="761"/>
      <c r="F1677" s="234"/>
      <c r="G1677" s="234"/>
      <c r="H1677" s="233"/>
      <c r="I1677" s="233"/>
      <c r="J1677" s="761"/>
      <c r="K1677" s="233"/>
      <c r="L1677" s="233"/>
      <c r="M1677" s="233"/>
      <c r="N1677" s="2403"/>
      <c r="O1677" s="2403"/>
    </row>
    <row r="1678" spans="3:15">
      <c r="C1678" s="233"/>
      <c r="D1678" s="233"/>
      <c r="E1678" s="761"/>
      <c r="F1678" s="234"/>
      <c r="G1678" s="234"/>
      <c r="H1678" s="233"/>
      <c r="I1678" s="233"/>
      <c r="J1678" s="761"/>
      <c r="K1678" s="233"/>
      <c r="L1678" s="233"/>
      <c r="M1678" s="233"/>
      <c r="N1678" s="2403"/>
      <c r="O1678" s="2403"/>
    </row>
    <row r="1679" spans="3:15">
      <c r="C1679" s="233"/>
      <c r="D1679" s="233"/>
      <c r="E1679" s="761"/>
      <c r="F1679" s="234"/>
      <c r="G1679" s="234"/>
      <c r="H1679" s="233"/>
      <c r="I1679" s="233"/>
      <c r="J1679" s="761"/>
      <c r="K1679" s="233"/>
      <c r="L1679" s="233"/>
      <c r="M1679" s="233"/>
      <c r="N1679" s="2403"/>
      <c r="O1679" s="2403"/>
    </row>
    <row r="1680" spans="3:15">
      <c r="C1680" s="233"/>
      <c r="D1680" s="233"/>
      <c r="E1680" s="761"/>
      <c r="F1680" s="234"/>
      <c r="G1680" s="234"/>
      <c r="H1680" s="233"/>
      <c r="I1680" s="233"/>
      <c r="J1680" s="761"/>
      <c r="K1680" s="233"/>
      <c r="L1680" s="233"/>
      <c r="M1680" s="233"/>
      <c r="N1680" s="2403"/>
      <c r="O1680" s="2403"/>
    </row>
    <row r="1681" spans="3:15">
      <c r="C1681" s="233"/>
      <c r="D1681" s="233"/>
      <c r="E1681" s="761"/>
      <c r="F1681" s="234"/>
      <c r="G1681" s="234"/>
      <c r="H1681" s="233"/>
      <c r="I1681" s="233"/>
      <c r="J1681" s="761"/>
      <c r="K1681" s="233"/>
      <c r="L1681" s="233"/>
      <c r="M1681" s="233"/>
      <c r="N1681" s="2403"/>
      <c r="O1681" s="2403"/>
    </row>
    <row r="1682" spans="3:15">
      <c r="C1682" s="233"/>
      <c r="D1682" s="233"/>
      <c r="E1682" s="761"/>
      <c r="F1682" s="234"/>
      <c r="G1682" s="234"/>
      <c r="H1682" s="233"/>
      <c r="I1682" s="233"/>
      <c r="J1682" s="761"/>
      <c r="K1682" s="233"/>
      <c r="L1682" s="233"/>
      <c r="M1682" s="233"/>
      <c r="N1682" s="2403"/>
      <c r="O1682" s="2403"/>
    </row>
    <row r="1683" spans="3:15">
      <c r="C1683" s="233"/>
      <c r="D1683" s="233"/>
      <c r="E1683" s="761"/>
      <c r="F1683" s="234"/>
      <c r="G1683" s="234"/>
      <c r="H1683" s="233"/>
      <c r="I1683" s="233"/>
      <c r="J1683" s="761"/>
      <c r="K1683" s="233"/>
      <c r="L1683" s="233"/>
      <c r="M1683" s="233"/>
      <c r="N1683" s="2403"/>
      <c r="O1683" s="2403"/>
    </row>
    <row r="1684" spans="3:15">
      <c r="C1684" s="233"/>
      <c r="D1684" s="233"/>
      <c r="E1684" s="761"/>
      <c r="F1684" s="234"/>
      <c r="G1684" s="234"/>
      <c r="H1684" s="233"/>
      <c r="I1684" s="233"/>
      <c r="J1684" s="761"/>
      <c r="K1684" s="233"/>
      <c r="L1684" s="233"/>
      <c r="M1684" s="233"/>
      <c r="N1684" s="2403"/>
      <c r="O1684" s="2403"/>
    </row>
    <row r="1685" spans="3:15">
      <c r="C1685" s="233"/>
      <c r="D1685" s="233"/>
      <c r="E1685" s="761"/>
      <c r="F1685" s="234"/>
      <c r="G1685" s="234"/>
      <c r="H1685" s="233"/>
      <c r="I1685" s="233"/>
      <c r="J1685" s="761"/>
      <c r="K1685" s="233"/>
      <c r="L1685" s="233"/>
      <c r="M1685" s="233"/>
      <c r="N1685" s="2403"/>
      <c r="O1685" s="2403"/>
    </row>
    <row r="1686" spans="3:15">
      <c r="C1686" s="233"/>
      <c r="D1686" s="233"/>
      <c r="E1686" s="761"/>
      <c r="F1686" s="234"/>
      <c r="G1686" s="234"/>
      <c r="H1686" s="233"/>
      <c r="I1686" s="233"/>
      <c r="J1686" s="761"/>
      <c r="K1686" s="233"/>
      <c r="L1686" s="233"/>
      <c r="M1686" s="233"/>
      <c r="N1686" s="2403"/>
      <c r="O1686" s="2403"/>
    </row>
    <row r="1687" spans="3:15">
      <c r="C1687" s="233"/>
      <c r="D1687" s="233"/>
      <c r="E1687" s="761"/>
      <c r="F1687" s="234"/>
      <c r="G1687" s="234"/>
      <c r="H1687" s="233"/>
      <c r="I1687" s="233"/>
      <c r="J1687" s="761"/>
      <c r="K1687" s="233"/>
      <c r="L1687" s="233"/>
      <c r="M1687" s="233"/>
      <c r="N1687" s="2403"/>
      <c r="O1687" s="2403"/>
    </row>
    <row r="1688" spans="3:15">
      <c r="C1688" s="233"/>
      <c r="D1688" s="233"/>
      <c r="E1688" s="761"/>
      <c r="F1688" s="234"/>
      <c r="G1688" s="234"/>
      <c r="H1688" s="233"/>
      <c r="I1688" s="233"/>
      <c r="J1688" s="761"/>
      <c r="K1688" s="233"/>
      <c r="L1688" s="233"/>
      <c r="M1688" s="233"/>
      <c r="N1688" s="2403"/>
      <c r="O1688" s="2403"/>
    </row>
    <row r="1689" spans="3:15">
      <c r="C1689" s="233"/>
      <c r="D1689" s="233"/>
      <c r="E1689" s="761"/>
      <c r="F1689" s="234"/>
      <c r="G1689" s="234"/>
      <c r="H1689" s="233"/>
      <c r="I1689" s="233"/>
      <c r="J1689" s="761"/>
      <c r="K1689" s="233"/>
      <c r="L1689" s="233"/>
      <c r="M1689" s="233"/>
      <c r="N1689" s="2403"/>
      <c r="O1689" s="2403"/>
    </row>
    <row r="1690" spans="3:15">
      <c r="C1690" s="233"/>
      <c r="D1690" s="233"/>
      <c r="E1690" s="761"/>
      <c r="F1690" s="234"/>
      <c r="G1690" s="234"/>
      <c r="H1690" s="233"/>
      <c r="I1690" s="233"/>
      <c r="J1690" s="761"/>
      <c r="K1690" s="233"/>
      <c r="L1690" s="233"/>
      <c r="M1690" s="233"/>
      <c r="N1690" s="2403"/>
      <c r="O1690" s="2403"/>
    </row>
    <row r="1691" spans="3:15">
      <c r="C1691" s="233"/>
      <c r="D1691" s="233"/>
      <c r="E1691" s="761"/>
      <c r="F1691" s="234"/>
      <c r="G1691" s="234"/>
      <c r="H1691" s="233"/>
      <c r="I1691" s="233"/>
      <c r="J1691" s="761"/>
      <c r="K1691" s="233"/>
      <c r="L1691" s="233"/>
      <c r="M1691" s="233"/>
      <c r="N1691" s="2403"/>
      <c r="O1691" s="2403"/>
    </row>
    <row r="1692" spans="3:15">
      <c r="C1692" s="233"/>
      <c r="D1692" s="233"/>
      <c r="E1692" s="761"/>
      <c r="F1692" s="234"/>
      <c r="G1692" s="234"/>
      <c r="H1692" s="233"/>
      <c r="I1692" s="233"/>
      <c r="J1692" s="761"/>
      <c r="K1692" s="233"/>
      <c r="L1692" s="233"/>
      <c r="M1692" s="233"/>
      <c r="N1692" s="2403"/>
      <c r="O1692" s="2403"/>
    </row>
    <row r="1693" spans="3:15">
      <c r="C1693" s="233"/>
      <c r="D1693" s="233"/>
      <c r="E1693" s="761"/>
      <c r="F1693" s="234"/>
      <c r="G1693" s="234"/>
      <c r="H1693" s="233"/>
      <c r="I1693" s="233"/>
      <c r="J1693" s="761"/>
      <c r="K1693" s="233"/>
      <c r="L1693" s="233"/>
      <c r="M1693" s="233"/>
      <c r="N1693" s="2403"/>
      <c r="O1693" s="2403"/>
    </row>
    <row r="1694" spans="3:15">
      <c r="C1694" s="233"/>
      <c r="D1694" s="233"/>
      <c r="E1694" s="761"/>
      <c r="F1694" s="234"/>
      <c r="G1694" s="234"/>
      <c r="H1694" s="233"/>
      <c r="I1694" s="233"/>
      <c r="J1694" s="761"/>
      <c r="K1694" s="233"/>
      <c r="L1694" s="233"/>
      <c r="M1694" s="233"/>
      <c r="N1694" s="2403"/>
      <c r="O1694" s="2403"/>
    </row>
    <row r="1695" spans="3:15">
      <c r="C1695" s="233"/>
      <c r="D1695" s="233"/>
      <c r="E1695" s="761"/>
      <c r="F1695" s="234"/>
      <c r="G1695" s="234"/>
      <c r="H1695" s="233"/>
      <c r="I1695" s="233"/>
      <c r="J1695" s="761"/>
      <c r="K1695" s="233"/>
      <c r="L1695" s="233"/>
      <c r="M1695" s="233"/>
      <c r="N1695" s="2403"/>
      <c r="O1695" s="2403"/>
    </row>
    <row r="1696" spans="3:15">
      <c r="C1696" s="233"/>
      <c r="D1696" s="233"/>
      <c r="E1696" s="761"/>
      <c r="F1696" s="234"/>
      <c r="G1696" s="234"/>
      <c r="H1696" s="233"/>
      <c r="I1696" s="233"/>
      <c r="J1696" s="761"/>
      <c r="K1696" s="233"/>
      <c r="L1696" s="233"/>
      <c r="M1696" s="233"/>
      <c r="N1696" s="2403"/>
      <c r="O1696" s="2403"/>
    </row>
    <row r="1697" spans="3:15">
      <c r="C1697" s="233"/>
      <c r="D1697" s="233"/>
      <c r="E1697" s="761"/>
      <c r="F1697" s="234"/>
      <c r="G1697" s="234"/>
      <c r="H1697" s="233"/>
      <c r="I1697" s="233"/>
      <c r="J1697" s="761"/>
      <c r="K1697" s="233"/>
      <c r="L1697" s="233"/>
      <c r="M1697" s="233"/>
      <c r="N1697" s="2403"/>
      <c r="O1697" s="2403"/>
    </row>
    <row r="1698" spans="3:15">
      <c r="C1698" s="233"/>
      <c r="D1698" s="233"/>
      <c r="E1698" s="761"/>
      <c r="F1698" s="234"/>
      <c r="G1698" s="234"/>
      <c r="H1698" s="233"/>
      <c r="I1698" s="233"/>
      <c r="J1698" s="761"/>
      <c r="K1698" s="233"/>
      <c r="L1698" s="233"/>
      <c r="M1698" s="233"/>
      <c r="N1698" s="2403"/>
      <c r="O1698" s="2403"/>
    </row>
    <row r="1699" spans="3:15">
      <c r="C1699" s="233"/>
      <c r="D1699" s="233"/>
      <c r="E1699" s="761"/>
      <c r="F1699" s="234"/>
      <c r="G1699" s="234"/>
      <c r="H1699" s="233"/>
      <c r="I1699" s="233"/>
      <c r="J1699" s="761"/>
      <c r="K1699" s="233"/>
      <c r="L1699" s="233"/>
      <c r="M1699" s="233"/>
      <c r="N1699" s="2403"/>
      <c r="O1699" s="2403"/>
    </row>
    <row r="1700" spans="3:15">
      <c r="C1700" s="233"/>
      <c r="D1700" s="233"/>
      <c r="E1700" s="761"/>
      <c r="F1700" s="234"/>
      <c r="G1700" s="234"/>
      <c r="H1700" s="233"/>
      <c r="I1700" s="233"/>
      <c r="J1700" s="761"/>
      <c r="K1700" s="233"/>
      <c r="L1700" s="233"/>
      <c r="M1700" s="233"/>
      <c r="N1700" s="2403"/>
      <c r="O1700" s="2403"/>
    </row>
    <row r="1701" spans="3:15">
      <c r="C1701" s="233"/>
      <c r="D1701" s="233"/>
      <c r="E1701" s="761"/>
      <c r="F1701" s="234"/>
      <c r="G1701" s="234"/>
      <c r="H1701" s="233"/>
      <c r="I1701" s="233"/>
      <c r="J1701" s="761"/>
      <c r="K1701" s="233"/>
      <c r="L1701" s="233"/>
      <c r="M1701" s="233"/>
      <c r="N1701" s="2403"/>
      <c r="O1701" s="2403"/>
    </row>
    <row r="1702" spans="3:15">
      <c r="C1702" s="233"/>
      <c r="D1702" s="233"/>
      <c r="E1702" s="761"/>
      <c r="F1702" s="234"/>
      <c r="G1702" s="234"/>
      <c r="H1702" s="233"/>
      <c r="I1702" s="233"/>
      <c r="J1702" s="761"/>
      <c r="K1702" s="233"/>
      <c r="L1702" s="233"/>
      <c r="M1702" s="233"/>
      <c r="N1702" s="2403"/>
      <c r="O1702" s="2403"/>
    </row>
    <row r="1703" spans="3:15">
      <c r="C1703" s="233"/>
      <c r="D1703" s="233"/>
      <c r="E1703" s="761"/>
      <c r="F1703" s="234"/>
      <c r="G1703" s="234"/>
      <c r="H1703" s="233"/>
      <c r="I1703" s="233"/>
      <c r="J1703" s="761"/>
      <c r="K1703" s="233"/>
      <c r="L1703" s="233"/>
      <c r="M1703" s="233"/>
      <c r="N1703" s="2403"/>
      <c r="O1703" s="2403"/>
    </row>
    <row r="1704" spans="3:15">
      <c r="C1704" s="233"/>
      <c r="D1704" s="233"/>
      <c r="E1704" s="761"/>
      <c r="F1704" s="234"/>
      <c r="G1704" s="234"/>
      <c r="H1704" s="233"/>
      <c r="I1704" s="233"/>
      <c r="J1704" s="761"/>
      <c r="K1704" s="233"/>
      <c r="L1704" s="233"/>
      <c r="M1704" s="233"/>
      <c r="N1704" s="2403"/>
      <c r="O1704" s="2403"/>
    </row>
    <row r="1705" spans="3:15">
      <c r="C1705" s="233"/>
      <c r="D1705" s="233"/>
      <c r="E1705" s="761"/>
      <c r="F1705" s="234"/>
      <c r="G1705" s="234"/>
      <c r="H1705" s="233"/>
      <c r="I1705" s="233"/>
      <c r="J1705" s="761"/>
      <c r="K1705" s="233"/>
      <c r="L1705" s="233"/>
      <c r="M1705" s="233"/>
      <c r="N1705" s="2403"/>
      <c r="O1705" s="2403"/>
    </row>
    <row r="1706" spans="3:15">
      <c r="C1706" s="233"/>
      <c r="D1706" s="233"/>
      <c r="E1706" s="761"/>
      <c r="F1706" s="234"/>
      <c r="G1706" s="234"/>
      <c r="H1706" s="233"/>
      <c r="I1706" s="233"/>
      <c r="J1706" s="761"/>
      <c r="K1706" s="233"/>
      <c r="L1706" s="233"/>
      <c r="M1706" s="233"/>
      <c r="N1706" s="2403"/>
      <c r="O1706" s="2403"/>
    </row>
    <row r="1707" spans="3:15">
      <c r="C1707" s="233"/>
      <c r="D1707" s="233"/>
      <c r="E1707" s="761"/>
      <c r="F1707" s="234"/>
      <c r="G1707" s="234"/>
      <c r="H1707" s="233"/>
      <c r="I1707" s="233"/>
      <c r="J1707" s="761"/>
      <c r="K1707" s="233"/>
      <c r="L1707" s="233"/>
      <c r="M1707" s="233"/>
      <c r="N1707" s="2403"/>
      <c r="O1707" s="2403"/>
    </row>
    <row r="1708" spans="3:15">
      <c r="C1708" s="233"/>
      <c r="D1708" s="233"/>
      <c r="E1708" s="761"/>
      <c r="F1708" s="234"/>
      <c r="G1708" s="234"/>
      <c r="H1708" s="233"/>
      <c r="I1708" s="233"/>
      <c r="J1708" s="761"/>
      <c r="K1708" s="233"/>
      <c r="L1708" s="233"/>
      <c r="M1708" s="233"/>
      <c r="N1708" s="2403"/>
      <c r="O1708" s="2403"/>
    </row>
    <row r="1709" spans="3:15">
      <c r="C1709" s="233"/>
      <c r="D1709" s="233"/>
      <c r="E1709" s="761"/>
      <c r="F1709" s="234"/>
      <c r="G1709" s="234"/>
      <c r="H1709" s="233"/>
      <c r="I1709" s="233"/>
      <c r="J1709" s="761"/>
      <c r="K1709" s="233"/>
      <c r="L1709" s="233"/>
      <c r="M1709" s="233"/>
      <c r="N1709" s="2403"/>
      <c r="O1709" s="2403"/>
    </row>
    <row r="1710" spans="3:15">
      <c r="C1710" s="233"/>
      <c r="D1710" s="233"/>
      <c r="E1710" s="761"/>
      <c r="F1710" s="234"/>
      <c r="G1710" s="234"/>
      <c r="H1710" s="233"/>
      <c r="I1710" s="233"/>
      <c r="J1710" s="761"/>
      <c r="K1710" s="233"/>
      <c r="L1710" s="233"/>
      <c r="M1710" s="233"/>
      <c r="N1710" s="2403"/>
      <c r="O1710" s="2403"/>
    </row>
    <row r="1711" spans="3:15">
      <c r="C1711" s="233"/>
      <c r="D1711" s="233"/>
      <c r="E1711" s="761"/>
      <c r="F1711" s="234"/>
      <c r="G1711" s="234"/>
      <c r="H1711" s="233"/>
      <c r="I1711" s="233"/>
      <c r="J1711" s="761"/>
      <c r="K1711" s="233"/>
      <c r="L1711" s="233"/>
      <c r="M1711" s="233"/>
      <c r="N1711" s="2403"/>
      <c r="O1711" s="2403"/>
    </row>
    <row r="1712" spans="3:15">
      <c r="C1712" s="233"/>
      <c r="D1712" s="233"/>
      <c r="E1712" s="761"/>
      <c r="F1712" s="234"/>
      <c r="G1712" s="234"/>
      <c r="H1712" s="233"/>
      <c r="I1712" s="233"/>
      <c r="J1712" s="761"/>
      <c r="K1712" s="233"/>
      <c r="L1712" s="233"/>
      <c r="M1712" s="233"/>
      <c r="N1712" s="2403"/>
      <c r="O1712" s="2403"/>
    </row>
    <row r="1713" spans="3:15">
      <c r="C1713" s="233"/>
      <c r="D1713" s="233"/>
      <c r="E1713" s="761"/>
      <c r="F1713" s="234"/>
      <c r="G1713" s="234"/>
      <c r="H1713" s="233"/>
      <c r="I1713" s="233"/>
      <c r="J1713" s="761"/>
      <c r="K1713" s="233"/>
      <c r="L1713" s="233"/>
      <c r="M1713" s="233"/>
      <c r="N1713" s="2403"/>
      <c r="O1713" s="2403"/>
    </row>
    <row r="1714" spans="3:15">
      <c r="C1714" s="233"/>
      <c r="D1714" s="233"/>
      <c r="E1714" s="761"/>
      <c r="F1714" s="234"/>
      <c r="G1714" s="234"/>
      <c r="H1714" s="233"/>
      <c r="I1714" s="233"/>
      <c r="J1714" s="761"/>
      <c r="K1714" s="233"/>
      <c r="L1714" s="233"/>
      <c r="M1714" s="233"/>
      <c r="N1714" s="2403"/>
      <c r="O1714" s="2403"/>
    </row>
    <row r="1715" spans="3:15">
      <c r="C1715" s="233"/>
      <c r="D1715" s="233"/>
      <c r="E1715" s="761"/>
      <c r="F1715" s="234"/>
      <c r="G1715" s="234"/>
      <c r="H1715" s="233"/>
      <c r="I1715" s="233"/>
      <c r="J1715" s="761"/>
      <c r="K1715" s="233"/>
      <c r="L1715" s="233"/>
      <c r="M1715" s="233"/>
      <c r="N1715" s="2403"/>
      <c r="O1715" s="2403"/>
    </row>
    <row r="1716" spans="3:15">
      <c r="C1716" s="233"/>
      <c r="D1716" s="233"/>
      <c r="E1716" s="761"/>
      <c r="F1716" s="234"/>
      <c r="G1716" s="234"/>
      <c r="H1716" s="233"/>
      <c r="I1716" s="233"/>
      <c r="J1716" s="761"/>
      <c r="K1716" s="233"/>
      <c r="L1716" s="233"/>
      <c r="M1716" s="233"/>
      <c r="N1716" s="2403"/>
      <c r="O1716" s="2403"/>
    </row>
    <row r="1717" spans="3:15">
      <c r="C1717" s="233"/>
      <c r="D1717" s="233"/>
      <c r="E1717" s="761"/>
      <c r="F1717" s="234"/>
      <c r="G1717" s="234"/>
      <c r="H1717" s="233"/>
      <c r="I1717" s="233"/>
      <c r="J1717" s="761"/>
      <c r="K1717" s="233"/>
      <c r="L1717" s="233"/>
      <c r="M1717" s="233"/>
      <c r="N1717" s="2403"/>
      <c r="O1717" s="2403"/>
    </row>
    <row r="1718" spans="3:15">
      <c r="C1718" s="233"/>
      <c r="D1718" s="233"/>
      <c r="E1718" s="761"/>
      <c r="F1718" s="234"/>
      <c r="G1718" s="234"/>
      <c r="H1718" s="233"/>
      <c r="I1718" s="233"/>
      <c r="J1718" s="761"/>
      <c r="K1718" s="233"/>
      <c r="L1718" s="233"/>
      <c r="M1718" s="233"/>
      <c r="N1718" s="2403"/>
      <c r="O1718" s="2403"/>
    </row>
    <row r="1719" spans="3:15">
      <c r="C1719" s="233"/>
      <c r="D1719" s="233"/>
      <c r="E1719" s="761"/>
      <c r="F1719" s="234"/>
      <c r="G1719" s="234"/>
      <c r="H1719" s="233"/>
      <c r="I1719" s="233"/>
      <c r="J1719" s="761"/>
      <c r="K1719" s="233"/>
      <c r="L1719" s="233"/>
      <c r="M1719" s="233"/>
      <c r="N1719" s="2403"/>
      <c r="O1719" s="2403"/>
    </row>
    <row r="1720" spans="3:15">
      <c r="C1720" s="233"/>
      <c r="D1720" s="233"/>
      <c r="E1720" s="761"/>
      <c r="F1720" s="234"/>
      <c r="G1720" s="234"/>
      <c r="H1720" s="233"/>
      <c r="I1720" s="233"/>
      <c r="J1720" s="761"/>
      <c r="K1720" s="233"/>
      <c r="L1720" s="233"/>
      <c r="M1720" s="233"/>
      <c r="N1720" s="2403"/>
      <c r="O1720" s="2403"/>
    </row>
    <row r="1721" spans="3:15">
      <c r="C1721" s="233"/>
      <c r="D1721" s="233"/>
      <c r="E1721" s="761"/>
      <c r="F1721" s="234"/>
      <c r="G1721" s="234"/>
      <c r="H1721" s="233"/>
      <c r="I1721" s="233"/>
      <c r="J1721" s="761"/>
      <c r="K1721" s="233"/>
      <c r="L1721" s="233"/>
      <c r="M1721" s="233"/>
      <c r="N1721" s="2403"/>
      <c r="O1721" s="2403"/>
    </row>
    <row r="1722" spans="3:15">
      <c r="C1722" s="233"/>
      <c r="D1722" s="233"/>
      <c r="E1722" s="761"/>
      <c r="F1722" s="234"/>
      <c r="G1722" s="234"/>
      <c r="H1722" s="233"/>
      <c r="I1722" s="233"/>
      <c r="J1722" s="761"/>
      <c r="K1722" s="233"/>
      <c r="L1722" s="233"/>
      <c r="M1722" s="233"/>
      <c r="N1722" s="2403"/>
      <c r="O1722" s="2403"/>
    </row>
    <row r="1723" spans="3:15">
      <c r="C1723" s="233"/>
      <c r="D1723" s="233"/>
      <c r="E1723" s="761"/>
      <c r="F1723" s="234"/>
      <c r="G1723" s="234"/>
      <c r="H1723" s="233"/>
      <c r="I1723" s="233"/>
      <c r="J1723" s="761"/>
      <c r="K1723" s="233"/>
      <c r="L1723" s="233"/>
      <c r="M1723" s="233"/>
      <c r="N1723" s="2403"/>
      <c r="O1723" s="2403"/>
    </row>
    <row r="1724" spans="3:15">
      <c r="C1724" s="233"/>
      <c r="D1724" s="233"/>
      <c r="E1724" s="761"/>
      <c r="F1724" s="234"/>
      <c r="G1724" s="234"/>
      <c r="H1724" s="233"/>
      <c r="I1724" s="233"/>
      <c r="J1724" s="761"/>
      <c r="K1724" s="233"/>
      <c r="L1724" s="233"/>
      <c r="M1724" s="233"/>
      <c r="N1724" s="2403"/>
      <c r="O1724" s="2403"/>
    </row>
    <row r="1725" spans="3:15">
      <c r="C1725" s="233"/>
      <c r="D1725" s="233"/>
      <c r="E1725" s="761"/>
      <c r="F1725" s="234"/>
      <c r="G1725" s="234"/>
      <c r="H1725" s="233"/>
      <c r="I1725" s="233"/>
      <c r="J1725" s="761"/>
      <c r="K1725" s="233"/>
      <c r="L1725" s="233"/>
      <c r="M1725" s="233"/>
      <c r="N1725" s="2403"/>
      <c r="O1725" s="2403"/>
    </row>
    <row r="1726" spans="3:15">
      <c r="C1726" s="233"/>
      <c r="D1726" s="233"/>
      <c r="E1726" s="761"/>
      <c r="F1726" s="234"/>
      <c r="G1726" s="234"/>
      <c r="H1726" s="233"/>
      <c r="I1726" s="233"/>
      <c r="J1726" s="761"/>
      <c r="K1726" s="233"/>
      <c r="L1726" s="233"/>
      <c r="M1726" s="233"/>
      <c r="N1726" s="2403"/>
      <c r="O1726" s="2403"/>
    </row>
    <row r="1727" spans="3:15">
      <c r="C1727" s="233"/>
      <c r="D1727" s="233"/>
      <c r="E1727" s="761"/>
      <c r="F1727" s="234"/>
      <c r="G1727" s="234"/>
      <c r="H1727" s="233"/>
      <c r="I1727" s="233"/>
      <c r="J1727" s="761"/>
      <c r="K1727" s="233"/>
      <c r="L1727" s="233"/>
      <c r="M1727" s="233"/>
      <c r="N1727" s="2403"/>
      <c r="O1727" s="2403"/>
    </row>
    <row r="1728" spans="3:15">
      <c r="C1728" s="233"/>
      <c r="D1728" s="233"/>
      <c r="E1728" s="761"/>
      <c r="F1728" s="234"/>
      <c r="G1728" s="234"/>
      <c r="H1728" s="233"/>
      <c r="I1728" s="233"/>
      <c r="J1728" s="761"/>
      <c r="K1728" s="233"/>
      <c r="L1728" s="233"/>
      <c r="M1728" s="233"/>
      <c r="N1728" s="2403"/>
      <c r="O1728" s="2403"/>
    </row>
    <row r="1729" spans="3:15">
      <c r="C1729" s="233"/>
      <c r="D1729" s="233"/>
      <c r="E1729" s="761"/>
      <c r="F1729" s="234"/>
      <c r="G1729" s="234"/>
      <c r="H1729" s="233"/>
      <c r="I1729" s="233"/>
      <c r="J1729" s="761"/>
      <c r="K1729" s="233"/>
      <c r="L1729" s="233"/>
      <c r="M1729" s="233"/>
      <c r="N1729" s="2403"/>
      <c r="O1729" s="2403"/>
    </row>
    <row r="1730" spans="3:15">
      <c r="C1730" s="233"/>
      <c r="D1730" s="233"/>
      <c r="E1730" s="761"/>
      <c r="F1730" s="234"/>
      <c r="G1730" s="234"/>
      <c r="H1730" s="233"/>
      <c r="I1730" s="233"/>
      <c r="J1730" s="761"/>
      <c r="K1730" s="233"/>
      <c r="L1730" s="233"/>
      <c r="M1730" s="233"/>
      <c r="N1730" s="2403"/>
      <c r="O1730" s="2403"/>
    </row>
    <row r="1731" spans="3:15">
      <c r="C1731" s="233"/>
      <c r="D1731" s="233"/>
      <c r="E1731" s="761"/>
      <c r="F1731" s="234"/>
      <c r="G1731" s="234"/>
      <c r="H1731" s="233"/>
      <c r="I1731" s="233"/>
      <c r="J1731" s="761"/>
      <c r="K1731" s="233"/>
      <c r="L1731" s="233"/>
      <c r="M1731" s="233"/>
      <c r="N1731" s="2403"/>
      <c r="O1731" s="2403"/>
    </row>
    <row r="1732" spans="3:15">
      <c r="C1732" s="233"/>
      <c r="D1732" s="233"/>
      <c r="E1732" s="761"/>
      <c r="F1732" s="234"/>
      <c r="G1732" s="234"/>
      <c r="H1732" s="233"/>
      <c r="I1732" s="233"/>
      <c r="J1732" s="761"/>
      <c r="K1732" s="233"/>
      <c r="L1732" s="233"/>
      <c r="M1732" s="233"/>
      <c r="N1732" s="2403"/>
      <c r="O1732" s="2403"/>
    </row>
    <row r="1733" spans="3:15">
      <c r="C1733" s="233"/>
      <c r="D1733" s="233"/>
      <c r="E1733" s="761"/>
      <c r="F1733" s="234"/>
      <c r="G1733" s="234"/>
      <c r="H1733" s="233"/>
      <c r="I1733" s="233"/>
      <c r="J1733" s="761"/>
      <c r="K1733" s="233"/>
      <c r="L1733" s="233"/>
      <c r="M1733" s="233"/>
      <c r="N1733" s="2403"/>
      <c r="O1733" s="2403"/>
    </row>
    <row r="1734" spans="3:15">
      <c r="C1734" s="233"/>
      <c r="D1734" s="233"/>
      <c r="E1734" s="761"/>
      <c r="F1734" s="234"/>
      <c r="G1734" s="234"/>
      <c r="H1734" s="233"/>
      <c r="I1734" s="233"/>
      <c r="J1734" s="761"/>
      <c r="K1734" s="233"/>
      <c r="L1734" s="233"/>
      <c r="M1734" s="233"/>
      <c r="N1734" s="2403"/>
      <c r="O1734" s="2403"/>
    </row>
    <row r="1735" spans="3:15">
      <c r="C1735" s="233"/>
      <c r="D1735" s="233"/>
      <c r="E1735" s="761"/>
      <c r="F1735" s="234"/>
      <c r="G1735" s="234"/>
      <c r="H1735" s="233"/>
      <c r="I1735" s="233"/>
      <c r="J1735" s="761"/>
      <c r="K1735" s="233"/>
      <c r="L1735" s="233"/>
      <c r="M1735" s="233"/>
      <c r="N1735" s="2403"/>
      <c r="O1735" s="2403"/>
    </row>
    <row r="1736" spans="3:15">
      <c r="C1736" s="233"/>
      <c r="D1736" s="233"/>
      <c r="E1736" s="761"/>
      <c r="F1736" s="234"/>
      <c r="G1736" s="234"/>
      <c r="H1736" s="233"/>
      <c r="I1736" s="233"/>
      <c r="J1736" s="761"/>
      <c r="K1736" s="233"/>
      <c r="L1736" s="233"/>
      <c r="M1736" s="233"/>
      <c r="N1736" s="2403"/>
      <c r="O1736" s="2403"/>
    </row>
    <row r="1737" spans="3:15">
      <c r="C1737" s="233"/>
      <c r="D1737" s="233"/>
      <c r="E1737" s="761"/>
      <c r="F1737" s="234"/>
      <c r="G1737" s="234"/>
      <c r="H1737" s="233"/>
      <c r="I1737" s="233"/>
      <c r="J1737" s="761"/>
      <c r="K1737" s="233"/>
      <c r="L1737" s="233"/>
      <c r="M1737" s="233"/>
      <c r="N1737" s="2403"/>
      <c r="O1737" s="2403"/>
    </row>
    <row r="1738" spans="3:15">
      <c r="C1738" s="233"/>
      <c r="D1738" s="233"/>
      <c r="E1738" s="761"/>
      <c r="F1738" s="234"/>
      <c r="G1738" s="234"/>
      <c r="H1738" s="233"/>
      <c r="I1738" s="233"/>
      <c r="J1738" s="761"/>
      <c r="K1738" s="233"/>
      <c r="L1738" s="233"/>
      <c r="M1738" s="233"/>
      <c r="N1738" s="2403"/>
      <c r="O1738" s="2403"/>
    </row>
    <row r="1739" spans="3:15">
      <c r="C1739" s="233"/>
      <c r="D1739" s="233"/>
      <c r="E1739" s="761"/>
      <c r="F1739" s="234"/>
      <c r="G1739" s="234"/>
      <c r="H1739" s="233"/>
      <c r="I1739" s="233"/>
      <c r="J1739" s="761"/>
      <c r="K1739" s="233"/>
      <c r="L1739" s="233"/>
      <c r="M1739" s="233"/>
      <c r="N1739" s="2403"/>
      <c r="O1739" s="2403"/>
    </row>
    <row r="1740" spans="3:15">
      <c r="C1740" s="233"/>
      <c r="D1740" s="233"/>
      <c r="E1740" s="761"/>
      <c r="F1740" s="234"/>
      <c r="G1740" s="234"/>
      <c r="H1740" s="233"/>
      <c r="I1740" s="233"/>
      <c r="J1740" s="761"/>
      <c r="K1740" s="233"/>
      <c r="L1740" s="233"/>
      <c r="M1740" s="233"/>
      <c r="N1740" s="2403"/>
      <c r="O1740" s="2403"/>
    </row>
    <row r="1741" spans="3:15">
      <c r="C1741" s="233"/>
      <c r="D1741" s="233"/>
      <c r="E1741" s="761"/>
      <c r="F1741" s="234"/>
      <c r="G1741" s="234"/>
      <c r="H1741" s="233"/>
      <c r="I1741" s="233"/>
      <c r="J1741" s="761"/>
      <c r="K1741" s="233"/>
      <c r="L1741" s="233"/>
      <c r="M1741" s="233"/>
      <c r="N1741" s="2403"/>
      <c r="O1741" s="2403"/>
    </row>
    <row r="1742" spans="3:15">
      <c r="C1742" s="233"/>
      <c r="D1742" s="233"/>
      <c r="E1742" s="761"/>
      <c r="F1742" s="234"/>
      <c r="G1742" s="234"/>
      <c r="H1742" s="233"/>
      <c r="I1742" s="233"/>
      <c r="J1742" s="761"/>
      <c r="K1742" s="233"/>
      <c r="L1742" s="233"/>
      <c r="M1742" s="233"/>
      <c r="N1742" s="2403"/>
      <c r="O1742" s="2403"/>
    </row>
    <row r="1743" spans="3:15">
      <c r="C1743" s="233"/>
      <c r="D1743" s="233"/>
      <c r="E1743" s="761"/>
      <c r="F1743" s="234"/>
      <c r="G1743" s="234"/>
      <c r="H1743" s="233"/>
      <c r="I1743" s="233"/>
      <c r="J1743" s="761"/>
      <c r="K1743" s="233"/>
      <c r="L1743" s="233"/>
      <c r="M1743" s="233"/>
      <c r="N1743" s="2403"/>
      <c r="O1743" s="2403"/>
    </row>
    <row r="1744" spans="3:15">
      <c r="C1744" s="233"/>
      <c r="D1744" s="233"/>
      <c r="E1744" s="761"/>
      <c r="F1744" s="234"/>
      <c r="G1744" s="234"/>
      <c r="H1744" s="233"/>
      <c r="I1744" s="233"/>
      <c r="J1744" s="761"/>
      <c r="K1744" s="233"/>
      <c r="L1744" s="233"/>
      <c r="M1744" s="233"/>
      <c r="N1744" s="2403"/>
      <c r="O1744" s="2403"/>
    </row>
    <row r="1745" spans="3:15">
      <c r="C1745" s="233"/>
      <c r="D1745" s="233"/>
      <c r="E1745" s="761"/>
      <c r="F1745" s="234"/>
      <c r="G1745" s="234"/>
      <c r="H1745" s="233"/>
      <c r="I1745" s="233"/>
      <c r="J1745" s="761"/>
      <c r="K1745" s="233"/>
      <c r="L1745" s="233"/>
      <c r="M1745" s="233"/>
      <c r="N1745" s="2403"/>
      <c r="O1745" s="2403"/>
    </row>
    <row r="1746" spans="3:15">
      <c r="C1746" s="233"/>
      <c r="D1746" s="233"/>
      <c r="E1746" s="761"/>
      <c r="F1746" s="234"/>
      <c r="G1746" s="234"/>
      <c r="H1746" s="233"/>
      <c r="I1746" s="233"/>
      <c r="J1746" s="761"/>
      <c r="K1746" s="233"/>
      <c r="L1746" s="233"/>
      <c r="M1746" s="233"/>
      <c r="N1746" s="2403"/>
      <c r="O1746" s="2403"/>
    </row>
    <row r="1747" spans="3:15">
      <c r="C1747" s="233"/>
      <c r="D1747" s="233"/>
      <c r="E1747" s="761"/>
      <c r="F1747" s="234"/>
      <c r="G1747" s="234"/>
      <c r="H1747" s="233"/>
      <c r="I1747" s="233"/>
      <c r="J1747" s="761"/>
      <c r="K1747" s="233"/>
      <c r="L1747" s="233"/>
      <c r="M1747" s="233"/>
      <c r="N1747" s="2403"/>
      <c r="O1747" s="2403"/>
    </row>
    <row r="1748" spans="3:15">
      <c r="C1748" s="233"/>
      <c r="D1748" s="233"/>
      <c r="E1748" s="761"/>
      <c r="F1748" s="234"/>
      <c r="G1748" s="234"/>
      <c r="H1748" s="233"/>
      <c r="I1748" s="233"/>
      <c r="J1748" s="761"/>
      <c r="K1748" s="233"/>
      <c r="L1748" s="233"/>
      <c r="M1748" s="233"/>
      <c r="N1748" s="2403"/>
      <c r="O1748" s="2403"/>
    </row>
    <row r="1749" spans="3:15">
      <c r="C1749" s="233"/>
      <c r="D1749" s="233"/>
      <c r="E1749" s="761"/>
      <c r="F1749" s="234"/>
      <c r="G1749" s="234"/>
      <c r="H1749" s="233"/>
      <c r="I1749" s="233"/>
      <c r="J1749" s="761"/>
      <c r="K1749" s="233"/>
      <c r="L1749" s="233"/>
      <c r="M1749" s="233"/>
      <c r="N1749" s="2403"/>
      <c r="O1749" s="2403"/>
    </row>
    <row r="1750" spans="3:15">
      <c r="C1750" s="233"/>
      <c r="D1750" s="233"/>
      <c r="E1750" s="761"/>
      <c r="F1750" s="234"/>
      <c r="G1750" s="234"/>
      <c r="H1750" s="233"/>
      <c r="I1750" s="233"/>
      <c r="J1750" s="761"/>
      <c r="K1750" s="233"/>
      <c r="L1750" s="233"/>
      <c r="M1750" s="233"/>
      <c r="N1750" s="2403"/>
      <c r="O1750" s="2403"/>
    </row>
    <row r="1751" spans="3:15">
      <c r="C1751" s="233"/>
      <c r="D1751" s="233"/>
      <c r="E1751" s="761"/>
      <c r="F1751" s="234"/>
      <c r="G1751" s="234"/>
      <c r="H1751" s="233"/>
      <c r="I1751" s="233"/>
      <c r="J1751" s="761"/>
      <c r="K1751" s="233"/>
      <c r="L1751" s="233"/>
      <c r="M1751" s="233"/>
      <c r="N1751" s="2403"/>
      <c r="O1751" s="2403"/>
    </row>
    <row r="1752" spans="3:15">
      <c r="C1752" s="233"/>
      <c r="D1752" s="233"/>
      <c r="E1752" s="761"/>
      <c r="F1752" s="234"/>
      <c r="G1752" s="234"/>
      <c r="H1752" s="233"/>
      <c r="I1752" s="233"/>
      <c r="J1752" s="761"/>
      <c r="K1752" s="233"/>
      <c r="L1752" s="233"/>
      <c r="M1752" s="233"/>
      <c r="N1752" s="2403"/>
      <c r="O1752" s="2403"/>
    </row>
    <row r="1753" spans="3:15">
      <c r="C1753" s="233"/>
      <c r="D1753" s="233"/>
      <c r="E1753" s="761"/>
      <c r="F1753" s="234"/>
      <c r="G1753" s="234"/>
      <c r="H1753" s="233"/>
      <c r="I1753" s="233"/>
      <c r="J1753" s="761"/>
      <c r="K1753" s="233"/>
      <c r="L1753" s="233"/>
      <c r="M1753" s="233"/>
      <c r="N1753" s="2403"/>
      <c r="O1753" s="2403"/>
    </row>
    <row r="1754" spans="3:15">
      <c r="C1754" s="233"/>
      <c r="D1754" s="233"/>
      <c r="E1754" s="761"/>
      <c r="F1754" s="234"/>
      <c r="G1754" s="234"/>
      <c r="H1754" s="233"/>
      <c r="I1754" s="233"/>
      <c r="J1754" s="761"/>
      <c r="K1754" s="233"/>
      <c r="L1754" s="233"/>
      <c r="M1754" s="233"/>
      <c r="N1754" s="2403"/>
      <c r="O1754" s="2403"/>
    </row>
    <row r="1755" spans="3:15">
      <c r="C1755" s="233"/>
      <c r="D1755" s="233"/>
      <c r="E1755" s="761"/>
      <c r="F1755" s="234"/>
      <c r="G1755" s="234"/>
      <c r="H1755" s="233"/>
      <c r="I1755" s="233"/>
      <c r="J1755" s="761"/>
      <c r="K1755" s="233"/>
      <c r="L1755" s="233"/>
      <c r="M1755" s="233"/>
      <c r="N1755" s="2403"/>
      <c r="O1755" s="2403"/>
    </row>
    <row r="1756" spans="3:15">
      <c r="C1756" s="233"/>
      <c r="D1756" s="233"/>
      <c r="E1756" s="761"/>
      <c r="F1756" s="234"/>
      <c r="G1756" s="234"/>
      <c r="H1756" s="233"/>
      <c r="I1756" s="233"/>
      <c r="J1756" s="761"/>
      <c r="K1756" s="233"/>
      <c r="L1756" s="233"/>
      <c r="M1756" s="233"/>
      <c r="N1756" s="2403"/>
      <c r="O1756" s="2403"/>
    </row>
    <row r="1757" spans="3:15">
      <c r="C1757" s="233"/>
      <c r="D1757" s="233"/>
      <c r="E1757" s="761"/>
      <c r="F1757" s="234"/>
      <c r="G1757" s="234"/>
      <c r="H1757" s="233"/>
      <c r="I1757" s="233"/>
      <c r="J1757" s="761"/>
      <c r="K1757" s="233"/>
      <c r="L1757" s="233"/>
      <c r="M1757" s="233"/>
      <c r="N1757" s="2403"/>
      <c r="O1757" s="2403"/>
    </row>
    <row r="1758" spans="3:15">
      <c r="C1758" s="233"/>
      <c r="D1758" s="233"/>
      <c r="E1758" s="761"/>
      <c r="F1758" s="234"/>
      <c r="G1758" s="234"/>
      <c r="H1758" s="233"/>
      <c r="I1758" s="233"/>
      <c r="J1758" s="761"/>
      <c r="K1758" s="233"/>
      <c r="L1758" s="233"/>
      <c r="M1758" s="233"/>
      <c r="N1758" s="2403"/>
      <c r="O1758" s="2403"/>
    </row>
    <row r="1759" spans="3:15">
      <c r="C1759" s="233"/>
      <c r="D1759" s="233"/>
      <c r="E1759" s="761"/>
      <c r="F1759" s="234"/>
      <c r="G1759" s="234"/>
      <c r="H1759" s="233"/>
      <c r="I1759" s="233"/>
      <c r="J1759" s="761"/>
      <c r="K1759" s="233"/>
      <c r="L1759" s="233"/>
      <c r="M1759" s="233"/>
      <c r="N1759" s="2403"/>
      <c r="O1759" s="2403"/>
    </row>
    <row r="1760" spans="3:15">
      <c r="C1760" s="233"/>
      <c r="D1760" s="233"/>
      <c r="E1760" s="761"/>
      <c r="F1760" s="234"/>
      <c r="G1760" s="234"/>
      <c r="H1760" s="233"/>
      <c r="I1760" s="233"/>
      <c r="J1760" s="761"/>
      <c r="K1760" s="233"/>
      <c r="L1760" s="233"/>
      <c r="M1760" s="233"/>
      <c r="N1760" s="2403"/>
      <c r="O1760" s="2403"/>
    </row>
    <row r="1761" spans="3:15">
      <c r="C1761" s="233"/>
      <c r="D1761" s="233"/>
      <c r="E1761" s="761"/>
      <c r="F1761" s="234"/>
      <c r="G1761" s="234"/>
      <c r="H1761" s="233"/>
      <c r="I1761" s="233"/>
      <c r="J1761" s="761"/>
      <c r="K1761" s="233"/>
      <c r="L1761" s="233"/>
      <c r="M1761" s="233"/>
      <c r="N1761" s="2403"/>
      <c r="O1761" s="2403"/>
    </row>
    <row r="1762" spans="3:15">
      <c r="C1762" s="233"/>
      <c r="D1762" s="233"/>
      <c r="E1762" s="761"/>
      <c r="F1762" s="234"/>
      <c r="G1762" s="234"/>
      <c r="H1762" s="233"/>
      <c r="I1762" s="233"/>
      <c r="J1762" s="761"/>
      <c r="K1762" s="233"/>
      <c r="L1762" s="233"/>
      <c r="M1762" s="233"/>
      <c r="N1762" s="2403"/>
      <c r="O1762" s="2403"/>
    </row>
    <row r="1763" spans="3:15">
      <c r="C1763" s="233"/>
      <c r="D1763" s="233"/>
      <c r="E1763" s="761"/>
      <c r="F1763" s="234"/>
      <c r="G1763" s="234"/>
      <c r="H1763" s="233"/>
      <c r="I1763" s="233"/>
      <c r="J1763" s="761"/>
      <c r="K1763" s="233"/>
      <c r="L1763" s="233"/>
      <c r="M1763" s="233"/>
      <c r="N1763" s="2403"/>
      <c r="O1763" s="2403"/>
    </row>
    <row r="1764" spans="3:15">
      <c r="C1764" s="233"/>
      <c r="D1764" s="233"/>
      <c r="E1764" s="761"/>
      <c r="F1764" s="234"/>
      <c r="G1764" s="234"/>
      <c r="H1764" s="233"/>
      <c r="I1764" s="233"/>
      <c r="J1764" s="761"/>
      <c r="K1764" s="233"/>
      <c r="L1764" s="233"/>
      <c r="M1764" s="233"/>
      <c r="N1764" s="2403"/>
      <c r="O1764" s="2403"/>
    </row>
    <row r="1765" spans="3:15">
      <c r="C1765" s="233"/>
      <c r="D1765" s="233"/>
      <c r="E1765" s="761"/>
      <c r="F1765" s="234"/>
      <c r="G1765" s="234"/>
      <c r="H1765" s="233"/>
      <c r="I1765" s="233"/>
      <c r="J1765" s="761"/>
      <c r="K1765" s="233"/>
      <c r="L1765" s="233"/>
      <c r="M1765" s="233"/>
      <c r="N1765" s="2403"/>
      <c r="O1765" s="2403"/>
    </row>
    <row r="1766" spans="3:15">
      <c r="C1766" s="233"/>
      <c r="D1766" s="233"/>
      <c r="E1766" s="761"/>
      <c r="F1766" s="234"/>
      <c r="G1766" s="234"/>
      <c r="H1766" s="233"/>
      <c r="I1766" s="233"/>
      <c r="J1766" s="761"/>
      <c r="K1766" s="233"/>
      <c r="L1766" s="233"/>
      <c r="M1766" s="233"/>
      <c r="N1766" s="2403"/>
      <c r="O1766" s="2403"/>
    </row>
    <row r="1767" spans="3:15">
      <c r="C1767" s="233"/>
      <c r="D1767" s="233"/>
      <c r="E1767" s="761"/>
      <c r="F1767" s="234"/>
      <c r="G1767" s="234"/>
      <c r="H1767" s="233"/>
      <c r="I1767" s="233"/>
      <c r="J1767" s="761"/>
      <c r="K1767" s="233"/>
      <c r="L1767" s="233"/>
      <c r="M1767" s="233"/>
      <c r="N1767" s="2403"/>
      <c r="O1767" s="2403"/>
    </row>
    <row r="1768" spans="3:15">
      <c r="C1768" s="233"/>
      <c r="D1768" s="233"/>
      <c r="E1768" s="761"/>
      <c r="F1768" s="234"/>
      <c r="G1768" s="234"/>
      <c r="H1768" s="233"/>
      <c r="I1768" s="233"/>
      <c r="J1768" s="761"/>
      <c r="K1768" s="233"/>
      <c r="L1768" s="233"/>
      <c r="M1768" s="233"/>
      <c r="N1768" s="2403"/>
      <c r="O1768" s="2403"/>
    </row>
    <row r="1769" spans="3:15">
      <c r="C1769" s="233"/>
      <c r="D1769" s="233"/>
      <c r="E1769" s="761"/>
      <c r="F1769" s="234"/>
      <c r="G1769" s="234"/>
      <c r="H1769" s="233"/>
      <c r="I1769" s="233"/>
      <c r="J1769" s="761"/>
      <c r="K1769" s="233"/>
      <c r="L1769" s="233"/>
      <c r="M1769" s="233"/>
      <c r="N1769" s="2403"/>
      <c r="O1769" s="2403"/>
    </row>
    <row r="1770" spans="3:15">
      <c r="C1770" s="233"/>
      <c r="D1770" s="233"/>
      <c r="E1770" s="761"/>
      <c r="F1770" s="234"/>
      <c r="G1770" s="234"/>
      <c r="H1770" s="233"/>
      <c r="I1770" s="233"/>
      <c r="J1770" s="761"/>
      <c r="K1770" s="233"/>
      <c r="L1770" s="233"/>
      <c r="M1770" s="233"/>
      <c r="N1770" s="2403"/>
      <c r="O1770" s="2403"/>
    </row>
    <row r="1771" spans="3:15">
      <c r="C1771" s="233"/>
      <c r="D1771" s="233"/>
      <c r="E1771" s="761"/>
      <c r="F1771" s="234"/>
      <c r="G1771" s="234"/>
      <c r="H1771" s="233"/>
      <c r="I1771" s="233"/>
      <c r="J1771" s="761"/>
      <c r="K1771" s="233"/>
      <c r="L1771" s="233"/>
      <c r="M1771" s="233"/>
      <c r="N1771" s="2403"/>
      <c r="O1771" s="2403"/>
    </row>
    <row r="1772" spans="3:15">
      <c r="C1772" s="233"/>
      <c r="D1772" s="233"/>
      <c r="E1772" s="761"/>
      <c r="F1772" s="234"/>
      <c r="G1772" s="234"/>
      <c r="H1772" s="233"/>
      <c r="I1772" s="233"/>
      <c r="J1772" s="761"/>
      <c r="K1772" s="233"/>
      <c r="L1772" s="233"/>
      <c r="M1772" s="233"/>
      <c r="N1772" s="2403"/>
      <c r="O1772" s="2403"/>
    </row>
    <row r="1773" spans="3:15">
      <c r="C1773" s="233"/>
      <c r="D1773" s="233"/>
      <c r="E1773" s="761"/>
      <c r="F1773" s="234"/>
      <c r="G1773" s="234"/>
      <c r="H1773" s="233"/>
      <c r="I1773" s="233"/>
      <c r="J1773" s="761"/>
      <c r="K1773" s="233"/>
      <c r="L1773" s="233"/>
      <c r="M1773" s="233"/>
      <c r="N1773" s="2403"/>
      <c r="O1773" s="2403"/>
    </row>
    <row r="1774" spans="3:15">
      <c r="C1774" s="233"/>
      <c r="D1774" s="233"/>
      <c r="E1774" s="761"/>
      <c r="F1774" s="234"/>
      <c r="G1774" s="234"/>
      <c r="H1774" s="233"/>
      <c r="I1774" s="233"/>
      <c r="J1774" s="761"/>
      <c r="K1774" s="233"/>
      <c r="L1774" s="233"/>
      <c r="M1774" s="233"/>
      <c r="N1774" s="2403"/>
      <c r="O1774" s="2403"/>
    </row>
    <row r="1775" spans="3:15">
      <c r="C1775" s="233"/>
      <c r="D1775" s="233"/>
      <c r="E1775" s="761"/>
      <c r="F1775" s="234"/>
      <c r="G1775" s="234"/>
      <c r="H1775" s="233"/>
      <c r="I1775" s="233"/>
      <c r="J1775" s="761"/>
      <c r="K1775" s="233"/>
      <c r="L1775" s="233"/>
      <c r="M1775" s="233"/>
      <c r="N1775" s="2403"/>
      <c r="O1775" s="2403"/>
    </row>
    <row r="1776" spans="3:15">
      <c r="C1776" s="233"/>
      <c r="D1776" s="233"/>
      <c r="E1776" s="761"/>
      <c r="F1776" s="234"/>
      <c r="G1776" s="234"/>
      <c r="H1776" s="233"/>
      <c r="I1776" s="233"/>
      <c r="J1776" s="761"/>
      <c r="K1776" s="233"/>
      <c r="L1776" s="233"/>
      <c r="M1776" s="233"/>
      <c r="N1776" s="2403"/>
      <c r="O1776" s="2403"/>
    </row>
    <row r="1777" spans="3:15">
      <c r="C1777" s="233"/>
      <c r="D1777" s="233"/>
      <c r="E1777" s="761"/>
      <c r="F1777" s="234"/>
      <c r="G1777" s="234"/>
      <c r="H1777" s="233"/>
      <c r="I1777" s="233"/>
      <c r="J1777" s="761"/>
      <c r="K1777" s="233"/>
      <c r="L1777" s="233"/>
      <c r="M1777" s="233"/>
      <c r="N1777" s="2403"/>
      <c r="O1777" s="2403"/>
    </row>
    <row r="1778" spans="3:15">
      <c r="C1778" s="233"/>
      <c r="D1778" s="233"/>
      <c r="E1778" s="761"/>
      <c r="F1778" s="234"/>
      <c r="G1778" s="234"/>
      <c r="H1778" s="233"/>
      <c r="I1778" s="233"/>
      <c r="J1778" s="761"/>
      <c r="K1778" s="233"/>
      <c r="L1778" s="233"/>
      <c r="M1778" s="233"/>
      <c r="N1778" s="2403"/>
      <c r="O1778" s="2403"/>
    </row>
    <row r="1779" spans="3:15">
      <c r="C1779" s="233"/>
      <c r="D1779" s="233"/>
      <c r="E1779" s="761"/>
      <c r="F1779" s="234"/>
      <c r="G1779" s="234"/>
      <c r="H1779" s="233"/>
      <c r="I1779" s="233"/>
      <c r="J1779" s="761"/>
      <c r="K1779" s="233"/>
      <c r="L1779" s="233"/>
      <c r="M1779" s="233"/>
      <c r="N1779" s="2403"/>
      <c r="O1779" s="2403"/>
    </row>
    <row r="1780" spans="3:15">
      <c r="C1780" s="233"/>
      <c r="D1780" s="233"/>
      <c r="E1780" s="761"/>
      <c r="F1780" s="234"/>
      <c r="G1780" s="234"/>
      <c r="H1780" s="233"/>
      <c r="I1780" s="233"/>
      <c r="J1780" s="761"/>
      <c r="K1780" s="233"/>
      <c r="L1780" s="233"/>
      <c r="M1780" s="233"/>
      <c r="N1780" s="2403"/>
      <c r="O1780" s="2403"/>
    </row>
    <row r="1781" spans="3:15">
      <c r="C1781" s="233"/>
      <c r="D1781" s="233"/>
      <c r="E1781" s="761"/>
      <c r="F1781" s="234"/>
      <c r="G1781" s="234"/>
      <c r="H1781" s="233"/>
      <c r="I1781" s="233"/>
      <c r="J1781" s="761"/>
      <c r="K1781" s="233"/>
      <c r="L1781" s="233"/>
      <c r="M1781" s="233"/>
      <c r="N1781" s="2403"/>
      <c r="O1781" s="2403"/>
    </row>
    <row r="1782" spans="3:15">
      <c r="C1782" s="233"/>
      <c r="D1782" s="233"/>
      <c r="E1782" s="761"/>
      <c r="F1782" s="234"/>
      <c r="G1782" s="234"/>
      <c r="H1782" s="233"/>
      <c r="I1782" s="233"/>
      <c r="J1782" s="761"/>
      <c r="K1782" s="233"/>
      <c r="L1782" s="233"/>
      <c r="M1782" s="233"/>
      <c r="N1782" s="2403"/>
      <c r="O1782" s="2403"/>
    </row>
    <row r="1783" spans="3:15">
      <c r="C1783" s="233"/>
      <c r="D1783" s="233"/>
      <c r="E1783" s="761"/>
      <c r="F1783" s="234"/>
      <c r="G1783" s="234"/>
      <c r="H1783" s="233"/>
      <c r="I1783" s="233"/>
      <c r="J1783" s="761"/>
      <c r="K1783" s="233"/>
      <c r="L1783" s="233"/>
      <c r="M1783" s="233"/>
      <c r="N1783" s="2403"/>
      <c r="O1783" s="2403"/>
    </row>
    <row r="1784" spans="3:15">
      <c r="C1784" s="233"/>
      <c r="D1784" s="233"/>
      <c r="E1784" s="761"/>
      <c r="F1784" s="234"/>
      <c r="G1784" s="234"/>
      <c r="H1784" s="233"/>
      <c r="I1784" s="233"/>
      <c r="J1784" s="761"/>
      <c r="K1784" s="233"/>
      <c r="L1784" s="233"/>
      <c r="M1784" s="233"/>
      <c r="N1784" s="2403"/>
      <c r="O1784" s="2403"/>
    </row>
    <row r="1785" spans="3:15">
      <c r="C1785" s="233"/>
      <c r="D1785" s="233"/>
      <c r="E1785" s="761"/>
      <c r="F1785" s="234"/>
      <c r="G1785" s="234"/>
      <c r="H1785" s="233"/>
      <c r="I1785" s="233"/>
      <c r="J1785" s="761"/>
      <c r="K1785" s="233"/>
      <c r="L1785" s="233"/>
      <c r="M1785" s="233"/>
      <c r="N1785" s="2403"/>
      <c r="O1785" s="2403"/>
    </row>
    <row r="1786" spans="3:15">
      <c r="C1786" s="233"/>
      <c r="D1786" s="233"/>
      <c r="E1786" s="761"/>
      <c r="F1786" s="234"/>
      <c r="G1786" s="234"/>
      <c r="H1786" s="233"/>
      <c r="I1786" s="233"/>
      <c r="J1786" s="761"/>
      <c r="K1786" s="233"/>
      <c r="L1786" s="233"/>
      <c r="M1786" s="233"/>
      <c r="N1786" s="2403"/>
      <c r="O1786" s="2403"/>
    </row>
    <row r="1787" spans="3:15">
      <c r="C1787" s="233"/>
      <c r="D1787" s="233"/>
      <c r="E1787" s="761"/>
      <c r="F1787" s="234"/>
      <c r="G1787" s="234"/>
      <c r="H1787" s="233"/>
      <c r="I1787" s="233"/>
      <c r="J1787" s="761"/>
      <c r="K1787" s="233"/>
      <c r="L1787" s="233"/>
      <c r="M1787" s="233"/>
      <c r="N1787" s="2403"/>
      <c r="O1787" s="2403"/>
    </row>
    <row r="1788" spans="3:15">
      <c r="C1788" s="233"/>
      <c r="D1788" s="233"/>
      <c r="E1788" s="761"/>
      <c r="F1788" s="234"/>
      <c r="G1788" s="234"/>
      <c r="H1788" s="233"/>
      <c r="I1788" s="233"/>
      <c r="J1788" s="761"/>
      <c r="K1788" s="233"/>
      <c r="L1788" s="233"/>
      <c r="M1788" s="233"/>
      <c r="N1788" s="2403"/>
      <c r="O1788" s="2403"/>
    </row>
    <row r="1789" spans="3:15">
      <c r="C1789" s="233"/>
      <c r="D1789" s="233"/>
      <c r="E1789" s="761"/>
      <c r="F1789" s="234"/>
      <c r="G1789" s="234"/>
      <c r="H1789" s="233"/>
      <c r="I1789" s="233"/>
      <c r="J1789" s="761"/>
      <c r="K1789" s="233"/>
      <c r="L1789" s="233"/>
      <c r="M1789" s="233"/>
      <c r="N1789" s="2403"/>
      <c r="O1789" s="2403"/>
    </row>
    <row r="1790" spans="3:15">
      <c r="C1790" s="233"/>
      <c r="D1790" s="233"/>
      <c r="E1790" s="761"/>
      <c r="F1790" s="234"/>
      <c r="G1790" s="234"/>
      <c r="H1790" s="233"/>
      <c r="I1790" s="233"/>
      <c r="J1790" s="761"/>
      <c r="K1790" s="233"/>
      <c r="L1790" s="233"/>
      <c r="M1790" s="233"/>
      <c r="N1790" s="2403"/>
      <c r="O1790" s="2403"/>
    </row>
    <row r="1791" spans="3:15">
      <c r="C1791" s="233"/>
      <c r="D1791" s="233"/>
      <c r="E1791" s="761"/>
      <c r="F1791" s="234"/>
      <c r="G1791" s="234"/>
      <c r="H1791" s="233"/>
      <c r="I1791" s="233"/>
      <c r="J1791" s="761"/>
      <c r="K1791" s="233"/>
      <c r="L1791" s="233"/>
      <c r="M1791" s="233"/>
      <c r="N1791" s="2403"/>
      <c r="O1791" s="2403"/>
    </row>
    <row r="1792" spans="3:15">
      <c r="C1792" s="233"/>
      <c r="D1792" s="233"/>
      <c r="E1792" s="761"/>
      <c r="F1792" s="234"/>
      <c r="G1792" s="234"/>
      <c r="H1792" s="233"/>
      <c r="I1792" s="233"/>
      <c r="J1792" s="761"/>
      <c r="K1792" s="233"/>
      <c r="L1792" s="233"/>
      <c r="M1792" s="233"/>
      <c r="N1792" s="2403"/>
      <c r="O1792" s="2403"/>
    </row>
    <row r="1793" spans="3:15">
      <c r="C1793" s="233"/>
      <c r="D1793" s="233"/>
      <c r="E1793" s="761"/>
      <c r="F1793" s="234"/>
      <c r="G1793" s="234"/>
      <c r="H1793" s="233"/>
      <c r="I1793" s="233"/>
      <c r="J1793" s="761"/>
      <c r="K1793" s="233"/>
      <c r="L1793" s="233"/>
      <c r="M1793" s="233"/>
      <c r="N1793" s="2403"/>
      <c r="O1793" s="2403"/>
    </row>
    <row r="1794" spans="3:15">
      <c r="C1794" s="233"/>
      <c r="D1794" s="233"/>
      <c r="E1794" s="761"/>
      <c r="F1794" s="234"/>
      <c r="G1794" s="234"/>
      <c r="H1794" s="233"/>
      <c r="I1794" s="233"/>
      <c r="J1794" s="761"/>
      <c r="K1794" s="233"/>
      <c r="L1794" s="233"/>
      <c r="M1794" s="233"/>
      <c r="N1794" s="2403"/>
      <c r="O1794" s="2403"/>
    </row>
    <row r="1795" spans="3:15">
      <c r="C1795" s="233"/>
      <c r="D1795" s="233"/>
      <c r="E1795" s="761"/>
      <c r="F1795" s="234"/>
      <c r="G1795" s="234"/>
      <c r="H1795" s="233"/>
      <c r="I1795" s="233"/>
      <c r="J1795" s="761"/>
      <c r="K1795" s="233"/>
      <c r="L1795" s="233"/>
      <c r="M1795" s="233"/>
      <c r="N1795" s="2403"/>
      <c r="O1795" s="2403"/>
    </row>
    <row r="1796" spans="3:15">
      <c r="C1796" s="233"/>
      <c r="D1796" s="233"/>
      <c r="E1796" s="761"/>
      <c r="F1796" s="234"/>
      <c r="G1796" s="234"/>
      <c r="H1796" s="233"/>
      <c r="I1796" s="233"/>
      <c r="J1796" s="761"/>
      <c r="K1796" s="233"/>
      <c r="L1796" s="233"/>
      <c r="M1796" s="233"/>
      <c r="N1796" s="2403"/>
      <c r="O1796" s="2403"/>
    </row>
    <row r="1797" spans="3:15">
      <c r="C1797" s="233"/>
      <c r="D1797" s="233"/>
      <c r="E1797" s="761"/>
      <c r="F1797" s="234"/>
      <c r="G1797" s="234"/>
      <c r="H1797" s="233"/>
      <c r="I1797" s="233"/>
      <c r="J1797" s="761"/>
      <c r="K1797" s="233"/>
      <c r="L1797" s="233"/>
      <c r="M1797" s="233"/>
      <c r="N1797" s="2403"/>
      <c r="O1797" s="2403"/>
    </row>
    <row r="1798" spans="3:15">
      <c r="C1798" s="233"/>
      <c r="D1798" s="233"/>
      <c r="E1798" s="761"/>
      <c r="F1798" s="234"/>
      <c r="G1798" s="234"/>
      <c r="H1798" s="233"/>
      <c r="I1798" s="233"/>
      <c r="J1798" s="761"/>
      <c r="K1798" s="233"/>
      <c r="L1798" s="233"/>
      <c r="M1798" s="233"/>
      <c r="N1798" s="2403"/>
      <c r="O1798" s="2403"/>
    </row>
    <row r="1799" spans="3:15">
      <c r="C1799" s="233"/>
      <c r="D1799" s="233"/>
      <c r="E1799" s="761"/>
      <c r="F1799" s="234"/>
      <c r="G1799" s="234"/>
      <c r="H1799" s="233"/>
      <c r="I1799" s="233"/>
      <c r="J1799" s="761"/>
      <c r="K1799" s="233"/>
      <c r="L1799" s="233"/>
      <c r="M1799" s="233"/>
      <c r="N1799" s="2403"/>
      <c r="O1799" s="2403"/>
    </row>
    <row r="1800" spans="3:15">
      <c r="C1800" s="233"/>
      <c r="D1800" s="233"/>
      <c r="E1800" s="761"/>
      <c r="F1800" s="234"/>
      <c r="G1800" s="234"/>
      <c r="H1800" s="233"/>
      <c r="I1800" s="233"/>
      <c r="J1800" s="761"/>
      <c r="K1800" s="233"/>
      <c r="L1800" s="233"/>
      <c r="M1800" s="233"/>
      <c r="N1800" s="2403"/>
      <c r="O1800" s="2403"/>
    </row>
    <row r="1801" spans="3:15">
      <c r="C1801" s="233"/>
      <c r="D1801" s="233"/>
      <c r="E1801" s="761"/>
      <c r="F1801" s="234"/>
      <c r="G1801" s="234"/>
      <c r="H1801" s="233"/>
      <c r="I1801" s="233"/>
      <c r="J1801" s="761"/>
      <c r="K1801" s="233"/>
      <c r="L1801" s="233"/>
      <c r="M1801" s="233"/>
      <c r="N1801" s="2403"/>
      <c r="O1801" s="2403"/>
    </row>
    <row r="1802" spans="3:15">
      <c r="C1802" s="233"/>
      <c r="D1802" s="233"/>
      <c r="E1802" s="761"/>
      <c r="F1802" s="234"/>
      <c r="G1802" s="234"/>
      <c r="H1802" s="233"/>
      <c r="I1802" s="233"/>
      <c r="J1802" s="761"/>
      <c r="K1802" s="233"/>
      <c r="L1802" s="233"/>
      <c r="M1802" s="233"/>
      <c r="N1802" s="2403"/>
      <c r="O1802" s="2403"/>
    </row>
    <row r="1803" spans="3:15">
      <c r="C1803" s="233"/>
      <c r="D1803" s="233"/>
      <c r="E1803" s="761"/>
      <c r="F1803" s="234"/>
      <c r="G1803" s="234"/>
      <c r="H1803" s="233"/>
      <c r="I1803" s="233"/>
      <c r="J1803" s="761"/>
      <c r="K1803" s="233"/>
      <c r="L1803" s="233"/>
      <c r="M1803" s="233"/>
      <c r="N1803" s="2403"/>
      <c r="O1803" s="2403"/>
    </row>
    <row r="1804" spans="3:15">
      <c r="C1804" s="233"/>
      <c r="D1804" s="233"/>
      <c r="E1804" s="761"/>
      <c r="F1804" s="234"/>
      <c r="G1804" s="234"/>
      <c r="H1804" s="233"/>
      <c r="I1804" s="233"/>
      <c r="J1804" s="761"/>
      <c r="K1804" s="233"/>
      <c r="L1804" s="233"/>
      <c r="M1804" s="233"/>
      <c r="N1804" s="2403"/>
      <c r="O1804" s="2403"/>
    </row>
    <row r="1805" spans="3:15">
      <c r="C1805" s="233"/>
      <c r="D1805" s="233"/>
      <c r="E1805" s="761"/>
      <c r="F1805" s="234"/>
      <c r="G1805" s="234"/>
      <c r="H1805" s="233"/>
      <c r="I1805" s="233"/>
      <c r="J1805" s="761"/>
      <c r="K1805" s="233"/>
      <c r="L1805" s="233"/>
      <c r="M1805" s="233"/>
      <c r="N1805" s="2403"/>
      <c r="O1805" s="2403"/>
    </row>
    <row r="1806" spans="3:15">
      <c r="C1806" s="233"/>
      <c r="D1806" s="233"/>
      <c r="E1806" s="761"/>
      <c r="F1806" s="234"/>
      <c r="G1806" s="234"/>
      <c r="H1806" s="233"/>
      <c r="I1806" s="233"/>
      <c r="J1806" s="761"/>
      <c r="K1806" s="233"/>
      <c r="L1806" s="233"/>
      <c r="M1806" s="233"/>
      <c r="N1806" s="2403"/>
      <c r="O1806" s="2403"/>
    </row>
    <row r="1807" spans="3:15">
      <c r="C1807" s="233"/>
      <c r="D1807" s="233"/>
      <c r="E1807" s="761"/>
      <c r="F1807" s="234"/>
      <c r="G1807" s="234"/>
      <c r="H1807" s="233"/>
      <c r="I1807" s="233"/>
      <c r="J1807" s="761"/>
      <c r="K1807" s="233"/>
      <c r="L1807" s="233"/>
      <c r="M1807" s="233"/>
      <c r="N1807" s="2403"/>
      <c r="O1807" s="2403"/>
    </row>
    <row r="1808" spans="3:15">
      <c r="C1808" s="233"/>
      <c r="D1808" s="233"/>
      <c r="E1808" s="761"/>
      <c r="F1808" s="234"/>
      <c r="G1808" s="234"/>
      <c r="H1808" s="233"/>
      <c r="I1808" s="233"/>
      <c r="J1808" s="761"/>
      <c r="K1808" s="233"/>
      <c r="L1808" s="233"/>
      <c r="M1808" s="233"/>
      <c r="N1808" s="2403"/>
      <c r="O1808" s="2403"/>
    </row>
    <row r="1809" spans="3:15">
      <c r="C1809" s="233"/>
      <c r="D1809" s="233"/>
      <c r="E1809" s="761"/>
      <c r="F1809" s="234"/>
      <c r="G1809" s="234"/>
      <c r="H1809" s="233"/>
      <c r="I1809" s="233"/>
      <c r="J1809" s="761"/>
      <c r="K1809" s="233"/>
      <c r="L1809" s="233"/>
      <c r="M1809" s="233"/>
      <c r="N1809" s="2403"/>
      <c r="O1809" s="2403"/>
    </row>
    <row r="1810" spans="3:15">
      <c r="C1810" s="233"/>
      <c r="D1810" s="233"/>
      <c r="E1810" s="761"/>
      <c r="F1810" s="234"/>
      <c r="G1810" s="234"/>
      <c r="H1810" s="233"/>
      <c r="I1810" s="233"/>
      <c r="J1810" s="761"/>
      <c r="K1810" s="233"/>
      <c r="L1810" s="233"/>
      <c r="M1810" s="233"/>
      <c r="N1810" s="2403"/>
      <c r="O1810" s="2403"/>
    </row>
    <row r="1811" spans="3:15">
      <c r="C1811" s="233"/>
      <c r="D1811" s="233"/>
      <c r="E1811" s="761"/>
      <c r="F1811" s="234"/>
      <c r="G1811" s="234"/>
      <c r="H1811" s="233"/>
      <c r="I1811" s="233"/>
      <c r="J1811" s="761"/>
      <c r="K1811" s="233"/>
      <c r="L1811" s="233"/>
      <c r="M1811" s="233"/>
      <c r="N1811" s="2403"/>
      <c r="O1811" s="2403"/>
    </row>
    <row r="1812" spans="3:15">
      <c r="C1812" s="233"/>
      <c r="D1812" s="233"/>
      <c r="E1812" s="761"/>
      <c r="F1812" s="234"/>
      <c r="G1812" s="234"/>
      <c r="H1812" s="233"/>
      <c r="I1812" s="233"/>
      <c r="J1812" s="761"/>
      <c r="K1812" s="233"/>
      <c r="L1812" s="233"/>
      <c r="M1812" s="233"/>
      <c r="N1812" s="2403"/>
      <c r="O1812" s="2403"/>
    </row>
    <row r="1813" spans="3:15">
      <c r="C1813" s="233"/>
      <c r="D1813" s="233"/>
      <c r="E1813" s="761"/>
      <c r="F1813" s="234"/>
      <c r="G1813" s="234"/>
      <c r="H1813" s="233"/>
      <c r="I1813" s="233"/>
      <c r="J1813" s="761"/>
      <c r="K1813" s="233"/>
      <c r="L1813" s="233"/>
      <c r="M1813" s="233"/>
      <c r="N1813" s="2403"/>
      <c r="O1813" s="2403"/>
    </row>
    <row r="1814" spans="3:15">
      <c r="C1814" s="233"/>
      <c r="D1814" s="233"/>
      <c r="E1814" s="761"/>
      <c r="F1814" s="234"/>
      <c r="G1814" s="234"/>
      <c r="H1814" s="233"/>
      <c r="I1814" s="233"/>
      <c r="J1814" s="761"/>
      <c r="K1814" s="233"/>
      <c r="L1814" s="233"/>
      <c r="M1814" s="233"/>
      <c r="N1814" s="2403"/>
      <c r="O1814" s="2403"/>
    </row>
    <row r="1815" spans="3:15">
      <c r="C1815" s="233"/>
      <c r="D1815" s="233"/>
      <c r="E1815" s="761"/>
      <c r="F1815" s="234"/>
      <c r="G1815" s="234"/>
      <c r="H1815" s="233"/>
      <c r="I1815" s="233"/>
      <c r="J1815" s="761"/>
      <c r="K1815" s="233"/>
      <c r="L1815" s="233"/>
      <c r="M1815" s="233"/>
      <c r="N1815" s="2403"/>
      <c r="O1815" s="2403"/>
    </row>
    <row r="1816" spans="3:15">
      <c r="C1816" s="233"/>
      <c r="D1816" s="233"/>
      <c r="E1816" s="761"/>
      <c r="F1816" s="234"/>
      <c r="G1816" s="234"/>
      <c r="H1816" s="233"/>
      <c r="I1816" s="233"/>
      <c r="J1816" s="761"/>
      <c r="K1816" s="233"/>
      <c r="L1816" s="233"/>
      <c r="M1816" s="233"/>
      <c r="N1816" s="2403"/>
      <c r="O1816" s="2403"/>
    </row>
    <row r="1817" spans="3:15">
      <c r="C1817" s="233"/>
      <c r="D1817" s="233"/>
      <c r="E1817" s="761"/>
      <c r="F1817" s="234"/>
      <c r="G1817" s="234"/>
      <c r="H1817" s="233"/>
      <c r="I1817" s="233"/>
      <c r="J1817" s="761"/>
      <c r="K1817" s="233"/>
      <c r="L1817" s="233"/>
      <c r="M1817" s="233"/>
      <c r="N1817" s="2403"/>
      <c r="O1817" s="2403"/>
    </row>
    <row r="1818" spans="3:15">
      <c r="C1818" s="233"/>
      <c r="D1818" s="233"/>
      <c r="E1818" s="761"/>
      <c r="F1818" s="234"/>
      <c r="G1818" s="234"/>
      <c r="H1818" s="233"/>
      <c r="I1818" s="233"/>
      <c r="J1818" s="761"/>
      <c r="K1818" s="233"/>
      <c r="L1818" s="233"/>
      <c r="M1818" s="233"/>
      <c r="N1818" s="2403"/>
      <c r="O1818" s="2403"/>
    </row>
    <row r="1819" spans="3:15">
      <c r="C1819" s="233"/>
      <c r="D1819" s="233"/>
      <c r="E1819" s="761"/>
      <c r="F1819" s="234"/>
      <c r="G1819" s="234"/>
      <c r="H1819" s="233"/>
      <c r="I1819" s="233"/>
      <c r="J1819" s="761"/>
      <c r="K1819" s="233"/>
      <c r="L1819" s="233"/>
      <c r="M1819" s="233"/>
      <c r="N1819" s="2403"/>
      <c r="O1819" s="2403"/>
    </row>
    <row r="1820" spans="3:15">
      <c r="C1820" s="233"/>
      <c r="D1820" s="233"/>
      <c r="E1820" s="761"/>
      <c r="F1820" s="234"/>
      <c r="G1820" s="234"/>
      <c r="H1820" s="233"/>
      <c r="I1820" s="233"/>
      <c r="J1820" s="761"/>
      <c r="K1820" s="233"/>
      <c r="L1820" s="233"/>
      <c r="M1820" s="233"/>
      <c r="N1820" s="2403"/>
      <c r="O1820" s="2403"/>
    </row>
    <row r="1821" spans="3:15">
      <c r="C1821" s="233"/>
      <c r="D1821" s="233"/>
      <c r="E1821" s="761"/>
      <c r="F1821" s="234"/>
      <c r="G1821" s="234"/>
      <c r="H1821" s="233"/>
      <c r="I1821" s="233"/>
      <c r="J1821" s="761"/>
      <c r="K1821" s="233"/>
      <c r="L1821" s="233"/>
      <c r="M1821" s="233"/>
      <c r="N1821" s="2403"/>
      <c r="O1821" s="2403"/>
    </row>
    <row r="1822" spans="3:15">
      <c r="C1822" s="233"/>
      <c r="D1822" s="233"/>
      <c r="E1822" s="761"/>
      <c r="F1822" s="234"/>
      <c r="G1822" s="234"/>
      <c r="H1822" s="233"/>
      <c r="I1822" s="233"/>
      <c r="J1822" s="761"/>
      <c r="K1822" s="233"/>
      <c r="L1822" s="233"/>
      <c r="M1822" s="233"/>
      <c r="N1822" s="2403"/>
      <c r="O1822" s="2403"/>
    </row>
    <row r="1823" spans="3:15">
      <c r="C1823" s="233"/>
      <c r="D1823" s="233"/>
      <c r="E1823" s="761"/>
      <c r="F1823" s="234"/>
      <c r="G1823" s="234"/>
      <c r="H1823" s="233"/>
      <c r="I1823" s="233"/>
      <c r="J1823" s="761"/>
      <c r="K1823" s="233"/>
      <c r="L1823" s="233"/>
      <c r="M1823" s="233"/>
      <c r="N1823" s="2403"/>
      <c r="O1823" s="2403"/>
    </row>
    <row r="1824" spans="3:15">
      <c r="C1824" s="233"/>
      <c r="D1824" s="233"/>
      <c r="E1824" s="761"/>
      <c r="F1824" s="234"/>
      <c r="G1824" s="234"/>
      <c r="H1824" s="233"/>
      <c r="I1824" s="233"/>
      <c r="J1824" s="761"/>
      <c r="K1824" s="233"/>
      <c r="L1824" s="233"/>
      <c r="M1824" s="233"/>
      <c r="N1824" s="2403"/>
      <c r="O1824" s="2403"/>
    </row>
    <row r="1825" spans="3:15">
      <c r="C1825" s="233"/>
      <c r="D1825" s="233"/>
      <c r="E1825" s="761"/>
      <c r="F1825" s="234"/>
      <c r="G1825" s="234"/>
      <c r="H1825" s="233"/>
      <c r="I1825" s="233"/>
      <c r="J1825" s="761"/>
      <c r="K1825" s="233"/>
      <c r="L1825" s="233"/>
      <c r="M1825" s="233"/>
      <c r="N1825" s="2403"/>
      <c r="O1825" s="2403"/>
    </row>
    <row r="1826" spans="3:15">
      <c r="C1826" s="233"/>
      <c r="D1826" s="233"/>
      <c r="E1826" s="761"/>
      <c r="F1826" s="234"/>
      <c r="G1826" s="234"/>
      <c r="H1826" s="233"/>
      <c r="I1826" s="233"/>
      <c r="J1826" s="761"/>
      <c r="K1826" s="233"/>
      <c r="L1826" s="233"/>
      <c r="M1826" s="233"/>
      <c r="N1826" s="2403"/>
      <c r="O1826" s="2403"/>
    </row>
    <row r="1827" spans="3:15">
      <c r="C1827" s="233"/>
      <c r="D1827" s="233"/>
      <c r="E1827" s="761"/>
      <c r="F1827" s="234"/>
      <c r="G1827" s="234"/>
      <c r="H1827" s="233"/>
      <c r="I1827" s="233"/>
      <c r="J1827" s="761"/>
      <c r="K1827" s="233"/>
      <c r="L1827" s="233"/>
      <c r="M1827" s="233"/>
      <c r="N1827" s="2403"/>
      <c r="O1827" s="2403"/>
    </row>
    <row r="1828" spans="3:15">
      <c r="C1828" s="233"/>
      <c r="D1828" s="233"/>
      <c r="E1828" s="761"/>
      <c r="F1828" s="234"/>
      <c r="G1828" s="234"/>
      <c r="H1828" s="233"/>
      <c r="I1828" s="233"/>
      <c r="J1828" s="761"/>
      <c r="K1828" s="233"/>
      <c r="L1828" s="233"/>
      <c r="M1828" s="233"/>
      <c r="N1828" s="2403"/>
      <c r="O1828" s="2403"/>
    </row>
    <row r="1829" spans="3:15">
      <c r="C1829" s="233"/>
      <c r="D1829" s="233"/>
      <c r="E1829" s="761"/>
      <c r="F1829" s="234"/>
      <c r="G1829" s="234"/>
      <c r="H1829" s="233"/>
      <c r="I1829" s="233"/>
      <c r="J1829" s="761"/>
      <c r="K1829" s="233"/>
      <c r="L1829" s="233"/>
      <c r="M1829" s="233"/>
      <c r="N1829" s="2403"/>
      <c r="O1829" s="2403"/>
    </row>
    <row r="1830" spans="3:15">
      <c r="C1830" s="233"/>
      <c r="D1830" s="233"/>
      <c r="E1830" s="761"/>
      <c r="F1830" s="234"/>
      <c r="G1830" s="234"/>
      <c r="H1830" s="233"/>
      <c r="I1830" s="233"/>
      <c r="J1830" s="761"/>
      <c r="K1830" s="233"/>
      <c r="L1830" s="233"/>
      <c r="M1830" s="233"/>
      <c r="N1830" s="2403"/>
      <c r="O1830" s="2403"/>
    </row>
    <row r="1831" spans="3:15">
      <c r="C1831" s="233"/>
      <c r="D1831" s="233"/>
      <c r="E1831" s="761"/>
      <c r="F1831" s="234"/>
      <c r="G1831" s="234"/>
      <c r="H1831" s="233"/>
      <c r="I1831" s="233"/>
      <c r="J1831" s="761"/>
      <c r="K1831" s="233"/>
      <c r="L1831" s="233"/>
      <c r="M1831" s="233"/>
      <c r="N1831" s="2403"/>
      <c r="O1831" s="2403"/>
    </row>
    <row r="1832" spans="3:15">
      <c r="C1832" s="233"/>
      <c r="D1832" s="233"/>
      <c r="E1832" s="761"/>
      <c r="F1832" s="234"/>
      <c r="G1832" s="234"/>
      <c r="H1832" s="233"/>
      <c r="I1832" s="233"/>
      <c r="J1832" s="761"/>
      <c r="K1832" s="233"/>
      <c r="L1832" s="233"/>
      <c r="M1832" s="233"/>
      <c r="N1832" s="2403"/>
      <c r="O1832" s="2403"/>
    </row>
    <row r="1833" spans="3:15">
      <c r="C1833" s="233"/>
      <c r="D1833" s="233"/>
      <c r="E1833" s="761"/>
      <c r="F1833" s="234"/>
      <c r="G1833" s="234"/>
      <c r="H1833" s="233"/>
      <c r="I1833" s="233"/>
      <c r="J1833" s="761"/>
      <c r="K1833" s="233"/>
      <c r="L1833" s="233"/>
      <c r="M1833" s="233"/>
      <c r="N1833" s="2403"/>
      <c r="O1833" s="2403"/>
    </row>
    <row r="1834" spans="3:15">
      <c r="C1834" s="233"/>
      <c r="D1834" s="233"/>
      <c r="E1834" s="761"/>
      <c r="F1834" s="234"/>
      <c r="G1834" s="234"/>
      <c r="H1834" s="233"/>
      <c r="I1834" s="233"/>
      <c r="J1834" s="761"/>
      <c r="K1834" s="233"/>
      <c r="L1834" s="233"/>
      <c r="M1834" s="233"/>
      <c r="N1834" s="2403"/>
      <c r="O1834" s="2403"/>
    </row>
    <row r="1835" spans="3:15">
      <c r="C1835" s="233"/>
      <c r="D1835" s="233"/>
      <c r="E1835" s="761"/>
      <c r="F1835" s="234"/>
      <c r="G1835" s="234"/>
      <c r="H1835" s="233"/>
      <c r="I1835" s="233"/>
      <c r="J1835" s="761"/>
      <c r="K1835" s="233"/>
      <c r="L1835" s="233"/>
      <c r="M1835" s="233"/>
      <c r="N1835" s="2403"/>
      <c r="O1835" s="2403"/>
    </row>
    <row r="1836" spans="3:15">
      <c r="C1836" s="233"/>
      <c r="D1836" s="233"/>
      <c r="E1836" s="761"/>
      <c r="F1836" s="234"/>
      <c r="G1836" s="234"/>
      <c r="H1836" s="233"/>
      <c r="I1836" s="233"/>
      <c r="J1836" s="761"/>
      <c r="K1836" s="233"/>
      <c r="L1836" s="233"/>
      <c r="M1836" s="233"/>
      <c r="N1836" s="2403"/>
      <c r="O1836" s="2403"/>
    </row>
    <row r="1837" spans="3:15">
      <c r="C1837" s="233"/>
      <c r="D1837" s="233"/>
      <c r="E1837" s="761"/>
      <c r="F1837" s="234"/>
      <c r="G1837" s="234"/>
      <c r="H1837" s="233"/>
      <c r="I1837" s="233"/>
      <c r="J1837" s="761"/>
      <c r="K1837" s="233"/>
      <c r="L1837" s="233"/>
      <c r="M1837" s="233"/>
      <c r="N1837" s="2403"/>
      <c r="O1837" s="2403"/>
    </row>
    <row r="1838" spans="3:15">
      <c r="C1838" s="233"/>
      <c r="D1838" s="233"/>
      <c r="E1838" s="761"/>
      <c r="F1838" s="234"/>
      <c r="G1838" s="234"/>
      <c r="H1838" s="233"/>
      <c r="I1838" s="233"/>
      <c r="J1838" s="761"/>
      <c r="K1838" s="233"/>
      <c r="L1838" s="233"/>
      <c r="M1838" s="233"/>
      <c r="N1838" s="2403"/>
      <c r="O1838" s="2403"/>
    </row>
    <row r="1839" spans="3:15">
      <c r="C1839" s="233"/>
      <c r="D1839" s="233"/>
      <c r="E1839" s="761"/>
      <c r="F1839" s="234"/>
      <c r="G1839" s="234"/>
      <c r="H1839" s="233"/>
      <c r="I1839" s="233"/>
      <c r="J1839" s="761"/>
      <c r="K1839" s="233"/>
      <c r="L1839" s="233"/>
      <c r="M1839" s="233"/>
      <c r="N1839" s="2403"/>
      <c r="O1839" s="2403"/>
    </row>
    <row r="1840" spans="3:15">
      <c r="C1840" s="233"/>
      <c r="D1840" s="233"/>
      <c r="E1840" s="761"/>
      <c r="F1840" s="234"/>
      <c r="G1840" s="234"/>
      <c r="H1840" s="233"/>
      <c r="I1840" s="233"/>
      <c r="J1840" s="761"/>
      <c r="K1840" s="233"/>
      <c r="L1840" s="233"/>
      <c r="M1840" s="233"/>
      <c r="N1840" s="2403"/>
      <c r="O1840" s="2403"/>
    </row>
    <row r="1841" spans="3:15">
      <c r="C1841" s="233"/>
      <c r="D1841" s="233"/>
      <c r="E1841" s="761"/>
      <c r="F1841" s="234"/>
      <c r="G1841" s="234"/>
      <c r="H1841" s="233"/>
      <c r="I1841" s="233"/>
      <c r="J1841" s="761"/>
      <c r="K1841" s="233"/>
      <c r="L1841" s="233"/>
      <c r="M1841" s="233"/>
      <c r="N1841" s="2403"/>
      <c r="O1841" s="2403"/>
    </row>
    <row r="1842" spans="3:15">
      <c r="C1842" s="233"/>
      <c r="D1842" s="233"/>
      <c r="E1842" s="761"/>
      <c r="F1842" s="234"/>
      <c r="G1842" s="234"/>
      <c r="H1842" s="233"/>
      <c r="I1842" s="233"/>
      <c r="J1842" s="761"/>
      <c r="K1842" s="233"/>
      <c r="L1842" s="233"/>
      <c r="M1842" s="233"/>
      <c r="N1842" s="2403"/>
      <c r="O1842" s="2403"/>
    </row>
    <row r="1843" spans="3:15">
      <c r="C1843" s="233"/>
      <c r="D1843" s="233"/>
      <c r="E1843" s="761"/>
      <c r="F1843" s="234"/>
      <c r="G1843" s="234"/>
      <c r="H1843" s="233"/>
      <c r="I1843" s="233"/>
      <c r="J1843" s="761"/>
      <c r="K1843" s="233"/>
      <c r="L1843" s="233"/>
      <c r="M1843" s="233"/>
      <c r="N1843" s="2403"/>
      <c r="O1843" s="2403"/>
    </row>
    <row r="1844" spans="3:15">
      <c r="C1844" s="233"/>
      <c r="D1844" s="233"/>
      <c r="E1844" s="761"/>
      <c r="F1844" s="234"/>
      <c r="G1844" s="234"/>
      <c r="H1844" s="233"/>
      <c r="I1844" s="233"/>
      <c r="J1844" s="761"/>
      <c r="K1844" s="233"/>
      <c r="L1844" s="233"/>
      <c r="M1844" s="233"/>
      <c r="N1844" s="2403"/>
      <c r="O1844" s="2403"/>
    </row>
    <row r="1845" spans="3:15">
      <c r="C1845" s="233"/>
      <c r="D1845" s="233"/>
      <c r="E1845" s="761"/>
      <c r="F1845" s="234"/>
      <c r="G1845" s="234"/>
      <c r="H1845" s="233"/>
      <c r="I1845" s="233"/>
      <c r="J1845" s="761"/>
      <c r="K1845" s="233"/>
      <c r="L1845" s="233"/>
      <c r="M1845" s="233"/>
      <c r="N1845" s="2403"/>
      <c r="O1845" s="2403"/>
    </row>
    <row r="1846" spans="3:15">
      <c r="C1846" s="233"/>
      <c r="D1846" s="233"/>
      <c r="E1846" s="761"/>
      <c r="F1846" s="234"/>
      <c r="G1846" s="234"/>
      <c r="H1846" s="233"/>
      <c r="I1846" s="233"/>
      <c r="J1846" s="761"/>
      <c r="K1846" s="233"/>
      <c r="L1846" s="233"/>
      <c r="M1846" s="233"/>
      <c r="N1846" s="2403"/>
      <c r="O1846" s="2403"/>
    </row>
    <row r="1847" spans="3:15">
      <c r="C1847" s="233"/>
      <c r="D1847" s="233"/>
      <c r="E1847" s="761"/>
      <c r="F1847" s="234"/>
      <c r="G1847" s="234"/>
      <c r="H1847" s="233"/>
      <c r="I1847" s="233"/>
      <c r="J1847" s="761"/>
      <c r="K1847" s="233"/>
      <c r="L1847" s="233"/>
      <c r="M1847" s="233"/>
      <c r="N1847" s="2403"/>
      <c r="O1847" s="2403"/>
    </row>
    <row r="1848" spans="3:15">
      <c r="C1848" s="233"/>
      <c r="D1848" s="233"/>
      <c r="E1848" s="761"/>
      <c r="F1848" s="234"/>
      <c r="G1848" s="234"/>
      <c r="H1848" s="233"/>
      <c r="I1848" s="233"/>
      <c r="J1848" s="761"/>
      <c r="K1848" s="233"/>
      <c r="L1848" s="233"/>
      <c r="M1848" s="233"/>
      <c r="N1848" s="2403"/>
      <c r="O1848" s="2403"/>
    </row>
    <row r="1849" spans="3:15">
      <c r="C1849" s="233"/>
      <c r="D1849" s="233"/>
      <c r="E1849" s="761"/>
      <c r="F1849" s="234"/>
      <c r="G1849" s="234"/>
      <c r="H1849" s="233"/>
      <c r="I1849" s="233"/>
      <c r="J1849" s="761"/>
      <c r="K1849" s="233"/>
      <c r="L1849" s="233"/>
      <c r="M1849" s="233"/>
      <c r="N1849" s="2403"/>
      <c r="O1849" s="2403"/>
    </row>
    <row r="1850" spans="3:15">
      <c r="C1850" s="233"/>
      <c r="D1850" s="233"/>
      <c r="E1850" s="761"/>
      <c r="F1850" s="234"/>
      <c r="G1850" s="234"/>
      <c r="H1850" s="233"/>
      <c r="I1850" s="233"/>
      <c r="J1850" s="761"/>
      <c r="K1850" s="233"/>
      <c r="L1850" s="233"/>
      <c r="M1850" s="233"/>
      <c r="N1850" s="2403"/>
      <c r="O1850" s="2403"/>
    </row>
    <row r="1851" spans="3:15">
      <c r="C1851" s="233"/>
      <c r="D1851" s="233"/>
      <c r="E1851" s="761"/>
      <c r="F1851" s="234"/>
      <c r="G1851" s="234"/>
      <c r="H1851" s="233"/>
      <c r="I1851" s="233"/>
      <c r="J1851" s="761"/>
      <c r="K1851" s="233"/>
      <c r="L1851" s="233"/>
      <c r="M1851" s="233"/>
      <c r="N1851" s="2403"/>
      <c r="O1851" s="2403"/>
    </row>
    <row r="1852" spans="3:15">
      <c r="C1852" s="233"/>
      <c r="D1852" s="233"/>
      <c r="E1852" s="761"/>
      <c r="F1852" s="234"/>
      <c r="G1852" s="234"/>
      <c r="H1852" s="233"/>
      <c r="I1852" s="233"/>
      <c r="J1852" s="761"/>
      <c r="K1852" s="233"/>
      <c r="L1852" s="233"/>
      <c r="M1852" s="233"/>
      <c r="N1852" s="2403"/>
      <c r="O1852" s="2403"/>
    </row>
    <row r="1853" spans="3:15">
      <c r="C1853" s="233"/>
      <c r="D1853" s="233"/>
      <c r="E1853" s="761"/>
      <c r="F1853" s="234"/>
      <c r="G1853" s="234"/>
      <c r="H1853" s="233"/>
      <c r="I1853" s="233"/>
      <c r="J1853" s="761"/>
      <c r="K1853" s="233"/>
      <c r="L1853" s="233"/>
      <c r="M1853" s="233"/>
      <c r="N1853" s="2403"/>
      <c r="O1853" s="2403"/>
    </row>
    <row r="1854" spans="3:15">
      <c r="C1854" s="233"/>
      <c r="D1854" s="233"/>
      <c r="E1854" s="761"/>
      <c r="F1854" s="234"/>
      <c r="G1854" s="234"/>
      <c r="H1854" s="233"/>
      <c r="I1854" s="233"/>
      <c r="J1854" s="761"/>
      <c r="K1854" s="233"/>
      <c r="L1854" s="233"/>
      <c r="M1854" s="233"/>
      <c r="N1854" s="2403"/>
      <c r="O1854" s="2403"/>
    </row>
    <row r="1855" spans="3:15">
      <c r="C1855" s="233"/>
      <c r="D1855" s="233"/>
      <c r="E1855" s="761"/>
      <c r="F1855" s="234"/>
      <c r="G1855" s="234"/>
      <c r="H1855" s="233"/>
      <c r="I1855" s="233"/>
      <c r="J1855" s="761"/>
      <c r="K1855" s="233"/>
      <c r="L1855" s="233"/>
      <c r="M1855" s="233"/>
      <c r="N1855" s="2403"/>
      <c r="O1855" s="2403"/>
    </row>
    <row r="1856" spans="3:15">
      <c r="C1856" s="233"/>
      <c r="D1856" s="233"/>
      <c r="E1856" s="761"/>
      <c r="F1856" s="234"/>
      <c r="G1856" s="234"/>
      <c r="H1856" s="233"/>
      <c r="I1856" s="233"/>
      <c r="J1856" s="761"/>
      <c r="K1856" s="233"/>
      <c r="L1856" s="233"/>
      <c r="M1856" s="233"/>
      <c r="N1856" s="2403"/>
      <c r="O1856" s="2403"/>
    </row>
    <row r="1857" spans="3:15">
      <c r="C1857" s="233"/>
      <c r="D1857" s="233"/>
      <c r="E1857" s="761"/>
      <c r="F1857" s="234"/>
      <c r="G1857" s="234"/>
      <c r="H1857" s="233"/>
      <c r="I1857" s="233"/>
      <c r="J1857" s="761"/>
      <c r="K1857" s="233"/>
      <c r="L1857" s="233"/>
      <c r="M1857" s="233"/>
      <c r="N1857" s="2403"/>
      <c r="O1857" s="2403"/>
    </row>
    <row r="1858" spans="3:15">
      <c r="C1858" s="233"/>
      <c r="D1858" s="233"/>
      <c r="E1858" s="761"/>
      <c r="F1858" s="234"/>
      <c r="G1858" s="234"/>
      <c r="H1858" s="233"/>
      <c r="I1858" s="233"/>
      <c r="J1858" s="761"/>
      <c r="K1858" s="233"/>
      <c r="L1858" s="233"/>
      <c r="M1858" s="233"/>
      <c r="N1858" s="2403"/>
      <c r="O1858" s="2403"/>
    </row>
    <row r="1859" spans="3:15">
      <c r="C1859" s="233"/>
      <c r="D1859" s="233"/>
      <c r="E1859" s="761"/>
      <c r="F1859" s="234"/>
      <c r="G1859" s="234"/>
      <c r="H1859" s="233"/>
      <c r="I1859" s="233"/>
      <c r="J1859" s="761"/>
      <c r="K1859" s="233"/>
      <c r="L1859" s="233"/>
      <c r="M1859" s="233"/>
      <c r="N1859" s="2403"/>
      <c r="O1859" s="2403"/>
    </row>
    <row r="1860" spans="3:15">
      <c r="C1860" s="233"/>
      <c r="D1860" s="233"/>
      <c r="E1860" s="761"/>
      <c r="F1860" s="234"/>
      <c r="G1860" s="234"/>
      <c r="H1860" s="233"/>
      <c r="I1860" s="233"/>
      <c r="J1860" s="761"/>
      <c r="K1860" s="233"/>
      <c r="L1860" s="233"/>
      <c r="M1860" s="233"/>
      <c r="N1860" s="2403"/>
      <c r="O1860" s="2403"/>
    </row>
    <row r="1861" spans="3:15">
      <c r="C1861" s="233"/>
      <c r="D1861" s="233"/>
      <c r="E1861" s="761"/>
      <c r="F1861" s="234"/>
      <c r="G1861" s="234"/>
      <c r="H1861" s="233"/>
      <c r="I1861" s="233"/>
      <c r="J1861" s="761"/>
      <c r="K1861" s="233"/>
      <c r="L1861" s="233"/>
      <c r="M1861" s="233"/>
      <c r="N1861" s="2403"/>
      <c r="O1861" s="2403"/>
    </row>
    <row r="1862" spans="3:15">
      <c r="C1862" s="233"/>
      <c r="D1862" s="233"/>
      <c r="E1862" s="761"/>
      <c r="F1862" s="234"/>
      <c r="G1862" s="234"/>
      <c r="H1862" s="233"/>
      <c r="I1862" s="233"/>
      <c r="J1862" s="761"/>
      <c r="K1862" s="233"/>
      <c r="L1862" s="233"/>
      <c r="M1862" s="233"/>
      <c r="N1862" s="2403"/>
      <c r="O1862" s="2403"/>
    </row>
    <row r="1863" spans="3:15">
      <c r="C1863" s="233"/>
      <c r="D1863" s="233"/>
      <c r="E1863" s="761"/>
      <c r="F1863" s="234"/>
      <c r="G1863" s="234"/>
      <c r="H1863" s="233"/>
      <c r="I1863" s="233"/>
      <c r="J1863" s="761"/>
      <c r="K1863" s="233"/>
      <c r="L1863" s="233"/>
      <c r="M1863" s="233"/>
      <c r="N1863" s="2403"/>
      <c r="O1863" s="2403"/>
    </row>
    <row r="1864" spans="3:15">
      <c r="C1864" s="233"/>
      <c r="D1864" s="233"/>
      <c r="E1864" s="761"/>
      <c r="F1864" s="234"/>
      <c r="G1864" s="234"/>
      <c r="H1864" s="233"/>
      <c r="I1864" s="233"/>
      <c r="J1864" s="761"/>
      <c r="K1864" s="233"/>
      <c r="L1864" s="233"/>
      <c r="M1864" s="233"/>
      <c r="N1864" s="2403"/>
      <c r="O1864" s="2403"/>
    </row>
    <row r="1865" spans="3:15">
      <c r="C1865" s="233"/>
      <c r="D1865" s="233"/>
      <c r="E1865" s="761"/>
      <c r="F1865" s="234"/>
      <c r="G1865" s="234"/>
      <c r="H1865" s="233"/>
      <c r="I1865" s="233"/>
      <c r="J1865" s="761"/>
      <c r="K1865" s="233"/>
      <c r="L1865" s="233"/>
      <c r="M1865" s="233"/>
      <c r="N1865" s="2403"/>
      <c r="O1865" s="2403"/>
    </row>
    <row r="1866" spans="3:15">
      <c r="C1866" s="233"/>
      <c r="D1866" s="233"/>
      <c r="E1866" s="761"/>
      <c r="F1866" s="234"/>
      <c r="G1866" s="234"/>
      <c r="H1866" s="233"/>
      <c r="I1866" s="233"/>
      <c r="J1866" s="761"/>
      <c r="K1866" s="233"/>
      <c r="L1866" s="233"/>
      <c r="M1866" s="233"/>
      <c r="N1866" s="2403"/>
      <c r="O1866" s="2403"/>
    </row>
    <row r="1867" spans="3:15">
      <c r="C1867" s="233"/>
      <c r="D1867" s="233"/>
      <c r="E1867" s="761"/>
      <c r="F1867" s="234"/>
      <c r="G1867" s="234"/>
      <c r="H1867" s="233"/>
      <c r="I1867" s="233"/>
      <c r="J1867" s="761"/>
      <c r="K1867" s="233"/>
      <c r="L1867" s="233"/>
      <c r="M1867" s="233"/>
      <c r="N1867" s="2403"/>
      <c r="O1867" s="2403"/>
    </row>
    <row r="1868" spans="3:15">
      <c r="C1868" s="233"/>
      <c r="D1868" s="233"/>
      <c r="E1868" s="761"/>
      <c r="F1868" s="234"/>
      <c r="G1868" s="234"/>
      <c r="H1868" s="233"/>
      <c r="I1868" s="233"/>
      <c r="J1868" s="761"/>
      <c r="K1868" s="233"/>
      <c r="L1868" s="233"/>
      <c r="M1868" s="233"/>
      <c r="N1868" s="2403"/>
      <c r="O1868" s="2403"/>
    </row>
    <row r="1869" spans="3:15">
      <c r="C1869" s="233"/>
      <c r="D1869" s="233"/>
      <c r="E1869" s="761"/>
      <c r="F1869" s="234"/>
      <c r="G1869" s="234"/>
      <c r="H1869" s="233"/>
      <c r="I1869" s="233"/>
      <c r="J1869" s="761"/>
      <c r="K1869" s="233"/>
      <c r="L1869" s="233"/>
      <c r="M1869" s="233"/>
      <c r="N1869" s="2403"/>
      <c r="O1869" s="2403"/>
    </row>
    <row r="1870" spans="3:15">
      <c r="C1870" s="233"/>
      <c r="D1870" s="233"/>
      <c r="E1870" s="761"/>
      <c r="F1870" s="234"/>
      <c r="G1870" s="234"/>
      <c r="H1870" s="233"/>
      <c r="I1870" s="233"/>
      <c r="J1870" s="761"/>
      <c r="K1870" s="233"/>
      <c r="L1870" s="233"/>
      <c r="M1870" s="233"/>
      <c r="N1870" s="2403"/>
      <c r="O1870" s="2403"/>
    </row>
    <row r="1871" spans="3:15">
      <c r="C1871" s="233"/>
      <c r="D1871" s="233"/>
      <c r="E1871" s="761"/>
      <c r="F1871" s="234"/>
      <c r="G1871" s="234"/>
      <c r="H1871" s="233"/>
      <c r="I1871" s="233"/>
      <c r="J1871" s="761"/>
      <c r="K1871" s="233"/>
      <c r="L1871" s="233"/>
      <c r="M1871" s="233"/>
      <c r="N1871" s="2403"/>
      <c r="O1871" s="2403"/>
    </row>
    <row r="1872" spans="3:15">
      <c r="C1872" s="233"/>
      <c r="D1872" s="233"/>
      <c r="E1872" s="761"/>
      <c r="F1872" s="234"/>
      <c r="G1872" s="234"/>
      <c r="H1872" s="233"/>
      <c r="I1872" s="233"/>
      <c r="J1872" s="761"/>
      <c r="K1872" s="233"/>
      <c r="L1872" s="233"/>
      <c r="M1872" s="233"/>
      <c r="N1872" s="2403"/>
      <c r="O1872" s="2403"/>
    </row>
    <row r="1873" spans="3:15">
      <c r="C1873" s="233"/>
      <c r="D1873" s="233"/>
      <c r="E1873" s="761"/>
      <c r="F1873" s="234"/>
      <c r="G1873" s="234"/>
      <c r="H1873" s="233"/>
      <c r="I1873" s="233"/>
      <c r="J1873" s="761"/>
      <c r="K1873" s="233"/>
      <c r="L1873" s="233"/>
      <c r="M1873" s="233"/>
      <c r="N1873" s="2403"/>
      <c r="O1873" s="2403"/>
    </row>
    <row r="1874" spans="3:15">
      <c r="C1874" s="233"/>
      <c r="D1874" s="233"/>
      <c r="E1874" s="761"/>
      <c r="F1874" s="234"/>
      <c r="G1874" s="234"/>
      <c r="H1874" s="233"/>
      <c r="I1874" s="233"/>
      <c r="J1874" s="761"/>
      <c r="K1874" s="233"/>
      <c r="L1874" s="233"/>
      <c r="M1874" s="233"/>
      <c r="N1874" s="2403"/>
      <c r="O1874" s="2403"/>
    </row>
    <row r="1875" spans="3:15">
      <c r="C1875" s="233"/>
      <c r="D1875" s="233"/>
      <c r="E1875" s="761"/>
      <c r="F1875" s="234"/>
      <c r="G1875" s="234"/>
      <c r="H1875" s="233"/>
      <c r="I1875" s="233"/>
      <c r="J1875" s="761"/>
      <c r="K1875" s="233"/>
      <c r="L1875" s="233"/>
      <c r="M1875" s="233"/>
      <c r="N1875" s="2403"/>
      <c r="O1875" s="2403"/>
    </row>
    <row r="1876" spans="3:15">
      <c r="C1876" s="233"/>
      <c r="D1876" s="233"/>
      <c r="E1876" s="761"/>
      <c r="F1876" s="234"/>
      <c r="G1876" s="234"/>
      <c r="H1876" s="233"/>
      <c r="I1876" s="233"/>
      <c r="J1876" s="761"/>
      <c r="K1876" s="233"/>
      <c r="L1876" s="233"/>
      <c r="M1876" s="233"/>
      <c r="N1876" s="2403"/>
      <c r="O1876" s="2403"/>
    </row>
    <row r="1877" spans="3:15">
      <c r="C1877" s="233"/>
      <c r="D1877" s="233"/>
      <c r="E1877" s="761"/>
      <c r="F1877" s="234"/>
      <c r="G1877" s="234"/>
      <c r="H1877" s="233"/>
      <c r="I1877" s="233"/>
      <c r="J1877" s="761"/>
      <c r="K1877" s="233"/>
      <c r="L1877" s="233"/>
      <c r="M1877" s="233"/>
      <c r="N1877" s="2403"/>
      <c r="O1877" s="2403"/>
    </row>
    <row r="1878" spans="3:15">
      <c r="C1878" s="233"/>
      <c r="D1878" s="233"/>
      <c r="E1878" s="761"/>
      <c r="F1878" s="234"/>
      <c r="G1878" s="234"/>
      <c r="H1878" s="233"/>
      <c r="I1878" s="233"/>
      <c r="J1878" s="761"/>
      <c r="K1878" s="233"/>
      <c r="L1878" s="233"/>
      <c r="M1878" s="233"/>
      <c r="N1878" s="2403"/>
      <c r="O1878" s="2403"/>
    </row>
    <row r="1879" spans="3:15">
      <c r="C1879" s="233"/>
      <c r="D1879" s="233"/>
      <c r="E1879" s="761"/>
      <c r="F1879" s="234"/>
      <c r="G1879" s="234"/>
      <c r="H1879" s="233"/>
      <c r="I1879" s="233"/>
      <c r="J1879" s="761"/>
      <c r="K1879" s="233"/>
      <c r="L1879" s="233"/>
      <c r="M1879" s="233"/>
      <c r="N1879" s="2403"/>
      <c r="O1879" s="2403"/>
    </row>
    <row r="1880" spans="3:15">
      <c r="C1880" s="233"/>
      <c r="D1880" s="233"/>
      <c r="E1880" s="761"/>
      <c r="F1880" s="234"/>
      <c r="G1880" s="234"/>
      <c r="H1880" s="233"/>
      <c r="I1880" s="233"/>
      <c r="J1880" s="761"/>
      <c r="K1880" s="233"/>
      <c r="L1880" s="233"/>
      <c r="M1880" s="233"/>
      <c r="N1880" s="2403"/>
      <c r="O1880" s="2403"/>
    </row>
    <row r="1881" spans="3:15">
      <c r="C1881" s="233"/>
      <c r="D1881" s="233"/>
      <c r="E1881" s="761"/>
      <c r="F1881" s="234"/>
      <c r="G1881" s="234"/>
      <c r="H1881" s="233"/>
      <c r="I1881" s="233"/>
      <c r="J1881" s="761"/>
      <c r="K1881" s="233"/>
      <c r="L1881" s="233"/>
      <c r="M1881" s="233"/>
      <c r="N1881" s="2403"/>
      <c r="O1881" s="2403"/>
    </row>
    <row r="1882" spans="3:15">
      <c r="C1882" s="233"/>
      <c r="D1882" s="233"/>
      <c r="E1882" s="761"/>
      <c r="F1882" s="234"/>
      <c r="G1882" s="234"/>
      <c r="H1882" s="233"/>
      <c r="I1882" s="233"/>
      <c r="J1882" s="761"/>
      <c r="K1882" s="233"/>
      <c r="L1882" s="233"/>
      <c r="M1882" s="233"/>
      <c r="N1882" s="2403"/>
      <c r="O1882" s="2403"/>
    </row>
    <row r="1883" spans="3:15">
      <c r="C1883" s="233"/>
      <c r="D1883" s="233"/>
      <c r="E1883" s="761"/>
      <c r="F1883" s="234"/>
      <c r="G1883" s="234"/>
      <c r="H1883" s="233"/>
      <c r="I1883" s="233"/>
      <c r="J1883" s="761"/>
      <c r="K1883" s="233"/>
      <c r="L1883" s="233"/>
      <c r="M1883" s="233"/>
      <c r="N1883" s="2403"/>
      <c r="O1883" s="2403"/>
    </row>
    <row r="1884" spans="3:15">
      <c r="C1884" s="233"/>
      <c r="D1884" s="233"/>
      <c r="E1884" s="761"/>
      <c r="F1884" s="234"/>
      <c r="G1884" s="234"/>
      <c r="H1884" s="233"/>
      <c r="I1884" s="233"/>
      <c r="J1884" s="761"/>
      <c r="K1884" s="233"/>
      <c r="L1884" s="233"/>
      <c r="M1884" s="233"/>
      <c r="N1884" s="2403"/>
      <c r="O1884" s="2403"/>
    </row>
    <row r="1885" spans="3:15">
      <c r="C1885" s="233"/>
      <c r="D1885" s="233"/>
      <c r="E1885" s="761"/>
      <c r="F1885" s="234"/>
      <c r="G1885" s="234"/>
      <c r="H1885" s="233"/>
      <c r="I1885" s="233"/>
      <c r="J1885" s="761"/>
      <c r="K1885" s="233"/>
      <c r="L1885" s="233"/>
      <c r="M1885" s="233"/>
      <c r="N1885" s="2403"/>
      <c r="O1885" s="2403"/>
    </row>
    <row r="1886" spans="3:15">
      <c r="C1886" s="233"/>
      <c r="D1886" s="233"/>
      <c r="E1886" s="761"/>
      <c r="F1886" s="234"/>
      <c r="G1886" s="234"/>
      <c r="H1886" s="233"/>
      <c r="I1886" s="233"/>
      <c r="J1886" s="761"/>
      <c r="K1886" s="233"/>
      <c r="L1886" s="233"/>
      <c r="M1886" s="233"/>
      <c r="N1886" s="2403"/>
      <c r="O1886" s="2403"/>
    </row>
    <row r="1887" spans="3:15">
      <c r="C1887" s="233"/>
      <c r="D1887" s="233"/>
      <c r="E1887" s="761"/>
      <c r="F1887" s="234"/>
      <c r="G1887" s="234"/>
      <c r="H1887" s="233"/>
      <c r="I1887" s="233"/>
      <c r="J1887" s="761"/>
      <c r="K1887" s="233"/>
      <c r="L1887" s="233"/>
      <c r="M1887" s="233"/>
      <c r="N1887" s="2403"/>
      <c r="O1887" s="2403"/>
    </row>
    <row r="1888" spans="3:15">
      <c r="C1888" s="233"/>
      <c r="D1888" s="233"/>
      <c r="E1888" s="761"/>
      <c r="F1888" s="234"/>
      <c r="G1888" s="234"/>
      <c r="H1888" s="233"/>
      <c r="I1888" s="233"/>
      <c r="J1888" s="761"/>
      <c r="K1888" s="233"/>
      <c r="L1888" s="233"/>
      <c r="M1888" s="233"/>
      <c r="N1888" s="2403"/>
      <c r="O1888" s="2403"/>
    </row>
    <row r="1889" spans="3:15">
      <c r="C1889" s="233"/>
      <c r="D1889" s="233"/>
      <c r="E1889" s="761"/>
      <c r="F1889" s="234"/>
      <c r="G1889" s="234"/>
      <c r="H1889" s="233"/>
      <c r="I1889" s="233"/>
      <c r="J1889" s="761"/>
      <c r="K1889" s="233"/>
      <c r="L1889" s="233"/>
      <c r="M1889" s="233"/>
      <c r="N1889" s="2403"/>
      <c r="O1889" s="2403"/>
    </row>
    <row r="1890" spans="3:15">
      <c r="C1890" s="233"/>
      <c r="D1890" s="233"/>
      <c r="E1890" s="761"/>
      <c r="F1890" s="234"/>
      <c r="G1890" s="234"/>
      <c r="H1890" s="233"/>
      <c r="I1890" s="233"/>
      <c r="J1890" s="761"/>
      <c r="K1890" s="233"/>
      <c r="L1890" s="233"/>
      <c r="M1890" s="233"/>
      <c r="N1890" s="2403"/>
      <c r="O1890" s="2403"/>
    </row>
    <row r="1891" spans="3:15">
      <c r="C1891" s="233"/>
      <c r="D1891" s="233"/>
      <c r="E1891" s="761"/>
      <c r="F1891" s="234"/>
      <c r="G1891" s="234"/>
      <c r="H1891" s="233"/>
      <c r="I1891" s="233"/>
      <c r="J1891" s="761"/>
      <c r="K1891" s="233"/>
      <c r="L1891" s="233"/>
      <c r="M1891" s="233"/>
      <c r="N1891" s="2403"/>
      <c r="O1891" s="2403"/>
    </row>
    <row r="1892" spans="3:15">
      <c r="C1892" s="233"/>
      <c r="D1892" s="233"/>
      <c r="E1892" s="761"/>
      <c r="F1892" s="234"/>
      <c r="G1892" s="234"/>
      <c r="H1892" s="233"/>
      <c r="I1892" s="233"/>
      <c r="J1892" s="761"/>
      <c r="K1892" s="233"/>
      <c r="L1892" s="233"/>
      <c r="M1892" s="233"/>
      <c r="N1892" s="2403"/>
      <c r="O1892" s="2403"/>
    </row>
    <row r="1893" spans="3:15">
      <c r="C1893" s="233"/>
      <c r="D1893" s="233"/>
      <c r="E1893" s="761"/>
      <c r="F1893" s="234"/>
      <c r="G1893" s="234"/>
      <c r="H1893" s="233"/>
      <c r="I1893" s="233"/>
      <c r="J1893" s="761"/>
      <c r="K1893" s="233"/>
      <c r="L1893" s="233"/>
      <c r="M1893" s="233"/>
      <c r="N1893" s="2403"/>
      <c r="O1893" s="2403"/>
    </row>
    <row r="1894" spans="3:15">
      <c r="C1894" s="233"/>
      <c r="D1894" s="233"/>
      <c r="E1894" s="761"/>
      <c r="F1894" s="234"/>
      <c r="G1894" s="234"/>
      <c r="H1894" s="233"/>
      <c r="I1894" s="233"/>
      <c r="J1894" s="761"/>
      <c r="K1894" s="233"/>
      <c r="L1894" s="233"/>
      <c r="M1894" s="233"/>
      <c r="N1894" s="2403"/>
      <c r="O1894" s="2403"/>
    </row>
    <row r="1895" spans="3:15">
      <c r="C1895" s="233"/>
      <c r="D1895" s="233"/>
      <c r="E1895" s="761"/>
      <c r="F1895" s="234"/>
      <c r="G1895" s="234"/>
      <c r="H1895" s="233"/>
      <c r="I1895" s="233"/>
      <c r="J1895" s="761"/>
      <c r="K1895" s="233"/>
      <c r="L1895" s="233"/>
      <c r="M1895" s="233"/>
      <c r="N1895" s="2403"/>
      <c r="O1895" s="2403"/>
    </row>
    <row r="1896" spans="3:15">
      <c r="C1896" s="233"/>
      <c r="D1896" s="233"/>
      <c r="E1896" s="761"/>
      <c r="F1896" s="234"/>
      <c r="G1896" s="234"/>
      <c r="H1896" s="233"/>
      <c r="I1896" s="233"/>
      <c r="J1896" s="761"/>
      <c r="K1896" s="233"/>
      <c r="L1896" s="233"/>
      <c r="M1896" s="233"/>
      <c r="N1896" s="2403"/>
      <c r="O1896" s="2403"/>
    </row>
    <row r="1897" spans="3:15">
      <c r="C1897" s="233"/>
      <c r="D1897" s="233"/>
      <c r="E1897" s="761"/>
      <c r="F1897" s="234"/>
      <c r="G1897" s="234"/>
      <c r="H1897" s="233"/>
      <c r="I1897" s="233"/>
      <c r="J1897" s="761"/>
      <c r="K1897" s="233"/>
      <c r="L1897" s="233"/>
      <c r="M1897" s="233"/>
      <c r="N1897" s="2403"/>
      <c r="O1897" s="2403"/>
    </row>
    <row r="1898" spans="3:15">
      <c r="C1898" s="233"/>
      <c r="D1898" s="233"/>
      <c r="E1898" s="761"/>
      <c r="F1898" s="234"/>
      <c r="G1898" s="234"/>
      <c r="H1898" s="233"/>
      <c r="I1898" s="233"/>
      <c r="J1898" s="761"/>
      <c r="K1898" s="233"/>
      <c r="L1898" s="233"/>
      <c r="M1898" s="233"/>
      <c r="N1898" s="2403"/>
      <c r="O1898" s="2403"/>
    </row>
    <row r="1899" spans="3:15">
      <c r="C1899" s="233"/>
      <c r="D1899" s="233"/>
      <c r="E1899" s="761"/>
      <c r="F1899" s="234"/>
      <c r="G1899" s="234"/>
      <c r="H1899" s="233"/>
      <c r="I1899" s="233"/>
      <c r="J1899" s="761"/>
      <c r="K1899" s="233"/>
      <c r="L1899" s="233"/>
      <c r="M1899" s="233"/>
      <c r="N1899" s="2403"/>
      <c r="O1899" s="2403"/>
    </row>
    <row r="1900" spans="3:15">
      <c r="C1900" s="233"/>
      <c r="D1900" s="233"/>
      <c r="E1900" s="761"/>
      <c r="F1900" s="234"/>
      <c r="G1900" s="234"/>
      <c r="H1900" s="233"/>
      <c r="I1900" s="233"/>
      <c r="J1900" s="761"/>
      <c r="K1900" s="233"/>
      <c r="L1900" s="233"/>
      <c r="M1900" s="233"/>
      <c r="N1900" s="2403"/>
      <c r="O1900" s="2403"/>
    </row>
    <row r="1901" spans="3:15">
      <c r="C1901" s="233"/>
      <c r="D1901" s="233"/>
      <c r="E1901" s="761"/>
      <c r="F1901" s="234"/>
      <c r="G1901" s="234"/>
      <c r="H1901" s="233"/>
      <c r="I1901" s="233"/>
      <c r="J1901" s="761"/>
      <c r="K1901" s="233"/>
      <c r="L1901" s="233"/>
      <c r="M1901" s="233"/>
      <c r="N1901" s="2403"/>
      <c r="O1901" s="2403"/>
    </row>
    <row r="1902" spans="3:15">
      <c r="C1902" s="233"/>
      <c r="D1902" s="233"/>
      <c r="E1902" s="761"/>
      <c r="F1902" s="234"/>
      <c r="G1902" s="234"/>
      <c r="H1902" s="233"/>
      <c r="I1902" s="233"/>
      <c r="J1902" s="761"/>
      <c r="K1902" s="233"/>
      <c r="L1902" s="233"/>
      <c r="M1902" s="233"/>
      <c r="N1902" s="2403"/>
      <c r="O1902" s="2403"/>
    </row>
    <row r="1903" spans="3:15">
      <c r="C1903" s="233"/>
      <c r="D1903" s="233"/>
      <c r="E1903" s="761"/>
      <c r="F1903" s="234"/>
      <c r="G1903" s="234"/>
      <c r="H1903" s="233"/>
      <c r="I1903" s="233"/>
      <c r="J1903" s="761"/>
      <c r="K1903" s="233"/>
      <c r="L1903" s="233"/>
      <c r="M1903" s="233"/>
      <c r="N1903" s="2403"/>
      <c r="O1903" s="2403"/>
    </row>
    <row r="1904" spans="3:15">
      <c r="C1904" s="233"/>
      <c r="D1904" s="233"/>
      <c r="E1904" s="761"/>
      <c r="F1904" s="234"/>
      <c r="G1904" s="234"/>
      <c r="H1904" s="233"/>
      <c r="I1904" s="233"/>
      <c r="J1904" s="761"/>
      <c r="K1904" s="233"/>
      <c r="L1904" s="233"/>
      <c r="M1904" s="233"/>
      <c r="N1904" s="2403"/>
      <c r="O1904" s="2403"/>
    </row>
    <row r="1905" spans="3:15">
      <c r="C1905" s="233"/>
      <c r="D1905" s="233"/>
      <c r="E1905" s="761"/>
      <c r="F1905" s="234"/>
      <c r="G1905" s="234"/>
      <c r="H1905" s="233"/>
      <c r="I1905" s="233"/>
      <c r="J1905" s="761"/>
      <c r="K1905" s="233"/>
      <c r="L1905" s="233"/>
      <c r="M1905" s="233"/>
      <c r="N1905" s="2403"/>
      <c r="O1905" s="2403"/>
    </row>
    <row r="1906" spans="3:15">
      <c r="C1906" s="233"/>
      <c r="D1906" s="233"/>
      <c r="E1906" s="761"/>
      <c r="F1906" s="234"/>
      <c r="G1906" s="234"/>
      <c r="H1906" s="233"/>
      <c r="I1906" s="233"/>
      <c r="J1906" s="761"/>
      <c r="K1906" s="233"/>
      <c r="L1906" s="233"/>
      <c r="M1906" s="233"/>
      <c r="N1906" s="2403"/>
      <c r="O1906" s="2403"/>
    </row>
    <row r="1907" spans="3:15">
      <c r="C1907" s="233"/>
      <c r="D1907" s="233"/>
      <c r="E1907" s="761"/>
      <c r="F1907" s="234"/>
      <c r="G1907" s="234"/>
      <c r="H1907" s="233"/>
      <c r="I1907" s="233"/>
      <c r="J1907" s="761"/>
      <c r="K1907" s="233"/>
      <c r="L1907" s="233"/>
      <c r="M1907" s="233"/>
      <c r="N1907" s="2403"/>
      <c r="O1907" s="2403"/>
    </row>
    <row r="1908" spans="3:15">
      <c r="C1908" s="233"/>
      <c r="D1908" s="233"/>
      <c r="E1908" s="761"/>
      <c r="F1908" s="234"/>
      <c r="G1908" s="234"/>
      <c r="H1908" s="233"/>
      <c r="I1908" s="233"/>
      <c r="J1908" s="761"/>
      <c r="K1908" s="233"/>
      <c r="L1908" s="233"/>
      <c r="M1908" s="233"/>
      <c r="N1908" s="2403"/>
      <c r="O1908" s="2403"/>
    </row>
    <row r="1909" spans="3:15">
      <c r="C1909" s="233"/>
      <c r="D1909" s="233"/>
      <c r="E1909" s="761"/>
      <c r="F1909" s="234"/>
      <c r="G1909" s="234"/>
      <c r="H1909" s="233"/>
      <c r="I1909" s="233"/>
      <c r="J1909" s="761"/>
      <c r="K1909" s="233"/>
      <c r="L1909" s="233"/>
      <c r="M1909" s="233"/>
      <c r="N1909" s="2403"/>
      <c r="O1909" s="2403"/>
    </row>
    <row r="1910" spans="3:15">
      <c r="C1910" s="233"/>
      <c r="D1910" s="233"/>
      <c r="E1910" s="761"/>
      <c r="F1910" s="234"/>
      <c r="G1910" s="234"/>
      <c r="H1910" s="233"/>
      <c r="I1910" s="233"/>
      <c r="J1910" s="761"/>
      <c r="K1910" s="233"/>
      <c r="L1910" s="233"/>
      <c r="M1910" s="233"/>
      <c r="N1910" s="2403"/>
      <c r="O1910" s="2403"/>
    </row>
    <row r="1911" spans="3:15">
      <c r="C1911" s="233"/>
      <c r="D1911" s="233"/>
      <c r="E1911" s="761"/>
      <c r="F1911" s="234"/>
      <c r="G1911" s="234"/>
      <c r="H1911" s="233"/>
      <c r="I1911" s="233"/>
      <c r="J1911" s="761"/>
      <c r="K1911" s="233"/>
      <c r="L1911" s="233"/>
      <c r="M1911" s="233"/>
      <c r="N1911" s="2403"/>
      <c r="O1911" s="2403"/>
    </row>
    <row r="1912" spans="3:15">
      <c r="C1912" s="233"/>
      <c r="D1912" s="233"/>
      <c r="E1912" s="761"/>
      <c r="F1912" s="234"/>
      <c r="G1912" s="234"/>
      <c r="H1912" s="233"/>
      <c r="I1912" s="233"/>
      <c r="J1912" s="761"/>
      <c r="K1912" s="233"/>
      <c r="L1912" s="233"/>
      <c r="M1912" s="233"/>
      <c r="N1912" s="2403"/>
      <c r="O1912" s="2403"/>
    </row>
    <row r="1913" spans="3:15">
      <c r="C1913" s="233"/>
      <c r="D1913" s="233"/>
      <c r="E1913" s="761"/>
      <c r="F1913" s="234"/>
      <c r="G1913" s="234"/>
      <c r="H1913" s="233"/>
      <c r="I1913" s="233"/>
      <c r="J1913" s="761"/>
      <c r="K1913" s="233"/>
      <c r="L1913" s="233"/>
      <c r="M1913" s="233"/>
      <c r="N1913" s="2403"/>
      <c r="O1913" s="2403"/>
    </row>
    <row r="1914" spans="3:15">
      <c r="C1914" s="233"/>
      <c r="D1914" s="233"/>
      <c r="E1914" s="761"/>
      <c r="F1914" s="234"/>
      <c r="G1914" s="234"/>
      <c r="H1914" s="233"/>
      <c r="I1914" s="233"/>
      <c r="J1914" s="761"/>
      <c r="K1914" s="233"/>
      <c r="L1914" s="233"/>
      <c r="M1914" s="233"/>
      <c r="N1914" s="2403"/>
      <c r="O1914" s="2403"/>
    </row>
    <row r="1915" spans="3:15">
      <c r="C1915" s="233"/>
      <c r="D1915" s="233"/>
      <c r="E1915" s="761"/>
      <c r="F1915" s="234"/>
      <c r="G1915" s="234"/>
      <c r="H1915" s="233"/>
      <c r="I1915" s="233"/>
      <c r="J1915" s="761"/>
      <c r="K1915" s="233"/>
      <c r="L1915" s="233"/>
      <c r="M1915" s="233"/>
      <c r="N1915" s="2403"/>
      <c r="O1915" s="2403"/>
    </row>
    <row r="1916" spans="3:15">
      <c r="C1916" s="233"/>
      <c r="D1916" s="233"/>
      <c r="E1916" s="761"/>
      <c r="F1916" s="234"/>
      <c r="G1916" s="234"/>
      <c r="H1916" s="233"/>
      <c r="I1916" s="233"/>
      <c r="J1916" s="761"/>
      <c r="K1916" s="233"/>
      <c r="L1916" s="233"/>
      <c r="M1916" s="233"/>
      <c r="N1916" s="2403"/>
      <c r="O1916" s="2403"/>
    </row>
    <row r="1917" spans="3:15">
      <c r="C1917" s="233"/>
      <c r="D1917" s="233"/>
      <c r="E1917" s="761"/>
      <c r="F1917" s="234"/>
      <c r="G1917" s="234"/>
      <c r="H1917" s="233"/>
      <c r="I1917" s="233"/>
      <c r="J1917" s="761"/>
      <c r="K1917" s="233"/>
      <c r="L1917" s="233"/>
      <c r="M1917" s="233"/>
      <c r="N1917" s="2403"/>
      <c r="O1917" s="2403"/>
    </row>
    <row r="1918" spans="3:15">
      <c r="C1918" s="233"/>
      <c r="D1918" s="233"/>
      <c r="E1918" s="761"/>
      <c r="F1918" s="234"/>
      <c r="G1918" s="234"/>
      <c r="H1918" s="233"/>
      <c r="I1918" s="233"/>
      <c r="J1918" s="761"/>
      <c r="K1918" s="233"/>
      <c r="L1918" s="233"/>
      <c r="M1918" s="233"/>
      <c r="N1918" s="2403"/>
      <c r="O1918" s="2403"/>
    </row>
    <row r="1919" spans="3:15">
      <c r="C1919" s="233"/>
      <c r="D1919" s="233"/>
      <c r="E1919" s="761"/>
      <c r="F1919" s="234"/>
      <c r="G1919" s="234"/>
      <c r="H1919" s="233"/>
      <c r="I1919" s="233"/>
      <c r="J1919" s="761"/>
      <c r="K1919" s="233"/>
      <c r="L1919" s="233"/>
      <c r="M1919" s="233"/>
      <c r="N1919" s="2403"/>
      <c r="O1919" s="2403"/>
    </row>
    <row r="1920" spans="3:15">
      <c r="C1920" s="233"/>
      <c r="D1920" s="233"/>
      <c r="E1920" s="761"/>
      <c r="F1920" s="234"/>
      <c r="G1920" s="234"/>
      <c r="H1920" s="233"/>
      <c r="I1920" s="233"/>
      <c r="J1920" s="761"/>
      <c r="K1920" s="233"/>
      <c r="L1920" s="233"/>
      <c r="M1920" s="233"/>
      <c r="N1920" s="2403"/>
      <c r="O1920" s="2403"/>
    </row>
    <row r="1921" spans="3:15">
      <c r="C1921" s="233"/>
      <c r="D1921" s="233"/>
      <c r="E1921" s="761"/>
      <c r="F1921" s="234"/>
      <c r="G1921" s="234"/>
      <c r="H1921" s="233"/>
      <c r="I1921" s="233"/>
      <c r="J1921" s="761"/>
      <c r="K1921" s="233"/>
      <c r="L1921" s="233"/>
      <c r="M1921" s="233"/>
      <c r="N1921" s="2403"/>
      <c r="O1921" s="2403"/>
    </row>
    <row r="1922" spans="3:15">
      <c r="C1922" s="233"/>
      <c r="D1922" s="233"/>
      <c r="E1922" s="761"/>
      <c r="F1922" s="234"/>
      <c r="G1922" s="234"/>
      <c r="H1922" s="233"/>
      <c r="I1922" s="233"/>
      <c r="J1922" s="761"/>
      <c r="K1922" s="233"/>
      <c r="L1922" s="233"/>
      <c r="M1922" s="233"/>
      <c r="N1922" s="2403"/>
      <c r="O1922" s="2403"/>
    </row>
    <row r="1923" spans="3:15">
      <c r="C1923" s="233"/>
      <c r="D1923" s="233"/>
      <c r="E1923" s="761"/>
      <c r="F1923" s="234"/>
      <c r="G1923" s="234"/>
      <c r="H1923" s="233"/>
      <c r="I1923" s="233"/>
      <c r="J1923" s="761"/>
      <c r="K1923" s="233"/>
      <c r="L1923" s="233"/>
      <c r="M1923" s="233"/>
      <c r="N1923" s="2403"/>
      <c r="O1923" s="2403"/>
    </row>
    <row r="1924" spans="3:15">
      <c r="C1924" s="233"/>
      <c r="D1924" s="233"/>
      <c r="E1924" s="761"/>
      <c r="F1924" s="234"/>
      <c r="G1924" s="234"/>
      <c r="H1924" s="233"/>
      <c r="I1924" s="233"/>
      <c r="J1924" s="761"/>
      <c r="K1924" s="233"/>
      <c r="L1924" s="233"/>
      <c r="M1924" s="233"/>
      <c r="N1924" s="2403"/>
      <c r="O1924" s="2403"/>
    </row>
    <row r="1925" spans="3:15">
      <c r="C1925" s="233"/>
      <c r="D1925" s="233"/>
      <c r="E1925" s="761"/>
      <c r="F1925" s="234"/>
      <c r="G1925" s="234"/>
      <c r="H1925" s="233"/>
      <c r="I1925" s="233"/>
      <c r="J1925" s="761"/>
      <c r="K1925" s="233"/>
      <c r="L1925" s="233"/>
      <c r="M1925" s="233"/>
      <c r="N1925" s="2403"/>
      <c r="O1925" s="2403"/>
    </row>
    <row r="1926" spans="3:15">
      <c r="C1926" s="233"/>
      <c r="D1926" s="233"/>
      <c r="E1926" s="761"/>
      <c r="F1926" s="234"/>
      <c r="G1926" s="234"/>
      <c r="H1926" s="233"/>
      <c r="I1926" s="233"/>
      <c r="J1926" s="761"/>
      <c r="K1926" s="233"/>
      <c r="L1926" s="233"/>
      <c r="M1926" s="233"/>
      <c r="N1926" s="2403"/>
      <c r="O1926" s="2403"/>
    </row>
    <row r="1927" spans="3:15">
      <c r="C1927" s="233"/>
      <c r="D1927" s="233"/>
      <c r="E1927" s="761"/>
      <c r="F1927" s="234"/>
      <c r="G1927" s="234"/>
      <c r="H1927" s="233"/>
      <c r="I1927" s="233"/>
      <c r="J1927" s="761"/>
      <c r="K1927" s="233"/>
      <c r="L1927" s="233"/>
      <c r="M1927" s="233"/>
      <c r="N1927" s="2403"/>
      <c r="O1927" s="2403"/>
    </row>
    <row r="1928" spans="3:15">
      <c r="C1928" s="233"/>
      <c r="D1928" s="233"/>
      <c r="E1928" s="761"/>
      <c r="F1928" s="234"/>
      <c r="G1928" s="234"/>
      <c r="H1928" s="233"/>
      <c r="I1928" s="233"/>
      <c r="J1928" s="761"/>
      <c r="K1928" s="233"/>
      <c r="L1928" s="233"/>
      <c r="M1928" s="233"/>
      <c r="N1928" s="2403"/>
      <c r="O1928" s="2403"/>
    </row>
    <row r="1929" spans="3:15">
      <c r="C1929" s="233"/>
      <c r="D1929" s="233"/>
      <c r="E1929" s="761"/>
      <c r="F1929" s="234"/>
      <c r="G1929" s="234"/>
      <c r="H1929" s="233"/>
      <c r="I1929" s="233"/>
      <c r="J1929" s="761"/>
      <c r="K1929" s="233"/>
      <c r="L1929" s="233"/>
      <c r="M1929" s="233"/>
      <c r="N1929" s="2403"/>
      <c r="O1929" s="2403"/>
    </row>
    <row r="1930" spans="3:15">
      <c r="C1930" s="233"/>
      <c r="D1930" s="233"/>
      <c r="E1930" s="761"/>
      <c r="F1930" s="234"/>
      <c r="G1930" s="234"/>
      <c r="H1930" s="233"/>
      <c r="I1930" s="233"/>
      <c r="J1930" s="761"/>
      <c r="K1930" s="233"/>
      <c r="L1930" s="233"/>
      <c r="M1930" s="233"/>
      <c r="N1930" s="2403"/>
      <c r="O1930" s="2403"/>
    </row>
    <row r="1931" spans="3:15">
      <c r="C1931" s="233"/>
      <c r="D1931" s="233"/>
      <c r="E1931" s="761"/>
      <c r="F1931" s="234"/>
      <c r="G1931" s="234"/>
      <c r="H1931" s="233"/>
      <c r="I1931" s="233"/>
      <c r="J1931" s="761"/>
      <c r="K1931" s="233"/>
      <c r="L1931" s="233"/>
      <c r="M1931" s="233"/>
      <c r="N1931" s="2403"/>
      <c r="O1931" s="2403"/>
    </row>
    <row r="1932" spans="3:15">
      <c r="C1932" s="233"/>
      <c r="D1932" s="233"/>
      <c r="E1932" s="761"/>
      <c r="F1932" s="234"/>
      <c r="G1932" s="234"/>
      <c r="H1932" s="233"/>
      <c r="I1932" s="233"/>
      <c r="J1932" s="761"/>
      <c r="K1932" s="233"/>
      <c r="L1932" s="233"/>
      <c r="M1932" s="233"/>
      <c r="N1932" s="2403"/>
      <c r="O1932" s="2403"/>
    </row>
    <row r="1933" spans="3:15">
      <c r="C1933" s="233"/>
      <c r="D1933" s="233"/>
      <c r="E1933" s="761"/>
      <c r="F1933" s="234"/>
      <c r="G1933" s="234"/>
      <c r="H1933" s="233"/>
      <c r="I1933" s="233"/>
      <c r="J1933" s="761"/>
      <c r="K1933" s="233"/>
      <c r="L1933" s="233"/>
      <c r="M1933" s="233"/>
      <c r="N1933" s="2403"/>
      <c r="O1933" s="2403"/>
    </row>
    <row r="1934" spans="3:15">
      <c r="C1934" s="233"/>
      <c r="D1934" s="233"/>
      <c r="E1934" s="761"/>
      <c r="F1934" s="234"/>
      <c r="G1934" s="234"/>
      <c r="H1934" s="233"/>
      <c r="I1934" s="233"/>
      <c r="J1934" s="761"/>
      <c r="K1934" s="233"/>
      <c r="L1934" s="233"/>
      <c r="M1934" s="233"/>
      <c r="N1934" s="2403"/>
      <c r="O1934" s="2403"/>
    </row>
    <row r="1935" spans="3:15">
      <c r="C1935" s="233"/>
      <c r="D1935" s="233"/>
      <c r="E1935" s="761"/>
      <c r="F1935" s="234"/>
      <c r="G1935" s="234"/>
      <c r="H1935" s="233"/>
      <c r="I1935" s="233"/>
      <c r="J1935" s="761"/>
      <c r="K1935" s="233"/>
      <c r="L1935" s="233"/>
      <c r="M1935" s="233"/>
      <c r="N1935" s="2403"/>
      <c r="O1935" s="2403"/>
    </row>
    <row r="1936" spans="3:15">
      <c r="C1936" s="233"/>
      <c r="D1936" s="233"/>
      <c r="E1936" s="761"/>
      <c r="F1936" s="234"/>
      <c r="G1936" s="234"/>
      <c r="H1936" s="233"/>
      <c r="I1936" s="233"/>
      <c r="J1936" s="761"/>
      <c r="K1936" s="233"/>
      <c r="L1936" s="233"/>
      <c r="M1936" s="233"/>
      <c r="N1936" s="2403"/>
      <c r="O1936" s="2403"/>
    </row>
    <row r="1937" spans="3:15">
      <c r="C1937" s="233"/>
      <c r="D1937" s="233"/>
      <c r="E1937" s="761"/>
      <c r="F1937" s="234"/>
      <c r="G1937" s="234"/>
      <c r="H1937" s="233"/>
      <c r="I1937" s="233"/>
      <c r="J1937" s="761"/>
      <c r="K1937" s="233"/>
      <c r="L1937" s="233"/>
      <c r="M1937" s="233"/>
      <c r="N1937" s="2403"/>
      <c r="O1937" s="2403"/>
    </row>
    <row r="1938" spans="3:15">
      <c r="C1938" s="233"/>
      <c r="D1938" s="233"/>
      <c r="E1938" s="761"/>
      <c r="F1938" s="234"/>
      <c r="G1938" s="234"/>
      <c r="H1938" s="233"/>
      <c r="I1938" s="233"/>
      <c r="J1938" s="761"/>
      <c r="K1938" s="233"/>
      <c r="L1938" s="233"/>
      <c r="M1938" s="233"/>
      <c r="N1938" s="2403"/>
      <c r="O1938" s="2403"/>
    </row>
    <row r="1939" spans="3:15">
      <c r="C1939" s="233"/>
      <c r="D1939" s="233"/>
      <c r="E1939" s="761"/>
      <c r="F1939" s="234"/>
      <c r="G1939" s="234"/>
      <c r="H1939" s="233"/>
      <c r="I1939" s="233"/>
      <c r="J1939" s="761"/>
      <c r="K1939" s="233"/>
      <c r="L1939" s="233"/>
      <c r="M1939" s="233"/>
      <c r="N1939" s="2403"/>
      <c r="O1939" s="2403"/>
    </row>
    <row r="1940" spans="3:15">
      <c r="C1940" s="233"/>
      <c r="D1940" s="233"/>
      <c r="E1940" s="761"/>
      <c r="F1940" s="234"/>
      <c r="G1940" s="234"/>
      <c r="H1940" s="233"/>
      <c r="I1940" s="233"/>
      <c r="J1940" s="761"/>
      <c r="K1940" s="233"/>
      <c r="L1940" s="233"/>
      <c r="M1940" s="233"/>
      <c r="N1940" s="2403"/>
      <c r="O1940" s="2403"/>
    </row>
    <row r="1941" spans="3:15">
      <c r="C1941" s="233"/>
      <c r="D1941" s="233"/>
      <c r="E1941" s="761"/>
      <c r="F1941" s="234"/>
      <c r="G1941" s="234"/>
      <c r="H1941" s="233"/>
      <c r="I1941" s="233"/>
      <c r="J1941" s="761"/>
      <c r="K1941" s="233"/>
      <c r="L1941" s="233"/>
      <c r="M1941" s="233"/>
      <c r="N1941" s="2403"/>
      <c r="O1941" s="2403"/>
    </row>
    <row r="1942" spans="3:15">
      <c r="C1942" s="233"/>
      <c r="D1942" s="233"/>
      <c r="E1942" s="761"/>
      <c r="F1942" s="234"/>
      <c r="G1942" s="234"/>
      <c r="H1942" s="233"/>
      <c r="I1942" s="233"/>
      <c r="J1942" s="761"/>
      <c r="K1942" s="233"/>
      <c r="L1942" s="233"/>
      <c r="M1942" s="233"/>
      <c r="N1942" s="2403"/>
      <c r="O1942" s="2403"/>
    </row>
    <row r="1943" spans="3:15">
      <c r="C1943" s="233"/>
      <c r="D1943" s="233"/>
      <c r="E1943" s="761"/>
      <c r="F1943" s="234"/>
      <c r="G1943" s="234"/>
      <c r="H1943" s="233"/>
      <c r="I1943" s="233"/>
      <c r="J1943" s="761"/>
      <c r="K1943" s="233"/>
      <c r="L1943" s="233"/>
      <c r="M1943" s="233"/>
      <c r="N1943" s="2403"/>
      <c r="O1943" s="2403"/>
    </row>
    <row r="1944" spans="3:15">
      <c r="C1944" s="233"/>
      <c r="D1944" s="233"/>
      <c r="E1944" s="761"/>
      <c r="F1944" s="234"/>
      <c r="G1944" s="234"/>
      <c r="H1944" s="233"/>
      <c r="I1944" s="233"/>
      <c r="J1944" s="761"/>
      <c r="K1944" s="233"/>
      <c r="L1944" s="233"/>
      <c r="M1944" s="233"/>
      <c r="N1944" s="2403"/>
      <c r="O1944" s="2403"/>
    </row>
    <row r="1945" spans="3:15">
      <c r="C1945" s="233"/>
      <c r="D1945" s="233"/>
      <c r="E1945" s="761"/>
      <c r="F1945" s="234"/>
      <c r="G1945" s="234"/>
      <c r="H1945" s="233"/>
      <c r="I1945" s="233"/>
      <c r="J1945" s="761"/>
      <c r="K1945" s="233"/>
      <c r="L1945" s="233"/>
      <c r="M1945" s="233"/>
      <c r="N1945" s="2403"/>
      <c r="O1945" s="2403"/>
    </row>
    <row r="1946" spans="3:15">
      <c r="C1946" s="233"/>
      <c r="D1946" s="233"/>
      <c r="E1946" s="761"/>
      <c r="F1946" s="234"/>
      <c r="G1946" s="234"/>
      <c r="H1946" s="233"/>
      <c r="I1946" s="233"/>
      <c r="J1946" s="761"/>
      <c r="K1946" s="233"/>
      <c r="L1946" s="233"/>
      <c r="M1946" s="233"/>
      <c r="N1946" s="2403"/>
      <c r="O1946" s="2403"/>
    </row>
    <row r="1947" spans="3:15">
      <c r="C1947" s="233"/>
      <c r="D1947" s="233"/>
      <c r="E1947" s="761"/>
      <c r="F1947" s="234"/>
      <c r="G1947" s="234"/>
      <c r="H1947" s="233"/>
      <c r="I1947" s="233"/>
      <c r="J1947" s="761"/>
      <c r="K1947" s="233"/>
      <c r="L1947" s="233"/>
      <c r="M1947" s="233"/>
      <c r="N1947" s="2403"/>
      <c r="O1947" s="2403"/>
    </row>
    <row r="1948" spans="3:15">
      <c r="C1948" s="233"/>
      <c r="D1948" s="233"/>
      <c r="E1948" s="761"/>
      <c r="F1948" s="234"/>
      <c r="G1948" s="234"/>
      <c r="H1948" s="233"/>
      <c r="I1948" s="233"/>
      <c r="J1948" s="761"/>
      <c r="K1948" s="233"/>
      <c r="L1948" s="233"/>
      <c r="M1948" s="233"/>
      <c r="N1948" s="2403"/>
      <c r="O1948" s="2403"/>
    </row>
    <row r="1949" spans="3:15">
      <c r="C1949" s="233"/>
      <c r="D1949" s="233"/>
      <c r="E1949" s="761"/>
      <c r="F1949" s="234"/>
      <c r="G1949" s="234"/>
      <c r="H1949" s="233"/>
      <c r="I1949" s="233"/>
      <c r="J1949" s="761"/>
      <c r="K1949" s="233"/>
      <c r="L1949" s="233"/>
      <c r="M1949" s="233"/>
      <c r="N1949" s="2403"/>
      <c r="O1949" s="2403"/>
    </row>
    <row r="1950" spans="3:15">
      <c r="C1950" s="233"/>
      <c r="D1950" s="233"/>
      <c r="E1950" s="761"/>
      <c r="F1950" s="234"/>
      <c r="G1950" s="234"/>
      <c r="H1950" s="233"/>
      <c r="I1950" s="233"/>
      <c r="J1950" s="761"/>
      <c r="K1950" s="233"/>
      <c r="L1950" s="233"/>
      <c r="M1950" s="233"/>
      <c r="N1950" s="2403"/>
      <c r="O1950" s="2403"/>
    </row>
    <row r="1951" spans="3:15">
      <c r="C1951" s="233"/>
      <c r="D1951" s="233"/>
      <c r="E1951" s="761"/>
      <c r="F1951" s="234"/>
      <c r="G1951" s="234"/>
      <c r="H1951" s="233"/>
      <c r="I1951" s="233"/>
      <c r="J1951" s="761"/>
      <c r="K1951" s="233"/>
      <c r="L1951" s="233"/>
      <c r="M1951" s="233"/>
      <c r="N1951" s="2403"/>
      <c r="O1951" s="2403"/>
    </row>
    <row r="1952" spans="3:15">
      <c r="C1952" s="233"/>
      <c r="D1952" s="233"/>
      <c r="E1952" s="761"/>
      <c r="F1952" s="234"/>
      <c r="G1952" s="234"/>
      <c r="H1952" s="233"/>
      <c r="I1952" s="233"/>
      <c r="J1952" s="761"/>
      <c r="K1952" s="233"/>
      <c r="L1952" s="233"/>
      <c r="M1952" s="233"/>
      <c r="N1952" s="2403"/>
      <c r="O1952" s="2403"/>
    </row>
    <row r="1953" spans="3:15">
      <c r="C1953" s="233"/>
      <c r="D1953" s="233"/>
      <c r="E1953" s="761"/>
      <c r="F1953" s="234"/>
      <c r="G1953" s="234"/>
      <c r="H1953" s="233"/>
      <c r="I1953" s="233"/>
      <c r="J1953" s="761"/>
      <c r="K1953" s="233"/>
      <c r="L1953" s="233"/>
      <c r="M1953" s="233"/>
      <c r="N1953" s="2403"/>
      <c r="O1953" s="2403"/>
    </row>
    <row r="1954" spans="3:15">
      <c r="C1954" s="233"/>
      <c r="D1954" s="233"/>
      <c r="E1954" s="761"/>
      <c r="F1954" s="234"/>
      <c r="G1954" s="234"/>
      <c r="H1954" s="233"/>
      <c r="I1954" s="233"/>
      <c r="J1954" s="761"/>
      <c r="K1954" s="233"/>
      <c r="L1954" s="233"/>
      <c r="M1954" s="233"/>
      <c r="N1954" s="2403"/>
      <c r="O1954" s="2403"/>
    </row>
    <row r="1955" spans="3:15">
      <c r="C1955" s="233"/>
      <c r="D1955" s="233"/>
      <c r="E1955" s="761"/>
      <c r="F1955" s="234"/>
      <c r="G1955" s="234"/>
      <c r="H1955" s="233"/>
      <c r="I1955" s="233"/>
      <c r="J1955" s="761"/>
      <c r="K1955" s="233"/>
      <c r="L1955" s="233"/>
      <c r="M1955" s="233"/>
      <c r="N1955" s="2403"/>
      <c r="O1955" s="2403"/>
    </row>
    <row r="1956" spans="3:15">
      <c r="C1956" s="233"/>
      <c r="D1956" s="233"/>
      <c r="E1956" s="761"/>
      <c r="F1956" s="234"/>
      <c r="G1956" s="234"/>
      <c r="H1956" s="233"/>
      <c r="I1956" s="233"/>
      <c r="J1956" s="761"/>
      <c r="K1956" s="233"/>
      <c r="L1956" s="233"/>
      <c r="M1956" s="233"/>
      <c r="N1956" s="2403"/>
      <c r="O1956" s="2403"/>
    </row>
    <row r="1957" spans="3:15">
      <c r="C1957" s="233"/>
      <c r="D1957" s="233"/>
      <c r="E1957" s="761"/>
      <c r="F1957" s="234"/>
      <c r="G1957" s="234"/>
      <c r="H1957" s="233"/>
      <c r="I1957" s="233"/>
      <c r="J1957" s="761"/>
      <c r="K1957" s="233"/>
      <c r="L1957" s="233"/>
      <c r="M1957" s="233"/>
      <c r="N1957" s="2403"/>
      <c r="O1957" s="2403"/>
    </row>
    <row r="1958" spans="3:15">
      <c r="C1958" s="233"/>
      <c r="D1958" s="233"/>
      <c r="E1958" s="761"/>
      <c r="F1958" s="234"/>
      <c r="G1958" s="234"/>
      <c r="H1958" s="233"/>
      <c r="I1958" s="233"/>
      <c r="J1958" s="761"/>
      <c r="K1958" s="233"/>
      <c r="L1958" s="233"/>
      <c r="M1958" s="233"/>
      <c r="N1958" s="2403"/>
      <c r="O1958" s="2403"/>
    </row>
    <row r="1959" spans="3:15">
      <c r="C1959" s="233"/>
      <c r="D1959" s="233"/>
      <c r="E1959" s="761"/>
      <c r="F1959" s="234"/>
      <c r="G1959" s="234"/>
      <c r="H1959" s="233"/>
      <c r="I1959" s="233"/>
      <c r="J1959" s="761"/>
      <c r="K1959" s="233"/>
      <c r="L1959" s="233"/>
      <c r="M1959" s="233"/>
      <c r="N1959" s="2403"/>
      <c r="O1959" s="2403"/>
    </row>
    <row r="1960" spans="3:15">
      <c r="C1960" s="233"/>
      <c r="D1960" s="233"/>
      <c r="E1960" s="761"/>
      <c r="F1960" s="234"/>
      <c r="G1960" s="234"/>
      <c r="H1960" s="233"/>
      <c r="I1960" s="233"/>
      <c r="J1960" s="761"/>
      <c r="K1960" s="233"/>
      <c r="L1960" s="233"/>
      <c r="M1960" s="233"/>
      <c r="N1960" s="2403"/>
      <c r="O1960" s="2403"/>
    </row>
    <row r="1961" spans="3:15">
      <c r="C1961" s="233"/>
      <c r="D1961" s="233"/>
      <c r="E1961" s="761"/>
      <c r="F1961" s="234"/>
      <c r="G1961" s="234"/>
      <c r="H1961" s="233"/>
      <c r="I1961" s="233"/>
      <c r="J1961" s="761"/>
      <c r="K1961" s="233"/>
      <c r="L1961" s="233"/>
      <c r="M1961" s="233"/>
      <c r="N1961" s="2403"/>
      <c r="O1961" s="2403"/>
    </row>
    <row r="1962" spans="3:15">
      <c r="C1962" s="233"/>
      <c r="D1962" s="233"/>
      <c r="E1962" s="761"/>
      <c r="F1962" s="234"/>
      <c r="G1962" s="234"/>
      <c r="H1962" s="233"/>
      <c r="I1962" s="233"/>
      <c r="J1962" s="761"/>
      <c r="K1962" s="233"/>
      <c r="L1962" s="233"/>
      <c r="M1962" s="233"/>
      <c r="N1962" s="2403"/>
      <c r="O1962" s="2403"/>
    </row>
    <row r="1963" spans="3:15">
      <c r="C1963" s="233"/>
      <c r="D1963" s="233"/>
      <c r="E1963" s="761"/>
      <c r="F1963" s="234"/>
      <c r="G1963" s="234"/>
      <c r="H1963" s="233"/>
      <c r="I1963" s="233"/>
      <c r="J1963" s="761"/>
      <c r="K1963" s="233"/>
      <c r="L1963" s="233"/>
      <c r="M1963" s="233"/>
      <c r="N1963" s="2403"/>
      <c r="O1963" s="2403"/>
    </row>
    <row r="1964" spans="3:15">
      <c r="C1964" s="233"/>
      <c r="D1964" s="233"/>
      <c r="E1964" s="761"/>
      <c r="F1964" s="234"/>
      <c r="G1964" s="234"/>
      <c r="H1964" s="233"/>
      <c r="I1964" s="233"/>
      <c r="J1964" s="761"/>
      <c r="K1964" s="233"/>
      <c r="L1964" s="233"/>
      <c r="M1964" s="233"/>
      <c r="N1964" s="2403"/>
      <c r="O1964" s="2403"/>
    </row>
    <row r="1965" spans="3:15">
      <c r="C1965" s="233"/>
      <c r="D1965" s="233"/>
      <c r="E1965" s="761"/>
      <c r="F1965" s="234"/>
      <c r="G1965" s="234"/>
      <c r="H1965" s="233"/>
      <c r="I1965" s="233"/>
      <c r="J1965" s="761"/>
      <c r="K1965" s="233"/>
      <c r="L1965" s="233"/>
      <c r="M1965" s="233"/>
      <c r="N1965" s="2403"/>
      <c r="O1965" s="2403"/>
    </row>
    <row r="1966" spans="3:15">
      <c r="C1966" s="233"/>
      <c r="D1966" s="233"/>
      <c r="E1966" s="761"/>
      <c r="F1966" s="234"/>
      <c r="G1966" s="234"/>
      <c r="H1966" s="233"/>
      <c r="I1966" s="233"/>
      <c r="J1966" s="761"/>
      <c r="K1966" s="233"/>
      <c r="L1966" s="233"/>
      <c r="M1966" s="233"/>
      <c r="N1966" s="2403"/>
      <c r="O1966" s="2403"/>
    </row>
    <row r="1967" spans="3:15">
      <c r="C1967" s="233"/>
      <c r="D1967" s="233"/>
      <c r="E1967" s="761"/>
      <c r="F1967" s="234"/>
      <c r="G1967" s="234"/>
      <c r="H1967" s="233"/>
      <c r="I1967" s="233"/>
      <c r="J1967" s="761"/>
      <c r="K1967" s="233"/>
      <c r="L1967" s="233"/>
      <c r="M1967" s="233"/>
      <c r="N1967" s="2403"/>
      <c r="O1967" s="2403"/>
    </row>
    <row r="1968" spans="3:15">
      <c r="C1968" s="233"/>
      <c r="D1968" s="233"/>
      <c r="E1968" s="761"/>
      <c r="F1968" s="234"/>
      <c r="G1968" s="234"/>
      <c r="H1968" s="233"/>
      <c r="I1968" s="233"/>
      <c r="J1968" s="761"/>
      <c r="K1968" s="233"/>
      <c r="L1968" s="233"/>
      <c r="M1968" s="233"/>
      <c r="N1968" s="2403"/>
      <c r="O1968" s="2403"/>
    </row>
    <row r="1969" spans="3:15">
      <c r="C1969" s="233"/>
      <c r="D1969" s="233"/>
      <c r="E1969" s="761"/>
      <c r="F1969" s="234"/>
      <c r="G1969" s="234"/>
      <c r="H1969" s="233"/>
      <c r="I1969" s="233"/>
      <c r="J1969" s="761"/>
      <c r="K1969" s="233"/>
      <c r="L1969" s="233"/>
      <c r="M1969" s="233"/>
      <c r="N1969" s="2403"/>
      <c r="O1969" s="2403"/>
    </row>
    <row r="1970" spans="3:15">
      <c r="C1970" s="233"/>
      <c r="D1970" s="233"/>
      <c r="E1970" s="761"/>
      <c r="F1970" s="234"/>
      <c r="G1970" s="234"/>
      <c r="H1970" s="233"/>
      <c r="I1970" s="233"/>
      <c r="J1970" s="761"/>
      <c r="K1970" s="233"/>
      <c r="L1970" s="233"/>
      <c r="M1970" s="233"/>
      <c r="N1970" s="2403"/>
      <c r="O1970" s="2403"/>
    </row>
    <row r="1971" spans="3:15">
      <c r="C1971" s="233"/>
      <c r="D1971" s="233"/>
      <c r="E1971" s="761"/>
      <c r="F1971" s="234"/>
      <c r="G1971" s="234"/>
      <c r="H1971" s="233"/>
      <c r="I1971" s="233"/>
      <c r="J1971" s="761"/>
      <c r="K1971" s="233"/>
      <c r="L1971" s="233"/>
      <c r="M1971" s="233"/>
      <c r="N1971" s="2403"/>
      <c r="O1971" s="2403"/>
    </row>
    <row r="1972" spans="3:15">
      <c r="C1972" s="233"/>
      <c r="D1972" s="233"/>
      <c r="E1972" s="761"/>
      <c r="F1972" s="234"/>
      <c r="G1972" s="234"/>
      <c r="H1972" s="233"/>
      <c r="I1972" s="233"/>
      <c r="J1972" s="761"/>
      <c r="K1972" s="233"/>
      <c r="L1972" s="233"/>
      <c r="M1972" s="233"/>
      <c r="N1972" s="2403"/>
      <c r="O1972" s="2403"/>
    </row>
    <row r="1973" spans="3:15">
      <c r="C1973" s="233"/>
      <c r="D1973" s="233"/>
      <c r="E1973" s="761"/>
      <c r="F1973" s="234"/>
      <c r="G1973" s="234"/>
      <c r="H1973" s="233"/>
      <c r="I1973" s="233"/>
      <c r="J1973" s="761"/>
      <c r="K1973" s="233"/>
      <c r="L1973" s="233"/>
      <c r="M1973" s="233"/>
      <c r="N1973" s="2403"/>
      <c r="O1973" s="2403"/>
    </row>
    <row r="1974" spans="3:15">
      <c r="C1974" s="233"/>
      <c r="D1974" s="233"/>
      <c r="E1974" s="761"/>
      <c r="F1974" s="234"/>
      <c r="G1974" s="234"/>
      <c r="H1974" s="233"/>
      <c r="I1974" s="233"/>
      <c r="J1974" s="761"/>
      <c r="K1974" s="233"/>
      <c r="L1974" s="233"/>
      <c r="M1974" s="233"/>
      <c r="N1974" s="2403"/>
      <c r="O1974" s="2403"/>
    </row>
    <row r="1975" spans="3:15">
      <c r="C1975" s="233"/>
      <c r="D1975" s="233"/>
      <c r="E1975" s="761"/>
      <c r="F1975" s="234"/>
      <c r="G1975" s="234"/>
      <c r="H1975" s="233"/>
      <c r="I1975" s="233"/>
      <c r="J1975" s="761"/>
      <c r="K1975" s="233"/>
      <c r="L1975" s="233"/>
      <c r="M1975" s="233"/>
      <c r="N1975" s="2403"/>
      <c r="O1975" s="2403"/>
    </row>
    <row r="1976" spans="3:15">
      <c r="C1976" s="233"/>
      <c r="D1976" s="233"/>
      <c r="E1976" s="761"/>
      <c r="F1976" s="234"/>
      <c r="G1976" s="234"/>
      <c r="H1976" s="233"/>
      <c r="I1976" s="233"/>
      <c r="J1976" s="761"/>
      <c r="K1976" s="233"/>
      <c r="L1976" s="233"/>
      <c r="M1976" s="233"/>
      <c r="N1976" s="2403"/>
      <c r="O1976" s="2403"/>
    </row>
    <row r="1977" spans="3:15">
      <c r="C1977" s="233"/>
      <c r="D1977" s="233"/>
      <c r="E1977" s="761"/>
      <c r="F1977" s="234"/>
      <c r="G1977" s="234"/>
      <c r="H1977" s="233"/>
      <c r="I1977" s="233"/>
      <c r="J1977" s="761"/>
      <c r="K1977" s="233"/>
      <c r="L1977" s="233"/>
      <c r="M1977" s="233"/>
      <c r="N1977" s="2403"/>
      <c r="O1977" s="2403"/>
    </row>
    <row r="1978" spans="3:15">
      <c r="C1978" s="233"/>
      <c r="D1978" s="233"/>
      <c r="E1978" s="761"/>
      <c r="F1978" s="234"/>
      <c r="G1978" s="234"/>
      <c r="H1978" s="233"/>
      <c r="I1978" s="233"/>
      <c r="J1978" s="761"/>
      <c r="K1978" s="233"/>
      <c r="L1978" s="233"/>
      <c r="M1978" s="233"/>
      <c r="N1978" s="2403"/>
      <c r="O1978" s="2403"/>
    </row>
    <row r="1979" spans="3:15">
      <c r="C1979" s="233"/>
      <c r="D1979" s="233"/>
      <c r="E1979" s="761"/>
      <c r="F1979" s="234"/>
      <c r="G1979" s="234"/>
      <c r="H1979" s="233"/>
      <c r="I1979" s="233"/>
      <c r="J1979" s="761"/>
      <c r="K1979" s="233"/>
      <c r="L1979" s="233"/>
      <c r="M1979" s="233"/>
      <c r="N1979" s="2403"/>
      <c r="O1979" s="2403"/>
    </row>
    <row r="1980" spans="3:15">
      <c r="C1980" s="233"/>
      <c r="D1980" s="233"/>
      <c r="E1980" s="761"/>
      <c r="F1980" s="234"/>
      <c r="G1980" s="234"/>
      <c r="H1980" s="233"/>
      <c r="I1980" s="233"/>
      <c r="J1980" s="761"/>
      <c r="K1980" s="233"/>
      <c r="L1980" s="233"/>
      <c r="M1980" s="233"/>
      <c r="N1980" s="2403"/>
      <c r="O1980" s="2403"/>
    </row>
    <row r="1981" spans="3:15">
      <c r="C1981" s="233"/>
      <c r="D1981" s="233"/>
      <c r="E1981" s="761"/>
      <c r="F1981" s="234"/>
      <c r="G1981" s="234"/>
      <c r="H1981" s="233"/>
      <c r="I1981" s="233"/>
      <c r="J1981" s="761"/>
      <c r="K1981" s="233"/>
      <c r="L1981" s="233"/>
      <c r="M1981" s="233"/>
      <c r="N1981" s="2403"/>
      <c r="O1981" s="2403"/>
    </row>
    <row r="1982" spans="3:15">
      <c r="C1982" s="233"/>
      <c r="D1982" s="233"/>
      <c r="E1982" s="761"/>
      <c r="F1982" s="234"/>
      <c r="G1982" s="234"/>
      <c r="H1982" s="233"/>
      <c r="I1982" s="233"/>
      <c r="J1982" s="761"/>
      <c r="K1982" s="233"/>
      <c r="L1982" s="233"/>
      <c r="M1982" s="233"/>
      <c r="N1982" s="2403"/>
      <c r="O1982" s="2403"/>
    </row>
    <row r="1983" spans="3:15">
      <c r="C1983" s="233"/>
      <c r="D1983" s="233"/>
      <c r="E1983" s="761"/>
      <c r="F1983" s="234"/>
      <c r="G1983" s="234"/>
      <c r="H1983" s="233"/>
      <c r="I1983" s="233"/>
      <c r="J1983" s="761"/>
      <c r="K1983" s="233"/>
      <c r="L1983" s="233"/>
      <c r="M1983" s="233"/>
      <c r="N1983" s="2403"/>
      <c r="O1983" s="2403"/>
    </row>
    <row r="1984" spans="3:15">
      <c r="C1984" s="233"/>
      <c r="D1984" s="233"/>
      <c r="E1984" s="761"/>
      <c r="F1984" s="234"/>
      <c r="G1984" s="234"/>
      <c r="H1984" s="233"/>
      <c r="I1984" s="233"/>
      <c r="J1984" s="761"/>
      <c r="K1984" s="233"/>
      <c r="L1984" s="233"/>
      <c r="M1984" s="233"/>
      <c r="N1984" s="2403"/>
      <c r="O1984" s="2403"/>
    </row>
    <row r="1985" spans="3:15">
      <c r="C1985" s="233"/>
      <c r="D1985" s="233"/>
      <c r="E1985" s="761"/>
      <c r="F1985" s="234"/>
      <c r="G1985" s="234"/>
      <c r="H1985" s="233"/>
      <c r="I1985" s="233"/>
      <c r="J1985" s="761"/>
      <c r="K1985" s="233"/>
      <c r="L1985" s="233"/>
      <c r="M1985" s="233"/>
      <c r="N1985" s="2403"/>
      <c r="O1985" s="2403"/>
    </row>
    <row r="1986" spans="3:15">
      <c r="C1986" s="233"/>
      <c r="D1986" s="233"/>
      <c r="E1986" s="761"/>
      <c r="F1986" s="234"/>
      <c r="G1986" s="234"/>
      <c r="H1986" s="233"/>
      <c r="I1986" s="233"/>
      <c r="J1986" s="761"/>
      <c r="K1986" s="233"/>
      <c r="L1986" s="233"/>
      <c r="M1986" s="233"/>
      <c r="N1986" s="2403"/>
      <c r="O1986" s="2403"/>
    </row>
    <row r="1987" spans="3:15">
      <c r="C1987" s="233"/>
      <c r="D1987" s="233"/>
      <c r="E1987" s="761"/>
      <c r="F1987" s="234"/>
      <c r="G1987" s="234"/>
      <c r="H1987" s="233"/>
      <c r="I1987" s="233"/>
      <c r="J1987" s="761"/>
      <c r="K1987" s="233"/>
      <c r="L1987" s="233"/>
      <c r="M1987" s="233"/>
      <c r="N1987" s="2403"/>
      <c r="O1987" s="2403"/>
    </row>
    <row r="1988" spans="3:15">
      <c r="C1988" s="233"/>
      <c r="D1988" s="233"/>
      <c r="E1988" s="761"/>
      <c r="F1988" s="234"/>
      <c r="G1988" s="234"/>
      <c r="H1988" s="233"/>
      <c r="I1988" s="233"/>
      <c r="J1988" s="761"/>
      <c r="K1988" s="233"/>
      <c r="L1988" s="233"/>
      <c r="M1988" s="233"/>
      <c r="N1988" s="2403"/>
      <c r="O1988" s="2403"/>
    </row>
    <row r="1989" spans="3:15">
      <c r="C1989" s="233"/>
      <c r="D1989" s="233"/>
      <c r="E1989" s="761"/>
      <c r="F1989" s="234"/>
      <c r="G1989" s="234"/>
      <c r="H1989" s="233"/>
      <c r="I1989" s="233"/>
      <c r="J1989" s="761"/>
      <c r="K1989" s="233"/>
      <c r="L1989" s="233"/>
      <c r="M1989" s="233"/>
      <c r="N1989" s="2403"/>
      <c r="O1989" s="2403"/>
    </row>
    <row r="1990" spans="3:15">
      <c r="C1990" s="233"/>
      <c r="D1990" s="233"/>
      <c r="E1990" s="761"/>
      <c r="F1990" s="234"/>
      <c r="G1990" s="234"/>
      <c r="H1990" s="233"/>
      <c r="I1990" s="233"/>
      <c r="J1990" s="761"/>
      <c r="K1990" s="233"/>
      <c r="L1990" s="233"/>
      <c r="M1990" s="233"/>
      <c r="N1990" s="2403"/>
      <c r="O1990" s="2403"/>
    </row>
    <row r="1991" spans="3:15">
      <c r="C1991" s="233"/>
      <c r="D1991" s="233"/>
      <c r="E1991" s="761"/>
      <c r="F1991" s="234"/>
      <c r="G1991" s="234"/>
      <c r="H1991" s="233"/>
      <c r="I1991" s="233"/>
      <c r="J1991" s="761"/>
      <c r="K1991" s="233"/>
      <c r="L1991" s="233"/>
      <c r="M1991" s="233"/>
      <c r="N1991" s="2403"/>
      <c r="O1991" s="2403"/>
    </row>
    <row r="1992" spans="3:15">
      <c r="C1992" s="233"/>
      <c r="D1992" s="233"/>
      <c r="E1992" s="761"/>
      <c r="F1992" s="234"/>
      <c r="G1992" s="234"/>
      <c r="H1992" s="233"/>
      <c r="I1992" s="233"/>
      <c r="J1992" s="761"/>
      <c r="K1992" s="233"/>
      <c r="L1992" s="233"/>
      <c r="M1992" s="233"/>
      <c r="N1992" s="2403"/>
      <c r="O1992" s="2403"/>
    </row>
    <row r="1993" spans="3:15">
      <c r="C1993" s="233"/>
      <c r="D1993" s="233"/>
      <c r="E1993" s="761"/>
      <c r="F1993" s="234"/>
      <c r="G1993" s="234"/>
      <c r="H1993" s="233"/>
      <c r="I1993" s="233"/>
      <c r="J1993" s="761"/>
      <c r="K1993" s="233"/>
      <c r="L1993" s="233"/>
      <c r="M1993" s="233"/>
      <c r="N1993" s="2403"/>
      <c r="O1993" s="2403"/>
    </row>
    <row r="1994" spans="3:15">
      <c r="C1994" s="233"/>
      <c r="D1994" s="233"/>
      <c r="E1994" s="761"/>
      <c r="F1994" s="234"/>
      <c r="G1994" s="234"/>
      <c r="H1994" s="233"/>
      <c r="I1994" s="233"/>
      <c r="J1994" s="761"/>
      <c r="K1994" s="233"/>
      <c r="L1994" s="233"/>
      <c r="M1994" s="233"/>
      <c r="N1994" s="2403"/>
      <c r="O1994" s="2403"/>
    </row>
    <row r="1995" spans="3:15">
      <c r="C1995" s="233"/>
      <c r="D1995" s="233"/>
      <c r="E1995" s="761"/>
      <c r="F1995" s="234"/>
      <c r="G1995" s="234"/>
      <c r="H1995" s="233"/>
      <c r="I1995" s="233"/>
      <c r="J1995" s="761"/>
      <c r="K1995" s="233"/>
      <c r="L1995" s="233"/>
      <c r="M1995" s="233"/>
      <c r="N1995" s="2403"/>
      <c r="O1995" s="2403"/>
    </row>
    <row r="1996" spans="3:15">
      <c r="C1996" s="233"/>
      <c r="D1996" s="233"/>
      <c r="E1996" s="761"/>
      <c r="F1996" s="234"/>
      <c r="G1996" s="234"/>
      <c r="H1996" s="233"/>
      <c r="I1996" s="233"/>
      <c r="J1996" s="761"/>
      <c r="K1996" s="233"/>
      <c r="L1996" s="233"/>
      <c r="M1996" s="233"/>
      <c r="N1996" s="2403"/>
      <c r="O1996" s="2403"/>
    </row>
    <row r="1997" spans="3:15">
      <c r="C1997" s="233"/>
      <c r="D1997" s="233"/>
      <c r="E1997" s="761"/>
      <c r="F1997" s="234"/>
      <c r="G1997" s="234"/>
      <c r="H1997" s="233"/>
      <c r="I1997" s="233"/>
      <c r="J1997" s="761"/>
      <c r="K1997" s="233"/>
      <c r="L1997" s="233"/>
      <c r="M1997" s="233"/>
      <c r="N1997" s="2403"/>
      <c r="O1997" s="2403"/>
    </row>
    <row r="1998" spans="3:15">
      <c r="C1998" s="233"/>
      <c r="D1998" s="233"/>
      <c r="E1998" s="761"/>
      <c r="F1998" s="234"/>
      <c r="G1998" s="234"/>
      <c r="H1998" s="233"/>
      <c r="I1998" s="233"/>
      <c r="J1998" s="761"/>
      <c r="K1998" s="233"/>
      <c r="L1998" s="233"/>
      <c r="M1998" s="233"/>
      <c r="N1998" s="2403"/>
      <c r="O1998" s="2403"/>
    </row>
    <row r="1999" spans="3:15">
      <c r="C1999" s="233"/>
      <c r="D1999" s="233"/>
      <c r="E1999" s="761"/>
      <c r="F1999" s="234"/>
      <c r="G1999" s="234"/>
      <c r="H1999" s="233"/>
      <c r="I1999" s="233"/>
      <c r="J1999" s="761"/>
      <c r="K1999" s="233"/>
      <c r="L1999" s="233"/>
      <c r="M1999" s="233"/>
      <c r="N1999" s="2403"/>
      <c r="O1999" s="2403"/>
    </row>
    <row r="2000" spans="3:15">
      <c r="C2000" s="233"/>
      <c r="D2000" s="233"/>
      <c r="E2000" s="761"/>
      <c r="F2000" s="234"/>
      <c r="G2000" s="234"/>
      <c r="H2000" s="233"/>
      <c r="I2000" s="233"/>
      <c r="J2000" s="761"/>
      <c r="K2000" s="233"/>
      <c r="L2000" s="233"/>
      <c r="M2000" s="233"/>
      <c r="N2000" s="2403"/>
      <c r="O2000" s="2403"/>
    </row>
    <row r="2001" spans="3:15">
      <c r="C2001" s="233"/>
      <c r="D2001" s="233"/>
      <c r="E2001" s="761"/>
      <c r="F2001" s="234"/>
      <c r="G2001" s="234"/>
      <c r="H2001" s="233"/>
      <c r="I2001" s="233"/>
      <c r="J2001" s="761"/>
      <c r="K2001" s="233"/>
      <c r="L2001" s="233"/>
      <c r="M2001" s="233"/>
      <c r="N2001" s="2403"/>
      <c r="O2001" s="2403"/>
    </row>
    <row r="2002" spans="3:15">
      <c r="C2002" s="233"/>
      <c r="D2002" s="233"/>
      <c r="E2002" s="761"/>
      <c r="F2002" s="234"/>
      <c r="G2002" s="234"/>
      <c r="H2002" s="233"/>
      <c r="I2002" s="233"/>
      <c r="J2002" s="761"/>
      <c r="K2002" s="233"/>
      <c r="L2002" s="233"/>
      <c r="M2002" s="233"/>
      <c r="N2002" s="2403"/>
      <c r="O2002" s="2403"/>
    </row>
    <row r="2003" spans="3:15">
      <c r="C2003" s="233"/>
      <c r="D2003" s="233"/>
      <c r="E2003" s="761"/>
      <c r="F2003" s="234"/>
      <c r="G2003" s="234"/>
      <c r="H2003" s="233"/>
      <c r="I2003" s="233"/>
      <c r="J2003" s="761"/>
      <c r="K2003" s="233"/>
      <c r="L2003" s="233"/>
      <c r="M2003" s="233"/>
      <c r="N2003" s="2403"/>
      <c r="O2003" s="2403"/>
    </row>
    <row r="2004" spans="3:15">
      <c r="C2004" s="233"/>
      <c r="D2004" s="233"/>
      <c r="E2004" s="761"/>
      <c r="F2004" s="234"/>
      <c r="G2004" s="234"/>
      <c r="H2004" s="233"/>
      <c r="I2004" s="233"/>
      <c r="J2004" s="761"/>
      <c r="K2004" s="233"/>
      <c r="L2004" s="233"/>
      <c r="M2004" s="233"/>
      <c r="N2004" s="2403"/>
      <c r="O2004" s="2403"/>
    </row>
    <row r="2005" spans="3:15">
      <c r="C2005" s="233"/>
      <c r="D2005" s="233"/>
      <c r="E2005" s="761"/>
      <c r="F2005" s="234"/>
      <c r="G2005" s="234"/>
      <c r="H2005" s="233"/>
      <c r="I2005" s="233"/>
      <c r="J2005" s="761"/>
      <c r="K2005" s="233"/>
      <c r="L2005" s="233"/>
      <c r="M2005" s="233"/>
      <c r="N2005" s="2403"/>
      <c r="O2005" s="2403"/>
    </row>
    <row r="2006" spans="3:15">
      <c r="C2006" s="233"/>
      <c r="D2006" s="233"/>
      <c r="E2006" s="761"/>
      <c r="F2006" s="234"/>
      <c r="G2006" s="234"/>
      <c r="H2006" s="233"/>
      <c r="I2006" s="233"/>
      <c r="J2006" s="761"/>
      <c r="K2006" s="233"/>
      <c r="L2006" s="233"/>
      <c r="M2006" s="233"/>
      <c r="N2006" s="2403"/>
      <c r="O2006" s="2403"/>
    </row>
    <row r="2007" spans="3:15">
      <c r="C2007" s="233"/>
      <c r="D2007" s="233"/>
      <c r="E2007" s="761"/>
      <c r="F2007" s="234"/>
      <c r="G2007" s="234"/>
      <c r="H2007" s="233"/>
      <c r="I2007" s="233"/>
      <c r="J2007" s="761"/>
      <c r="K2007" s="233"/>
      <c r="L2007" s="233"/>
      <c r="M2007" s="233"/>
      <c r="N2007" s="2403"/>
      <c r="O2007" s="2403"/>
    </row>
    <row r="2008" spans="3:15">
      <c r="C2008" s="233"/>
      <c r="D2008" s="233"/>
      <c r="E2008" s="761"/>
      <c r="F2008" s="234"/>
      <c r="G2008" s="234"/>
      <c r="H2008" s="233"/>
      <c r="I2008" s="233"/>
      <c r="J2008" s="761"/>
      <c r="K2008" s="233"/>
      <c r="L2008" s="233"/>
      <c r="M2008" s="233"/>
      <c r="N2008" s="2403"/>
      <c r="O2008" s="2403"/>
    </row>
    <row r="2009" spans="3:15">
      <c r="C2009" s="233"/>
      <c r="D2009" s="233"/>
      <c r="E2009" s="761"/>
      <c r="F2009" s="234"/>
      <c r="G2009" s="234"/>
      <c r="H2009" s="233"/>
      <c r="I2009" s="233"/>
      <c r="J2009" s="761"/>
      <c r="K2009" s="233"/>
      <c r="L2009" s="233"/>
      <c r="M2009" s="233"/>
      <c r="N2009" s="2403"/>
      <c r="O2009" s="2403"/>
    </row>
    <row r="2010" spans="3:15">
      <c r="C2010" s="233"/>
      <c r="D2010" s="233"/>
      <c r="E2010" s="761"/>
      <c r="F2010" s="234"/>
      <c r="G2010" s="234"/>
      <c r="H2010" s="233"/>
      <c r="I2010" s="233"/>
      <c r="J2010" s="761"/>
      <c r="K2010" s="233"/>
      <c r="L2010" s="233"/>
      <c r="M2010" s="233"/>
      <c r="N2010" s="2403"/>
      <c r="O2010" s="2403"/>
    </row>
    <row r="2011" spans="3:15">
      <c r="C2011" s="233"/>
      <c r="D2011" s="233"/>
      <c r="E2011" s="761"/>
      <c r="F2011" s="234"/>
      <c r="G2011" s="234"/>
      <c r="H2011" s="233"/>
      <c r="I2011" s="233"/>
      <c r="J2011" s="761"/>
      <c r="K2011" s="233"/>
      <c r="L2011" s="233"/>
      <c r="M2011" s="233"/>
      <c r="N2011" s="2403"/>
      <c r="O2011" s="2403"/>
    </row>
    <row r="2012" spans="3:15">
      <c r="C2012" s="233"/>
      <c r="D2012" s="233"/>
      <c r="E2012" s="761"/>
      <c r="F2012" s="234"/>
      <c r="G2012" s="234"/>
      <c r="H2012" s="233"/>
      <c r="I2012" s="233"/>
      <c r="J2012" s="761"/>
      <c r="K2012" s="233"/>
      <c r="L2012" s="233"/>
      <c r="M2012" s="233"/>
      <c r="N2012" s="2403"/>
      <c r="O2012" s="2403"/>
    </row>
    <row r="2013" spans="3:15">
      <c r="C2013" s="233"/>
      <c r="D2013" s="233"/>
      <c r="E2013" s="761"/>
      <c r="F2013" s="234"/>
      <c r="G2013" s="234"/>
      <c r="H2013" s="233"/>
      <c r="I2013" s="233"/>
      <c r="J2013" s="761"/>
      <c r="K2013" s="233"/>
      <c r="L2013" s="233"/>
      <c r="M2013" s="233"/>
      <c r="N2013" s="2403"/>
      <c r="O2013" s="2403"/>
    </row>
    <row r="2014" spans="3:15">
      <c r="C2014" s="233"/>
      <c r="D2014" s="233"/>
      <c r="E2014" s="761"/>
      <c r="F2014" s="234"/>
      <c r="G2014" s="234"/>
      <c r="H2014" s="233"/>
      <c r="I2014" s="233"/>
      <c r="J2014" s="761"/>
      <c r="K2014" s="233"/>
      <c r="L2014" s="233"/>
      <c r="M2014" s="233"/>
      <c r="N2014" s="2403"/>
      <c r="O2014" s="2403"/>
    </row>
    <row r="2015" spans="3:15">
      <c r="C2015" s="233"/>
      <c r="D2015" s="233"/>
      <c r="E2015" s="761"/>
      <c r="F2015" s="234"/>
      <c r="G2015" s="234"/>
      <c r="H2015" s="233"/>
      <c r="I2015" s="233"/>
      <c r="J2015" s="761"/>
      <c r="K2015" s="233"/>
      <c r="L2015" s="233"/>
      <c r="M2015" s="233"/>
      <c r="N2015" s="2403"/>
      <c r="O2015" s="2403"/>
    </row>
    <row r="2016" spans="3:15">
      <c r="C2016" s="233"/>
      <c r="D2016" s="233"/>
      <c r="E2016" s="761"/>
      <c r="F2016" s="234"/>
      <c r="G2016" s="234"/>
      <c r="H2016" s="233"/>
      <c r="I2016" s="233"/>
      <c r="J2016" s="761"/>
      <c r="K2016" s="233"/>
      <c r="L2016" s="233"/>
      <c r="M2016" s="233"/>
      <c r="N2016" s="2403"/>
      <c r="O2016" s="2403"/>
    </row>
    <row r="2017" spans="3:15">
      <c r="C2017" s="233"/>
      <c r="D2017" s="233"/>
      <c r="E2017" s="761"/>
      <c r="F2017" s="234"/>
      <c r="G2017" s="234"/>
      <c r="H2017" s="233"/>
      <c r="I2017" s="233"/>
      <c r="J2017" s="761"/>
      <c r="K2017" s="233"/>
      <c r="L2017" s="233"/>
      <c r="M2017" s="233"/>
      <c r="N2017" s="2403"/>
      <c r="O2017" s="2403"/>
    </row>
    <row r="2018" spans="3:15">
      <c r="C2018" s="233"/>
      <c r="D2018" s="233"/>
      <c r="E2018" s="761"/>
      <c r="F2018" s="234"/>
      <c r="G2018" s="234"/>
      <c r="H2018" s="233"/>
      <c r="I2018" s="233"/>
      <c r="J2018" s="761"/>
      <c r="K2018" s="233"/>
      <c r="L2018" s="233"/>
      <c r="M2018" s="233"/>
      <c r="N2018" s="2403"/>
      <c r="O2018" s="2403"/>
    </row>
    <row r="2019" spans="3:15">
      <c r="C2019" s="233"/>
      <c r="D2019" s="233"/>
      <c r="E2019" s="761"/>
      <c r="F2019" s="234"/>
      <c r="G2019" s="234"/>
      <c r="H2019" s="233"/>
      <c r="I2019" s="233"/>
      <c r="J2019" s="761"/>
      <c r="K2019" s="233"/>
      <c r="L2019" s="233"/>
      <c r="M2019" s="233"/>
      <c r="N2019" s="2403"/>
      <c r="O2019" s="2403"/>
    </row>
    <row r="2020" spans="3:15">
      <c r="C2020" s="233"/>
      <c r="D2020" s="233"/>
      <c r="E2020" s="761"/>
      <c r="F2020" s="234"/>
      <c r="G2020" s="234"/>
      <c r="H2020" s="233"/>
      <c r="I2020" s="233"/>
      <c r="J2020" s="761"/>
      <c r="K2020" s="233"/>
      <c r="L2020" s="233"/>
      <c r="M2020" s="233"/>
      <c r="N2020" s="2403"/>
      <c r="O2020" s="2403"/>
    </row>
    <row r="2021" spans="3:15">
      <c r="C2021" s="233"/>
      <c r="D2021" s="233"/>
      <c r="E2021" s="761"/>
      <c r="F2021" s="234"/>
      <c r="G2021" s="234"/>
      <c r="H2021" s="233"/>
      <c r="I2021" s="233"/>
      <c r="J2021" s="761"/>
      <c r="K2021" s="233"/>
      <c r="L2021" s="233"/>
      <c r="M2021" s="233"/>
      <c r="N2021" s="2403"/>
      <c r="O2021" s="2403"/>
    </row>
    <row r="2022" spans="3:15">
      <c r="C2022" s="233"/>
      <c r="D2022" s="233"/>
      <c r="E2022" s="761"/>
      <c r="F2022" s="234"/>
      <c r="G2022" s="234"/>
      <c r="H2022" s="233"/>
      <c r="I2022" s="233"/>
      <c r="J2022" s="761"/>
      <c r="K2022" s="233"/>
      <c r="L2022" s="233"/>
      <c r="M2022" s="233"/>
      <c r="N2022" s="2403"/>
      <c r="O2022" s="2403"/>
    </row>
    <row r="2023" spans="3:15">
      <c r="C2023" s="233"/>
      <c r="D2023" s="233"/>
      <c r="E2023" s="761"/>
      <c r="F2023" s="234"/>
      <c r="G2023" s="234"/>
      <c r="H2023" s="233"/>
      <c r="I2023" s="233"/>
      <c r="J2023" s="761"/>
      <c r="K2023" s="233"/>
      <c r="L2023" s="233"/>
      <c r="M2023" s="233"/>
      <c r="N2023" s="2403"/>
      <c r="O2023" s="2403"/>
    </row>
    <row r="2024" spans="3:15">
      <c r="C2024" s="233"/>
      <c r="D2024" s="233"/>
      <c r="E2024" s="761"/>
      <c r="F2024" s="234"/>
      <c r="G2024" s="234"/>
      <c r="H2024" s="233"/>
      <c r="I2024" s="233"/>
      <c r="J2024" s="761"/>
      <c r="K2024" s="233"/>
      <c r="L2024" s="233"/>
      <c r="M2024" s="233"/>
      <c r="N2024" s="2403"/>
      <c r="O2024" s="2403"/>
    </row>
    <row r="2025" spans="3:15">
      <c r="C2025" s="233"/>
      <c r="D2025" s="233"/>
      <c r="E2025" s="761"/>
      <c r="F2025" s="234"/>
      <c r="G2025" s="234"/>
      <c r="H2025" s="233"/>
      <c r="I2025" s="233"/>
      <c r="J2025" s="761"/>
      <c r="K2025" s="233"/>
      <c r="L2025" s="233"/>
      <c r="M2025" s="233"/>
      <c r="N2025" s="2403"/>
      <c r="O2025" s="2403"/>
    </row>
    <row r="2026" spans="3:15">
      <c r="C2026" s="233"/>
      <c r="D2026" s="233"/>
      <c r="E2026" s="761"/>
      <c r="F2026" s="234"/>
      <c r="G2026" s="234"/>
      <c r="H2026" s="233"/>
      <c r="I2026" s="233"/>
      <c r="J2026" s="761"/>
      <c r="K2026" s="233"/>
      <c r="L2026" s="233"/>
      <c r="M2026" s="233"/>
      <c r="N2026" s="2403"/>
      <c r="O2026" s="2403"/>
    </row>
    <row r="2027" spans="3:15">
      <c r="C2027" s="233"/>
      <c r="D2027" s="233"/>
      <c r="E2027" s="761"/>
      <c r="F2027" s="234"/>
      <c r="G2027" s="234"/>
      <c r="H2027" s="233"/>
      <c r="I2027" s="233"/>
      <c r="J2027" s="761"/>
      <c r="K2027" s="233"/>
      <c r="L2027" s="233"/>
      <c r="M2027" s="233"/>
      <c r="N2027" s="2403"/>
      <c r="O2027" s="2403"/>
    </row>
    <row r="2028" spans="3:15">
      <c r="C2028" s="233"/>
      <c r="D2028" s="233"/>
      <c r="E2028" s="761"/>
      <c r="F2028" s="234"/>
      <c r="G2028" s="234"/>
      <c r="H2028" s="233"/>
      <c r="I2028" s="233"/>
      <c r="J2028" s="761"/>
      <c r="K2028" s="233"/>
      <c r="L2028" s="233"/>
      <c r="M2028" s="233"/>
      <c r="N2028" s="2403"/>
      <c r="O2028" s="2403"/>
    </row>
    <row r="2029" spans="3:15">
      <c r="C2029" s="233"/>
      <c r="D2029" s="233"/>
      <c r="E2029" s="761"/>
      <c r="F2029" s="234"/>
      <c r="G2029" s="234"/>
      <c r="H2029" s="233"/>
      <c r="I2029" s="233"/>
      <c r="J2029" s="761"/>
      <c r="K2029" s="233"/>
      <c r="L2029" s="233"/>
      <c r="M2029" s="233"/>
      <c r="N2029" s="2403"/>
      <c r="O2029" s="2403"/>
    </row>
    <row r="2030" spans="3:15">
      <c r="C2030" s="233"/>
      <c r="D2030" s="233"/>
      <c r="E2030" s="761"/>
      <c r="F2030" s="234"/>
      <c r="G2030" s="234"/>
      <c r="H2030" s="233"/>
      <c r="I2030" s="233"/>
      <c r="J2030" s="761"/>
      <c r="K2030" s="233"/>
      <c r="L2030" s="233"/>
      <c r="M2030" s="233"/>
      <c r="N2030" s="2403"/>
      <c r="O2030" s="2403"/>
    </row>
    <row r="2031" spans="3:15">
      <c r="C2031" s="233"/>
      <c r="D2031" s="233"/>
      <c r="E2031" s="761"/>
      <c r="F2031" s="234"/>
      <c r="G2031" s="234"/>
      <c r="H2031" s="233"/>
      <c r="I2031" s="233"/>
      <c r="J2031" s="761"/>
      <c r="K2031" s="233"/>
      <c r="L2031" s="233"/>
      <c r="M2031" s="233"/>
      <c r="N2031" s="2403"/>
      <c r="O2031" s="2403"/>
    </row>
    <row r="2032" spans="3:15">
      <c r="C2032" s="233"/>
      <c r="D2032" s="233"/>
      <c r="E2032" s="761"/>
      <c r="F2032" s="234"/>
      <c r="G2032" s="234"/>
      <c r="H2032" s="233"/>
      <c r="I2032" s="233"/>
      <c r="J2032" s="761"/>
      <c r="K2032" s="233"/>
      <c r="L2032" s="233"/>
      <c r="M2032" s="233"/>
      <c r="N2032" s="2403"/>
      <c r="O2032" s="2403"/>
    </row>
    <row r="2033" spans="3:15">
      <c r="C2033" s="233"/>
      <c r="D2033" s="233"/>
      <c r="E2033" s="761"/>
      <c r="F2033" s="234"/>
      <c r="G2033" s="234"/>
      <c r="H2033" s="233"/>
      <c r="I2033" s="233"/>
      <c r="J2033" s="761"/>
      <c r="K2033" s="233"/>
      <c r="L2033" s="233"/>
      <c r="M2033" s="233"/>
      <c r="N2033" s="2403"/>
      <c r="O2033" s="2403"/>
    </row>
    <row r="2034" spans="3:15">
      <c r="C2034" s="233"/>
      <c r="D2034" s="233"/>
      <c r="E2034" s="761"/>
      <c r="F2034" s="234"/>
      <c r="G2034" s="234"/>
      <c r="H2034" s="233"/>
      <c r="I2034" s="233"/>
      <c r="J2034" s="761"/>
      <c r="K2034" s="233"/>
      <c r="L2034" s="233"/>
      <c r="M2034" s="233"/>
      <c r="N2034" s="2403"/>
      <c r="O2034" s="2403"/>
    </row>
    <row r="2035" spans="3:15">
      <c r="C2035" s="233"/>
      <c r="D2035" s="233"/>
      <c r="E2035" s="761"/>
      <c r="F2035" s="234"/>
      <c r="G2035" s="234"/>
      <c r="H2035" s="233"/>
      <c r="I2035" s="233"/>
      <c r="J2035" s="761"/>
      <c r="K2035" s="233"/>
      <c r="L2035" s="233"/>
      <c r="M2035" s="233"/>
      <c r="N2035" s="2403"/>
      <c r="O2035" s="2403"/>
    </row>
    <row r="2036" spans="3:15">
      <c r="C2036" s="233"/>
      <c r="D2036" s="233"/>
      <c r="E2036" s="761"/>
      <c r="F2036" s="234"/>
      <c r="G2036" s="234"/>
      <c r="H2036" s="233"/>
      <c r="I2036" s="233"/>
      <c r="J2036" s="761"/>
      <c r="K2036" s="233"/>
      <c r="L2036" s="233"/>
      <c r="M2036" s="233"/>
      <c r="N2036" s="2403"/>
      <c r="O2036" s="2403"/>
    </row>
    <row r="2037" spans="3:15">
      <c r="C2037" s="233"/>
      <c r="D2037" s="233"/>
      <c r="E2037" s="761"/>
      <c r="F2037" s="234"/>
      <c r="G2037" s="234"/>
      <c r="H2037" s="233"/>
      <c r="I2037" s="233"/>
      <c r="J2037" s="761"/>
      <c r="K2037" s="233"/>
      <c r="L2037" s="233"/>
      <c r="M2037" s="233"/>
      <c r="N2037" s="2403"/>
      <c r="O2037" s="2403"/>
    </row>
    <row r="2038" spans="3:15">
      <c r="C2038" s="233"/>
      <c r="D2038" s="233"/>
      <c r="E2038" s="761"/>
      <c r="F2038" s="234"/>
      <c r="G2038" s="234"/>
      <c r="H2038" s="233"/>
      <c r="I2038" s="233"/>
      <c r="J2038" s="761"/>
      <c r="K2038" s="233"/>
      <c r="L2038" s="233"/>
      <c r="M2038" s="233"/>
      <c r="N2038" s="2403"/>
      <c r="O2038" s="2403"/>
    </row>
    <row r="2039" spans="3:15">
      <c r="C2039" s="233"/>
      <c r="D2039" s="233"/>
      <c r="E2039" s="761"/>
      <c r="F2039" s="234"/>
      <c r="G2039" s="234"/>
      <c r="H2039" s="233"/>
      <c r="I2039" s="233"/>
      <c r="J2039" s="761"/>
      <c r="K2039" s="233"/>
      <c r="L2039" s="233"/>
      <c r="M2039" s="233"/>
      <c r="N2039" s="2403"/>
      <c r="O2039" s="2403"/>
    </row>
    <row r="2040" spans="3:15">
      <c r="C2040" s="233"/>
      <c r="D2040" s="233"/>
      <c r="E2040" s="761"/>
      <c r="F2040" s="234"/>
      <c r="G2040" s="234"/>
      <c r="H2040" s="233"/>
      <c r="I2040" s="233"/>
      <c r="J2040" s="761"/>
      <c r="K2040" s="233"/>
      <c r="L2040" s="233"/>
      <c r="M2040" s="233"/>
      <c r="N2040" s="2403"/>
      <c r="O2040" s="2403"/>
    </row>
    <row r="2041" spans="3:15">
      <c r="C2041" s="233"/>
      <c r="D2041" s="233"/>
      <c r="E2041" s="761"/>
      <c r="F2041" s="234"/>
      <c r="G2041" s="234"/>
      <c r="H2041" s="233"/>
      <c r="I2041" s="233"/>
      <c r="J2041" s="761"/>
      <c r="K2041" s="233"/>
      <c r="L2041" s="233"/>
      <c r="M2041" s="233"/>
      <c r="N2041" s="2403"/>
      <c r="O2041" s="2403"/>
    </row>
    <row r="2042" spans="3:15">
      <c r="C2042" s="233"/>
      <c r="D2042" s="233"/>
      <c r="E2042" s="761"/>
      <c r="F2042" s="234"/>
      <c r="G2042" s="234"/>
      <c r="H2042" s="233"/>
      <c r="I2042" s="233"/>
      <c r="J2042" s="761"/>
      <c r="K2042" s="233"/>
      <c r="L2042" s="233"/>
      <c r="M2042" s="233"/>
      <c r="N2042" s="2403"/>
      <c r="O2042" s="2403"/>
    </row>
    <row r="2043" spans="3:15">
      <c r="C2043" s="233"/>
      <c r="D2043" s="233"/>
      <c r="E2043" s="761"/>
      <c r="F2043" s="234"/>
      <c r="G2043" s="234"/>
      <c r="H2043" s="233"/>
      <c r="I2043" s="233"/>
      <c r="J2043" s="761"/>
      <c r="K2043" s="233"/>
      <c r="L2043" s="233"/>
      <c r="M2043" s="233"/>
      <c r="N2043" s="2403"/>
      <c r="O2043" s="2403"/>
    </row>
    <row r="2044" spans="3:15">
      <c r="C2044" s="233"/>
      <c r="D2044" s="233"/>
      <c r="E2044" s="761"/>
      <c r="F2044" s="234"/>
      <c r="G2044" s="234"/>
      <c r="H2044" s="233"/>
      <c r="I2044" s="233"/>
      <c r="J2044" s="761"/>
      <c r="K2044" s="233"/>
      <c r="L2044" s="233"/>
      <c r="M2044" s="233"/>
      <c r="N2044" s="2403"/>
      <c r="O2044" s="2403"/>
    </row>
    <row r="2045" spans="3:15">
      <c r="C2045" s="233"/>
      <c r="D2045" s="233"/>
      <c r="E2045" s="761"/>
      <c r="F2045" s="234"/>
      <c r="G2045" s="234"/>
      <c r="H2045" s="233"/>
      <c r="I2045" s="233"/>
      <c r="J2045" s="761"/>
      <c r="K2045" s="233"/>
      <c r="L2045" s="233"/>
      <c r="M2045" s="233"/>
      <c r="N2045" s="2403"/>
      <c r="O2045" s="2403"/>
    </row>
    <row r="2046" spans="3:15">
      <c r="C2046" s="233"/>
      <c r="D2046" s="233"/>
      <c r="E2046" s="761"/>
      <c r="F2046" s="234"/>
      <c r="G2046" s="234"/>
      <c r="H2046" s="233"/>
      <c r="I2046" s="233"/>
      <c r="J2046" s="761"/>
      <c r="K2046" s="233"/>
      <c r="L2046" s="233"/>
      <c r="M2046" s="233"/>
      <c r="N2046" s="2403"/>
      <c r="O2046" s="2403"/>
    </row>
    <row r="2047" spans="3:15">
      <c r="C2047" s="233"/>
      <c r="D2047" s="233"/>
      <c r="E2047" s="761"/>
      <c r="F2047" s="234"/>
      <c r="G2047" s="234"/>
      <c r="H2047" s="233"/>
      <c r="I2047" s="233"/>
      <c r="J2047" s="761"/>
      <c r="K2047" s="233"/>
      <c r="L2047" s="233"/>
      <c r="M2047" s="233"/>
      <c r="N2047" s="2403"/>
      <c r="O2047" s="2403"/>
    </row>
    <row r="2048" spans="3:15">
      <c r="C2048" s="233"/>
      <c r="D2048" s="233"/>
      <c r="E2048" s="761"/>
      <c r="F2048" s="234"/>
      <c r="G2048" s="234"/>
      <c r="H2048" s="233"/>
      <c r="I2048" s="233"/>
      <c r="J2048" s="761"/>
      <c r="K2048" s="233"/>
      <c r="L2048" s="233"/>
      <c r="M2048" s="233"/>
      <c r="N2048" s="2403"/>
      <c r="O2048" s="2403"/>
    </row>
    <row r="2049" spans="3:15">
      <c r="C2049" s="233"/>
      <c r="D2049" s="233"/>
      <c r="E2049" s="761"/>
      <c r="F2049" s="234"/>
      <c r="G2049" s="234"/>
      <c r="H2049" s="233"/>
      <c r="I2049" s="233"/>
      <c r="J2049" s="761"/>
      <c r="K2049" s="233"/>
      <c r="L2049" s="233"/>
      <c r="M2049" s="233"/>
      <c r="N2049" s="2403"/>
      <c r="O2049" s="2403"/>
    </row>
    <row r="2050" spans="3:15">
      <c r="C2050" s="233"/>
      <c r="D2050" s="233"/>
      <c r="E2050" s="761"/>
      <c r="F2050" s="234"/>
      <c r="G2050" s="234"/>
      <c r="H2050" s="233"/>
      <c r="I2050" s="233"/>
      <c r="J2050" s="761"/>
      <c r="K2050" s="233"/>
      <c r="L2050" s="233"/>
      <c r="M2050" s="233"/>
      <c r="N2050" s="2403"/>
      <c r="O2050" s="2403"/>
    </row>
    <row r="2051" spans="3:15">
      <c r="C2051" s="233"/>
      <c r="D2051" s="233"/>
      <c r="E2051" s="761"/>
      <c r="F2051" s="234"/>
      <c r="G2051" s="234"/>
      <c r="H2051" s="233"/>
      <c r="I2051" s="233"/>
      <c r="J2051" s="761"/>
      <c r="K2051" s="233"/>
      <c r="L2051" s="233"/>
      <c r="M2051" s="233"/>
      <c r="N2051" s="2403"/>
      <c r="O2051" s="2403"/>
    </row>
    <row r="2052" spans="3:15">
      <c r="C2052" s="233"/>
      <c r="D2052" s="233"/>
      <c r="E2052" s="761"/>
      <c r="F2052" s="234"/>
      <c r="G2052" s="234"/>
      <c r="H2052" s="233"/>
      <c r="I2052" s="233"/>
      <c r="J2052" s="761"/>
      <c r="K2052" s="233"/>
      <c r="L2052" s="233"/>
      <c r="M2052" s="233"/>
      <c r="N2052" s="2403"/>
      <c r="O2052" s="2403"/>
    </row>
    <row r="2053" spans="3:15">
      <c r="C2053" s="233"/>
      <c r="D2053" s="233"/>
      <c r="E2053" s="761"/>
      <c r="F2053" s="234"/>
      <c r="G2053" s="234"/>
      <c r="H2053" s="233"/>
      <c r="I2053" s="233"/>
      <c r="J2053" s="761"/>
      <c r="K2053" s="233"/>
      <c r="L2053" s="233"/>
      <c r="M2053" s="233"/>
      <c r="N2053" s="2403"/>
      <c r="O2053" s="2403"/>
    </row>
    <row r="2054" spans="3:15">
      <c r="C2054" s="233"/>
      <c r="D2054" s="233"/>
      <c r="E2054" s="761"/>
      <c r="F2054" s="234"/>
      <c r="G2054" s="234"/>
      <c r="H2054" s="233"/>
      <c r="I2054" s="233"/>
      <c r="J2054" s="761"/>
      <c r="K2054" s="233"/>
      <c r="L2054" s="233"/>
      <c r="M2054" s="233"/>
      <c r="N2054" s="2403"/>
      <c r="O2054" s="2403"/>
    </row>
    <row r="2055" spans="3:15">
      <c r="C2055" s="233"/>
      <c r="D2055" s="233"/>
      <c r="E2055" s="761"/>
      <c r="F2055" s="234"/>
      <c r="G2055" s="234"/>
      <c r="H2055" s="233"/>
      <c r="I2055" s="233"/>
      <c r="J2055" s="761"/>
      <c r="K2055" s="233"/>
      <c r="L2055" s="233"/>
      <c r="M2055" s="233"/>
      <c r="N2055" s="2403"/>
      <c r="O2055" s="2403"/>
    </row>
    <row r="2056" spans="3:15">
      <c r="C2056" s="233"/>
      <c r="D2056" s="233"/>
      <c r="E2056" s="761"/>
      <c r="F2056" s="234"/>
      <c r="G2056" s="234"/>
      <c r="H2056" s="233"/>
      <c r="I2056" s="233"/>
      <c r="J2056" s="761"/>
      <c r="K2056" s="233"/>
      <c r="L2056" s="233"/>
      <c r="M2056" s="233"/>
      <c r="N2056" s="2403"/>
      <c r="O2056" s="2403"/>
    </row>
    <row r="2057" spans="3:15">
      <c r="C2057" s="233"/>
      <c r="D2057" s="233"/>
      <c r="E2057" s="761"/>
      <c r="F2057" s="234"/>
      <c r="G2057" s="234"/>
      <c r="H2057" s="233"/>
      <c r="I2057" s="233"/>
      <c r="J2057" s="761"/>
      <c r="K2057" s="233"/>
      <c r="L2057" s="233"/>
      <c r="M2057" s="233"/>
      <c r="N2057" s="2403"/>
      <c r="O2057" s="2403"/>
    </row>
    <row r="2058" spans="3:15">
      <c r="C2058" s="233"/>
      <c r="D2058" s="233"/>
      <c r="E2058" s="761"/>
      <c r="F2058" s="234"/>
      <c r="G2058" s="234"/>
      <c r="H2058" s="233"/>
      <c r="I2058" s="233"/>
      <c r="J2058" s="761"/>
      <c r="K2058" s="233"/>
      <c r="L2058" s="233"/>
      <c r="M2058" s="233"/>
      <c r="N2058" s="2403"/>
      <c r="O2058" s="2403"/>
    </row>
    <row r="2059" spans="3:15">
      <c r="C2059" s="233"/>
      <c r="D2059" s="233"/>
      <c r="E2059" s="761"/>
      <c r="F2059" s="234"/>
      <c r="G2059" s="234"/>
      <c r="H2059" s="233"/>
      <c r="I2059" s="233"/>
      <c r="J2059" s="761"/>
      <c r="K2059" s="233"/>
      <c r="L2059" s="233"/>
      <c r="M2059" s="233"/>
      <c r="N2059" s="2403"/>
      <c r="O2059" s="2403"/>
    </row>
    <row r="2060" spans="3:15">
      <c r="C2060" s="233"/>
      <c r="D2060" s="233"/>
      <c r="E2060" s="761"/>
      <c r="F2060" s="234"/>
      <c r="G2060" s="234"/>
      <c r="H2060" s="233"/>
      <c r="I2060" s="233"/>
      <c r="J2060" s="761"/>
      <c r="K2060" s="233"/>
      <c r="L2060" s="233"/>
      <c r="M2060" s="233"/>
      <c r="N2060" s="2403"/>
      <c r="O2060" s="2403"/>
    </row>
    <row r="2061" spans="3:15">
      <c r="C2061" s="233"/>
      <c r="D2061" s="233"/>
      <c r="E2061" s="761"/>
      <c r="F2061" s="234"/>
      <c r="G2061" s="234"/>
      <c r="H2061" s="233"/>
      <c r="I2061" s="233"/>
      <c r="J2061" s="761"/>
      <c r="K2061" s="233"/>
      <c r="L2061" s="233"/>
      <c r="M2061" s="233"/>
      <c r="N2061" s="2403"/>
      <c r="O2061" s="2403"/>
    </row>
    <row r="2062" spans="3:15">
      <c r="C2062" s="233"/>
      <c r="D2062" s="233"/>
      <c r="E2062" s="761"/>
      <c r="F2062" s="234"/>
      <c r="G2062" s="234"/>
      <c r="H2062" s="233"/>
      <c r="I2062" s="233"/>
      <c r="J2062" s="761"/>
      <c r="K2062" s="233"/>
      <c r="L2062" s="233"/>
      <c r="M2062" s="233"/>
      <c r="N2062" s="2403"/>
      <c r="O2062" s="2403"/>
    </row>
    <row r="2063" spans="3:15">
      <c r="C2063" s="233"/>
      <c r="D2063" s="233"/>
      <c r="E2063" s="761"/>
      <c r="F2063" s="234"/>
      <c r="G2063" s="234"/>
      <c r="H2063" s="233"/>
      <c r="I2063" s="233"/>
      <c r="J2063" s="761"/>
      <c r="K2063" s="233"/>
      <c r="L2063" s="233"/>
      <c r="M2063" s="233"/>
      <c r="N2063" s="2403"/>
      <c r="O2063" s="2403"/>
    </row>
    <row r="2064" spans="3:15">
      <c r="C2064" s="233"/>
      <c r="D2064" s="233"/>
      <c r="E2064" s="761"/>
      <c r="F2064" s="234"/>
      <c r="G2064" s="234"/>
      <c r="H2064" s="233"/>
      <c r="I2064" s="233"/>
      <c r="J2064" s="761"/>
      <c r="K2064" s="233"/>
      <c r="L2064" s="233"/>
      <c r="M2064" s="233"/>
      <c r="N2064" s="2403"/>
      <c r="O2064" s="2403"/>
    </row>
    <row r="2065" spans="3:15">
      <c r="C2065" s="233"/>
      <c r="D2065" s="233"/>
      <c r="E2065" s="761"/>
      <c r="F2065" s="234"/>
      <c r="G2065" s="234"/>
      <c r="H2065" s="233"/>
      <c r="I2065" s="233"/>
      <c r="J2065" s="761"/>
      <c r="K2065" s="233"/>
      <c r="L2065" s="233"/>
      <c r="M2065" s="233"/>
      <c r="N2065" s="2403"/>
      <c r="O2065" s="2403"/>
    </row>
    <row r="2066" spans="3:15">
      <c r="C2066" s="233"/>
      <c r="D2066" s="233"/>
      <c r="E2066" s="761"/>
      <c r="F2066" s="234"/>
      <c r="G2066" s="234"/>
      <c r="H2066" s="233"/>
      <c r="I2066" s="233"/>
      <c r="J2066" s="761"/>
      <c r="K2066" s="233"/>
      <c r="L2066" s="233"/>
      <c r="M2066" s="233"/>
      <c r="N2066" s="2403"/>
      <c r="O2066" s="2403"/>
    </row>
    <row r="2067" spans="3:15">
      <c r="C2067" s="233"/>
      <c r="D2067" s="233"/>
      <c r="E2067" s="761"/>
      <c r="F2067" s="234"/>
      <c r="G2067" s="234"/>
      <c r="H2067" s="233"/>
      <c r="I2067" s="233"/>
      <c r="J2067" s="761"/>
      <c r="K2067" s="233"/>
      <c r="L2067" s="233"/>
      <c r="M2067" s="233"/>
      <c r="N2067" s="2403"/>
      <c r="O2067" s="2403"/>
    </row>
    <row r="2068" spans="3:15">
      <c r="C2068" s="233"/>
      <c r="D2068" s="233"/>
      <c r="E2068" s="761"/>
      <c r="F2068" s="234"/>
      <c r="G2068" s="234"/>
      <c r="H2068" s="233"/>
      <c r="I2068" s="233"/>
      <c r="J2068" s="761"/>
      <c r="K2068" s="233"/>
      <c r="L2068" s="233"/>
      <c r="M2068" s="233"/>
      <c r="N2068" s="2403"/>
      <c r="O2068" s="2403"/>
    </row>
    <row r="2069" spans="3:15">
      <c r="C2069" s="233"/>
      <c r="D2069" s="233"/>
      <c r="E2069" s="761"/>
      <c r="F2069" s="234"/>
      <c r="G2069" s="234"/>
      <c r="H2069" s="233"/>
      <c r="I2069" s="233"/>
      <c r="J2069" s="761"/>
      <c r="K2069" s="233"/>
      <c r="L2069" s="233"/>
      <c r="M2069" s="233"/>
      <c r="N2069" s="2403"/>
      <c r="O2069" s="2403"/>
    </row>
    <row r="2070" spans="3:15">
      <c r="C2070" s="233"/>
      <c r="D2070" s="233"/>
      <c r="E2070" s="761"/>
      <c r="F2070" s="234"/>
      <c r="G2070" s="234"/>
      <c r="H2070" s="233"/>
      <c r="I2070" s="233"/>
      <c r="J2070" s="761"/>
      <c r="K2070" s="233"/>
      <c r="L2070" s="233"/>
      <c r="M2070" s="233"/>
      <c r="N2070" s="2403"/>
      <c r="O2070" s="2403"/>
    </row>
    <row r="2071" spans="3:15">
      <c r="C2071" s="233"/>
      <c r="D2071" s="233"/>
      <c r="E2071" s="761"/>
      <c r="F2071" s="234"/>
      <c r="G2071" s="234"/>
      <c r="H2071" s="233"/>
      <c r="I2071" s="233"/>
      <c r="J2071" s="761"/>
      <c r="K2071" s="233"/>
      <c r="L2071" s="233"/>
      <c r="M2071" s="233"/>
      <c r="N2071" s="2403"/>
      <c r="O2071" s="2403"/>
    </row>
    <row r="2072" spans="3:15">
      <c r="C2072" s="233"/>
      <c r="D2072" s="233"/>
      <c r="E2072" s="761"/>
      <c r="F2072" s="234"/>
      <c r="G2072" s="234"/>
      <c r="H2072" s="233"/>
      <c r="I2072" s="233"/>
      <c r="J2072" s="761"/>
      <c r="K2072" s="233"/>
      <c r="L2072" s="233"/>
      <c r="M2072" s="233"/>
      <c r="N2072" s="2403"/>
      <c r="O2072" s="2403"/>
    </row>
    <row r="2073" spans="3:15">
      <c r="C2073" s="233"/>
      <c r="D2073" s="233"/>
      <c r="E2073" s="761"/>
      <c r="F2073" s="234"/>
      <c r="G2073" s="234"/>
      <c r="H2073" s="233"/>
      <c r="I2073" s="233"/>
      <c r="J2073" s="761"/>
      <c r="K2073" s="233"/>
      <c r="L2073" s="233"/>
      <c r="M2073" s="233"/>
      <c r="N2073" s="2403"/>
      <c r="O2073" s="2403"/>
    </row>
    <row r="2074" spans="3:15">
      <c r="C2074" s="233"/>
      <c r="D2074" s="233"/>
      <c r="E2074" s="761"/>
      <c r="F2074" s="234"/>
      <c r="G2074" s="234"/>
      <c r="H2074" s="233"/>
      <c r="I2074" s="233"/>
      <c r="J2074" s="761"/>
      <c r="K2074" s="233"/>
      <c r="L2074" s="233"/>
      <c r="M2074" s="233"/>
      <c r="N2074" s="2403"/>
      <c r="O2074" s="2403"/>
    </row>
    <row r="2075" spans="3:15">
      <c r="C2075" s="233"/>
      <c r="D2075" s="233"/>
      <c r="E2075" s="761"/>
      <c r="F2075" s="234"/>
      <c r="G2075" s="234"/>
      <c r="H2075" s="233"/>
      <c r="I2075" s="233"/>
      <c r="J2075" s="761"/>
      <c r="K2075" s="233"/>
      <c r="L2075" s="233"/>
      <c r="M2075" s="233"/>
      <c r="N2075" s="2403"/>
      <c r="O2075" s="2403"/>
    </row>
    <row r="2076" spans="3:15">
      <c r="C2076" s="233"/>
      <c r="D2076" s="233"/>
      <c r="E2076" s="761"/>
      <c r="F2076" s="234"/>
      <c r="G2076" s="234"/>
      <c r="H2076" s="233"/>
      <c r="I2076" s="233"/>
      <c r="J2076" s="761"/>
      <c r="K2076" s="233"/>
      <c r="L2076" s="233"/>
      <c r="M2076" s="233"/>
      <c r="N2076" s="2403"/>
      <c r="O2076" s="2403"/>
    </row>
    <row r="2077" spans="3:15">
      <c r="C2077" s="233"/>
      <c r="D2077" s="233"/>
      <c r="E2077" s="761"/>
      <c r="F2077" s="234"/>
      <c r="G2077" s="234"/>
      <c r="H2077" s="233"/>
      <c r="I2077" s="233"/>
      <c r="J2077" s="761"/>
      <c r="K2077" s="233"/>
      <c r="L2077" s="233"/>
      <c r="M2077" s="233"/>
      <c r="N2077" s="2403"/>
      <c r="O2077" s="2403"/>
    </row>
    <row r="2078" spans="3:15">
      <c r="C2078" s="233"/>
      <c r="D2078" s="233"/>
      <c r="E2078" s="761"/>
      <c r="F2078" s="234"/>
      <c r="G2078" s="234"/>
      <c r="H2078" s="233"/>
      <c r="I2078" s="233"/>
      <c r="J2078" s="761"/>
      <c r="K2078" s="233"/>
      <c r="L2078" s="233"/>
      <c r="M2078" s="233"/>
      <c r="N2078" s="2403"/>
      <c r="O2078" s="2403"/>
    </row>
    <row r="2079" spans="3:15">
      <c r="C2079" s="233"/>
      <c r="D2079" s="233"/>
      <c r="E2079" s="761"/>
      <c r="F2079" s="234"/>
      <c r="G2079" s="234"/>
      <c r="H2079" s="233"/>
      <c r="I2079" s="233"/>
      <c r="J2079" s="761"/>
      <c r="K2079" s="233"/>
      <c r="L2079" s="233"/>
      <c r="M2079" s="233"/>
      <c r="N2079" s="2403"/>
      <c r="O2079" s="2403"/>
    </row>
    <row r="2080" spans="3:15">
      <c r="C2080" s="233"/>
      <c r="D2080" s="233"/>
      <c r="E2080" s="761"/>
      <c r="F2080" s="234"/>
      <c r="G2080" s="234"/>
      <c r="H2080" s="233"/>
      <c r="I2080" s="233"/>
      <c r="J2080" s="761"/>
      <c r="K2080" s="233"/>
      <c r="L2080" s="233"/>
      <c r="M2080" s="233"/>
      <c r="N2080" s="2403"/>
      <c r="O2080" s="2403"/>
    </row>
    <row r="2081" spans="3:15">
      <c r="C2081" s="233"/>
      <c r="D2081" s="233"/>
      <c r="E2081" s="761"/>
      <c r="F2081" s="234"/>
      <c r="G2081" s="234"/>
      <c r="H2081" s="233"/>
      <c r="I2081" s="233"/>
      <c r="J2081" s="761"/>
      <c r="K2081" s="233"/>
      <c r="L2081" s="233"/>
      <c r="M2081" s="233"/>
      <c r="N2081" s="2403"/>
      <c r="O2081" s="2403"/>
    </row>
    <row r="2082" spans="3:15">
      <c r="C2082" s="233"/>
      <c r="D2082" s="233"/>
      <c r="E2082" s="761"/>
      <c r="F2082" s="234"/>
      <c r="G2082" s="234"/>
      <c r="H2082" s="233"/>
      <c r="I2082" s="233"/>
      <c r="J2082" s="761"/>
      <c r="K2082" s="233"/>
      <c r="L2082" s="233"/>
      <c r="M2082" s="233"/>
      <c r="N2082" s="2403"/>
      <c r="O2082" s="2403"/>
    </row>
    <row r="2083" spans="3:15">
      <c r="C2083" s="233"/>
      <c r="D2083" s="233"/>
      <c r="E2083" s="761"/>
      <c r="F2083" s="234"/>
      <c r="G2083" s="234"/>
      <c r="H2083" s="233"/>
      <c r="I2083" s="233"/>
      <c r="J2083" s="761"/>
      <c r="K2083" s="233"/>
      <c r="L2083" s="233"/>
      <c r="M2083" s="233"/>
      <c r="N2083" s="2403"/>
      <c r="O2083" s="2403"/>
    </row>
    <row r="2084" spans="3:15">
      <c r="C2084" s="233"/>
      <c r="D2084" s="233"/>
      <c r="E2084" s="761"/>
      <c r="F2084" s="234"/>
      <c r="G2084" s="234"/>
      <c r="H2084" s="233"/>
      <c r="I2084" s="233"/>
      <c r="J2084" s="761"/>
      <c r="K2084" s="233"/>
      <c r="L2084" s="233"/>
      <c r="M2084" s="233"/>
      <c r="N2084" s="2403"/>
      <c r="O2084" s="2403"/>
    </row>
    <row r="2085" spans="3:15">
      <c r="C2085" s="233"/>
      <c r="D2085" s="233"/>
      <c r="E2085" s="761"/>
      <c r="F2085" s="234"/>
      <c r="G2085" s="234"/>
      <c r="H2085" s="233"/>
      <c r="I2085" s="233"/>
      <c r="J2085" s="761"/>
      <c r="K2085" s="233"/>
      <c r="L2085" s="233"/>
      <c r="M2085" s="233"/>
      <c r="N2085" s="2403"/>
      <c r="O2085" s="2403"/>
    </row>
    <row r="2086" spans="3:15">
      <c r="C2086" s="233"/>
      <c r="D2086" s="233"/>
      <c r="E2086" s="761"/>
      <c r="F2086" s="234"/>
      <c r="G2086" s="234"/>
      <c r="H2086" s="233"/>
      <c r="I2086" s="233"/>
      <c r="J2086" s="761"/>
      <c r="K2086" s="233"/>
      <c r="L2086" s="233"/>
      <c r="M2086" s="233"/>
      <c r="N2086" s="2403"/>
      <c r="O2086" s="2403"/>
    </row>
    <row r="2087" spans="3:15">
      <c r="C2087" s="233"/>
      <c r="D2087" s="233"/>
      <c r="E2087" s="761"/>
      <c r="F2087" s="234"/>
      <c r="G2087" s="234"/>
      <c r="H2087" s="233"/>
      <c r="I2087" s="233"/>
      <c r="J2087" s="761"/>
      <c r="K2087" s="233"/>
      <c r="L2087" s="233"/>
      <c r="M2087" s="233"/>
      <c r="N2087" s="2403"/>
      <c r="O2087" s="2403"/>
    </row>
    <row r="2088" spans="3:15">
      <c r="C2088" s="233"/>
      <c r="D2088" s="233"/>
      <c r="E2088" s="761"/>
      <c r="F2088" s="234"/>
      <c r="G2088" s="234"/>
      <c r="H2088" s="233"/>
      <c r="I2088" s="233"/>
      <c r="J2088" s="761"/>
      <c r="K2088" s="233"/>
      <c r="L2088" s="233"/>
      <c r="M2088" s="233"/>
      <c r="N2088" s="2403"/>
      <c r="O2088" s="2403"/>
    </row>
    <row r="2089" spans="3:15">
      <c r="C2089" s="233"/>
      <c r="D2089" s="233"/>
      <c r="E2089" s="761"/>
      <c r="F2089" s="234"/>
      <c r="G2089" s="234"/>
      <c r="H2089" s="233"/>
      <c r="I2089" s="233"/>
      <c r="J2089" s="761"/>
      <c r="K2089" s="233"/>
      <c r="L2089" s="233"/>
      <c r="M2089" s="233"/>
      <c r="N2089" s="2403"/>
      <c r="O2089" s="2403"/>
    </row>
    <row r="2090" spans="3:15">
      <c r="C2090" s="233"/>
      <c r="D2090" s="233"/>
      <c r="E2090" s="761"/>
      <c r="F2090" s="234"/>
      <c r="G2090" s="234"/>
      <c r="H2090" s="233"/>
      <c r="I2090" s="233"/>
      <c r="J2090" s="761"/>
      <c r="K2090" s="233"/>
      <c r="L2090" s="233"/>
      <c r="M2090" s="233"/>
      <c r="N2090" s="2403"/>
      <c r="O2090" s="2403"/>
    </row>
    <row r="2091" spans="3:15">
      <c r="C2091" s="233"/>
      <c r="D2091" s="233"/>
      <c r="E2091" s="761"/>
      <c r="F2091" s="234"/>
      <c r="G2091" s="234"/>
      <c r="H2091" s="233"/>
      <c r="I2091" s="233"/>
      <c r="J2091" s="761"/>
      <c r="K2091" s="233"/>
      <c r="L2091" s="233"/>
      <c r="M2091" s="233"/>
      <c r="N2091" s="2403"/>
      <c r="O2091" s="2403"/>
    </row>
    <row r="2092" spans="3:15">
      <c r="C2092" s="233"/>
      <c r="D2092" s="233"/>
      <c r="E2092" s="761"/>
      <c r="F2092" s="234"/>
      <c r="G2092" s="234"/>
      <c r="H2092" s="233"/>
      <c r="I2092" s="233"/>
      <c r="J2092" s="761"/>
      <c r="K2092" s="233"/>
      <c r="L2092" s="233"/>
      <c r="M2092" s="233"/>
      <c r="N2092" s="2403"/>
      <c r="O2092" s="2403"/>
    </row>
    <row r="2093" spans="3:15">
      <c r="C2093" s="233"/>
      <c r="D2093" s="233"/>
      <c r="E2093" s="761"/>
      <c r="F2093" s="234"/>
      <c r="G2093" s="234"/>
      <c r="H2093" s="233"/>
      <c r="I2093" s="233"/>
      <c r="J2093" s="761"/>
      <c r="K2093" s="233"/>
      <c r="L2093" s="233"/>
      <c r="M2093" s="233"/>
      <c r="N2093" s="2403"/>
      <c r="O2093" s="2403"/>
    </row>
    <row r="2094" spans="3:15">
      <c r="C2094" s="233"/>
      <c r="D2094" s="233"/>
      <c r="E2094" s="761"/>
      <c r="F2094" s="234"/>
      <c r="G2094" s="234"/>
      <c r="H2094" s="233"/>
      <c r="I2094" s="233"/>
      <c r="J2094" s="761"/>
      <c r="K2094" s="233"/>
      <c r="L2094" s="233"/>
      <c r="M2094" s="233"/>
      <c r="N2094" s="2403"/>
      <c r="O2094" s="2403"/>
    </row>
    <row r="2095" spans="3:15">
      <c r="C2095" s="233"/>
      <c r="D2095" s="233"/>
      <c r="E2095" s="761"/>
      <c r="F2095" s="234"/>
      <c r="G2095" s="234"/>
      <c r="H2095" s="233"/>
      <c r="I2095" s="233"/>
      <c r="J2095" s="761"/>
      <c r="K2095" s="233"/>
      <c r="L2095" s="233"/>
      <c r="M2095" s="233"/>
      <c r="N2095" s="2403"/>
      <c r="O2095" s="2403"/>
    </row>
    <row r="2096" spans="3:15">
      <c r="C2096" s="233"/>
      <c r="D2096" s="233"/>
      <c r="E2096" s="761"/>
      <c r="F2096" s="234"/>
      <c r="G2096" s="234"/>
      <c r="H2096" s="233"/>
      <c r="I2096" s="233"/>
      <c r="J2096" s="761"/>
      <c r="K2096" s="233"/>
      <c r="L2096" s="233"/>
      <c r="M2096" s="233"/>
      <c r="N2096" s="2403"/>
      <c r="O2096" s="2403"/>
    </row>
    <row r="2097" spans="3:15">
      <c r="C2097" s="233"/>
      <c r="D2097" s="233"/>
      <c r="E2097" s="761"/>
      <c r="F2097" s="234"/>
      <c r="G2097" s="234"/>
      <c r="H2097" s="233"/>
      <c r="I2097" s="233"/>
      <c r="J2097" s="761"/>
      <c r="K2097" s="233"/>
      <c r="L2097" s="233"/>
      <c r="M2097" s="233"/>
      <c r="N2097" s="2403"/>
      <c r="O2097" s="2403"/>
    </row>
    <row r="2098" spans="3:15">
      <c r="C2098" s="233"/>
      <c r="D2098" s="233"/>
      <c r="E2098" s="761"/>
      <c r="F2098" s="234"/>
      <c r="G2098" s="234"/>
      <c r="H2098" s="233"/>
      <c r="I2098" s="233"/>
      <c r="J2098" s="761"/>
      <c r="K2098" s="233"/>
      <c r="L2098" s="233"/>
      <c r="M2098" s="233"/>
      <c r="N2098" s="2403"/>
      <c r="O2098" s="2403"/>
    </row>
    <row r="2099" spans="3:15">
      <c r="C2099" s="233"/>
      <c r="D2099" s="233"/>
      <c r="E2099" s="761"/>
      <c r="F2099" s="234"/>
      <c r="G2099" s="234"/>
      <c r="H2099" s="233"/>
      <c r="I2099" s="233"/>
      <c r="J2099" s="761"/>
      <c r="K2099" s="233"/>
      <c r="L2099" s="233"/>
      <c r="M2099" s="233"/>
      <c r="N2099" s="2403"/>
      <c r="O2099" s="2403"/>
    </row>
    <row r="2100" spans="3:15">
      <c r="C2100" s="233"/>
      <c r="D2100" s="233"/>
      <c r="E2100" s="761"/>
      <c r="F2100" s="234"/>
      <c r="G2100" s="234"/>
      <c r="H2100" s="233"/>
      <c r="I2100" s="233"/>
      <c r="J2100" s="761"/>
      <c r="K2100" s="233"/>
      <c r="L2100" s="233"/>
      <c r="M2100" s="233"/>
      <c r="N2100" s="2403"/>
      <c r="O2100" s="2403"/>
    </row>
    <row r="2101" spans="3:15">
      <c r="C2101" s="233"/>
      <c r="D2101" s="233"/>
      <c r="E2101" s="761"/>
      <c r="F2101" s="234"/>
      <c r="G2101" s="234"/>
      <c r="H2101" s="233"/>
      <c r="I2101" s="233"/>
      <c r="J2101" s="761"/>
      <c r="K2101" s="233"/>
      <c r="L2101" s="233"/>
      <c r="M2101" s="233"/>
      <c r="N2101" s="2403"/>
      <c r="O2101" s="2403"/>
    </row>
    <row r="2102" spans="3:15">
      <c r="C2102" s="233"/>
      <c r="D2102" s="233"/>
      <c r="E2102" s="761"/>
      <c r="F2102" s="234"/>
      <c r="G2102" s="234"/>
      <c r="H2102" s="233"/>
      <c r="I2102" s="233"/>
      <c r="J2102" s="761"/>
      <c r="K2102" s="233"/>
      <c r="L2102" s="233"/>
      <c r="M2102" s="233"/>
      <c r="N2102" s="2403"/>
      <c r="O2102" s="2403"/>
    </row>
    <row r="2103" spans="3:15">
      <c r="C2103" s="233"/>
      <c r="D2103" s="233"/>
      <c r="E2103" s="761"/>
      <c r="F2103" s="234"/>
      <c r="G2103" s="234"/>
      <c r="H2103" s="233"/>
      <c r="I2103" s="233"/>
      <c r="J2103" s="761"/>
      <c r="K2103" s="233"/>
      <c r="L2103" s="233"/>
      <c r="M2103" s="233"/>
      <c r="N2103" s="2403"/>
      <c r="O2103" s="2403"/>
    </row>
    <row r="2104" spans="3:15">
      <c r="C2104" s="233"/>
      <c r="D2104" s="233"/>
      <c r="E2104" s="761"/>
      <c r="F2104" s="234"/>
      <c r="G2104" s="234"/>
      <c r="H2104" s="233"/>
      <c r="I2104" s="233"/>
      <c r="J2104" s="761"/>
      <c r="K2104" s="233"/>
      <c r="L2104" s="233"/>
      <c r="M2104" s="233"/>
      <c r="N2104" s="2403"/>
      <c r="O2104" s="2403"/>
    </row>
    <row r="2105" spans="3:15">
      <c r="C2105" s="233"/>
      <c r="D2105" s="233"/>
      <c r="E2105" s="761"/>
      <c r="F2105" s="234"/>
      <c r="G2105" s="234"/>
      <c r="H2105" s="233"/>
      <c r="I2105" s="233"/>
      <c r="J2105" s="761"/>
      <c r="K2105" s="233"/>
      <c r="L2105" s="233"/>
      <c r="M2105" s="233"/>
      <c r="N2105" s="2403"/>
      <c r="O2105" s="2403"/>
    </row>
    <row r="2106" spans="3:15">
      <c r="C2106" s="233"/>
      <c r="D2106" s="233"/>
      <c r="E2106" s="761"/>
      <c r="F2106" s="234"/>
      <c r="G2106" s="234"/>
      <c r="H2106" s="233"/>
      <c r="I2106" s="233"/>
      <c r="J2106" s="761"/>
      <c r="K2106" s="233"/>
      <c r="L2106" s="233"/>
      <c r="M2106" s="233"/>
      <c r="N2106" s="2403"/>
      <c r="O2106" s="2403"/>
    </row>
    <row r="2107" spans="3:15">
      <c r="C2107" s="233"/>
      <c r="D2107" s="233"/>
      <c r="E2107" s="761"/>
      <c r="F2107" s="234"/>
      <c r="G2107" s="234"/>
      <c r="H2107" s="233"/>
      <c r="I2107" s="233"/>
      <c r="J2107" s="761"/>
      <c r="K2107" s="233"/>
      <c r="L2107" s="233"/>
      <c r="M2107" s="233"/>
      <c r="N2107" s="2403"/>
      <c r="O2107" s="2403"/>
    </row>
    <row r="2108" spans="3:15">
      <c r="C2108" s="233"/>
      <c r="D2108" s="233"/>
      <c r="E2108" s="761"/>
      <c r="F2108" s="234"/>
      <c r="G2108" s="234"/>
      <c r="H2108" s="233"/>
      <c r="I2108" s="233"/>
      <c r="J2108" s="761"/>
      <c r="K2108" s="233"/>
      <c r="L2108" s="233"/>
      <c r="M2108" s="233"/>
      <c r="N2108" s="2403"/>
      <c r="O2108" s="2403"/>
    </row>
    <row r="2109" spans="3:15">
      <c r="C2109" s="233"/>
      <c r="D2109" s="233"/>
      <c r="E2109" s="761"/>
      <c r="F2109" s="234"/>
      <c r="G2109" s="234"/>
      <c r="H2109" s="233"/>
      <c r="I2109" s="233"/>
      <c r="J2109" s="761"/>
      <c r="K2109" s="233"/>
      <c r="L2109" s="233"/>
      <c r="M2109" s="233"/>
      <c r="N2109" s="2403"/>
      <c r="O2109" s="2403"/>
    </row>
    <row r="2110" spans="3:15">
      <c r="C2110" s="233"/>
      <c r="D2110" s="233"/>
      <c r="E2110" s="761"/>
      <c r="F2110" s="234"/>
      <c r="G2110" s="234"/>
      <c r="H2110" s="233"/>
      <c r="I2110" s="233"/>
      <c r="J2110" s="761"/>
      <c r="K2110" s="233"/>
      <c r="L2110" s="233"/>
      <c r="M2110" s="233"/>
      <c r="N2110" s="2403"/>
      <c r="O2110" s="2403"/>
    </row>
    <row r="2111" spans="3:15">
      <c r="C2111" s="233"/>
      <c r="D2111" s="233"/>
      <c r="E2111" s="761"/>
      <c r="F2111" s="234"/>
      <c r="G2111" s="234"/>
      <c r="H2111" s="233"/>
      <c r="I2111" s="233"/>
      <c r="J2111" s="761"/>
      <c r="K2111" s="233"/>
      <c r="L2111" s="233"/>
      <c r="M2111" s="233"/>
      <c r="N2111" s="2403"/>
      <c r="O2111" s="2403"/>
    </row>
    <row r="2112" spans="3:15">
      <c r="C2112" s="233"/>
      <c r="D2112" s="233"/>
      <c r="E2112" s="761"/>
      <c r="F2112" s="234"/>
      <c r="G2112" s="234"/>
      <c r="H2112" s="233"/>
      <c r="I2112" s="233"/>
      <c r="J2112" s="761"/>
      <c r="K2112" s="233"/>
      <c r="L2112" s="233"/>
      <c r="M2112" s="233"/>
      <c r="N2112" s="2403"/>
      <c r="O2112" s="2403"/>
    </row>
    <row r="2113" spans="3:15">
      <c r="C2113" s="233"/>
      <c r="D2113" s="233"/>
      <c r="E2113" s="761"/>
      <c r="F2113" s="234"/>
      <c r="G2113" s="234"/>
      <c r="H2113" s="233"/>
      <c r="I2113" s="233"/>
      <c r="J2113" s="761"/>
      <c r="K2113" s="233"/>
      <c r="L2113" s="233"/>
      <c r="M2113" s="233"/>
      <c r="N2113" s="2403"/>
      <c r="O2113" s="2403"/>
    </row>
    <row r="2114" spans="3:15">
      <c r="C2114" s="233"/>
      <c r="D2114" s="233"/>
      <c r="E2114" s="761"/>
      <c r="F2114" s="234"/>
      <c r="G2114" s="234"/>
      <c r="H2114" s="233"/>
      <c r="I2114" s="233"/>
      <c r="J2114" s="761"/>
      <c r="K2114" s="233"/>
      <c r="L2114" s="233"/>
      <c r="M2114" s="233"/>
      <c r="N2114" s="2403"/>
      <c r="O2114" s="2403"/>
    </row>
    <row r="2115" spans="3:15">
      <c r="C2115" s="233"/>
      <c r="D2115" s="233"/>
      <c r="E2115" s="761"/>
      <c r="F2115" s="234"/>
      <c r="G2115" s="234"/>
      <c r="H2115" s="233"/>
      <c r="I2115" s="233"/>
      <c r="J2115" s="761"/>
      <c r="K2115" s="233"/>
      <c r="L2115" s="233"/>
      <c r="M2115" s="233"/>
      <c r="N2115" s="2403"/>
      <c r="O2115" s="2403"/>
    </row>
    <row r="2116" spans="3:15">
      <c r="C2116" s="233"/>
      <c r="D2116" s="233"/>
      <c r="E2116" s="761"/>
      <c r="F2116" s="234"/>
      <c r="G2116" s="234"/>
      <c r="H2116" s="233"/>
      <c r="I2116" s="233"/>
      <c r="J2116" s="761"/>
      <c r="K2116" s="233"/>
      <c r="L2116" s="233"/>
      <c r="M2116" s="233"/>
      <c r="N2116" s="2403"/>
      <c r="O2116" s="2403"/>
    </row>
    <row r="2117" spans="3:15">
      <c r="C2117" s="233"/>
      <c r="D2117" s="233"/>
      <c r="E2117" s="761"/>
      <c r="F2117" s="234"/>
      <c r="G2117" s="234"/>
      <c r="H2117" s="233"/>
      <c r="I2117" s="233"/>
      <c r="J2117" s="761"/>
      <c r="K2117" s="233"/>
      <c r="L2117" s="233"/>
      <c r="M2117" s="233"/>
      <c r="N2117" s="2403"/>
      <c r="O2117" s="2403"/>
    </row>
    <row r="2118" spans="3:15">
      <c r="C2118" s="233"/>
      <c r="D2118" s="233"/>
      <c r="E2118" s="761"/>
      <c r="F2118" s="234"/>
      <c r="G2118" s="234"/>
      <c r="H2118" s="233"/>
      <c r="I2118" s="233"/>
      <c r="J2118" s="761"/>
      <c r="K2118" s="233"/>
      <c r="L2118" s="233"/>
      <c r="M2118" s="233"/>
      <c r="N2118" s="2403"/>
      <c r="O2118" s="2403"/>
    </row>
    <row r="2119" spans="3:15">
      <c r="C2119" s="233"/>
      <c r="D2119" s="233"/>
      <c r="E2119" s="761"/>
      <c r="F2119" s="234"/>
      <c r="G2119" s="234"/>
      <c r="H2119" s="233"/>
      <c r="I2119" s="233"/>
      <c r="J2119" s="761"/>
      <c r="K2119" s="233"/>
      <c r="L2119" s="233"/>
      <c r="M2119" s="233"/>
      <c r="N2119" s="2403"/>
      <c r="O2119" s="2403"/>
    </row>
    <row r="2120" spans="3:15">
      <c r="C2120" s="233"/>
      <c r="D2120" s="233"/>
      <c r="E2120" s="761"/>
      <c r="F2120" s="234"/>
      <c r="G2120" s="234"/>
      <c r="H2120" s="233"/>
      <c r="I2120" s="233"/>
      <c r="J2120" s="761"/>
      <c r="K2120" s="233"/>
      <c r="L2120" s="233"/>
      <c r="M2120" s="233"/>
      <c r="N2120" s="2403"/>
      <c r="O2120" s="2403"/>
    </row>
    <row r="2121" spans="3:15">
      <c r="C2121" s="233"/>
      <c r="D2121" s="233"/>
      <c r="E2121" s="761"/>
      <c r="F2121" s="234"/>
      <c r="G2121" s="234"/>
      <c r="H2121" s="233"/>
      <c r="I2121" s="233"/>
      <c r="J2121" s="761"/>
      <c r="K2121" s="233"/>
      <c r="L2121" s="233"/>
      <c r="M2121" s="233"/>
      <c r="N2121" s="2403"/>
      <c r="O2121" s="2403"/>
    </row>
    <row r="2122" spans="3:15">
      <c r="C2122" s="233"/>
      <c r="D2122" s="233"/>
      <c r="E2122" s="761"/>
      <c r="F2122" s="234"/>
      <c r="G2122" s="234"/>
      <c r="H2122" s="233"/>
      <c r="I2122" s="233"/>
      <c r="J2122" s="761"/>
      <c r="K2122" s="233"/>
      <c r="L2122" s="233"/>
      <c r="M2122" s="233"/>
      <c r="N2122" s="2403"/>
      <c r="O2122" s="2403"/>
    </row>
    <row r="2123" spans="3:15">
      <c r="C2123" s="233"/>
      <c r="D2123" s="233"/>
      <c r="E2123" s="761"/>
      <c r="F2123" s="234"/>
      <c r="G2123" s="234"/>
      <c r="H2123" s="233"/>
      <c r="I2123" s="233"/>
      <c r="J2123" s="761"/>
      <c r="K2123" s="233"/>
      <c r="L2123" s="233"/>
      <c r="M2123" s="233"/>
      <c r="N2123" s="2403"/>
      <c r="O2123" s="2403"/>
    </row>
    <row r="2124" spans="3:15">
      <c r="C2124" s="233"/>
      <c r="D2124" s="233"/>
      <c r="E2124" s="761"/>
      <c r="F2124" s="234"/>
      <c r="G2124" s="234"/>
      <c r="H2124" s="233"/>
      <c r="I2124" s="233"/>
      <c r="J2124" s="761"/>
      <c r="K2124" s="233"/>
      <c r="L2124" s="233"/>
      <c r="M2124" s="233"/>
      <c r="N2124" s="2403"/>
      <c r="O2124" s="2403"/>
    </row>
    <row r="2125" spans="3:15">
      <c r="C2125" s="233"/>
      <c r="D2125" s="233"/>
      <c r="E2125" s="761"/>
      <c r="F2125" s="234"/>
      <c r="G2125" s="234"/>
      <c r="H2125" s="233"/>
      <c r="I2125" s="233"/>
      <c r="J2125" s="761"/>
      <c r="K2125" s="233"/>
      <c r="L2125" s="233"/>
      <c r="M2125" s="233"/>
      <c r="N2125" s="2403"/>
      <c r="O2125" s="2403"/>
    </row>
    <row r="2126" spans="3:15">
      <c r="C2126" s="233"/>
      <c r="D2126" s="233"/>
      <c r="E2126" s="761"/>
      <c r="F2126" s="234"/>
      <c r="G2126" s="234"/>
      <c r="H2126" s="233"/>
      <c r="I2126" s="233"/>
      <c r="J2126" s="761"/>
      <c r="K2126" s="233"/>
      <c r="L2126" s="233"/>
      <c r="M2126" s="233"/>
      <c r="N2126" s="2403"/>
      <c r="O2126" s="2403"/>
    </row>
    <row r="2127" spans="3:15">
      <c r="C2127" s="233"/>
      <c r="D2127" s="233"/>
      <c r="E2127" s="761"/>
      <c r="F2127" s="234"/>
      <c r="G2127" s="234"/>
      <c r="H2127" s="233"/>
      <c r="I2127" s="233"/>
      <c r="J2127" s="761"/>
      <c r="K2127" s="233"/>
      <c r="L2127" s="233"/>
      <c r="M2127" s="233"/>
      <c r="N2127" s="2403"/>
      <c r="O2127" s="2403"/>
    </row>
    <row r="2128" spans="3:15">
      <c r="C2128" s="233"/>
      <c r="D2128" s="233"/>
      <c r="E2128" s="761"/>
      <c r="F2128" s="234"/>
      <c r="G2128" s="234"/>
      <c r="H2128" s="233"/>
      <c r="I2128" s="233"/>
      <c r="J2128" s="761"/>
      <c r="K2128" s="233"/>
      <c r="L2128" s="233"/>
      <c r="M2128" s="233"/>
      <c r="N2128" s="2403"/>
      <c r="O2128" s="2403"/>
    </row>
    <row r="2129" spans="3:15">
      <c r="C2129" s="233"/>
      <c r="D2129" s="233"/>
      <c r="E2129" s="761"/>
      <c r="F2129" s="234"/>
      <c r="G2129" s="234"/>
      <c r="H2129" s="233"/>
      <c r="I2129" s="233"/>
      <c r="J2129" s="761"/>
      <c r="K2129" s="233"/>
      <c r="L2129" s="233"/>
      <c r="M2129" s="233"/>
      <c r="N2129" s="2403"/>
      <c r="O2129" s="2403"/>
    </row>
    <row r="2130" spans="3:15">
      <c r="C2130" s="233"/>
      <c r="D2130" s="233"/>
      <c r="E2130" s="761"/>
      <c r="F2130" s="234"/>
      <c r="G2130" s="234"/>
      <c r="H2130" s="233"/>
      <c r="I2130" s="233"/>
      <c r="J2130" s="761"/>
      <c r="K2130" s="233"/>
      <c r="L2130" s="233"/>
      <c r="M2130" s="233"/>
      <c r="N2130" s="2403"/>
      <c r="O2130" s="2403"/>
    </row>
    <row r="2131" spans="3:15">
      <c r="C2131" s="233"/>
      <c r="D2131" s="233"/>
      <c r="E2131" s="761"/>
      <c r="F2131" s="234"/>
      <c r="G2131" s="234"/>
      <c r="H2131" s="233"/>
      <c r="I2131" s="233"/>
      <c r="J2131" s="761"/>
      <c r="K2131" s="233"/>
      <c r="L2131" s="233"/>
      <c r="M2131" s="233"/>
      <c r="N2131" s="2403"/>
      <c r="O2131" s="2403"/>
    </row>
    <row r="2132" spans="3:15">
      <c r="C2132" s="233"/>
      <c r="D2132" s="233"/>
      <c r="E2132" s="761"/>
      <c r="F2132" s="234"/>
      <c r="G2132" s="234"/>
      <c r="H2132" s="233"/>
      <c r="I2132" s="233"/>
      <c r="J2132" s="761"/>
      <c r="K2132" s="233"/>
      <c r="L2132" s="233"/>
      <c r="M2132" s="233"/>
      <c r="N2132" s="2403"/>
      <c r="O2132" s="2403"/>
    </row>
    <row r="2133" spans="3:15">
      <c r="C2133" s="233"/>
      <c r="D2133" s="233"/>
      <c r="E2133" s="761"/>
      <c r="F2133" s="234"/>
      <c r="G2133" s="234"/>
      <c r="H2133" s="233"/>
      <c r="I2133" s="233"/>
      <c r="J2133" s="761"/>
      <c r="K2133" s="233"/>
      <c r="L2133" s="233"/>
      <c r="M2133" s="233"/>
      <c r="N2133" s="2403"/>
      <c r="O2133" s="2403"/>
    </row>
    <row r="2134" spans="3:15">
      <c r="C2134" s="233"/>
      <c r="D2134" s="233"/>
      <c r="E2134" s="761"/>
      <c r="F2134" s="234"/>
      <c r="G2134" s="234"/>
      <c r="H2134" s="233"/>
      <c r="I2134" s="233"/>
      <c r="J2134" s="761"/>
      <c r="K2134" s="233"/>
      <c r="L2134" s="233"/>
      <c r="M2134" s="233"/>
      <c r="N2134" s="2403"/>
      <c r="O2134" s="2403"/>
    </row>
    <row r="2135" spans="3:15">
      <c r="C2135" s="233"/>
      <c r="D2135" s="233"/>
      <c r="E2135" s="761"/>
      <c r="F2135" s="234"/>
      <c r="G2135" s="234"/>
      <c r="H2135" s="233"/>
      <c r="I2135" s="233"/>
      <c r="J2135" s="761"/>
      <c r="K2135" s="233"/>
      <c r="L2135" s="233"/>
      <c r="M2135" s="233"/>
      <c r="N2135" s="2403"/>
      <c r="O2135" s="2403"/>
    </row>
    <row r="2136" spans="3:15">
      <c r="C2136" s="233"/>
      <c r="D2136" s="233"/>
      <c r="E2136" s="761"/>
      <c r="F2136" s="234"/>
      <c r="G2136" s="234"/>
      <c r="H2136" s="233"/>
      <c r="I2136" s="233"/>
      <c r="J2136" s="761"/>
      <c r="K2136" s="233"/>
      <c r="L2136" s="233"/>
      <c r="M2136" s="233"/>
      <c r="N2136" s="2403"/>
      <c r="O2136" s="2403"/>
    </row>
    <row r="2137" spans="3:15">
      <c r="C2137" s="233"/>
      <c r="D2137" s="233"/>
      <c r="E2137" s="761"/>
      <c r="F2137" s="234"/>
      <c r="G2137" s="234"/>
      <c r="H2137" s="233"/>
      <c r="I2137" s="233"/>
      <c r="J2137" s="761"/>
      <c r="K2137" s="233"/>
      <c r="L2137" s="233"/>
      <c r="M2137" s="233"/>
      <c r="N2137" s="2403"/>
      <c r="O2137" s="2403"/>
    </row>
    <row r="2138" spans="3:15">
      <c r="C2138" s="233"/>
      <c r="D2138" s="233"/>
      <c r="E2138" s="761"/>
      <c r="F2138" s="234"/>
      <c r="G2138" s="234"/>
      <c r="H2138" s="233"/>
      <c r="I2138" s="233"/>
      <c r="J2138" s="761"/>
      <c r="K2138" s="233"/>
      <c r="L2138" s="233"/>
      <c r="M2138" s="233"/>
      <c r="N2138" s="2403"/>
      <c r="O2138" s="2403"/>
    </row>
    <row r="2139" spans="3:15">
      <c r="C2139" s="233"/>
      <c r="D2139" s="233"/>
      <c r="E2139" s="761"/>
      <c r="F2139" s="234"/>
      <c r="G2139" s="234"/>
      <c r="H2139" s="233"/>
      <c r="I2139" s="233"/>
      <c r="J2139" s="761"/>
      <c r="K2139" s="233"/>
      <c r="L2139" s="233"/>
      <c r="M2139" s="233"/>
      <c r="N2139" s="2403"/>
      <c r="O2139" s="2403"/>
    </row>
    <row r="2140" spans="3:15">
      <c r="C2140" s="233"/>
      <c r="D2140" s="233"/>
      <c r="E2140" s="761"/>
      <c r="F2140" s="234"/>
      <c r="G2140" s="234"/>
      <c r="H2140" s="233"/>
      <c r="I2140" s="233"/>
      <c r="J2140" s="761"/>
      <c r="K2140" s="233"/>
      <c r="L2140" s="233"/>
      <c r="M2140" s="233"/>
      <c r="N2140" s="2403"/>
      <c r="O2140" s="2403"/>
    </row>
    <row r="2141" spans="3:15">
      <c r="C2141" s="233"/>
      <c r="D2141" s="233"/>
      <c r="E2141" s="761"/>
      <c r="F2141" s="234"/>
      <c r="G2141" s="234"/>
      <c r="H2141" s="233"/>
      <c r="I2141" s="233"/>
      <c r="J2141" s="761"/>
      <c r="K2141" s="233"/>
      <c r="L2141" s="233"/>
      <c r="M2141" s="233"/>
      <c r="N2141" s="2403"/>
      <c r="O2141" s="2403"/>
    </row>
    <row r="2142" spans="3:15">
      <c r="C2142" s="233"/>
      <c r="D2142" s="233"/>
      <c r="E2142" s="761"/>
      <c r="F2142" s="234"/>
      <c r="G2142" s="234"/>
      <c r="H2142" s="233"/>
      <c r="I2142" s="233"/>
      <c r="J2142" s="761"/>
      <c r="K2142" s="233"/>
      <c r="L2142" s="233"/>
      <c r="M2142" s="233"/>
      <c r="N2142" s="2403"/>
      <c r="O2142" s="2403"/>
    </row>
    <row r="2143" spans="3:15">
      <c r="C2143" s="233"/>
      <c r="D2143" s="233"/>
      <c r="E2143" s="761"/>
      <c r="F2143" s="234"/>
      <c r="G2143" s="234"/>
      <c r="H2143" s="233"/>
      <c r="I2143" s="233"/>
      <c r="J2143" s="761"/>
      <c r="K2143" s="233"/>
      <c r="L2143" s="233"/>
      <c r="M2143" s="233"/>
      <c r="N2143" s="2403"/>
      <c r="O2143" s="2403"/>
    </row>
    <row r="2144" spans="3:15">
      <c r="C2144" s="233"/>
      <c r="D2144" s="233"/>
      <c r="E2144" s="761"/>
      <c r="F2144" s="234"/>
      <c r="G2144" s="234"/>
      <c r="H2144" s="233"/>
      <c r="I2144" s="233"/>
      <c r="J2144" s="761"/>
      <c r="K2144" s="233"/>
      <c r="L2144" s="233"/>
      <c r="M2144" s="233"/>
      <c r="N2144" s="2403"/>
      <c r="O2144" s="2403"/>
    </row>
    <row r="2145" spans="3:15">
      <c r="C2145" s="233"/>
      <c r="D2145" s="233"/>
      <c r="E2145" s="761"/>
      <c r="F2145" s="234"/>
      <c r="G2145" s="234"/>
      <c r="H2145" s="233"/>
      <c r="I2145" s="233"/>
      <c r="J2145" s="761"/>
      <c r="K2145" s="233"/>
      <c r="L2145" s="233"/>
      <c r="M2145" s="233"/>
      <c r="N2145" s="2403"/>
      <c r="O2145" s="2403"/>
    </row>
    <row r="2146" spans="3:15">
      <c r="C2146" s="233"/>
      <c r="D2146" s="233"/>
      <c r="E2146" s="761"/>
      <c r="F2146" s="234"/>
      <c r="G2146" s="234"/>
      <c r="H2146" s="233"/>
      <c r="I2146" s="233"/>
      <c r="J2146" s="761"/>
      <c r="K2146" s="233"/>
      <c r="L2146" s="233"/>
      <c r="M2146" s="233"/>
      <c r="N2146" s="2403"/>
      <c r="O2146" s="2403"/>
    </row>
    <row r="2147" spans="3:15">
      <c r="C2147" s="233"/>
      <c r="D2147" s="233"/>
      <c r="E2147" s="761"/>
      <c r="F2147" s="234"/>
      <c r="G2147" s="234"/>
      <c r="H2147" s="233"/>
      <c r="I2147" s="233"/>
      <c r="J2147" s="761"/>
      <c r="K2147" s="233"/>
      <c r="L2147" s="233"/>
      <c r="M2147" s="233"/>
      <c r="N2147" s="2403"/>
      <c r="O2147" s="2403"/>
    </row>
    <row r="2148" spans="3:15">
      <c r="C2148" s="233"/>
      <c r="D2148" s="233"/>
      <c r="E2148" s="761"/>
      <c r="F2148" s="234"/>
      <c r="G2148" s="234"/>
      <c r="H2148" s="233"/>
      <c r="I2148" s="233"/>
      <c r="J2148" s="761"/>
      <c r="K2148" s="233"/>
      <c r="L2148" s="233"/>
      <c r="M2148" s="233"/>
      <c r="N2148" s="2403"/>
      <c r="O2148" s="2403"/>
    </row>
    <row r="2149" spans="3:15">
      <c r="C2149" s="233"/>
      <c r="D2149" s="233"/>
      <c r="E2149" s="761"/>
      <c r="F2149" s="234"/>
      <c r="G2149" s="234"/>
      <c r="H2149" s="233"/>
      <c r="I2149" s="233"/>
      <c r="J2149" s="761"/>
      <c r="K2149" s="233"/>
      <c r="L2149" s="233"/>
      <c r="M2149" s="233"/>
      <c r="N2149" s="2403"/>
      <c r="O2149" s="2403"/>
    </row>
    <row r="2150" spans="3:15">
      <c r="C2150" s="233"/>
      <c r="D2150" s="233"/>
      <c r="E2150" s="761"/>
      <c r="F2150" s="234"/>
      <c r="G2150" s="234"/>
      <c r="H2150" s="233"/>
      <c r="I2150" s="233"/>
      <c r="J2150" s="761"/>
      <c r="K2150" s="233"/>
      <c r="L2150" s="233"/>
      <c r="M2150" s="233"/>
      <c r="N2150" s="2403"/>
      <c r="O2150" s="2403"/>
    </row>
    <row r="2151" spans="3:15">
      <c r="C2151" s="233"/>
      <c r="D2151" s="233"/>
      <c r="E2151" s="761"/>
      <c r="F2151" s="234"/>
      <c r="G2151" s="234"/>
      <c r="H2151" s="233"/>
      <c r="I2151" s="233"/>
      <c r="J2151" s="761"/>
      <c r="K2151" s="233"/>
      <c r="L2151" s="233"/>
      <c r="M2151" s="233"/>
      <c r="N2151" s="2403"/>
      <c r="O2151" s="2403"/>
    </row>
    <row r="2152" spans="3:15">
      <c r="C2152" s="233"/>
      <c r="D2152" s="233"/>
      <c r="E2152" s="761"/>
      <c r="F2152" s="234"/>
      <c r="G2152" s="234"/>
      <c r="H2152" s="233"/>
      <c r="I2152" s="233"/>
      <c r="J2152" s="761"/>
      <c r="K2152" s="233"/>
      <c r="L2152" s="233"/>
      <c r="M2152" s="233"/>
      <c r="N2152" s="2403"/>
      <c r="O2152" s="2403"/>
    </row>
    <row r="2153" spans="3:15">
      <c r="C2153" s="233"/>
      <c r="D2153" s="233"/>
      <c r="E2153" s="761"/>
      <c r="F2153" s="234"/>
      <c r="G2153" s="234"/>
      <c r="H2153" s="233"/>
      <c r="I2153" s="233"/>
      <c r="J2153" s="761"/>
      <c r="K2153" s="233"/>
      <c r="L2153" s="233"/>
      <c r="M2153" s="233"/>
      <c r="N2153" s="2403"/>
      <c r="O2153" s="2403"/>
    </row>
    <row r="2154" spans="3:15">
      <c r="C2154" s="233"/>
      <c r="D2154" s="233"/>
      <c r="E2154" s="761"/>
      <c r="F2154" s="234"/>
      <c r="G2154" s="234"/>
      <c r="H2154" s="233"/>
      <c r="I2154" s="233"/>
      <c r="J2154" s="761"/>
      <c r="K2154" s="233"/>
      <c r="L2154" s="233"/>
      <c r="M2154" s="233"/>
      <c r="N2154" s="2403"/>
      <c r="O2154" s="2403"/>
    </row>
    <row r="2155" spans="3:15">
      <c r="C2155" s="233"/>
      <c r="D2155" s="233"/>
      <c r="E2155" s="761"/>
      <c r="F2155" s="234"/>
      <c r="G2155" s="234"/>
      <c r="H2155" s="233"/>
      <c r="I2155" s="233"/>
      <c r="J2155" s="761"/>
      <c r="K2155" s="233"/>
      <c r="L2155" s="233"/>
      <c r="M2155" s="233"/>
      <c r="N2155" s="2403"/>
      <c r="O2155" s="2403"/>
    </row>
    <row r="2156" spans="3:15">
      <c r="C2156" s="233"/>
      <c r="D2156" s="233"/>
      <c r="E2156" s="761"/>
      <c r="F2156" s="234"/>
      <c r="G2156" s="234"/>
      <c r="H2156" s="233"/>
      <c r="I2156" s="233"/>
      <c r="J2156" s="761"/>
      <c r="K2156" s="233"/>
      <c r="L2156" s="233"/>
      <c r="M2156" s="233"/>
      <c r="N2156" s="2403"/>
      <c r="O2156" s="2403"/>
    </row>
    <row r="2157" spans="3:15">
      <c r="C2157" s="233"/>
      <c r="D2157" s="233"/>
      <c r="E2157" s="761"/>
      <c r="F2157" s="234"/>
      <c r="G2157" s="234"/>
      <c r="H2157" s="233"/>
      <c r="I2157" s="233"/>
      <c r="J2157" s="761"/>
      <c r="K2157" s="233"/>
      <c r="L2157" s="233"/>
      <c r="M2157" s="233"/>
      <c r="N2157" s="2403"/>
      <c r="O2157" s="2403"/>
    </row>
    <row r="2158" spans="3:15">
      <c r="C2158" s="233"/>
      <c r="D2158" s="233"/>
      <c r="E2158" s="761"/>
      <c r="F2158" s="234"/>
      <c r="G2158" s="234"/>
      <c r="H2158" s="233"/>
      <c r="I2158" s="233"/>
      <c r="J2158" s="761"/>
      <c r="K2158" s="233"/>
      <c r="L2158" s="233"/>
      <c r="M2158" s="233"/>
      <c r="N2158" s="2403"/>
      <c r="O2158" s="2403"/>
    </row>
    <row r="2159" spans="3:15">
      <c r="C2159" s="233"/>
      <c r="D2159" s="233"/>
      <c r="E2159" s="761"/>
      <c r="F2159" s="234"/>
      <c r="G2159" s="234"/>
      <c r="H2159" s="233"/>
      <c r="I2159" s="233"/>
      <c r="J2159" s="761"/>
      <c r="K2159" s="233"/>
      <c r="L2159" s="233"/>
      <c r="M2159" s="233"/>
      <c r="N2159" s="2403"/>
      <c r="O2159" s="2403"/>
    </row>
    <row r="2160" spans="3:15">
      <c r="C2160" s="233"/>
      <c r="D2160" s="233"/>
      <c r="E2160" s="761"/>
      <c r="F2160" s="234"/>
      <c r="G2160" s="234"/>
      <c r="H2160" s="233"/>
      <c r="I2160" s="233"/>
      <c r="J2160" s="761"/>
      <c r="K2160" s="233"/>
      <c r="L2160" s="233"/>
      <c r="M2160" s="233"/>
      <c r="N2160" s="2403"/>
      <c r="O2160" s="2403"/>
    </row>
    <row r="2161" spans="3:15">
      <c r="C2161" s="233"/>
      <c r="D2161" s="233"/>
      <c r="E2161" s="761"/>
      <c r="F2161" s="234"/>
      <c r="G2161" s="234"/>
      <c r="H2161" s="233"/>
      <c r="I2161" s="233"/>
      <c r="J2161" s="761"/>
      <c r="K2161" s="233"/>
      <c r="L2161" s="233"/>
      <c r="M2161" s="233"/>
      <c r="N2161" s="2403"/>
      <c r="O2161" s="2403"/>
    </row>
    <row r="2162" spans="3:15">
      <c r="C2162" s="233"/>
      <c r="D2162" s="233"/>
      <c r="E2162" s="761"/>
      <c r="F2162" s="234"/>
      <c r="G2162" s="234"/>
      <c r="H2162" s="233"/>
      <c r="I2162" s="233"/>
      <c r="J2162" s="761"/>
      <c r="K2162" s="233"/>
      <c r="L2162" s="233"/>
      <c r="M2162" s="233"/>
      <c r="N2162" s="2403"/>
      <c r="O2162" s="2403"/>
    </row>
    <row r="2163" spans="3:15">
      <c r="C2163" s="233"/>
      <c r="D2163" s="233"/>
      <c r="E2163" s="761"/>
      <c r="F2163" s="234"/>
      <c r="G2163" s="234"/>
      <c r="H2163" s="233"/>
      <c r="I2163" s="233"/>
      <c r="J2163" s="761"/>
      <c r="K2163" s="233"/>
      <c r="L2163" s="233"/>
      <c r="M2163" s="233"/>
      <c r="N2163" s="2403"/>
      <c r="O2163" s="2403"/>
    </row>
    <row r="2164" spans="3:15">
      <c r="C2164" s="233"/>
      <c r="D2164" s="233"/>
      <c r="E2164" s="761"/>
      <c r="F2164" s="234"/>
      <c r="G2164" s="234"/>
      <c r="H2164" s="233"/>
      <c r="I2164" s="233"/>
      <c r="J2164" s="761"/>
      <c r="K2164" s="233"/>
      <c r="L2164" s="233"/>
      <c r="M2164" s="233"/>
      <c r="N2164" s="2403"/>
      <c r="O2164" s="2403"/>
    </row>
    <row r="2165" spans="3:15">
      <c r="C2165" s="233"/>
      <c r="D2165" s="233"/>
      <c r="E2165" s="761"/>
      <c r="F2165" s="234"/>
      <c r="G2165" s="234"/>
      <c r="H2165" s="233"/>
      <c r="I2165" s="233"/>
      <c r="J2165" s="761"/>
      <c r="K2165" s="233"/>
      <c r="L2165" s="233"/>
      <c r="M2165" s="233"/>
      <c r="N2165" s="2403"/>
      <c r="O2165" s="2403"/>
    </row>
    <row r="2166" spans="3:15">
      <c r="C2166" s="233"/>
      <c r="D2166" s="233"/>
      <c r="E2166" s="761"/>
      <c r="F2166" s="234"/>
      <c r="G2166" s="234"/>
      <c r="H2166" s="233"/>
      <c r="I2166" s="233"/>
      <c r="J2166" s="761"/>
      <c r="K2166" s="233"/>
      <c r="L2166" s="233"/>
      <c r="M2166" s="233"/>
      <c r="N2166" s="2403"/>
      <c r="O2166" s="2403"/>
    </row>
    <row r="2167" spans="3:15">
      <c r="C2167" s="233"/>
      <c r="D2167" s="233"/>
      <c r="E2167" s="761"/>
      <c r="F2167" s="234"/>
      <c r="G2167" s="234"/>
      <c r="H2167" s="233"/>
      <c r="I2167" s="233"/>
      <c r="J2167" s="761"/>
      <c r="K2167" s="233"/>
      <c r="L2167" s="233"/>
      <c r="M2167" s="233"/>
      <c r="N2167" s="2403"/>
      <c r="O2167" s="2403"/>
    </row>
    <row r="2168" spans="3:15">
      <c r="C2168" s="233"/>
      <c r="D2168" s="233"/>
      <c r="E2168" s="761"/>
      <c r="F2168" s="234"/>
      <c r="G2168" s="234"/>
      <c r="H2168" s="233"/>
      <c r="I2168" s="233"/>
      <c r="J2168" s="761"/>
      <c r="K2168" s="233"/>
      <c r="L2168" s="233"/>
      <c r="M2168" s="233"/>
      <c r="N2168" s="2403"/>
      <c r="O2168" s="2403"/>
    </row>
    <row r="2169" spans="3:15">
      <c r="C2169" s="233"/>
      <c r="D2169" s="233"/>
      <c r="E2169" s="761"/>
      <c r="F2169" s="234"/>
      <c r="G2169" s="234"/>
      <c r="H2169" s="233"/>
      <c r="I2169" s="233"/>
      <c r="J2169" s="761"/>
      <c r="K2169" s="233"/>
      <c r="L2169" s="233"/>
      <c r="M2169" s="233"/>
      <c r="N2169" s="2403"/>
      <c r="O2169" s="2403"/>
    </row>
    <row r="2170" spans="3:15">
      <c r="C2170" s="233"/>
      <c r="D2170" s="233"/>
      <c r="E2170" s="761"/>
      <c r="F2170" s="234"/>
      <c r="G2170" s="234"/>
      <c r="H2170" s="233"/>
      <c r="I2170" s="233"/>
      <c r="J2170" s="761"/>
      <c r="K2170" s="233"/>
      <c r="L2170" s="233"/>
      <c r="M2170" s="233"/>
      <c r="N2170" s="2403"/>
      <c r="O2170" s="2403"/>
    </row>
    <row r="2171" spans="3:15">
      <c r="C2171" s="233"/>
      <c r="D2171" s="233"/>
      <c r="E2171" s="761"/>
      <c r="F2171" s="234"/>
      <c r="G2171" s="234"/>
      <c r="H2171" s="233"/>
      <c r="I2171" s="233"/>
      <c r="J2171" s="761"/>
      <c r="K2171" s="233"/>
      <c r="L2171" s="233"/>
      <c r="M2171" s="233"/>
      <c r="N2171" s="2403"/>
      <c r="O2171" s="2403"/>
    </row>
    <row r="2172" spans="3:15">
      <c r="C2172" s="233"/>
      <c r="D2172" s="233"/>
      <c r="E2172" s="761"/>
      <c r="F2172" s="234"/>
      <c r="G2172" s="234"/>
      <c r="H2172" s="233"/>
      <c r="I2172" s="233"/>
      <c r="J2172" s="761"/>
      <c r="K2172" s="233"/>
      <c r="L2172" s="233"/>
      <c r="M2172" s="233"/>
      <c r="N2172" s="2403"/>
      <c r="O2172" s="2403"/>
    </row>
    <row r="2173" spans="3:15">
      <c r="C2173" s="233"/>
      <c r="D2173" s="233"/>
      <c r="E2173" s="761"/>
      <c r="F2173" s="234"/>
      <c r="G2173" s="234"/>
      <c r="H2173" s="233"/>
      <c r="I2173" s="233"/>
      <c r="J2173" s="761"/>
      <c r="K2173" s="233"/>
      <c r="L2173" s="233"/>
      <c r="M2173" s="233"/>
      <c r="N2173" s="2403"/>
      <c r="O2173" s="2403"/>
    </row>
    <row r="2174" spans="3:15">
      <c r="C2174" s="233"/>
      <c r="D2174" s="233"/>
      <c r="E2174" s="761"/>
      <c r="F2174" s="234"/>
      <c r="G2174" s="234"/>
      <c r="H2174" s="233"/>
      <c r="I2174" s="233"/>
      <c r="J2174" s="761"/>
      <c r="K2174" s="233"/>
      <c r="L2174" s="233"/>
      <c r="M2174" s="233"/>
      <c r="N2174" s="2403"/>
      <c r="O2174" s="2403"/>
    </row>
    <row r="2175" spans="3:15">
      <c r="C2175" s="233"/>
      <c r="D2175" s="233"/>
      <c r="E2175" s="761"/>
      <c r="F2175" s="234"/>
      <c r="G2175" s="234"/>
      <c r="H2175" s="233"/>
      <c r="I2175" s="233"/>
      <c r="J2175" s="761"/>
      <c r="K2175" s="233"/>
      <c r="L2175" s="233"/>
      <c r="M2175" s="233"/>
      <c r="N2175" s="2403"/>
      <c r="O2175" s="2403"/>
    </row>
    <row r="2176" spans="3:15">
      <c r="C2176" s="233"/>
      <c r="D2176" s="233"/>
      <c r="E2176" s="761"/>
      <c r="F2176" s="234"/>
      <c r="G2176" s="234"/>
      <c r="H2176" s="233"/>
      <c r="I2176" s="233"/>
      <c r="J2176" s="761"/>
      <c r="K2176" s="233"/>
      <c r="L2176" s="233"/>
      <c r="M2176" s="233"/>
      <c r="N2176" s="2403"/>
      <c r="O2176" s="2403"/>
    </row>
    <row r="2177" spans="3:15">
      <c r="C2177" s="233"/>
      <c r="D2177" s="233"/>
      <c r="E2177" s="761"/>
      <c r="F2177" s="234"/>
      <c r="G2177" s="234"/>
      <c r="H2177" s="233"/>
      <c r="I2177" s="233"/>
      <c r="J2177" s="761"/>
      <c r="K2177" s="233"/>
      <c r="L2177" s="233"/>
      <c r="M2177" s="233"/>
      <c r="N2177" s="2403"/>
      <c r="O2177" s="2403"/>
    </row>
    <row r="2178" spans="3:15">
      <c r="C2178" s="233"/>
      <c r="D2178" s="233"/>
      <c r="E2178" s="761"/>
      <c r="F2178" s="234"/>
      <c r="G2178" s="234"/>
      <c r="H2178" s="233"/>
      <c r="I2178" s="233"/>
      <c r="J2178" s="761"/>
      <c r="K2178" s="233"/>
      <c r="L2178" s="233"/>
      <c r="M2178" s="233"/>
      <c r="N2178" s="2403"/>
      <c r="O2178" s="2403"/>
    </row>
    <row r="2179" spans="3:15">
      <c r="C2179" s="233"/>
      <c r="D2179" s="233"/>
      <c r="E2179" s="761"/>
      <c r="F2179" s="234"/>
      <c r="G2179" s="234"/>
      <c r="H2179" s="233"/>
      <c r="I2179" s="233"/>
      <c r="J2179" s="761"/>
      <c r="K2179" s="233"/>
      <c r="L2179" s="233"/>
      <c r="M2179" s="233"/>
      <c r="N2179" s="2403"/>
      <c r="O2179" s="2403"/>
    </row>
    <row r="2180" spans="3:15">
      <c r="C2180" s="233"/>
      <c r="D2180" s="233"/>
      <c r="E2180" s="761"/>
      <c r="F2180" s="234"/>
      <c r="G2180" s="234"/>
      <c r="H2180" s="233"/>
      <c r="I2180" s="233"/>
      <c r="J2180" s="761"/>
      <c r="K2180" s="233"/>
      <c r="L2180" s="233"/>
      <c r="M2180" s="233"/>
      <c r="N2180" s="2403"/>
      <c r="O2180" s="2403"/>
    </row>
    <row r="2181" spans="3:15">
      <c r="C2181" s="233"/>
      <c r="D2181" s="233"/>
      <c r="E2181" s="761"/>
      <c r="F2181" s="234"/>
      <c r="G2181" s="234"/>
      <c r="H2181" s="233"/>
      <c r="I2181" s="233"/>
      <c r="J2181" s="761"/>
      <c r="K2181" s="233"/>
      <c r="L2181" s="233"/>
      <c r="M2181" s="233"/>
      <c r="N2181" s="2403"/>
      <c r="O2181" s="2403"/>
    </row>
    <row r="2182" spans="3:15">
      <c r="C2182" s="233"/>
      <c r="D2182" s="233"/>
      <c r="E2182" s="761"/>
      <c r="F2182" s="234"/>
      <c r="G2182" s="234"/>
      <c r="H2182" s="233"/>
      <c r="I2182" s="233"/>
      <c r="J2182" s="761"/>
      <c r="K2182" s="233"/>
      <c r="L2182" s="233"/>
      <c r="M2182" s="233"/>
      <c r="N2182" s="2403"/>
      <c r="O2182" s="2403"/>
    </row>
    <row r="2183" spans="3:15">
      <c r="C2183" s="233"/>
      <c r="D2183" s="233"/>
      <c r="E2183" s="761"/>
      <c r="F2183" s="234"/>
      <c r="G2183" s="234"/>
      <c r="H2183" s="233"/>
      <c r="I2183" s="233"/>
      <c r="J2183" s="761"/>
      <c r="K2183" s="233"/>
      <c r="L2183" s="233"/>
      <c r="M2183" s="233"/>
      <c r="N2183" s="2403"/>
      <c r="O2183" s="2403"/>
    </row>
    <row r="2184" spans="3:15">
      <c r="C2184" s="233"/>
      <c r="D2184" s="233"/>
      <c r="E2184" s="761"/>
      <c r="F2184" s="234"/>
      <c r="G2184" s="234"/>
      <c r="H2184" s="233"/>
      <c r="I2184" s="233"/>
      <c r="J2184" s="761"/>
      <c r="K2184" s="233"/>
      <c r="L2184" s="233"/>
      <c r="M2184" s="233"/>
      <c r="N2184" s="2403"/>
      <c r="O2184" s="2403"/>
    </row>
    <row r="2185" spans="3:15">
      <c r="C2185" s="233"/>
      <c r="D2185" s="233"/>
      <c r="E2185" s="761"/>
      <c r="F2185" s="234"/>
      <c r="G2185" s="234"/>
      <c r="H2185" s="233"/>
      <c r="I2185" s="233"/>
      <c r="J2185" s="761"/>
      <c r="K2185" s="233"/>
      <c r="L2185" s="233"/>
      <c r="M2185" s="233"/>
      <c r="N2185" s="2403"/>
      <c r="O2185" s="2403"/>
    </row>
    <row r="2186" spans="3:15">
      <c r="C2186" s="233"/>
      <c r="D2186" s="233"/>
      <c r="E2186" s="761"/>
      <c r="F2186" s="234"/>
      <c r="G2186" s="234"/>
      <c r="H2186" s="233"/>
      <c r="I2186" s="233"/>
      <c r="J2186" s="761"/>
      <c r="K2186" s="233"/>
      <c r="L2186" s="233"/>
      <c r="M2186" s="233"/>
      <c r="N2186" s="2403"/>
      <c r="O2186" s="2403"/>
    </row>
    <row r="2187" spans="3:15">
      <c r="C2187" s="233"/>
      <c r="D2187" s="233"/>
      <c r="E2187" s="761"/>
      <c r="F2187" s="234"/>
      <c r="G2187" s="234"/>
      <c r="H2187" s="233"/>
      <c r="I2187" s="233"/>
      <c r="J2187" s="761"/>
      <c r="K2187" s="233"/>
      <c r="L2187" s="233"/>
      <c r="M2187" s="233"/>
      <c r="N2187" s="2403"/>
      <c r="O2187" s="2403"/>
    </row>
    <row r="2188" spans="3:15">
      <c r="C2188" s="233"/>
      <c r="D2188" s="233"/>
      <c r="E2188" s="761"/>
      <c r="F2188" s="234"/>
      <c r="G2188" s="234"/>
      <c r="H2188" s="233"/>
      <c r="I2188" s="233"/>
      <c r="J2188" s="761"/>
      <c r="K2188" s="233"/>
      <c r="L2188" s="233"/>
      <c r="M2188" s="233"/>
      <c r="N2188" s="2403"/>
      <c r="O2188" s="2403"/>
    </row>
    <row r="2189" spans="3:15">
      <c r="C2189" s="233"/>
      <c r="D2189" s="233"/>
      <c r="E2189" s="761"/>
      <c r="F2189" s="234"/>
      <c r="G2189" s="234"/>
      <c r="H2189" s="233"/>
      <c r="I2189" s="233"/>
      <c r="J2189" s="761"/>
      <c r="K2189" s="233"/>
      <c r="L2189" s="233"/>
      <c r="M2189" s="233"/>
      <c r="N2189" s="2403"/>
      <c r="O2189" s="2403"/>
    </row>
    <row r="2190" spans="3:15">
      <c r="C2190" s="233"/>
      <c r="D2190" s="233"/>
      <c r="E2190" s="761"/>
      <c r="F2190" s="234"/>
      <c r="G2190" s="234"/>
      <c r="H2190" s="233"/>
      <c r="I2190" s="233"/>
      <c r="J2190" s="761"/>
      <c r="K2190" s="233"/>
      <c r="L2190" s="233"/>
      <c r="M2190" s="233"/>
      <c r="N2190" s="2403"/>
      <c r="O2190" s="2403"/>
    </row>
    <row r="2191" spans="3:15">
      <c r="C2191" s="233"/>
      <c r="D2191" s="233"/>
      <c r="E2191" s="761"/>
      <c r="F2191" s="234"/>
      <c r="G2191" s="234"/>
      <c r="H2191" s="233"/>
      <c r="I2191" s="233"/>
      <c r="J2191" s="761"/>
      <c r="K2191" s="233"/>
      <c r="L2191" s="233"/>
      <c r="M2191" s="233"/>
      <c r="N2191" s="2403"/>
      <c r="O2191" s="2403"/>
    </row>
    <row r="2192" spans="3:15">
      <c r="C2192" s="233"/>
      <c r="D2192" s="233"/>
      <c r="E2192" s="761"/>
      <c r="F2192" s="234"/>
      <c r="G2192" s="234"/>
      <c r="H2192" s="233"/>
      <c r="I2192" s="233"/>
      <c r="J2192" s="761"/>
      <c r="K2192" s="233"/>
      <c r="L2192" s="233"/>
      <c r="M2192" s="233"/>
      <c r="N2192" s="2403"/>
      <c r="O2192" s="2403"/>
    </row>
    <row r="2193" spans="3:15">
      <c r="C2193" s="233"/>
      <c r="D2193" s="233"/>
      <c r="E2193" s="761"/>
      <c r="F2193" s="234"/>
      <c r="G2193" s="234"/>
      <c r="H2193" s="233"/>
      <c r="I2193" s="233"/>
      <c r="J2193" s="761"/>
      <c r="K2193" s="233"/>
      <c r="L2193" s="233"/>
      <c r="M2193" s="233"/>
      <c r="N2193" s="2403"/>
      <c r="O2193" s="2403"/>
    </row>
    <row r="2194" spans="3:15">
      <c r="C2194" s="233"/>
      <c r="D2194" s="233"/>
      <c r="E2194" s="761"/>
      <c r="F2194" s="234"/>
      <c r="G2194" s="234"/>
      <c r="H2194" s="233"/>
      <c r="I2194" s="233"/>
      <c r="J2194" s="761"/>
      <c r="K2194" s="233"/>
      <c r="L2194" s="233"/>
      <c r="M2194" s="233"/>
      <c r="N2194" s="2403"/>
      <c r="O2194" s="2403"/>
    </row>
    <row r="2195" spans="3:15">
      <c r="C2195" s="233"/>
      <c r="D2195" s="233"/>
      <c r="E2195" s="761"/>
      <c r="F2195" s="234"/>
      <c r="G2195" s="234"/>
      <c r="H2195" s="233"/>
      <c r="I2195" s="233"/>
      <c r="J2195" s="761"/>
      <c r="K2195" s="233"/>
      <c r="L2195" s="233"/>
      <c r="M2195" s="233"/>
      <c r="N2195" s="2403"/>
      <c r="O2195" s="2403"/>
    </row>
    <row r="2196" spans="3:15">
      <c r="C2196" s="233"/>
      <c r="D2196" s="233"/>
      <c r="E2196" s="761"/>
      <c r="F2196" s="234"/>
      <c r="G2196" s="234"/>
      <c r="H2196" s="233"/>
      <c r="I2196" s="233"/>
      <c r="J2196" s="761"/>
      <c r="K2196" s="233"/>
      <c r="L2196" s="233"/>
      <c r="M2196" s="233"/>
      <c r="N2196" s="2403"/>
      <c r="O2196" s="2403"/>
    </row>
    <row r="2197" spans="3:15">
      <c r="C2197" s="233"/>
      <c r="D2197" s="233"/>
      <c r="E2197" s="761"/>
      <c r="F2197" s="234"/>
      <c r="G2197" s="234"/>
      <c r="H2197" s="233"/>
      <c r="I2197" s="233"/>
      <c r="J2197" s="761"/>
      <c r="K2197" s="233"/>
      <c r="L2197" s="233"/>
      <c r="M2197" s="233"/>
      <c r="N2197" s="2403"/>
      <c r="O2197" s="2403"/>
    </row>
    <row r="2198" spans="3:15">
      <c r="C2198" s="233"/>
      <c r="D2198" s="233"/>
      <c r="E2198" s="761"/>
      <c r="F2198" s="234"/>
      <c r="G2198" s="234"/>
      <c r="H2198" s="233"/>
      <c r="I2198" s="233"/>
      <c r="J2198" s="761"/>
      <c r="K2198" s="233"/>
      <c r="L2198" s="233"/>
      <c r="M2198" s="233"/>
      <c r="N2198" s="2403"/>
      <c r="O2198" s="2403"/>
    </row>
    <row r="2199" spans="3:15">
      <c r="C2199" s="233"/>
      <c r="D2199" s="233"/>
      <c r="E2199" s="761"/>
      <c r="F2199" s="234"/>
      <c r="G2199" s="234"/>
      <c r="H2199" s="233"/>
      <c r="I2199" s="233"/>
      <c r="J2199" s="761"/>
      <c r="K2199" s="233"/>
      <c r="L2199" s="233"/>
      <c r="M2199" s="233"/>
      <c r="N2199" s="2403"/>
      <c r="O2199" s="2403"/>
    </row>
    <row r="2200" spans="3:15">
      <c r="C2200" s="233"/>
      <c r="D2200" s="233"/>
      <c r="E2200" s="761"/>
      <c r="F2200" s="234"/>
      <c r="G2200" s="234"/>
      <c r="H2200" s="233"/>
      <c r="I2200" s="233"/>
      <c r="J2200" s="761"/>
      <c r="K2200" s="233"/>
      <c r="L2200" s="233"/>
      <c r="M2200" s="233"/>
      <c r="N2200" s="2403"/>
      <c r="O2200" s="2403"/>
    </row>
    <row r="2201" spans="3:15">
      <c r="C2201" s="233"/>
      <c r="D2201" s="233"/>
      <c r="E2201" s="761"/>
      <c r="F2201" s="234"/>
      <c r="G2201" s="234"/>
      <c r="H2201" s="233"/>
      <c r="I2201" s="233"/>
      <c r="J2201" s="761"/>
      <c r="K2201" s="233"/>
      <c r="L2201" s="233"/>
      <c r="M2201" s="233"/>
      <c r="N2201" s="2403"/>
      <c r="O2201" s="2403"/>
    </row>
    <row r="2202" spans="3:15">
      <c r="C2202" s="233"/>
      <c r="D2202" s="233"/>
      <c r="E2202" s="761"/>
      <c r="F2202" s="234"/>
      <c r="G2202" s="234"/>
      <c r="H2202" s="233"/>
      <c r="I2202" s="233"/>
      <c r="J2202" s="761"/>
      <c r="K2202" s="233"/>
      <c r="L2202" s="233"/>
      <c r="M2202" s="233"/>
      <c r="N2202" s="2403"/>
      <c r="O2202" s="2403"/>
    </row>
    <row r="2203" spans="3:15">
      <c r="C2203" s="233"/>
      <c r="D2203" s="233"/>
      <c r="E2203" s="761"/>
      <c r="F2203" s="234"/>
      <c r="G2203" s="234"/>
      <c r="H2203" s="233"/>
      <c r="I2203" s="233"/>
      <c r="J2203" s="761"/>
      <c r="K2203" s="233"/>
      <c r="L2203" s="233"/>
      <c r="M2203" s="233"/>
      <c r="N2203" s="2403"/>
      <c r="O2203" s="2403"/>
    </row>
    <row r="2204" spans="3:15">
      <c r="C2204" s="233"/>
      <c r="D2204" s="233"/>
      <c r="E2204" s="761"/>
      <c r="F2204" s="234"/>
      <c r="G2204" s="234"/>
      <c r="H2204" s="233"/>
      <c r="I2204" s="233"/>
      <c r="J2204" s="761"/>
      <c r="K2204" s="233"/>
      <c r="L2204" s="233"/>
      <c r="M2204" s="233"/>
      <c r="N2204" s="2403"/>
      <c r="O2204" s="2403"/>
    </row>
    <row r="2205" spans="3:15">
      <c r="C2205" s="233"/>
      <c r="D2205" s="233"/>
      <c r="E2205" s="761"/>
      <c r="F2205" s="234"/>
      <c r="G2205" s="234"/>
      <c r="H2205" s="233"/>
      <c r="I2205" s="233"/>
      <c r="J2205" s="761"/>
      <c r="K2205" s="233"/>
      <c r="L2205" s="233"/>
      <c r="M2205" s="233"/>
      <c r="N2205" s="2403"/>
      <c r="O2205" s="2403"/>
    </row>
    <row r="2206" spans="3:15">
      <c r="C2206" s="233"/>
      <c r="D2206" s="233"/>
      <c r="E2206" s="761"/>
      <c r="F2206" s="234"/>
      <c r="G2206" s="234"/>
      <c r="H2206" s="233"/>
      <c r="I2206" s="233"/>
      <c r="J2206" s="761"/>
      <c r="K2206" s="233"/>
      <c r="L2206" s="233"/>
      <c r="M2206" s="233"/>
      <c r="N2206" s="2403"/>
      <c r="O2206" s="2403"/>
    </row>
    <row r="2207" spans="3:15">
      <c r="C2207" s="233"/>
      <c r="D2207" s="233"/>
      <c r="E2207" s="761"/>
      <c r="F2207" s="234"/>
      <c r="G2207" s="234"/>
      <c r="H2207" s="233"/>
      <c r="I2207" s="233"/>
      <c r="J2207" s="761"/>
      <c r="K2207" s="233"/>
      <c r="L2207" s="233"/>
      <c r="M2207" s="233"/>
      <c r="N2207" s="2403"/>
      <c r="O2207" s="2403"/>
    </row>
    <row r="2208" spans="3:15">
      <c r="C2208" s="233"/>
      <c r="D2208" s="233"/>
      <c r="E2208" s="761"/>
      <c r="F2208" s="234"/>
      <c r="G2208" s="234"/>
      <c r="H2208" s="233"/>
      <c r="I2208" s="233"/>
      <c r="J2208" s="761"/>
      <c r="K2208" s="233"/>
      <c r="L2208" s="233"/>
      <c r="M2208" s="233"/>
      <c r="N2208" s="2403"/>
      <c r="O2208" s="2403"/>
    </row>
    <row r="2209" spans="3:15">
      <c r="C2209" s="233"/>
      <c r="D2209" s="233"/>
      <c r="E2209" s="761"/>
      <c r="F2209" s="234"/>
      <c r="G2209" s="234"/>
      <c r="H2209" s="233"/>
      <c r="I2209" s="233"/>
      <c r="J2209" s="761"/>
      <c r="K2209" s="233"/>
      <c r="L2209" s="233"/>
      <c r="M2209" s="233"/>
      <c r="N2209" s="2403"/>
      <c r="O2209" s="2403"/>
    </row>
    <row r="2210" spans="3:15">
      <c r="C2210" s="233"/>
      <c r="D2210" s="233"/>
      <c r="E2210" s="761"/>
      <c r="F2210" s="234"/>
      <c r="G2210" s="234"/>
      <c r="H2210" s="233"/>
      <c r="I2210" s="233"/>
      <c r="J2210" s="761"/>
      <c r="K2210" s="233"/>
      <c r="L2210" s="233"/>
      <c r="M2210" s="233"/>
      <c r="N2210" s="2403"/>
      <c r="O2210" s="2403"/>
    </row>
    <row r="2211" spans="3:15">
      <c r="C2211" s="233"/>
      <c r="D2211" s="233"/>
      <c r="E2211" s="761"/>
      <c r="F2211" s="234"/>
      <c r="G2211" s="234"/>
      <c r="H2211" s="233"/>
      <c r="I2211" s="233"/>
      <c r="J2211" s="761"/>
      <c r="K2211" s="233"/>
      <c r="L2211" s="233"/>
      <c r="M2211" s="233"/>
      <c r="N2211" s="2403"/>
      <c r="O2211" s="2403"/>
    </row>
    <row r="2212" spans="3:15">
      <c r="C2212" s="233"/>
      <c r="D2212" s="233"/>
      <c r="E2212" s="761"/>
      <c r="F2212" s="234"/>
      <c r="G2212" s="234"/>
      <c r="H2212" s="233"/>
      <c r="I2212" s="233"/>
      <c r="J2212" s="761"/>
      <c r="K2212" s="233"/>
      <c r="L2212" s="233"/>
      <c r="M2212" s="233"/>
      <c r="N2212" s="2403"/>
      <c r="O2212" s="2403"/>
    </row>
    <row r="2213" spans="3:15">
      <c r="C2213" s="233"/>
      <c r="D2213" s="233"/>
      <c r="E2213" s="761"/>
      <c r="F2213" s="234"/>
      <c r="G2213" s="234"/>
      <c r="H2213" s="233"/>
      <c r="I2213" s="233"/>
      <c r="J2213" s="761"/>
      <c r="K2213" s="233"/>
      <c r="L2213" s="233"/>
      <c r="M2213" s="233"/>
      <c r="N2213" s="2403"/>
      <c r="O2213" s="2403"/>
    </row>
    <row r="2214" spans="3:15">
      <c r="C2214" s="233"/>
      <c r="D2214" s="233"/>
      <c r="E2214" s="761"/>
      <c r="F2214" s="234"/>
      <c r="G2214" s="234"/>
      <c r="H2214" s="233"/>
      <c r="I2214" s="233"/>
      <c r="J2214" s="761"/>
      <c r="K2214" s="233"/>
      <c r="L2214" s="233"/>
      <c r="M2214" s="233"/>
      <c r="N2214" s="2403"/>
      <c r="O2214" s="2403"/>
    </row>
    <row r="2215" spans="3:15">
      <c r="C2215" s="233"/>
      <c r="D2215" s="233"/>
      <c r="E2215" s="761"/>
      <c r="F2215" s="234"/>
      <c r="G2215" s="234"/>
      <c r="H2215" s="233"/>
      <c r="I2215" s="233"/>
      <c r="J2215" s="761"/>
      <c r="K2215" s="233"/>
      <c r="L2215" s="233"/>
      <c r="M2215" s="233"/>
      <c r="N2215" s="2403"/>
      <c r="O2215" s="2403"/>
    </row>
    <row r="2216" spans="3:15">
      <c r="C2216" s="233"/>
      <c r="D2216" s="233"/>
      <c r="E2216" s="761"/>
      <c r="F2216" s="234"/>
      <c r="G2216" s="234"/>
      <c r="H2216" s="233"/>
      <c r="I2216" s="233"/>
      <c r="J2216" s="761"/>
      <c r="K2216" s="233"/>
      <c r="L2216" s="233"/>
      <c r="M2216" s="233"/>
      <c r="N2216" s="2403"/>
      <c r="O2216" s="2403"/>
    </row>
    <row r="2217" spans="3:15">
      <c r="C2217" s="233"/>
      <c r="D2217" s="233"/>
      <c r="E2217" s="761"/>
      <c r="F2217" s="234"/>
      <c r="G2217" s="234"/>
      <c r="H2217" s="233"/>
      <c r="I2217" s="233"/>
      <c r="J2217" s="761"/>
      <c r="K2217" s="233"/>
      <c r="L2217" s="233"/>
      <c r="M2217" s="233"/>
      <c r="N2217" s="2403"/>
      <c r="O2217" s="2403"/>
    </row>
    <row r="2218" spans="3:15">
      <c r="C2218" s="233"/>
      <c r="D2218" s="233"/>
      <c r="E2218" s="761"/>
      <c r="F2218" s="234"/>
      <c r="G2218" s="234"/>
      <c r="H2218" s="233"/>
      <c r="I2218" s="233"/>
      <c r="J2218" s="761"/>
      <c r="K2218" s="233"/>
      <c r="L2218" s="233"/>
      <c r="M2218" s="233"/>
      <c r="N2218" s="2403"/>
      <c r="O2218" s="2403"/>
    </row>
    <row r="2219" spans="3:15">
      <c r="C2219" s="233"/>
      <c r="D2219" s="233"/>
      <c r="E2219" s="761"/>
      <c r="F2219" s="234"/>
      <c r="G2219" s="234"/>
      <c r="H2219" s="233"/>
      <c r="I2219" s="233"/>
      <c r="J2219" s="761"/>
      <c r="K2219" s="233"/>
      <c r="L2219" s="233"/>
      <c r="M2219" s="233"/>
      <c r="N2219" s="2403"/>
      <c r="O2219" s="2403"/>
    </row>
    <row r="2220" spans="3:15">
      <c r="C2220" s="233"/>
      <c r="D2220" s="233"/>
      <c r="E2220" s="761"/>
      <c r="F2220" s="234"/>
      <c r="G2220" s="234"/>
      <c r="H2220" s="233"/>
      <c r="I2220" s="233"/>
      <c r="J2220" s="761"/>
      <c r="K2220" s="233"/>
      <c r="L2220" s="233"/>
      <c r="M2220" s="233"/>
      <c r="N2220" s="2403"/>
      <c r="O2220" s="2403"/>
    </row>
    <row r="2221" spans="3:15">
      <c r="C2221" s="233"/>
      <c r="D2221" s="233"/>
      <c r="E2221" s="761"/>
      <c r="F2221" s="234"/>
      <c r="G2221" s="234"/>
      <c r="H2221" s="233"/>
      <c r="I2221" s="233"/>
      <c r="J2221" s="761"/>
      <c r="K2221" s="233"/>
      <c r="L2221" s="233"/>
      <c r="M2221" s="233"/>
      <c r="N2221" s="2403"/>
      <c r="O2221" s="2403"/>
    </row>
    <row r="2222" spans="3:15">
      <c r="C2222" s="233"/>
      <c r="D2222" s="233"/>
      <c r="E2222" s="761"/>
      <c r="F2222" s="234"/>
      <c r="G2222" s="234"/>
      <c r="H2222" s="233"/>
      <c r="I2222" s="233"/>
      <c r="J2222" s="761"/>
      <c r="K2222" s="233"/>
      <c r="L2222" s="233"/>
      <c r="M2222" s="233"/>
      <c r="N2222" s="2403"/>
      <c r="O2222" s="2403"/>
    </row>
    <row r="2223" spans="3:15">
      <c r="C2223" s="233"/>
      <c r="D2223" s="233"/>
      <c r="E2223" s="761"/>
      <c r="F2223" s="234"/>
      <c r="G2223" s="234"/>
      <c r="H2223" s="233"/>
      <c r="I2223" s="233"/>
      <c r="J2223" s="761"/>
      <c r="K2223" s="233"/>
      <c r="L2223" s="233"/>
      <c r="M2223" s="233"/>
      <c r="N2223" s="2403"/>
      <c r="O2223" s="2403"/>
    </row>
    <row r="2224" spans="3:15">
      <c r="C2224" s="233"/>
      <c r="D2224" s="233"/>
      <c r="E2224" s="761"/>
      <c r="F2224" s="234"/>
      <c r="G2224" s="234"/>
      <c r="H2224" s="233"/>
      <c r="I2224" s="233"/>
      <c r="J2224" s="761"/>
      <c r="K2224" s="233"/>
      <c r="L2224" s="233"/>
      <c r="M2224" s="233"/>
      <c r="N2224" s="2403"/>
      <c r="O2224" s="2403"/>
    </row>
    <row r="2225" spans="3:15">
      <c r="C2225" s="233"/>
      <c r="D2225" s="233"/>
      <c r="E2225" s="761"/>
      <c r="F2225" s="234"/>
      <c r="G2225" s="234"/>
      <c r="H2225" s="233"/>
      <c r="I2225" s="233"/>
      <c r="J2225" s="761"/>
      <c r="K2225" s="233"/>
      <c r="L2225" s="233"/>
      <c r="M2225" s="233"/>
      <c r="N2225" s="2403"/>
      <c r="O2225" s="2403"/>
    </row>
    <row r="2226" spans="3:15">
      <c r="C2226" s="233"/>
      <c r="D2226" s="233"/>
      <c r="E2226" s="761"/>
      <c r="F2226" s="234"/>
      <c r="G2226" s="234"/>
      <c r="H2226" s="233"/>
      <c r="I2226" s="233"/>
      <c r="J2226" s="761"/>
      <c r="K2226" s="233"/>
      <c r="L2226" s="233"/>
      <c r="M2226" s="233"/>
      <c r="N2226" s="2403"/>
      <c r="O2226" s="2403"/>
    </row>
    <row r="2227" spans="3:15">
      <c r="C2227" s="233"/>
      <c r="D2227" s="233"/>
      <c r="E2227" s="761"/>
      <c r="F2227" s="234"/>
      <c r="G2227" s="234"/>
      <c r="H2227" s="233"/>
      <c r="I2227" s="233"/>
      <c r="J2227" s="761"/>
      <c r="K2227" s="233"/>
      <c r="L2227" s="233"/>
      <c r="M2227" s="233"/>
      <c r="N2227" s="2403"/>
      <c r="O2227" s="2403"/>
    </row>
    <row r="2228" spans="3:15">
      <c r="C2228" s="233"/>
      <c r="D2228" s="233"/>
      <c r="E2228" s="761"/>
      <c r="F2228" s="234"/>
      <c r="G2228" s="234"/>
      <c r="H2228" s="233"/>
      <c r="I2228" s="233"/>
      <c r="J2228" s="761"/>
      <c r="K2228" s="233"/>
      <c r="L2228" s="233"/>
      <c r="M2228" s="233"/>
      <c r="N2228" s="2403"/>
      <c r="O2228" s="2403"/>
    </row>
    <row r="2229" spans="3:15">
      <c r="C2229" s="233"/>
      <c r="D2229" s="233"/>
      <c r="E2229" s="761"/>
      <c r="F2229" s="234"/>
      <c r="G2229" s="234"/>
      <c r="H2229" s="233"/>
      <c r="I2229" s="233"/>
      <c r="J2229" s="761"/>
      <c r="K2229" s="233"/>
      <c r="L2229" s="233"/>
      <c r="M2229" s="233"/>
      <c r="N2229" s="2403"/>
      <c r="O2229" s="2403"/>
    </row>
    <row r="2230" spans="3:15">
      <c r="C2230" s="233"/>
      <c r="D2230" s="233"/>
      <c r="E2230" s="761"/>
      <c r="F2230" s="234"/>
      <c r="G2230" s="234"/>
      <c r="H2230" s="233"/>
      <c r="I2230" s="233"/>
      <c r="J2230" s="761"/>
      <c r="K2230" s="233"/>
      <c r="L2230" s="233"/>
      <c r="M2230" s="233"/>
      <c r="N2230" s="2403"/>
      <c r="O2230" s="2403"/>
    </row>
    <row r="2231" spans="3:15">
      <c r="C2231" s="233"/>
      <c r="D2231" s="233"/>
      <c r="E2231" s="761"/>
      <c r="F2231" s="234"/>
      <c r="G2231" s="234"/>
      <c r="H2231" s="233"/>
      <c r="I2231" s="233"/>
      <c r="J2231" s="761"/>
      <c r="K2231" s="233"/>
      <c r="L2231" s="233"/>
      <c r="M2231" s="233"/>
      <c r="N2231" s="2403"/>
      <c r="O2231" s="2403"/>
    </row>
    <row r="2232" spans="3:15">
      <c r="C2232" s="233"/>
      <c r="D2232" s="233"/>
      <c r="E2232" s="761"/>
      <c r="F2232" s="234"/>
      <c r="G2232" s="234"/>
      <c r="H2232" s="233"/>
      <c r="I2232" s="233"/>
      <c r="J2232" s="761"/>
      <c r="K2232" s="233"/>
      <c r="L2232" s="233"/>
      <c r="M2232" s="233"/>
      <c r="N2232" s="2403"/>
      <c r="O2232" s="2403"/>
    </row>
    <row r="2233" spans="3:15">
      <c r="C2233" s="233"/>
      <c r="D2233" s="233"/>
      <c r="E2233" s="761"/>
      <c r="F2233" s="234"/>
      <c r="G2233" s="234"/>
      <c r="H2233" s="233"/>
      <c r="I2233" s="233"/>
      <c r="J2233" s="761"/>
      <c r="K2233" s="233"/>
      <c r="L2233" s="233"/>
      <c r="M2233" s="233"/>
      <c r="N2233" s="2403"/>
      <c r="O2233" s="2403"/>
    </row>
    <row r="2234" spans="3:15">
      <c r="C2234" s="233"/>
      <c r="D2234" s="233"/>
      <c r="E2234" s="761"/>
      <c r="F2234" s="234"/>
      <c r="G2234" s="234"/>
      <c r="H2234" s="233"/>
      <c r="I2234" s="233"/>
      <c r="J2234" s="761"/>
      <c r="K2234" s="233"/>
      <c r="L2234" s="233"/>
      <c r="M2234" s="233"/>
      <c r="N2234" s="2403"/>
      <c r="O2234" s="2403"/>
    </row>
    <row r="2235" spans="3:15">
      <c r="C2235" s="233"/>
      <c r="D2235" s="233"/>
      <c r="E2235" s="761"/>
      <c r="F2235" s="234"/>
      <c r="G2235" s="234"/>
      <c r="H2235" s="233"/>
      <c r="I2235" s="233"/>
      <c r="J2235" s="761"/>
      <c r="K2235" s="233"/>
      <c r="L2235" s="233"/>
      <c r="M2235" s="233"/>
      <c r="N2235" s="2403"/>
      <c r="O2235" s="2403"/>
    </row>
    <row r="2236" spans="3:15">
      <c r="C2236" s="233"/>
      <c r="D2236" s="233"/>
      <c r="E2236" s="761"/>
      <c r="F2236" s="234"/>
      <c r="G2236" s="234"/>
      <c r="H2236" s="233"/>
      <c r="I2236" s="233"/>
      <c r="J2236" s="761"/>
      <c r="K2236" s="233"/>
      <c r="L2236" s="233"/>
      <c r="M2236" s="233"/>
      <c r="N2236" s="2403"/>
      <c r="O2236" s="2403"/>
    </row>
    <row r="2237" spans="3:15">
      <c r="C2237" s="233"/>
      <c r="D2237" s="233"/>
      <c r="E2237" s="761"/>
      <c r="F2237" s="234"/>
      <c r="G2237" s="234"/>
      <c r="H2237" s="233"/>
      <c r="I2237" s="233"/>
      <c r="J2237" s="761"/>
      <c r="K2237" s="233"/>
      <c r="L2237" s="233"/>
      <c r="M2237" s="233"/>
      <c r="N2237" s="2403"/>
      <c r="O2237" s="2403"/>
    </row>
    <row r="2238" spans="3:15">
      <c r="C2238" s="233"/>
      <c r="D2238" s="233"/>
      <c r="E2238" s="761"/>
      <c r="F2238" s="234"/>
      <c r="G2238" s="234"/>
      <c r="H2238" s="233"/>
      <c r="I2238" s="233"/>
      <c r="J2238" s="761"/>
      <c r="K2238" s="233"/>
      <c r="L2238" s="233"/>
      <c r="M2238" s="233"/>
      <c r="N2238" s="2403"/>
      <c r="O2238" s="2403"/>
    </row>
    <row r="2239" spans="3:15">
      <c r="C2239" s="233"/>
      <c r="D2239" s="233"/>
      <c r="E2239" s="761"/>
      <c r="F2239" s="234"/>
      <c r="G2239" s="234"/>
      <c r="H2239" s="233"/>
      <c r="I2239" s="233"/>
      <c r="J2239" s="761"/>
      <c r="K2239" s="233"/>
      <c r="L2239" s="233"/>
      <c r="M2239" s="233"/>
      <c r="N2239" s="2403"/>
      <c r="O2239" s="2403"/>
    </row>
    <row r="2240" spans="3:15">
      <c r="C2240" s="233"/>
      <c r="D2240" s="233"/>
      <c r="E2240" s="761"/>
      <c r="F2240" s="234"/>
      <c r="G2240" s="234"/>
      <c r="H2240" s="233"/>
      <c r="I2240" s="233"/>
      <c r="J2240" s="761"/>
      <c r="K2240" s="233"/>
      <c r="L2240" s="233"/>
      <c r="M2240" s="233"/>
      <c r="N2240" s="2403"/>
      <c r="O2240" s="2403"/>
    </row>
    <row r="2241" spans="3:15">
      <c r="C2241" s="233"/>
      <c r="D2241" s="233"/>
      <c r="E2241" s="761"/>
      <c r="F2241" s="234"/>
      <c r="G2241" s="234"/>
      <c r="H2241" s="233"/>
      <c r="I2241" s="233"/>
      <c r="J2241" s="761"/>
      <c r="K2241" s="233"/>
      <c r="L2241" s="233"/>
      <c r="M2241" s="233"/>
      <c r="N2241" s="2403"/>
      <c r="O2241" s="2403"/>
    </row>
    <row r="2242" spans="3:15">
      <c r="C2242" s="233"/>
      <c r="D2242" s="233"/>
      <c r="E2242" s="761"/>
      <c r="F2242" s="234"/>
      <c r="G2242" s="234"/>
      <c r="H2242" s="233"/>
      <c r="I2242" s="233"/>
      <c r="J2242" s="761"/>
      <c r="K2242" s="233"/>
      <c r="L2242" s="233"/>
      <c r="M2242" s="233"/>
      <c r="N2242" s="2403"/>
      <c r="O2242" s="2403"/>
    </row>
    <row r="2243" spans="3:15">
      <c r="C2243" s="233"/>
      <c r="D2243" s="233"/>
      <c r="E2243" s="761"/>
      <c r="F2243" s="234"/>
      <c r="G2243" s="234"/>
      <c r="H2243" s="233"/>
      <c r="I2243" s="233"/>
      <c r="J2243" s="761"/>
      <c r="K2243" s="233"/>
      <c r="L2243" s="233"/>
      <c r="M2243" s="233"/>
      <c r="N2243" s="2403"/>
      <c r="O2243" s="2403"/>
    </row>
    <row r="2244" spans="3:15">
      <c r="C2244" s="233"/>
      <c r="D2244" s="233"/>
      <c r="E2244" s="761"/>
      <c r="F2244" s="234"/>
      <c r="G2244" s="234"/>
      <c r="H2244" s="233"/>
      <c r="I2244" s="233"/>
      <c r="J2244" s="761"/>
      <c r="K2244" s="233"/>
      <c r="L2244" s="233"/>
      <c r="M2244" s="233"/>
      <c r="N2244" s="2403"/>
      <c r="O2244" s="2403"/>
    </row>
    <row r="2245" spans="3:15">
      <c r="C2245" s="233"/>
      <c r="D2245" s="233"/>
      <c r="E2245" s="761"/>
      <c r="F2245" s="234"/>
      <c r="G2245" s="234"/>
      <c r="H2245" s="233"/>
      <c r="I2245" s="233"/>
      <c r="J2245" s="761"/>
      <c r="K2245" s="233"/>
      <c r="L2245" s="233"/>
      <c r="M2245" s="233"/>
      <c r="N2245" s="2403"/>
      <c r="O2245" s="2403"/>
    </row>
    <row r="2246" spans="3:15">
      <c r="C2246" s="233"/>
      <c r="D2246" s="233"/>
      <c r="E2246" s="761"/>
      <c r="F2246" s="234"/>
      <c r="G2246" s="234"/>
      <c r="H2246" s="233"/>
      <c r="I2246" s="233"/>
      <c r="J2246" s="761"/>
      <c r="K2246" s="233"/>
      <c r="L2246" s="233"/>
      <c r="M2246" s="233"/>
      <c r="N2246" s="2403"/>
      <c r="O2246" s="2403"/>
    </row>
    <row r="2247" spans="3:15">
      <c r="C2247" s="233"/>
      <c r="D2247" s="233"/>
      <c r="E2247" s="761"/>
      <c r="F2247" s="234"/>
      <c r="G2247" s="234"/>
      <c r="H2247" s="233"/>
      <c r="I2247" s="233"/>
      <c r="J2247" s="761"/>
      <c r="K2247" s="233"/>
      <c r="L2247" s="233"/>
      <c r="M2247" s="233"/>
      <c r="N2247" s="2403"/>
      <c r="O2247" s="2403"/>
    </row>
    <row r="2248" spans="3:15">
      <c r="C2248" s="233"/>
      <c r="D2248" s="233"/>
      <c r="E2248" s="761"/>
      <c r="F2248" s="234"/>
      <c r="G2248" s="234"/>
      <c r="H2248" s="233"/>
      <c r="I2248" s="233"/>
      <c r="J2248" s="761"/>
      <c r="K2248" s="233"/>
      <c r="L2248" s="233"/>
      <c r="M2248" s="233"/>
      <c r="N2248" s="2403"/>
      <c r="O2248" s="2403"/>
    </row>
    <row r="2249" spans="3:15">
      <c r="C2249" s="233"/>
      <c r="D2249" s="233"/>
      <c r="E2249" s="761"/>
      <c r="F2249" s="234"/>
      <c r="G2249" s="234"/>
      <c r="H2249" s="233"/>
      <c r="I2249" s="233"/>
      <c r="J2249" s="761"/>
      <c r="K2249" s="233"/>
      <c r="L2249" s="233"/>
      <c r="M2249" s="233"/>
      <c r="N2249" s="2403"/>
      <c r="O2249" s="2403"/>
    </row>
    <row r="2250" spans="3:15">
      <c r="C2250" s="233"/>
      <c r="D2250" s="233"/>
      <c r="E2250" s="761"/>
      <c r="F2250" s="234"/>
      <c r="G2250" s="234"/>
      <c r="H2250" s="233"/>
      <c r="I2250" s="233"/>
      <c r="J2250" s="761"/>
      <c r="K2250" s="233"/>
      <c r="L2250" s="233"/>
      <c r="M2250" s="233"/>
      <c r="N2250" s="2403"/>
      <c r="O2250" s="2403"/>
    </row>
    <row r="2251" spans="3:15">
      <c r="C2251" s="233"/>
      <c r="D2251" s="233"/>
      <c r="E2251" s="761"/>
      <c r="F2251" s="234"/>
      <c r="G2251" s="234"/>
      <c r="H2251" s="233"/>
      <c r="I2251" s="233"/>
      <c r="J2251" s="761"/>
      <c r="K2251" s="233"/>
      <c r="L2251" s="233"/>
      <c r="M2251" s="233"/>
      <c r="N2251" s="2403"/>
      <c r="O2251" s="2403"/>
    </row>
    <row r="2252" spans="3:15">
      <c r="C2252" s="233"/>
      <c r="D2252" s="233"/>
      <c r="E2252" s="761"/>
      <c r="F2252" s="234"/>
      <c r="G2252" s="234"/>
      <c r="H2252" s="233"/>
      <c r="I2252" s="233"/>
      <c r="J2252" s="761"/>
      <c r="K2252" s="233"/>
      <c r="L2252" s="233"/>
      <c r="M2252" s="233"/>
      <c r="N2252" s="2403"/>
      <c r="O2252" s="2403"/>
    </row>
    <row r="2253" spans="3:15">
      <c r="C2253" s="233"/>
      <c r="D2253" s="233"/>
      <c r="E2253" s="761"/>
      <c r="F2253" s="234"/>
      <c r="G2253" s="234"/>
      <c r="H2253" s="233"/>
      <c r="I2253" s="233"/>
      <c r="J2253" s="761"/>
      <c r="K2253" s="233"/>
      <c r="L2253" s="233"/>
      <c r="M2253" s="233"/>
      <c r="N2253" s="2403"/>
      <c r="O2253" s="2403"/>
    </row>
    <row r="2254" spans="3:15">
      <c r="C2254" s="233"/>
      <c r="D2254" s="233"/>
      <c r="E2254" s="761"/>
      <c r="F2254" s="234"/>
      <c r="G2254" s="234"/>
      <c r="H2254" s="233"/>
      <c r="I2254" s="233"/>
      <c r="J2254" s="761"/>
      <c r="K2254" s="233"/>
      <c r="L2254" s="233"/>
      <c r="M2254" s="233"/>
      <c r="N2254" s="2403"/>
      <c r="O2254" s="2403"/>
    </row>
    <row r="2255" spans="3:15">
      <c r="C2255" s="233"/>
      <c r="D2255" s="233"/>
      <c r="E2255" s="761"/>
      <c r="F2255" s="234"/>
      <c r="G2255" s="234"/>
      <c r="H2255" s="233"/>
      <c r="I2255" s="233"/>
      <c r="J2255" s="761"/>
      <c r="K2255" s="233"/>
      <c r="L2255" s="233"/>
      <c r="M2255" s="233"/>
      <c r="N2255" s="2403"/>
      <c r="O2255" s="2403"/>
    </row>
    <row r="2256" spans="3:15">
      <c r="C2256" s="233"/>
      <c r="D2256" s="233"/>
      <c r="E2256" s="761"/>
      <c r="F2256" s="234"/>
      <c r="G2256" s="234"/>
      <c r="H2256" s="233"/>
      <c r="I2256" s="233"/>
      <c r="J2256" s="761"/>
      <c r="K2256" s="233"/>
      <c r="L2256" s="233"/>
      <c r="M2256" s="233"/>
      <c r="N2256" s="2403"/>
      <c r="O2256" s="2403"/>
    </row>
    <row r="2257" spans="3:15">
      <c r="C2257" s="233"/>
      <c r="D2257" s="233"/>
      <c r="E2257" s="761"/>
      <c r="F2257" s="234"/>
      <c r="G2257" s="234"/>
      <c r="H2257" s="233"/>
      <c r="I2257" s="233"/>
      <c r="J2257" s="761"/>
      <c r="K2257" s="233"/>
      <c r="L2257" s="233"/>
      <c r="M2257" s="233"/>
      <c r="N2257" s="2403"/>
      <c r="O2257" s="2403"/>
    </row>
    <row r="2258" spans="3:15">
      <c r="C2258" s="233"/>
      <c r="D2258" s="233"/>
      <c r="E2258" s="761"/>
      <c r="F2258" s="234"/>
      <c r="G2258" s="234"/>
      <c r="H2258" s="233"/>
      <c r="I2258" s="233"/>
      <c r="J2258" s="761"/>
      <c r="K2258" s="233"/>
      <c r="L2258" s="233"/>
      <c r="M2258" s="233"/>
      <c r="N2258" s="2403"/>
      <c r="O2258" s="2403"/>
    </row>
    <row r="2259" spans="3:15">
      <c r="C2259" s="233"/>
      <c r="D2259" s="233"/>
      <c r="E2259" s="761"/>
      <c r="F2259" s="234"/>
      <c r="G2259" s="234"/>
      <c r="H2259" s="233"/>
      <c r="I2259" s="233"/>
      <c r="J2259" s="761"/>
      <c r="K2259" s="233"/>
      <c r="L2259" s="233"/>
      <c r="M2259" s="233"/>
      <c r="N2259" s="2403"/>
      <c r="O2259" s="2403"/>
    </row>
    <row r="2260" spans="3:15">
      <c r="C2260" s="233"/>
      <c r="D2260" s="233"/>
      <c r="E2260" s="761"/>
      <c r="F2260" s="234"/>
      <c r="G2260" s="234"/>
      <c r="H2260" s="233"/>
      <c r="I2260" s="233"/>
      <c r="J2260" s="761"/>
      <c r="K2260" s="233"/>
      <c r="L2260" s="233"/>
      <c r="M2260" s="233"/>
      <c r="N2260" s="2403"/>
      <c r="O2260" s="2403"/>
    </row>
    <row r="2261" spans="3:15">
      <c r="C2261" s="233"/>
      <c r="D2261" s="233"/>
      <c r="E2261" s="761"/>
      <c r="F2261" s="234"/>
      <c r="G2261" s="234"/>
      <c r="H2261" s="233"/>
      <c r="I2261" s="233"/>
      <c r="J2261" s="761"/>
      <c r="K2261" s="233"/>
      <c r="L2261" s="233"/>
      <c r="M2261" s="233"/>
      <c r="N2261" s="2403"/>
      <c r="O2261" s="2403"/>
    </row>
    <row r="2262" spans="3:15">
      <c r="C2262" s="233"/>
      <c r="D2262" s="233"/>
      <c r="E2262" s="761"/>
      <c r="F2262" s="234"/>
      <c r="G2262" s="234"/>
      <c r="H2262" s="233"/>
      <c r="I2262" s="233"/>
      <c r="J2262" s="761"/>
      <c r="K2262" s="233"/>
      <c r="L2262" s="233"/>
      <c r="M2262" s="233"/>
      <c r="N2262" s="2403"/>
      <c r="O2262" s="2403"/>
    </row>
    <row r="2263" spans="3:15">
      <c r="C2263" s="233"/>
      <c r="D2263" s="233"/>
      <c r="E2263" s="761"/>
      <c r="F2263" s="234"/>
      <c r="G2263" s="234"/>
      <c r="H2263" s="233"/>
      <c r="I2263" s="233"/>
      <c r="J2263" s="761"/>
      <c r="K2263" s="233"/>
      <c r="L2263" s="233"/>
      <c r="M2263" s="233"/>
      <c r="N2263" s="2403"/>
      <c r="O2263" s="2403"/>
    </row>
    <row r="2264" spans="3:15">
      <c r="C2264" s="233"/>
      <c r="D2264" s="233"/>
      <c r="E2264" s="761"/>
      <c r="F2264" s="234"/>
      <c r="G2264" s="234"/>
      <c r="H2264" s="233"/>
      <c r="I2264" s="233"/>
      <c r="J2264" s="761"/>
      <c r="K2264" s="233"/>
      <c r="L2264" s="233"/>
      <c r="M2264" s="233"/>
      <c r="N2264" s="2403"/>
      <c r="O2264" s="2403"/>
    </row>
    <row r="2265" spans="3:15">
      <c r="C2265" s="233"/>
      <c r="D2265" s="233"/>
      <c r="E2265" s="761"/>
      <c r="F2265" s="234"/>
      <c r="G2265" s="234"/>
      <c r="H2265" s="233"/>
      <c r="I2265" s="233"/>
      <c r="J2265" s="761"/>
      <c r="K2265" s="233"/>
      <c r="L2265" s="233"/>
      <c r="M2265" s="233"/>
      <c r="N2265" s="2403"/>
      <c r="O2265" s="2403"/>
    </row>
    <row r="2266" spans="3:15">
      <c r="C2266" s="233"/>
      <c r="D2266" s="233"/>
      <c r="E2266" s="761"/>
      <c r="F2266" s="234"/>
      <c r="G2266" s="234"/>
      <c r="H2266" s="233"/>
      <c r="I2266" s="233"/>
      <c r="J2266" s="761"/>
      <c r="K2266" s="233"/>
      <c r="L2266" s="233"/>
      <c r="M2266" s="233"/>
      <c r="N2266" s="2403"/>
      <c r="O2266" s="2403"/>
    </row>
    <row r="2267" spans="3:15">
      <c r="C2267" s="233"/>
      <c r="D2267" s="233"/>
      <c r="E2267" s="761"/>
      <c r="F2267" s="234"/>
      <c r="G2267" s="234"/>
      <c r="H2267" s="233"/>
      <c r="I2267" s="233"/>
      <c r="J2267" s="761"/>
      <c r="K2267" s="233"/>
      <c r="L2267" s="233"/>
      <c r="M2267" s="233"/>
      <c r="N2267" s="2403"/>
      <c r="O2267" s="2403"/>
    </row>
    <row r="2268" spans="3:15">
      <c r="C2268" s="233"/>
      <c r="D2268" s="233"/>
      <c r="E2268" s="761"/>
      <c r="F2268" s="234"/>
      <c r="I2268" s="233"/>
      <c r="J2268" s="761"/>
      <c r="K2268" s="233"/>
      <c r="L2268" s="233"/>
      <c r="M2268" s="233"/>
    </row>
  </sheetData>
  <sheetProtection formatCells="0" formatColumns="0" formatRows="0"/>
  <mergeCells count="24">
    <mergeCell ref="B79:C79"/>
    <mergeCell ref="B80:C80"/>
    <mergeCell ref="B74:C74"/>
    <mergeCell ref="B75:C75"/>
    <mergeCell ref="B78:C78"/>
    <mergeCell ref="B76:C76"/>
    <mergeCell ref="B77:C77"/>
    <mergeCell ref="I5:J5"/>
    <mergeCell ref="F14:G14"/>
    <mergeCell ref="F15:G15"/>
    <mergeCell ref="F16:G16"/>
    <mergeCell ref="D10:G10"/>
    <mergeCell ref="C20:D20"/>
    <mergeCell ref="E20:F20"/>
    <mergeCell ref="G43:H43"/>
    <mergeCell ref="I43:J43"/>
    <mergeCell ref="K43:L43"/>
    <mergeCell ref="G20:H20"/>
    <mergeCell ref="G38:H38"/>
    <mergeCell ref="G39:H39"/>
    <mergeCell ref="C26:D26"/>
    <mergeCell ref="E26:F26"/>
    <mergeCell ref="G26:H26"/>
    <mergeCell ref="I28:J28"/>
  </mergeCells>
  <phoneticPr fontId="11" type="noConversion"/>
  <dataValidations count="6">
    <dataValidation type="list" allowBlank="1" showInputMessage="1" showErrorMessage="1" sqref="E60 E34:E35 D11 E53:E55 F74:F80 E45:E51">
      <formula1>YES_NO</formula1>
    </dataValidation>
    <dataValidation type="list" allowBlank="1" showInputMessage="1" showErrorMessage="1" sqref="H60 D28:D29 H53:H55 H34:H35 J35:J38 J45:J51 H45:H51 J53:J55 D22:D23 F28:F29 F22:F23">
      <formula1>Rate</formula1>
    </dataValidation>
    <dataValidation type="list" allowBlank="1" showInputMessage="1" showErrorMessage="1" sqref="F62:F67">
      <formula1>irrig_sys</formula1>
    </dataValidation>
    <dataValidation type="list" allowBlank="1" showInputMessage="1" showErrorMessage="1" sqref="B74:B80">
      <formula1>construct</formula1>
    </dataValidation>
    <dataValidation type="list" allowBlank="1" showInputMessage="1" showErrorMessage="1" sqref="D10">
      <formula1>country</formula1>
    </dataValidation>
    <dataValidation type="decimal" operator="greaterThanOrEqual" allowBlank="1" showInputMessage="1" showErrorMessage="1" sqref="E15:E16 E28:E29 E62:E67 E38:F39 I53:I55 I45:I51 F45:G51 F53:G55 B22:C23 B28:C29 E22:E23">
      <formula1>0</formula1>
    </dataValidation>
  </dataValidations>
  <hyperlinks>
    <hyperlink ref="I5" location="Description!A1" display="Back to Description"/>
  </hyperlinks>
  <pageMargins left="0.34" right="0.38" top="0.984251969" bottom="0.63" header="0.4921259845" footer="0.4921259845"/>
  <pageSetup paperSize="9" scale="67" orientation="landscape" horizontalDpi="1200" verticalDpi="1200" r:id="rId1"/>
  <headerFooter alignWithMargins="0">
    <oddHeader>Page &amp;P&amp;R&amp;A</oddHeader>
    <oddFooter>&amp;F</oddFooter>
  </headerFooter>
  <ignoredErrors>
    <ignoredError sqref="F1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B379"/>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9.140625" style="232" customWidth="1"/>
    <col min="4" max="4" width="13.28515625" style="232" customWidth="1"/>
    <col min="5" max="5" width="1.28515625" style="244" customWidth="1"/>
    <col min="6" max="6" width="12.140625" style="244" customWidth="1"/>
    <col min="7" max="7" width="2.140625" style="232" customWidth="1"/>
    <col min="8" max="8" width="10.85546875" style="232" customWidth="1"/>
    <col min="9" max="9" width="2.7109375" style="244" customWidth="1"/>
    <col min="10" max="10" width="11" style="244" customWidth="1"/>
    <col min="11" max="11" width="3.28515625" style="244" customWidth="1"/>
    <col min="12" max="12" width="8.85546875" style="244" customWidth="1"/>
    <col min="13" max="13" width="8.140625" style="244" customWidth="1"/>
    <col min="14" max="14" width="7.7109375" style="244" customWidth="1"/>
    <col min="15" max="15" width="1.28515625" style="244" customWidth="1"/>
    <col min="16" max="16" width="8.140625" style="244" customWidth="1"/>
    <col min="17" max="17" width="9.5703125" style="244" customWidth="1"/>
    <col min="18" max="18" width="10" style="244" customWidth="1"/>
    <col min="19" max="19" width="1.28515625" style="244" customWidth="1"/>
    <col min="20" max="20" width="10" style="244" customWidth="1"/>
    <col min="21" max="21" width="1.28515625" style="244" customWidth="1"/>
    <col min="22" max="22" width="10.85546875" style="244" customWidth="1"/>
    <col min="23" max="23" width="3.42578125" style="244" customWidth="1"/>
    <col min="24" max="24" width="6.7109375" style="244" customWidth="1"/>
    <col min="25" max="25" width="3.85546875" style="244" customWidth="1"/>
    <col min="26" max="27" width="10.5703125" style="244" customWidth="1"/>
    <col min="28" max="28" width="12.7109375" style="232" customWidth="1"/>
    <col min="29" max="29" width="2.28515625" style="232" customWidth="1"/>
    <col min="30" max="30" width="10.7109375" style="232" customWidth="1"/>
    <col min="31" max="31" width="1.7109375" style="232" customWidth="1"/>
    <col min="32" max="32" width="9.140625" style="232" customWidth="1"/>
    <col min="33" max="33" width="2.85546875" style="232" customWidth="1"/>
    <col min="34" max="34" width="10" style="232" customWidth="1"/>
    <col min="35" max="35" width="3.28515625" style="232" customWidth="1"/>
    <col min="36" max="37" width="9.5703125" style="232" customWidth="1"/>
    <col min="38" max="16384" width="14.140625" style="232"/>
  </cols>
  <sheetData>
    <row r="1" spans="1:28" s="2233" customFormat="1" ht="22.9" customHeight="1">
      <c r="E1" s="2234"/>
      <c r="F1" s="2234"/>
      <c r="I1" s="2234"/>
      <c r="J1" s="2234"/>
      <c r="K1" s="2234"/>
      <c r="L1" s="2234"/>
      <c r="M1" s="2234"/>
      <c r="N1" s="2234"/>
      <c r="O1" s="2234"/>
      <c r="P1" s="2234"/>
      <c r="Q1" s="2234"/>
      <c r="R1" s="2234"/>
      <c r="S1" s="2234"/>
      <c r="T1" s="2234"/>
      <c r="U1" s="2234"/>
      <c r="V1" s="2234"/>
      <c r="W1" s="2234"/>
      <c r="X1" s="2234"/>
      <c r="Y1" s="2234"/>
      <c r="Z1" s="2234"/>
      <c r="AA1" s="2234"/>
    </row>
    <row r="2" spans="1:28" s="2233" customFormat="1" ht="22.9" customHeight="1">
      <c r="E2" s="2234"/>
      <c r="F2" s="2234"/>
      <c r="I2" s="2234"/>
      <c r="J2" s="2234"/>
      <c r="K2" s="2234"/>
      <c r="L2" s="2234"/>
      <c r="M2" s="2234"/>
      <c r="N2" s="2234"/>
      <c r="O2" s="2234"/>
      <c r="P2" s="2234"/>
      <c r="Q2" s="2234"/>
      <c r="R2" s="2234"/>
      <c r="S2" s="2234"/>
      <c r="T2" s="2234"/>
      <c r="U2" s="2234"/>
      <c r="V2" s="2234"/>
      <c r="W2" s="2234"/>
      <c r="X2" s="2234"/>
      <c r="Y2" s="2234"/>
      <c r="Z2" s="2234"/>
      <c r="AA2" s="2234"/>
    </row>
    <row r="3" spans="1:28" s="2233" customFormat="1" ht="22.9" customHeight="1">
      <c r="E3" s="2234"/>
      <c r="F3" s="2234"/>
      <c r="I3" s="2234"/>
      <c r="J3" s="2234"/>
      <c r="K3" s="2234"/>
      <c r="L3" s="2234"/>
      <c r="M3" s="2234"/>
      <c r="N3" s="2234"/>
      <c r="O3" s="2234"/>
      <c r="P3" s="2234"/>
      <c r="Q3" s="2234"/>
      <c r="R3" s="2234"/>
      <c r="S3" s="2234"/>
      <c r="T3" s="2234"/>
      <c r="U3" s="2234"/>
      <c r="V3" s="2234"/>
      <c r="W3" s="2234"/>
      <c r="X3" s="2234"/>
      <c r="Y3" s="2234"/>
      <c r="Z3" s="2234"/>
      <c r="AA3" s="2234"/>
    </row>
    <row r="4" spans="1:28" s="2233" customFormat="1" ht="22.9" customHeight="1">
      <c r="E4" s="2234"/>
      <c r="F4" s="2234"/>
      <c r="I4" s="2234"/>
      <c r="J4" s="2234"/>
      <c r="K4" s="2234"/>
      <c r="L4" s="2234"/>
      <c r="M4" s="2234"/>
      <c r="N4" s="2234"/>
      <c r="O4" s="2234"/>
      <c r="P4" s="2234"/>
      <c r="Q4" s="2234"/>
      <c r="R4" s="2234"/>
      <c r="S4" s="2234"/>
      <c r="T4" s="2234"/>
      <c r="U4" s="2234"/>
      <c r="V4" s="2234"/>
      <c r="W4" s="2234"/>
      <c r="X4" s="2234"/>
      <c r="Y4" s="2234"/>
      <c r="Z4" s="2234"/>
      <c r="AA4" s="2234"/>
    </row>
    <row r="5" spans="1:28"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c r="Y5" s="2236"/>
      <c r="Z5" s="2236"/>
      <c r="AA5" s="2236"/>
    </row>
    <row r="6" spans="1:28" s="1704" customFormat="1">
      <c r="E6" s="1709"/>
      <c r="F6" s="1709"/>
      <c r="I6" s="1709"/>
      <c r="J6" s="1709"/>
      <c r="K6" s="1709"/>
      <c r="L6" s="1709"/>
      <c r="M6" s="1709"/>
      <c r="N6" s="1709"/>
      <c r="O6" s="1709"/>
      <c r="P6" s="1709"/>
      <c r="Q6" s="1709"/>
      <c r="R6" s="1709"/>
      <c r="S6" s="1709"/>
      <c r="T6" s="1709"/>
      <c r="U6" s="3370"/>
      <c r="V6" s="1709"/>
      <c r="W6" s="1709"/>
      <c r="X6" s="1709"/>
      <c r="Y6" s="1709"/>
      <c r="Z6" s="1709"/>
      <c r="AA6" s="1709"/>
    </row>
    <row r="7" spans="1:28" s="1704" customFormat="1" ht="15.75">
      <c r="B7" s="3176" t="str">
        <f>HLOOKUP(select,translations!$A$521:$H$550,20,)</f>
        <v>6.1. Management of coastal wetlands (Mangroves, Tidal marshes and Seagrass meadow)</v>
      </c>
      <c r="C7" s="3177"/>
      <c r="D7" s="3177"/>
      <c r="E7" s="3178"/>
      <c r="F7" s="3178"/>
      <c r="G7" s="3177"/>
      <c r="H7" s="3177"/>
      <c r="I7" s="3178"/>
      <c r="J7" s="3178"/>
      <c r="K7" s="3178"/>
      <c r="L7" s="3178"/>
      <c r="M7" s="3178"/>
      <c r="N7" s="3178"/>
      <c r="O7" s="3178"/>
      <c r="P7" s="3178"/>
      <c r="Q7" s="3178"/>
      <c r="R7" s="3178"/>
      <c r="S7" s="3178"/>
      <c r="T7" s="3178"/>
      <c r="U7" s="3178"/>
      <c r="V7" s="3178"/>
      <c r="W7" s="3178"/>
      <c r="X7" s="3178"/>
      <c r="Y7" s="3178"/>
      <c r="Z7" s="3178"/>
      <c r="AA7" s="3178"/>
      <c r="AB7" s="3177"/>
    </row>
    <row r="8" spans="1:28" s="1704" customFormat="1"/>
    <row r="9" spans="1:28" s="1704" customFormat="1">
      <c r="B9" s="3555" t="str">
        <f>HLOOKUP(select,translations!$A$521:$H$550,21,)</f>
        <v>6.1.1. Extraction and Excavation (port constuction, construction of aquaculture or salt production ponds,…)</v>
      </c>
      <c r="C9" s="3169"/>
      <c r="D9" s="3169"/>
      <c r="E9" s="3179"/>
      <c r="F9" s="3179"/>
      <c r="G9" s="3169"/>
      <c r="H9" s="3169"/>
      <c r="I9" s="3179"/>
      <c r="J9" s="3179"/>
      <c r="K9" s="3179"/>
      <c r="L9" s="3179"/>
      <c r="M9" s="3179"/>
      <c r="N9" s="3179"/>
      <c r="O9" s="3179"/>
      <c r="P9" s="3179"/>
      <c r="Q9" s="3413" t="str">
        <f>HLOOKUP(select,translations!$A$521:$H$581,57,)</f>
        <v>(this corresponds to deforestation of mangroves and should be accounted only here)</v>
      </c>
      <c r="R9" s="3179"/>
      <c r="S9" s="3179"/>
      <c r="T9" s="3179"/>
      <c r="U9" s="3179"/>
      <c r="V9" s="3179"/>
      <c r="W9" s="3179"/>
      <c r="X9" s="3179"/>
      <c r="Y9" s="3179"/>
      <c r="Z9" s="3179"/>
      <c r="AA9" s="3179"/>
      <c r="AB9" s="3169"/>
    </row>
    <row r="10" spans="1:28" s="1704" customFormat="1">
      <c r="B10" s="2833"/>
      <c r="E10" s="1709"/>
      <c r="F10" s="1709"/>
      <c r="I10" s="1709"/>
      <c r="J10" s="1709"/>
      <c r="K10" s="1709"/>
      <c r="L10" s="1709"/>
      <c r="M10" s="1709"/>
      <c r="N10" s="1709"/>
      <c r="O10" s="1709"/>
      <c r="P10" s="1709"/>
      <c r="Q10" s="1709"/>
      <c r="R10" s="1709"/>
      <c r="S10" s="1709"/>
      <c r="T10" s="1709"/>
      <c r="U10" s="3370"/>
      <c r="V10" s="1709"/>
      <c r="W10" s="1709"/>
      <c r="X10" s="1709"/>
      <c r="Y10" s="1709"/>
      <c r="Z10" s="1709"/>
      <c r="AA10" s="1709"/>
    </row>
    <row r="11" spans="1:28" s="1704" customFormat="1">
      <c r="B11" s="3219" t="str">
        <f>'2.LUC'!B10</f>
        <v>Type of vegetation</v>
      </c>
      <c r="C11" s="3180"/>
      <c r="D11" s="3180"/>
      <c r="E11" s="3180"/>
      <c r="F11" s="3364" t="str">
        <f>'3.Cropland'!P11</f>
        <v>Area (ha)</v>
      </c>
      <c r="G11" s="3180"/>
      <c r="H11" s="3417" t="str">
        <f>HLOOKUP(select,translations!$B$624:$H$635,8,)</f>
        <v>% excavated</v>
      </c>
      <c r="I11" s="3417"/>
      <c r="J11" s="3417"/>
      <c r="K11" s="3180"/>
      <c r="L11" s="3180"/>
      <c r="M11" s="3417" t="str">
        <f>HLOOKUP(select,translations!$A$521:$H$550,22,)</f>
        <v>Area excavated (ha)</v>
      </c>
      <c r="N11" s="3417"/>
      <c r="O11" s="3180"/>
      <c r="P11" s="3180"/>
      <c r="Q11" s="3418" t="str">
        <f>HLOOKUP(select,translations!$A$521:$H$581,60,)</f>
        <v>Maximum area available for drainage</v>
      </c>
      <c r="R11" s="3419"/>
      <c r="S11" s="3417"/>
      <c r="T11" s="3419"/>
      <c r="U11" s="3364"/>
      <c r="V11" s="3343"/>
      <c r="W11" s="3343"/>
      <c r="X11" s="3343"/>
      <c r="Y11" s="3343"/>
      <c r="Z11" s="3918" t="str">
        <f>'5. Management'!Y32</f>
        <v>Total Emissions</v>
      </c>
      <c r="AA11" s="3918"/>
      <c r="AB11" s="3270" t="str">
        <f>'5. Management'!AA32</f>
        <v>Balance</v>
      </c>
    </row>
    <row r="12" spans="1:28" s="1704" customFormat="1">
      <c r="B12" s="3219"/>
      <c r="C12" s="3180"/>
      <c r="D12" s="3180"/>
      <c r="E12" s="3343"/>
      <c r="F12" s="3343" t="str">
        <f>'5. Management'!F34</f>
        <v>Start</v>
      </c>
      <c r="G12" s="3180"/>
      <c r="H12" s="3236" t="str">
        <f>'5. Management'!H34</f>
        <v>Without</v>
      </c>
      <c r="I12" s="3343"/>
      <c r="J12" s="3236" t="str">
        <f>'5. Management'!J34</f>
        <v>With</v>
      </c>
      <c r="K12" s="3343"/>
      <c r="L12" s="3180"/>
      <c r="M12" s="3236" t="str">
        <f>H12</f>
        <v>Without</v>
      </c>
      <c r="N12" s="3236" t="str">
        <f>J12</f>
        <v>With</v>
      </c>
      <c r="O12" s="3180"/>
      <c r="P12" s="3343"/>
      <c r="Q12" s="3364" t="str">
        <f>F12</f>
        <v>Start</v>
      </c>
      <c r="R12" s="3180" t="str">
        <f>H12</f>
        <v>Without</v>
      </c>
      <c r="S12" s="3180"/>
      <c r="T12" s="3343" t="str">
        <f>J12</f>
        <v>With</v>
      </c>
      <c r="U12" s="3364"/>
      <c r="V12" s="3343"/>
      <c r="W12" s="3343"/>
      <c r="X12" s="3343"/>
      <c r="Y12" s="3343"/>
      <c r="Z12" s="3917" t="str">
        <f>'5. Management'!Y33</f>
        <v>(tCO2-eq)</v>
      </c>
      <c r="AA12" s="3917"/>
      <c r="AB12" s="3343"/>
    </row>
    <row r="13" spans="1:28" s="1704" customFormat="1">
      <c r="B13" s="3219"/>
      <c r="C13" s="3180"/>
      <c r="D13" s="3180"/>
      <c r="E13" s="3343"/>
      <c r="F13" s="3343"/>
      <c r="G13" s="3180"/>
      <c r="H13" s="3180"/>
      <c r="I13" s="3343"/>
      <c r="J13" s="3343"/>
      <c r="K13" s="3343"/>
      <c r="L13" s="3180"/>
      <c r="M13" s="3343"/>
      <c r="N13" s="3343"/>
      <c r="O13" s="3180"/>
      <c r="P13" s="3343"/>
      <c r="Q13" s="3343"/>
      <c r="R13" s="3180"/>
      <c r="S13" s="3180"/>
      <c r="T13" s="3364"/>
      <c r="U13" s="3364"/>
      <c r="V13" s="3343"/>
      <c r="W13" s="3343"/>
      <c r="X13" s="3343"/>
      <c r="Y13" s="3343"/>
      <c r="Z13" s="3236" t="str">
        <f>H12</f>
        <v>Without</v>
      </c>
      <c r="AA13" s="3236" t="str">
        <f>J12</f>
        <v>With</v>
      </c>
      <c r="AB13" s="3343"/>
    </row>
    <row r="14" spans="1:28" s="1704" customFormat="1">
      <c r="B14" s="3219" t="str">
        <f>HLOOKUP(select,'Name translation'!$A$1:$H$54,54,)</f>
        <v>Mangrove</v>
      </c>
      <c r="C14" s="3180"/>
      <c r="D14" s="3180"/>
      <c r="E14" s="3343"/>
      <c r="F14" s="3339">
        <v>0</v>
      </c>
      <c r="G14" s="3180"/>
      <c r="H14" s="3414">
        <v>0</v>
      </c>
      <c r="I14" s="3343"/>
      <c r="J14" s="3414">
        <v>0</v>
      </c>
      <c r="K14" s="3343"/>
      <c r="L14" s="3180"/>
      <c r="M14" s="3415">
        <f>F14*H14</f>
        <v>0</v>
      </c>
      <c r="N14" s="3415">
        <f>F14*J14</f>
        <v>0</v>
      </c>
      <c r="O14" s="3180"/>
      <c r="P14" s="3343"/>
      <c r="Q14" s="3416">
        <f>F14</f>
        <v>0</v>
      </c>
      <c r="R14" s="3364">
        <f>$F14*(1-H14)</f>
        <v>0</v>
      </c>
      <c r="S14" s="3180"/>
      <c r="T14" s="3364">
        <f>$F14*(1-J14)</f>
        <v>0</v>
      </c>
      <c r="U14" s="3364"/>
      <c r="V14" s="3343"/>
      <c r="W14" s="3343"/>
      <c r="X14" s="3343"/>
      <c r="Y14" s="3343"/>
      <c r="Z14" s="3236">
        <f>Wetlands!P18</f>
        <v>0</v>
      </c>
      <c r="AA14" s="3236">
        <f>Wetlands!Q18</f>
        <v>0</v>
      </c>
      <c r="AB14" s="3236">
        <f>AA14-Z14</f>
        <v>0</v>
      </c>
    </row>
    <row r="15" spans="1:28" s="1704" customFormat="1">
      <c r="B15" s="3219" t="str">
        <f>HLOOKUP(select,translations!$A$521:$H$550,25,)</f>
        <v>Tidal marsh</v>
      </c>
      <c r="C15" s="3180"/>
      <c r="D15" s="3180"/>
      <c r="E15" s="3343"/>
      <c r="F15" s="3339">
        <v>0</v>
      </c>
      <c r="G15" s="3180"/>
      <c r="H15" s="3414">
        <v>0</v>
      </c>
      <c r="I15" s="3343"/>
      <c r="J15" s="3414">
        <v>0</v>
      </c>
      <c r="K15" s="3343"/>
      <c r="L15" s="3180"/>
      <c r="M15" s="3415">
        <f>F15*H15</f>
        <v>0</v>
      </c>
      <c r="N15" s="3415">
        <f>F15*J15</f>
        <v>0</v>
      </c>
      <c r="O15" s="3180"/>
      <c r="P15" s="3343"/>
      <c r="Q15" s="3416">
        <f>F15</f>
        <v>0</v>
      </c>
      <c r="R15" s="3364">
        <f>$F15*(1-H15)</f>
        <v>0</v>
      </c>
      <c r="S15" s="3180"/>
      <c r="T15" s="3364">
        <f>$F15*(1-J15)</f>
        <v>0</v>
      </c>
      <c r="U15" s="3364"/>
      <c r="V15" s="3343"/>
      <c r="W15" s="3343"/>
      <c r="X15" s="3343"/>
      <c r="Y15" s="3343"/>
      <c r="Z15" s="3236">
        <f>Wetlands!P19</f>
        <v>0</v>
      </c>
      <c r="AA15" s="3236">
        <f>Wetlands!Q19</f>
        <v>0</v>
      </c>
      <c r="AB15" s="3236">
        <f t="shared" ref="AB15:AB16" si="0">AA15-Z15</f>
        <v>0</v>
      </c>
    </row>
    <row r="16" spans="1:28" s="1704" customFormat="1">
      <c r="B16" s="3219" t="str">
        <f>HLOOKUP(select,translations!$A$521:$H$550,26,)</f>
        <v>Seagrass meadow</v>
      </c>
      <c r="C16" s="3180"/>
      <c r="D16" s="3180"/>
      <c r="E16" s="3343"/>
      <c r="F16" s="3339">
        <v>0</v>
      </c>
      <c r="G16" s="3180"/>
      <c r="H16" s="3414">
        <v>0</v>
      </c>
      <c r="I16" s="3343"/>
      <c r="J16" s="3414">
        <v>0</v>
      </c>
      <c r="K16" s="3343"/>
      <c r="L16" s="3180"/>
      <c r="M16" s="3415">
        <f>F16*H16</f>
        <v>0</v>
      </c>
      <c r="N16" s="3415">
        <f>F16*J16</f>
        <v>0</v>
      </c>
      <c r="O16" s="3180"/>
      <c r="P16" s="3343"/>
      <c r="Q16" s="3416">
        <f>F16</f>
        <v>0</v>
      </c>
      <c r="R16" s="3364">
        <f>$F16*(1-H16)</f>
        <v>0</v>
      </c>
      <c r="S16" s="3180"/>
      <c r="T16" s="3364">
        <f>$F16*(1-J16)</f>
        <v>0</v>
      </c>
      <c r="U16" s="3364"/>
      <c r="V16" s="3343"/>
      <c r="W16" s="3343"/>
      <c r="X16" s="3343"/>
      <c r="Y16" s="3343"/>
      <c r="Z16" s="3236">
        <f>Wetlands!P20</f>
        <v>0</v>
      </c>
      <c r="AA16" s="3236">
        <f>Wetlands!Q20</f>
        <v>0</v>
      </c>
      <c r="AB16" s="3236">
        <f t="shared" si="0"/>
        <v>0</v>
      </c>
    </row>
    <row r="17" spans="2:28" s="1704" customFormat="1">
      <c r="B17" s="2833"/>
      <c r="AB17" s="1709"/>
    </row>
    <row r="18" spans="2:28" s="1704" customFormat="1">
      <c r="B18" s="2833"/>
      <c r="E18" s="1709"/>
      <c r="F18" s="1709"/>
      <c r="I18" s="1709"/>
      <c r="J18" s="1709"/>
      <c r="K18" s="1709"/>
      <c r="L18" s="1709"/>
      <c r="M18" s="1709"/>
      <c r="N18" s="1709"/>
      <c r="O18" s="1709"/>
      <c r="P18" s="1709"/>
      <c r="Q18" s="1709"/>
      <c r="R18" s="3237" t="str">
        <f>HLOOKUP(select,translations!$A$521:$H$550,23,)</f>
        <v>Total for extraction and excavation</v>
      </c>
      <c r="S18" s="3238"/>
      <c r="T18" s="3238"/>
      <c r="U18" s="3238"/>
      <c r="V18" s="3238"/>
      <c r="W18" s="3238"/>
      <c r="X18" s="3238"/>
      <c r="Y18" s="3238"/>
      <c r="Z18" s="3240">
        <f>SUM(Z14:Z16)</f>
        <v>0</v>
      </c>
      <c r="AA18" s="3240">
        <f t="shared" ref="AA18:AB18" si="1">SUM(AA14:AA16)</f>
        <v>0</v>
      </c>
      <c r="AB18" s="3240">
        <f t="shared" si="1"/>
        <v>0</v>
      </c>
    </row>
    <row r="19" spans="2:28" s="1704" customFormat="1">
      <c r="B19" s="2833"/>
      <c r="E19" s="1709"/>
      <c r="F19" s="1709"/>
      <c r="I19" s="1709"/>
      <c r="J19" s="1709"/>
      <c r="K19" s="1709"/>
      <c r="L19" s="1709"/>
      <c r="M19" s="1709"/>
      <c r="N19" s="1709"/>
      <c r="O19" s="1709"/>
      <c r="P19" s="1709"/>
      <c r="Q19" s="1709"/>
      <c r="R19" s="1709"/>
      <c r="S19" s="1709"/>
      <c r="T19" s="1709"/>
      <c r="U19" s="3370"/>
      <c r="V19" s="1709"/>
      <c r="W19" s="1709"/>
      <c r="X19" s="1709"/>
      <c r="Y19" s="1709"/>
      <c r="Z19" s="1709"/>
      <c r="AA19" s="1709"/>
      <c r="AB19" s="1709"/>
    </row>
    <row r="20" spans="2:28" s="1704" customFormat="1">
      <c r="B20" s="3555" t="str">
        <f>HLOOKUP(select,translations!$A$521:$H$550,24,)</f>
        <v xml:space="preserve">6.1.2. Drainage </v>
      </c>
      <c r="C20" s="3169"/>
      <c r="D20" s="3169"/>
      <c r="E20" s="3179"/>
      <c r="F20" s="3179"/>
      <c r="G20" s="3169"/>
      <c r="H20" s="3169"/>
      <c r="I20" s="3179"/>
      <c r="J20" s="3179"/>
      <c r="K20" s="3179"/>
      <c r="L20" s="3179"/>
      <c r="M20" s="3179"/>
      <c r="N20" s="3179"/>
      <c r="O20" s="3179"/>
      <c r="P20" s="3179"/>
      <c r="Q20" s="3179"/>
      <c r="R20" s="3179"/>
      <c r="S20" s="3179"/>
      <c r="T20" s="3179"/>
      <c r="U20" s="3179"/>
      <c r="V20" s="3179"/>
      <c r="W20" s="3179"/>
      <c r="X20" s="3179"/>
      <c r="Y20" s="3179"/>
      <c r="Z20" s="3179"/>
      <c r="AA20" s="3179"/>
      <c r="AB20" s="3179"/>
    </row>
    <row r="21" spans="2:28" s="1704" customFormat="1">
      <c r="B21" s="2833"/>
      <c r="E21" s="1709"/>
      <c r="F21" s="1709"/>
      <c r="I21" s="1709"/>
      <c r="J21" s="1709"/>
      <c r="K21" s="1709"/>
      <c r="L21" s="1709"/>
      <c r="M21" s="1709"/>
      <c r="N21" s="1709"/>
      <c r="O21" s="1709"/>
      <c r="P21" s="1709"/>
      <c r="Q21" s="1709"/>
      <c r="R21" s="1709"/>
      <c r="S21" s="1709"/>
      <c r="T21" s="1709"/>
      <c r="U21" s="3370"/>
      <c r="V21" s="1709"/>
      <c r="W21" s="1709"/>
      <c r="X21" s="1709"/>
      <c r="Y21" s="1709"/>
      <c r="Z21" s="1709"/>
      <c r="AA21" s="1709"/>
      <c r="AB21" s="1709"/>
    </row>
    <row r="22" spans="2:28" s="1704" customFormat="1">
      <c r="B22" s="3219" t="str">
        <f>B11</f>
        <v>Type of vegetation</v>
      </c>
      <c r="C22" s="3180"/>
      <c r="D22" s="3180"/>
      <c r="E22" s="3180"/>
      <c r="F22" s="3417" t="str">
        <f>HLOOKUP(select,translations!$B$624:$H$635,9,)</f>
        <v>% drained</v>
      </c>
      <c r="G22" s="3417"/>
      <c r="H22" s="3417"/>
      <c r="I22" s="3417"/>
      <c r="J22" s="3417"/>
      <c r="K22" s="3180"/>
      <c r="L22" s="3417" t="str">
        <f>HLOOKUP(select,translations!$A$521:$H$550,27,)</f>
        <v>Area drained (ha)</v>
      </c>
      <c r="M22" s="3417"/>
      <c r="N22" s="3417"/>
      <c r="O22" s="3180"/>
      <c r="P22" s="3180"/>
      <c r="Q22" s="3633"/>
      <c r="R22" s="3633" t="str">
        <f>HLOOKUP(select,translations!$A$521:$H$581,58,)</f>
        <v>Percentage of biomass lost due to drainage</v>
      </c>
      <c r="S22" s="3633"/>
      <c r="T22" s="3634"/>
      <c r="U22" s="3634"/>
      <c r="V22" s="3634"/>
      <c r="W22" s="3634"/>
      <c r="X22" s="3633"/>
      <c r="Y22" s="3634"/>
      <c r="Z22" s="3918" t="str">
        <f>Z11</f>
        <v>Total Emissions</v>
      </c>
      <c r="AA22" s="3918"/>
      <c r="AB22" s="3270" t="str">
        <f>AB11</f>
        <v>Balance</v>
      </c>
    </row>
    <row r="23" spans="2:28" s="1704" customFormat="1">
      <c r="B23" s="3219"/>
      <c r="C23" s="3180"/>
      <c r="D23" s="3180"/>
      <c r="E23" s="3343"/>
      <c r="F23" s="3549" t="str">
        <f>Q12</f>
        <v>Start</v>
      </c>
      <c r="G23" s="3180"/>
      <c r="H23" s="3549" t="str">
        <f>R12</f>
        <v>Without</v>
      </c>
      <c r="I23" s="3343"/>
      <c r="J23" s="3549" t="str">
        <f>T12</f>
        <v>With</v>
      </c>
      <c r="K23" s="3343"/>
      <c r="L23" s="3364" t="str">
        <f>F23</f>
        <v>Start</v>
      </c>
      <c r="M23" s="3364" t="str">
        <f>T23</f>
        <v>Without</v>
      </c>
      <c r="N23" s="3364" t="str">
        <f>V23</f>
        <v>With</v>
      </c>
      <c r="O23" s="3180"/>
      <c r="P23" s="3180"/>
      <c r="Q23" s="3633"/>
      <c r="R23" s="3634" t="str">
        <f>F12</f>
        <v>Start</v>
      </c>
      <c r="S23" s="3633">
        <f>P12</f>
        <v>0</v>
      </c>
      <c r="T23" s="3634" t="str">
        <f>R12</f>
        <v>Without</v>
      </c>
      <c r="U23" s="3634"/>
      <c r="V23" s="3634" t="str">
        <f>T12</f>
        <v>With</v>
      </c>
      <c r="W23" s="3634"/>
      <c r="X23" s="3633"/>
      <c r="Y23" s="3634"/>
      <c r="Z23" s="3917" t="str">
        <f>Z12</f>
        <v>(tCO2-eq)</v>
      </c>
      <c r="AA23" s="3917"/>
      <c r="AB23" s="3343"/>
    </row>
    <row r="24" spans="2:28" s="1704" customFormat="1">
      <c r="B24" s="3219"/>
      <c r="C24" s="3180"/>
      <c r="D24" s="3180"/>
      <c r="E24" s="3343"/>
      <c r="F24" s="3180"/>
      <c r="G24" s="3180"/>
      <c r="H24" s="3180"/>
      <c r="I24" s="3343"/>
      <c r="J24" s="3180"/>
      <c r="K24" s="3343"/>
      <c r="L24" s="3364"/>
      <c r="M24" s="3364"/>
      <c r="N24" s="3364"/>
      <c r="O24" s="3180"/>
      <c r="P24" s="3180"/>
      <c r="Q24" s="3633"/>
      <c r="R24" s="3634"/>
      <c r="S24" s="3633"/>
      <c r="T24" s="3634"/>
      <c r="U24" s="3634"/>
      <c r="V24" s="3634"/>
      <c r="W24" s="3634"/>
      <c r="X24" s="3633"/>
      <c r="Y24" s="3634"/>
      <c r="Z24" s="3236" t="str">
        <f>Z13</f>
        <v>Without</v>
      </c>
      <c r="AA24" s="3236" t="str">
        <f>AA13</f>
        <v>With</v>
      </c>
      <c r="AB24" s="3343"/>
    </row>
    <row r="25" spans="2:28" s="1704" customFormat="1">
      <c r="B25" s="3219" t="str">
        <f>B14</f>
        <v>Mangrove</v>
      </c>
      <c r="C25" s="3180"/>
      <c r="D25" s="3180"/>
      <c r="E25" s="3343"/>
      <c r="F25" s="3414">
        <v>0</v>
      </c>
      <c r="G25" s="3180"/>
      <c r="H25" s="3414">
        <v>0</v>
      </c>
      <c r="I25" s="2113" t="s">
        <v>1498</v>
      </c>
      <c r="J25" s="3414">
        <v>0</v>
      </c>
      <c r="K25" s="2113" t="s">
        <v>1498</v>
      </c>
      <c r="L25" s="3364">
        <f>F25*Q14</f>
        <v>0</v>
      </c>
      <c r="M25" s="3415">
        <f>R14*H25</f>
        <v>0</v>
      </c>
      <c r="N25" s="3415">
        <f>J25*T14</f>
        <v>0</v>
      </c>
      <c r="O25" s="3180"/>
      <c r="P25" s="3180"/>
      <c r="Q25" s="3633"/>
      <c r="R25" s="3635">
        <v>1</v>
      </c>
      <c r="S25" s="3633"/>
      <c r="T25" s="3635">
        <v>1</v>
      </c>
      <c r="U25" s="3634"/>
      <c r="V25" s="3635">
        <v>1</v>
      </c>
      <c r="W25" s="3634"/>
      <c r="X25" s="3633"/>
      <c r="Y25" s="3634"/>
      <c r="Z25" s="3236">
        <f>Wetlands!Q46+Wetlands!P37</f>
        <v>0</v>
      </c>
      <c r="AA25" s="3236">
        <f>Wetlands!R46+Wetlands!Q37</f>
        <v>0</v>
      </c>
      <c r="AB25" s="3236">
        <f>AA25-Z25</f>
        <v>0</v>
      </c>
    </row>
    <row r="26" spans="2:28" s="1704" customFormat="1">
      <c r="B26" s="3219" t="str">
        <f t="shared" ref="B26:B27" si="2">B15</f>
        <v>Tidal marsh</v>
      </c>
      <c r="C26" s="3180"/>
      <c r="D26" s="3180"/>
      <c r="E26" s="3343"/>
      <c r="F26" s="3414">
        <v>0</v>
      </c>
      <c r="G26" s="3180"/>
      <c r="H26" s="3414">
        <v>0</v>
      </c>
      <c r="I26" s="2113" t="s">
        <v>1498</v>
      </c>
      <c r="J26" s="3414">
        <v>0</v>
      </c>
      <c r="K26" s="2113" t="s">
        <v>1498</v>
      </c>
      <c r="L26" s="3364">
        <f t="shared" ref="L26:L27" si="3">F26*Q15</f>
        <v>0</v>
      </c>
      <c r="M26" s="3415">
        <f t="shared" ref="M26:M27" si="4">R15*H26</f>
        <v>0</v>
      </c>
      <c r="N26" s="3415">
        <f t="shared" ref="N26:N27" si="5">J26*T15</f>
        <v>0</v>
      </c>
      <c r="O26" s="3180"/>
      <c r="P26" s="3180"/>
      <c r="Q26" s="3633"/>
      <c r="R26" s="3635">
        <v>1</v>
      </c>
      <c r="S26" s="3633"/>
      <c r="T26" s="3635">
        <v>1</v>
      </c>
      <c r="U26" s="3634"/>
      <c r="V26" s="3635">
        <v>1</v>
      </c>
      <c r="W26" s="3634"/>
      <c r="X26" s="3633"/>
      <c r="Y26" s="3634"/>
      <c r="Z26" s="3236">
        <f>Wetlands!Q47+Wetlands!P38</f>
        <v>0</v>
      </c>
      <c r="AA26" s="3236">
        <f>Wetlands!R47+Wetlands!Q38</f>
        <v>0</v>
      </c>
      <c r="AB26" s="3236">
        <f t="shared" ref="AB26:AB27" si="6">AA26-Z26</f>
        <v>0</v>
      </c>
    </row>
    <row r="27" spans="2:28" s="1704" customFormat="1">
      <c r="B27" s="3219" t="str">
        <f t="shared" si="2"/>
        <v>Seagrass meadow</v>
      </c>
      <c r="C27" s="3180"/>
      <c r="D27" s="3180"/>
      <c r="E27" s="3343"/>
      <c r="F27" s="3414">
        <v>0</v>
      </c>
      <c r="G27" s="3180"/>
      <c r="H27" s="3414">
        <v>0</v>
      </c>
      <c r="I27" s="2113" t="s">
        <v>1498</v>
      </c>
      <c r="J27" s="3414">
        <v>0</v>
      </c>
      <c r="K27" s="2113" t="s">
        <v>1498</v>
      </c>
      <c r="L27" s="3364">
        <f t="shared" si="3"/>
        <v>0</v>
      </c>
      <c r="M27" s="3415">
        <f t="shared" si="4"/>
        <v>0</v>
      </c>
      <c r="N27" s="3415">
        <f t="shared" si="5"/>
        <v>0</v>
      </c>
      <c r="O27" s="3180"/>
      <c r="P27" s="3180"/>
      <c r="Q27" s="3633"/>
      <c r="R27" s="3635">
        <v>1</v>
      </c>
      <c r="S27" s="3633"/>
      <c r="T27" s="3635">
        <v>1</v>
      </c>
      <c r="U27" s="3634"/>
      <c r="V27" s="3635">
        <v>1</v>
      </c>
      <c r="W27" s="3634"/>
      <c r="X27" s="3633"/>
      <c r="Y27" s="3634"/>
      <c r="Z27" s="3236">
        <f>Wetlands!Q48+Wetlands!P39</f>
        <v>0</v>
      </c>
      <c r="AA27" s="3236">
        <f>Wetlands!R48+Wetlands!Q39</f>
        <v>0</v>
      </c>
      <c r="AB27" s="3236">
        <f t="shared" si="6"/>
        <v>0</v>
      </c>
    </row>
    <row r="28" spans="2:28" s="1704" customFormat="1">
      <c r="B28" s="2833"/>
      <c r="E28" s="1709"/>
      <c r="F28" s="1709"/>
      <c r="I28" s="2135" t="str">
        <f>'5. Management'!J21</f>
        <v>* Note concerning dynamics of change : "D" corresponds to default/linear, "I" to immediate and "E" to exponential (Please refer to the guidelines)</v>
      </c>
      <c r="J28" s="2170"/>
      <c r="K28" s="2170"/>
      <c r="L28" s="2170"/>
      <c r="M28" s="2170"/>
      <c r="N28" s="2170"/>
      <c r="O28" s="2170"/>
      <c r="P28" s="2170"/>
      <c r="Q28" s="2170"/>
      <c r="R28" s="2170"/>
      <c r="S28" s="2170"/>
      <c r="T28" s="2170"/>
      <c r="U28" s="2170"/>
      <c r="V28" s="2170"/>
      <c r="W28" s="2170"/>
      <c r="X28" s="2170"/>
      <c r="Y28" s="2170"/>
      <c r="Z28" s="2170"/>
      <c r="AA28" s="2170"/>
      <c r="AB28" s="2170"/>
    </row>
    <row r="29" spans="2:28" s="1704" customFormat="1">
      <c r="B29" s="2833"/>
      <c r="E29" s="1709"/>
      <c r="F29" s="1709"/>
      <c r="I29" s="1709"/>
      <c r="J29" s="1709"/>
      <c r="K29" s="1709"/>
      <c r="L29" s="1709"/>
      <c r="M29" s="1709"/>
      <c r="N29" s="1709"/>
      <c r="O29" s="1709"/>
      <c r="P29" s="1709"/>
      <c r="Q29" s="1709"/>
      <c r="R29" s="1709"/>
      <c r="S29" s="1709"/>
      <c r="T29" s="1709"/>
      <c r="U29" s="3370"/>
      <c r="V29" s="1709"/>
      <c r="W29" s="1709"/>
      <c r="X29" s="1709"/>
      <c r="Y29" s="1709"/>
      <c r="Z29" s="1709"/>
      <c r="AA29" s="1709"/>
      <c r="AB29" s="1709"/>
    </row>
    <row r="30" spans="2:28" s="1704" customFormat="1">
      <c r="B30" s="2833"/>
      <c r="R30" s="3237" t="str">
        <f>'5. Management'!R42</f>
        <v>Total for Drainage</v>
      </c>
      <c r="S30" s="3169"/>
      <c r="T30" s="3169"/>
      <c r="U30" s="3169"/>
      <c r="V30" s="3169"/>
      <c r="W30" s="3169"/>
      <c r="X30" s="3169"/>
      <c r="Y30" s="3169"/>
      <c r="Z30" s="3240">
        <f>SUM(Z25:Z27)</f>
        <v>0</v>
      </c>
      <c r="AA30" s="3240">
        <f>SUM(AA25:AA27)</f>
        <v>0</v>
      </c>
      <c r="AB30" s="3240">
        <f>SUM(AB25:AB27)</f>
        <v>0</v>
      </c>
    </row>
    <row r="31" spans="2:28" s="1704" customFormat="1">
      <c r="B31" s="2833"/>
      <c r="E31" s="1709"/>
      <c r="F31" s="1709"/>
      <c r="I31" s="1709"/>
      <c r="J31" s="1709"/>
      <c r="K31" s="1709"/>
      <c r="L31" s="1709"/>
      <c r="M31" s="1709"/>
      <c r="N31" s="1709"/>
      <c r="O31" s="1709"/>
      <c r="P31" s="1709"/>
      <c r="Q31" s="1709"/>
      <c r="R31" s="1709"/>
      <c r="S31" s="1709"/>
      <c r="T31" s="1709"/>
      <c r="U31" s="3370"/>
      <c r="V31" s="1709"/>
      <c r="W31" s="1709"/>
      <c r="X31" s="1709"/>
      <c r="Y31" s="1709"/>
      <c r="Z31" s="1709"/>
      <c r="AA31" s="1709"/>
      <c r="AB31" s="1709"/>
    </row>
    <row r="32" spans="2:28" s="1704" customFormat="1">
      <c r="B32" s="3555" t="str">
        <f>HLOOKUP(select,translations!$A$521:$H$550,29,)</f>
        <v>6.1.3. Rewetting</v>
      </c>
      <c r="C32" s="3169"/>
      <c r="D32" s="3169"/>
      <c r="E32" s="3179"/>
      <c r="F32" s="3179"/>
      <c r="G32" s="3169"/>
      <c r="H32" s="3169"/>
      <c r="I32" s="3179"/>
      <c r="J32" s="3179"/>
      <c r="K32" s="3179"/>
      <c r="L32" s="3179"/>
      <c r="M32" s="3179"/>
      <c r="N32" s="3179"/>
      <c r="O32" s="3179"/>
      <c r="P32" s="3179"/>
      <c r="Q32" s="3179"/>
      <c r="R32" s="3179"/>
      <c r="S32" s="3179"/>
      <c r="T32" s="3179"/>
      <c r="U32" s="3179"/>
      <c r="V32" s="3179"/>
      <c r="W32" s="3179"/>
      <c r="X32" s="3179"/>
      <c r="Y32" s="3179"/>
      <c r="Z32" s="3179"/>
      <c r="AA32" s="3179"/>
      <c r="AB32" s="3179"/>
    </row>
    <row r="33" spans="2:28" s="1704" customFormat="1">
      <c r="B33" s="2833"/>
      <c r="AB33" s="1709"/>
    </row>
    <row r="34" spans="2:28" s="1704" customFormat="1">
      <c r="B34" s="3219" t="str">
        <f>B22</f>
        <v>Type of vegetation</v>
      </c>
      <c r="C34" s="3180"/>
      <c r="D34" s="3180"/>
      <c r="E34" s="3180"/>
      <c r="F34" s="3180" t="str">
        <f>HLOOKUP(select,translations!$A$521:$H$550,28,)</f>
        <v>Area rewetted (ha)</v>
      </c>
      <c r="G34" s="3180"/>
      <c r="H34" s="3180"/>
      <c r="I34" s="3180"/>
      <c r="J34" s="3180"/>
      <c r="K34" s="3180"/>
      <c r="L34" s="3180"/>
      <c r="M34" s="3180" t="str">
        <f>HLOOKUP(select,translations!$A$521:$H$581,59,)</f>
        <v>Percentage of nominal biomass restored</v>
      </c>
      <c r="N34" s="3180"/>
      <c r="O34" s="3180"/>
      <c r="P34" s="3343"/>
      <c r="Q34" s="3343"/>
      <c r="R34" s="3343"/>
      <c r="S34" s="3343"/>
      <c r="T34" s="3343"/>
      <c r="U34" s="3364"/>
      <c r="V34" s="3343"/>
      <c r="W34" s="3343"/>
      <c r="X34" s="3343"/>
      <c r="Y34" s="3343"/>
      <c r="Z34" s="3918" t="str">
        <f>Z22</f>
        <v>Total Emissions</v>
      </c>
      <c r="AA34" s="3918"/>
      <c r="AB34" s="3270" t="str">
        <f>AB22</f>
        <v>Balance</v>
      </c>
    </row>
    <row r="35" spans="2:28" s="1704" customFormat="1">
      <c r="B35" s="3219"/>
      <c r="C35" s="3180"/>
      <c r="D35" s="3180"/>
      <c r="E35" s="3343"/>
      <c r="F35" s="3343" t="str">
        <f>Q12</f>
        <v>Start</v>
      </c>
      <c r="G35" s="3180"/>
      <c r="H35" s="3549" t="str">
        <f>R12</f>
        <v>Without</v>
      </c>
      <c r="I35" s="3343"/>
      <c r="J35" s="3343" t="str">
        <f>T12</f>
        <v>With</v>
      </c>
      <c r="K35" s="3343"/>
      <c r="L35" s="3343"/>
      <c r="M35" s="3343"/>
      <c r="N35" s="3343"/>
      <c r="O35" s="3343"/>
      <c r="P35" s="3343" t="str">
        <f>T23</f>
        <v>Without</v>
      </c>
      <c r="Q35" s="3343" t="str">
        <f>V23</f>
        <v>With</v>
      </c>
      <c r="R35" s="3343"/>
      <c r="S35" s="3343"/>
      <c r="T35" s="3343"/>
      <c r="U35" s="3364"/>
      <c r="V35" s="3343"/>
      <c r="W35" s="3343"/>
      <c r="X35" s="3343"/>
      <c r="Y35" s="3343"/>
      <c r="Z35" s="3917" t="str">
        <f>Z23</f>
        <v>(tCO2-eq)</v>
      </c>
      <c r="AA35" s="3917"/>
      <c r="AB35" s="3343"/>
    </row>
    <row r="36" spans="2:28" s="1704" customFormat="1">
      <c r="B36" s="3219"/>
      <c r="C36" s="3180"/>
      <c r="D36" s="3180"/>
      <c r="E36" s="3343"/>
      <c r="F36" s="3343"/>
      <c r="G36" s="3180"/>
      <c r="H36" s="3180"/>
      <c r="I36" s="3343"/>
      <c r="J36" s="3343"/>
      <c r="K36" s="3343"/>
      <c r="L36" s="3343"/>
      <c r="M36" s="3343"/>
      <c r="N36" s="3343"/>
      <c r="O36" s="3343"/>
      <c r="P36" s="3343"/>
      <c r="Q36" s="3343"/>
      <c r="R36" s="3343"/>
      <c r="S36" s="3343"/>
      <c r="T36" s="3343"/>
      <c r="U36" s="3364"/>
      <c r="V36" s="3343"/>
      <c r="W36" s="3343"/>
      <c r="X36" s="3343"/>
      <c r="Y36" s="3343"/>
      <c r="Z36" s="3236" t="str">
        <f>Z24</f>
        <v>Without</v>
      </c>
      <c r="AA36" s="3236" t="str">
        <f>AA24</f>
        <v>With</v>
      </c>
      <c r="AB36" s="3343"/>
    </row>
    <row r="37" spans="2:28" s="1704" customFormat="1">
      <c r="B37" s="3219" t="str">
        <f>B25</f>
        <v>Mangrove</v>
      </c>
      <c r="C37" s="3180"/>
      <c r="D37" s="3180"/>
      <c r="E37" s="3343"/>
      <c r="F37" s="3339">
        <v>0</v>
      </c>
      <c r="G37" s="3180"/>
      <c r="H37" s="3339">
        <v>0</v>
      </c>
      <c r="I37" s="2113" t="s">
        <v>1498</v>
      </c>
      <c r="J37" s="3339">
        <v>0</v>
      </c>
      <c r="K37" s="2113" t="s">
        <v>1498</v>
      </c>
      <c r="L37" s="3343"/>
      <c r="M37" s="3343"/>
      <c r="N37" s="3343"/>
      <c r="O37" s="3343"/>
      <c r="P37" s="3326">
        <v>0</v>
      </c>
      <c r="Q37" s="3326">
        <v>0.5</v>
      </c>
      <c r="R37" s="3343"/>
      <c r="S37" s="3343"/>
      <c r="T37" s="3343"/>
      <c r="U37" s="3364"/>
      <c r="V37" s="3343"/>
      <c r="W37" s="3343"/>
      <c r="X37" s="3343"/>
      <c r="Y37" s="3343"/>
      <c r="Z37" s="3236">
        <f>Wetlands!S59+Wetlands!S69+Wetlands!S86</f>
        <v>0</v>
      </c>
      <c r="AA37" s="3236">
        <f>Wetlands!U59+Wetlands!U69+Wetlands!U86</f>
        <v>0</v>
      </c>
      <c r="AB37" s="3236">
        <f>AA37-Z37</f>
        <v>0</v>
      </c>
    </row>
    <row r="38" spans="2:28" s="1704" customFormat="1">
      <c r="B38" s="3219" t="str">
        <f t="shared" ref="B38:B39" si="7">B26</f>
        <v>Tidal marsh</v>
      </c>
      <c r="C38" s="3180"/>
      <c r="D38" s="3180"/>
      <c r="E38" s="3343"/>
      <c r="F38" s="3339">
        <v>0</v>
      </c>
      <c r="G38" s="3180"/>
      <c r="H38" s="3339">
        <v>0</v>
      </c>
      <c r="I38" s="2113" t="s">
        <v>1498</v>
      </c>
      <c r="J38" s="3339">
        <v>0</v>
      </c>
      <c r="K38" s="2113" t="s">
        <v>1498</v>
      </c>
      <c r="L38" s="3343"/>
      <c r="M38" s="3343"/>
      <c r="N38" s="3343"/>
      <c r="O38" s="3343"/>
      <c r="P38" s="3326">
        <v>0</v>
      </c>
      <c r="Q38" s="3326">
        <v>0.5</v>
      </c>
      <c r="R38" s="3343"/>
      <c r="S38" s="3343"/>
      <c r="T38" s="3343"/>
      <c r="U38" s="3364"/>
      <c r="V38" s="3343"/>
      <c r="W38" s="3343"/>
      <c r="X38" s="3343"/>
      <c r="Y38" s="3343"/>
      <c r="Z38" s="3236">
        <f>Wetlands!S60+Wetlands!S70+Wetlands!S87</f>
        <v>0</v>
      </c>
      <c r="AA38" s="3236">
        <f>Wetlands!U60+Wetlands!U70+Wetlands!U87</f>
        <v>0</v>
      </c>
      <c r="AB38" s="3236">
        <f t="shared" ref="AB38:AB39" si="8">AA38-Z38</f>
        <v>0</v>
      </c>
    </row>
    <row r="39" spans="2:28" s="1704" customFormat="1">
      <c r="B39" s="3219" t="str">
        <f t="shared" si="7"/>
        <v>Seagrass meadow</v>
      </c>
      <c r="C39" s="3180"/>
      <c r="D39" s="3180"/>
      <c r="E39" s="3343"/>
      <c r="F39" s="3339">
        <v>0</v>
      </c>
      <c r="G39" s="3180"/>
      <c r="H39" s="3339">
        <v>0</v>
      </c>
      <c r="I39" s="2113" t="s">
        <v>1498</v>
      </c>
      <c r="J39" s="3339">
        <v>0</v>
      </c>
      <c r="K39" s="2113" t="s">
        <v>1498</v>
      </c>
      <c r="L39" s="3343"/>
      <c r="M39" s="3343"/>
      <c r="N39" s="3343"/>
      <c r="O39" s="3343"/>
      <c r="P39" s="3326">
        <v>0</v>
      </c>
      <c r="Q39" s="3326">
        <v>0.5</v>
      </c>
      <c r="R39" s="3343"/>
      <c r="S39" s="3343"/>
      <c r="T39" s="3343"/>
      <c r="U39" s="3364"/>
      <c r="V39" s="3343"/>
      <c r="W39" s="3343"/>
      <c r="X39" s="3343"/>
      <c r="Y39" s="3343"/>
      <c r="Z39" s="3236">
        <f>Wetlands!S61+Wetlands!S71+Wetlands!S88</f>
        <v>0</v>
      </c>
      <c r="AA39" s="3236">
        <f>Wetlands!U61+Wetlands!U71+Wetlands!U88</f>
        <v>0</v>
      </c>
      <c r="AB39" s="3236">
        <f t="shared" si="8"/>
        <v>0</v>
      </c>
    </row>
    <row r="40" spans="2:28" s="1704" customFormat="1">
      <c r="E40" s="1709"/>
      <c r="F40" s="1709"/>
      <c r="I40" s="2135" t="str">
        <f>I28</f>
        <v>* Note concerning dynamics of change : "D" corresponds to default/linear, "I" to immediate and "E" to exponential (Please refer to the guidelines)</v>
      </c>
      <c r="J40" s="2170"/>
      <c r="K40" s="2170"/>
      <c r="L40" s="2170"/>
      <c r="M40" s="2170"/>
      <c r="N40" s="2170"/>
      <c r="O40" s="2170"/>
      <c r="P40" s="2170"/>
      <c r="Q40" s="2170"/>
      <c r="R40" s="2170"/>
      <c r="S40" s="2170"/>
      <c r="T40" s="2170"/>
      <c r="U40" s="2170"/>
      <c r="V40" s="2170"/>
      <c r="W40" s="2170"/>
      <c r="X40" s="2170"/>
      <c r="Y40" s="2170"/>
      <c r="Z40" s="2170"/>
      <c r="AA40" s="2170"/>
      <c r="AB40" s="2170"/>
    </row>
    <row r="41" spans="2:28" s="1704" customFormat="1">
      <c r="E41" s="1709"/>
      <c r="F41" s="1709"/>
      <c r="I41" s="1709"/>
      <c r="J41" s="1709"/>
      <c r="K41" s="1709"/>
      <c r="L41" s="1709"/>
      <c r="M41" s="1709"/>
      <c r="N41" s="1709"/>
      <c r="O41" s="1709"/>
      <c r="P41" s="1709"/>
      <c r="Q41" s="1709"/>
      <c r="R41" s="1709"/>
      <c r="S41" s="1709"/>
      <c r="T41" s="1709"/>
      <c r="U41" s="3370"/>
      <c r="V41" s="1709"/>
      <c r="W41" s="1709"/>
      <c r="X41" s="1709"/>
      <c r="Y41" s="1709"/>
      <c r="Z41" s="1709"/>
      <c r="AA41" s="1709"/>
      <c r="AB41" s="1709"/>
    </row>
    <row r="42" spans="2:28" s="1704" customFormat="1">
      <c r="E42" s="1709"/>
      <c r="F42" s="1709"/>
      <c r="I42" s="1709"/>
      <c r="J42" s="1709"/>
      <c r="K42" s="1709"/>
      <c r="L42" s="1709"/>
      <c r="M42" s="1709"/>
      <c r="N42" s="1709"/>
      <c r="O42" s="1709"/>
      <c r="P42" s="1709"/>
      <c r="Q42" s="1709"/>
      <c r="R42" s="3237" t="str">
        <f>HLOOKUP(select,translations!$A$521:$H$581,61,)</f>
        <v>Total for Rewetting</v>
      </c>
      <c r="S42" s="3169"/>
      <c r="T42" s="3169"/>
      <c r="U42" s="3169"/>
      <c r="V42" s="3169"/>
      <c r="W42" s="3169"/>
      <c r="X42" s="3169"/>
      <c r="Y42" s="3169"/>
      <c r="Z42" s="3240">
        <f>SUM(Z37:Z39)</f>
        <v>0</v>
      </c>
      <c r="AA42" s="3240">
        <f>SUM(AA37:AA39)</f>
        <v>0</v>
      </c>
      <c r="AB42" s="3240">
        <f>SUM(AB37:AB39)</f>
        <v>0</v>
      </c>
    </row>
    <row r="43" spans="2:28" s="1704" customFormat="1">
      <c r="E43" s="1709"/>
      <c r="F43" s="1709"/>
      <c r="I43" s="1709"/>
      <c r="J43" s="1709"/>
      <c r="K43" s="1709"/>
      <c r="L43" s="1709"/>
      <c r="M43" s="1709"/>
      <c r="N43" s="1709"/>
      <c r="O43" s="1709"/>
      <c r="P43" s="1709"/>
      <c r="Q43" s="1709"/>
      <c r="R43" s="1709"/>
      <c r="S43" s="1709"/>
      <c r="T43" s="1709"/>
      <c r="U43" s="3370"/>
      <c r="V43" s="1709"/>
      <c r="W43" s="1709"/>
      <c r="X43" s="1709"/>
      <c r="Y43" s="1709"/>
      <c r="Z43" s="1709"/>
      <c r="AA43" s="1709"/>
    </row>
    <row r="44" spans="2:28" s="1704" customFormat="1">
      <c r="E44" s="1709"/>
      <c r="F44" s="1709"/>
      <c r="I44" s="1709"/>
      <c r="J44" s="1709"/>
      <c r="K44" s="1709"/>
      <c r="L44" s="1709"/>
      <c r="M44" s="1709"/>
      <c r="N44" s="1709"/>
      <c r="O44" s="1709"/>
      <c r="P44" s="1709"/>
      <c r="Q44" s="1709"/>
      <c r="R44" s="1709"/>
      <c r="S44" s="1709"/>
      <c r="T44" s="1709"/>
      <c r="U44" s="3370"/>
      <c r="V44" s="1709"/>
      <c r="W44" s="1709"/>
      <c r="X44" s="1709"/>
      <c r="Y44" s="1709"/>
      <c r="Z44" s="1709"/>
      <c r="AA44" s="1709"/>
    </row>
    <row r="45" spans="2:28" s="1704" customFormat="1">
      <c r="E45" s="1709"/>
      <c r="F45" s="1709"/>
      <c r="I45" s="1709"/>
      <c r="J45" s="1709"/>
      <c r="K45" s="1709"/>
      <c r="L45" s="1709"/>
      <c r="M45" s="1709"/>
      <c r="N45" s="1709"/>
      <c r="O45" s="1709"/>
      <c r="P45" s="1709"/>
      <c r="Q45" s="1709"/>
      <c r="R45" s="1709"/>
      <c r="S45" s="1709"/>
      <c r="T45" s="1709"/>
      <c r="U45" s="3370"/>
      <c r="V45" s="1709"/>
      <c r="W45" s="1709"/>
      <c r="X45" s="1709"/>
      <c r="Y45" s="1709"/>
      <c r="Z45" s="1709"/>
      <c r="AA45" s="1709"/>
    </row>
    <row r="46" spans="2:28" s="1704" customFormat="1">
      <c r="E46" s="1709"/>
      <c r="F46" s="1709"/>
      <c r="I46" s="1709"/>
      <c r="J46" s="1709"/>
      <c r="K46" s="1709"/>
      <c r="L46" s="1709"/>
      <c r="M46" s="1709"/>
      <c r="N46" s="1709"/>
      <c r="O46" s="1709"/>
      <c r="P46" s="1709"/>
      <c r="Q46" s="1709"/>
      <c r="R46" s="1709"/>
      <c r="S46" s="1709"/>
      <c r="T46" s="1709"/>
      <c r="U46" s="3370"/>
      <c r="V46" s="1709"/>
      <c r="W46" s="1709"/>
      <c r="X46" s="1709"/>
      <c r="Y46" s="1709"/>
      <c r="Z46" s="1709"/>
      <c r="AA46" s="1709"/>
    </row>
    <row r="47" spans="2:28" s="1704" customFormat="1">
      <c r="E47" s="1709"/>
      <c r="F47" s="1709"/>
      <c r="I47" s="1709"/>
      <c r="J47" s="1709"/>
      <c r="K47" s="1709"/>
      <c r="L47" s="1709"/>
      <c r="M47" s="1709"/>
      <c r="N47" s="1709"/>
      <c r="O47" s="1709"/>
      <c r="P47" s="1709"/>
      <c r="Q47" s="1709"/>
      <c r="R47" s="1709"/>
      <c r="S47" s="1709"/>
      <c r="T47" s="1709"/>
      <c r="U47" s="3370"/>
      <c r="V47" s="1709"/>
      <c r="W47" s="1709"/>
      <c r="X47" s="1709"/>
      <c r="Y47" s="1709"/>
      <c r="Z47" s="1709"/>
      <c r="AA47" s="1709"/>
    </row>
    <row r="48" spans="2:28" s="1704" customFormat="1">
      <c r="E48" s="1709"/>
      <c r="F48" s="1709"/>
      <c r="I48" s="1709"/>
      <c r="J48" s="1709"/>
      <c r="K48" s="1709"/>
      <c r="L48" s="1709"/>
      <c r="M48" s="1709"/>
      <c r="N48" s="1709"/>
      <c r="O48" s="1709"/>
      <c r="P48" s="1709"/>
      <c r="Q48" s="1709"/>
      <c r="R48" s="1709"/>
      <c r="S48" s="1709"/>
      <c r="T48" s="1709"/>
      <c r="U48" s="3370"/>
      <c r="V48" s="1709"/>
      <c r="W48" s="1709"/>
      <c r="X48" s="1709"/>
      <c r="Y48" s="1709"/>
      <c r="Z48" s="1709"/>
      <c r="AA48" s="1709"/>
    </row>
    <row r="49" spans="5:27" s="1704" customFormat="1">
      <c r="E49" s="1709"/>
      <c r="F49" s="1709"/>
      <c r="I49" s="1709"/>
      <c r="J49" s="1709"/>
      <c r="K49" s="1709"/>
      <c r="L49" s="1709"/>
      <c r="M49" s="1709"/>
      <c r="N49" s="1709"/>
      <c r="O49" s="1709"/>
      <c r="P49" s="1709"/>
      <c r="Q49" s="1709"/>
      <c r="R49" s="1709"/>
      <c r="S49" s="1709"/>
      <c r="T49" s="1709"/>
      <c r="U49" s="3370"/>
      <c r="V49" s="1709"/>
      <c r="W49" s="1709"/>
      <c r="X49" s="1709"/>
      <c r="Y49" s="1709"/>
      <c r="Z49" s="1709"/>
      <c r="AA49" s="1709"/>
    </row>
    <row r="50" spans="5:27" s="1704" customFormat="1">
      <c r="E50" s="1709"/>
      <c r="F50" s="1709"/>
      <c r="I50" s="1709"/>
      <c r="J50" s="1709"/>
      <c r="K50" s="1709"/>
      <c r="L50" s="1709"/>
      <c r="M50" s="1709"/>
      <c r="N50" s="1709"/>
      <c r="O50" s="1709"/>
      <c r="P50" s="1709"/>
      <c r="Q50" s="1709"/>
      <c r="R50" s="1709"/>
      <c r="S50" s="1709"/>
      <c r="T50" s="1709"/>
      <c r="U50" s="3370"/>
      <c r="V50" s="1709"/>
      <c r="W50" s="1709"/>
      <c r="X50" s="1709"/>
      <c r="Y50" s="1709"/>
      <c r="Z50" s="1709"/>
      <c r="AA50" s="1709"/>
    </row>
    <row r="51" spans="5:27" s="1704" customFormat="1">
      <c r="E51" s="1709"/>
      <c r="F51" s="1709"/>
      <c r="I51" s="1709"/>
      <c r="J51" s="1709"/>
      <c r="K51" s="1709"/>
      <c r="L51" s="1709"/>
      <c r="M51" s="1709"/>
      <c r="N51" s="1709"/>
      <c r="O51" s="1709"/>
      <c r="P51" s="1709"/>
      <c r="Q51" s="1709"/>
      <c r="R51" s="1709"/>
      <c r="S51" s="1709"/>
      <c r="T51" s="1709"/>
      <c r="U51" s="3370"/>
      <c r="V51" s="1709"/>
      <c r="W51" s="1709"/>
      <c r="X51" s="1709"/>
      <c r="Y51" s="1709"/>
      <c r="Z51" s="1709"/>
      <c r="AA51" s="1709"/>
    </row>
    <row r="52" spans="5:27" s="1704" customFormat="1">
      <c r="E52" s="1709"/>
      <c r="F52" s="1709"/>
      <c r="I52" s="1709"/>
      <c r="J52" s="1709"/>
      <c r="K52" s="1709"/>
      <c r="L52" s="1709"/>
      <c r="M52" s="1709"/>
      <c r="N52" s="1709"/>
      <c r="O52" s="1709"/>
      <c r="P52" s="1709"/>
      <c r="Q52" s="1709"/>
      <c r="R52" s="1709"/>
      <c r="S52" s="1709"/>
      <c r="T52" s="1709"/>
      <c r="U52" s="3370"/>
      <c r="V52" s="1709"/>
      <c r="W52" s="1709"/>
      <c r="X52" s="1709"/>
      <c r="Y52" s="1709"/>
      <c r="Z52" s="1709"/>
      <c r="AA52" s="1709"/>
    </row>
    <row r="53" spans="5:27" s="1704" customFormat="1">
      <c r="E53" s="1709"/>
      <c r="F53" s="1709"/>
      <c r="I53" s="1709"/>
      <c r="J53" s="1709"/>
      <c r="K53" s="1709"/>
      <c r="L53" s="1709"/>
      <c r="M53" s="1709"/>
      <c r="N53" s="1709"/>
      <c r="O53" s="1709"/>
      <c r="P53" s="1709"/>
      <c r="Q53" s="1709"/>
      <c r="R53" s="1709"/>
      <c r="S53" s="1709"/>
      <c r="T53" s="1709"/>
      <c r="U53" s="3370"/>
      <c r="V53" s="1709"/>
      <c r="W53" s="1709"/>
      <c r="X53" s="1709"/>
      <c r="Y53" s="1709"/>
      <c r="Z53" s="1709"/>
      <c r="AA53" s="1709"/>
    </row>
    <row r="54" spans="5:27" s="1704" customFormat="1">
      <c r="E54" s="1709"/>
      <c r="F54" s="1709"/>
      <c r="I54" s="1709"/>
      <c r="J54" s="1709"/>
      <c r="K54" s="1709"/>
      <c r="L54" s="1709"/>
      <c r="M54" s="1709"/>
      <c r="N54" s="1709"/>
      <c r="O54" s="1709"/>
      <c r="P54" s="1709"/>
      <c r="Q54" s="1709"/>
      <c r="R54" s="1709"/>
      <c r="S54" s="1709"/>
      <c r="T54" s="1709"/>
      <c r="U54" s="3370"/>
      <c r="V54" s="1709"/>
      <c r="W54" s="1709"/>
      <c r="X54" s="1709"/>
      <c r="Y54" s="1709"/>
      <c r="Z54" s="1709"/>
      <c r="AA54" s="1709"/>
    </row>
    <row r="55" spans="5:27" s="1704" customFormat="1">
      <c r="E55" s="1709"/>
      <c r="F55" s="1709"/>
      <c r="I55" s="1709"/>
      <c r="J55" s="1709"/>
      <c r="K55" s="1709"/>
      <c r="L55" s="1709"/>
      <c r="M55" s="1709"/>
      <c r="N55" s="1709"/>
      <c r="O55" s="1709"/>
      <c r="P55" s="1709"/>
      <c r="Q55" s="1709"/>
      <c r="R55" s="1709"/>
      <c r="S55" s="1709"/>
      <c r="T55" s="1709"/>
      <c r="U55" s="3370"/>
      <c r="V55" s="1709"/>
      <c r="W55" s="1709"/>
      <c r="X55" s="1709"/>
      <c r="Y55" s="1709"/>
      <c r="Z55" s="1709"/>
      <c r="AA55" s="1709"/>
    </row>
    <row r="56" spans="5:27" s="1704" customFormat="1">
      <c r="E56" s="1709"/>
      <c r="F56" s="1709"/>
      <c r="I56" s="1709"/>
      <c r="J56" s="1709"/>
      <c r="K56" s="1709"/>
      <c r="L56" s="1709"/>
      <c r="M56" s="1709"/>
      <c r="N56" s="1709"/>
      <c r="O56" s="1709"/>
      <c r="P56" s="1709"/>
      <c r="Q56" s="1709"/>
      <c r="R56" s="1709"/>
      <c r="S56" s="1709"/>
      <c r="T56" s="1709"/>
      <c r="U56" s="3370"/>
      <c r="V56" s="1709"/>
      <c r="W56" s="1709"/>
      <c r="X56" s="1709"/>
      <c r="Y56" s="1709"/>
      <c r="Z56" s="1709"/>
      <c r="AA56" s="1709"/>
    </row>
    <row r="57" spans="5:27" s="1704" customFormat="1">
      <c r="E57" s="1709"/>
      <c r="F57" s="1709"/>
      <c r="I57" s="1709"/>
      <c r="J57" s="1709"/>
      <c r="K57" s="1709"/>
      <c r="L57" s="1709"/>
      <c r="M57" s="1709"/>
      <c r="N57" s="1709"/>
      <c r="O57" s="1709"/>
      <c r="P57" s="1709"/>
      <c r="Q57" s="1709"/>
      <c r="R57" s="1709"/>
      <c r="S57" s="1709"/>
      <c r="T57" s="1709"/>
      <c r="U57" s="3370"/>
      <c r="V57" s="1709"/>
      <c r="W57" s="1709"/>
      <c r="X57" s="1709"/>
      <c r="Y57" s="1709"/>
      <c r="Z57" s="1709"/>
      <c r="AA57" s="1709"/>
    </row>
    <row r="58" spans="5:27" s="1704" customFormat="1">
      <c r="E58" s="1709"/>
      <c r="F58" s="1709"/>
      <c r="I58" s="1709"/>
      <c r="J58" s="1709"/>
      <c r="K58" s="1709"/>
      <c r="L58" s="1709"/>
      <c r="M58" s="1709"/>
      <c r="N58" s="1709"/>
      <c r="O58" s="1709"/>
      <c r="P58" s="1709"/>
      <c r="Q58" s="1709"/>
      <c r="R58" s="1709"/>
      <c r="S58" s="1709"/>
      <c r="T58" s="1709"/>
      <c r="U58" s="3370"/>
      <c r="V58" s="1709"/>
      <c r="W58" s="1709"/>
      <c r="X58" s="1709"/>
      <c r="Y58" s="1709"/>
      <c r="Z58" s="1709"/>
      <c r="AA58" s="1709"/>
    </row>
    <row r="59" spans="5:27" s="1704" customFormat="1">
      <c r="E59" s="1709"/>
      <c r="F59" s="1709"/>
      <c r="I59" s="1709"/>
      <c r="J59" s="1709"/>
      <c r="K59" s="1709"/>
      <c r="L59" s="1709"/>
      <c r="M59" s="1709"/>
      <c r="N59" s="1709"/>
      <c r="O59" s="1709"/>
      <c r="P59" s="1709"/>
      <c r="Q59" s="1709"/>
      <c r="R59" s="1709"/>
      <c r="S59" s="1709"/>
      <c r="T59" s="1709"/>
      <c r="U59" s="3370"/>
      <c r="V59" s="1709"/>
      <c r="W59" s="1709"/>
      <c r="X59" s="1709"/>
      <c r="Y59" s="1709"/>
      <c r="Z59" s="1709"/>
      <c r="AA59" s="1709"/>
    </row>
    <row r="60" spans="5:27" s="1704" customFormat="1">
      <c r="E60" s="1709"/>
      <c r="F60" s="1709"/>
      <c r="I60" s="1709"/>
      <c r="J60" s="1709"/>
      <c r="K60" s="1709"/>
      <c r="L60" s="1709"/>
      <c r="M60" s="1709"/>
      <c r="N60" s="1709"/>
      <c r="O60" s="1709"/>
      <c r="P60" s="1709"/>
      <c r="Q60" s="1709"/>
      <c r="R60" s="1709"/>
      <c r="S60" s="1709"/>
      <c r="T60" s="1709"/>
      <c r="U60" s="3370"/>
      <c r="V60" s="1709"/>
      <c r="W60" s="1709"/>
      <c r="X60" s="1709"/>
      <c r="Y60" s="1709"/>
      <c r="Z60" s="1709"/>
      <c r="AA60" s="1709"/>
    </row>
    <row r="61" spans="5:27" s="1704" customFormat="1">
      <c r="E61" s="1709"/>
      <c r="F61" s="1709"/>
      <c r="I61" s="1709"/>
      <c r="J61" s="1709"/>
      <c r="K61" s="1709"/>
      <c r="L61" s="1709"/>
      <c r="M61" s="1709"/>
      <c r="N61" s="1709"/>
      <c r="O61" s="1709"/>
      <c r="P61" s="1709"/>
      <c r="Q61" s="1709"/>
      <c r="R61" s="1709"/>
      <c r="S61" s="1709"/>
      <c r="T61" s="1709"/>
      <c r="U61" s="3370"/>
      <c r="V61" s="1709"/>
      <c r="W61" s="1709"/>
      <c r="X61" s="1709"/>
      <c r="Y61" s="1709"/>
      <c r="Z61" s="1709"/>
      <c r="AA61" s="1709"/>
    </row>
    <row r="62" spans="5:27" s="1704" customFormat="1">
      <c r="E62" s="1709"/>
      <c r="F62" s="1709"/>
      <c r="I62" s="1709"/>
      <c r="J62" s="1709"/>
      <c r="K62" s="1709"/>
      <c r="L62" s="1709"/>
      <c r="M62" s="1709"/>
      <c r="N62" s="1709"/>
      <c r="O62" s="1709"/>
      <c r="P62" s="1709"/>
      <c r="Q62" s="1709"/>
      <c r="R62" s="1709"/>
      <c r="S62" s="1709"/>
      <c r="T62" s="1709"/>
      <c r="U62" s="3370"/>
      <c r="V62" s="1709"/>
      <c r="W62" s="1709"/>
      <c r="X62" s="1709"/>
      <c r="Y62" s="1709"/>
      <c r="Z62" s="1709"/>
      <c r="AA62" s="1709"/>
    </row>
    <row r="63" spans="5:27" s="1704" customFormat="1">
      <c r="E63" s="1709"/>
      <c r="F63" s="1709"/>
      <c r="I63" s="1709"/>
      <c r="J63" s="1709"/>
      <c r="K63" s="1709"/>
      <c r="L63" s="1709"/>
      <c r="M63" s="1709"/>
      <c r="N63" s="1709"/>
      <c r="O63" s="1709"/>
      <c r="P63" s="1709"/>
      <c r="Q63" s="1709"/>
      <c r="R63" s="1709"/>
      <c r="S63" s="1709"/>
      <c r="T63" s="1709"/>
      <c r="U63" s="3370"/>
      <c r="V63" s="1709"/>
      <c r="W63" s="1709"/>
      <c r="X63" s="1709"/>
      <c r="Y63" s="1709"/>
      <c r="Z63" s="1709"/>
      <c r="AA63" s="1709"/>
    </row>
    <row r="64" spans="5:27" s="1704" customFormat="1">
      <c r="E64" s="1709"/>
      <c r="F64" s="1709"/>
      <c r="I64" s="1709"/>
      <c r="J64" s="1709"/>
      <c r="K64" s="1709"/>
      <c r="L64" s="1709"/>
      <c r="M64" s="1709"/>
      <c r="N64" s="1709"/>
      <c r="O64" s="1709"/>
      <c r="P64" s="1709"/>
      <c r="Q64" s="1709"/>
      <c r="R64" s="1709"/>
      <c r="S64" s="1709"/>
      <c r="T64" s="1709"/>
      <c r="U64" s="3370"/>
      <c r="V64" s="1709"/>
      <c r="W64" s="1709"/>
      <c r="X64" s="1709"/>
      <c r="Y64" s="1709"/>
      <c r="Z64" s="1709"/>
      <c r="AA64" s="1709"/>
    </row>
    <row r="65" spans="5:27" s="1704" customFormat="1">
      <c r="E65" s="1709"/>
      <c r="F65" s="1709"/>
      <c r="I65" s="1709"/>
      <c r="J65" s="1709"/>
      <c r="K65" s="1709"/>
      <c r="L65" s="1709"/>
      <c r="M65" s="1709"/>
      <c r="N65" s="1709"/>
      <c r="O65" s="1709"/>
      <c r="P65" s="1709"/>
      <c r="Q65" s="1709"/>
      <c r="R65" s="1709"/>
      <c r="S65" s="1709"/>
      <c r="T65" s="1709"/>
      <c r="U65" s="3370"/>
      <c r="V65" s="1709"/>
      <c r="W65" s="1709"/>
      <c r="X65" s="1709"/>
      <c r="Y65" s="1709"/>
      <c r="Z65" s="1709"/>
      <c r="AA65" s="1709"/>
    </row>
    <row r="66" spans="5:27" s="1704" customFormat="1">
      <c r="E66" s="1709"/>
      <c r="F66" s="1709"/>
      <c r="I66" s="1709"/>
      <c r="J66" s="1709"/>
      <c r="K66" s="1709"/>
      <c r="L66" s="1709"/>
      <c r="M66" s="1709"/>
      <c r="N66" s="1709"/>
      <c r="O66" s="1709"/>
      <c r="P66" s="1709"/>
      <c r="Q66" s="1709"/>
      <c r="R66" s="1709"/>
      <c r="S66" s="1709"/>
      <c r="T66" s="1709"/>
      <c r="U66" s="3370"/>
      <c r="V66" s="1709"/>
      <c r="W66" s="1709"/>
      <c r="X66" s="1709"/>
      <c r="Y66" s="1709"/>
      <c r="Z66" s="1709"/>
      <c r="AA66" s="1709"/>
    </row>
    <row r="67" spans="5:27" s="1704" customFormat="1">
      <c r="E67" s="1709"/>
      <c r="F67" s="1709"/>
      <c r="I67" s="1709"/>
      <c r="J67" s="1709"/>
      <c r="K67" s="1709"/>
      <c r="L67" s="1709"/>
      <c r="M67" s="1709"/>
      <c r="N67" s="1709"/>
      <c r="O67" s="1709"/>
      <c r="P67" s="1709"/>
      <c r="Q67" s="1709"/>
      <c r="R67" s="1709"/>
      <c r="S67" s="1709"/>
      <c r="T67" s="1709"/>
      <c r="U67" s="3370"/>
      <c r="V67" s="1709"/>
      <c r="W67" s="1709"/>
      <c r="X67" s="1709"/>
      <c r="Y67" s="1709"/>
      <c r="Z67" s="1709"/>
      <c r="AA67" s="1709"/>
    </row>
    <row r="68" spans="5:27" s="1704" customFormat="1">
      <c r="E68" s="1709"/>
      <c r="F68" s="1709"/>
      <c r="I68" s="1709"/>
      <c r="J68" s="1709"/>
      <c r="K68" s="1709"/>
      <c r="L68" s="1709"/>
      <c r="M68" s="1709"/>
      <c r="N68" s="1709"/>
      <c r="O68" s="1709"/>
      <c r="P68" s="1709"/>
      <c r="Q68" s="1709"/>
      <c r="R68" s="1709"/>
      <c r="S68" s="1709"/>
      <c r="T68" s="1709"/>
      <c r="U68" s="3370"/>
      <c r="V68" s="1709"/>
      <c r="W68" s="1709"/>
      <c r="X68" s="1709"/>
      <c r="Y68" s="1709"/>
      <c r="Z68" s="1709"/>
      <c r="AA68" s="1709"/>
    </row>
    <row r="69" spans="5:27" s="1704" customFormat="1">
      <c r="E69" s="1709"/>
      <c r="F69" s="1709"/>
      <c r="I69" s="1709"/>
      <c r="J69" s="1709"/>
      <c r="K69" s="1709"/>
      <c r="L69" s="1709"/>
      <c r="M69" s="1709"/>
      <c r="N69" s="1709"/>
      <c r="O69" s="1709"/>
      <c r="P69" s="1709"/>
      <c r="Q69" s="1709"/>
      <c r="R69" s="1709"/>
      <c r="S69" s="1709"/>
      <c r="T69" s="1709"/>
      <c r="U69" s="3370"/>
      <c r="V69" s="1709"/>
      <c r="W69" s="1709"/>
      <c r="X69" s="1709"/>
      <c r="Y69" s="1709"/>
      <c r="Z69" s="1709"/>
      <c r="AA69" s="1709"/>
    </row>
    <row r="70" spans="5:27" s="1704" customFormat="1">
      <c r="E70" s="1709"/>
      <c r="F70" s="1709"/>
      <c r="I70" s="1709"/>
      <c r="J70" s="1709"/>
      <c r="K70" s="1709"/>
      <c r="L70" s="1709"/>
      <c r="M70" s="1709"/>
      <c r="N70" s="1709"/>
      <c r="O70" s="1709"/>
      <c r="P70" s="1709"/>
      <c r="Q70" s="1709"/>
      <c r="R70" s="1709"/>
      <c r="S70" s="1709"/>
      <c r="T70" s="1709"/>
      <c r="U70" s="3370"/>
      <c r="V70" s="1709"/>
      <c r="W70" s="1709"/>
      <c r="X70" s="1709"/>
      <c r="Y70" s="1709"/>
      <c r="Z70" s="1709"/>
      <c r="AA70" s="1709"/>
    </row>
    <row r="71" spans="5:27" s="1704" customFormat="1">
      <c r="E71" s="1709"/>
      <c r="F71" s="1709"/>
      <c r="I71" s="1709"/>
      <c r="J71" s="1709"/>
      <c r="K71" s="1709"/>
      <c r="L71" s="1709"/>
      <c r="M71" s="1709"/>
      <c r="N71" s="1709"/>
      <c r="O71" s="1709"/>
      <c r="P71" s="1709"/>
      <c r="Q71" s="1709"/>
      <c r="R71" s="1709"/>
      <c r="S71" s="1709"/>
      <c r="T71" s="1709"/>
      <c r="U71" s="3370"/>
      <c r="V71" s="1709"/>
      <c r="W71" s="1709"/>
      <c r="X71" s="1709"/>
      <c r="Y71" s="1709"/>
      <c r="Z71" s="1709"/>
      <c r="AA71" s="1709"/>
    </row>
    <row r="72" spans="5:27" s="1704" customFormat="1">
      <c r="E72" s="1709"/>
      <c r="F72" s="1709"/>
      <c r="I72" s="1709"/>
      <c r="J72" s="1709"/>
      <c r="K72" s="1709"/>
      <c r="L72" s="1709"/>
      <c r="M72" s="1709"/>
      <c r="N72" s="1709"/>
      <c r="O72" s="1709"/>
      <c r="P72" s="1709"/>
      <c r="Q72" s="1709"/>
      <c r="R72" s="1709"/>
      <c r="S72" s="1709"/>
      <c r="T72" s="1709"/>
      <c r="U72" s="3370"/>
      <c r="V72" s="1709"/>
      <c r="W72" s="1709"/>
      <c r="X72" s="1709"/>
      <c r="Y72" s="1709"/>
      <c r="Z72" s="1709"/>
      <c r="AA72" s="1709"/>
    </row>
    <row r="73" spans="5:27" s="1704" customFormat="1">
      <c r="E73" s="1709"/>
      <c r="F73" s="1709"/>
      <c r="I73" s="1709"/>
      <c r="J73" s="1709"/>
      <c r="K73" s="1709"/>
      <c r="L73" s="1709"/>
      <c r="M73" s="1709"/>
      <c r="N73" s="1709"/>
      <c r="O73" s="1709"/>
      <c r="P73" s="1709"/>
      <c r="Q73" s="1709"/>
      <c r="R73" s="1709"/>
      <c r="S73" s="1709"/>
      <c r="T73" s="1709"/>
      <c r="U73" s="3370"/>
      <c r="V73" s="1709"/>
      <c r="W73" s="1709"/>
      <c r="X73" s="1709"/>
      <c r="Y73" s="1709"/>
      <c r="Z73" s="1709"/>
      <c r="AA73" s="1709"/>
    </row>
    <row r="74" spans="5:27" s="1704" customFormat="1">
      <c r="E74" s="1709"/>
      <c r="F74" s="1709"/>
      <c r="I74" s="1709"/>
      <c r="J74" s="1709"/>
      <c r="K74" s="1709"/>
      <c r="L74" s="1709"/>
      <c r="M74" s="1709"/>
      <c r="N74" s="1709"/>
      <c r="O74" s="1709"/>
      <c r="P74" s="1709"/>
      <c r="Q74" s="1709"/>
      <c r="R74" s="1709"/>
      <c r="S74" s="1709"/>
      <c r="T74" s="1709"/>
      <c r="U74" s="3370"/>
      <c r="V74" s="1709"/>
      <c r="W74" s="1709"/>
      <c r="X74" s="1709"/>
      <c r="Y74" s="1709"/>
      <c r="Z74" s="1709"/>
      <c r="AA74" s="1709"/>
    </row>
    <row r="75" spans="5:27" s="1704" customFormat="1">
      <c r="E75" s="1709"/>
      <c r="F75" s="1709"/>
      <c r="I75" s="1709"/>
      <c r="J75" s="1709"/>
      <c r="K75" s="1709"/>
      <c r="L75" s="1709"/>
      <c r="M75" s="1709"/>
      <c r="N75" s="1709"/>
      <c r="O75" s="1709"/>
      <c r="P75" s="1709"/>
      <c r="Q75" s="1709"/>
      <c r="R75" s="1709"/>
      <c r="S75" s="1709"/>
      <c r="T75" s="1709"/>
      <c r="U75" s="3370"/>
      <c r="V75" s="1709"/>
      <c r="W75" s="1709"/>
      <c r="X75" s="1709"/>
      <c r="Y75" s="1709"/>
      <c r="Z75" s="1709"/>
      <c r="AA75" s="1709"/>
    </row>
    <row r="76" spans="5:27" s="1704" customFormat="1">
      <c r="E76" s="1709"/>
      <c r="F76" s="1709"/>
      <c r="I76" s="1709"/>
      <c r="J76" s="1709"/>
      <c r="K76" s="1709"/>
      <c r="L76" s="1709"/>
      <c r="M76" s="1709"/>
      <c r="N76" s="1709"/>
      <c r="O76" s="1709"/>
      <c r="P76" s="1709"/>
      <c r="Q76" s="1709"/>
      <c r="R76" s="1709"/>
      <c r="S76" s="1709"/>
      <c r="T76" s="1709"/>
      <c r="U76" s="3370"/>
      <c r="V76" s="1709"/>
      <c r="W76" s="1709"/>
      <c r="X76" s="1709"/>
      <c r="Y76" s="1709"/>
      <c r="Z76" s="1709"/>
      <c r="AA76" s="1709"/>
    </row>
    <row r="77" spans="5:27" s="1704" customFormat="1">
      <c r="E77" s="1709"/>
      <c r="F77" s="1709"/>
      <c r="I77" s="1709"/>
      <c r="J77" s="1709"/>
      <c r="K77" s="1709"/>
      <c r="L77" s="1709"/>
      <c r="M77" s="1709"/>
      <c r="N77" s="1709"/>
      <c r="O77" s="1709"/>
      <c r="P77" s="1709"/>
      <c r="Q77" s="1709"/>
      <c r="R77" s="1709"/>
      <c r="S77" s="1709"/>
      <c r="T77" s="1709"/>
      <c r="U77" s="3370"/>
      <c r="V77" s="1709"/>
      <c r="W77" s="1709"/>
      <c r="X77" s="1709"/>
      <c r="Y77" s="1709"/>
      <c r="Z77" s="1709"/>
      <c r="AA77" s="1709"/>
    </row>
    <row r="78" spans="5:27" s="1704" customFormat="1">
      <c r="E78" s="1709"/>
      <c r="F78" s="1709"/>
      <c r="I78" s="1709"/>
      <c r="J78" s="1709"/>
      <c r="K78" s="1709"/>
      <c r="L78" s="1709"/>
      <c r="M78" s="1709"/>
      <c r="N78" s="1709"/>
      <c r="O78" s="1709"/>
      <c r="P78" s="1709"/>
      <c r="Q78" s="1709"/>
      <c r="R78" s="1709"/>
      <c r="S78" s="1709"/>
      <c r="T78" s="1709"/>
      <c r="U78" s="3370"/>
      <c r="V78" s="1709"/>
      <c r="W78" s="1709"/>
      <c r="X78" s="1709"/>
      <c r="Y78" s="1709"/>
      <c r="Z78" s="1709"/>
      <c r="AA78" s="1709"/>
    </row>
    <row r="79" spans="5:27" s="1704" customFormat="1">
      <c r="E79" s="1709"/>
      <c r="F79" s="1709"/>
      <c r="I79" s="1709"/>
      <c r="J79" s="1709"/>
      <c r="K79" s="1709"/>
      <c r="L79" s="1709"/>
      <c r="M79" s="1709"/>
      <c r="N79" s="1709"/>
      <c r="O79" s="1709"/>
      <c r="P79" s="1709"/>
      <c r="Q79" s="1709"/>
      <c r="R79" s="1709"/>
      <c r="S79" s="1709"/>
      <c r="T79" s="1709"/>
      <c r="U79" s="3370"/>
      <c r="V79" s="1709"/>
      <c r="W79" s="1709"/>
      <c r="X79" s="1709"/>
      <c r="Y79" s="1709"/>
      <c r="Z79" s="1709"/>
      <c r="AA79" s="1709"/>
    </row>
    <row r="80" spans="5:27" s="1704" customFormat="1">
      <c r="E80" s="1709"/>
      <c r="F80" s="1709"/>
      <c r="I80" s="1709"/>
      <c r="J80" s="1709"/>
      <c r="K80" s="1709"/>
      <c r="L80" s="1709"/>
      <c r="M80" s="1709"/>
      <c r="N80" s="1709"/>
      <c r="O80" s="1709"/>
      <c r="P80" s="1709"/>
      <c r="Q80" s="1709"/>
      <c r="R80" s="1709"/>
      <c r="S80" s="1709"/>
      <c r="T80" s="1709"/>
      <c r="U80" s="3370"/>
      <c r="V80" s="1709"/>
      <c r="W80" s="1709"/>
      <c r="X80" s="1709"/>
      <c r="Y80" s="1709"/>
      <c r="Z80" s="1709"/>
      <c r="AA80" s="1709"/>
    </row>
    <row r="81" spans="5:27" s="1704" customFormat="1">
      <c r="E81" s="1709"/>
      <c r="F81" s="1709"/>
      <c r="I81" s="1709"/>
      <c r="J81" s="1709"/>
      <c r="K81" s="1709"/>
      <c r="L81" s="1709"/>
      <c r="M81" s="1709"/>
      <c r="N81" s="1709"/>
      <c r="O81" s="1709"/>
      <c r="P81" s="1709"/>
      <c r="Q81" s="1709"/>
      <c r="R81" s="1709"/>
      <c r="S81" s="1709"/>
      <c r="T81" s="1709"/>
      <c r="U81" s="3370"/>
      <c r="V81" s="1709"/>
      <c r="W81" s="1709"/>
      <c r="X81" s="1709"/>
      <c r="Y81" s="1709"/>
      <c r="Z81" s="1709"/>
      <c r="AA81" s="1709"/>
    </row>
    <row r="82" spans="5:27" s="1704" customFormat="1">
      <c r="E82" s="1709"/>
      <c r="F82" s="1709"/>
      <c r="I82" s="1709"/>
      <c r="J82" s="1709"/>
      <c r="K82" s="1709"/>
      <c r="L82" s="1709"/>
      <c r="M82" s="1709"/>
      <c r="N82" s="1709"/>
      <c r="O82" s="1709"/>
      <c r="P82" s="1709"/>
      <c r="Q82" s="1709"/>
      <c r="R82" s="1709"/>
      <c r="S82" s="1709"/>
      <c r="T82" s="1709"/>
      <c r="U82" s="3370"/>
      <c r="V82" s="1709"/>
      <c r="W82" s="1709"/>
      <c r="X82" s="1709"/>
      <c r="Y82" s="1709"/>
      <c r="Z82" s="1709"/>
      <c r="AA82" s="1709"/>
    </row>
    <row r="83" spans="5:27" s="1704" customFormat="1">
      <c r="E83" s="1709"/>
      <c r="F83" s="1709"/>
      <c r="I83" s="1709"/>
      <c r="J83" s="1709"/>
      <c r="K83" s="1709"/>
      <c r="L83" s="1709"/>
      <c r="M83" s="1709"/>
      <c r="N83" s="1709"/>
      <c r="O83" s="1709"/>
      <c r="P83" s="1709"/>
      <c r="Q83" s="1709"/>
      <c r="R83" s="1709"/>
      <c r="S83" s="1709"/>
      <c r="T83" s="1709"/>
      <c r="U83" s="3370"/>
      <c r="V83" s="1709"/>
      <c r="W83" s="1709"/>
      <c r="X83" s="1709"/>
      <c r="Y83" s="1709"/>
      <c r="Z83" s="1709"/>
      <c r="AA83" s="1709"/>
    </row>
    <row r="84" spans="5:27" s="1704" customFormat="1">
      <c r="E84" s="1709"/>
      <c r="F84" s="1709"/>
      <c r="I84" s="1709"/>
      <c r="J84" s="1709"/>
      <c r="K84" s="1709"/>
      <c r="L84" s="1709"/>
      <c r="M84" s="1709"/>
      <c r="N84" s="1709"/>
      <c r="O84" s="1709"/>
      <c r="P84" s="1709"/>
      <c r="Q84" s="1709"/>
      <c r="R84" s="1709"/>
      <c r="S84" s="1709"/>
      <c r="T84" s="1709"/>
      <c r="U84" s="3370"/>
      <c r="V84" s="1709"/>
      <c r="W84" s="1709"/>
      <c r="X84" s="1709"/>
      <c r="Y84" s="1709"/>
      <c r="Z84" s="1709"/>
      <c r="AA84" s="1709"/>
    </row>
    <row r="85" spans="5:27" s="1704" customFormat="1">
      <c r="E85" s="1709"/>
      <c r="F85" s="1709"/>
      <c r="I85" s="1709"/>
      <c r="J85" s="1709"/>
      <c r="K85" s="1709"/>
      <c r="L85" s="1709"/>
      <c r="M85" s="1709"/>
      <c r="N85" s="1709"/>
      <c r="O85" s="1709"/>
      <c r="P85" s="1709"/>
      <c r="Q85" s="1709"/>
      <c r="R85" s="1709"/>
      <c r="S85" s="1709"/>
      <c r="T85" s="1709"/>
      <c r="U85" s="3370"/>
      <c r="V85" s="1709"/>
      <c r="W85" s="1709"/>
      <c r="X85" s="1709"/>
      <c r="Y85" s="1709"/>
      <c r="Z85" s="1709"/>
      <c r="AA85" s="1709"/>
    </row>
    <row r="86" spans="5:27" s="1704" customFormat="1">
      <c r="E86" s="1709"/>
      <c r="F86" s="1709"/>
      <c r="I86" s="1709"/>
      <c r="J86" s="1709"/>
      <c r="K86" s="1709"/>
      <c r="L86" s="1709"/>
      <c r="M86" s="1709"/>
      <c r="N86" s="1709"/>
      <c r="O86" s="1709"/>
      <c r="P86" s="1709"/>
      <c r="Q86" s="1709"/>
      <c r="R86" s="1709"/>
      <c r="S86" s="1709"/>
      <c r="T86" s="1709"/>
      <c r="U86" s="3370"/>
      <c r="V86" s="1709"/>
      <c r="W86" s="1709"/>
      <c r="X86" s="1709"/>
      <c r="Y86" s="1709"/>
      <c r="Z86" s="1709"/>
      <c r="AA86" s="1709"/>
    </row>
    <row r="87" spans="5:27" s="1704" customFormat="1">
      <c r="E87" s="1709"/>
      <c r="F87" s="1709"/>
      <c r="I87" s="1709"/>
      <c r="J87" s="1709"/>
      <c r="K87" s="1709"/>
      <c r="L87" s="1709"/>
      <c r="M87" s="1709"/>
      <c r="N87" s="1709"/>
      <c r="O87" s="1709"/>
      <c r="P87" s="1709"/>
      <c r="Q87" s="1709"/>
      <c r="R87" s="1709"/>
      <c r="S87" s="1709"/>
      <c r="T87" s="1709"/>
      <c r="U87" s="3370"/>
      <c r="V87" s="1709"/>
      <c r="W87" s="1709"/>
      <c r="X87" s="1709"/>
      <c r="Y87" s="1709"/>
      <c r="Z87" s="1709"/>
      <c r="AA87" s="1709"/>
    </row>
    <row r="88" spans="5:27" s="1704" customFormat="1">
      <c r="E88" s="1709"/>
      <c r="F88" s="1709"/>
      <c r="I88" s="1709"/>
      <c r="J88" s="1709"/>
      <c r="K88" s="1709"/>
      <c r="L88" s="1709"/>
      <c r="M88" s="1709"/>
      <c r="N88" s="1709"/>
      <c r="O88" s="1709"/>
      <c r="P88" s="1709"/>
      <c r="Q88" s="1709"/>
      <c r="R88" s="1709"/>
      <c r="S88" s="1709"/>
      <c r="T88" s="1709"/>
      <c r="U88" s="3370"/>
      <c r="V88" s="1709"/>
      <c r="W88" s="1709"/>
      <c r="X88" s="1709"/>
      <c r="Y88" s="1709"/>
      <c r="Z88" s="1709"/>
      <c r="AA88" s="1709"/>
    </row>
    <row r="89" spans="5:27" s="1704" customFormat="1">
      <c r="E89" s="1709"/>
      <c r="F89" s="1709"/>
      <c r="I89" s="1709"/>
      <c r="J89" s="1709"/>
      <c r="K89" s="1709"/>
      <c r="L89" s="1709"/>
      <c r="M89" s="1709"/>
      <c r="N89" s="1709"/>
      <c r="O89" s="1709"/>
      <c r="P89" s="1709"/>
      <c r="Q89" s="1709"/>
      <c r="R89" s="1709"/>
      <c r="S89" s="1709"/>
      <c r="T89" s="1709"/>
      <c r="U89" s="3370"/>
      <c r="V89" s="1709"/>
      <c r="W89" s="1709"/>
      <c r="X89" s="1709"/>
      <c r="Y89" s="1709"/>
      <c r="Z89" s="1709"/>
      <c r="AA89" s="1709"/>
    </row>
    <row r="90" spans="5:27" s="1704" customFormat="1">
      <c r="E90" s="1709"/>
      <c r="F90" s="1709"/>
      <c r="I90" s="1709"/>
      <c r="J90" s="1709"/>
      <c r="K90" s="1709"/>
      <c r="L90" s="1709"/>
      <c r="M90" s="1709"/>
      <c r="N90" s="1709"/>
      <c r="O90" s="1709"/>
      <c r="P90" s="1709"/>
      <c r="Q90" s="1709"/>
      <c r="R90" s="1709"/>
      <c r="S90" s="1709"/>
      <c r="T90" s="1709"/>
      <c r="U90" s="3370"/>
      <c r="V90" s="1709"/>
      <c r="W90" s="1709"/>
      <c r="X90" s="1709"/>
      <c r="Y90" s="1709"/>
      <c r="Z90" s="1709"/>
      <c r="AA90" s="1709"/>
    </row>
    <row r="91" spans="5:27" s="1704" customFormat="1">
      <c r="E91" s="1709"/>
      <c r="F91" s="1709"/>
      <c r="I91" s="1709"/>
      <c r="J91" s="1709"/>
      <c r="K91" s="1709"/>
      <c r="L91" s="1709"/>
      <c r="M91" s="1709"/>
      <c r="N91" s="1709"/>
      <c r="O91" s="1709"/>
      <c r="P91" s="1709"/>
      <c r="Q91" s="1709"/>
      <c r="R91" s="1709"/>
      <c r="S91" s="1709"/>
      <c r="T91" s="1709"/>
      <c r="U91" s="3370"/>
      <c r="V91" s="1709"/>
      <c r="W91" s="1709"/>
      <c r="X91" s="1709"/>
      <c r="Y91" s="1709"/>
      <c r="Z91" s="1709"/>
      <c r="AA91" s="1709"/>
    </row>
    <row r="92" spans="5:27" s="1704" customFormat="1">
      <c r="E92" s="1709"/>
      <c r="F92" s="1709"/>
      <c r="I92" s="1709"/>
      <c r="J92" s="1709"/>
      <c r="K92" s="1709"/>
      <c r="L92" s="1709"/>
      <c r="M92" s="1709"/>
      <c r="N92" s="1709"/>
      <c r="O92" s="1709"/>
      <c r="P92" s="1709"/>
      <c r="Q92" s="1709"/>
      <c r="R92" s="1709"/>
      <c r="S92" s="1709"/>
      <c r="T92" s="1709"/>
      <c r="U92" s="3370"/>
      <c r="V92" s="1709"/>
      <c r="W92" s="1709"/>
      <c r="X92" s="1709"/>
      <c r="Y92" s="1709"/>
      <c r="Z92" s="1709"/>
      <c r="AA92" s="1709"/>
    </row>
    <row r="93" spans="5:27" s="1704" customFormat="1">
      <c r="E93" s="1709"/>
      <c r="F93" s="1709"/>
      <c r="I93" s="1709"/>
      <c r="J93" s="1709"/>
      <c r="K93" s="1709"/>
      <c r="L93" s="1709"/>
      <c r="M93" s="1709"/>
      <c r="N93" s="1709"/>
      <c r="O93" s="1709"/>
      <c r="P93" s="1709"/>
      <c r="Q93" s="1709"/>
      <c r="R93" s="1709"/>
      <c r="S93" s="1709"/>
      <c r="T93" s="1709"/>
      <c r="U93" s="3370"/>
      <c r="V93" s="1709"/>
      <c r="W93" s="1709"/>
      <c r="X93" s="1709"/>
      <c r="Y93" s="1709"/>
      <c r="Z93" s="1709"/>
      <c r="AA93" s="1709"/>
    </row>
    <row r="94" spans="5:27" s="1704" customFormat="1">
      <c r="E94" s="1709"/>
      <c r="F94" s="1709"/>
      <c r="I94" s="1709"/>
      <c r="J94" s="1709"/>
      <c r="K94" s="1709"/>
      <c r="L94" s="1709"/>
      <c r="M94" s="1709"/>
      <c r="N94" s="1709"/>
      <c r="O94" s="1709"/>
      <c r="P94" s="1709"/>
      <c r="Q94" s="1709"/>
      <c r="R94" s="1709"/>
      <c r="S94" s="1709"/>
      <c r="T94" s="1709"/>
      <c r="U94" s="3370"/>
      <c r="V94" s="1709"/>
      <c r="W94" s="1709"/>
      <c r="X94" s="1709"/>
      <c r="Y94" s="1709"/>
      <c r="Z94" s="1709"/>
      <c r="AA94" s="1709"/>
    </row>
    <row r="95" spans="5:27" s="1704" customFormat="1">
      <c r="E95" s="1709"/>
      <c r="F95" s="1709"/>
      <c r="I95" s="1709"/>
      <c r="J95" s="1709"/>
      <c r="K95" s="1709"/>
      <c r="L95" s="1709"/>
      <c r="M95" s="1709"/>
      <c r="N95" s="1709"/>
      <c r="O95" s="1709"/>
      <c r="P95" s="1709"/>
      <c r="Q95" s="1709"/>
      <c r="R95" s="1709"/>
      <c r="S95" s="1709"/>
      <c r="T95" s="1709"/>
      <c r="U95" s="3370"/>
      <c r="V95" s="1709"/>
      <c r="W95" s="1709"/>
      <c r="X95" s="1709"/>
      <c r="Y95" s="1709"/>
      <c r="Z95" s="1709"/>
      <c r="AA95" s="1709"/>
    </row>
    <row r="96" spans="5:27" s="1704" customFormat="1">
      <c r="E96" s="1709"/>
      <c r="F96" s="1709"/>
      <c r="I96" s="1709"/>
      <c r="J96" s="1709"/>
      <c r="K96" s="1709"/>
      <c r="L96" s="1709"/>
      <c r="M96" s="1709"/>
      <c r="N96" s="1709"/>
      <c r="O96" s="1709"/>
      <c r="P96" s="1709"/>
      <c r="Q96" s="1709"/>
      <c r="R96" s="1709"/>
      <c r="S96" s="1709"/>
      <c r="T96" s="1709"/>
      <c r="U96" s="3370"/>
      <c r="V96" s="1709"/>
      <c r="W96" s="1709"/>
      <c r="X96" s="1709"/>
      <c r="Y96" s="1709"/>
      <c r="Z96" s="1709"/>
      <c r="AA96" s="1709"/>
    </row>
    <row r="97" spans="5:27" s="1704" customFormat="1">
      <c r="E97" s="1709"/>
      <c r="F97" s="1709"/>
      <c r="I97" s="1709"/>
      <c r="J97" s="1709"/>
      <c r="K97" s="1709"/>
      <c r="L97" s="1709"/>
      <c r="M97" s="1709"/>
      <c r="N97" s="1709"/>
      <c r="O97" s="1709"/>
      <c r="P97" s="1709"/>
      <c r="Q97" s="1709"/>
      <c r="R97" s="1709"/>
      <c r="S97" s="1709"/>
      <c r="T97" s="1709"/>
      <c r="U97" s="3370"/>
      <c r="V97" s="1709"/>
      <c r="W97" s="1709"/>
      <c r="X97" s="1709"/>
      <c r="Y97" s="1709"/>
      <c r="Z97" s="1709"/>
      <c r="AA97" s="1709"/>
    </row>
    <row r="98" spans="5:27" s="1704" customFormat="1">
      <c r="E98" s="1709"/>
      <c r="F98" s="1709"/>
      <c r="I98" s="1709"/>
      <c r="J98" s="1709"/>
      <c r="K98" s="1709"/>
      <c r="L98" s="1709"/>
      <c r="M98" s="1709"/>
      <c r="N98" s="1709"/>
      <c r="O98" s="1709"/>
      <c r="P98" s="1709"/>
      <c r="Q98" s="1709"/>
      <c r="R98" s="1709"/>
      <c r="S98" s="1709"/>
      <c r="T98" s="1709"/>
      <c r="U98" s="3370"/>
      <c r="V98" s="1709"/>
      <c r="W98" s="1709"/>
      <c r="X98" s="1709"/>
      <c r="Y98" s="1709"/>
      <c r="Z98" s="1709"/>
      <c r="AA98" s="1709"/>
    </row>
    <row r="99" spans="5:27" s="1704" customFormat="1">
      <c r="E99" s="1709"/>
      <c r="F99" s="1709"/>
      <c r="I99" s="1709"/>
      <c r="J99" s="1709"/>
      <c r="K99" s="1709"/>
      <c r="L99" s="1709"/>
      <c r="M99" s="1709"/>
      <c r="N99" s="1709"/>
      <c r="O99" s="1709"/>
      <c r="P99" s="1709"/>
      <c r="Q99" s="1709"/>
      <c r="R99" s="1709"/>
      <c r="S99" s="1709"/>
      <c r="T99" s="1709"/>
      <c r="U99" s="3370"/>
      <c r="V99" s="1709"/>
      <c r="W99" s="1709"/>
      <c r="X99" s="1709"/>
      <c r="Y99" s="1709"/>
      <c r="Z99" s="1709"/>
      <c r="AA99" s="1709"/>
    </row>
    <row r="100" spans="5:27" s="1704" customFormat="1">
      <c r="E100" s="1709"/>
      <c r="F100" s="1709"/>
      <c r="I100" s="1709"/>
      <c r="J100" s="1709"/>
      <c r="K100" s="1709"/>
      <c r="L100" s="1709"/>
      <c r="M100" s="1709"/>
      <c r="N100" s="1709"/>
      <c r="O100" s="1709"/>
      <c r="P100" s="1709"/>
      <c r="Q100" s="1709"/>
      <c r="R100" s="1709"/>
      <c r="S100" s="1709"/>
      <c r="T100" s="1709"/>
      <c r="U100" s="3370"/>
      <c r="V100" s="1709"/>
      <c r="W100" s="1709"/>
      <c r="X100" s="1709"/>
      <c r="Y100" s="1709"/>
      <c r="Z100" s="1709"/>
      <c r="AA100" s="1709"/>
    </row>
    <row r="101" spans="5:27" s="1704" customFormat="1">
      <c r="E101" s="1709"/>
      <c r="F101" s="1709"/>
      <c r="I101" s="1709"/>
      <c r="J101" s="1709"/>
      <c r="K101" s="1709"/>
      <c r="L101" s="1709"/>
      <c r="M101" s="1709"/>
      <c r="N101" s="1709"/>
      <c r="O101" s="1709"/>
      <c r="P101" s="1709"/>
      <c r="Q101" s="1709"/>
      <c r="R101" s="1709"/>
      <c r="S101" s="1709"/>
      <c r="T101" s="1709"/>
      <c r="U101" s="3370"/>
      <c r="V101" s="1709"/>
      <c r="W101" s="1709"/>
      <c r="X101" s="1709"/>
      <c r="Y101" s="1709"/>
      <c r="Z101" s="1709"/>
      <c r="AA101" s="1709"/>
    </row>
    <row r="102" spans="5:27" s="1704" customFormat="1">
      <c r="E102" s="1709"/>
      <c r="F102" s="1709"/>
      <c r="I102" s="1709"/>
      <c r="J102" s="1709"/>
      <c r="K102" s="1709"/>
      <c r="L102" s="1709"/>
      <c r="M102" s="1709"/>
      <c r="N102" s="1709"/>
      <c r="O102" s="1709"/>
      <c r="P102" s="1709"/>
      <c r="Q102" s="1709"/>
      <c r="R102" s="1709"/>
      <c r="S102" s="1709"/>
      <c r="T102" s="1709"/>
      <c r="U102" s="3370"/>
      <c r="V102" s="1709"/>
      <c r="W102" s="1709"/>
      <c r="X102" s="1709"/>
      <c r="Y102" s="1709"/>
      <c r="Z102" s="1709"/>
      <c r="AA102" s="1709"/>
    </row>
    <row r="103" spans="5:27" s="1704" customFormat="1">
      <c r="E103" s="1709"/>
      <c r="F103" s="1709"/>
      <c r="I103" s="1709"/>
      <c r="J103" s="1709"/>
      <c r="K103" s="1709"/>
      <c r="L103" s="1709"/>
      <c r="M103" s="1709"/>
      <c r="N103" s="1709"/>
      <c r="O103" s="1709"/>
      <c r="P103" s="1709"/>
      <c r="Q103" s="1709"/>
      <c r="R103" s="1709"/>
      <c r="S103" s="1709"/>
      <c r="T103" s="1709"/>
      <c r="U103" s="3370"/>
      <c r="V103" s="1709"/>
      <c r="W103" s="1709"/>
      <c r="X103" s="1709"/>
      <c r="Y103" s="1709"/>
      <c r="Z103" s="1709"/>
      <c r="AA103" s="1709"/>
    </row>
    <row r="104" spans="5:27" s="1704" customFormat="1">
      <c r="E104" s="1709"/>
      <c r="F104" s="1709"/>
      <c r="I104" s="1709"/>
      <c r="J104" s="1709"/>
      <c r="K104" s="1709"/>
      <c r="L104" s="1709"/>
      <c r="M104" s="1709"/>
      <c r="N104" s="1709"/>
      <c r="O104" s="1709"/>
      <c r="P104" s="1709"/>
      <c r="Q104" s="1709"/>
      <c r="R104" s="1709"/>
      <c r="S104" s="1709"/>
      <c r="T104" s="1709"/>
      <c r="U104" s="3370"/>
      <c r="V104" s="1709"/>
      <c r="W104" s="1709"/>
      <c r="X104" s="1709"/>
      <c r="Y104" s="1709"/>
      <c r="Z104" s="1709"/>
      <c r="AA104" s="1709"/>
    </row>
    <row r="105" spans="5:27" s="1704" customFormat="1">
      <c r="E105" s="1709"/>
      <c r="F105" s="1709"/>
      <c r="I105" s="1709"/>
      <c r="J105" s="1709"/>
      <c r="K105" s="1709"/>
      <c r="L105" s="1709"/>
      <c r="M105" s="1709"/>
      <c r="N105" s="1709"/>
      <c r="O105" s="1709"/>
      <c r="P105" s="1709"/>
      <c r="Q105" s="1709"/>
      <c r="R105" s="1709"/>
      <c r="S105" s="1709"/>
      <c r="T105" s="1709"/>
      <c r="U105" s="3370"/>
      <c r="V105" s="1709"/>
      <c r="W105" s="1709"/>
      <c r="X105" s="1709"/>
      <c r="Y105" s="1709"/>
      <c r="Z105" s="1709"/>
      <c r="AA105" s="1709"/>
    </row>
    <row r="106" spans="5:27" s="1704" customFormat="1">
      <c r="E106" s="1709"/>
      <c r="F106" s="1709"/>
      <c r="I106" s="1709"/>
      <c r="J106" s="1709"/>
      <c r="K106" s="1709"/>
      <c r="L106" s="1709"/>
      <c r="M106" s="1709"/>
      <c r="N106" s="1709"/>
      <c r="O106" s="1709"/>
      <c r="P106" s="1709"/>
      <c r="Q106" s="1709"/>
      <c r="R106" s="1709"/>
      <c r="S106" s="1709"/>
      <c r="T106" s="1709"/>
      <c r="U106" s="3370"/>
      <c r="V106" s="1709"/>
      <c r="W106" s="1709"/>
      <c r="X106" s="1709"/>
      <c r="Y106" s="1709"/>
      <c r="Z106" s="1709"/>
      <c r="AA106" s="1709"/>
    </row>
    <row r="107" spans="5:27" s="1704" customFormat="1">
      <c r="E107" s="1709"/>
      <c r="F107" s="1709"/>
      <c r="I107" s="1709"/>
      <c r="J107" s="1709"/>
      <c r="K107" s="1709"/>
      <c r="L107" s="1709"/>
      <c r="M107" s="1709"/>
      <c r="N107" s="1709"/>
      <c r="O107" s="1709"/>
      <c r="P107" s="1709"/>
      <c r="Q107" s="1709"/>
      <c r="R107" s="1709"/>
      <c r="S107" s="1709"/>
      <c r="T107" s="1709"/>
      <c r="U107" s="3370"/>
      <c r="V107" s="1709"/>
      <c r="W107" s="1709"/>
      <c r="X107" s="1709"/>
      <c r="Y107" s="1709"/>
      <c r="Z107" s="1709"/>
      <c r="AA107" s="1709"/>
    </row>
    <row r="108" spans="5:27" s="1704" customFormat="1">
      <c r="E108" s="1709"/>
      <c r="F108" s="1709"/>
      <c r="I108" s="1709"/>
      <c r="J108" s="1709"/>
      <c r="K108" s="1709"/>
      <c r="L108" s="1709"/>
      <c r="M108" s="1709"/>
      <c r="N108" s="1709"/>
      <c r="O108" s="1709"/>
      <c r="P108" s="1709"/>
      <c r="Q108" s="1709"/>
      <c r="R108" s="1709"/>
      <c r="S108" s="1709"/>
      <c r="T108" s="1709"/>
      <c r="U108" s="3370"/>
      <c r="V108" s="1709"/>
      <c r="W108" s="1709"/>
      <c r="X108" s="1709"/>
      <c r="Y108" s="1709"/>
      <c r="Z108" s="1709"/>
      <c r="AA108" s="1709"/>
    </row>
    <row r="109" spans="5:27" s="1704" customFormat="1">
      <c r="E109" s="1709"/>
      <c r="F109" s="1709"/>
      <c r="I109" s="1709"/>
      <c r="J109" s="1709"/>
      <c r="K109" s="1709"/>
      <c r="L109" s="1709"/>
      <c r="M109" s="1709"/>
      <c r="N109" s="1709"/>
      <c r="O109" s="1709"/>
      <c r="P109" s="1709"/>
      <c r="Q109" s="1709"/>
      <c r="R109" s="1709"/>
      <c r="S109" s="1709"/>
      <c r="T109" s="1709"/>
      <c r="U109" s="3370"/>
      <c r="V109" s="1709"/>
      <c r="W109" s="1709"/>
      <c r="X109" s="1709"/>
      <c r="Y109" s="1709"/>
      <c r="Z109" s="1709"/>
      <c r="AA109" s="1709"/>
    </row>
    <row r="110" spans="5:27" s="1704" customFormat="1">
      <c r="E110" s="1709"/>
      <c r="F110" s="1709"/>
      <c r="I110" s="1709"/>
      <c r="J110" s="1709"/>
      <c r="K110" s="1709"/>
      <c r="L110" s="1709"/>
      <c r="M110" s="1709"/>
      <c r="N110" s="1709"/>
      <c r="O110" s="1709"/>
      <c r="P110" s="1709"/>
      <c r="Q110" s="1709"/>
      <c r="R110" s="1709"/>
      <c r="S110" s="1709"/>
      <c r="T110" s="1709"/>
      <c r="U110" s="3370"/>
      <c r="V110" s="1709"/>
      <c r="W110" s="1709"/>
      <c r="X110" s="1709"/>
      <c r="Y110" s="1709"/>
      <c r="Z110" s="1709"/>
      <c r="AA110" s="1709"/>
    </row>
    <row r="111" spans="5:27" s="1704" customFormat="1">
      <c r="E111" s="1709"/>
      <c r="F111" s="1709"/>
      <c r="I111" s="1709"/>
      <c r="J111" s="1709"/>
      <c r="K111" s="1709"/>
      <c r="L111" s="1709"/>
      <c r="M111" s="1709"/>
      <c r="N111" s="1709"/>
      <c r="O111" s="1709"/>
      <c r="P111" s="1709"/>
      <c r="Q111" s="1709"/>
      <c r="R111" s="1709"/>
      <c r="S111" s="1709"/>
      <c r="T111" s="1709"/>
      <c r="U111" s="3370"/>
      <c r="V111" s="1709"/>
      <c r="W111" s="1709"/>
      <c r="X111" s="1709"/>
      <c r="Y111" s="1709"/>
      <c r="Z111" s="1709"/>
      <c r="AA111" s="1709"/>
    </row>
    <row r="112" spans="5:27" s="1704" customFormat="1">
      <c r="E112" s="1709"/>
      <c r="F112" s="1709"/>
      <c r="I112" s="1709"/>
      <c r="J112" s="1709"/>
      <c r="K112" s="1709"/>
      <c r="L112" s="1709"/>
      <c r="M112" s="1709"/>
      <c r="N112" s="1709"/>
      <c r="O112" s="1709"/>
      <c r="P112" s="1709"/>
      <c r="Q112" s="1709"/>
      <c r="R112" s="1709"/>
      <c r="S112" s="1709"/>
      <c r="T112" s="1709"/>
      <c r="U112" s="3370"/>
      <c r="V112" s="1709"/>
      <c r="W112" s="1709"/>
      <c r="X112" s="1709"/>
      <c r="Y112" s="1709"/>
      <c r="Z112" s="1709"/>
      <c r="AA112" s="1709"/>
    </row>
    <row r="113" spans="3:27" s="1704" customFormat="1">
      <c r="E113" s="1709"/>
      <c r="F113" s="1709"/>
      <c r="I113" s="1709"/>
      <c r="J113" s="1709"/>
      <c r="K113" s="1709"/>
      <c r="L113" s="1709"/>
      <c r="M113" s="1709"/>
      <c r="N113" s="1709"/>
      <c r="O113" s="1709"/>
      <c r="P113" s="1709"/>
      <c r="Q113" s="1709"/>
      <c r="R113" s="1709"/>
      <c r="S113" s="1709"/>
      <c r="T113" s="1709"/>
      <c r="U113" s="3370"/>
      <c r="V113" s="1709"/>
      <c r="W113" s="1709"/>
      <c r="X113" s="1709"/>
      <c r="Y113" s="1709"/>
      <c r="Z113" s="1709"/>
      <c r="AA113" s="1709"/>
    </row>
    <row r="114" spans="3:27" s="1704" customFormat="1" ht="15.75">
      <c r="C114" s="3176" t="str">
        <f>B7</f>
        <v>6.1. Management of coastal wetlands (Mangroves, Tidal marshes and Seagrass meadow)</v>
      </c>
      <c r="D114" s="3177"/>
      <c r="E114" s="3178"/>
      <c r="F114" s="3178"/>
      <c r="G114" s="3177"/>
      <c r="H114" s="3177"/>
      <c r="I114" s="3178"/>
      <c r="J114" s="3178"/>
      <c r="K114" s="3178"/>
      <c r="L114" s="3178"/>
      <c r="M114" s="3178"/>
      <c r="N114" s="3178"/>
      <c r="O114" s="3178"/>
      <c r="P114" s="3178"/>
      <c r="Q114" s="3178"/>
      <c r="R114" s="3178"/>
      <c r="S114" s="3178"/>
      <c r="T114" s="3178"/>
      <c r="U114" s="3178"/>
      <c r="V114" s="3178"/>
      <c r="W114" s="1709"/>
      <c r="X114" s="1709"/>
      <c r="Y114" s="1709"/>
      <c r="Z114" s="1709"/>
      <c r="AA114" s="1709"/>
    </row>
    <row r="115" spans="3:27" s="1704" customFormat="1">
      <c r="E115" s="1709"/>
      <c r="F115" s="1709"/>
      <c r="I115" s="1709"/>
      <c r="J115" s="1709"/>
      <c r="K115" s="1709"/>
      <c r="L115" s="1709"/>
      <c r="M115" s="1709"/>
      <c r="N115" s="1709"/>
      <c r="O115" s="1709"/>
      <c r="P115" s="1709"/>
      <c r="Q115" s="1709"/>
      <c r="R115" s="1709"/>
      <c r="S115" s="1709"/>
      <c r="T115" s="1709"/>
      <c r="U115" s="3370"/>
      <c r="V115" s="1709"/>
      <c r="W115" s="1709"/>
      <c r="X115" s="1709"/>
      <c r="Y115" s="1709"/>
      <c r="Z115" s="1709"/>
      <c r="AA115" s="1709"/>
    </row>
    <row r="116" spans="3:27" s="1704" customFormat="1">
      <c r="C116" s="3180"/>
      <c r="D116" s="3180"/>
      <c r="E116" s="3214"/>
      <c r="F116" s="3914" t="str">
        <f>'5. Management'!F212</f>
        <v>Use this part only if you want to refine the analysis with Tier 2 coefficients.</v>
      </c>
      <c r="G116" s="3914"/>
      <c r="H116" s="3914"/>
      <c r="I116" s="3914"/>
      <c r="J116" s="3914"/>
      <c r="K116" s="3914"/>
      <c r="L116" s="3914"/>
      <c r="M116" s="3914"/>
      <c r="N116" s="3914"/>
      <c r="O116" s="3914"/>
      <c r="P116" s="3914"/>
      <c r="Q116" s="3914"/>
      <c r="R116" s="3343"/>
      <c r="S116" s="3343"/>
      <c r="T116" s="3343"/>
      <c r="U116" s="3364"/>
      <c r="V116" s="3343"/>
      <c r="W116" s="1709"/>
      <c r="X116" s="1709"/>
      <c r="Y116" s="1709"/>
      <c r="Z116" s="1709"/>
      <c r="AA116" s="1709"/>
    </row>
    <row r="117" spans="3:27" s="1704" customFormat="1">
      <c r="C117" s="3180"/>
      <c r="D117" s="3180"/>
      <c r="E117" s="3180"/>
      <c r="F117" s="3914"/>
      <c r="G117" s="3914"/>
      <c r="H117" s="3914"/>
      <c r="I117" s="3914"/>
      <c r="J117" s="3914"/>
      <c r="K117" s="3914"/>
      <c r="L117" s="3914"/>
      <c r="M117" s="3914"/>
      <c r="N117" s="3914"/>
      <c r="O117" s="3914"/>
      <c r="P117" s="3914"/>
      <c r="Q117" s="3914"/>
      <c r="R117" s="3180"/>
      <c r="S117" s="3180"/>
      <c r="T117" s="3180"/>
      <c r="U117" s="3180"/>
      <c r="V117" s="3180"/>
      <c r="W117" s="1709"/>
      <c r="X117" s="1709"/>
      <c r="Y117" s="1709"/>
      <c r="Z117" s="1709"/>
      <c r="AA117" s="1709"/>
    </row>
    <row r="118" spans="3:27" s="1704" customFormat="1">
      <c r="C118" s="3180"/>
      <c r="D118" s="3180"/>
      <c r="E118" s="3180"/>
      <c r="F118" s="3914"/>
      <c r="G118" s="3914"/>
      <c r="H118" s="3914"/>
      <c r="I118" s="3914"/>
      <c r="J118" s="3914"/>
      <c r="K118" s="3914"/>
      <c r="L118" s="3914"/>
      <c r="M118" s="3914"/>
      <c r="N118" s="3914"/>
      <c r="O118" s="3914"/>
      <c r="P118" s="3914"/>
      <c r="Q118" s="3914"/>
      <c r="R118" s="3343"/>
      <c r="S118" s="3343"/>
      <c r="T118" s="3343"/>
      <c r="U118" s="3364"/>
      <c r="V118" s="3343"/>
      <c r="W118" s="1709"/>
      <c r="X118" s="1709"/>
      <c r="Y118" s="1709"/>
      <c r="Z118" s="1709"/>
      <c r="AA118" s="1709"/>
    </row>
    <row r="119" spans="3:27" s="1704" customFormat="1">
      <c r="C119" s="3215" t="str">
        <f>'5. Management'!C215</f>
        <v>(default values are provided for your information only, while EX-ACT will use Tier 2 values automatically wherever specified)</v>
      </c>
      <c r="D119" s="3215"/>
      <c r="E119" s="3215"/>
      <c r="F119" s="3215"/>
      <c r="G119" s="3215"/>
      <c r="H119" s="3215"/>
      <c r="I119" s="3215"/>
      <c r="J119" s="3215"/>
      <c r="K119" s="3215"/>
      <c r="L119" s="3215"/>
      <c r="M119" s="3215"/>
      <c r="N119" s="3215"/>
      <c r="O119" s="3215"/>
      <c r="P119" s="3215"/>
      <c r="Q119" s="3215"/>
      <c r="R119" s="3343"/>
      <c r="S119" s="3343"/>
      <c r="T119" s="3343"/>
      <c r="U119" s="3364"/>
      <c r="V119" s="3343"/>
      <c r="W119" s="1709"/>
      <c r="X119" s="1709"/>
      <c r="Y119" s="1709"/>
      <c r="Z119" s="1709"/>
      <c r="AA119" s="1709"/>
    </row>
    <row r="120" spans="3:27" s="1704" customFormat="1">
      <c r="E120" s="1709"/>
      <c r="F120" s="1709"/>
      <c r="I120" s="1709"/>
      <c r="J120" s="1709"/>
      <c r="K120" s="1709"/>
      <c r="L120" s="1709"/>
      <c r="M120" s="1709"/>
      <c r="N120" s="1709"/>
      <c r="O120" s="1709"/>
      <c r="P120" s="1709"/>
      <c r="Q120" s="1709"/>
      <c r="R120" s="1709"/>
      <c r="S120" s="1709"/>
      <c r="T120" s="1709"/>
      <c r="U120" s="3370"/>
      <c r="V120" s="1709"/>
      <c r="W120" s="1709"/>
      <c r="X120" s="1709"/>
      <c r="Y120" s="1709"/>
      <c r="Z120" s="1709"/>
      <c r="AA120" s="1709"/>
    </row>
    <row r="121" spans="3:27" s="1704" customFormat="1">
      <c r="C121" s="3239" t="str">
        <f>B9</f>
        <v>6.1.1. Extraction and Excavation (port constuction, construction of aquaculture or salt production ponds,…)</v>
      </c>
      <c r="D121" s="3239"/>
      <c r="E121" s="3238"/>
      <c r="F121" s="3238"/>
      <c r="G121" s="3239"/>
      <c r="H121" s="3239"/>
      <c r="I121" s="3238"/>
      <c r="J121" s="3238"/>
      <c r="K121" s="3238"/>
      <c r="L121" s="3238"/>
      <c r="M121" s="3238"/>
      <c r="N121" s="3238"/>
      <c r="O121" s="3238"/>
      <c r="P121" s="3238"/>
      <c r="Q121" s="3238"/>
      <c r="R121" s="3238"/>
      <c r="S121" s="3238"/>
      <c r="T121" s="3238"/>
      <c r="U121" s="3238"/>
      <c r="V121" s="3238"/>
      <c r="W121" s="1709"/>
      <c r="X121" s="1709"/>
      <c r="Y121" s="1709"/>
      <c r="Z121" s="1709"/>
      <c r="AA121" s="1709"/>
    </row>
    <row r="122" spans="3:27" s="1704" customFormat="1">
      <c r="E122" s="1709"/>
      <c r="F122" s="1709"/>
      <c r="I122" s="1709"/>
      <c r="J122" s="1709"/>
      <c r="K122" s="1709"/>
      <c r="L122" s="1709"/>
      <c r="M122" s="1709"/>
      <c r="N122" s="1709"/>
      <c r="O122" s="1709"/>
      <c r="P122" s="1709"/>
      <c r="Q122" s="1709"/>
      <c r="R122" s="1709"/>
      <c r="S122" s="1709"/>
      <c r="T122" s="1709"/>
      <c r="U122" s="3370"/>
      <c r="V122" s="1709"/>
      <c r="W122" s="1709"/>
      <c r="X122" s="1709"/>
      <c r="Y122" s="1709"/>
      <c r="Z122" s="1709"/>
      <c r="AA122" s="1709"/>
    </row>
    <row r="123" spans="3:27" s="1704" customFormat="1">
      <c r="C123" s="3214" t="str">
        <f>B11</f>
        <v>Type of vegetation</v>
      </c>
      <c r="D123" s="3214"/>
      <c r="E123" s="3270"/>
      <c r="F123" s="3270"/>
      <c r="G123" s="3214"/>
      <c r="H123" s="3214"/>
      <c r="I123" s="3270"/>
      <c r="J123" s="3270"/>
      <c r="K123" s="3270"/>
      <c r="L123" s="3270"/>
      <c r="M123" s="3270" t="str">
        <f>'5. Management'!L150</f>
        <v>All values are in t of carbon per ha (tC/ha)</v>
      </c>
      <c r="N123" s="3270"/>
      <c r="O123" s="3270"/>
      <c r="P123" s="3270"/>
      <c r="Q123" s="3270"/>
      <c r="R123" s="3270"/>
      <c r="S123" s="3270"/>
      <c r="T123" s="3270"/>
      <c r="U123" s="3270"/>
      <c r="V123" s="3343"/>
      <c r="W123" s="1709"/>
      <c r="X123" s="1709"/>
      <c r="Y123" s="1709"/>
      <c r="Z123" s="1709"/>
      <c r="AA123" s="1709"/>
    </row>
    <row r="124" spans="3:27" s="1704" customFormat="1">
      <c r="C124" s="3214"/>
      <c r="D124" s="3214"/>
      <c r="E124" s="3270"/>
      <c r="F124" s="3222"/>
      <c r="G124" s="3223" t="str">
        <f>'5. Management'!F151</f>
        <v>Above-ground</v>
      </c>
      <c r="H124" s="3222"/>
      <c r="I124" s="3222"/>
      <c r="J124" s="3222"/>
      <c r="K124" s="3223" t="str">
        <f>'5. Management'!K151</f>
        <v>Below-ground</v>
      </c>
      <c r="L124" s="3222"/>
      <c r="M124" s="3222"/>
      <c r="N124" s="3270"/>
      <c r="O124" s="3223" t="str">
        <f>'5. Management'!N151</f>
        <v>Litter</v>
      </c>
      <c r="P124" s="3222"/>
      <c r="Q124" s="3334"/>
      <c r="R124" s="3334"/>
      <c r="S124" s="3344" t="str">
        <f>'5. Management'!Q151</f>
        <v>Dead wood</v>
      </c>
      <c r="T124" s="3270"/>
      <c r="U124" s="3270"/>
      <c r="V124" s="3343"/>
      <c r="W124" s="1709"/>
      <c r="X124" s="1709"/>
      <c r="Y124" s="1709"/>
      <c r="Z124" s="1709"/>
      <c r="AA124" s="1709"/>
    </row>
    <row r="125" spans="3:27" s="1704" customFormat="1">
      <c r="C125" s="3214"/>
      <c r="D125" s="3214"/>
      <c r="E125" s="3270"/>
      <c r="F125" s="3270" t="str">
        <f>'5. Management'!F152</f>
        <v>Default</v>
      </c>
      <c r="G125" s="3270"/>
      <c r="H125" s="3270" t="str">
        <f>'5. Management'!H152</f>
        <v>Tier 2</v>
      </c>
      <c r="I125" s="3270"/>
      <c r="J125" s="3270" t="str">
        <f>F125</f>
        <v>Default</v>
      </c>
      <c r="K125" s="3270"/>
      <c r="L125" s="3270" t="str">
        <f>H125</f>
        <v>Tier 2</v>
      </c>
      <c r="M125" s="3270"/>
      <c r="N125" s="3270" t="str">
        <f>J125</f>
        <v>Default</v>
      </c>
      <c r="O125" s="3270"/>
      <c r="P125" s="3270" t="str">
        <f>L125</f>
        <v>Tier 2</v>
      </c>
      <c r="Q125" s="3270"/>
      <c r="R125" s="3270" t="str">
        <f>N125</f>
        <v>Default</v>
      </c>
      <c r="S125" s="3270"/>
      <c r="T125" s="3270" t="str">
        <f>P125</f>
        <v>Tier 2</v>
      </c>
      <c r="U125" s="3270"/>
      <c r="V125" s="3343"/>
      <c r="W125" s="1709"/>
      <c r="X125" s="1709"/>
      <c r="Y125" s="1709"/>
      <c r="Z125" s="1709"/>
      <c r="AA125" s="1709"/>
    </row>
    <row r="126" spans="3:27" s="1704" customFormat="1">
      <c r="C126" s="3180" t="str">
        <f>B14</f>
        <v>Mangrove</v>
      </c>
      <c r="D126" s="3180"/>
      <c r="E126" s="3343"/>
      <c r="F126" s="3216">
        <f>VLOOKUP(clim_full,' IPCC'!A1060:B1071,2,)*0.451</f>
        <v>0</v>
      </c>
      <c r="G126" s="3180"/>
      <c r="H126" s="3340"/>
      <c r="I126" s="3343"/>
      <c r="J126" s="3216">
        <f>F126*VLOOKUP(clim_full,' IPCC'!A1060:C1071,3,)</f>
        <v>0</v>
      </c>
      <c r="K126" s="3343"/>
      <c r="L126" s="3340"/>
      <c r="M126" s="3343"/>
      <c r="N126" s="3216">
        <f>IF(F126&gt;0,VLOOKUP(clim_full,' IPCC'!A1060:D1071,4,),0)</f>
        <v>0</v>
      </c>
      <c r="O126" s="3343"/>
      <c r="P126" s="3340"/>
      <c r="Q126" s="3343"/>
      <c r="R126" s="3216">
        <f>IF(F126&gt;0,VLOOKUP(clim_full,' IPCC'!A1060:E1071,5,),0)</f>
        <v>0</v>
      </c>
      <c r="S126" s="3343"/>
      <c r="T126" s="3340"/>
      <c r="U126" s="3361"/>
      <c r="V126" s="3343"/>
      <c r="W126" s="1709"/>
      <c r="X126" s="1709"/>
      <c r="Y126" s="1709"/>
      <c r="Z126" s="1709"/>
      <c r="AA126" s="1709"/>
    </row>
    <row r="127" spans="3:27" s="1704" customFormat="1">
      <c r="C127" s="3180" t="str">
        <f>B15</f>
        <v>Tidal marsh</v>
      </c>
      <c r="D127" s="3180"/>
      <c r="E127" s="3343"/>
      <c r="F127" s="3216">
        <v>0</v>
      </c>
      <c r="G127" s="3180"/>
      <c r="H127" s="3340"/>
      <c r="I127" s="3343"/>
      <c r="J127" s="3216">
        <f>H127*VLOOKUP(clim_full,' IPCC'!$A$1092:$B$1103,2,)</f>
        <v>0</v>
      </c>
      <c r="K127" s="3343"/>
      <c r="L127" s="3340"/>
      <c r="M127" s="3343"/>
      <c r="N127" s="3216">
        <v>0</v>
      </c>
      <c r="O127" s="3343"/>
      <c r="P127" s="3340"/>
      <c r="Q127" s="3343"/>
      <c r="R127" s="3216">
        <v>0</v>
      </c>
      <c r="S127" s="3343"/>
      <c r="T127" s="3340"/>
      <c r="U127" s="3361"/>
      <c r="V127" s="3343"/>
      <c r="W127" s="1709"/>
      <c r="X127" s="1709"/>
      <c r="Y127" s="1709"/>
      <c r="Z127" s="1709"/>
      <c r="AA127" s="1709"/>
    </row>
    <row r="128" spans="3:27" s="1704" customFormat="1">
      <c r="C128" s="3180" t="str">
        <f>B16</f>
        <v>Seagrass meadow</v>
      </c>
      <c r="D128" s="3180"/>
      <c r="E128" s="3343"/>
      <c r="F128" s="3216">
        <v>0</v>
      </c>
      <c r="G128" s="3180"/>
      <c r="H128" s="3340"/>
      <c r="I128" s="3343"/>
      <c r="J128" s="3216">
        <f>H128*VLOOKUP(clim_full,' IPCC'!$A$1092:$C$1103,3,)</f>
        <v>0</v>
      </c>
      <c r="K128" s="3343"/>
      <c r="L128" s="3340"/>
      <c r="M128" s="3343"/>
      <c r="N128" s="3216">
        <v>0</v>
      </c>
      <c r="O128" s="3343"/>
      <c r="P128" s="3340"/>
      <c r="Q128" s="3343"/>
      <c r="R128" s="3216">
        <v>0</v>
      </c>
      <c r="S128" s="3343"/>
      <c r="T128" s="3340"/>
      <c r="U128" s="3361"/>
      <c r="V128" s="3343"/>
      <c r="W128" s="1709"/>
      <c r="X128" s="1709"/>
      <c r="Y128" s="1709"/>
      <c r="Z128" s="1709"/>
      <c r="AA128" s="1709"/>
    </row>
    <row r="129" spans="3:27" s="1704" customFormat="1">
      <c r="E129" s="1709"/>
      <c r="F129" s="1709"/>
      <c r="I129" s="1709"/>
      <c r="J129" s="1709"/>
      <c r="K129" s="1709"/>
      <c r="L129" s="1709"/>
      <c r="M129" s="1709"/>
      <c r="N129" s="1709"/>
      <c r="O129" s="1709"/>
      <c r="P129" s="1709"/>
      <c r="Q129" s="1709"/>
      <c r="R129" s="1709"/>
      <c r="S129" s="1709"/>
      <c r="T129" s="1709"/>
      <c r="U129" s="3370"/>
      <c r="V129" s="1709"/>
      <c r="W129" s="1709"/>
      <c r="X129" s="1709"/>
      <c r="Y129" s="1709"/>
      <c r="Z129" s="1709"/>
      <c r="AA129" s="1709"/>
    </row>
    <row r="130" spans="3:27" s="1704" customFormat="1">
      <c r="C130" s="3214" t="str">
        <f>C123</f>
        <v>Type of vegetation</v>
      </c>
      <c r="D130" s="3180"/>
      <c r="E130" s="3343"/>
      <c r="F130" s="3915" t="str">
        <f>HLOOKUP(select,translations!$A$521:$H$580,48,)</f>
        <v>Default soil type is "Mineral"</v>
      </c>
      <c r="G130" s="3915"/>
      <c r="H130" s="3915"/>
      <c r="I130" s="3270"/>
      <c r="J130" s="3270"/>
      <c r="K130" s="3344" t="str">
        <f>'5. Management'!T151</f>
        <v>Soil carbon</v>
      </c>
      <c r="L130" s="3344"/>
      <c r="M130" s="3344"/>
      <c r="N130" s="3219"/>
      <c r="O130" s="3343"/>
      <c r="P130" s="3343"/>
      <c r="Q130" s="3343"/>
      <c r="R130" s="3343"/>
      <c r="S130" s="3343"/>
      <c r="T130" s="3343"/>
      <c r="U130" s="3364"/>
      <c r="V130" s="3343"/>
      <c r="W130" s="1709"/>
      <c r="X130" s="1709"/>
      <c r="Y130" s="1709"/>
      <c r="Z130" s="1709"/>
      <c r="AA130" s="1709"/>
    </row>
    <row r="131" spans="3:27" s="1704" customFormat="1">
      <c r="C131" s="3180"/>
      <c r="D131" s="3180"/>
      <c r="E131" s="3343"/>
      <c r="F131" s="3915"/>
      <c r="G131" s="3915"/>
      <c r="H131" s="3915"/>
      <c r="I131" s="3221"/>
      <c r="J131" s="3270"/>
      <c r="K131" s="3270" t="str">
        <f>HLOOKUP(select,translations!$A$521:$H$580,49,)</f>
        <v>(default consider 1 m depth)</v>
      </c>
      <c r="L131" s="3270"/>
      <c r="M131" s="3270"/>
      <c r="N131" s="3221" t="str">
        <f>HLOOKUP(select,translations!$A$521:$H$580,50,)</f>
        <v>% of C lost after excavation</v>
      </c>
      <c r="O131" s="3270"/>
      <c r="P131" s="3270"/>
      <c r="Q131" s="3343"/>
      <c r="R131" s="3343"/>
      <c r="S131" s="3343"/>
      <c r="T131" s="3343"/>
      <c r="U131" s="3364"/>
      <c r="V131" s="3343"/>
      <c r="W131" s="1709"/>
      <c r="X131" s="1709"/>
      <c r="Y131" s="1709"/>
      <c r="Z131" s="1709"/>
      <c r="AA131" s="1709"/>
    </row>
    <row r="132" spans="3:27" s="1704" customFormat="1">
      <c r="C132" s="3180"/>
      <c r="D132" s="3180"/>
      <c r="E132" s="3343"/>
      <c r="F132" s="3180"/>
      <c r="G132" s="3270"/>
      <c r="H132" s="3271" t="str">
        <f>HLOOKUP(select,translations!$A$521:$H$580,51,)</f>
        <v>Set to "Organic"?</v>
      </c>
      <c r="I132" s="3270"/>
      <c r="J132" s="3270" t="str">
        <f>J125</f>
        <v>Default</v>
      </c>
      <c r="K132" s="3270"/>
      <c r="L132" s="3270" t="str">
        <f>L125</f>
        <v>Tier 2</v>
      </c>
      <c r="M132" s="3270"/>
      <c r="N132" s="3270" t="str">
        <f>N125</f>
        <v>Default</v>
      </c>
      <c r="O132" s="3270"/>
      <c r="P132" s="3270" t="str">
        <f>P125</f>
        <v>Tier 2</v>
      </c>
      <c r="Q132" s="3343"/>
      <c r="R132" s="3343"/>
      <c r="S132" s="3343"/>
      <c r="T132" s="3343"/>
      <c r="U132" s="3364"/>
      <c r="V132" s="3343"/>
      <c r="W132" s="1709"/>
      <c r="X132" s="1709"/>
      <c r="Y132" s="1709"/>
      <c r="Z132" s="1709"/>
      <c r="AA132" s="1709"/>
    </row>
    <row r="133" spans="3:27" s="1704" customFormat="1">
      <c r="C133" s="3180" t="str">
        <f>C126</f>
        <v>Mangrove</v>
      </c>
      <c r="D133" s="3180"/>
      <c r="E133" s="3343"/>
      <c r="F133" s="3180"/>
      <c r="G133" s="3343"/>
      <c r="H133" s="3168" t="s">
        <v>350</v>
      </c>
      <c r="I133" s="3343"/>
      <c r="J133" s="3343">
        <f>VLOOKUP(clim_full,' IPCC'!$A$1108:$G$1119,2+IF(H133="No",0,1),0)</f>
        <v>0</v>
      </c>
      <c r="K133" s="3180"/>
      <c r="L133" s="3340"/>
      <c r="M133" s="3180"/>
      <c r="N133" s="3225">
        <v>0.96</v>
      </c>
      <c r="O133" s="3343"/>
      <c r="P133" s="2262"/>
      <c r="Q133" s="3343"/>
      <c r="R133" s="3343"/>
      <c r="S133" s="3343"/>
      <c r="T133" s="3343"/>
      <c r="U133" s="3364"/>
      <c r="V133" s="3343"/>
      <c r="W133" s="1709"/>
      <c r="X133" s="1709"/>
      <c r="Y133" s="1709"/>
      <c r="Z133" s="1709"/>
      <c r="AA133" s="1709"/>
    </row>
    <row r="134" spans="3:27" s="1704" customFormat="1">
      <c r="C134" s="3180" t="str">
        <f>C127</f>
        <v>Tidal marsh</v>
      </c>
      <c r="D134" s="3180"/>
      <c r="E134" s="3343"/>
      <c r="F134" s="3180"/>
      <c r="G134" s="3343"/>
      <c r="H134" s="3168" t="s">
        <v>350</v>
      </c>
      <c r="I134" s="3343"/>
      <c r="J134" s="3343">
        <f>VLOOKUP(clim_full,' IPCC'!$A$1108:$G$1119,4+IF(H134="No",0,1),0)</f>
        <v>0</v>
      </c>
      <c r="K134" s="3180"/>
      <c r="L134" s="3340"/>
      <c r="M134" s="3180"/>
      <c r="N134" s="3225">
        <v>0.96</v>
      </c>
      <c r="O134" s="3343"/>
      <c r="P134" s="2262"/>
      <c r="Q134" s="3343"/>
      <c r="R134" s="3343"/>
      <c r="S134" s="3343"/>
      <c r="T134" s="3343"/>
      <c r="U134" s="3364"/>
      <c r="V134" s="3343"/>
      <c r="W134" s="1709"/>
      <c r="X134" s="1709"/>
      <c r="Y134" s="1709"/>
      <c r="Z134" s="1709"/>
      <c r="AA134" s="1709"/>
    </row>
    <row r="135" spans="3:27" s="1704" customFormat="1">
      <c r="C135" s="3180" t="str">
        <f>C128</f>
        <v>Seagrass meadow</v>
      </c>
      <c r="D135" s="3180"/>
      <c r="E135" s="3343"/>
      <c r="F135" s="3180"/>
      <c r="G135" s="3343"/>
      <c r="H135" s="3343"/>
      <c r="I135" s="3343"/>
      <c r="J135" s="3343">
        <f>VLOOKUP(clim_full,' IPCC'!$A$1108:$G$1119,6,0)</f>
        <v>0</v>
      </c>
      <c r="K135" s="3180"/>
      <c r="L135" s="3340"/>
      <c r="M135" s="3180"/>
      <c r="N135" s="3225">
        <v>0.96</v>
      </c>
      <c r="O135" s="3343"/>
      <c r="P135" s="2262"/>
      <c r="Q135" s="3343"/>
      <c r="R135" s="3343"/>
      <c r="S135" s="3343"/>
      <c r="T135" s="3343"/>
      <c r="U135" s="3364"/>
      <c r="V135" s="3343"/>
      <c r="W135" s="1709"/>
      <c r="X135" s="1709"/>
      <c r="Y135" s="1709"/>
      <c r="Z135" s="1709"/>
      <c r="AA135" s="1709"/>
    </row>
    <row r="136" spans="3:27" s="1704" customFormat="1">
      <c r="E136" s="1709"/>
      <c r="F136" s="1709"/>
      <c r="I136" s="1709"/>
      <c r="J136" s="1709"/>
      <c r="K136" s="1709"/>
      <c r="L136" s="1709"/>
      <c r="M136" s="1709"/>
      <c r="N136" s="1709"/>
      <c r="O136" s="1709"/>
      <c r="P136" s="1709"/>
      <c r="Q136" s="1709"/>
      <c r="R136" s="1709"/>
      <c r="S136" s="1709"/>
      <c r="T136" s="1709"/>
      <c r="U136" s="3370"/>
      <c r="V136" s="1709"/>
      <c r="W136" s="1709"/>
      <c r="X136" s="1709"/>
      <c r="Y136" s="1709"/>
      <c r="Z136" s="1709"/>
      <c r="AA136" s="1709"/>
    </row>
    <row r="137" spans="3:27" s="1704" customFormat="1">
      <c r="C137" s="3239" t="str">
        <f>B20</f>
        <v xml:space="preserve">6.1.2. Drainage </v>
      </c>
      <c r="D137" s="3239"/>
      <c r="E137" s="3239"/>
      <c r="F137" s="3239"/>
      <c r="G137" s="3239"/>
      <c r="H137" s="3239"/>
      <c r="I137" s="3239"/>
      <c r="J137" s="3239"/>
      <c r="K137" s="3239"/>
      <c r="L137" s="3239"/>
      <c r="M137" s="3239"/>
      <c r="N137" s="3239"/>
      <c r="O137" s="3239"/>
      <c r="P137" s="3239"/>
      <c r="Q137" s="3239"/>
      <c r="R137" s="3239"/>
      <c r="S137" s="3239"/>
      <c r="T137" s="3239"/>
      <c r="U137" s="3239"/>
      <c r="V137" s="3239"/>
      <c r="W137" s="1709"/>
      <c r="X137" s="1709"/>
      <c r="Y137" s="1709"/>
      <c r="Z137" s="1709"/>
      <c r="AA137" s="1709"/>
    </row>
    <row r="138" spans="3:27" s="1704" customFormat="1">
      <c r="C138" s="3628"/>
      <c r="D138" s="3628"/>
      <c r="E138" s="3628"/>
      <c r="F138" s="3628"/>
      <c r="G138" s="3628"/>
      <c r="H138" s="3628"/>
      <c r="I138" s="3628"/>
      <c r="J138" s="3628"/>
      <c r="K138" s="3628"/>
      <c r="L138" s="3628"/>
      <c r="M138" s="3628"/>
      <c r="N138" s="3628"/>
      <c r="O138" s="3628"/>
      <c r="P138" s="3628"/>
      <c r="Q138" s="3628"/>
      <c r="R138" s="3628"/>
      <c r="S138" s="3628"/>
      <c r="T138" s="3628"/>
      <c r="U138" s="3628"/>
      <c r="V138" s="3628"/>
      <c r="W138" s="3628"/>
      <c r="X138" s="3628"/>
      <c r="Y138" s="3628"/>
      <c r="Z138" s="3628"/>
      <c r="AA138" s="3628"/>
    </row>
    <row r="139" spans="3:27" s="1704" customFormat="1">
      <c r="C139" s="3214" t="str">
        <f>C123</f>
        <v>Type of vegetation</v>
      </c>
      <c r="D139" s="3214"/>
      <c r="E139" s="3270"/>
      <c r="F139" s="3270"/>
      <c r="G139" s="3214"/>
      <c r="H139" s="3214"/>
      <c r="I139" s="3270"/>
      <c r="J139" s="3270"/>
      <c r="K139" s="3270"/>
      <c r="L139" s="3270"/>
      <c r="M139" s="3270" t="str">
        <f>M123</f>
        <v>All values are in t of carbon per ha (tC/ha)</v>
      </c>
      <c r="N139" s="3270"/>
      <c r="O139" s="3270"/>
      <c r="P139" s="3270"/>
      <c r="Q139" s="3270"/>
      <c r="R139" s="3270"/>
      <c r="S139" s="3270"/>
      <c r="T139" s="3270"/>
      <c r="U139" s="3270"/>
      <c r="V139" s="3629"/>
      <c r="W139" s="3628"/>
      <c r="X139" s="3628"/>
      <c r="Y139" s="3628"/>
      <c r="Z139" s="3628"/>
      <c r="AA139" s="3628"/>
    </row>
    <row r="140" spans="3:27" s="1704" customFormat="1">
      <c r="C140" s="3214"/>
      <c r="D140" s="3214"/>
      <c r="E140" s="3270"/>
      <c r="F140" s="3222"/>
      <c r="G140" s="3223" t="str">
        <f>G124</f>
        <v>Above-ground</v>
      </c>
      <c r="H140" s="3222"/>
      <c r="I140" s="3222"/>
      <c r="J140" s="3222"/>
      <c r="K140" s="3223" t="str">
        <f>K124</f>
        <v>Below-ground</v>
      </c>
      <c r="L140" s="3222"/>
      <c r="M140" s="3222"/>
      <c r="N140" s="3270"/>
      <c r="O140" s="3223" t="str">
        <f>O124</f>
        <v>Litter</v>
      </c>
      <c r="P140" s="3222"/>
      <c r="Q140" s="3334"/>
      <c r="R140" s="3334"/>
      <c r="S140" s="3630" t="str">
        <f>S124</f>
        <v>Dead wood</v>
      </c>
      <c r="T140" s="3270"/>
      <c r="U140" s="3270"/>
      <c r="V140" s="3629"/>
      <c r="W140" s="3628"/>
      <c r="X140" s="3628"/>
      <c r="Y140" s="3628"/>
      <c r="Z140" s="3628"/>
      <c r="AA140" s="3628"/>
    </row>
    <row r="141" spans="3:27" s="1704" customFormat="1">
      <c r="C141" s="3214"/>
      <c r="D141" s="3214"/>
      <c r="E141" s="3270"/>
      <c r="F141" s="3270" t="str">
        <f>F125</f>
        <v>Default</v>
      </c>
      <c r="G141" s="3270"/>
      <c r="H141" s="3270" t="str">
        <f>H125</f>
        <v>Tier 2</v>
      </c>
      <c r="I141" s="3270"/>
      <c r="J141" s="3270" t="str">
        <f>F141</f>
        <v>Default</v>
      </c>
      <c r="K141" s="3270"/>
      <c r="L141" s="3270" t="str">
        <f>H141</f>
        <v>Tier 2</v>
      </c>
      <c r="M141" s="3270"/>
      <c r="N141" s="3270" t="str">
        <f>J141</f>
        <v>Default</v>
      </c>
      <c r="O141" s="3270"/>
      <c r="P141" s="3270" t="str">
        <f>L141</f>
        <v>Tier 2</v>
      </c>
      <c r="Q141" s="3270"/>
      <c r="R141" s="3270" t="str">
        <f>N141</f>
        <v>Default</v>
      </c>
      <c r="S141" s="3270"/>
      <c r="T141" s="3270" t="str">
        <f>P141</f>
        <v>Tier 2</v>
      </c>
      <c r="U141" s="3270"/>
      <c r="V141" s="3629"/>
      <c r="W141" s="3628"/>
      <c r="X141" s="3628"/>
      <c r="Y141" s="3628"/>
      <c r="Z141" s="3628"/>
      <c r="AA141" s="3628"/>
    </row>
    <row r="142" spans="3:27" s="1704" customFormat="1">
      <c r="C142" s="3180" t="str">
        <f>C126</f>
        <v>Mangrove</v>
      </c>
      <c r="D142" s="3180"/>
      <c r="E142" s="3629"/>
      <c r="F142" s="3216">
        <f>F126</f>
        <v>0</v>
      </c>
      <c r="G142" s="3180"/>
      <c r="H142" s="3627"/>
      <c r="I142" s="3629"/>
      <c r="J142" s="3216">
        <f>J126</f>
        <v>0</v>
      </c>
      <c r="K142" s="3629"/>
      <c r="L142" s="3627"/>
      <c r="M142" s="3629"/>
      <c r="N142" s="3216">
        <f>N126</f>
        <v>0</v>
      </c>
      <c r="O142" s="3629"/>
      <c r="P142" s="3627"/>
      <c r="Q142" s="3629"/>
      <c r="R142" s="3216">
        <f>R126</f>
        <v>0</v>
      </c>
      <c r="S142" s="3629"/>
      <c r="T142" s="3627"/>
      <c r="U142" s="3627"/>
      <c r="V142" s="3629"/>
      <c r="W142" s="3628"/>
      <c r="X142" s="3628"/>
      <c r="Y142" s="3628"/>
      <c r="Z142" s="3628"/>
      <c r="AA142" s="3628"/>
    </row>
    <row r="143" spans="3:27" s="1704" customFormat="1">
      <c r="C143" s="3180" t="str">
        <f>C127</f>
        <v>Tidal marsh</v>
      </c>
      <c r="D143" s="3180"/>
      <c r="E143" s="3629"/>
      <c r="F143" s="3216">
        <v>0</v>
      </c>
      <c r="G143" s="3180"/>
      <c r="H143" s="3627"/>
      <c r="I143" s="3629"/>
      <c r="J143" s="3216">
        <f>H143*VLOOKUP(clim_full,' IPCC'!$A$1092:$B$1103,2,)</f>
        <v>0</v>
      </c>
      <c r="K143" s="3629"/>
      <c r="L143" s="3627"/>
      <c r="M143" s="3629"/>
      <c r="N143" s="3216">
        <f t="shared" ref="N143" si="9">N127</f>
        <v>0</v>
      </c>
      <c r="O143" s="3629"/>
      <c r="P143" s="3627"/>
      <c r="Q143" s="3629"/>
      <c r="R143" s="3216">
        <f t="shared" ref="R143" si="10">R127</f>
        <v>0</v>
      </c>
      <c r="S143" s="3629"/>
      <c r="T143" s="3627"/>
      <c r="U143" s="3627"/>
      <c r="V143" s="3629"/>
      <c r="W143" s="3628"/>
      <c r="X143" s="3628"/>
      <c r="Y143" s="3628"/>
      <c r="Z143" s="3628"/>
      <c r="AA143" s="3628"/>
    </row>
    <row r="144" spans="3:27" s="1704" customFormat="1">
      <c r="C144" s="3180" t="str">
        <f>C128</f>
        <v>Seagrass meadow</v>
      </c>
      <c r="D144" s="3180"/>
      <c r="E144" s="3629"/>
      <c r="F144" s="3216">
        <v>0</v>
      </c>
      <c r="G144" s="3180"/>
      <c r="H144" s="3627"/>
      <c r="I144" s="3629"/>
      <c r="J144" s="3216">
        <f>H144*VLOOKUP(clim_full,' IPCC'!$A$1092:$C$1103,3,)</f>
        <v>0</v>
      </c>
      <c r="K144" s="3629"/>
      <c r="L144" s="3627"/>
      <c r="M144" s="3629"/>
      <c r="N144" s="3216">
        <v>0</v>
      </c>
      <c r="O144" s="3629"/>
      <c r="P144" s="3627"/>
      <c r="Q144" s="3629"/>
      <c r="R144" s="3216">
        <v>0</v>
      </c>
      <c r="S144" s="3629"/>
      <c r="T144" s="3627"/>
      <c r="U144" s="3627"/>
      <c r="V144" s="3629"/>
      <c r="W144" s="3628"/>
      <c r="X144" s="3628"/>
      <c r="Y144" s="3628"/>
      <c r="Z144" s="3628"/>
      <c r="AA144" s="3628"/>
    </row>
    <row r="145" spans="3:27" s="1704" customFormat="1">
      <c r="E145" s="3628"/>
      <c r="F145" s="3628"/>
      <c r="I145" s="3628"/>
      <c r="J145" s="3628"/>
      <c r="K145" s="3628"/>
      <c r="L145" s="3628"/>
      <c r="M145" s="3628"/>
      <c r="N145" s="3628"/>
      <c r="O145" s="3628"/>
      <c r="P145" s="3628"/>
      <c r="Q145" s="3628"/>
      <c r="R145" s="3628"/>
      <c r="S145" s="3628"/>
      <c r="T145" s="3628"/>
      <c r="U145" s="3628"/>
      <c r="V145" s="3628"/>
      <c r="W145" s="3628"/>
      <c r="X145" s="3628"/>
      <c r="Y145" s="3628"/>
      <c r="Z145" s="3628"/>
      <c r="AA145" s="3628"/>
    </row>
    <row r="146" spans="3:27" s="1704" customFormat="1" ht="12.75" customHeight="1">
      <c r="C146" s="3214" t="str">
        <f>C123</f>
        <v>Type of vegetation</v>
      </c>
      <c r="D146" s="3214"/>
      <c r="E146" s="3270"/>
      <c r="F146" s="3916" t="str">
        <f>F130</f>
        <v>Default soil type is "Mineral"</v>
      </c>
      <c r="G146" s="3916"/>
      <c r="H146" s="3916"/>
      <c r="I146" s="3270"/>
      <c r="J146" s="3270"/>
      <c r="K146" s="3630" t="str">
        <f>K130</f>
        <v>Soil carbon</v>
      </c>
      <c r="L146" s="3270"/>
      <c r="M146" s="3270"/>
      <c r="N146" s="3270"/>
      <c r="O146" s="3270" t="str">
        <f>HLOOKUP(select,translations!$A$521:$H$580,52,)</f>
        <v>Emission factor</v>
      </c>
      <c r="P146" s="3270"/>
      <c r="Q146" s="3270"/>
      <c r="R146" s="3270"/>
      <c r="S146" s="3270"/>
      <c r="T146" s="3270"/>
      <c r="U146" s="3270"/>
      <c r="V146" s="3270"/>
      <c r="W146" s="3628"/>
      <c r="X146" s="3628"/>
      <c r="Y146" s="3628"/>
      <c r="Z146" s="3628"/>
      <c r="AA146" s="3628"/>
    </row>
    <row r="147" spans="3:27" s="1704" customFormat="1">
      <c r="C147" s="3214"/>
      <c r="D147" s="3214"/>
      <c r="E147" s="3270"/>
      <c r="F147" s="3916"/>
      <c r="G147" s="3916"/>
      <c r="H147" s="3916"/>
      <c r="I147" s="3270"/>
      <c r="J147" s="3270"/>
      <c r="K147" s="3270" t="str">
        <f>K131</f>
        <v>(default consider 1 m depth)</v>
      </c>
      <c r="L147" s="3270"/>
      <c r="M147" s="3270"/>
      <c r="N147" s="3270"/>
      <c r="O147" s="3270" t="str">
        <f>HLOOKUP(select,translations!$A$521:$H$580,53,)</f>
        <v>(t C /ha/yr)</v>
      </c>
      <c r="P147" s="3270"/>
      <c r="Q147" s="3270"/>
      <c r="R147" s="3270"/>
      <c r="S147" s="3270"/>
      <c r="T147" s="3270"/>
      <c r="U147" s="3270"/>
      <c r="V147" s="3270"/>
      <c r="W147" s="3628"/>
      <c r="X147" s="3628"/>
      <c r="Y147" s="3628"/>
      <c r="Z147" s="3628"/>
      <c r="AA147" s="3628"/>
    </row>
    <row r="148" spans="3:27" s="1704" customFormat="1">
      <c r="C148" s="3214"/>
      <c r="D148" s="3214"/>
      <c r="E148" s="3270"/>
      <c r="F148" s="3270"/>
      <c r="G148" s="3214"/>
      <c r="H148" s="3271" t="str">
        <f>H132</f>
        <v>Set to "Organic"?</v>
      </c>
      <c r="I148" s="3270"/>
      <c r="J148" s="3270" t="str">
        <f>J132</f>
        <v>Default</v>
      </c>
      <c r="K148" s="3270"/>
      <c r="L148" s="3270" t="str">
        <f>L132</f>
        <v>Tier 2</v>
      </c>
      <c r="M148" s="3270"/>
      <c r="N148" s="3270" t="str">
        <f>N132</f>
        <v>Default</v>
      </c>
      <c r="O148" s="3270"/>
      <c r="P148" s="3270" t="str">
        <f>P132</f>
        <v>Tier 2</v>
      </c>
      <c r="Q148" s="3270"/>
      <c r="R148" s="3270"/>
      <c r="S148" s="3270"/>
      <c r="T148" s="3270"/>
      <c r="U148" s="3270"/>
      <c r="V148" s="3270"/>
      <c r="W148" s="3628"/>
      <c r="X148" s="3628"/>
      <c r="Y148" s="3628"/>
      <c r="Z148" s="3628"/>
      <c r="AA148" s="3628"/>
    </row>
    <row r="149" spans="3:27" s="1704" customFormat="1">
      <c r="C149" s="3180" t="str">
        <f>C133</f>
        <v>Mangrove</v>
      </c>
      <c r="D149" s="3180"/>
      <c r="E149" s="3629"/>
      <c r="F149" s="3629"/>
      <c r="G149" s="3180"/>
      <c r="H149" s="3168" t="s">
        <v>350</v>
      </c>
      <c r="I149" s="3629"/>
      <c r="J149" s="3629">
        <f>VLOOKUP(clim_full,' IPCC'!$A$1108:$G$1119,2+IF(H149="No",0,1),0)</f>
        <v>0</v>
      </c>
      <c r="K149" s="3629"/>
      <c r="L149" s="3627"/>
      <c r="M149" s="3629"/>
      <c r="N149" s="3629">
        <f>VLOOKUP(clim_full,' IPCC'!$A$1124:$G$1135,2+IF(H149="No",0,1),0)</f>
        <v>0</v>
      </c>
      <c r="O149" s="3629"/>
      <c r="P149" s="3627"/>
      <c r="Q149" s="3629"/>
      <c r="R149" s="3629"/>
      <c r="S149" s="3629"/>
      <c r="T149" s="3629"/>
      <c r="U149" s="3629"/>
      <c r="V149" s="3629"/>
      <c r="W149" s="3628"/>
      <c r="X149" s="3628"/>
      <c r="Y149" s="3628"/>
      <c r="Z149" s="3628"/>
      <c r="AA149" s="3628"/>
    </row>
    <row r="150" spans="3:27" s="1704" customFormat="1">
      <c r="C150" s="3180" t="str">
        <f>C134</f>
        <v>Tidal marsh</v>
      </c>
      <c r="D150" s="3180"/>
      <c r="E150" s="3343"/>
      <c r="F150" s="3343"/>
      <c r="G150" s="3180"/>
      <c r="H150" s="3168" t="s">
        <v>350</v>
      </c>
      <c r="I150" s="3343"/>
      <c r="J150" s="3343">
        <f>VLOOKUP(clim_full,' IPCC'!$A$1108:$G$1119,4+IF(H150="No",0,1),0)</f>
        <v>0</v>
      </c>
      <c r="K150" s="3343"/>
      <c r="L150" s="3340"/>
      <c r="M150" s="3343"/>
      <c r="N150" s="3343">
        <f>VLOOKUP(clim_full,' IPCC'!$A$1124:$G$1135,4+IF(H150="No",0,1),0)</f>
        <v>0</v>
      </c>
      <c r="O150" s="3343"/>
      <c r="P150" s="3340"/>
      <c r="Q150" s="3343"/>
      <c r="R150" s="3343"/>
      <c r="S150" s="3343"/>
      <c r="T150" s="3343"/>
      <c r="U150" s="3364"/>
      <c r="V150" s="3343"/>
      <c r="W150" s="1709"/>
      <c r="X150" s="1709"/>
      <c r="Y150" s="1709"/>
      <c r="Z150" s="1709"/>
      <c r="AA150" s="1709"/>
    </row>
    <row r="151" spans="3:27" s="1704" customFormat="1">
      <c r="C151" s="3180" t="str">
        <f>C135</f>
        <v>Seagrass meadow</v>
      </c>
      <c r="D151" s="3180"/>
      <c r="E151" s="3343"/>
      <c r="F151" s="3343"/>
      <c r="G151" s="3180"/>
      <c r="H151" s="3343"/>
      <c r="I151" s="3343"/>
      <c r="J151" s="3343">
        <f>VLOOKUP(clim_full,' IPCC'!$A$1108:$G$1119,6,0)</f>
        <v>0</v>
      </c>
      <c r="K151" s="3343"/>
      <c r="L151" s="3340"/>
      <c r="M151" s="3343"/>
      <c r="N151" s="3343">
        <f>VLOOKUP(clim_full,' IPCC'!$A$1124:$G$1135,6,0)</f>
        <v>0</v>
      </c>
      <c r="O151" s="3343"/>
      <c r="P151" s="3340"/>
      <c r="Q151" s="3343"/>
      <c r="R151" s="3343"/>
      <c r="S151" s="3343"/>
      <c r="T151" s="3343"/>
      <c r="U151" s="3364"/>
      <c r="V151" s="3343"/>
      <c r="W151" s="1709"/>
      <c r="X151" s="1709"/>
      <c r="Y151" s="1709"/>
      <c r="Z151" s="1709"/>
      <c r="AA151" s="1709"/>
    </row>
    <row r="152" spans="3:27" s="1704" customFormat="1">
      <c r="E152" s="1709"/>
      <c r="F152" s="1709"/>
      <c r="I152" s="1709"/>
      <c r="J152" s="1709"/>
      <c r="K152" s="1709"/>
      <c r="L152" s="1709"/>
      <c r="M152" s="1709"/>
      <c r="N152" s="1709"/>
      <c r="O152" s="1709"/>
      <c r="P152" s="1709"/>
      <c r="Q152" s="1709"/>
      <c r="R152" s="1709"/>
      <c r="S152" s="1709"/>
      <c r="T152" s="1709"/>
      <c r="U152" s="3370"/>
      <c r="V152" s="1709"/>
      <c r="W152" s="1709"/>
      <c r="X152" s="1709"/>
      <c r="Y152" s="1709"/>
      <c r="Z152" s="1709"/>
      <c r="AA152" s="1709"/>
    </row>
    <row r="153" spans="3:27" s="1704" customFormat="1">
      <c r="C153" s="3239" t="str">
        <f>B32</f>
        <v>6.1.3. Rewetting</v>
      </c>
      <c r="D153" s="3239"/>
      <c r="E153" s="3239"/>
      <c r="F153" s="3239"/>
      <c r="G153" s="3239"/>
      <c r="H153" s="3239"/>
      <c r="I153" s="3239"/>
      <c r="J153" s="3239"/>
      <c r="K153" s="3239"/>
      <c r="L153" s="3239"/>
      <c r="M153" s="3239"/>
      <c r="N153" s="3239"/>
      <c r="O153" s="3239"/>
      <c r="P153" s="3239"/>
      <c r="Q153" s="3239"/>
      <c r="R153" s="3239"/>
      <c r="S153" s="3239"/>
      <c r="T153" s="3239"/>
      <c r="U153" s="3239"/>
      <c r="V153" s="3239"/>
      <c r="W153" s="1709"/>
      <c r="X153" s="1709"/>
      <c r="Y153" s="1709"/>
      <c r="Z153" s="1709"/>
      <c r="AA153" s="1709"/>
    </row>
    <row r="154" spans="3:27" s="1704" customFormat="1" ht="13.15" customHeight="1">
      <c r="C154" s="1937"/>
      <c r="D154" s="1937"/>
      <c r="E154" s="1937"/>
      <c r="F154" s="1937"/>
      <c r="G154" s="1937"/>
      <c r="H154" s="1937"/>
      <c r="I154" s="3318"/>
      <c r="J154" s="3318"/>
      <c r="L154" s="3320"/>
      <c r="M154" s="3320"/>
      <c r="N154" s="3318"/>
      <c r="P154" s="3320"/>
      <c r="Q154" s="3320"/>
      <c r="R154" s="3318"/>
      <c r="S154" s="3318"/>
      <c r="T154" s="3318"/>
      <c r="U154" s="3318"/>
      <c r="V154" s="3318"/>
      <c r="W154" s="1709"/>
      <c r="X154" s="1709"/>
      <c r="Y154" s="1709"/>
      <c r="Z154" s="1709"/>
      <c r="AA154" s="1709"/>
    </row>
    <row r="155" spans="3:27" s="1704" customFormat="1">
      <c r="C155" s="3214" t="str">
        <f>B34</f>
        <v>Type of vegetation</v>
      </c>
      <c r="D155" s="3214"/>
      <c r="E155" s="3270"/>
      <c r="F155" s="3270"/>
      <c r="G155" s="3214"/>
      <c r="H155" s="3214"/>
      <c r="I155" s="3270"/>
      <c r="J155" s="3270"/>
      <c r="K155" s="3319"/>
      <c r="L155" s="3319"/>
      <c r="M155" s="3270" t="str">
        <f>M123</f>
        <v>All values are in t of carbon per ha (tC/ha)</v>
      </c>
      <c r="N155" s="3270"/>
      <c r="O155" s="3319"/>
      <c r="P155" s="3319"/>
      <c r="Q155" s="3319"/>
      <c r="R155" s="3270"/>
      <c r="S155" s="3270"/>
      <c r="T155" s="3270"/>
      <c r="U155" s="3270"/>
      <c r="V155" s="3343"/>
      <c r="W155" s="1709"/>
      <c r="X155" s="1709"/>
      <c r="Y155" s="1709"/>
      <c r="Z155" s="1709"/>
      <c r="AA155" s="1709"/>
    </row>
    <row r="156" spans="3:27" s="1704" customFormat="1">
      <c r="C156" s="3214"/>
      <c r="D156" s="3214"/>
      <c r="E156" s="3270"/>
      <c r="F156" s="3222"/>
      <c r="G156" s="3223" t="str">
        <f>G124</f>
        <v>Above-ground</v>
      </c>
      <c r="H156" s="3222"/>
      <c r="I156" s="3222"/>
      <c r="J156" s="3222"/>
      <c r="K156" s="3334" t="str">
        <f>K124</f>
        <v>Below-ground</v>
      </c>
      <c r="L156" s="3333"/>
      <c r="M156" s="3319"/>
      <c r="N156" s="3270"/>
      <c r="O156" s="3223" t="str">
        <f>O124</f>
        <v>Litter</v>
      </c>
      <c r="P156" s="3222"/>
      <c r="Q156" s="3334"/>
      <c r="R156" s="3334"/>
      <c r="S156" s="3223" t="str">
        <f>S124</f>
        <v>Dead wood</v>
      </c>
      <c r="T156" s="3270"/>
      <c r="U156" s="3270"/>
      <c r="V156" s="3343"/>
      <c r="W156" s="1709"/>
      <c r="X156" s="1709"/>
      <c r="Y156" s="1709"/>
      <c r="Z156" s="1709"/>
      <c r="AA156" s="1709"/>
    </row>
    <row r="157" spans="3:27" s="1704" customFormat="1">
      <c r="C157" s="3214"/>
      <c r="D157" s="3214"/>
      <c r="E157" s="3270"/>
      <c r="F157" s="3270" t="str">
        <f>F125</f>
        <v>Default</v>
      </c>
      <c r="G157" s="3270"/>
      <c r="H157" s="3270" t="str">
        <f>H125</f>
        <v>Tier 2</v>
      </c>
      <c r="I157" s="3270"/>
      <c r="J157" s="3270" t="str">
        <f>F157</f>
        <v>Default</v>
      </c>
      <c r="K157" s="3319"/>
      <c r="L157" s="3319" t="str">
        <f>H157</f>
        <v>Tier 2</v>
      </c>
      <c r="M157" s="3319"/>
      <c r="N157" s="3270" t="str">
        <f>J157</f>
        <v>Default</v>
      </c>
      <c r="O157" s="3270"/>
      <c r="P157" s="3270" t="str">
        <f>L157</f>
        <v>Tier 2</v>
      </c>
      <c r="Q157" s="3270"/>
      <c r="R157" s="3270" t="str">
        <f>N157</f>
        <v>Default</v>
      </c>
      <c r="S157" s="3270"/>
      <c r="T157" s="3270" t="str">
        <f>P157</f>
        <v>Tier 2</v>
      </c>
      <c r="U157" s="3270"/>
      <c r="V157" s="3343"/>
      <c r="W157" s="1709"/>
      <c r="X157" s="1709"/>
      <c r="Y157" s="1709"/>
      <c r="Z157" s="1709"/>
      <c r="AA157" s="1709"/>
    </row>
    <row r="158" spans="3:27" s="1704" customFormat="1">
      <c r="C158" s="3180" t="str">
        <f>B37</f>
        <v>Mangrove</v>
      </c>
      <c r="D158" s="3180"/>
      <c r="E158" s="3343"/>
      <c r="F158" s="3216">
        <f>F126</f>
        <v>0</v>
      </c>
      <c r="G158" s="3180"/>
      <c r="H158" s="3340"/>
      <c r="I158" s="3343"/>
      <c r="J158" s="3216">
        <f>J126</f>
        <v>0</v>
      </c>
      <c r="K158" s="3319"/>
      <c r="L158" s="3340"/>
      <c r="M158" s="3319"/>
      <c r="N158" s="3216">
        <f>N126</f>
        <v>0</v>
      </c>
      <c r="O158" s="3319"/>
      <c r="P158" s="3340"/>
      <c r="Q158" s="3319"/>
      <c r="R158" s="3216">
        <f>R126</f>
        <v>0</v>
      </c>
      <c r="S158" s="3343"/>
      <c r="T158" s="3340"/>
      <c r="U158" s="3361"/>
      <c r="V158" s="3343"/>
      <c r="W158" s="1709"/>
      <c r="X158" s="1709"/>
      <c r="Y158" s="1709"/>
      <c r="Z158" s="1709"/>
      <c r="AA158" s="1709"/>
    </row>
    <row r="159" spans="3:27" s="1704" customFormat="1">
      <c r="C159" s="3180" t="str">
        <f>B38</f>
        <v>Tidal marsh</v>
      </c>
      <c r="D159" s="3180"/>
      <c r="E159" s="3343"/>
      <c r="F159" s="3216">
        <f t="shared" ref="F159:F160" si="11">F127</f>
        <v>0</v>
      </c>
      <c r="G159" s="3180"/>
      <c r="H159" s="3340"/>
      <c r="I159" s="3343"/>
      <c r="J159" s="3216">
        <f t="shared" ref="J159:J160" si="12">J127</f>
        <v>0</v>
      </c>
      <c r="K159" s="3319"/>
      <c r="L159" s="3340"/>
      <c r="M159" s="3319"/>
      <c r="N159" s="3216">
        <f t="shared" ref="N159:N160" si="13">N127</f>
        <v>0</v>
      </c>
      <c r="O159" s="3319"/>
      <c r="P159" s="3340"/>
      <c r="Q159" s="3319"/>
      <c r="R159" s="3216">
        <f t="shared" ref="R159:R160" si="14">R127</f>
        <v>0</v>
      </c>
      <c r="S159" s="3343"/>
      <c r="T159" s="3340"/>
      <c r="U159" s="3361"/>
      <c r="V159" s="3343"/>
      <c r="W159" s="1709"/>
      <c r="X159" s="1709"/>
      <c r="Y159" s="1709"/>
      <c r="Z159" s="1709"/>
      <c r="AA159" s="1709"/>
    </row>
    <row r="160" spans="3:27" s="1704" customFormat="1">
      <c r="C160" s="3180" t="str">
        <f>B39</f>
        <v>Seagrass meadow</v>
      </c>
      <c r="D160" s="3180"/>
      <c r="E160" s="3343"/>
      <c r="F160" s="3216">
        <f t="shared" si="11"/>
        <v>0</v>
      </c>
      <c r="G160" s="3180"/>
      <c r="H160" s="3340"/>
      <c r="I160" s="3343"/>
      <c r="J160" s="3216">
        <f t="shared" si="12"/>
        <v>0</v>
      </c>
      <c r="K160" s="3319"/>
      <c r="L160" s="3340"/>
      <c r="M160" s="3319"/>
      <c r="N160" s="3216">
        <f t="shared" si="13"/>
        <v>0</v>
      </c>
      <c r="O160" s="3319"/>
      <c r="P160" s="3340"/>
      <c r="Q160" s="3319"/>
      <c r="R160" s="3216">
        <f t="shared" si="14"/>
        <v>0</v>
      </c>
      <c r="S160" s="3343"/>
      <c r="T160" s="3340"/>
      <c r="U160" s="3361"/>
      <c r="V160" s="3343"/>
      <c r="W160" s="1709"/>
      <c r="X160" s="1709"/>
      <c r="Y160" s="1709"/>
      <c r="Z160" s="1709"/>
      <c r="AA160" s="1709"/>
    </row>
    <row r="161" spans="3:27" s="1704" customFormat="1">
      <c r="E161" s="1709"/>
      <c r="F161" s="3321"/>
      <c r="H161" s="3322"/>
      <c r="I161" s="1709"/>
      <c r="J161" s="3321"/>
      <c r="K161" s="3320"/>
      <c r="L161" s="3320"/>
      <c r="M161" s="3320"/>
      <c r="N161" s="3321"/>
      <c r="O161" s="3320"/>
      <c r="P161" s="3320"/>
      <c r="Q161" s="3320"/>
      <c r="R161" s="3321"/>
      <c r="S161" s="1709"/>
      <c r="T161" s="3322"/>
      <c r="U161" s="3322"/>
      <c r="V161" s="1709"/>
      <c r="W161" s="1709"/>
      <c r="X161" s="1709"/>
      <c r="Y161" s="1709"/>
      <c r="Z161" s="1709"/>
      <c r="AA161" s="1709"/>
    </row>
    <row r="162" spans="3:27" s="1704" customFormat="1">
      <c r="C162" s="3180"/>
      <c r="D162" s="3180"/>
      <c r="E162" s="3343"/>
      <c r="F162" s="3216"/>
      <c r="G162" s="3180"/>
      <c r="H162" s="3216"/>
      <c r="I162" s="3343"/>
      <c r="J162" s="3216"/>
      <c r="K162" s="3319"/>
      <c r="L162" s="3912" t="str">
        <f>'5. Management'!F245</f>
        <v>CO2 Emission Factor</v>
      </c>
      <c r="M162" s="3912"/>
      <c r="N162" s="3216"/>
      <c r="O162" s="3319"/>
      <c r="P162" s="3912" t="str">
        <f>'5. Management'!N245</f>
        <v>CH4 Emission Factor</v>
      </c>
      <c r="Q162" s="3912"/>
      <c r="R162" s="3216"/>
      <c r="S162" s="3343"/>
      <c r="T162" s="3216"/>
      <c r="U162" s="3216"/>
      <c r="V162" s="3343"/>
      <c r="W162" s="1709"/>
      <c r="X162" s="1709"/>
      <c r="Y162" s="1709"/>
      <c r="Z162" s="1709"/>
      <c r="AA162" s="1709"/>
    </row>
    <row r="163" spans="3:27" s="1704" customFormat="1" ht="13.15" customHeight="1">
      <c r="C163" s="3214" t="str">
        <f>C146</f>
        <v>Type of vegetation</v>
      </c>
      <c r="D163" s="3214"/>
      <c r="E163" s="3270"/>
      <c r="F163" s="3221" t="str">
        <f>HLOOKUP(select,translations!$A$521:$H$580,54,)</f>
        <v>By default water used to rewet is fresh</v>
      </c>
      <c r="G163" s="3214"/>
      <c r="H163" s="3214"/>
      <c r="I163" s="3270"/>
      <c r="J163" s="3270"/>
      <c r="K163" s="3319"/>
      <c r="L163" s="3912"/>
      <c r="M163" s="3912"/>
      <c r="N163" s="3270"/>
      <c r="O163" s="3319"/>
      <c r="P163" s="3912"/>
      <c r="Q163" s="3912"/>
      <c r="R163" s="3270"/>
      <c r="S163" s="3270"/>
      <c r="T163" s="3270"/>
      <c r="U163" s="3270"/>
      <c r="V163" s="3270"/>
      <c r="W163" s="1709"/>
      <c r="X163" s="1709"/>
      <c r="Y163" s="1709"/>
      <c r="Z163" s="1709"/>
      <c r="AA163" s="1709"/>
    </row>
    <row r="164" spans="3:27" s="1704" customFormat="1">
      <c r="C164" s="3214"/>
      <c r="D164" s="3214"/>
      <c r="E164" s="3270"/>
      <c r="F164" s="3270" t="str">
        <f>HLOOKUP(select,translations!$A$521:$H$580,55,)</f>
        <v>Set to saline?</v>
      </c>
      <c r="G164" s="3270"/>
      <c r="H164" s="3168" t="s">
        <v>350</v>
      </c>
      <c r="I164" s="3270"/>
      <c r="J164" s="3270"/>
      <c r="K164" s="3913" t="str">
        <f>O147</f>
        <v>(t C /ha/yr)</v>
      </c>
      <c r="L164" s="3913"/>
      <c r="M164" s="3913"/>
      <c r="N164" s="3270"/>
      <c r="O164" s="3912" t="str">
        <f>HLOOKUP(select,translations!$A$521:$H$580,56,)</f>
        <v>(kg CH4 /ha /yr)</v>
      </c>
      <c r="P164" s="3912"/>
      <c r="Q164" s="3912"/>
      <c r="R164" s="3270"/>
      <c r="S164" s="3270"/>
      <c r="T164" s="3270"/>
      <c r="U164" s="3270"/>
      <c r="V164" s="3270"/>
      <c r="W164" s="1709"/>
      <c r="X164" s="1709"/>
      <c r="Y164" s="1709"/>
      <c r="Z164" s="1709"/>
      <c r="AA164" s="1709"/>
    </row>
    <row r="165" spans="3:27" s="1704" customFormat="1">
      <c r="C165" s="3214"/>
      <c r="D165" s="3214"/>
      <c r="E165" s="3270"/>
      <c r="F165" s="3270"/>
      <c r="G165" s="3214"/>
      <c r="H165" s="3214"/>
      <c r="I165" s="3270"/>
      <c r="J165" s="3180"/>
      <c r="K165" s="3180"/>
      <c r="L165" s="3270" t="str">
        <f>N148</f>
        <v>Default</v>
      </c>
      <c r="M165" s="3270" t="str">
        <f>P148</f>
        <v>Tier 2</v>
      </c>
      <c r="N165" s="3270"/>
      <c r="O165" s="3270"/>
      <c r="P165" s="3214" t="str">
        <f>N148</f>
        <v>Default</v>
      </c>
      <c r="Q165" s="3270" t="str">
        <f>P148</f>
        <v>Tier 2</v>
      </c>
      <c r="R165" s="3270"/>
      <c r="S165" s="3270"/>
      <c r="T165" s="3270"/>
      <c r="U165" s="3270"/>
      <c r="V165" s="3270"/>
      <c r="W165" s="1709"/>
      <c r="X165" s="1709"/>
      <c r="Y165" s="1709"/>
      <c r="Z165" s="1709"/>
      <c r="AA165" s="1709"/>
    </row>
    <row r="166" spans="3:27" s="1704" customFormat="1">
      <c r="C166" s="3180" t="str">
        <f>C158</f>
        <v>Mangrove</v>
      </c>
      <c r="D166" s="3180"/>
      <c r="E166" s="3343"/>
      <c r="F166" s="3343"/>
      <c r="G166" s="3180"/>
      <c r="H166" s="3214"/>
      <c r="I166" s="3343"/>
      <c r="J166" s="3180"/>
      <c r="K166" s="3180"/>
      <c r="L166" s="3343">
        <f>VLOOKUP(clim_full,' IPCC'!$A$1140:$G$1151,2+IF(H166="No",0,1),0)</f>
        <v>0</v>
      </c>
      <c r="M166" s="3340"/>
      <c r="N166" s="3270"/>
      <c r="O166" s="3270"/>
      <c r="P166" s="3343">
        <f>VLOOKUP(clim_full,' IPCC'!$A$1156:$C$1167,2+IF($H$164="No",0,1),0)</f>
        <v>0</v>
      </c>
      <c r="Q166" s="3340"/>
      <c r="R166" s="3343"/>
      <c r="S166" s="3343"/>
      <c r="T166" s="3343"/>
      <c r="U166" s="3364"/>
      <c r="V166" s="3343"/>
      <c r="W166" s="1709"/>
      <c r="X166" s="1709"/>
      <c r="Y166" s="1709"/>
      <c r="Z166" s="1709"/>
      <c r="AA166" s="1709"/>
    </row>
    <row r="167" spans="3:27" s="1704" customFormat="1">
      <c r="C167" s="3180" t="str">
        <f>C159</f>
        <v>Tidal marsh</v>
      </c>
      <c r="D167" s="3180"/>
      <c r="E167" s="3343"/>
      <c r="F167" s="3343"/>
      <c r="G167" s="3180"/>
      <c r="H167" s="3214"/>
      <c r="I167" s="3343"/>
      <c r="J167" s="3180"/>
      <c r="K167" s="3180"/>
      <c r="L167" s="3343">
        <f>VLOOKUP(clim_full,' IPCC'!$A$1140:$G$1151,4+IF(H167="No",0,1),0)</f>
        <v>0</v>
      </c>
      <c r="M167" s="3340"/>
      <c r="N167" s="3270"/>
      <c r="O167" s="3270"/>
      <c r="P167" s="3343">
        <f>VLOOKUP(clim_full,' IPCC'!$A$1156:$C$1167,2+IF($H$164="No",0,1),0)</f>
        <v>0</v>
      </c>
      <c r="Q167" s="3340"/>
      <c r="R167" s="3343"/>
      <c r="S167" s="3343"/>
      <c r="T167" s="3343"/>
      <c r="U167" s="3364"/>
      <c r="V167" s="3343"/>
      <c r="W167" s="1709"/>
      <c r="X167" s="1709"/>
      <c r="Y167" s="1709"/>
      <c r="Z167" s="1709"/>
      <c r="AA167" s="1709"/>
    </row>
    <row r="168" spans="3:27" s="1704" customFormat="1">
      <c r="C168" s="3180" t="str">
        <f>C160</f>
        <v>Seagrass meadow</v>
      </c>
      <c r="D168" s="3180"/>
      <c r="E168" s="3343"/>
      <c r="F168" s="3343"/>
      <c r="G168" s="3180"/>
      <c r="H168" s="3343"/>
      <c r="I168" s="3343"/>
      <c r="J168" s="3180"/>
      <c r="K168" s="3180"/>
      <c r="L168" s="3343">
        <f>VLOOKUP(clim_full,' IPCC'!$A$1140:$G$1151,6,0)</f>
        <v>0</v>
      </c>
      <c r="M168" s="3340"/>
      <c r="N168" s="3270"/>
      <c r="O168" s="3270"/>
      <c r="P168" s="3343">
        <f>VLOOKUP(clim_full,' IPCC'!$A$1156:$C$1167,2+IF($H$164="No",0,1),0)</f>
        <v>0</v>
      </c>
      <c r="Q168" s="3340"/>
      <c r="R168" s="3343"/>
      <c r="S168" s="3343"/>
      <c r="T168" s="3343"/>
      <c r="U168" s="3364"/>
      <c r="V168" s="3343"/>
      <c r="W168" s="1709"/>
      <c r="X168" s="1709"/>
      <c r="Y168" s="1709"/>
      <c r="Z168" s="1709"/>
      <c r="AA168" s="1709"/>
    </row>
    <row r="169" spans="3:27" s="1704" customFormat="1">
      <c r="E169" s="1709"/>
      <c r="F169" s="1709"/>
      <c r="I169" s="1709"/>
      <c r="J169" s="1709"/>
      <c r="K169" s="1709"/>
      <c r="L169" s="1709"/>
      <c r="M169" s="1709"/>
      <c r="N169" s="1709"/>
      <c r="O169" s="1709"/>
      <c r="P169" s="1709"/>
      <c r="Q169" s="1709"/>
      <c r="R169" s="1709"/>
      <c r="S169" s="1709"/>
      <c r="T169" s="1709"/>
      <c r="U169" s="3370"/>
      <c r="V169" s="1709"/>
      <c r="W169" s="1709"/>
      <c r="X169" s="1709"/>
      <c r="Y169" s="1709"/>
      <c r="Z169" s="1709"/>
      <c r="AA169" s="1709"/>
    </row>
    <row r="170" spans="3:27" s="1704" customFormat="1">
      <c r="E170" s="1709"/>
      <c r="F170" s="1709"/>
      <c r="I170" s="1709"/>
      <c r="J170" s="1709"/>
      <c r="K170" s="1709"/>
      <c r="L170" s="1709"/>
      <c r="M170" s="1709"/>
      <c r="N170" s="1709"/>
      <c r="O170" s="1709"/>
      <c r="P170" s="1709"/>
      <c r="Q170" s="1709"/>
      <c r="R170" s="1709"/>
      <c r="S170" s="1709"/>
      <c r="T170" s="1709"/>
      <c r="U170" s="3370"/>
      <c r="V170" s="1709"/>
      <c r="W170" s="1709"/>
      <c r="X170" s="1709"/>
      <c r="Y170" s="1709"/>
      <c r="Z170" s="1709"/>
      <c r="AA170" s="1709"/>
    </row>
    <row r="171" spans="3:27" s="1704" customFormat="1">
      <c r="E171" s="1709"/>
      <c r="F171" s="1709"/>
      <c r="I171" s="1709"/>
      <c r="J171" s="1709"/>
      <c r="K171" s="1709"/>
      <c r="L171" s="1709"/>
      <c r="M171" s="1709"/>
      <c r="N171" s="1709"/>
      <c r="O171" s="1709"/>
      <c r="P171" s="1709"/>
      <c r="Q171" s="1709"/>
      <c r="R171" s="1709"/>
      <c r="S171" s="1709"/>
      <c r="T171" s="1709"/>
      <c r="U171" s="3370"/>
      <c r="V171" s="1709"/>
      <c r="W171" s="1709"/>
      <c r="X171" s="1709"/>
      <c r="Y171" s="1709"/>
      <c r="Z171" s="1709"/>
      <c r="AA171" s="1709"/>
    </row>
    <row r="172" spans="3:27" s="1704" customFormat="1">
      <c r="E172" s="1709"/>
      <c r="F172" s="1709"/>
      <c r="I172" s="1709"/>
      <c r="J172" s="1709"/>
      <c r="K172" s="1709"/>
      <c r="L172" s="1709"/>
      <c r="M172" s="1709"/>
      <c r="N172" s="1709"/>
      <c r="O172" s="1709"/>
      <c r="P172" s="1709"/>
      <c r="Q172" s="1709"/>
      <c r="R172" s="1709"/>
      <c r="S172" s="1709"/>
      <c r="T172" s="1709"/>
      <c r="U172" s="3370"/>
      <c r="V172" s="1709"/>
      <c r="W172" s="1709"/>
      <c r="X172" s="1709"/>
      <c r="Y172" s="1709"/>
      <c r="Z172" s="1709"/>
      <c r="AA172" s="1709"/>
    </row>
    <row r="173" spans="3:27" s="1704" customFormat="1">
      <c r="E173" s="1709"/>
      <c r="F173" s="1709"/>
      <c r="I173" s="1709"/>
      <c r="J173" s="1709"/>
      <c r="K173" s="1709"/>
      <c r="L173" s="1709"/>
      <c r="M173" s="1709"/>
      <c r="N173" s="1709"/>
      <c r="O173" s="1709"/>
      <c r="P173" s="1709"/>
      <c r="Q173" s="1709"/>
      <c r="R173" s="1709"/>
      <c r="S173" s="1709"/>
      <c r="T173" s="1709"/>
      <c r="U173" s="3370"/>
      <c r="V173" s="1709"/>
      <c r="W173" s="1709"/>
      <c r="X173" s="1709"/>
      <c r="Y173" s="1709"/>
      <c r="Z173" s="1709"/>
      <c r="AA173" s="1709"/>
    </row>
    <row r="174" spans="3:27" s="1704" customFormat="1">
      <c r="E174" s="1709"/>
      <c r="F174" s="1709"/>
      <c r="I174" s="1709"/>
      <c r="J174" s="1709"/>
      <c r="K174" s="1709"/>
      <c r="L174" s="1709"/>
      <c r="M174" s="1709"/>
      <c r="N174" s="1709"/>
      <c r="O174" s="1709"/>
      <c r="P174" s="1709"/>
      <c r="Q174" s="1709"/>
      <c r="R174" s="1709"/>
      <c r="S174" s="1709"/>
      <c r="T174" s="1709"/>
      <c r="U174" s="3370"/>
      <c r="V174" s="1709"/>
      <c r="W174" s="1709"/>
      <c r="X174" s="1709"/>
      <c r="Y174" s="1709"/>
      <c r="Z174" s="1709"/>
      <c r="AA174" s="1709"/>
    </row>
    <row r="175" spans="3:27" s="1704" customFormat="1">
      <c r="E175" s="1709"/>
      <c r="F175" s="1709"/>
      <c r="I175" s="1709"/>
      <c r="J175" s="1709"/>
      <c r="K175" s="1709"/>
      <c r="L175" s="1709"/>
      <c r="M175" s="1709"/>
      <c r="N175" s="1709"/>
      <c r="O175" s="1709"/>
      <c r="P175" s="1709"/>
      <c r="Q175" s="1709"/>
      <c r="R175" s="1709"/>
      <c r="S175" s="1709"/>
      <c r="T175" s="1709"/>
      <c r="U175" s="3370"/>
      <c r="V175" s="1709"/>
      <c r="W175" s="1709"/>
      <c r="X175" s="1709"/>
      <c r="Y175" s="1709"/>
      <c r="Z175" s="1709"/>
      <c r="AA175" s="1709"/>
    </row>
    <row r="176" spans="3:27" s="1704" customFormat="1">
      <c r="E176" s="1709"/>
      <c r="F176" s="1709"/>
      <c r="I176" s="1709"/>
      <c r="J176" s="1709"/>
      <c r="K176" s="1709"/>
      <c r="L176" s="1709"/>
      <c r="M176" s="1709"/>
      <c r="N176" s="1709"/>
      <c r="O176" s="1709"/>
      <c r="P176" s="1709"/>
      <c r="Q176" s="1709"/>
      <c r="R176" s="1709"/>
      <c r="S176" s="1709"/>
      <c r="T176" s="1709"/>
      <c r="U176" s="3370"/>
      <c r="V176" s="1709"/>
      <c r="W176" s="1709"/>
      <c r="X176" s="1709"/>
      <c r="Y176" s="1709"/>
      <c r="Z176" s="1709"/>
      <c r="AA176" s="1709"/>
    </row>
    <row r="177" spans="5:27" s="1704" customFormat="1">
      <c r="E177" s="1709"/>
      <c r="F177" s="1709"/>
      <c r="I177" s="1709"/>
      <c r="J177" s="1709"/>
      <c r="K177" s="1709"/>
      <c r="L177" s="1709"/>
      <c r="M177" s="1709"/>
      <c r="N177" s="1709"/>
      <c r="O177" s="1709"/>
      <c r="P177" s="1709"/>
      <c r="Q177" s="1709"/>
      <c r="R177" s="1709"/>
      <c r="S177" s="1709"/>
      <c r="T177" s="1709"/>
      <c r="U177" s="3370"/>
      <c r="V177" s="1709"/>
      <c r="W177" s="1709"/>
      <c r="X177" s="1709"/>
      <c r="Y177" s="1709"/>
      <c r="Z177" s="1709"/>
      <c r="AA177" s="1709"/>
    </row>
    <row r="178" spans="5:27" s="1704" customFormat="1">
      <c r="E178" s="1709"/>
      <c r="F178" s="1709"/>
      <c r="I178" s="1709"/>
      <c r="J178" s="1709"/>
      <c r="K178" s="1709"/>
      <c r="L178" s="1709"/>
      <c r="M178" s="1709"/>
      <c r="N178" s="1709"/>
      <c r="O178" s="1709"/>
      <c r="P178" s="1709"/>
      <c r="Q178" s="1709"/>
      <c r="R178" s="1709"/>
      <c r="S178" s="1709"/>
      <c r="T178" s="1709"/>
      <c r="U178" s="3370"/>
      <c r="V178" s="1709"/>
      <c r="W178" s="1709"/>
      <c r="X178" s="1709"/>
      <c r="Y178" s="1709"/>
      <c r="Z178" s="1709"/>
      <c r="AA178" s="1709"/>
    </row>
    <row r="179" spans="5:27" s="1704" customFormat="1">
      <c r="E179" s="1709"/>
      <c r="F179" s="1709"/>
      <c r="I179" s="1709"/>
      <c r="J179" s="1709"/>
      <c r="K179" s="1709"/>
      <c r="L179" s="1709"/>
      <c r="M179" s="1709"/>
      <c r="N179" s="1709"/>
      <c r="O179" s="1709"/>
      <c r="P179" s="1709"/>
      <c r="Q179" s="1709"/>
      <c r="R179" s="1709"/>
      <c r="S179" s="1709"/>
      <c r="T179" s="1709"/>
      <c r="U179" s="3370"/>
      <c r="V179" s="1709"/>
      <c r="W179" s="1709"/>
      <c r="X179" s="1709"/>
      <c r="Y179" s="1709"/>
      <c r="Z179" s="1709"/>
      <c r="AA179" s="1709"/>
    </row>
    <row r="180" spans="5:27" s="1704" customFormat="1">
      <c r="E180" s="1709"/>
      <c r="F180" s="1709"/>
      <c r="I180" s="1709"/>
      <c r="J180" s="1709"/>
      <c r="K180" s="1709"/>
      <c r="L180" s="1709"/>
      <c r="M180" s="1709"/>
      <c r="N180" s="1709"/>
      <c r="O180" s="1709"/>
      <c r="P180" s="1709"/>
      <c r="Q180" s="1709"/>
      <c r="R180" s="1709"/>
      <c r="S180" s="1709"/>
      <c r="T180" s="1709"/>
      <c r="U180" s="3370"/>
      <c r="V180" s="1709"/>
      <c r="W180" s="1709"/>
      <c r="X180" s="1709"/>
      <c r="Y180" s="1709"/>
      <c r="Z180" s="1709"/>
      <c r="AA180" s="1709"/>
    </row>
    <row r="181" spans="5:27" s="1704" customFormat="1">
      <c r="E181" s="1709"/>
      <c r="F181" s="1709"/>
      <c r="I181" s="1709"/>
      <c r="J181" s="1709"/>
      <c r="K181" s="1709"/>
      <c r="L181" s="1709"/>
      <c r="M181" s="1709"/>
      <c r="N181" s="1709"/>
      <c r="O181" s="1709"/>
      <c r="P181" s="1709"/>
      <c r="Q181" s="1709"/>
      <c r="R181" s="1709"/>
      <c r="S181" s="1709"/>
      <c r="T181" s="1709"/>
      <c r="U181" s="3370"/>
      <c r="V181" s="1709"/>
      <c r="W181" s="1709"/>
      <c r="X181" s="1709"/>
      <c r="Y181" s="1709"/>
      <c r="Z181" s="1709"/>
      <c r="AA181" s="1709"/>
    </row>
    <row r="182" spans="5:27" s="1704" customFormat="1">
      <c r="E182" s="1709"/>
      <c r="F182" s="1709"/>
      <c r="I182" s="1709"/>
      <c r="J182" s="1709"/>
      <c r="K182" s="1709"/>
      <c r="L182" s="1709"/>
      <c r="M182" s="1709"/>
      <c r="N182" s="1709"/>
      <c r="O182" s="1709"/>
      <c r="P182" s="1709"/>
      <c r="Q182" s="1709"/>
      <c r="R182" s="1709"/>
      <c r="S182" s="1709"/>
      <c r="T182" s="1709"/>
      <c r="U182" s="3370"/>
      <c r="V182" s="1709"/>
      <c r="W182" s="1709"/>
      <c r="X182" s="1709"/>
      <c r="Y182" s="1709"/>
      <c r="Z182" s="1709"/>
      <c r="AA182" s="1709"/>
    </row>
    <row r="183" spans="5:27" s="1704" customFormat="1">
      <c r="E183" s="1709"/>
      <c r="F183" s="1709"/>
      <c r="I183" s="1709"/>
      <c r="J183" s="1709"/>
      <c r="K183" s="1709"/>
      <c r="L183" s="1709"/>
      <c r="M183" s="1709"/>
      <c r="N183" s="1709"/>
      <c r="O183" s="1709"/>
      <c r="P183" s="1709"/>
      <c r="Q183" s="1709"/>
      <c r="R183" s="1709"/>
      <c r="S183" s="1709"/>
      <c r="T183" s="1709"/>
      <c r="U183" s="3370"/>
      <c r="V183" s="1709"/>
      <c r="W183" s="1709"/>
      <c r="X183" s="1709"/>
      <c r="Y183" s="1709"/>
      <c r="Z183" s="1709"/>
      <c r="AA183" s="1709"/>
    </row>
    <row r="184" spans="5:27" s="1704" customFormat="1">
      <c r="E184" s="1709"/>
      <c r="F184" s="1709"/>
      <c r="I184" s="1709"/>
      <c r="J184" s="1709"/>
      <c r="K184" s="1709"/>
      <c r="L184" s="1709"/>
      <c r="M184" s="1709"/>
      <c r="N184" s="1709"/>
      <c r="O184" s="1709"/>
      <c r="P184" s="1709"/>
      <c r="Q184" s="1709"/>
      <c r="R184" s="1709"/>
      <c r="S184" s="1709"/>
      <c r="T184" s="1709"/>
      <c r="U184" s="3370"/>
      <c r="V184" s="1709"/>
      <c r="W184" s="1709"/>
      <c r="X184" s="1709"/>
      <c r="Y184" s="1709"/>
      <c r="Z184" s="1709"/>
      <c r="AA184" s="1709"/>
    </row>
    <row r="185" spans="5:27" s="1704" customFormat="1">
      <c r="E185" s="1709"/>
      <c r="F185" s="1709"/>
      <c r="I185" s="1709"/>
      <c r="J185" s="1709"/>
      <c r="K185" s="1709"/>
      <c r="L185" s="1709"/>
      <c r="M185" s="1709"/>
      <c r="N185" s="1709"/>
      <c r="O185" s="1709"/>
      <c r="P185" s="1709"/>
      <c r="Q185" s="1709"/>
      <c r="R185" s="1709"/>
      <c r="S185" s="1709"/>
      <c r="T185" s="1709"/>
      <c r="U185" s="3370"/>
      <c r="V185" s="1709"/>
      <c r="W185" s="1709"/>
      <c r="X185" s="1709"/>
      <c r="Y185" s="1709"/>
      <c r="Z185" s="1709"/>
      <c r="AA185" s="1709"/>
    </row>
    <row r="186" spans="5:27" s="1704" customFormat="1">
      <c r="E186" s="1709"/>
      <c r="F186" s="1709"/>
      <c r="I186" s="1709"/>
      <c r="J186" s="1709"/>
      <c r="K186" s="1709"/>
      <c r="L186" s="1709"/>
      <c r="M186" s="1709"/>
      <c r="N186" s="1709"/>
      <c r="O186" s="1709"/>
      <c r="P186" s="1709"/>
      <c r="Q186" s="1709"/>
      <c r="R186" s="1709"/>
      <c r="S186" s="1709"/>
      <c r="T186" s="1709"/>
      <c r="U186" s="3370"/>
      <c r="V186" s="1709"/>
      <c r="W186" s="1709"/>
      <c r="X186" s="1709"/>
      <c r="Y186" s="1709"/>
      <c r="Z186" s="1709"/>
      <c r="AA186" s="1709"/>
    </row>
    <row r="187" spans="5:27" s="1704" customFormat="1">
      <c r="E187" s="1709"/>
      <c r="F187" s="1709"/>
      <c r="I187" s="1709"/>
      <c r="J187" s="1709"/>
      <c r="K187" s="1709"/>
      <c r="L187" s="1709"/>
      <c r="M187" s="1709"/>
      <c r="N187" s="1709"/>
      <c r="O187" s="1709"/>
      <c r="P187" s="1709"/>
      <c r="Q187" s="1709"/>
      <c r="R187" s="1709"/>
      <c r="S187" s="1709"/>
      <c r="T187" s="1709"/>
      <c r="U187" s="3370"/>
      <c r="V187" s="1709"/>
      <c r="W187" s="1709"/>
      <c r="X187" s="1709"/>
      <c r="Y187" s="1709"/>
      <c r="Z187" s="1709"/>
      <c r="AA187" s="1709"/>
    </row>
    <row r="188" spans="5:27" s="1704" customFormat="1">
      <c r="E188" s="1709"/>
      <c r="F188" s="1709"/>
      <c r="I188" s="1709"/>
      <c r="J188" s="1709"/>
      <c r="K188" s="1709"/>
      <c r="L188" s="1709"/>
      <c r="M188" s="1709"/>
      <c r="N188" s="1709"/>
      <c r="O188" s="1709"/>
      <c r="P188" s="1709"/>
      <c r="Q188" s="1709"/>
      <c r="R188" s="1709"/>
      <c r="S188" s="1709"/>
      <c r="T188" s="1709"/>
      <c r="U188" s="3370"/>
      <c r="V188" s="1709"/>
      <c r="W188" s="1709"/>
      <c r="X188" s="1709"/>
      <c r="Y188" s="1709"/>
      <c r="Z188" s="1709"/>
      <c r="AA188" s="1709"/>
    </row>
    <row r="189" spans="5:27" s="1704" customFormat="1">
      <c r="E189" s="1709"/>
      <c r="F189" s="1709"/>
      <c r="I189" s="1709"/>
      <c r="J189" s="1709"/>
      <c r="K189" s="1709"/>
      <c r="L189" s="1709"/>
      <c r="M189" s="1709"/>
      <c r="N189" s="1709"/>
      <c r="O189" s="1709"/>
      <c r="P189" s="1709"/>
      <c r="Q189" s="1709"/>
      <c r="R189" s="1709"/>
      <c r="S189" s="1709"/>
      <c r="T189" s="1709"/>
      <c r="U189" s="3370"/>
      <c r="V189" s="1709"/>
      <c r="W189" s="1709"/>
      <c r="X189" s="1709"/>
      <c r="Y189" s="1709"/>
      <c r="Z189" s="1709"/>
      <c r="AA189" s="1709"/>
    </row>
    <row r="190" spans="5:27" s="1704" customFormat="1">
      <c r="E190" s="1709"/>
      <c r="F190" s="1709"/>
      <c r="I190" s="1709"/>
      <c r="J190" s="1709"/>
      <c r="K190" s="1709"/>
      <c r="L190" s="1709"/>
      <c r="M190" s="1709"/>
      <c r="N190" s="1709"/>
      <c r="O190" s="1709"/>
      <c r="P190" s="1709"/>
      <c r="Q190" s="1709"/>
      <c r="R190" s="1709"/>
      <c r="S190" s="1709"/>
      <c r="T190" s="1709"/>
      <c r="U190" s="3370"/>
      <c r="V190" s="1709"/>
      <c r="W190" s="1709"/>
      <c r="X190" s="1709"/>
      <c r="Y190" s="1709"/>
      <c r="Z190" s="1709"/>
      <c r="AA190" s="1709"/>
    </row>
    <row r="191" spans="5:27" s="1704" customFormat="1">
      <c r="E191" s="1709"/>
      <c r="F191" s="1709"/>
      <c r="I191" s="1709"/>
      <c r="J191" s="1709"/>
      <c r="K191" s="1709"/>
      <c r="L191" s="1709"/>
      <c r="M191" s="1709"/>
      <c r="N191" s="1709"/>
      <c r="O191" s="1709"/>
      <c r="P191" s="1709"/>
      <c r="Q191" s="1709"/>
      <c r="R191" s="1709"/>
      <c r="S191" s="1709"/>
      <c r="T191" s="1709"/>
      <c r="U191" s="3370"/>
      <c r="V191" s="1709"/>
      <c r="W191" s="1709"/>
      <c r="X191" s="1709"/>
      <c r="Y191" s="1709"/>
      <c r="Z191" s="1709"/>
      <c r="AA191" s="1709"/>
    </row>
    <row r="192" spans="5:27" s="1704" customFormat="1">
      <c r="E192" s="1709"/>
      <c r="F192" s="1709"/>
      <c r="I192" s="1709"/>
      <c r="J192" s="1709"/>
      <c r="K192" s="1709"/>
      <c r="L192" s="1709"/>
      <c r="M192" s="1709"/>
      <c r="N192" s="1709"/>
      <c r="O192" s="1709"/>
      <c r="P192" s="1709"/>
      <c r="Q192" s="1709"/>
      <c r="R192" s="1709"/>
      <c r="S192" s="1709"/>
      <c r="T192" s="1709"/>
      <c r="U192" s="3370"/>
      <c r="V192" s="1709"/>
      <c r="W192" s="1709"/>
      <c r="X192" s="1709"/>
      <c r="Y192" s="1709"/>
      <c r="Z192" s="1709"/>
      <c r="AA192" s="1709"/>
    </row>
    <row r="193" spans="5:27" s="1704" customFormat="1">
      <c r="E193" s="1709"/>
      <c r="F193" s="1709"/>
      <c r="I193" s="1709"/>
      <c r="J193" s="1709"/>
      <c r="K193" s="1709"/>
      <c r="L193" s="1709"/>
      <c r="M193" s="1709"/>
      <c r="N193" s="1709"/>
      <c r="O193" s="1709"/>
      <c r="P193" s="1709"/>
      <c r="Q193" s="1709"/>
      <c r="R193" s="1709"/>
      <c r="S193" s="1709"/>
      <c r="T193" s="1709"/>
      <c r="U193" s="3370"/>
      <c r="V193" s="1709"/>
      <c r="W193" s="1709"/>
      <c r="X193" s="1709"/>
      <c r="Y193" s="1709"/>
      <c r="Z193" s="1709"/>
      <c r="AA193" s="1709"/>
    </row>
    <row r="194" spans="5:27" s="1704" customFormat="1">
      <c r="E194" s="1709"/>
      <c r="F194" s="1709"/>
      <c r="I194" s="1709"/>
      <c r="J194" s="1709"/>
      <c r="K194" s="1709"/>
      <c r="L194" s="1709"/>
      <c r="M194" s="1709"/>
      <c r="N194" s="1709"/>
      <c r="O194" s="1709"/>
      <c r="P194" s="1709"/>
      <c r="Q194" s="1709"/>
      <c r="R194" s="1709"/>
      <c r="S194" s="1709"/>
      <c r="T194" s="1709"/>
      <c r="U194" s="3370"/>
      <c r="V194" s="1709"/>
      <c r="W194" s="1709"/>
      <c r="X194" s="1709"/>
      <c r="Y194" s="1709"/>
      <c r="Z194" s="1709"/>
      <c r="AA194" s="1709"/>
    </row>
    <row r="195" spans="5:27" s="1704" customFormat="1">
      <c r="E195" s="1709"/>
      <c r="F195" s="1709"/>
      <c r="I195" s="1709"/>
      <c r="J195" s="1709"/>
      <c r="K195" s="1709"/>
      <c r="L195" s="1709"/>
      <c r="M195" s="1709"/>
      <c r="N195" s="1709"/>
      <c r="O195" s="1709"/>
      <c r="P195" s="1709"/>
      <c r="Q195" s="1709"/>
      <c r="R195" s="1709"/>
      <c r="S195" s="1709"/>
      <c r="T195" s="1709"/>
      <c r="U195" s="3370"/>
      <c r="V195" s="1709"/>
      <c r="W195" s="1709"/>
      <c r="X195" s="1709"/>
      <c r="Y195" s="1709"/>
      <c r="Z195" s="1709"/>
      <c r="AA195" s="1709"/>
    </row>
    <row r="196" spans="5:27" s="1704" customFormat="1">
      <c r="E196" s="1709"/>
      <c r="F196" s="1709"/>
      <c r="I196" s="1709"/>
      <c r="J196" s="1709"/>
      <c r="K196" s="1709"/>
      <c r="L196" s="1709"/>
      <c r="M196" s="1709"/>
      <c r="N196" s="1709"/>
      <c r="O196" s="1709"/>
      <c r="P196" s="1709"/>
      <c r="Q196" s="1709"/>
      <c r="R196" s="1709"/>
      <c r="S196" s="1709"/>
      <c r="T196" s="1709"/>
      <c r="U196" s="3370"/>
      <c r="V196" s="1709"/>
      <c r="W196" s="1709"/>
      <c r="X196" s="1709"/>
      <c r="Y196" s="1709"/>
      <c r="Z196" s="1709"/>
      <c r="AA196" s="1709"/>
    </row>
    <row r="197" spans="5:27" s="1704" customFormat="1">
      <c r="E197" s="1709"/>
      <c r="F197" s="1709"/>
      <c r="I197" s="1709"/>
      <c r="J197" s="1709"/>
      <c r="K197" s="1709"/>
      <c r="L197" s="1709"/>
      <c r="M197" s="1709"/>
      <c r="N197" s="1709"/>
      <c r="O197" s="1709"/>
      <c r="P197" s="1709"/>
      <c r="Q197" s="1709"/>
      <c r="R197" s="1709"/>
      <c r="S197" s="1709"/>
      <c r="T197" s="1709"/>
      <c r="U197" s="3370"/>
      <c r="V197" s="1709"/>
      <c r="W197" s="1709"/>
      <c r="X197" s="1709"/>
      <c r="Y197" s="1709"/>
      <c r="Z197" s="1709"/>
      <c r="AA197" s="1709"/>
    </row>
    <row r="198" spans="5:27" s="1704" customFormat="1">
      <c r="E198" s="1709"/>
      <c r="F198" s="1709"/>
      <c r="I198" s="1709"/>
      <c r="J198" s="1709"/>
      <c r="K198" s="1709"/>
      <c r="L198" s="1709"/>
      <c r="M198" s="1709"/>
      <c r="N198" s="1709"/>
      <c r="O198" s="1709"/>
      <c r="P198" s="1709"/>
      <c r="Q198" s="1709"/>
      <c r="R198" s="1709"/>
      <c r="S198" s="1709"/>
      <c r="T198" s="1709"/>
      <c r="U198" s="3370"/>
      <c r="V198" s="1709"/>
      <c r="W198" s="1709"/>
      <c r="X198" s="1709"/>
      <c r="Y198" s="1709"/>
      <c r="Z198" s="1709"/>
      <c r="AA198" s="1709"/>
    </row>
    <row r="199" spans="5:27" s="1704" customFormat="1">
      <c r="E199" s="1709"/>
      <c r="F199" s="1709"/>
      <c r="I199" s="1709"/>
      <c r="J199" s="1709"/>
      <c r="K199" s="1709"/>
      <c r="L199" s="1709"/>
      <c r="M199" s="1709"/>
      <c r="N199" s="1709"/>
      <c r="O199" s="1709"/>
      <c r="P199" s="1709"/>
      <c r="Q199" s="1709"/>
      <c r="R199" s="1709"/>
      <c r="S199" s="1709"/>
      <c r="T199" s="1709"/>
      <c r="U199" s="3370"/>
      <c r="V199" s="1709"/>
      <c r="W199" s="1709"/>
      <c r="X199" s="1709"/>
      <c r="Y199" s="1709"/>
      <c r="Z199" s="1709"/>
      <c r="AA199" s="1709"/>
    </row>
    <row r="200" spans="5:27" s="1704" customFormat="1">
      <c r="E200" s="1709"/>
      <c r="F200" s="1709"/>
      <c r="I200" s="1709"/>
      <c r="J200" s="1709"/>
      <c r="K200" s="1709"/>
      <c r="L200" s="1709"/>
      <c r="M200" s="1709"/>
      <c r="N200" s="1709"/>
      <c r="O200" s="1709"/>
      <c r="P200" s="1709"/>
      <c r="Q200" s="1709"/>
      <c r="R200" s="1709"/>
      <c r="S200" s="1709"/>
      <c r="T200" s="1709"/>
      <c r="U200" s="3370"/>
      <c r="V200" s="1709"/>
      <c r="W200" s="1709"/>
      <c r="X200" s="1709"/>
      <c r="Y200" s="1709"/>
      <c r="Z200" s="1709"/>
      <c r="AA200" s="1709"/>
    </row>
    <row r="201" spans="5:27" s="1704" customFormat="1">
      <c r="E201" s="1709"/>
      <c r="F201" s="1709"/>
      <c r="I201" s="1709"/>
      <c r="J201" s="1709"/>
      <c r="K201" s="1709"/>
      <c r="L201" s="1709"/>
      <c r="M201" s="1709"/>
      <c r="N201" s="1709"/>
      <c r="O201" s="1709"/>
      <c r="P201" s="1709"/>
      <c r="Q201" s="1709"/>
      <c r="R201" s="1709"/>
      <c r="S201" s="1709"/>
      <c r="T201" s="1709"/>
      <c r="U201" s="3370"/>
      <c r="V201" s="1709"/>
      <c r="W201" s="1709"/>
      <c r="X201" s="1709"/>
      <c r="Y201" s="1709"/>
      <c r="Z201" s="1709"/>
      <c r="AA201" s="1709"/>
    </row>
    <row r="202" spans="5:27" s="1704" customFormat="1">
      <c r="E202" s="1709"/>
      <c r="F202" s="1709"/>
      <c r="I202" s="1709"/>
      <c r="J202" s="1709"/>
      <c r="K202" s="1709"/>
      <c r="L202" s="1709"/>
      <c r="M202" s="1709"/>
      <c r="N202" s="1709"/>
      <c r="O202" s="1709"/>
      <c r="P202" s="1709"/>
      <c r="Q202" s="1709"/>
      <c r="R202" s="1709"/>
      <c r="S202" s="1709"/>
      <c r="T202" s="1709"/>
      <c r="U202" s="3370"/>
      <c r="V202" s="1709"/>
      <c r="W202" s="1709"/>
      <c r="X202" s="1709"/>
      <c r="Y202" s="1709"/>
      <c r="Z202" s="1709"/>
      <c r="AA202" s="1709"/>
    </row>
    <row r="203" spans="5:27" s="1704" customFormat="1">
      <c r="E203" s="1709"/>
      <c r="F203" s="1709"/>
      <c r="I203" s="1709"/>
      <c r="J203" s="1709"/>
      <c r="K203" s="1709"/>
      <c r="L203" s="1709"/>
      <c r="M203" s="1709"/>
      <c r="N203" s="1709"/>
      <c r="O203" s="1709"/>
      <c r="P203" s="1709"/>
      <c r="Q203" s="1709"/>
      <c r="R203" s="1709"/>
      <c r="S203" s="1709"/>
      <c r="T203" s="1709"/>
      <c r="U203" s="3370"/>
      <c r="V203" s="1709"/>
      <c r="W203" s="1709"/>
      <c r="X203" s="1709"/>
      <c r="Y203" s="1709"/>
      <c r="Z203" s="1709"/>
      <c r="AA203" s="1709"/>
    </row>
    <row r="204" spans="5:27" s="1704" customFormat="1">
      <c r="E204" s="1709"/>
      <c r="F204" s="1709"/>
      <c r="I204" s="1709"/>
      <c r="J204" s="1709"/>
      <c r="K204" s="1709"/>
      <c r="L204" s="1709"/>
      <c r="M204" s="1709"/>
      <c r="N204" s="1709"/>
      <c r="O204" s="1709"/>
      <c r="P204" s="1709"/>
      <c r="Q204" s="1709"/>
      <c r="R204" s="1709"/>
      <c r="S204" s="1709"/>
      <c r="T204" s="1709"/>
      <c r="U204" s="3370"/>
      <c r="V204" s="1709"/>
      <c r="W204" s="1709"/>
      <c r="X204" s="1709"/>
      <c r="Y204" s="1709"/>
      <c r="Z204" s="1709"/>
      <c r="AA204" s="1709"/>
    </row>
    <row r="205" spans="5:27" s="1704" customFormat="1">
      <c r="E205" s="1709"/>
      <c r="F205" s="1709"/>
      <c r="I205" s="1709"/>
      <c r="J205" s="1709"/>
      <c r="K205" s="1709"/>
      <c r="L205" s="1709"/>
      <c r="M205" s="1709"/>
      <c r="N205" s="1709"/>
      <c r="O205" s="1709"/>
      <c r="P205" s="1709"/>
      <c r="Q205" s="1709"/>
      <c r="R205" s="1709"/>
      <c r="S205" s="1709"/>
      <c r="T205" s="1709"/>
      <c r="U205" s="3370"/>
      <c r="V205" s="1709"/>
      <c r="W205" s="1709"/>
      <c r="X205" s="1709"/>
      <c r="Y205" s="1709"/>
      <c r="Z205" s="1709"/>
      <c r="AA205" s="1709"/>
    </row>
    <row r="206" spans="5:27" s="1704" customFormat="1">
      <c r="E206" s="1709"/>
      <c r="F206" s="1709"/>
      <c r="I206" s="1709"/>
      <c r="J206" s="1709"/>
      <c r="K206" s="1709"/>
      <c r="L206" s="1709"/>
      <c r="M206" s="1709"/>
      <c r="N206" s="1709"/>
      <c r="O206" s="1709"/>
      <c r="P206" s="1709"/>
      <c r="Q206" s="1709"/>
      <c r="R206" s="1709"/>
      <c r="S206" s="1709"/>
      <c r="T206" s="1709"/>
      <c r="U206" s="3370"/>
      <c r="V206" s="1709"/>
      <c r="W206" s="1709"/>
      <c r="X206" s="1709"/>
      <c r="Y206" s="1709"/>
      <c r="Z206" s="1709"/>
      <c r="AA206" s="1709"/>
    </row>
    <row r="207" spans="5:27" s="1704" customFormat="1">
      <c r="E207" s="1709"/>
      <c r="F207" s="1709"/>
      <c r="I207" s="1709"/>
      <c r="J207" s="1709"/>
      <c r="K207" s="1709"/>
      <c r="L207" s="1709"/>
      <c r="M207" s="1709"/>
      <c r="N207" s="1709"/>
      <c r="O207" s="1709"/>
      <c r="P207" s="1709"/>
      <c r="Q207" s="1709"/>
      <c r="R207" s="1709"/>
      <c r="S207" s="1709"/>
      <c r="T207" s="1709"/>
      <c r="U207" s="3370"/>
      <c r="V207" s="1709"/>
      <c r="W207" s="1709"/>
      <c r="X207" s="1709"/>
      <c r="Y207" s="1709"/>
      <c r="Z207" s="1709"/>
      <c r="AA207" s="1709"/>
    </row>
    <row r="208" spans="5:27" s="1704" customFormat="1">
      <c r="E208" s="1709"/>
      <c r="F208" s="1709"/>
      <c r="I208" s="1709"/>
      <c r="J208" s="1709"/>
      <c r="K208" s="1709"/>
      <c r="L208" s="1709"/>
      <c r="M208" s="1709"/>
      <c r="N208" s="1709"/>
      <c r="O208" s="1709"/>
      <c r="P208" s="1709"/>
      <c r="Q208" s="1709"/>
      <c r="R208" s="1709"/>
      <c r="S208" s="1709"/>
      <c r="T208" s="1709"/>
      <c r="U208" s="3370"/>
      <c r="V208" s="1709"/>
      <c r="W208" s="1709"/>
      <c r="X208" s="1709"/>
      <c r="Y208" s="1709"/>
      <c r="Z208" s="1709"/>
      <c r="AA208" s="1709"/>
    </row>
    <row r="209" spans="5:27" s="1704" customFormat="1">
      <c r="E209" s="1709"/>
      <c r="F209" s="1709"/>
      <c r="I209" s="1709"/>
      <c r="J209" s="1709"/>
      <c r="K209" s="1709"/>
      <c r="L209" s="1709"/>
      <c r="M209" s="1709"/>
      <c r="N209" s="1709"/>
      <c r="O209" s="1709"/>
      <c r="P209" s="1709"/>
      <c r="Q209" s="1709"/>
      <c r="R209" s="1709"/>
      <c r="S209" s="1709"/>
      <c r="T209" s="1709"/>
      <c r="U209" s="3370"/>
      <c r="V209" s="1709"/>
      <c r="W209" s="1709"/>
      <c r="X209" s="1709"/>
      <c r="Y209" s="1709"/>
      <c r="Z209" s="1709"/>
      <c r="AA209" s="1709"/>
    </row>
    <row r="210" spans="5:27" s="1704" customFormat="1">
      <c r="E210" s="1709"/>
      <c r="F210" s="1709"/>
      <c r="I210" s="1709"/>
      <c r="J210" s="1709"/>
      <c r="K210" s="1709"/>
      <c r="L210" s="1709"/>
      <c r="M210" s="1709"/>
      <c r="N210" s="1709"/>
      <c r="O210" s="1709"/>
      <c r="P210" s="1709"/>
      <c r="Q210" s="1709"/>
      <c r="R210" s="1709"/>
      <c r="S210" s="1709"/>
      <c r="T210" s="1709"/>
      <c r="U210" s="3370"/>
      <c r="V210" s="1709"/>
      <c r="W210" s="1709"/>
      <c r="X210" s="1709"/>
      <c r="Y210" s="1709"/>
      <c r="Z210" s="1709"/>
      <c r="AA210" s="1709"/>
    </row>
    <row r="211" spans="5:27" s="1704" customFormat="1">
      <c r="E211" s="1709"/>
      <c r="F211" s="1709"/>
      <c r="I211" s="1709"/>
      <c r="J211" s="1709"/>
      <c r="K211" s="1709"/>
      <c r="L211" s="1709"/>
      <c r="M211" s="1709"/>
      <c r="N211" s="1709"/>
      <c r="O211" s="1709"/>
      <c r="P211" s="1709"/>
      <c r="Q211" s="1709"/>
      <c r="R211" s="1709"/>
      <c r="S211" s="1709"/>
      <c r="T211" s="1709"/>
      <c r="U211" s="3370"/>
      <c r="V211" s="1709"/>
      <c r="W211" s="1709"/>
      <c r="X211" s="1709"/>
      <c r="Y211" s="1709"/>
      <c r="Z211" s="1709"/>
      <c r="AA211" s="1709"/>
    </row>
    <row r="212" spans="5:27" s="1704" customFormat="1">
      <c r="E212" s="1709"/>
      <c r="F212" s="1709"/>
      <c r="I212" s="1709"/>
      <c r="J212" s="1709"/>
      <c r="K212" s="1709"/>
      <c r="L212" s="1709"/>
      <c r="M212" s="1709"/>
      <c r="N212" s="1709"/>
      <c r="O212" s="1709"/>
      <c r="P212" s="1709"/>
      <c r="Q212" s="1709"/>
      <c r="R212" s="1709"/>
      <c r="S212" s="1709"/>
      <c r="T212" s="1709"/>
      <c r="U212" s="3370"/>
      <c r="V212" s="1709"/>
      <c r="W212" s="1709"/>
      <c r="X212" s="1709"/>
      <c r="Y212" s="1709"/>
      <c r="Z212" s="1709"/>
      <c r="AA212" s="1709"/>
    </row>
    <row r="213" spans="5:27" s="1704" customFormat="1">
      <c r="E213" s="1709"/>
      <c r="F213" s="1709"/>
      <c r="I213" s="1709"/>
      <c r="J213" s="1709"/>
      <c r="K213" s="1709"/>
      <c r="L213" s="1709"/>
      <c r="M213" s="1709"/>
      <c r="N213" s="1709"/>
      <c r="O213" s="1709"/>
      <c r="P213" s="1709"/>
      <c r="Q213" s="1709"/>
      <c r="R213" s="1709"/>
      <c r="S213" s="1709"/>
      <c r="T213" s="1709"/>
      <c r="U213" s="3370"/>
      <c r="V213" s="1709"/>
      <c r="W213" s="1709"/>
      <c r="X213" s="1709"/>
      <c r="Y213" s="1709"/>
      <c r="Z213" s="1709"/>
      <c r="AA213" s="1709"/>
    </row>
    <row r="214" spans="5:27" s="1704" customFormat="1">
      <c r="E214" s="1709"/>
      <c r="F214" s="1709"/>
      <c r="I214" s="1709"/>
      <c r="J214" s="1709"/>
      <c r="K214" s="1709"/>
      <c r="L214" s="1709"/>
      <c r="M214" s="1709"/>
      <c r="N214" s="1709"/>
      <c r="O214" s="1709"/>
      <c r="P214" s="1709"/>
      <c r="Q214" s="1709"/>
      <c r="R214" s="1709"/>
      <c r="S214" s="1709"/>
      <c r="T214" s="1709"/>
      <c r="U214" s="3370"/>
      <c r="V214" s="1709"/>
      <c r="W214" s="1709"/>
      <c r="X214" s="1709"/>
      <c r="Y214" s="1709"/>
      <c r="Z214" s="1709"/>
      <c r="AA214" s="1709"/>
    </row>
    <row r="215" spans="5:27" s="1704" customFormat="1">
      <c r="E215" s="1709"/>
      <c r="F215" s="1709"/>
      <c r="I215" s="1709"/>
      <c r="J215" s="1709"/>
      <c r="K215" s="1709"/>
      <c r="L215" s="1709"/>
      <c r="M215" s="1709"/>
      <c r="N215" s="1709"/>
      <c r="O215" s="1709"/>
      <c r="P215" s="1709"/>
      <c r="Q215" s="1709"/>
      <c r="R215" s="1709"/>
      <c r="S215" s="1709"/>
      <c r="T215" s="1709"/>
      <c r="U215" s="3370"/>
      <c r="V215" s="1709"/>
      <c r="W215" s="1709"/>
      <c r="X215" s="1709"/>
      <c r="Y215" s="1709"/>
      <c r="Z215" s="1709"/>
      <c r="AA215" s="1709"/>
    </row>
    <row r="216" spans="5:27" s="1704" customFormat="1">
      <c r="E216" s="1709"/>
      <c r="F216" s="1709"/>
      <c r="I216" s="1709"/>
      <c r="J216" s="1709"/>
      <c r="K216" s="1709"/>
      <c r="L216" s="1709"/>
      <c r="M216" s="1709"/>
      <c r="N216" s="1709"/>
      <c r="O216" s="1709"/>
      <c r="P216" s="1709"/>
      <c r="Q216" s="1709"/>
      <c r="R216" s="1709"/>
      <c r="S216" s="1709"/>
      <c r="T216" s="1709"/>
      <c r="U216" s="3370"/>
      <c r="V216" s="1709"/>
      <c r="W216" s="1709"/>
      <c r="X216" s="1709"/>
      <c r="Y216" s="1709"/>
      <c r="Z216" s="1709"/>
      <c r="AA216" s="1709"/>
    </row>
    <row r="217" spans="5:27" s="1704" customFormat="1">
      <c r="E217" s="1709"/>
      <c r="F217" s="1709"/>
      <c r="I217" s="1709"/>
      <c r="J217" s="1709"/>
      <c r="K217" s="1709"/>
      <c r="L217" s="1709"/>
      <c r="M217" s="1709"/>
      <c r="N217" s="1709"/>
      <c r="O217" s="1709"/>
      <c r="P217" s="1709"/>
      <c r="Q217" s="1709"/>
      <c r="R217" s="1709"/>
      <c r="S217" s="1709"/>
      <c r="T217" s="1709"/>
      <c r="U217" s="3370"/>
      <c r="V217" s="1709"/>
      <c r="W217" s="1709"/>
      <c r="X217" s="1709"/>
      <c r="Y217" s="1709"/>
      <c r="Z217" s="1709"/>
      <c r="AA217" s="1709"/>
    </row>
    <row r="218" spans="5:27" s="1704" customFormat="1">
      <c r="E218" s="1709"/>
      <c r="F218" s="1709"/>
      <c r="I218" s="1709"/>
      <c r="J218" s="1709"/>
      <c r="K218" s="1709"/>
      <c r="L218" s="1709"/>
      <c r="M218" s="1709"/>
      <c r="N218" s="1709"/>
      <c r="O218" s="1709"/>
      <c r="P218" s="1709"/>
      <c r="Q218" s="1709"/>
      <c r="R218" s="1709"/>
      <c r="S218" s="1709"/>
      <c r="T218" s="1709"/>
      <c r="U218" s="3370"/>
      <c r="V218" s="1709"/>
      <c r="W218" s="1709"/>
      <c r="X218" s="1709"/>
      <c r="Y218" s="1709"/>
      <c r="Z218" s="1709"/>
      <c r="AA218" s="1709"/>
    </row>
    <row r="219" spans="5:27" s="1704" customFormat="1">
      <c r="E219" s="1709"/>
      <c r="F219" s="1709"/>
      <c r="I219" s="1709"/>
      <c r="J219" s="1709"/>
      <c r="K219" s="1709"/>
      <c r="L219" s="1709"/>
      <c r="M219" s="1709"/>
      <c r="N219" s="1709"/>
      <c r="O219" s="1709"/>
      <c r="P219" s="1709"/>
      <c r="Q219" s="1709"/>
      <c r="R219" s="1709"/>
      <c r="S219" s="1709"/>
      <c r="T219" s="1709"/>
      <c r="U219" s="3370"/>
      <c r="V219" s="1709"/>
      <c r="W219" s="1709"/>
      <c r="X219" s="1709"/>
      <c r="Y219" s="1709"/>
      <c r="Z219" s="1709"/>
      <c r="AA219" s="1709"/>
    </row>
    <row r="220" spans="5:27" s="1704" customFormat="1">
      <c r="E220" s="1709"/>
      <c r="F220" s="1709"/>
      <c r="I220" s="1709"/>
      <c r="J220" s="1709"/>
      <c r="K220" s="1709"/>
      <c r="L220" s="1709"/>
      <c r="M220" s="1709"/>
      <c r="N220" s="1709"/>
      <c r="O220" s="1709"/>
      <c r="P220" s="1709"/>
      <c r="Q220" s="1709"/>
      <c r="R220" s="1709"/>
      <c r="S220" s="1709"/>
      <c r="T220" s="1709"/>
      <c r="U220" s="3370"/>
      <c r="V220" s="1709"/>
      <c r="W220" s="1709"/>
      <c r="X220" s="1709"/>
      <c r="Y220" s="1709"/>
      <c r="Z220" s="1709"/>
      <c r="AA220" s="1709"/>
    </row>
    <row r="221" spans="5:27" s="1704" customFormat="1">
      <c r="E221" s="1709"/>
      <c r="F221" s="1709"/>
      <c r="I221" s="1709"/>
      <c r="J221" s="1709"/>
      <c r="K221" s="1709"/>
      <c r="L221" s="1709"/>
      <c r="M221" s="1709"/>
      <c r="N221" s="1709"/>
      <c r="O221" s="1709"/>
      <c r="P221" s="1709"/>
      <c r="Q221" s="1709"/>
      <c r="R221" s="1709"/>
      <c r="S221" s="1709"/>
      <c r="T221" s="1709"/>
      <c r="U221" s="3370"/>
      <c r="V221" s="1709"/>
      <c r="W221" s="1709"/>
      <c r="X221" s="1709"/>
      <c r="Y221" s="1709"/>
      <c r="Z221" s="1709"/>
      <c r="AA221" s="1709"/>
    </row>
    <row r="222" spans="5:27" s="1704" customFormat="1">
      <c r="E222" s="1709"/>
      <c r="F222" s="1709"/>
      <c r="I222" s="1709"/>
      <c r="J222" s="1709"/>
      <c r="K222" s="1709"/>
      <c r="L222" s="1709"/>
      <c r="M222" s="1709"/>
      <c r="N222" s="1709"/>
      <c r="O222" s="1709"/>
      <c r="P222" s="1709"/>
      <c r="Q222" s="1709"/>
      <c r="R222" s="1709"/>
      <c r="S222" s="1709"/>
      <c r="T222" s="1709"/>
      <c r="U222" s="3370"/>
      <c r="V222" s="1709"/>
      <c r="W222" s="1709"/>
      <c r="X222" s="1709"/>
      <c r="Y222" s="1709"/>
      <c r="Z222" s="1709"/>
      <c r="AA222" s="1709"/>
    </row>
    <row r="223" spans="5:27" s="1704" customFormat="1">
      <c r="E223" s="1709"/>
      <c r="F223" s="1709"/>
      <c r="I223" s="1709"/>
      <c r="J223" s="1709"/>
      <c r="K223" s="1709"/>
      <c r="L223" s="1709"/>
      <c r="M223" s="1709"/>
      <c r="N223" s="1709"/>
      <c r="O223" s="1709"/>
      <c r="P223" s="1709"/>
      <c r="Q223" s="1709"/>
      <c r="R223" s="1709"/>
      <c r="S223" s="1709"/>
      <c r="T223" s="1709"/>
      <c r="U223" s="3370"/>
      <c r="V223" s="1709"/>
      <c r="W223" s="1709"/>
      <c r="X223" s="1709"/>
      <c r="Y223" s="1709"/>
      <c r="Z223" s="1709"/>
      <c r="AA223" s="1709"/>
    </row>
    <row r="224" spans="5:27" s="1704" customFormat="1">
      <c r="E224" s="1709"/>
      <c r="F224" s="1709"/>
      <c r="I224" s="1709"/>
      <c r="J224" s="1709"/>
      <c r="K224" s="1709"/>
      <c r="L224" s="1709"/>
      <c r="M224" s="1709"/>
      <c r="N224" s="1709"/>
      <c r="O224" s="1709"/>
      <c r="P224" s="1709"/>
      <c r="Q224" s="1709"/>
      <c r="R224" s="1709"/>
      <c r="S224" s="1709"/>
      <c r="T224" s="1709"/>
      <c r="U224" s="3370"/>
      <c r="V224" s="1709"/>
      <c r="W224" s="1709"/>
      <c r="X224" s="1709"/>
      <c r="Y224" s="1709"/>
      <c r="Z224" s="1709"/>
      <c r="AA224" s="1709"/>
    </row>
    <row r="225" spans="5:27" s="1704" customFormat="1">
      <c r="E225" s="1709"/>
      <c r="F225" s="1709"/>
      <c r="I225" s="1709"/>
      <c r="J225" s="1709"/>
      <c r="K225" s="1709"/>
      <c r="L225" s="1709"/>
      <c r="M225" s="1709"/>
      <c r="N225" s="1709"/>
      <c r="O225" s="1709"/>
      <c r="P225" s="1709"/>
      <c r="Q225" s="1709"/>
      <c r="R225" s="1709"/>
      <c r="S225" s="1709"/>
      <c r="T225" s="1709"/>
      <c r="U225" s="3370"/>
      <c r="V225" s="1709"/>
      <c r="W225" s="1709"/>
      <c r="X225" s="1709"/>
      <c r="Y225" s="1709"/>
      <c r="Z225" s="1709"/>
      <c r="AA225" s="1709"/>
    </row>
    <row r="226" spans="5:27" s="1704" customFormat="1">
      <c r="E226" s="1709"/>
      <c r="F226" s="1709"/>
      <c r="I226" s="1709"/>
      <c r="J226" s="1709"/>
      <c r="K226" s="1709"/>
      <c r="L226" s="1709"/>
      <c r="M226" s="1709"/>
      <c r="N226" s="1709"/>
      <c r="O226" s="1709"/>
      <c r="P226" s="1709"/>
      <c r="Q226" s="1709"/>
      <c r="R226" s="1709"/>
      <c r="S226" s="1709"/>
      <c r="T226" s="1709"/>
      <c r="U226" s="3370"/>
      <c r="V226" s="1709"/>
      <c r="W226" s="1709"/>
      <c r="X226" s="1709"/>
      <c r="Y226" s="1709"/>
      <c r="Z226" s="1709"/>
      <c r="AA226" s="1709"/>
    </row>
    <row r="227" spans="5:27" s="1704" customFormat="1">
      <c r="E227" s="1709"/>
      <c r="F227" s="1709"/>
      <c r="I227" s="1709"/>
      <c r="J227" s="1709"/>
      <c r="K227" s="1709"/>
      <c r="L227" s="1709"/>
      <c r="M227" s="1709"/>
      <c r="N227" s="1709"/>
      <c r="O227" s="1709"/>
      <c r="P227" s="1709"/>
      <c r="Q227" s="1709"/>
      <c r="R227" s="1709"/>
      <c r="S227" s="1709"/>
      <c r="T227" s="1709"/>
      <c r="U227" s="3370"/>
      <c r="V227" s="1709"/>
      <c r="W227" s="1709"/>
      <c r="X227" s="1709"/>
      <c r="Y227" s="1709"/>
      <c r="Z227" s="1709"/>
      <c r="AA227" s="1709"/>
    </row>
    <row r="228" spans="5:27" s="1704" customFormat="1">
      <c r="E228" s="1709"/>
      <c r="F228" s="1709"/>
      <c r="I228" s="1709"/>
      <c r="J228" s="1709"/>
      <c r="K228" s="1709"/>
      <c r="L228" s="1709"/>
      <c r="M228" s="1709"/>
      <c r="N228" s="1709"/>
      <c r="O228" s="1709"/>
      <c r="P228" s="1709"/>
      <c r="Q228" s="1709"/>
      <c r="R228" s="1709"/>
      <c r="S228" s="1709"/>
      <c r="T228" s="1709"/>
      <c r="U228" s="3370"/>
      <c r="V228" s="1709"/>
      <c r="W228" s="1709"/>
      <c r="X228" s="1709"/>
      <c r="Y228" s="1709"/>
      <c r="Z228" s="1709"/>
      <c r="AA228" s="1709"/>
    </row>
    <row r="229" spans="5:27" s="1704" customFormat="1">
      <c r="E229" s="1709"/>
      <c r="F229" s="1709"/>
      <c r="I229" s="1709"/>
      <c r="J229" s="1709"/>
      <c r="K229" s="1709"/>
      <c r="L229" s="1709"/>
      <c r="M229" s="1709"/>
      <c r="N229" s="1709"/>
      <c r="O229" s="1709"/>
      <c r="P229" s="1709"/>
      <c r="Q229" s="1709"/>
      <c r="R229" s="1709"/>
      <c r="S229" s="1709"/>
      <c r="T229" s="1709"/>
      <c r="U229" s="3370"/>
      <c r="V229" s="1709"/>
      <c r="W229" s="1709"/>
      <c r="X229" s="1709"/>
      <c r="Y229" s="1709"/>
      <c r="Z229" s="1709"/>
      <c r="AA229" s="1709"/>
    </row>
    <row r="230" spans="5:27" s="1704" customFormat="1">
      <c r="E230" s="1709"/>
      <c r="F230" s="1709"/>
      <c r="I230" s="1709"/>
      <c r="J230" s="1709"/>
      <c r="K230" s="1709"/>
      <c r="L230" s="1709"/>
      <c r="M230" s="1709"/>
      <c r="N230" s="1709"/>
      <c r="O230" s="1709"/>
      <c r="P230" s="1709"/>
      <c r="Q230" s="1709"/>
      <c r="R230" s="1709"/>
      <c r="S230" s="1709"/>
      <c r="T230" s="1709"/>
      <c r="U230" s="3370"/>
      <c r="V230" s="1709"/>
      <c r="W230" s="1709"/>
      <c r="X230" s="1709"/>
      <c r="Y230" s="1709"/>
      <c r="Z230" s="1709"/>
      <c r="AA230" s="1709"/>
    </row>
    <row r="231" spans="5:27" s="1704" customFormat="1">
      <c r="E231" s="1709"/>
      <c r="F231" s="1709"/>
      <c r="I231" s="1709"/>
      <c r="J231" s="1709"/>
      <c r="K231" s="1709"/>
      <c r="L231" s="1709"/>
      <c r="M231" s="1709"/>
      <c r="N231" s="1709"/>
      <c r="O231" s="1709"/>
      <c r="P231" s="1709"/>
      <c r="Q231" s="1709"/>
      <c r="R231" s="1709"/>
      <c r="S231" s="1709"/>
      <c r="T231" s="1709"/>
      <c r="U231" s="3370"/>
      <c r="V231" s="1709"/>
      <c r="W231" s="1709"/>
      <c r="X231" s="1709"/>
      <c r="Y231" s="1709"/>
      <c r="Z231" s="1709"/>
      <c r="AA231" s="1709"/>
    </row>
    <row r="232" spans="5:27" s="1704" customFormat="1">
      <c r="E232" s="1709"/>
      <c r="F232" s="1709"/>
      <c r="I232" s="1709"/>
      <c r="J232" s="1709"/>
      <c r="K232" s="1709"/>
      <c r="L232" s="1709"/>
      <c r="M232" s="1709"/>
      <c r="N232" s="1709"/>
      <c r="O232" s="1709"/>
      <c r="P232" s="1709"/>
      <c r="Q232" s="1709"/>
      <c r="R232" s="1709"/>
      <c r="S232" s="1709"/>
      <c r="T232" s="1709"/>
      <c r="U232" s="3370"/>
      <c r="V232" s="1709"/>
      <c r="W232" s="1709"/>
      <c r="X232" s="1709"/>
      <c r="Y232" s="1709"/>
      <c r="Z232" s="1709"/>
      <c r="AA232" s="1709"/>
    </row>
    <row r="233" spans="5:27" s="1704" customFormat="1">
      <c r="E233" s="1709"/>
      <c r="F233" s="1709"/>
      <c r="I233" s="1709"/>
      <c r="J233" s="1709"/>
      <c r="K233" s="1709"/>
      <c r="L233" s="1709"/>
      <c r="M233" s="1709"/>
      <c r="N233" s="1709"/>
      <c r="O233" s="1709"/>
      <c r="P233" s="1709"/>
      <c r="Q233" s="1709"/>
      <c r="R233" s="1709"/>
      <c r="S233" s="1709"/>
      <c r="T233" s="1709"/>
      <c r="U233" s="3370"/>
      <c r="V233" s="1709"/>
      <c r="W233" s="1709"/>
      <c r="X233" s="1709"/>
      <c r="Y233" s="1709"/>
      <c r="Z233" s="1709"/>
      <c r="AA233" s="1709"/>
    </row>
    <row r="234" spans="5:27" s="1704" customFormat="1">
      <c r="E234" s="1709"/>
      <c r="F234" s="1709"/>
      <c r="I234" s="1709"/>
      <c r="J234" s="1709"/>
      <c r="K234" s="1709"/>
      <c r="L234" s="1709"/>
      <c r="M234" s="1709"/>
      <c r="N234" s="1709"/>
      <c r="O234" s="1709"/>
      <c r="P234" s="1709"/>
      <c r="Q234" s="1709"/>
      <c r="R234" s="1709"/>
      <c r="S234" s="1709"/>
      <c r="T234" s="1709"/>
      <c r="U234" s="3370"/>
      <c r="V234" s="1709"/>
      <c r="W234" s="1709"/>
      <c r="X234" s="1709"/>
      <c r="Y234" s="1709"/>
      <c r="Z234" s="1709"/>
      <c r="AA234" s="1709"/>
    </row>
    <row r="235" spans="5:27" s="1704" customFormat="1">
      <c r="E235" s="1709"/>
      <c r="F235" s="1709"/>
      <c r="I235" s="1709"/>
      <c r="J235" s="1709"/>
      <c r="K235" s="1709"/>
      <c r="L235" s="1709"/>
      <c r="M235" s="1709"/>
      <c r="N235" s="1709"/>
      <c r="O235" s="1709"/>
      <c r="P235" s="1709"/>
      <c r="Q235" s="1709"/>
      <c r="R235" s="1709"/>
      <c r="S235" s="1709"/>
      <c r="T235" s="1709"/>
      <c r="U235" s="3370"/>
      <c r="V235" s="1709"/>
      <c r="W235" s="1709"/>
      <c r="X235" s="1709"/>
      <c r="Y235" s="1709"/>
      <c r="Z235" s="1709"/>
      <c r="AA235" s="1709"/>
    </row>
    <row r="236" spans="5:27" s="1704" customFormat="1">
      <c r="E236" s="1709"/>
      <c r="F236" s="1709"/>
      <c r="I236" s="1709"/>
      <c r="J236" s="1709"/>
      <c r="K236" s="1709"/>
      <c r="L236" s="1709"/>
      <c r="M236" s="1709"/>
      <c r="N236" s="1709"/>
      <c r="O236" s="1709"/>
      <c r="P236" s="1709"/>
      <c r="Q236" s="1709"/>
      <c r="R236" s="1709"/>
      <c r="S236" s="1709"/>
      <c r="T236" s="1709"/>
      <c r="U236" s="3370"/>
      <c r="V236" s="1709"/>
      <c r="W236" s="1709"/>
      <c r="X236" s="1709"/>
      <c r="Y236" s="1709"/>
      <c r="Z236" s="1709"/>
      <c r="AA236" s="1709"/>
    </row>
    <row r="237" spans="5:27" s="1704" customFormat="1">
      <c r="E237" s="1709"/>
      <c r="F237" s="1709"/>
      <c r="I237" s="1709"/>
      <c r="J237" s="1709"/>
      <c r="K237" s="1709"/>
      <c r="L237" s="1709"/>
      <c r="M237" s="1709"/>
      <c r="N237" s="1709"/>
      <c r="O237" s="1709"/>
      <c r="P237" s="1709"/>
      <c r="Q237" s="1709"/>
      <c r="R237" s="1709"/>
      <c r="S237" s="1709"/>
      <c r="T237" s="1709"/>
      <c r="U237" s="3370"/>
      <c r="V237" s="1709"/>
      <c r="W237" s="1709"/>
      <c r="X237" s="1709"/>
      <c r="Y237" s="1709"/>
      <c r="Z237" s="1709"/>
      <c r="AA237" s="1709"/>
    </row>
    <row r="238" spans="5:27" s="1704" customFormat="1">
      <c r="E238" s="1709"/>
      <c r="F238" s="1709"/>
      <c r="I238" s="1709"/>
      <c r="J238" s="1709"/>
      <c r="K238" s="1709"/>
      <c r="L238" s="1709"/>
      <c r="M238" s="1709"/>
      <c r="N238" s="1709"/>
      <c r="O238" s="1709"/>
      <c r="P238" s="1709"/>
      <c r="Q238" s="1709"/>
      <c r="R238" s="1709"/>
      <c r="S238" s="1709"/>
      <c r="T238" s="1709"/>
      <c r="U238" s="3370"/>
      <c r="V238" s="1709"/>
      <c r="W238" s="1709"/>
      <c r="X238" s="1709"/>
      <c r="Y238" s="1709"/>
      <c r="Z238" s="1709"/>
      <c r="AA238" s="1709"/>
    </row>
    <row r="239" spans="5:27" s="1704" customFormat="1">
      <c r="E239" s="1709"/>
      <c r="F239" s="1709"/>
      <c r="I239" s="1709"/>
      <c r="J239" s="1709"/>
      <c r="K239" s="1709"/>
      <c r="L239" s="1709"/>
      <c r="M239" s="1709"/>
      <c r="N239" s="1709"/>
      <c r="O239" s="1709"/>
      <c r="P239" s="1709"/>
      <c r="Q239" s="1709"/>
      <c r="R239" s="1709"/>
      <c r="S239" s="1709"/>
      <c r="T239" s="1709"/>
      <c r="U239" s="3370"/>
      <c r="V239" s="1709"/>
      <c r="W239" s="1709"/>
      <c r="X239" s="1709"/>
      <c r="Y239" s="1709"/>
      <c r="Z239" s="1709"/>
      <c r="AA239" s="1709"/>
    </row>
    <row r="240" spans="5:27" s="1704" customFormat="1">
      <c r="E240" s="1709"/>
      <c r="F240" s="1709"/>
      <c r="I240" s="1709"/>
      <c r="J240" s="1709"/>
      <c r="K240" s="1709"/>
      <c r="L240" s="1709"/>
      <c r="M240" s="1709"/>
      <c r="N240" s="1709"/>
      <c r="O240" s="1709"/>
      <c r="P240" s="1709"/>
      <c r="Q240" s="1709"/>
      <c r="R240" s="1709"/>
      <c r="S240" s="1709"/>
      <c r="T240" s="1709"/>
      <c r="U240" s="3370"/>
      <c r="V240" s="1709"/>
      <c r="W240" s="1709"/>
      <c r="X240" s="1709"/>
      <c r="Y240" s="1709"/>
      <c r="Z240" s="1709"/>
      <c r="AA240" s="1709"/>
    </row>
    <row r="241" spans="5:27" s="1704" customFormat="1">
      <c r="E241" s="1709"/>
      <c r="F241" s="1709"/>
      <c r="I241" s="1709"/>
      <c r="J241" s="1709"/>
      <c r="K241" s="1709"/>
      <c r="L241" s="1709"/>
      <c r="M241" s="1709"/>
      <c r="N241" s="1709"/>
      <c r="O241" s="1709"/>
      <c r="P241" s="1709"/>
      <c r="Q241" s="1709"/>
      <c r="R241" s="1709"/>
      <c r="S241" s="1709"/>
      <c r="T241" s="1709"/>
      <c r="U241" s="3370"/>
      <c r="V241" s="1709"/>
      <c r="W241" s="1709"/>
      <c r="X241" s="1709"/>
      <c r="Y241" s="1709"/>
      <c r="Z241" s="1709"/>
      <c r="AA241" s="1709"/>
    </row>
    <row r="242" spans="5:27" s="1704" customFormat="1">
      <c r="E242" s="1709"/>
      <c r="F242" s="1709"/>
      <c r="I242" s="1709"/>
      <c r="J242" s="1709"/>
      <c r="K242" s="1709"/>
      <c r="L242" s="1709"/>
      <c r="M242" s="1709"/>
      <c r="N242" s="1709"/>
      <c r="O242" s="1709"/>
      <c r="P242" s="1709"/>
      <c r="Q242" s="1709"/>
      <c r="R242" s="1709"/>
      <c r="S242" s="1709"/>
      <c r="T242" s="1709"/>
      <c r="U242" s="3370"/>
      <c r="V242" s="1709"/>
      <c r="W242" s="1709"/>
      <c r="X242" s="1709"/>
      <c r="Y242" s="1709"/>
      <c r="Z242" s="1709"/>
      <c r="AA242" s="1709"/>
    </row>
    <row r="243" spans="5:27" s="1704" customFormat="1">
      <c r="E243" s="1709"/>
      <c r="F243" s="1709"/>
      <c r="I243" s="1709"/>
      <c r="J243" s="1709"/>
      <c r="K243" s="1709"/>
      <c r="L243" s="1709"/>
      <c r="M243" s="1709"/>
      <c r="N243" s="1709"/>
      <c r="O243" s="1709"/>
      <c r="P243" s="1709"/>
      <c r="Q243" s="1709"/>
      <c r="R243" s="1709"/>
      <c r="S243" s="1709"/>
      <c r="T243" s="1709"/>
      <c r="U243" s="3370"/>
      <c r="V243" s="1709"/>
      <c r="W243" s="1709"/>
      <c r="X243" s="1709"/>
      <c r="Y243" s="1709"/>
      <c r="Z243" s="1709"/>
      <c r="AA243" s="1709"/>
    </row>
    <row r="244" spans="5:27" s="1704" customFormat="1">
      <c r="E244" s="1709"/>
      <c r="F244" s="1709"/>
      <c r="I244" s="1709"/>
      <c r="J244" s="1709"/>
      <c r="K244" s="1709"/>
      <c r="L244" s="1709"/>
      <c r="M244" s="1709"/>
      <c r="N244" s="1709"/>
      <c r="O244" s="1709"/>
      <c r="P244" s="1709"/>
      <c r="Q244" s="1709"/>
      <c r="R244" s="1709"/>
      <c r="S244" s="1709"/>
      <c r="T244" s="1709"/>
      <c r="U244" s="3370"/>
      <c r="V244" s="1709"/>
      <c r="W244" s="1709"/>
      <c r="X244" s="1709"/>
      <c r="Y244" s="1709"/>
      <c r="Z244" s="1709"/>
      <c r="AA244" s="1709"/>
    </row>
    <row r="245" spans="5:27" s="1704" customFormat="1">
      <c r="E245" s="1709"/>
      <c r="F245" s="1709"/>
      <c r="I245" s="1709"/>
      <c r="J245" s="1709"/>
      <c r="K245" s="1709"/>
      <c r="L245" s="1709"/>
      <c r="M245" s="1709"/>
      <c r="N245" s="1709"/>
      <c r="O245" s="1709"/>
      <c r="P245" s="1709"/>
      <c r="Q245" s="1709"/>
      <c r="R245" s="1709"/>
      <c r="S245" s="1709"/>
      <c r="T245" s="1709"/>
      <c r="U245" s="3370"/>
      <c r="V245" s="1709"/>
      <c r="W245" s="1709"/>
      <c r="X245" s="1709"/>
      <c r="Y245" s="1709"/>
      <c r="Z245" s="1709"/>
      <c r="AA245" s="1709"/>
    </row>
    <row r="246" spans="5:27" s="1704" customFormat="1">
      <c r="E246" s="1709"/>
      <c r="F246" s="1709"/>
      <c r="I246" s="1709"/>
      <c r="J246" s="1709"/>
      <c r="K246" s="1709"/>
      <c r="L246" s="1709"/>
      <c r="M246" s="1709"/>
      <c r="N246" s="1709"/>
      <c r="O246" s="1709"/>
      <c r="P246" s="1709"/>
      <c r="Q246" s="1709"/>
      <c r="R246" s="1709"/>
      <c r="S246" s="1709"/>
      <c r="T246" s="1709"/>
      <c r="U246" s="3370"/>
      <c r="V246" s="1709"/>
      <c r="W246" s="1709"/>
      <c r="X246" s="1709"/>
      <c r="Y246" s="1709"/>
      <c r="Z246" s="1709"/>
      <c r="AA246" s="1709"/>
    </row>
    <row r="247" spans="5:27" s="1704" customFormat="1">
      <c r="E247" s="1709"/>
      <c r="F247" s="1709"/>
      <c r="I247" s="1709"/>
      <c r="J247" s="1709"/>
      <c r="K247" s="1709"/>
      <c r="L247" s="1709"/>
      <c r="M247" s="1709"/>
      <c r="N247" s="1709"/>
      <c r="O247" s="1709"/>
      <c r="P247" s="1709"/>
      <c r="Q247" s="1709"/>
      <c r="R247" s="1709"/>
      <c r="S247" s="1709"/>
      <c r="T247" s="1709"/>
      <c r="U247" s="3370"/>
      <c r="V247" s="1709"/>
      <c r="W247" s="1709"/>
      <c r="X247" s="1709"/>
      <c r="Y247" s="1709"/>
      <c r="Z247" s="1709"/>
      <c r="AA247" s="1709"/>
    </row>
    <row r="248" spans="5:27" s="1704" customFormat="1">
      <c r="E248" s="1709"/>
      <c r="F248" s="1709"/>
      <c r="I248" s="1709"/>
      <c r="J248" s="1709"/>
      <c r="K248" s="1709"/>
      <c r="L248" s="1709"/>
      <c r="M248" s="1709"/>
      <c r="N248" s="1709"/>
      <c r="O248" s="1709"/>
      <c r="P248" s="1709"/>
      <c r="Q248" s="1709"/>
      <c r="R248" s="1709"/>
      <c r="S248" s="1709"/>
      <c r="T248" s="1709"/>
      <c r="U248" s="3370"/>
      <c r="V248" s="1709"/>
      <c r="W248" s="1709"/>
      <c r="X248" s="1709"/>
      <c r="Y248" s="1709"/>
      <c r="Z248" s="1709"/>
      <c r="AA248" s="1709"/>
    </row>
    <row r="249" spans="5:27" s="1704" customFormat="1">
      <c r="E249" s="1709"/>
      <c r="F249" s="1709"/>
      <c r="I249" s="1709"/>
      <c r="J249" s="1709"/>
      <c r="K249" s="1709"/>
      <c r="L249" s="1709"/>
      <c r="M249" s="1709"/>
      <c r="N249" s="1709"/>
      <c r="O249" s="1709"/>
      <c r="P249" s="1709"/>
      <c r="Q249" s="1709"/>
      <c r="R249" s="1709"/>
      <c r="S249" s="1709"/>
      <c r="T249" s="1709"/>
      <c r="U249" s="3370"/>
      <c r="V249" s="1709"/>
      <c r="W249" s="1709"/>
      <c r="X249" s="1709"/>
      <c r="Y249" s="1709"/>
      <c r="Z249" s="1709"/>
      <c r="AA249" s="1709"/>
    </row>
    <row r="250" spans="5:27" s="1704" customFormat="1">
      <c r="E250" s="1709"/>
      <c r="F250" s="1709"/>
      <c r="I250" s="1709"/>
      <c r="J250" s="1709"/>
      <c r="K250" s="1709"/>
      <c r="L250" s="1709"/>
      <c r="M250" s="1709"/>
      <c r="N250" s="1709"/>
      <c r="O250" s="1709"/>
      <c r="P250" s="1709"/>
      <c r="Q250" s="1709"/>
      <c r="R250" s="1709"/>
      <c r="S250" s="1709"/>
      <c r="T250" s="1709"/>
      <c r="U250" s="3370"/>
      <c r="V250" s="1709"/>
      <c r="W250" s="1709"/>
      <c r="X250" s="1709"/>
      <c r="Y250" s="1709"/>
      <c r="Z250" s="1709"/>
      <c r="AA250" s="1709"/>
    </row>
    <row r="251" spans="5:27" s="1704" customFormat="1">
      <c r="E251" s="1709"/>
      <c r="F251" s="1709"/>
      <c r="I251" s="1709"/>
      <c r="J251" s="1709"/>
      <c r="K251" s="1709"/>
      <c r="L251" s="1709"/>
      <c r="M251" s="1709"/>
      <c r="N251" s="1709"/>
      <c r="O251" s="1709"/>
      <c r="P251" s="1709"/>
      <c r="Q251" s="1709"/>
      <c r="R251" s="1709"/>
      <c r="S251" s="1709"/>
      <c r="T251" s="1709"/>
      <c r="U251" s="3370"/>
      <c r="V251" s="1709"/>
      <c r="W251" s="1709"/>
      <c r="X251" s="1709"/>
      <c r="Y251" s="1709"/>
      <c r="Z251" s="1709"/>
      <c r="AA251" s="1709"/>
    </row>
    <row r="252" spans="5:27" s="1704" customFormat="1">
      <c r="E252" s="1709"/>
      <c r="F252" s="1709"/>
      <c r="I252" s="1709"/>
      <c r="J252" s="1709"/>
      <c r="K252" s="1709"/>
      <c r="L252" s="1709"/>
      <c r="M252" s="1709"/>
      <c r="N252" s="1709"/>
      <c r="O252" s="1709"/>
      <c r="P252" s="1709"/>
      <c r="Q252" s="1709"/>
      <c r="R252" s="1709"/>
      <c r="S252" s="1709"/>
      <c r="T252" s="1709"/>
      <c r="U252" s="3370"/>
      <c r="V252" s="1709"/>
      <c r="W252" s="1709"/>
      <c r="X252" s="1709"/>
      <c r="Y252" s="1709"/>
      <c r="Z252" s="1709"/>
      <c r="AA252" s="1709"/>
    </row>
    <row r="253" spans="5:27" s="1704" customFormat="1">
      <c r="E253" s="1709"/>
      <c r="F253" s="1709"/>
      <c r="I253" s="1709"/>
      <c r="J253" s="1709"/>
      <c r="K253" s="1709"/>
      <c r="L253" s="1709"/>
      <c r="M253" s="1709"/>
      <c r="N253" s="1709"/>
      <c r="O253" s="1709"/>
      <c r="P253" s="1709"/>
      <c r="Q253" s="1709"/>
      <c r="R253" s="1709"/>
      <c r="S253" s="1709"/>
      <c r="T253" s="1709"/>
      <c r="U253" s="3370"/>
      <c r="V253" s="1709"/>
      <c r="W253" s="1709"/>
      <c r="X253" s="1709"/>
      <c r="Y253" s="1709"/>
      <c r="Z253" s="1709"/>
      <c r="AA253" s="1709"/>
    </row>
    <row r="254" spans="5:27" s="1704" customFormat="1">
      <c r="E254" s="1709"/>
      <c r="F254" s="1709"/>
      <c r="I254" s="1709"/>
      <c r="J254" s="1709"/>
      <c r="K254" s="1709"/>
      <c r="L254" s="1709"/>
      <c r="M254" s="1709"/>
      <c r="N254" s="1709"/>
      <c r="O254" s="1709"/>
      <c r="P254" s="1709"/>
      <c r="Q254" s="1709"/>
      <c r="R254" s="1709"/>
      <c r="S254" s="1709"/>
      <c r="T254" s="1709"/>
      <c r="U254" s="3370"/>
      <c r="V254" s="1709"/>
      <c r="W254" s="1709"/>
      <c r="X254" s="1709"/>
      <c r="Y254" s="1709"/>
      <c r="Z254" s="1709"/>
      <c r="AA254" s="1709"/>
    </row>
    <row r="255" spans="5:27" s="1704" customFormat="1">
      <c r="E255" s="1709"/>
      <c r="F255" s="1709"/>
      <c r="I255" s="1709"/>
      <c r="J255" s="1709"/>
      <c r="K255" s="1709"/>
      <c r="L255" s="1709"/>
      <c r="M255" s="1709"/>
      <c r="N255" s="1709"/>
      <c r="O255" s="1709"/>
      <c r="P255" s="1709"/>
      <c r="Q255" s="1709"/>
      <c r="R255" s="1709"/>
      <c r="S255" s="1709"/>
      <c r="T255" s="1709"/>
      <c r="U255" s="3370"/>
      <c r="V255" s="1709"/>
      <c r="W255" s="1709"/>
      <c r="X255" s="1709"/>
      <c r="Y255" s="1709"/>
      <c r="Z255" s="1709"/>
      <c r="AA255" s="1709"/>
    </row>
    <row r="256" spans="5:27" s="1704" customFormat="1">
      <c r="E256" s="1709"/>
      <c r="F256" s="1709"/>
      <c r="I256" s="1709"/>
      <c r="J256" s="1709"/>
      <c r="K256" s="1709"/>
      <c r="L256" s="1709"/>
      <c r="M256" s="1709"/>
      <c r="N256" s="1709"/>
      <c r="O256" s="1709"/>
      <c r="P256" s="1709"/>
      <c r="Q256" s="1709"/>
      <c r="R256" s="1709"/>
      <c r="S256" s="1709"/>
      <c r="T256" s="1709"/>
      <c r="U256" s="3370"/>
      <c r="V256" s="1709"/>
      <c r="W256" s="1709"/>
      <c r="X256" s="1709"/>
      <c r="Y256" s="1709"/>
      <c r="Z256" s="1709"/>
      <c r="AA256" s="1709"/>
    </row>
    <row r="257" spans="5:27" s="1704" customFormat="1">
      <c r="E257" s="1709"/>
      <c r="F257" s="1709"/>
      <c r="I257" s="1709"/>
      <c r="J257" s="1709"/>
      <c r="K257" s="1709"/>
      <c r="L257" s="1709"/>
      <c r="M257" s="1709"/>
      <c r="N257" s="1709"/>
      <c r="O257" s="1709"/>
      <c r="P257" s="1709"/>
      <c r="Q257" s="1709"/>
      <c r="R257" s="1709"/>
      <c r="S257" s="1709"/>
      <c r="T257" s="1709"/>
      <c r="U257" s="3370"/>
      <c r="V257" s="1709"/>
      <c r="W257" s="1709"/>
      <c r="X257" s="1709"/>
      <c r="Y257" s="1709"/>
      <c r="Z257" s="1709"/>
      <c r="AA257" s="1709"/>
    </row>
    <row r="258" spans="5:27" s="1704" customFormat="1">
      <c r="E258" s="1709"/>
      <c r="F258" s="1709"/>
      <c r="I258" s="1709"/>
      <c r="J258" s="1709"/>
      <c r="K258" s="1709"/>
      <c r="L258" s="1709"/>
      <c r="M258" s="1709"/>
      <c r="N258" s="1709"/>
      <c r="O258" s="1709"/>
      <c r="P258" s="1709"/>
      <c r="Q258" s="1709"/>
      <c r="R258" s="1709"/>
      <c r="S258" s="1709"/>
      <c r="T258" s="1709"/>
      <c r="U258" s="3370"/>
      <c r="V258" s="1709"/>
      <c r="W258" s="1709"/>
      <c r="X258" s="1709"/>
      <c r="Y258" s="1709"/>
      <c r="Z258" s="1709"/>
      <c r="AA258" s="1709"/>
    </row>
    <row r="259" spans="5:27" s="1704" customFormat="1">
      <c r="E259" s="1709"/>
      <c r="F259" s="1709"/>
      <c r="I259" s="1709"/>
      <c r="J259" s="1709"/>
      <c r="K259" s="1709"/>
      <c r="L259" s="1709"/>
      <c r="M259" s="1709"/>
      <c r="N259" s="1709"/>
      <c r="O259" s="1709"/>
      <c r="P259" s="1709"/>
      <c r="Q259" s="1709"/>
      <c r="R259" s="1709"/>
      <c r="S259" s="1709"/>
      <c r="T259" s="1709"/>
      <c r="U259" s="3370"/>
      <c r="V259" s="1709"/>
      <c r="W259" s="1709"/>
      <c r="X259" s="1709"/>
      <c r="Y259" s="1709"/>
      <c r="Z259" s="1709"/>
      <c r="AA259" s="1709"/>
    </row>
    <row r="260" spans="5:27" s="1704" customFormat="1">
      <c r="E260" s="1709"/>
      <c r="F260" s="1709"/>
      <c r="I260" s="1709"/>
      <c r="J260" s="1709"/>
      <c r="K260" s="1709"/>
      <c r="L260" s="1709"/>
      <c r="M260" s="1709"/>
      <c r="N260" s="1709"/>
      <c r="O260" s="1709"/>
      <c r="P260" s="1709"/>
      <c r="Q260" s="1709"/>
      <c r="R260" s="1709"/>
      <c r="S260" s="1709"/>
      <c r="T260" s="1709"/>
      <c r="U260" s="3370"/>
      <c r="V260" s="1709"/>
      <c r="W260" s="1709"/>
      <c r="X260" s="1709"/>
      <c r="Y260" s="1709"/>
      <c r="Z260" s="1709"/>
      <c r="AA260" s="1709"/>
    </row>
    <row r="261" spans="5:27" s="1704" customFormat="1">
      <c r="E261" s="1709"/>
      <c r="F261" s="1709"/>
      <c r="I261" s="1709"/>
      <c r="J261" s="1709"/>
      <c r="K261" s="1709"/>
      <c r="L261" s="1709"/>
      <c r="M261" s="1709"/>
      <c r="N261" s="1709"/>
      <c r="O261" s="1709"/>
      <c r="P261" s="1709"/>
      <c r="Q261" s="1709"/>
      <c r="R261" s="1709"/>
      <c r="S261" s="1709"/>
      <c r="T261" s="1709"/>
      <c r="U261" s="3370"/>
      <c r="V261" s="1709"/>
      <c r="W261" s="1709"/>
      <c r="X261" s="1709"/>
      <c r="Y261" s="1709"/>
      <c r="Z261" s="1709"/>
      <c r="AA261" s="1709"/>
    </row>
    <row r="262" spans="5:27" s="1704" customFormat="1">
      <c r="E262" s="1709"/>
      <c r="F262" s="1709"/>
      <c r="I262" s="1709"/>
      <c r="J262" s="1709"/>
      <c r="K262" s="1709"/>
      <c r="L262" s="1709"/>
      <c r="M262" s="1709"/>
      <c r="N262" s="1709"/>
      <c r="O262" s="1709"/>
      <c r="P262" s="1709"/>
      <c r="Q262" s="1709"/>
      <c r="R262" s="1709"/>
      <c r="S262" s="1709"/>
      <c r="T262" s="1709"/>
      <c r="U262" s="3370"/>
      <c r="V262" s="1709"/>
      <c r="W262" s="1709"/>
      <c r="X262" s="1709"/>
      <c r="Y262" s="1709"/>
      <c r="Z262" s="1709"/>
      <c r="AA262" s="1709"/>
    </row>
    <row r="263" spans="5:27" s="1704" customFormat="1">
      <c r="E263" s="1709"/>
      <c r="F263" s="1709"/>
      <c r="I263" s="1709"/>
      <c r="J263" s="1709"/>
      <c r="K263" s="1709"/>
      <c r="L263" s="1709"/>
      <c r="M263" s="1709"/>
      <c r="N263" s="1709"/>
      <c r="O263" s="1709"/>
      <c r="P263" s="1709"/>
      <c r="Q263" s="1709"/>
      <c r="R263" s="1709"/>
      <c r="S263" s="1709"/>
      <c r="T263" s="1709"/>
      <c r="U263" s="3370"/>
      <c r="V263" s="1709"/>
      <c r="W263" s="1709"/>
      <c r="X263" s="1709"/>
      <c r="Y263" s="1709"/>
      <c r="Z263" s="1709"/>
      <c r="AA263" s="1709"/>
    </row>
    <row r="264" spans="5:27" s="1704" customFormat="1">
      <c r="E264" s="1709"/>
      <c r="F264" s="1709"/>
      <c r="I264" s="1709"/>
      <c r="J264" s="1709"/>
      <c r="K264" s="1709"/>
      <c r="L264" s="1709"/>
      <c r="M264" s="1709"/>
      <c r="N264" s="1709"/>
      <c r="O264" s="1709"/>
      <c r="P264" s="1709"/>
      <c r="Q264" s="1709"/>
      <c r="R264" s="1709"/>
      <c r="S264" s="1709"/>
      <c r="T264" s="1709"/>
      <c r="U264" s="3370"/>
      <c r="V264" s="1709"/>
      <c r="W264" s="1709"/>
      <c r="X264" s="1709"/>
      <c r="Y264" s="1709"/>
      <c r="Z264" s="1709"/>
      <c r="AA264" s="1709"/>
    </row>
    <row r="265" spans="5:27" s="1704" customFormat="1">
      <c r="E265" s="1709"/>
      <c r="F265" s="1709"/>
      <c r="I265" s="1709"/>
      <c r="J265" s="1709"/>
      <c r="K265" s="1709"/>
      <c r="L265" s="1709"/>
      <c r="M265" s="1709"/>
      <c r="N265" s="1709"/>
      <c r="O265" s="1709"/>
      <c r="P265" s="1709"/>
      <c r="Q265" s="1709"/>
      <c r="R265" s="1709"/>
      <c r="S265" s="1709"/>
      <c r="T265" s="1709"/>
      <c r="U265" s="3370"/>
      <c r="V265" s="1709"/>
      <c r="W265" s="1709"/>
      <c r="X265" s="1709"/>
      <c r="Y265" s="1709"/>
      <c r="Z265" s="1709"/>
      <c r="AA265" s="1709"/>
    </row>
    <row r="266" spans="5:27" s="1704" customFormat="1">
      <c r="E266" s="1709"/>
      <c r="F266" s="1709"/>
      <c r="I266" s="1709"/>
      <c r="J266" s="1709"/>
      <c r="K266" s="1709"/>
      <c r="L266" s="1709"/>
      <c r="M266" s="1709"/>
      <c r="N266" s="1709"/>
      <c r="O266" s="1709"/>
      <c r="P266" s="1709"/>
      <c r="Q266" s="1709"/>
      <c r="R266" s="1709"/>
      <c r="S266" s="1709"/>
      <c r="T266" s="1709"/>
      <c r="U266" s="3370"/>
      <c r="V266" s="1709"/>
      <c r="W266" s="1709"/>
      <c r="X266" s="1709"/>
      <c r="Y266" s="1709"/>
      <c r="Z266" s="1709"/>
      <c r="AA266" s="1709"/>
    </row>
    <row r="267" spans="5:27" s="1704" customFormat="1">
      <c r="E267" s="1709"/>
      <c r="F267" s="1709"/>
      <c r="I267" s="1709"/>
      <c r="J267" s="1709"/>
      <c r="K267" s="1709"/>
      <c r="L267" s="1709"/>
      <c r="M267" s="1709"/>
      <c r="N267" s="1709"/>
      <c r="O267" s="1709"/>
      <c r="P267" s="1709"/>
      <c r="Q267" s="1709"/>
      <c r="R267" s="1709"/>
      <c r="S267" s="1709"/>
      <c r="T267" s="1709"/>
      <c r="U267" s="3370"/>
      <c r="V267" s="1709"/>
      <c r="W267" s="1709"/>
      <c r="X267" s="1709"/>
      <c r="Y267" s="1709"/>
      <c r="Z267" s="1709"/>
      <c r="AA267" s="1709"/>
    </row>
    <row r="268" spans="5:27" s="1704" customFormat="1">
      <c r="E268" s="1709"/>
      <c r="F268" s="1709"/>
      <c r="I268" s="1709"/>
      <c r="J268" s="1709"/>
      <c r="K268" s="1709"/>
      <c r="L268" s="1709"/>
      <c r="M268" s="1709"/>
      <c r="N268" s="1709"/>
      <c r="O268" s="1709"/>
      <c r="P268" s="1709"/>
      <c r="Q268" s="1709"/>
      <c r="R268" s="1709"/>
      <c r="S268" s="1709"/>
      <c r="T268" s="1709"/>
      <c r="U268" s="3370"/>
      <c r="V268" s="1709"/>
      <c r="W268" s="1709"/>
      <c r="X268" s="1709"/>
      <c r="Y268" s="1709"/>
      <c r="Z268" s="1709"/>
      <c r="AA268" s="1709"/>
    </row>
    <row r="269" spans="5:27" s="1704" customFormat="1">
      <c r="E269" s="1709"/>
      <c r="F269" s="1709"/>
      <c r="I269" s="1709"/>
      <c r="J269" s="1709"/>
      <c r="K269" s="1709"/>
      <c r="L269" s="1709"/>
      <c r="M269" s="1709"/>
      <c r="N269" s="1709"/>
      <c r="O269" s="1709"/>
      <c r="P269" s="1709"/>
      <c r="Q269" s="1709"/>
      <c r="R269" s="1709"/>
      <c r="S269" s="1709"/>
      <c r="T269" s="1709"/>
      <c r="U269" s="3370"/>
      <c r="V269" s="1709"/>
      <c r="W269" s="1709"/>
      <c r="X269" s="1709"/>
      <c r="Y269" s="1709"/>
      <c r="Z269" s="1709"/>
      <c r="AA269" s="1709"/>
    </row>
    <row r="270" spans="5:27" s="1704" customFormat="1">
      <c r="E270" s="1709"/>
      <c r="F270" s="1709"/>
      <c r="I270" s="1709"/>
      <c r="J270" s="1709"/>
      <c r="K270" s="1709"/>
      <c r="L270" s="1709"/>
      <c r="M270" s="1709"/>
      <c r="N270" s="1709"/>
      <c r="O270" s="1709"/>
      <c r="P270" s="1709"/>
      <c r="Q270" s="1709"/>
      <c r="R270" s="1709"/>
      <c r="S270" s="1709"/>
      <c r="T270" s="1709"/>
      <c r="U270" s="3370"/>
      <c r="V270" s="1709"/>
      <c r="W270" s="1709"/>
      <c r="X270" s="1709"/>
      <c r="Y270" s="1709"/>
      <c r="Z270" s="1709"/>
      <c r="AA270" s="1709"/>
    </row>
    <row r="271" spans="5:27" s="1704" customFormat="1">
      <c r="E271" s="1709"/>
      <c r="F271" s="1709"/>
      <c r="I271" s="1709"/>
      <c r="J271" s="1709"/>
      <c r="K271" s="1709"/>
      <c r="L271" s="1709"/>
      <c r="M271" s="1709"/>
      <c r="N271" s="1709"/>
      <c r="O271" s="1709"/>
      <c r="P271" s="1709"/>
      <c r="Q271" s="1709"/>
      <c r="R271" s="1709"/>
      <c r="S271" s="1709"/>
      <c r="T271" s="1709"/>
      <c r="U271" s="3370"/>
      <c r="V271" s="1709"/>
      <c r="W271" s="1709"/>
      <c r="X271" s="1709"/>
      <c r="Y271" s="1709"/>
      <c r="Z271" s="1709"/>
      <c r="AA271" s="1709"/>
    </row>
    <row r="272" spans="5:27" s="1704" customFormat="1">
      <c r="E272" s="1709"/>
      <c r="F272" s="1709"/>
      <c r="I272" s="1709"/>
      <c r="J272" s="1709"/>
      <c r="K272" s="1709"/>
      <c r="L272" s="1709"/>
      <c r="M272" s="1709"/>
      <c r="N272" s="1709"/>
      <c r="O272" s="1709"/>
      <c r="P272" s="1709"/>
      <c r="Q272" s="1709"/>
      <c r="R272" s="1709"/>
      <c r="S272" s="1709"/>
      <c r="T272" s="1709"/>
      <c r="U272" s="3370"/>
      <c r="V272" s="1709"/>
      <c r="W272" s="1709"/>
      <c r="X272" s="1709"/>
      <c r="Y272" s="1709"/>
      <c r="Z272" s="1709"/>
      <c r="AA272" s="1709"/>
    </row>
    <row r="273" spans="5:27" s="1704" customFormat="1">
      <c r="E273" s="1709"/>
      <c r="F273" s="1709"/>
      <c r="I273" s="1709"/>
      <c r="J273" s="1709"/>
      <c r="K273" s="1709"/>
      <c r="L273" s="1709"/>
      <c r="M273" s="1709"/>
      <c r="N273" s="1709"/>
      <c r="O273" s="1709"/>
      <c r="P273" s="1709"/>
      <c r="Q273" s="1709"/>
      <c r="R273" s="1709"/>
      <c r="S273" s="1709"/>
      <c r="T273" s="1709"/>
      <c r="U273" s="3370"/>
      <c r="V273" s="1709"/>
      <c r="W273" s="1709"/>
      <c r="X273" s="1709"/>
      <c r="Y273" s="1709"/>
      <c r="Z273" s="1709"/>
      <c r="AA273" s="1709"/>
    </row>
    <row r="274" spans="5:27" s="1704" customFormat="1">
      <c r="E274" s="1709"/>
      <c r="F274" s="1709"/>
      <c r="I274" s="1709"/>
      <c r="J274" s="1709"/>
      <c r="K274" s="1709"/>
      <c r="L274" s="1709"/>
      <c r="M274" s="1709"/>
      <c r="N274" s="1709"/>
      <c r="O274" s="1709"/>
      <c r="P274" s="1709"/>
      <c r="Q274" s="1709"/>
      <c r="R274" s="1709"/>
      <c r="S274" s="1709"/>
      <c r="T274" s="1709"/>
      <c r="U274" s="3370"/>
      <c r="V274" s="1709"/>
      <c r="W274" s="1709"/>
      <c r="X274" s="1709"/>
      <c r="Y274" s="1709"/>
      <c r="Z274" s="1709"/>
      <c r="AA274" s="1709"/>
    </row>
    <row r="275" spans="5:27" s="1704" customFormat="1">
      <c r="E275" s="1709"/>
      <c r="F275" s="1709"/>
      <c r="I275" s="1709"/>
      <c r="J275" s="1709"/>
      <c r="K275" s="1709"/>
      <c r="L275" s="1709"/>
      <c r="M275" s="1709"/>
      <c r="N275" s="1709"/>
      <c r="O275" s="1709"/>
      <c r="P275" s="1709"/>
      <c r="Q275" s="1709"/>
      <c r="R275" s="1709"/>
      <c r="S275" s="1709"/>
      <c r="T275" s="1709"/>
      <c r="U275" s="3370"/>
      <c r="V275" s="1709"/>
      <c r="W275" s="1709"/>
      <c r="X275" s="1709"/>
      <c r="Y275" s="1709"/>
      <c r="Z275" s="1709"/>
      <c r="AA275" s="1709"/>
    </row>
    <row r="276" spans="5:27" s="1704" customFormat="1">
      <c r="E276" s="1709"/>
      <c r="F276" s="1709"/>
      <c r="I276" s="1709"/>
      <c r="J276" s="1709"/>
      <c r="K276" s="1709"/>
      <c r="L276" s="1709"/>
      <c r="M276" s="1709"/>
      <c r="N276" s="1709"/>
      <c r="O276" s="1709"/>
      <c r="P276" s="1709"/>
      <c r="Q276" s="1709"/>
      <c r="R276" s="1709"/>
      <c r="S276" s="1709"/>
      <c r="T276" s="1709"/>
      <c r="U276" s="3370"/>
      <c r="V276" s="1709"/>
      <c r="W276" s="1709"/>
      <c r="X276" s="1709"/>
      <c r="Y276" s="1709"/>
      <c r="Z276" s="1709"/>
      <c r="AA276" s="1709"/>
    </row>
    <row r="277" spans="5:27" s="1704" customFormat="1">
      <c r="E277" s="1709"/>
      <c r="F277" s="1709"/>
      <c r="I277" s="1709"/>
      <c r="J277" s="1709"/>
      <c r="K277" s="1709"/>
      <c r="L277" s="1709"/>
      <c r="M277" s="1709"/>
      <c r="N277" s="1709"/>
      <c r="O277" s="1709"/>
      <c r="P277" s="1709"/>
      <c r="Q277" s="1709"/>
      <c r="R277" s="1709"/>
      <c r="S277" s="1709"/>
      <c r="T277" s="1709"/>
      <c r="U277" s="3370"/>
      <c r="V277" s="1709"/>
      <c r="W277" s="1709"/>
      <c r="X277" s="1709"/>
      <c r="Y277" s="1709"/>
      <c r="Z277" s="1709"/>
      <c r="AA277" s="1709"/>
    </row>
    <row r="278" spans="5:27" s="1704" customFormat="1">
      <c r="E278" s="1709"/>
      <c r="F278" s="1709"/>
      <c r="I278" s="1709"/>
      <c r="J278" s="1709"/>
      <c r="K278" s="1709"/>
      <c r="L278" s="1709"/>
      <c r="M278" s="1709"/>
      <c r="N278" s="1709"/>
      <c r="O278" s="1709"/>
      <c r="P278" s="1709"/>
      <c r="Q278" s="1709"/>
      <c r="R278" s="1709"/>
      <c r="S278" s="1709"/>
      <c r="T278" s="1709"/>
      <c r="U278" s="3370"/>
      <c r="V278" s="1709"/>
      <c r="W278" s="1709"/>
      <c r="X278" s="1709"/>
      <c r="Y278" s="1709"/>
      <c r="Z278" s="1709"/>
      <c r="AA278" s="1709"/>
    </row>
    <row r="279" spans="5:27" s="1704" customFormat="1">
      <c r="E279" s="1709"/>
      <c r="F279" s="1709"/>
      <c r="I279" s="1709"/>
      <c r="J279" s="1709"/>
      <c r="K279" s="1709"/>
      <c r="L279" s="1709"/>
      <c r="M279" s="1709"/>
      <c r="N279" s="1709"/>
      <c r="O279" s="1709"/>
      <c r="P279" s="1709"/>
      <c r="Q279" s="1709"/>
      <c r="R279" s="1709"/>
      <c r="S279" s="1709"/>
      <c r="T279" s="1709"/>
      <c r="U279" s="3370"/>
      <c r="V279" s="1709"/>
      <c r="W279" s="1709"/>
      <c r="X279" s="1709"/>
      <c r="Y279" s="1709"/>
      <c r="Z279" s="1709"/>
      <c r="AA279" s="1709"/>
    </row>
    <row r="280" spans="5:27" s="1704" customFormat="1">
      <c r="E280" s="1709"/>
      <c r="F280" s="1709"/>
      <c r="I280" s="1709"/>
      <c r="J280" s="1709"/>
      <c r="K280" s="1709"/>
      <c r="L280" s="1709"/>
      <c r="M280" s="1709"/>
      <c r="N280" s="1709"/>
      <c r="O280" s="1709"/>
      <c r="P280" s="1709"/>
      <c r="Q280" s="1709"/>
      <c r="R280" s="1709"/>
      <c r="S280" s="1709"/>
      <c r="T280" s="1709"/>
      <c r="U280" s="3370"/>
      <c r="V280" s="1709"/>
      <c r="W280" s="1709"/>
      <c r="X280" s="1709"/>
      <c r="Y280" s="1709"/>
      <c r="Z280" s="1709"/>
      <c r="AA280" s="1709"/>
    </row>
    <row r="281" spans="5:27" s="1704" customFormat="1">
      <c r="E281" s="1709"/>
      <c r="F281" s="1709"/>
      <c r="I281" s="1709"/>
      <c r="J281" s="1709"/>
      <c r="K281" s="1709"/>
      <c r="L281" s="1709"/>
      <c r="M281" s="1709"/>
      <c r="N281" s="1709"/>
      <c r="O281" s="1709"/>
      <c r="P281" s="1709"/>
      <c r="Q281" s="1709"/>
      <c r="R281" s="1709"/>
      <c r="S281" s="1709"/>
      <c r="T281" s="1709"/>
      <c r="U281" s="3370"/>
      <c r="V281" s="1709"/>
      <c r="W281" s="1709"/>
      <c r="X281" s="1709"/>
      <c r="Y281" s="1709"/>
      <c r="Z281" s="1709"/>
      <c r="AA281" s="1709"/>
    </row>
    <row r="282" spans="5:27" s="1704" customFormat="1">
      <c r="E282" s="1709"/>
      <c r="F282" s="1709"/>
      <c r="I282" s="1709"/>
      <c r="J282" s="1709"/>
      <c r="K282" s="1709"/>
      <c r="L282" s="1709"/>
      <c r="M282" s="1709"/>
      <c r="N282" s="1709"/>
      <c r="O282" s="1709"/>
      <c r="P282" s="1709"/>
      <c r="Q282" s="1709"/>
      <c r="R282" s="1709"/>
      <c r="S282" s="1709"/>
      <c r="T282" s="1709"/>
      <c r="U282" s="3370"/>
      <c r="V282" s="1709"/>
      <c r="W282" s="1709"/>
      <c r="X282" s="1709"/>
      <c r="Y282" s="1709"/>
      <c r="Z282" s="1709"/>
      <c r="AA282" s="1709"/>
    </row>
    <row r="283" spans="5:27" s="1704" customFormat="1">
      <c r="E283" s="1709"/>
      <c r="F283" s="1709"/>
      <c r="I283" s="1709"/>
      <c r="J283" s="1709"/>
      <c r="K283" s="1709"/>
      <c r="L283" s="1709"/>
      <c r="M283" s="1709"/>
      <c r="N283" s="1709"/>
      <c r="O283" s="1709"/>
      <c r="P283" s="1709"/>
      <c r="Q283" s="1709"/>
      <c r="R283" s="1709"/>
      <c r="S283" s="1709"/>
      <c r="T283" s="1709"/>
      <c r="U283" s="3370"/>
      <c r="V283" s="1709"/>
      <c r="W283" s="1709"/>
      <c r="X283" s="1709"/>
      <c r="Y283" s="1709"/>
      <c r="Z283" s="1709"/>
      <c r="AA283" s="1709"/>
    </row>
    <row r="284" spans="5:27" s="1704" customFormat="1">
      <c r="E284" s="1709"/>
      <c r="F284" s="1709"/>
      <c r="I284" s="1709"/>
      <c r="J284" s="1709"/>
      <c r="K284" s="1709"/>
      <c r="L284" s="1709"/>
      <c r="M284" s="1709"/>
      <c r="N284" s="1709"/>
      <c r="O284" s="1709"/>
      <c r="P284" s="1709"/>
      <c r="Q284" s="1709"/>
      <c r="R284" s="1709"/>
      <c r="S284" s="1709"/>
      <c r="T284" s="1709"/>
      <c r="U284" s="3370"/>
      <c r="V284" s="1709"/>
      <c r="W284" s="1709"/>
      <c r="X284" s="1709"/>
      <c r="Y284" s="1709"/>
      <c r="Z284" s="1709"/>
      <c r="AA284" s="1709"/>
    </row>
    <row r="285" spans="5:27" s="1704" customFormat="1">
      <c r="E285" s="1709"/>
      <c r="F285" s="1709"/>
      <c r="I285" s="1709"/>
      <c r="J285" s="1709"/>
      <c r="K285" s="1709"/>
      <c r="L285" s="1709"/>
      <c r="M285" s="1709"/>
      <c r="N285" s="1709"/>
      <c r="O285" s="1709"/>
      <c r="P285" s="1709"/>
      <c r="Q285" s="1709"/>
      <c r="R285" s="1709"/>
      <c r="S285" s="1709"/>
      <c r="T285" s="1709"/>
      <c r="U285" s="3370"/>
      <c r="V285" s="1709"/>
      <c r="W285" s="1709"/>
      <c r="X285" s="1709"/>
      <c r="Y285" s="1709"/>
      <c r="Z285" s="1709"/>
      <c r="AA285" s="1709"/>
    </row>
    <row r="286" spans="5:27" s="1704" customFormat="1">
      <c r="E286" s="1709"/>
      <c r="F286" s="1709"/>
      <c r="I286" s="1709"/>
      <c r="J286" s="1709"/>
      <c r="K286" s="1709"/>
      <c r="L286" s="1709"/>
      <c r="M286" s="1709"/>
      <c r="N286" s="1709"/>
      <c r="O286" s="1709"/>
      <c r="P286" s="1709"/>
      <c r="Q286" s="1709"/>
      <c r="R286" s="1709"/>
      <c r="S286" s="1709"/>
      <c r="T286" s="1709"/>
      <c r="U286" s="3370"/>
      <c r="V286" s="1709"/>
      <c r="W286" s="1709"/>
      <c r="X286" s="1709"/>
      <c r="Y286" s="1709"/>
      <c r="Z286" s="1709"/>
      <c r="AA286" s="1709"/>
    </row>
    <row r="287" spans="5:27" s="1704" customFormat="1">
      <c r="E287" s="1709"/>
      <c r="F287" s="1709"/>
      <c r="I287" s="1709"/>
      <c r="J287" s="1709"/>
      <c r="K287" s="1709"/>
      <c r="L287" s="1709"/>
      <c r="M287" s="1709"/>
      <c r="N287" s="1709"/>
      <c r="O287" s="1709"/>
      <c r="P287" s="1709"/>
      <c r="Q287" s="1709"/>
      <c r="R287" s="1709"/>
      <c r="S287" s="1709"/>
      <c r="T287" s="1709"/>
      <c r="U287" s="3370"/>
      <c r="V287" s="1709"/>
      <c r="W287" s="1709"/>
      <c r="X287" s="1709"/>
      <c r="Y287" s="1709"/>
      <c r="Z287" s="1709"/>
      <c r="AA287" s="1709"/>
    </row>
    <row r="288" spans="5:27" s="1704" customFormat="1">
      <c r="E288" s="1709"/>
      <c r="F288" s="1709"/>
      <c r="I288" s="1709"/>
      <c r="J288" s="1709"/>
      <c r="K288" s="1709"/>
      <c r="L288" s="1709"/>
      <c r="M288" s="1709"/>
      <c r="N288" s="1709"/>
      <c r="O288" s="1709"/>
      <c r="P288" s="1709"/>
      <c r="Q288" s="1709"/>
      <c r="R288" s="1709"/>
      <c r="S288" s="1709"/>
      <c r="T288" s="1709"/>
      <c r="U288" s="3370"/>
      <c r="V288" s="1709"/>
      <c r="W288" s="1709"/>
      <c r="X288" s="1709"/>
      <c r="Y288" s="1709"/>
      <c r="Z288" s="1709"/>
      <c r="AA288" s="1709"/>
    </row>
    <row r="289" spans="5:27" s="1704" customFormat="1">
      <c r="E289" s="1709"/>
      <c r="F289" s="1709"/>
      <c r="I289" s="1709"/>
      <c r="J289" s="1709"/>
      <c r="K289" s="1709"/>
      <c r="L289" s="1709"/>
      <c r="M289" s="1709"/>
      <c r="N289" s="1709"/>
      <c r="O289" s="1709"/>
      <c r="P289" s="1709"/>
      <c r="Q289" s="1709"/>
      <c r="R289" s="1709"/>
      <c r="S289" s="1709"/>
      <c r="T289" s="1709"/>
      <c r="U289" s="3370"/>
      <c r="V289" s="1709"/>
      <c r="W289" s="1709"/>
      <c r="X289" s="1709"/>
      <c r="Y289" s="1709"/>
      <c r="Z289" s="1709"/>
      <c r="AA289" s="1709"/>
    </row>
    <row r="290" spans="5:27" s="1704" customFormat="1">
      <c r="E290" s="1709"/>
      <c r="F290" s="1709"/>
      <c r="I290" s="1709"/>
      <c r="J290" s="1709"/>
      <c r="K290" s="1709"/>
      <c r="L290" s="1709"/>
      <c r="M290" s="1709"/>
      <c r="N290" s="1709"/>
      <c r="O290" s="1709"/>
      <c r="P290" s="1709"/>
      <c r="Q290" s="1709"/>
      <c r="R290" s="1709"/>
      <c r="S290" s="1709"/>
      <c r="T290" s="1709"/>
      <c r="U290" s="3370"/>
      <c r="V290" s="1709"/>
      <c r="W290" s="1709"/>
      <c r="X290" s="1709"/>
      <c r="Y290" s="1709"/>
      <c r="Z290" s="1709"/>
      <c r="AA290" s="1709"/>
    </row>
    <row r="291" spans="5:27" s="1704" customFormat="1">
      <c r="E291" s="1709"/>
      <c r="F291" s="1709"/>
      <c r="I291" s="1709"/>
      <c r="J291" s="1709"/>
      <c r="K291" s="1709"/>
      <c r="L291" s="1709"/>
      <c r="M291" s="1709"/>
      <c r="N291" s="1709"/>
      <c r="O291" s="1709"/>
      <c r="P291" s="1709"/>
      <c r="Q291" s="1709"/>
      <c r="R291" s="1709"/>
      <c r="S291" s="1709"/>
      <c r="T291" s="1709"/>
      <c r="U291" s="3370"/>
      <c r="V291" s="1709"/>
      <c r="W291" s="1709"/>
      <c r="X291" s="1709"/>
      <c r="Y291" s="1709"/>
      <c r="Z291" s="1709"/>
      <c r="AA291" s="1709"/>
    </row>
    <row r="292" spans="5:27" s="1704" customFormat="1">
      <c r="E292" s="1709"/>
      <c r="F292" s="1709"/>
      <c r="I292" s="1709"/>
      <c r="J292" s="1709"/>
      <c r="K292" s="1709"/>
      <c r="L292" s="1709"/>
      <c r="M292" s="1709"/>
      <c r="N292" s="1709"/>
      <c r="O292" s="1709"/>
      <c r="P292" s="1709"/>
      <c r="Q292" s="1709"/>
      <c r="R292" s="1709"/>
      <c r="S292" s="1709"/>
      <c r="T292" s="1709"/>
      <c r="U292" s="3370"/>
      <c r="V292" s="1709"/>
      <c r="W292" s="1709"/>
      <c r="X292" s="1709"/>
      <c r="Y292" s="1709"/>
      <c r="Z292" s="1709"/>
      <c r="AA292" s="1709"/>
    </row>
    <row r="293" spans="5:27" s="1704" customFormat="1">
      <c r="E293" s="1709"/>
      <c r="F293" s="1709"/>
      <c r="I293" s="1709"/>
      <c r="J293" s="1709"/>
      <c r="K293" s="1709"/>
      <c r="L293" s="1709"/>
      <c r="M293" s="1709"/>
      <c r="N293" s="1709"/>
      <c r="O293" s="1709"/>
      <c r="P293" s="1709"/>
      <c r="Q293" s="1709"/>
      <c r="R293" s="1709"/>
      <c r="S293" s="1709"/>
      <c r="T293" s="1709"/>
      <c r="U293" s="3370"/>
      <c r="V293" s="1709"/>
      <c r="W293" s="1709"/>
      <c r="X293" s="1709"/>
      <c r="Y293" s="1709"/>
      <c r="Z293" s="1709"/>
      <c r="AA293" s="1709"/>
    </row>
    <row r="294" spans="5:27" s="1704" customFormat="1">
      <c r="E294" s="1709"/>
      <c r="F294" s="1709"/>
      <c r="I294" s="1709"/>
      <c r="J294" s="1709"/>
      <c r="K294" s="1709"/>
      <c r="L294" s="1709"/>
      <c r="M294" s="1709"/>
      <c r="N294" s="1709"/>
      <c r="O294" s="1709"/>
      <c r="P294" s="1709"/>
      <c r="Q294" s="1709"/>
      <c r="R294" s="1709"/>
      <c r="S294" s="1709"/>
      <c r="T294" s="1709"/>
      <c r="U294" s="3370"/>
      <c r="V294" s="1709"/>
      <c r="W294" s="1709"/>
      <c r="X294" s="1709"/>
      <c r="Y294" s="1709"/>
      <c r="Z294" s="1709"/>
      <c r="AA294" s="1709"/>
    </row>
    <row r="295" spans="5:27" s="1704" customFormat="1">
      <c r="E295" s="1709"/>
      <c r="F295" s="1709"/>
      <c r="I295" s="1709"/>
      <c r="J295" s="1709"/>
      <c r="K295" s="1709"/>
      <c r="L295" s="1709"/>
      <c r="M295" s="1709"/>
      <c r="N295" s="1709"/>
      <c r="O295" s="1709"/>
      <c r="P295" s="1709"/>
      <c r="Q295" s="1709"/>
      <c r="R295" s="1709"/>
      <c r="S295" s="1709"/>
      <c r="T295" s="1709"/>
      <c r="U295" s="3370"/>
      <c r="V295" s="1709"/>
      <c r="W295" s="1709"/>
      <c r="X295" s="1709"/>
      <c r="Y295" s="1709"/>
      <c r="Z295" s="1709"/>
      <c r="AA295" s="1709"/>
    </row>
    <row r="296" spans="5:27" s="1704" customFormat="1">
      <c r="E296" s="1709"/>
      <c r="F296" s="1709"/>
      <c r="I296" s="1709"/>
      <c r="J296" s="1709"/>
      <c r="K296" s="1709"/>
      <c r="L296" s="1709"/>
      <c r="M296" s="1709"/>
      <c r="N296" s="1709"/>
      <c r="O296" s="1709"/>
      <c r="P296" s="1709"/>
      <c r="Q296" s="1709"/>
      <c r="R296" s="1709"/>
      <c r="S296" s="1709"/>
      <c r="T296" s="1709"/>
      <c r="U296" s="3370"/>
      <c r="V296" s="1709"/>
      <c r="W296" s="1709"/>
      <c r="X296" s="1709"/>
      <c r="Y296" s="1709"/>
      <c r="Z296" s="1709"/>
      <c r="AA296" s="1709"/>
    </row>
    <row r="297" spans="5:27" s="1704" customFormat="1">
      <c r="E297" s="1709"/>
      <c r="F297" s="1709"/>
      <c r="I297" s="1709"/>
      <c r="J297" s="1709"/>
      <c r="K297" s="1709"/>
      <c r="L297" s="1709"/>
      <c r="M297" s="1709"/>
      <c r="N297" s="1709"/>
      <c r="O297" s="1709"/>
      <c r="P297" s="1709"/>
      <c r="Q297" s="1709"/>
      <c r="R297" s="1709"/>
      <c r="S297" s="1709"/>
      <c r="T297" s="1709"/>
      <c r="U297" s="3370"/>
      <c r="V297" s="1709"/>
      <c r="W297" s="1709"/>
      <c r="X297" s="1709"/>
      <c r="Y297" s="1709"/>
      <c r="Z297" s="1709"/>
      <c r="AA297" s="1709"/>
    </row>
    <row r="298" spans="5:27" s="1704" customFormat="1">
      <c r="E298" s="1709"/>
      <c r="F298" s="1709"/>
      <c r="I298" s="1709"/>
      <c r="J298" s="1709"/>
      <c r="K298" s="1709"/>
      <c r="L298" s="1709"/>
      <c r="M298" s="1709"/>
      <c r="N298" s="1709"/>
      <c r="O298" s="1709"/>
      <c r="P298" s="1709"/>
      <c r="Q298" s="1709"/>
      <c r="R298" s="1709"/>
      <c r="S298" s="1709"/>
      <c r="T298" s="1709"/>
      <c r="U298" s="3370"/>
      <c r="V298" s="1709"/>
      <c r="W298" s="1709"/>
      <c r="X298" s="1709"/>
      <c r="Y298" s="1709"/>
      <c r="Z298" s="1709"/>
      <c r="AA298" s="1709"/>
    </row>
    <row r="299" spans="5:27" s="1704" customFormat="1">
      <c r="E299" s="1709"/>
      <c r="F299" s="1709"/>
      <c r="I299" s="1709"/>
      <c r="J299" s="1709"/>
      <c r="K299" s="1709"/>
      <c r="L299" s="1709"/>
      <c r="M299" s="1709"/>
      <c r="N299" s="1709"/>
      <c r="O299" s="1709"/>
      <c r="P299" s="1709"/>
      <c r="Q299" s="1709"/>
      <c r="R299" s="1709"/>
      <c r="S299" s="1709"/>
      <c r="T299" s="1709"/>
      <c r="U299" s="3370"/>
      <c r="V299" s="1709"/>
      <c r="W299" s="1709"/>
      <c r="X299" s="1709"/>
      <c r="Y299" s="1709"/>
      <c r="Z299" s="1709"/>
      <c r="AA299" s="1709"/>
    </row>
    <row r="300" spans="5:27" s="1704" customFormat="1">
      <c r="E300" s="1709"/>
      <c r="F300" s="1709"/>
      <c r="I300" s="1709"/>
      <c r="J300" s="1709"/>
      <c r="K300" s="1709"/>
      <c r="L300" s="1709"/>
      <c r="M300" s="1709"/>
      <c r="N300" s="1709"/>
      <c r="O300" s="1709"/>
      <c r="P300" s="1709"/>
      <c r="Q300" s="1709"/>
      <c r="R300" s="1709"/>
      <c r="S300" s="1709"/>
      <c r="T300" s="1709"/>
      <c r="U300" s="3370"/>
      <c r="V300" s="1709"/>
      <c r="W300" s="1709"/>
      <c r="X300" s="1709"/>
      <c r="Y300" s="1709"/>
      <c r="Z300" s="1709"/>
      <c r="AA300" s="1709"/>
    </row>
    <row r="301" spans="5:27" s="1704" customFormat="1">
      <c r="E301" s="1709"/>
      <c r="F301" s="1709"/>
      <c r="I301" s="1709"/>
      <c r="J301" s="1709"/>
      <c r="K301" s="1709"/>
      <c r="L301" s="1709"/>
      <c r="M301" s="1709"/>
      <c r="N301" s="1709"/>
      <c r="O301" s="1709"/>
      <c r="P301" s="1709"/>
      <c r="Q301" s="1709"/>
      <c r="R301" s="1709"/>
      <c r="S301" s="1709"/>
      <c r="T301" s="1709"/>
      <c r="U301" s="3370"/>
      <c r="V301" s="1709"/>
      <c r="W301" s="1709"/>
      <c r="X301" s="1709"/>
      <c r="Y301" s="1709"/>
      <c r="Z301" s="1709"/>
      <c r="AA301" s="1709"/>
    </row>
    <row r="302" spans="5:27" s="1704" customFormat="1">
      <c r="E302" s="1709"/>
      <c r="F302" s="1709"/>
      <c r="I302" s="1709"/>
      <c r="J302" s="1709"/>
      <c r="K302" s="1709"/>
      <c r="L302" s="1709"/>
      <c r="M302" s="1709"/>
      <c r="N302" s="1709"/>
      <c r="O302" s="1709"/>
      <c r="P302" s="1709"/>
      <c r="Q302" s="1709"/>
      <c r="R302" s="1709"/>
      <c r="S302" s="1709"/>
      <c r="T302" s="1709"/>
      <c r="U302" s="3370"/>
      <c r="V302" s="1709"/>
      <c r="W302" s="1709"/>
      <c r="X302" s="1709"/>
      <c r="Y302" s="1709"/>
      <c r="Z302" s="1709"/>
      <c r="AA302" s="1709"/>
    </row>
    <row r="303" spans="5:27" s="1704" customFormat="1">
      <c r="E303" s="1709"/>
      <c r="F303" s="1709"/>
      <c r="I303" s="1709"/>
      <c r="J303" s="1709"/>
      <c r="K303" s="1709"/>
      <c r="L303" s="1709"/>
      <c r="M303" s="1709"/>
      <c r="N303" s="1709"/>
      <c r="O303" s="1709"/>
      <c r="P303" s="1709"/>
      <c r="Q303" s="1709"/>
      <c r="R303" s="1709"/>
      <c r="S303" s="1709"/>
      <c r="T303" s="1709"/>
      <c r="U303" s="3370"/>
      <c r="V303" s="1709"/>
      <c r="W303" s="1709"/>
      <c r="X303" s="1709"/>
      <c r="Y303" s="1709"/>
      <c r="Z303" s="1709"/>
      <c r="AA303" s="1709"/>
    </row>
    <row r="304" spans="5:27" s="1704" customFormat="1">
      <c r="E304" s="1709"/>
      <c r="F304" s="1709"/>
      <c r="I304" s="1709"/>
      <c r="J304" s="1709"/>
      <c r="K304" s="1709"/>
      <c r="L304" s="1709"/>
      <c r="M304" s="1709"/>
      <c r="N304" s="1709"/>
      <c r="O304" s="1709"/>
      <c r="P304" s="1709"/>
      <c r="Q304" s="1709"/>
      <c r="R304" s="1709"/>
      <c r="S304" s="1709"/>
      <c r="T304" s="1709"/>
      <c r="U304" s="3370"/>
      <c r="V304" s="1709"/>
      <c r="W304" s="1709"/>
      <c r="X304" s="1709"/>
      <c r="Y304" s="1709"/>
      <c r="Z304" s="1709"/>
      <c r="AA304" s="1709"/>
    </row>
    <row r="305" spans="5:27" s="1704" customFormat="1">
      <c r="E305" s="1709"/>
      <c r="F305" s="1709"/>
      <c r="I305" s="1709"/>
      <c r="J305" s="1709"/>
      <c r="K305" s="1709"/>
      <c r="L305" s="1709"/>
      <c r="M305" s="1709"/>
      <c r="N305" s="1709"/>
      <c r="O305" s="1709"/>
      <c r="P305" s="1709"/>
      <c r="Q305" s="1709"/>
      <c r="R305" s="1709"/>
      <c r="S305" s="1709"/>
      <c r="T305" s="1709"/>
      <c r="U305" s="3370"/>
      <c r="V305" s="1709"/>
      <c r="W305" s="1709"/>
      <c r="X305" s="1709"/>
      <c r="Y305" s="1709"/>
      <c r="Z305" s="1709"/>
      <c r="AA305" s="1709"/>
    </row>
    <row r="306" spans="5:27" s="1704" customFormat="1">
      <c r="E306" s="1709"/>
      <c r="F306" s="1709"/>
      <c r="I306" s="1709"/>
      <c r="J306" s="1709"/>
      <c r="K306" s="1709"/>
      <c r="L306" s="1709"/>
      <c r="M306" s="1709"/>
      <c r="N306" s="1709"/>
      <c r="O306" s="1709"/>
      <c r="P306" s="1709"/>
      <c r="Q306" s="1709"/>
      <c r="R306" s="1709"/>
      <c r="S306" s="1709"/>
      <c r="T306" s="1709"/>
      <c r="U306" s="3370"/>
      <c r="V306" s="1709"/>
      <c r="W306" s="1709"/>
      <c r="X306" s="1709"/>
      <c r="Y306" s="1709"/>
      <c r="Z306" s="1709"/>
      <c r="AA306" s="1709"/>
    </row>
    <row r="307" spans="5:27" s="1704" customFormat="1">
      <c r="E307" s="1709"/>
      <c r="F307" s="1709"/>
      <c r="I307" s="1709"/>
      <c r="J307" s="1709"/>
      <c r="K307" s="1709"/>
      <c r="L307" s="1709"/>
      <c r="M307" s="1709"/>
      <c r="N307" s="1709"/>
      <c r="O307" s="1709"/>
      <c r="P307" s="1709"/>
      <c r="Q307" s="1709"/>
      <c r="R307" s="1709"/>
      <c r="S307" s="1709"/>
      <c r="T307" s="1709"/>
      <c r="U307" s="3370"/>
      <c r="V307" s="1709"/>
      <c r="W307" s="1709"/>
      <c r="X307" s="1709"/>
      <c r="Y307" s="1709"/>
      <c r="Z307" s="1709"/>
      <c r="AA307" s="1709"/>
    </row>
    <row r="308" spans="5:27" s="1704" customFormat="1">
      <c r="E308" s="1709"/>
      <c r="F308" s="1709"/>
      <c r="I308" s="1709"/>
      <c r="J308" s="1709"/>
      <c r="K308" s="1709"/>
      <c r="L308" s="1709"/>
      <c r="M308" s="1709"/>
      <c r="N308" s="1709"/>
      <c r="O308" s="1709"/>
      <c r="P308" s="1709"/>
      <c r="Q308" s="1709"/>
      <c r="R308" s="1709"/>
      <c r="S308" s="1709"/>
      <c r="T308" s="1709"/>
      <c r="U308" s="3370"/>
      <c r="V308" s="1709"/>
      <c r="W308" s="1709"/>
      <c r="X308" s="1709"/>
      <c r="Y308" s="1709"/>
      <c r="Z308" s="1709"/>
      <c r="AA308" s="1709"/>
    </row>
    <row r="309" spans="5:27" s="1704" customFormat="1">
      <c r="E309" s="1709"/>
      <c r="F309" s="1709"/>
      <c r="I309" s="1709"/>
      <c r="J309" s="1709"/>
      <c r="K309" s="1709"/>
      <c r="L309" s="1709"/>
      <c r="M309" s="1709"/>
      <c r="N309" s="1709"/>
      <c r="O309" s="1709"/>
      <c r="P309" s="1709"/>
      <c r="Q309" s="1709"/>
      <c r="R309" s="1709"/>
      <c r="S309" s="1709"/>
      <c r="T309" s="1709"/>
      <c r="U309" s="3370"/>
      <c r="V309" s="1709"/>
      <c r="W309" s="1709"/>
      <c r="X309" s="1709"/>
      <c r="Y309" s="1709"/>
      <c r="Z309" s="1709"/>
      <c r="AA309" s="1709"/>
    </row>
    <row r="310" spans="5:27" s="1704" customFormat="1">
      <c r="E310" s="1709"/>
      <c r="F310" s="1709"/>
      <c r="I310" s="1709"/>
      <c r="J310" s="1709"/>
      <c r="K310" s="1709"/>
      <c r="L310" s="1709"/>
      <c r="M310" s="1709"/>
      <c r="N310" s="1709"/>
      <c r="O310" s="1709"/>
      <c r="P310" s="1709"/>
      <c r="Q310" s="1709"/>
      <c r="R310" s="1709"/>
      <c r="S310" s="1709"/>
      <c r="T310" s="1709"/>
      <c r="U310" s="3370"/>
      <c r="V310" s="1709"/>
      <c r="W310" s="1709"/>
      <c r="X310" s="1709"/>
      <c r="Y310" s="1709"/>
      <c r="Z310" s="1709"/>
      <c r="AA310" s="1709"/>
    </row>
    <row r="311" spans="5:27" s="1704" customFormat="1">
      <c r="E311" s="1709"/>
      <c r="F311" s="1709"/>
      <c r="I311" s="1709"/>
      <c r="J311" s="1709"/>
      <c r="K311" s="1709"/>
      <c r="L311" s="1709"/>
      <c r="M311" s="1709"/>
      <c r="N311" s="1709"/>
      <c r="O311" s="1709"/>
      <c r="P311" s="1709"/>
      <c r="Q311" s="1709"/>
      <c r="R311" s="1709"/>
      <c r="S311" s="1709"/>
      <c r="T311" s="1709"/>
      <c r="U311" s="3370"/>
      <c r="V311" s="1709"/>
      <c r="W311" s="1709"/>
      <c r="X311" s="1709"/>
      <c r="Y311" s="1709"/>
      <c r="Z311" s="1709"/>
      <c r="AA311" s="1709"/>
    </row>
    <row r="312" spans="5:27" s="1704" customFormat="1">
      <c r="E312" s="1709"/>
      <c r="F312" s="1709"/>
      <c r="I312" s="1709"/>
      <c r="J312" s="1709"/>
      <c r="K312" s="1709"/>
      <c r="L312" s="1709"/>
      <c r="M312" s="1709"/>
      <c r="N312" s="1709"/>
      <c r="O312" s="1709"/>
      <c r="P312" s="1709"/>
      <c r="Q312" s="1709"/>
      <c r="R312" s="1709"/>
      <c r="S312" s="1709"/>
      <c r="T312" s="1709"/>
      <c r="U312" s="3370"/>
      <c r="V312" s="1709"/>
      <c r="W312" s="1709"/>
      <c r="X312" s="1709"/>
      <c r="Y312" s="1709"/>
      <c r="Z312" s="1709"/>
      <c r="AA312" s="1709"/>
    </row>
    <row r="313" spans="5:27" s="1704" customFormat="1">
      <c r="E313" s="1709"/>
      <c r="F313" s="1709"/>
      <c r="I313" s="1709"/>
      <c r="J313" s="1709"/>
      <c r="K313" s="1709"/>
      <c r="L313" s="1709"/>
      <c r="M313" s="1709"/>
      <c r="N313" s="1709"/>
      <c r="O313" s="1709"/>
      <c r="P313" s="1709"/>
      <c r="Q313" s="1709"/>
      <c r="R313" s="1709"/>
      <c r="S313" s="1709"/>
      <c r="T313" s="1709"/>
      <c r="U313" s="3370"/>
      <c r="V313" s="1709"/>
      <c r="W313" s="1709"/>
      <c r="X313" s="1709"/>
      <c r="Y313" s="1709"/>
      <c r="Z313" s="1709"/>
      <c r="AA313" s="1709"/>
    </row>
    <row r="314" spans="5:27" s="1704" customFormat="1">
      <c r="E314" s="1709"/>
      <c r="F314" s="1709"/>
      <c r="I314" s="1709"/>
      <c r="J314" s="1709"/>
      <c r="K314" s="1709"/>
      <c r="L314" s="1709"/>
      <c r="M314" s="1709"/>
      <c r="N314" s="1709"/>
      <c r="O314" s="1709"/>
      <c r="P314" s="1709"/>
      <c r="Q314" s="1709"/>
      <c r="R314" s="1709"/>
      <c r="S314" s="1709"/>
      <c r="T314" s="1709"/>
      <c r="U314" s="3370"/>
      <c r="V314" s="1709"/>
      <c r="W314" s="1709"/>
      <c r="X314" s="1709"/>
      <c r="Y314" s="1709"/>
      <c r="Z314" s="1709"/>
      <c r="AA314" s="1709"/>
    </row>
    <row r="315" spans="5:27" s="1704" customFormat="1">
      <c r="E315" s="1709"/>
      <c r="F315" s="1709"/>
      <c r="I315" s="1709"/>
      <c r="J315" s="1709"/>
      <c r="K315" s="1709"/>
      <c r="L315" s="1709"/>
      <c r="M315" s="1709"/>
      <c r="N315" s="1709"/>
      <c r="O315" s="1709"/>
      <c r="P315" s="1709"/>
      <c r="Q315" s="1709"/>
      <c r="R315" s="1709"/>
      <c r="S315" s="1709"/>
      <c r="T315" s="1709"/>
      <c r="U315" s="3370"/>
      <c r="V315" s="1709"/>
      <c r="W315" s="1709"/>
      <c r="X315" s="1709"/>
      <c r="Y315" s="1709"/>
      <c r="Z315" s="1709"/>
      <c r="AA315" s="1709"/>
    </row>
    <row r="316" spans="5:27" s="1704" customFormat="1">
      <c r="E316" s="1709"/>
      <c r="F316" s="1709"/>
      <c r="I316" s="1709"/>
      <c r="J316" s="1709"/>
      <c r="K316" s="1709"/>
      <c r="L316" s="1709"/>
      <c r="M316" s="1709"/>
      <c r="N316" s="1709"/>
      <c r="O316" s="1709"/>
      <c r="P316" s="1709"/>
      <c r="Q316" s="1709"/>
      <c r="R316" s="1709"/>
      <c r="S316" s="1709"/>
      <c r="T316" s="1709"/>
      <c r="U316" s="3370"/>
      <c r="V316" s="1709"/>
      <c r="W316" s="1709"/>
      <c r="X316" s="1709"/>
      <c r="Y316" s="1709"/>
      <c r="Z316" s="1709"/>
      <c r="AA316" s="1709"/>
    </row>
    <row r="317" spans="5:27" s="1704" customFormat="1">
      <c r="E317" s="1709"/>
      <c r="F317" s="1709"/>
      <c r="I317" s="1709"/>
      <c r="J317" s="1709"/>
      <c r="K317" s="1709"/>
      <c r="L317" s="1709"/>
      <c r="M317" s="1709"/>
      <c r="N317" s="1709"/>
      <c r="O317" s="1709"/>
      <c r="P317" s="1709"/>
      <c r="Q317" s="1709"/>
      <c r="R317" s="1709"/>
      <c r="S317" s="1709"/>
      <c r="T317" s="1709"/>
      <c r="U317" s="3370"/>
      <c r="V317" s="1709"/>
      <c r="W317" s="1709"/>
      <c r="X317" s="1709"/>
      <c r="Y317" s="1709"/>
      <c r="Z317" s="1709"/>
      <c r="AA317" s="1709"/>
    </row>
    <row r="318" spans="5:27" s="1704" customFormat="1">
      <c r="E318" s="1709"/>
      <c r="F318" s="1709"/>
      <c r="I318" s="1709"/>
      <c r="J318" s="1709"/>
      <c r="K318" s="1709"/>
      <c r="L318" s="1709"/>
      <c r="M318" s="1709"/>
      <c r="N318" s="1709"/>
      <c r="O318" s="1709"/>
      <c r="P318" s="1709"/>
      <c r="Q318" s="1709"/>
      <c r="R318" s="1709"/>
      <c r="S318" s="1709"/>
      <c r="T318" s="1709"/>
      <c r="U318" s="3370"/>
      <c r="V318" s="1709"/>
      <c r="W318" s="1709"/>
      <c r="X318" s="1709"/>
      <c r="Y318" s="1709"/>
      <c r="Z318" s="1709"/>
      <c r="AA318" s="1709"/>
    </row>
    <row r="319" spans="5:27" s="1704" customFormat="1">
      <c r="E319" s="1709"/>
      <c r="F319" s="1709"/>
      <c r="I319" s="1709"/>
      <c r="J319" s="1709"/>
      <c r="K319" s="1709"/>
      <c r="L319" s="1709"/>
      <c r="M319" s="1709"/>
      <c r="N319" s="1709"/>
      <c r="O319" s="1709"/>
      <c r="P319" s="1709"/>
      <c r="Q319" s="1709"/>
      <c r="R319" s="1709"/>
      <c r="S319" s="1709"/>
      <c r="T319" s="1709"/>
      <c r="U319" s="3370"/>
      <c r="V319" s="1709"/>
      <c r="W319" s="1709"/>
      <c r="X319" s="1709"/>
      <c r="Y319" s="1709"/>
      <c r="Z319" s="1709"/>
      <c r="AA319" s="1709"/>
    </row>
    <row r="320" spans="5:27" s="1704" customFormat="1">
      <c r="E320" s="1709"/>
      <c r="F320" s="1709"/>
      <c r="I320" s="1709"/>
      <c r="J320" s="1709"/>
      <c r="K320" s="1709"/>
      <c r="L320" s="1709"/>
      <c r="M320" s="1709"/>
      <c r="N320" s="1709"/>
      <c r="O320" s="1709"/>
      <c r="P320" s="1709"/>
      <c r="Q320" s="1709"/>
      <c r="R320" s="1709"/>
      <c r="S320" s="1709"/>
      <c r="T320" s="1709"/>
      <c r="U320" s="3370"/>
      <c r="V320" s="1709"/>
      <c r="W320" s="1709"/>
      <c r="X320" s="1709"/>
      <c r="Y320" s="1709"/>
      <c r="Z320" s="1709"/>
      <c r="AA320" s="1709"/>
    </row>
    <row r="321" spans="5:27" s="1704" customFormat="1">
      <c r="E321" s="1709"/>
      <c r="F321" s="1709"/>
      <c r="I321" s="1709"/>
      <c r="J321" s="1709"/>
      <c r="K321" s="1709"/>
      <c r="L321" s="1709"/>
      <c r="M321" s="1709"/>
      <c r="N321" s="1709"/>
      <c r="O321" s="1709"/>
      <c r="P321" s="1709"/>
      <c r="Q321" s="1709"/>
      <c r="R321" s="1709"/>
      <c r="S321" s="1709"/>
      <c r="T321" s="1709"/>
      <c r="U321" s="3370"/>
      <c r="V321" s="1709"/>
      <c r="W321" s="1709"/>
      <c r="X321" s="1709"/>
      <c r="Y321" s="1709"/>
      <c r="Z321" s="1709"/>
      <c r="AA321" s="1709"/>
    </row>
    <row r="322" spans="5:27" s="1704" customFormat="1">
      <c r="E322" s="1709"/>
      <c r="F322" s="1709"/>
      <c r="I322" s="1709"/>
      <c r="J322" s="1709"/>
      <c r="K322" s="1709"/>
      <c r="L322" s="1709"/>
      <c r="M322" s="1709"/>
      <c r="N322" s="1709"/>
      <c r="O322" s="1709"/>
      <c r="P322" s="1709"/>
      <c r="Q322" s="1709"/>
      <c r="R322" s="1709"/>
      <c r="S322" s="1709"/>
      <c r="T322" s="1709"/>
      <c r="U322" s="3370"/>
      <c r="V322" s="1709"/>
      <c r="W322" s="1709"/>
      <c r="X322" s="1709"/>
      <c r="Y322" s="1709"/>
      <c r="Z322" s="1709"/>
      <c r="AA322" s="1709"/>
    </row>
    <row r="323" spans="5:27" s="1704" customFormat="1">
      <c r="E323" s="1709"/>
      <c r="F323" s="1709"/>
      <c r="I323" s="1709"/>
      <c r="J323" s="1709"/>
      <c r="K323" s="1709"/>
      <c r="L323" s="1709"/>
      <c r="M323" s="1709"/>
      <c r="N323" s="1709"/>
      <c r="O323" s="1709"/>
      <c r="P323" s="1709"/>
      <c r="Q323" s="1709"/>
      <c r="R323" s="1709"/>
      <c r="S323" s="1709"/>
      <c r="T323" s="1709"/>
      <c r="U323" s="3370"/>
      <c r="V323" s="1709"/>
      <c r="W323" s="1709"/>
      <c r="X323" s="1709"/>
      <c r="Y323" s="1709"/>
      <c r="Z323" s="1709"/>
      <c r="AA323" s="1709"/>
    </row>
    <row r="324" spans="5:27" s="1704" customFormat="1">
      <c r="E324" s="1709"/>
      <c r="F324" s="1709"/>
      <c r="I324" s="1709"/>
      <c r="J324" s="1709"/>
      <c r="K324" s="1709"/>
      <c r="L324" s="1709"/>
      <c r="M324" s="1709"/>
      <c r="N324" s="1709"/>
      <c r="O324" s="1709"/>
      <c r="P324" s="1709"/>
      <c r="Q324" s="1709"/>
      <c r="R324" s="1709"/>
      <c r="S324" s="1709"/>
      <c r="T324" s="1709"/>
      <c r="U324" s="3370"/>
      <c r="V324" s="1709"/>
      <c r="W324" s="1709"/>
      <c r="X324" s="1709"/>
      <c r="Y324" s="1709"/>
      <c r="Z324" s="1709"/>
      <c r="AA324" s="1709"/>
    </row>
    <row r="325" spans="5:27" s="1704" customFormat="1">
      <c r="E325" s="1709"/>
      <c r="F325" s="1709"/>
      <c r="I325" s="1709"/>
      <c r="J325" s="1709"/>
      <c r="K325" s="1709"/>
      <c r="L325" s="1709"/>
      <c r="M325" s="1709"/>
      <c r="N325" s="1709"/>
      <c r="O325" s="1709"/>
      <c r="P325" s="1709"/>
      <c r="Q325" s="1709"/>
      <c r="R325" s="1709"/>
      <c r="S325" s="1709"/>
      <c r="T325" s="1709"/>
      <c r="U325" s="3370"/>
      <c r="V325" s="1709"/>
      <c r="W325" s="1709"/>
      <c r="X325" s="1709"/>
      <c r="Y325" s="1709"/>
      <c r="Z325" s="1709"/>
      <c r="AA325" s="1709"/>
    </row>
    <row r="326" spans="5:27" s="1704" customFormat="1">
      <c r="E326" s="1709"/>
      <c r="F326" s="1709"/>
      <c r="I326" s="1709"/>
      <c r="J326" s="1709"/>
      <c r="K326" s="1709"/>
      <c r="L326" s="1709"/>
      <c r="M326" s="1709"/>
      <c r="N326" s="1709"/>
      <c r="O326" s="1709"/>
      <c r="P326" s="1709"/>
      <c r="Q326" s="1709"/>
      <c r="R326" s="1709"/>
      <c r="S326" s="1709"/>
      <c r="T326" s="1709"/>
      <c r="U326" s="3370"/>
      <c r="V326" s="1709"/>
      <c r="W326" s="1709"/>
      <c r="X326" s="1709"/>
      <c r="Y326" s="1709"/>
      <c r="Z326" s="1709"/>
      <c r="AA326" s="1709"/>
    </row>
    <row r="327" spans="5:27" s="1704" customFormat="1">
      <c r="E327" s="1709"/>
      <c r="F327" s="1709"/>
      <c r="I327" s="1709"/>
      <c r="J327" s="1709"/>
      <c r="K327" s="1709"/>
      <c r="L327" s="1709"/>
      <c r="M327" s="1709"/>
      <c r="N327" s="1709"/>
      <c r="O327" s="1709"/>
      <c r="P327" s="1709"/>
      <c r="Q327" s="1709"/>
      <c r="R327" s="1709"/>
      <c r="S327" s="1709"/>
      <c r="T327" s="1709"/>
      <c r="U327" s="3370"/>
      <c r="V327" s="1709"/>
      <c r="W327" s="1709"/>
      <c r="X327" s="1709"/>
      <c r="Y327" s="1709"/>
      <c r="Z327" s="1709"/>
      <c r="AA327" s="1709"/>
    </row>
    <row r="328" spans="5:27" s="1704" customFormat="1">
      <c r="E328" s="1709"/>
      <c r="F328" s="1709"/>
      <c r="I328" s="1709"/>
      <c r="J328" s="1709"/>
      <c r="K328" s="1709"/>
      <c r="L328" s="1709"/>
      <c r="M328" s="1709"/>
      <c r="N328" s="1709"/>
      <c r="O328" s="1709"/>
      <c r="P328" s="1709"/>
      <c r="Q328" s="1709"/>
      <c r="R328" s="1709"/>
      <c r="S328" s="1709"/>
      <c r="T328" s="1709"/>
      <c r="U328" s="3370"/>
      <c r="V328" s="1709"/>
      <c r="W328" s="1709"/>
      <c r="X328" s="1709"/>
      <c r="Y328" s="1709"/>
      <c r="Z328" s="1709"/>
      <c r="AA328" s="1709"/>
    </row>
    <row r="329" spans="5:27" s="1704" customFormat="1">
      <c r="E329" s="1709"/>
      <c r="F329" s="1709"/>
      <c r="I329" s="1709"/>
      <c r="J329" s="1709"/>
      <c r="K329" s="1709"/>
      <c r="L329" s="1709"/>
      <c r="M329" s="1709"/>
      <c r="N329" s="1709"/>
      <c r="O329" s="1709"/>
      <c r="P329" s="1709"/>
      <c r="Q329" s="1709"/>
      <c r="R329" s="1709"/>
      <c r="S329" s="1709"/>
      <c r="T329" s="1709"/>
      <c r="U329" s="3370"/>
      <c r="V329" s="1709"/>
      <c r="W329" s="1709"/>
      <c r="X329" s="1709"/>
      <c r="Y329" s="1709"/>
      <c r="Z329" s="1709"/>
      <c r="AA329" s="1709"/>
    </row>
    <row r="330" spans="5:27" s="1704" customFormat="1">
      <c r="E330" s="1709"/>
      <c r="F330" s="1709"/>
      <c r="I330" s="1709"/>
      <c r="J330" s="1709"/>
      <c r="K330" s="1709"/>
      <c r="L330" s="1709"/>
      <c r="M330" s="1709"/>
      <c r="N330" s="1709"/>
      <c r="O330" s="1709"/>
      <c r="P330" s="1709"/>
      <c r="Q330" s="1709"/>
      <c r="R330" s="1709"/>
      <c r="S330" s="1709"/>
      <c r="T330" s="1709"/>
      <c r="U330" s="3370"/>
      <c r="V330" s="1709"/>
      <c r="W330" s="1709"/>
      <c r="X330" s="1709"/>
      <c r="Y330" s="1709"/>
      <c r="Z330" s="1709"/>
      <c r="AA330" s="1709"/>
    </row>
    <row r="331" spans="5:27" s="1704" customFormat="1">
      <c r="E331" s="1709"/>
      <c r="F331" s="1709"/>
      <c r="I331" s="1709"/>
      <c r="J331" s="1709"/>
      <c r="K331" s="1709"/>
      <c r="L331" s="1709"/>
      <c r="M331" s="1709"/>
      <c r="N331" s="1709"/>
      <c r="O331" s="1709"/>
      <c r="P331" s="1709"/>
      <c r="Q331" s="1709"/>
      <c r="R331" s="1709"/>
      <c r="S331" s="1709"/>
      <c r="T331" s="1709"/>
      <c r="U331" s="3370"/>
      <c r="V331" s="1709"/>
      <c r="W331" s="1709"/>
      <c r="X331" s="1709"/>
      <c r="Y331" s="1709"/>
      <c r="Z331" s="1709"/>
      <c r="AA331" s="1709"/>
    </row>
    <row r="332" spans="5:27" s="1704" customFormat="1">
      <c r="E332" s="1709"/>
      <c r="F332" s="1709"/>
      <c r="I332" s="1709"/>
      <c r="J332" s="1709"/>
      <c r="K332" s="1709"/>
      <c r="L332" s="1709"/>
      <c r="M332" s="1709"/>
      <c r="N332" s="1709"/>
      <c r="O332" s="1709"/>
      <c r="P332" s="1709"/>
      <c r="Q332" s="1709"/>
      <c r="R332" s="1709"/>
      <c r="S332" s="1709"/>
      <c r="T332" s="1709"/>
      <c r="U332" s="3370"/>
      <c r="V332" s="1709"/>
      <c r="W332" s="1709"/>
      <c r="X332" s="1709"/>
      <c r="Y332" s="1709"/>
      <c r="Z332" s="1709"/>
      <c r="AA332" s="1709"/>
    </row>
    <row r="333" spans="5:27" s="1704" customFormat="1">
      <c r="E333" s="1709"/>
      <c r="F333" s="1709"/>
      <c r="I333" s="1709"/>
      <c r="J333" s="1709"/>
      <c r="K333" s="1709"/>
      <c r="L333" s="1709"/>
      <c r="M333" s="1709"/>
      <c r="N333" s="1709"/>
      <c r="O333" s="1709"/>
      <c r="P333" s="1709"/>
      <c r="Q333" s="1709"/>
      <c r="R333" s="1709"/>
      <c r="S333" s="1709"/>
      <c r="T333" s="1709"/>
      <c r="U333" s="3370"/>
      <c r="V333" s="1709"/>
      <c r="W333" s="1709"/>
      <c r="X333" s="1709"/>
      <c r="Y333" s="1709"/>
      <c r="Z333" s="1709"/>
      <c r="AA333" s="1709"/>
    </row>
    <row r="334" spans="5:27" s="1704" customFormat="1">
      <c r="E334" s="1709"/>
      <c r="F334" s="1709"/>
      <c r="I334" s="1709"/>
      <c r="J334" s="1709"/>
      <c r="K334" s="1709"/>
      <c r="L334" s="1709"/>
      <c r="M334" s="1709"/>
      <c r="N334" s="1709"/>
      <c r="O334" s="1709"/>
      <c r="P334" s="1709"/>
      <c r="Q334" s="1709"/>
      <c r="R334" s="1709"/>
      <c r="S334" s="1709"/>
      <c r="T334" s="1709"/>
      <c r="U334" s="3370"/>
      <c r="V334" s="1709"/>
      <c r="W334" s="1709"/>
      <c r="X334" s="1709"/>
      <c r="Y334" s="1709"/>
      <c r="Z334" s="1709"/>
      <c r="AA334" s="1709"/>
    </row>
    <row r="335" spans="5:27" s="1704" customFormat="1">
      <c r="E335" s="1709"/>
      <c r="F335" s="1709"/>
      <c r="I335" s="1709"/>
      <c r="J335" s="1709"/>
      <c r="K335" s="1709"/>
      <c r="L335" s="1709"/>
      <c r="M335" s="1709"/>
      <c r="N335" s="1709"/>
      <c r="O335" s="1709"/>
      <c r="P335" s="1709"/>
      <c r="Q335" s="1709"/>
      <c r="R335" s="1709"/>
      <c r="S335" s="1709"/>
      <c r="T335" s="1709"/>
      <c r="U335" s="3370"/>
      <c r="V335" s="1709"/>
      <c r="W335" s="1709"/>
      <c r="X335" s="1709"/>
      <c r="Y335" s="1709"/>
      <c r="Z335" s="1709"/>
      <c r="AA335" s="1709"/>
    </row>
    <row r="336" spans="5:27" s="1704" customFormat="1">
      <c r="E336" s="1709"/>
      <c r="F336" s="1709"/>
      <c r="I336" s="1709"/>
      <c r="J336" s="1709"/>
      <c r="K336" s="1709"/>
      <c r="L336" s="1709"/>
      <c r="M336" s="1709"/>
      <c r="N336" s="1709"/>
      <c r="O336" s="1709"/>
      <c r="P336" s="1709"/>
      <c r="Q336" s="1709"/>
      <c r="R336" s="1709"/>
      <c r="S336" s="1709"/>
      <c r="T336" s="1709"/>
      <c r="U336" s="3370"/>
      <c r="V336" s="1709"/>
      <c r="W336" s="1709"/>
      <c r="X336" s="1709"/>
      <c r="Y336" s="1709"/>
      <c r="Z336" s="1709"/>
      <c r="AA336" s="1709"/>
    </row>
    <row r="337" spans="5:27" s="1704" customFormat="1">
      <c r="E337" s="1709"/>
      <c r="F337" s="1709"/>
      <c r="I337" s="1709"/>
      <c r="J337" s="1709"/>
      <c r="K337" s="1709"/>
      <c r="L337" s="1709"/>
      <c r="M337" s="1709"/>
      <c r="N337" s="1709"/>
      <c r="O337" s="1709"/>
      <c r="P337" s="1709"/>
      <c r="Q337" s="1709"/>
      <c r="R337" s="1709"/>
      <c r="S337" s="1709"/>
      <c r="T337" s="1709"/>
      <c r="U337" s="3370"/>
      <c r="V337" s="1709"/>
      <c r="W337" s="1709"/>
      <c r="X337" s="1709"/>
      <c r="Y337" s="1709"/>
      <c r="Z337" s="1709"/>
      <c r="AA337" s="1709"/>
    </row>
    <row r="338" spans="5:27" s="1704" customFormat="1">
      <c r="E338" s="1709"/>
      <c r="F338" s="1709"/>
      <c r="I338" s="1709"/>
      <c r="J338" s="1709"/>
      <c r="K338" s="1709"/>
      <c r="L338" s="1709"/>
      <c r="M338" s="1709"/>
      <c r="N338" s="1709"/>
      <c r="O338" s="1709"/>
      <c r="P338" s="1709"/>
      <c r="Q338" s="1709"/>
      <c r="R338" s="1709"/>
      <c r="S338" s="1709"/>
      <c r="T338" s="1709"/>
      <c r="U338" s="3370"/>
      <c r="V338" s="1709"/>
      <c r="W338" s="1709"/>
      <c r="X338" s="1709"/>
      <c r="Y338" s="1709"/>
      <c r="Z338" s="1709"/>
      <c r="AA338" s="1709"/>
    </row>
    <row r="339" spans="5:27" s="1704" customFormat="1">
      <c r="E339" s="1709"/>
      <c r="F339" s="1709"/>
      <c r="I339" s="1709"/>
      <c r="J339" s="1709"/>
      <c r="K339" s="1709"/>
      <c r="L339" s="1709"/>
      <c r="M339" s="1709"/>
      <c r="N339" s="1709"/>
      <c r="O339" s="1709"/>
      <c r="P339" s="1709"/>
      <c r="Q339" s="1709"/>
      <c r="R339" s="1709"/>
      <c r="S339" s="1709"/>
      <c r="T339" s="1709"/>
      <c r="U339" s="3370"/>
      <c r="V339" s="1709"/>
      <c r="W339" s="1709"/>
      <c r="X339" s="1709"/>
      <c r="Y339" s="1709"/>
      <c r="Z339" s="1709"/>
      <c r="AA339" s="1709"/>
    </row>
    <row r="340" spans="5:27" s="1704" customFormat="1">
      <c r="E340" s="1709"/>
      <c r="F340" s="1709"/>
      <c r="I340" s="1709"/>
      <c r="J340" s="1709"/>
      <c r="K340" s="1709"/>
      <c r="L340" s="1709"/>
      <c r="M340" s="1709"/>
      <c r="N340" s="1709"/>
      <c r="O340" s="1709"/>
      <c r="P340" s="1709"/>
      <c r="Q340" s="1709"/>
      <c r="R340" s="1709"/>
      <c r="S340" s="1709"/>
      <c r="T340" s="1709"/>
      <c r="U340" s="3370"/>
      <c r="V340" s="1709"/>
      <c r="W340" s="1709"/>
      <c r="X340" s="1709"/>
      <c r="Y340" s="1709"/>
      <c r="Z340" s="1709"/>
      <c r="AA340" s="1709"/>
    </row>
    <row r="341" spans="5:27" s="1704" customFormat="1">
      <c r="E341" s="1709"/>
      <c r="F341" s="1709"/>
      <c r="I341" s="1709"/>
      <c r="J341" s="1709"/>
      <c r="K341" s="1709"/>
      <c r="L341" s="1709"/>
      <c r="M341" s="1709"/>
      <c r="N341" s="1709"/>
      <c r="O341" s="1709"/>
      <c r="P341" s="1709"/>
      <c r="Q341" s="1709"/>
      <c r="R341" s="1709"/>
      <c r="S341" s="1709"/>
      <c r="T341" s="1709"/>
      <c r="U341" s="3370"/>
      <c r="V341" s="1709"/>
      <c r="W341" s="1709"/>
      <c r="X341" s="1709"/>
      <c r="Y341" s="1709"/>
      <c r="Z341" s="1709"/>
      <c r="AA341" s="1709"/>
    </row>
    <row r="342" spans="5:27" s="1704" customFormat="1">
      <c r="E342" s="1709"/>
      <c r="F342" s="1709"/>
      <c r="I342" s="1709"/>
      <c r="J342" s="1709"/>
      <c r="K342" s="1709"/>
      <c r="L342" s="1709"/>
      <c r="M342" s="1709"/>
      <c r="N342" s="1709"/>
      <c r="O342" s="1709"/>
      <c r="P342" s="1709"/>
      <c r="Q342" s="1709"/>
      <c r="R342" s="1709"/>
      <c r="S342" s="1709"/>
      <c r="T342" s="1709"/>
      <c r="U342" s="3370"/>
      <c r="V342" s="1709"/>
      <c r="W342" s="1709"/>
      <c r="X342" s="1709"/>
      <c r="Y342" s="1709"/>
      <c r="Z342" s="1709"/>
      <c r="AA342" s="1709"/>
    </row>
    <row r="343" spans="5:27" s="1704" customFormat="1">
      <c r="E343" s="1709"/>
      <c r="F343" s="1709"/>
      <c r="I343" s="1709"/>
      <c r="J343" s="1709"/>
      <c r="K343" s="1709"/>
      <c r="L343" s="1709"/>
      <c r="M343" s="1709"/>
      <c r="N343" s="1709"/>
      <c r="O343" s="1709"/>
      <c r="P343" s="1709"/>
      <c r="Q343" s="1709"/>
      <c r="R343" s="1709"/>
      <c r="S343" s="1709"/>
      <c r="T343" s="1709"/>
      <c r="U343" s="3370"/>
      <c r="V343" s="1709"/>
      <c r="W343" s="1709"/>
      <c r="X343" s="1709"/>
      <c r="Y343" s="1709"/>
      <c r="Z343" s="1709"/>
      <c r="AA343" s="1709"/>
    </row>
    <row r="344" spans="5:27" s="1704" customFormat="1">
      <c r="E344" s="1709"/>
      <c r="F344" s="1709"/>
      <c r="I344" s="1709"/>
      <c r="J344" s="1709"/>
      <c r="K344" s="1709"/>
      <c r="L344" s="1709"/>
      <c r="M344" s="1709"/>
      <c r="N344" s="1709"/>
      <c r="O344" s="1709"/>
      <c r="P344" s="1709"/>
      <c r="Q344" s="1709"/>
      <c r="R344" s="1709"/>
      <c r="S344" s="1709"/>
      <c r="T344" s="1709"/>
      <c r="U344" s="3370"/>
      <c r="V344" s="1709"/>
      <c r="W344" s="1709"/>
      <c r="X344" s="1709"/>
      <c r="Y344" s="1709"/>
      <c r="Z344" s="1709"/>
      <c r="AA344" s="1709"/>
    </row>
    <row r="345" spans="5:27" s="1704" customFormat="1">
      <c r="E345" s="1709"/>
      <c r="F345" s="1709"/>
      <c r="I345" s="1709"/>
      <c r="J345" s="1709"/>
      <c r="K345" s="1709"/>
      <c r="L345" s="1709"/>
      <c r="M345" s="1709"/>
      <c r="N345" s="1709"/>
      <c r="O345" s="1709"/>
      <c r="P345" s="1709"/>
      <c r="Q345" s="1709"/>
      <c r="R345" s="1709"/>
      <c r="S345" s="1709"/>
      <c r="T345" s="1709"/>
      <c r="U345" s="3370"/>
      <c r="V345" s="1709"/>
      <c r="W345" s="1709"/>
      <c r="X345" s="1709"/>
      <c r="Y345" s="1709"/>
      <c r="Z345" s="1709"/>
      <c r="AA345" s="1709"/>
    </row>
    <row r="346" spans="5:27" s="1704" customFormat="1">
      <c r="E346" s="1709"/>
      <c r="F346" s="1709"/>
      <c r="I346" s="1709"/>
      <c r="J346" s="1709"/>
      <c r="K346" s="1709"/>
      <c r="L346" s="1709"/>
      <c r="M346" s="1709"/>
      <c r="N346" s="1709"/>
      <c r="O346" s="1709"/>
      <c r="P346" s="1709"/>
      <c r="Q346" s="1709"/>
      <c r="R346" s="1709"/>
      <c r="S346" s="1709"/>
      <c r="T346" s="1709"/>
      <c r="U346" s="3370"/>
      <c r="V346" s="1709"/>
      <c r="W346" s="1709"/>
      <c r="X346" s="1709"/>
      <c r="Y346" s="1709"/>
      <c r="Z346" s="1709"/>
      <c r="AA346" s="1709"/>
    </row>
    <row r="347" spans="5:27" s="1704" customFormat="1">
      <c r="E347" s="1709"/>
      <c r="F347" s="1709"/>
      <c r="I347" s="1709"/>
      <c r="J347" s="1709"/>
      <c r="K347" s="1709"/>
      <c r="L347" s="1709"/>
      <c r="M347" s="1709"/>
      <c r="N347" s="1709"/>
      <c r="O347" s="1709"/>
      <c r="P347" s="1709"/>
      <c r="Q347" s="1709"/>
      <c r="R347" s="1709"/>
      <c r="S347" s="1709"/>
      <c r="T347" s="1709"/>
      <c r="U347" s="3370"/>
      <c r="V347" s="1709"/>
      <c r="W347" s="1709"/>
      <c r="X347" s="1709"/>
      <c r="Y347" s="1709"/>
      <c r="Z347" s="1709"/>
      <c r="AA347" s="1709"/>
    </row>
    <row r="348" spans="5:27" s="1704" customFormat="1">
      <c r="E348" s="1709"/>
      <c r="F348" s="1709"/>
      <c r="I348" s="1709"/>
      <c r="J348" s="1709"/>
      <c r="K348" s="1709"/>
      <c r="L348" s="1709"/>
      <c r="M348" s="1709"/>
      <c r="N348" s="1709"/>
      <c r="O348" s="1709"/>
      <c r="P348" s="1709"/>
      <c r="Q348" s="1709"/>
      <c r="R348" s="1709"/>
      <c r="S348" s="1709"/>
      <c r="T348" s="1709"/>
      <c r="U348" s="3370"/>
      <c r="V348" s="1709"/>
      <c r="W348" s="1709"/>
      <c r="X348" s="1709"/>
      <c r="Y348" s="1709"/>
      <c r="Z348" s="1709"/>
      <c r="AA348" s="1709"/>
    </row>
    <row r="349" spans="5:27" s="1704" customFormat="1">
      <c r="E349" s="1709"/>
      <c r="F349" s="1709"/>
      <c r="I349" s="1709"/>
      <c r="J349" s="1709"/>
      <c r="K349" s="1709"/>
      <c r="L349" s="1709"/>
      <c r="M349" s="1709"/>
      <c r="N349" s="1709"/>
      <c r="O349" s="1709"/>
      <c r="P349" s="1709"/>
      <c r="Q349" s="1709"/>
      <c r="R349" s="1709"/>
      <c r="S349" s="1709"/>
      <c r="T349" s="1709"/>
      <c r="U349" s="3370"/>
      <c r="V349" s="1709"/>
      <c r="W349" s="1709"/>
      <c r="X349" s="1709"/>
      <c r="Y349" s="1709"/>
      <c r="Z349" s="1709"/>
      <c r="AA349" s="1709"/>
    </row>
    <row r="350" spans="5:27" s="1704" customFormat="1">
      <c r="E350" s="1709"/>
      <c r="F350" s="1709"/>
      <c r="I350" s="1709"/>
      <c r="J350" s="1709"/>
      <c r="K350" s="1709"/>
      <c r="L350" s="1709"/>
      <c r="M350" s="1709"/>
      <c r="N350" s="1709"/>
      <c r="O350" s="1709"/>
      <c r="P350" s="1709"/>
      <c r="Q350" s="1709"/>
      <c r="R350" s="1709"/>
      <c r="S350" s="1709"/>
      <c r="T350" s="1709"/>
      <c r="U350" s="3370"/>
      <c r="V350" s="1709"/>
      <c r="W350" s="1709"/>
      <c r="X350" s="1709"/>
      <c r="Y350" s="1709"/>
      <c r="Z350" s="1709"/>
      <c r="AA350" s="1709"/>
    </row>
    <row r="351" spans="5:27" s="1704" customFormat="1">
      <c r="E351" s="1709"/>
      <c r="F351" s="1709"/>
      <c r="I351" s="1709"/>
      <c r="J351" s="1709"/>
      <c r="K351" s="1709"/>
      <c r="L351" s="1709"/>
      <c r="M351" s="1709"/>
      <c r="N351" s="1709"/>
      <c r="O351" s="1709"/>
      <c r="P351" s="1709"/>
      <c r="Q351" s="1709"/>
      <c r="R351" s="1709"/>
      <c r="S351" s="1709"/>
      <c r="T351" s="1709"/>
      <c r="U351" s="3370"/>
      <c r="V351" s="1709"/>
      <c r="W351" s="1709"/>
      <c r="X351" s="1709"/>
      <c r="Y351" s="1709"/>
      <c r="Z351" s="1709"/>
      <c r="AA351" s="1709"/>
    </row>
    <row r="352" spans="5:27" s="1704" customFormat="1">
      <c r="E352" s="1709"/>
      <c r="F352" s="1709"/>
      <c r="I352" s="1709"/>
      <c r="J352" s="1709"/>
      <c r="K352" s="1709"/>
      <c r="L352" s="1709"/>
      <c r="M352" s="1709"/>
      <c r="N352" s="1709"/>
      <c r="O352" s="1709"/>
      <c r="P352" s="1709"/>
      <c r="Q352" s="1709"/>
      <c r="R352" s="1709"/>
      <c r="S352" s="1709"/>
      <c r="T352" s="1709"/>
      <c r="U352" s="3370"/>
      <c r="V352" s="1709"/>
      <c r="W352" s="1709"/>
      <c r="X352" s="1709"/>
      <c r="Y352" s="1709"/>
      <c r="Z352" s="1709"/>
      <c r="AA352" s="1709"/>
    </row>
    <row r="353" spans="5:27" s="1704" customFormat="1">
      <c r="E353" s="1709"/>
      <c r="F353" s="1709"/>
      <c r="I353" s="1709"/>
      <c r="J353" s="1709"/>
      <c r="K353" s="1709"/>
      <c r="L353" s="1709"/>
      <c r="M353" s="1709"/>
      <c r="N353" s="1709"/>
      <c r="O353" s="1709"/>
      <c r="P353" s="1709"/>
      <c r="Q353" s="1709"/>
      <c r="R353" s="1709"/>
      <c r="S353" s="1709"/>
      <c r="T353" s="1709"/>
      <c r="U353" s="3370"/>
      <c r="V353" s="1709"/>
      <c r="W353" s="1709"/>
      <c r="X353" s="1709"/>
      <c r="Y353" s="1709"/>
      <c r="Z353" s="1709"/>
      <c r="AA353" s="1709"/>
    </row>
    <row r="354" spans="5:27" s="1704" customFormat="1">
      <c r="E354" s="1709"/>
      <c r="F354" s="1709"/>
      <c r="I354" s="1709"/>
      <c r="J354" s="1709"/>
      <c r="K354" s="1709"/>
      <c r="L354" s="1709"/>
      <c r="M354" s="1709"/>
      <c r="N354" s="1709"/>
      <c r="O354" s="1709"/>
      <c r="P354" s="1709"/>
      <c r="Q354" s="1709"/>
      <c r="R354" s="1709"/>
      <c r="S354" s="1709"/>
      <c r="T354" s="1709"/>
      <c r="U354" s="3370"/>
      <c r="V354" s="1709"/>
      <c r="W354" s="1709"/>
      <c r="X354" s="1709"/>
      <c r="Y354" s="1709"/>
      <c r="Z354" s="1709"/>
      <c r="AA354" s="1709"/>
    </row>
    <row r="355" spans="5:27" s="1704" customFormat="1">
      <c r="E355" s="1709"/>
      <c r="F355" s="1709"/>
      <c r="I355" s="1709"/>
      <c r="J355" s="1709"/>
      <c r="K355" s="1709"/>
      <c r="L355" s="1709"/>
      <c r="M355" s="1709"/>
      <c r="N355" s="1709"/>
      <c r="O355" s="1709"/>
      <c r="P355" s="1709"/>
      <c r="Q355" s="1709"/>
      <c r="R355" s="1709"/>
      <c r="S355" s="1709"/>
      <c r="T355" s="1709"/>
      <c r="U355" s="3370"/>
      <c r="V355" s="1709"/>
      <c r="W355" s="1709"/>
      <c r="X355" s="1709"/>
      <c r="Y355" s="1709"/>
      <c r="Z355" s="1709"/>
      <c r="AA355" s="1709"/>
    </row>
    <row r="356" spans="5:27" s="1704" customFormat="1">
      <c r="E356" s="1709"/>
      <c r="F356" s="1709"/>
      <c r="I356" s="1709"/>
      <c r="J356" s="1709"/>
      <c r="K356" s="1709"/>
      <c r="L356" s="1709"/>
      <c r="M356" s="1709"/>
      <c r="N356" s="1709"/>
      <c r="O356" s="1709"/>
      <c r="P356" s="1709"/>
      <c r="Q356" s="1709"/>
      <c r="R356" s="1709"/>
      <c r="S356" s="1709"/>
      <c r="T356" s="1709"/>
      <c r="U356" s="3370"/>
      <c r="V356" s="1709"/>
      <c r="W356" s="1709"/>
      <c r="X356" s="1709"/>
      <c r="Y356" s="1709"/>
      <c r="Z356" s="1709"/>
      <c r="AA356" s="1709"/>
    </row>
    <row r="357" spans="5:27" s="1704" customFormat="1">
      <c r="E357" s="1709"/>
      <c r="F357" s="1709"/>
      <c r="I357" s="1709"/>
      <c r="J357" s="1709"/>
      <c r="K357" s="1709"/>
      <c r="L357" s="1709"/>
      <c r="M357" s="1709"/>
      <c r="N357" s="1709"/>
      <c r="O357" s="1709"/>
      <c r="P357" s="1709"/>
      <c r="Q357" s="1709"/>
      <c r="R357" s="1709"/>
      <c r="S357" s="1709"/>
      <c r="T357" s="1709"/>
      <c r="U357" s="3370"/>
      <c r="V357" s="1709"/>
      <c r="W357" s="1709"/>
      <c r="X357" s="1709"/>
      <c r="Y357" s="1709"/>
      <c r="Z357" s="1709"/>
      <c r="AA357" s="1709"/>
    </row>
    <row r="358" spans="5:27" s="1704" customFormat="1">
      <c r="E358" s="1709"/>
      <c r="F358" s="1709"/>
      <c r="I358" s="1709"/>
      <c r="J358" s="1709"/>
      <c r="K358" s="1709"/>
      <c r="L358" s="1709"/>
      <c r="M358" s="1709"/>
      <c r="N358" s="1709"/>
      <c r="O358" s="1709"/>
      <c r="P358" s="1709"/>
      <c r="Q358" s="1709"/>
      <c r="R358" s="1709"/>
      <c r="S358" s="1709"/>
      <c r="T358" s="1709"/>
      <c r="U358" s="3370"/>
      <c r="V358" s="1709"/>
      <c r="W358" s="1709"/>
      <c r="X358" s="1709"/>
      <c r="Y358" s="1709"/>
      <c r="Z358" s="1709"/>
      <c r="AA358" s="1709"/>
    </row>
    <row r="359" spans="5:27" s="1704" customFormat="1">
      <c r="E359" s="1709"/>
      <c r="F359" s="1709"/>
      <c r="I359" s="1709"/>
      <c r="J359" s="1709"/>
      <c r="K359" s="1709"/>
      <c r="L359" s="1709"/>
      <c r="M359" s="1709"/>
      <c r="N359" s="1709"/>
      <c r="O359" s="1709"/>
      <c r="P359" s="1709"/>
      <c r="Q359" s="1709"/>
      <c r="R359" s="1709"/>
      <c r="S359" s="1709"/>
      <c r="T359" s="1709"/>
      <c r="U359" s="3370"/>
      <c r="V359" s="1709"/>
      <c r="W359" s="1709"/>
      <c r="X359" s="1709"/>
      <c r="Y359" s="1709"/>
      <c r="Z359" s="1709"/>
      <c r="AA359" s="1709"/>
    </row>
    <row r="360" spans="5:27" s="1704" customFormat="1">
      <c r="E360" s="1709"/>
      <c r="F360" s="1709"/>
      <c r="I360" s="1709"/>
      <c r="J360" s="1709"/>
      <c r="K360" s="1709"/>
      <c r="L360" s="1709"/>
      <c r="M360" s="1709"/>
      <c r="N360" s="1709"/>
      <c r="O360" s="1709"/>
      <c r="P360" s="1709"/>
      <c r="Q360" s="1709"/>
      <c r="R360" s="1709"/>
      <c r="S360" s="1709"/>
      <c r="T360" s="1709"/>
      <c r="U360" s="3370"/>
      <c r="V360" s="1709"/>
      <c r="W360" s="1709"/>
      <c r="X360" s="1709"/>
      <c r="Y360" s="1709"/>
      <c r="Z360" s="1709"/>
      <c r="AA360" s="1709"/>
    </row>
    <row r="361" spans="5:27" s="1704" customFormat="1">
      <c r="E361" s="1709"/>
      <c r="F361" s="1709"/>
      <c r="I361" s="1709"/>
      <c r="J361" s="1709"/>
      <c r="K361" s="1709"/>
      <c r="L361" s="1709"/>
      <c r="M361" s="1709"/>
      <c r="N361" s="1709"/>
      <c r="O361" s="1709"/>
      <c r="P361" s="1709"/>
      <c r="Q361" s="1709"/>
      <c r="R361" s="1709"/>
      <c r="S361" s="1709"/>
      <c r="T361" s="1709"/>
      <c r="U361" s="3370"/>
      <c r="V361" s="1709"/>
      <c r="W361" s="1709"/>
      <c r="X361" s="1709"/>
      <c r="Y361" s="1709"/>
      <c r="Z361" s="1709"/>
      <c r="AA361" s="1709"/>
    </row>
    <row r="362" spans="5:27" s="1704" customFormat="1">
      <c r="E362" s="1709"/>
      <c r="F362" s="1709"/>
      <c r="I362" s="1709"/>
      <c r="J362" s="1709"/>
      <c r="K362" s="1709"/>
      <c r="L362" s="1709"/>
      <c r="M362" s="1709"/>
      <c r="N362" s="1709"/>
      <c r="O362" s="1709"/>
      <c r="P362" s="1709"/>
      <c r="Q362" s="1709"/>
      <c r="R362" s="1709"/>
      <c r="S362" s="1709"/>
      <c r="T362" s="1709"/>
      <c r="U362" s="3370"/>
      <c r="V362" s="1709"/>
      <c r="W362" s="1709"/>
      <c r="X362" s="1709"/>
      <c r="Y362" s="1709"/>
      <c r="Z362" s="1709"/>
      <c r="AA362" s="1709"/>
    </row>
    <row r="363" spans="5:27" s="1704" customFormat="1">
      <c r="E363" s="1709"/>
      <c r="F363" s="1709"/>
      <c r="I363" s="1709"/>
      <c r="J363" s="1709"/>
      <c r="K363" s="1709"/>
      <c r="L363" s="1709"/>
      <c r="M363" s="1709"/>
      <c r="N363" s="1709"/>
      <c r="O363" s="1709"/>
      <c r="P363" s="1709"/>
      <c r="Q363" s="1709"/>
      <c r="R363" s="1709"/>
      <c r="S363" s="1709"/>
      <c r="T363" s="1709"/>
      <c r="U363" s="3370"/>
      <c r="V363" s="1709"/>
      <c r="W363" s="1709"/>
      <c r="X363" s="1709"/>
      <c r="Y363" s="1709"/>
      <c r="Z363" s="1709"/>
      <c r="AA363" s="1709"/>
    </row>
    <row r="364" spans="5:27" s="1704" customFormat="1">
      <c r="E364" s="1709"/>
      <c r="F364" s="1709"/>
      <c r="I364" s="1709"/>
      <c r="J364" s="1709"/>
      <c r="K364" s="1709"/>
      <c r="L364" s="1709"/>
      <c r="M364" s="1709"/>
      <c r="N364" s="1709"/>
      <c r="O364" s="1709"/>
      <c r="P364" s="1709"/>
      <c r="Q364" s="1709"/>
      <c r="R364" s="1709"/>
      <c r="S364" s="1709"/>
      <c r="T364" s="1709"/>
      <c r="U364" s="3370"/>
      <c r="V364" s="1709"/>
      <c r="W364" s="1709"/>
      <c r="X364" s="1709"/>
      <c r="Y364" s="1709"/>
      <c r="Z364" s="1709"/>
      <c r="AA364" s="1709"/>
    </row>
    <row r="365" spans="5:27" s="1704" customFormat="1">
      <c r="E365" s="1709"/>
      <c r="F365" s="1709"/>
      <c r="I365" s="1709"/>
      <c r="J365" s="1709"/>
      <c r="K365" s="1709"/>
      <c r="L365" s="1709"/>
      <c r="M365" s="1709"/>
      <c r="N365" s="1709"/>
      <c r="O365" s="1709"/>
      <c r="P365" s="1709"/>
      <c r="Q365" s="1709"/>
      <c r="R365" s="1709"/>
      <c r="S365" s="1709"/>
      <c r="T365" s="1709"/>
      <c r="U365" s="3370"/>
      <c r="V365" s="1709"/>
      <c r="W365" s="1709"/>
      <c r="X365" s="1709"/>
      <c r="Y365" s="1709"/>
      <c r="Z365" s="1709"/>
      <c r="AA365" s="1709"/>
    </row>
    <row r="366" spans="5:27" s="1704" customFormat="1">
      <c r="E366" s="1709"/>
      <c r="F366" s="1709"/>
      <c r="I366" s="1709"/>
      <c r="J366" s="1709"/>
      <c r="K366" s="1709"/>
      <c r="L366" s="1709"/>
      <c r="M366" s="1709"/>
      <c r="N366" s="1709"/>
      <c r="O366" s="1709"/>
      <c r="P366" s="1709"/>
      <c r="Q366" s="1709"/>
      <c r="R366" s="1709"/>
      <c r="S366" s="1709"/>
      <c r="T366" s="1709"/>
      <c r="U366" s="3370"/>
      <c r="V366" s="1709"/>
      <c r="W366" s="1709"/>
      <c r="X366" s="1709"/>
      <c r="Y366" s="1709"/>
      <c r="Z366" s="1709"/>
      <c r="AA366" s="1709"/>
    </row>
    <row r="367" spans="5:27" s="1704" customFormat="1">
      <c r="E367" s="1709"/>
      <c r="F367" s="1709"/>
      <c r="I367" s="1709"/>
      <c r="J367" s="1709"/>
      <c r="K367" s="1709"/>
      <c r="L367" s="1709"/>
      <c r="M367" s="1709"/>
      <c r="N367" s="1709"/>
      <c r="O367" s="1709"/>
      <c r="P367" s="1709"/>
      <c r="Q367" s="1709"/>
      <c r="R367" s="1709"/>
      <c r="S367" s="1709"/>
      <c r="T367" s="1709"/>
      <c r="U367" s="3370"/>
      <c r="V367" s="1709"/>
      <c r="W367" s="1709"/>
      <c r="X367" s="1709"/>
      <c r="Y367" s="1709"/>
      <c r="Z367" s="1709"/>
      <c r="AA367" s="1709"/>
    </row>
    <row r="368" spans="5:27" s="1704" customFormat="1">
      <c r="E368" s="1709"/>
      <c r="F368" s="1709"/>
      <c r="I368" s="1709"/>
      <c r="J368" s="1709"/>
      <c r="K368" s="1709"/>
      <c r="L368" s="1709"/>
      <c r="M368" s="1709"/>
      <c r="N368" s="1709"/>
      <c r="O368" s="1709"/>
      <c r="P368" s="1709"/>
      <c r="Q368" s="1709"/>
      <c r="R368" s="1709"/>
      <c r="S368" s="1709"/>
      <c r="T368" s="1709"/>
      <c r="U368" s="3370"/>
      <c r="V368" s="1709"/>
      <c r="W368" s="1709"/>
      <c r="X368" s="1709"/>
      <c r="Y368" s="1709"/>
      <c r="Z368" s="1709"/>
      <c r="AA368" s="1709"/>
    </row>
    <row r="369" spans="5:27" s="1704" customFormat="1">
      <c r="E369" s="1709"/>
      <c r="F369" s="1709"/>
      <c r="I369" s="1709"/>
      <c r="J369" s="1709"/>
      <c r="K369" s="1709"/>
      <c r="L369" s="1709"/>
      <c r="M369" s="1709"/>
      <c r="N369" s="1709"/>
      <c r="O369" s="1709"/>
      <c r="P369" s="1709"/>
      <c r="Q369" s="1709"/>
      <c r="R369" s="1709"/>
      <c r="S369" s="1709"/>
      <c r="T369" s="1709"/>
      <c r="U369" s="3370"/>
      <c r="V369" s="1709"/>
      <c r="W369" s="1709"/>
      <c r="X369" s="1709"/>
      <c r="Y369" s="1709"/>
      <c r="Z369" s="1709"/>
      <c r="AA369" s="1709"/>
    </row>
    <row r="370" spans="5:27" s="1704" customFormat="1">
      <c r="E370" s="1709"/>
      <c r="F370" s="1709"/>
      <c r="I370" s="1709"/>
      <c r="J370" s="1709"/>
      <c r="K370" s="1709"/>
      <c r="L370" s="1709"/>
      <c r="M370" s="1709"/>
      <c r="N370" s="1709"/>
      <c r="O370" s="1709"/>
      <c r="P370" s="1709"/>
      <c r="Q370" s="1709"/>
      <c r="R370" s="1709"/>
      <c r="S370" s="1709"/>
      <c r="T370" s="1709"/>
      <c r="U370" s="3370"/>
      <c r="V370" s="1709"/>
      <c r="W370" s="1709"/>
      <c r="X370" s="1709"/>
      <c r="Y370" s="1709"/>
      <c r="Z370" s="1709"/>
      <c r="AA370" s="1709"/>
    </row>
    <row r="371" spans="5:27" s="1704" customFormat="1">
      <c r="E371" s="1709"/>
      <c r="F371" s="1709"/>
      <c r="I371" s="1709"/>
      <c r="J371" s="1709"/>
      <c r="K371" s="1709"/>
      <c r="L371" s="1709"/>
      <c r="M371" s="1709"/>
      <c r="N371" s="1709"/>
      <c r="O371" s="1709"/>
      <c r="P371" s="1709"/>
      <c r="Q371" s="1709"/>
      <c r="R371" s="1709"/>
      <c r="S371" s="1709"/>
      <c r="T371" s="1709"/>
      <c r="U371" s="3370"/>
      <c r="V371" s="1709"/>
      <c r="W371" s="1709"/>
      <c r="X371" s="1709"/>
      <c r="Y371" s="1709"/>
      <c r="Z371" s="1709"/>
      <c r="AA371" s="1709"/>
    </row>
    <row r="372" spans="5:27" s="1704" customFormat="1">
      <c r="E372" s="1709"/>
      <c r="F372" s="1709"/>
      <c r="I372" s="1709"/>
      <c r="J372" s="1709"/>
      <c r="K372" s="1709"/>
      <c r="L372" s="1709"/>
      <c r="M372" s="1709"/>
      <c r="N372" s="1709"/>
      <c r="O372" s="1709"/>
      <c r="P372" s="1709"/>
      <c r="Q372" s="1709"/>
      <c r="R372" s="1709"/>
      <c r="S372" s="1709"/>
      <c r="T372" s="1709"/>
      <c r="U372" s="3370"/>
      <c r="V372" s="1709"/>
      <c r="W372" s="1709"/>
      <c r="X372" s="1709"/>
      <c r="Y372" s="1709"/>
      <c r="Z372" s="1709"/>
      <c r="AA372" s="1709"/>
    </row>
    <row r="373" spans="5:27" s="1704" customFormat="1">
      <c r="E373" s="1709"/>
      <c r="F373" s="1709"/>
      <c r="I373" s="1709"/>
      <c r="J373" s="1709"/>
      <c r="K373" s="1709"/>
      <c r="L373" s="1709"/>
      <c r="M373" s="1709"/>
      <c r="N373" s="1709"/>
      <c r="O373" s="1709"/>
      <c r="P373" s="1709"/>
      <c r="Q373" s="1709"/>
      <c r="R373" s="1709"/>
      <c r="S373" s="1709"/>
      <c r="T373" s="1709"/>
      <c r="U373" s="3370"/>
      <c r="V373" s="1709"/>
      <c r="W373" s="1709"/>
      <c r="X373" s="1709"/>
      <c r="Y373" s="1709"/>
      <c r="Z373" s="1709"/>
      <c r="AA373" s="1709"/>
    </row>
    <row r="374" spans="5:27" s="1704" customFormat="1">
      <c r="E374" s="1709"/>
      <c r="F374" s="1709"/>
      <c r="I374" s="1709"/>
      <c r="J374" s="1709"/>
      <c r="K374" s="1709"/>
      <c r="L374" s="1709"/>
      <c r="M374" s="1709"/>
      <c r="N374" s="1709"/>
      <c r="O374" s="1709"/>
      <c r="P374" s="1709"/>
      <c r="Q374" s="1709"/>
      <c r="R374" s="1709"/>
      <c r="S374" s="1709"/>
      <c r="T374" s="1709"/>
      <c r="U374" s="3370"/>
      <c r="V374" s="1709"/>
      <c r="W374" s="1709"/>
      <c r="X374" s="1709"/>
      <c r="Y374" s="1709"/>
      <c r="Z374" s="1709"/>
      <c r="AA374" s="1709"/>
    </row>
    <row r="375" spans="5:27" s="1704" customFormat="1">
      <c r="E375" s="1709"/>
      <c r="F375" s="1709"/>
      <c r="I375" s="1709"/>
      <c r="J375" s="1709"/>
      <c r="K375" s="1709"/>
      <c r="L375" s="1709"/>
      <c r="M375" s="1709"/>
      <c r="N375" s="1709"/>
      <c r="O375" s="1709"/>
      <c r="P375" s="1709"/>
      <c r="Q375" s="1709"/>
      <c r="R375" s="1709"/>
      <c r="S375" s="1709"/>
      <c r="T375" s="1709"/>
      <c r="U375" s="3370"/>
      <c r="V375" s="1709"/>
      <c r="W375" s="1709"/>
      <c r="X375" s="1709"/>
      <c r="Y375" s="1709"/>
      <c r="Z375" s="1709"/>
      <c r="AA375" s="1709"/>
    </row>
    <row r="376" spans="5:27" s="1704" customFormat="1">
      <c r="E376" s="1709"/>
      <c r="F376" s="1709"/>
      <c r="I376" s="1709"/>
      <c r="J376" s="1709"/>
      <c r="K376" s="1709"/>
      <c r="L376" s="1709"/>
      <c r="M376" s="1709"/>
      <c r="N376" s="1709"/>
      <c r="O376" s="1709"/>
      <c r="P376" s="1709"/>
      <c r="Q376" s="1709"/>
      <c r="R376" s="1709"/>
      <c r="S376" s="1709"/>
      <c r="T376" s="1709"/>
      <c r="U376" s="3370"/>
      <c r="V376" s="1709"/>
      <c r="W376" s="1709"/>
      <c r="X376" s="1709"/>
      <c r="Y376" s="1709"/>
      <c r="Z376" s="1709"/>
      <c r="AA376" s="1709"/>
    </row>
    <row r="377" spans="5:27" s="1704" customFormat="1">
      <c r="E377" s="1709"/>
      <c r="F377" s="1709"/>
      <c r="I377" s="1709"/>
      <c r="J377" s="1709"/>
      <c r="K377" s="1709"/>
      <c r="L377" s="1709"/>
      <c r="M377" s="1709"/>
      <c r="N377" s="1709"/>
      <c r="O377" s="1709"/>
      <c r="P377" s="1709"/>
      <c r="Q377" s="1709"/>
      <c r="R377" s="1709"/>
      <c r="S377" s="1709"/>
      <c r="T377" s="1709"/>
      <c r="U377" s="3370"/>
      <c r="V377" s="1709"/>
      <c r="W377" s="1709"/>
      <c r="X377" s="1709"/>
      <c r="Y377" s="1709"/>
      <c r="Z377" s="1709"/>
      <c r="AA377" s="1709"/>
    </row>
    <row r="378" spans="5:27" s="1704" customFormat="1">
      <c r="E378" s="1709"/>
      <c r="F378" s="1709"/>
      <c r="I378" s="1709"/>
      <c r="J378" s="1709"/>
      <c r="K378" s="1709"/>
      <c r="L378" s="1709"/>
      <c r="M378" s="1709"/>
      <c r="N378" s="1709"/>
      <c r="O378" s="1709"/>
      <c r="P378" s="1709"/>
      <c r="Q378" s="1709"/>
      <c r="R378" s="1709"/>
      <c r="S378" s="1709"/>
      <c r="T378" s="1709"/>
      <c r="U378" s="3370"/>
      <c r="V378" s="1709"/>
      <c r="W378" s="1709"/>
      <c r="X378" s="1709"/>
      <c r="Y378" s="1709"/>
      <c r="Z378" s="1709"/>
      <c r="AA378" s="1709"/>
    </row>
    <row r="379" spans="5:27" s="1704" customFormat="1">
      <c r="E379" s="1709"/>
      <c r="F379" s="1709"/>
      <c r="I379" s="1709"/>
      <c r="J379" s="1709"/>
      <c r="K379" s="1709"/>
      <c r="L379" s="1709"/>
      <c r="M379" s="1709"/>
      <c r="N379" s="1709"/>
      <c r="O379" s="1709"/>
      <c r="P379" s="1709"/>
      <c r="Q379" s="1709"/>
      <c r="R379" s="1709"/>
      <c r="S379" s="1709"/>
      <c r="T379" s="1709"/>
      <c r="U379" s="3370"/>
      <c r="V379" s="1709"/>
      <c r="W379" s="1709"/>
      <c r="X379" s="1709"/>
      <c r="Y379" s="1709"/>
      <c r="Z379" s="1709"/>
      <c r="AA379" s="1709"/>
    </row>
  </sheetData>
  <sheetProtection algorithmName="SHA-512" hashValue="XGGgno/ynPEExs+vStHNUrAPTIlfYLCLc8vLd1vKU4JewvNBhD5rbBPtPE/9BieXTk+8F2SLt27tyTCoXzFJdg==" saltValue="YFOl7vJKfgYdenWxNOafdw==" spinCount="100000" sheet="1" objects="1" scenarios="1" formatCells="0" formatColumns="0" formatRows="0"/>
  <mergeCells count="13">
    <mergeCell ref="Z35:AA35"/>
    <mergeCell ref="Z11:AA11"/>
    <mergeCell ref="Z12:AA12"/>
    <mergeCell ref="Z22:AA22"/>
    <mergeCell ref="Z23:AA23"/>
    <mergeCell ref="Z34:AA34"/>
    <mergeCell ref="L162:M163"/>
    <mergeCell ref="P162:Q163"/>
    <mergeCell ref="K164:M164"/>
    <mergeCell ref="O164:Q164"/>
    <mergeCell ref="F116:Q118"/>
    <mergeCell ref="F130:H131"/>
    <mergeCell ref="F146:H147"/>
  </mergeCells>
  <dataValidations count="5">
    <dataValidation type="decimal" operator="lessThan" allowBlank="1" showInputMessage="1" showErrorMessage="1" sqref="M166:M168">
      <formula1>100</formula1>
    </dataValidation>
    <dataValidation type="decimal" operator="greaterThanOrEqual" allowBlank="1" showInputMessage="1" showErrorMessage="1" sqref="P149:P151 H126:H128 L126:L128 T126:U128 L133:L135 P126:P128 P133:P135 L149:L151 Q166:Q168 H158:H162 L158:L161 T158:U162 P158:P161 H142:H144 L142:L144 T142:U144 P142:P144">
      <formula1>0</formula1>
    </dataValidation>
    <dataValidation type="list" allowBlank="1" showInputMessage="1" showErrorMessage="1" sqref="I25:I27 K25:K27 I37:I39 K37:K39">
      <formula1>dyn_simple</formula1>
    </dataValidation>
    <dataValidation type="list" allowBlank="1" showInputMessage="1" showErrorMessage="1" sqref="H133:H134 H164 H149:H150">
      <formula1>YES_NO</formula1>
    </dataValidation>
    <dataValidation type="decimal" allowBlank="1" showInputMessage="1" showErrorMessage="1" sqref="H14 J14 R25 J25 F25 H25">
      <formula1>0</formula1>
      <formula2>1</formula2>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ignoredErrors>
    <ignoredError sqref="Q14:Q16" unlockedFormula="1"/>
    <ignoredError sqref="J143"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91"/>
  <sheetViews>
    <sheetView topLeftCell="A10" workbookViewId="0">
      <selection activeCell="H31" sqref="H31"/>
    </sheetView>
  </sheetViews>
  <sheetFormatPr defaultColWidth="11.5703125" defaultRowHeight="12.75"/>
  <cols>
    <col min="1" max="1" width="1.42578125" style="2701" customWidth="1"/>
    <col min="2" max="2" width="8.85546875" style="2701" customWidth="1"/>
    <col min="3" max="3" width="4.42578125" style="2701" customWidth="1"/>
    <col min="4" max="4" width="2.140625" style="2701" customWidth="1"/>
    <col min="5" max="5" width="2.7109375" style="2701" customWidth="1"/>
    <col min="6" max="6" width="9.7109375" style="2701" customWidth="1"/>
    <col min="7" max="7" width="2.140625" style="2701" customWidth="1"/>
    <col min="8" max="8" width="7.28515625" style="2701" customWidth="1"/>
    <col min="9" max="9" width="8.42578125" style="2701" customWidth="1"/>
    <col min="10" max="10" width="6.28515625" style="2701" customWidth="1"/>
    <col min="11" max="11" width="8.28515625" style="2701" customWidth="1"/>
    <col min="12" max="12" width="8.85546875" style="2701" customWidth="1"/>
    <col min="13" max="13" width="13.140625" style="2701" customWidth="1"/>
    <col min="14" max="14" width="11.140625" style="2701" customWidth="1"/>
    <col min="15" max="15" width="8.7109375" style="2701" bestFit="1" customWidth="1"/>
    <col min="16" max="16" width="15.7109375" style="2701" bestFit="1" customWidth="1"/>
    <col min="17" max="17" width="13.28515625" style="2701" customWidth="1"/>
    <col min="18" max="18" width="14.140625" style="2701" customWidth="1"/>
    <col min="19" max="19" width="11.5703125" style="2701"/>
    <col min="20" max="20" width="3.28515625" style="2701" customWidth="1"/>
    <col min="21" max="16384" width="11.5703125" style="2701"/>
  </cols>
  <sheetData>
    <row r="1" spans="2:18" s="3227" customFormat="1"/>
    <row r="2" spans="2:18" s="3227" customFormat="1"/>
    <row r="3" spans="2:18" s="3227" customFormat="1"/>
    <row r="4" spans="2:18" s="3227" customFormat="1"/>
    <row r="5" spans="2:18" s="3227" customFormat="1"/>
    <row r="6" spans="2:18">
      <c r="B6" s="3242" t="str">
        <f>'6. Coastal'!B9</f>
        <v>6.1.1. Extraction and Excavation (port constuction, construction of aquaculture or salt production ponds,…)</v>
      </c>
      <c r="C6" s="3242"/>
      <c r="D6" s="3242"/>
      <c r="E6" s="3242"/>
      <c r="F6" s="3242"/>
      <c r="G6" s="3242"/>
      <c r="H6" s="3242"/>
      <c r="I6" s="3242"/>
      <c r="J6" s="3242"/>
      <c r="K6" s="3242"/>
      <c r="L6" s="3242"/>
      <c r="M6" s="3242"/>
      <c r="N6" s="3242"/>
      <c r="O6" s="3242"/>
      <c r="P6" s="3242"/>
      <c r="Q6" s="3242"/>
      <c r="R6" s="3242"/>
    </row>
    <row r="7" spans="2:18">
      <c r="B7" s="3228" t="str">
        <f>'6. Coastal'!B11</f>
        <v>Type of vegetation</v>
      </c>
      <c r="C7" s="2067"/>
      <c r="D7" s="2067"/>
      <c r="E7" s="2067"/>
      <c r="F7" s="3228" t="s">
        <v>5653</v>
      </c>
      <c r="G7" s="2067"/>
      <c r="H7" s="3228" t="s">
        <v>5686</v>
      </c>
      <c r="I7" s="2067"/>
      <c r="J7" s="3228" t="s">
        <v>495</v>
      </c>
      <c r="K7" s="2067"/>
      <c r="L7" s="3228" t="s">
        <v>499</v>
      </c>
      <c r="M7" s="2067"/>
      <c r="N7" s="3228" t="s">
        <v>5687</v>
      </c>
      <c r="O7" s="2067"/>
      <c r="P7" s="2067"/>
      <c r="Q7" s="2067"/>
      <c r="R7" s="2067"/>
    </row>
    <row r="8" spans="2:18">
      <c r="B8" s="3228"/>
      <c r="C8" s="2067"/>
      <c r="D8" s="2067"/>
      <c r="E8" s="2067"/>
      <c r="F8" s="2067"/>
      <c r="G8" s="2067"/>
      <c r="H8" s="2067"/>
      <c r="I8" s="2067"/>
      <c r="J8" s="2067"/>
      <c r="K8" s="2067"/>
      <c r="L8" s="2067"/>
      <c r="M8" s="2067"/>
      <c r="N8" s="2067"/>
      <c r="O8" s="2067"/>
      <c r="P8" s="2067"/>
      <c r="Q8" s="2067"/>
      <c r="R8" s="2067"/>
    </row>
    <row r="9" spans="2:18">
      <c r="B9" s="3229" t="str">
        <f>'6. Coastal'!B14</f>
        <v>Mangrove</v>
      </c>
      <c r="C9" s="3218"/>
      <c r="D9" s="3218"/>
      <c r="E9" s="3218"/>
      <c r="F9" s="3375">
        <f>IF('6. Coastal'!H126="",'6. Coastal'!F126,'6. Coastal'!H126)</f>
        <v>0</v>
      </c>
      <c r="G9" s="3218"/>
      <c r="H9" s="3375">
        <f>IF('6. Coastal'!L126="",'6. Coastal'!J126,'6. Coastal'!L126)</f>
        <v>0</v>
      </c>
      <c r="I9" s="3218"/>
      <c r="J9" s="3218">
        <f>IF('6. Coastal'!P126="",'6. Coastal'!N126,'6. Coastal'!P126)</f>
        <v>0</v>
      </c>
      <c r="K9" s="3218"/>
      <c r="L9" s="3217">
        <f>IF('6. Coastal'!T126="",'6. Coastal'!R126,'6. Coastal'!T126)</f>
        <v>0</v>
      </c>
      <c r="M9" s="3218"/>
      <c r="N9" s="3375">
        <f>IF('6. Coastal'!L133="",'6. Coastal'!J133,'6. Coastal'!L133)*IF('6. Coastal'!P133="",'6. Coastal'!N133,'6. Coastal'!P133)</f>
        <v>0</v>
      </c>
      <c r="O9" s="3218"/>
      <c r="P9" s="3218"/>
      <c r="Q9" s="3218"/>
      <c r="R9" s="3218"/>
    </row>
    <row r="10" spans="2:18">
      <c r="B10" s="3229" t="str">
        <f>'6. Coastal'!B15</f>
        <v>Tidal marsh</v>
      </c>
      <c r="C10" s="3218"/>
      <c r="D10" s="3218"/>
      <c r="E10" s="3218"/>
      <c r="F10" s="3375">
        <f>IF('6. Coastal'!H127="",'6. Coastal'!F127,'6. Coastal'!H127)</f>
        <v>0</v>
      </c>
      <c r="G10" s="3218"/>
      <c r="H10" s="3375">
        <f>IF('6. Coastal'!L127="",'6. Coastal'!J127,'6. Coastal'!L127)</f>
        <v>0</v>
      </c>
      <c r="I10" s="3218"/>
      <c r="J10" s="3218">
        <f>IF('6. Coastal'!P127="",'6. Coastal'!N127,'6. Coastal'!P127)</f>
        <v>0</v>
      </c>
      <c r="K10" s="3218"/>
      <c r="L10" s="3217">
        <f>IF('6. Coastal'!T127="",'6. Coastal'!R127,'6. Coastal'!T127)</f>
        <v>0</v>
      </c>
      <c r="M10" s="3218"/>
      <c r="N10" s="3375">
        <f>IF('6. Coastal'!L134="",'6. Coastal'!J134,'6. Coastal'!L134)*IF('6. Coastal'!P134="",'6. Coastal'!N134,'6. Coastal'!P134)</f>
        <v>0</v>
      </c>
      <c r="O10" s="3218"/>
      <c r="P10" s="3218"/>
      <c r="Q10" s="3218"/>
      <c r="R10" s="3218"/>
    </row>
    <row r="11" spans="2:18">
      <c r="B11" s="3229" t="str">
        <f>'6. Coastal'!B16</f>
        <v>Seagrass meadow</v>
      </c>
      <c r="C11" s="3218"/>
      <c r="D11" s="3218"/>
      <c r="E11" s="3218"/>
      <c r="F11" s="3375">
        <f>IF('6. Coastal'!H128="",'6. Coastal'!F128,'6. Coastal'!H128)</f>
        <v>0</v>
      </c>
      <c r="G11" s="3218"/>
      <c r="H11" s="3375">
        <f>IF('6. Coastal'!L128="",'6. Coastal'!J128,'6. Coastal'!L128)</f>
        <v>0</v>
      </c>
      <c r="I11" s="3218"/>
      <c r="J11" s="3218">
        <f>IF('6. Coastal'!P128="",'6. Coastal'!N128,'6. Coastal'!P128)</f>
        <v>0</v>
      </c>
      <c r="K11" s="3218"/>
      <c r="L11" s="3217">
        <f>IF('6. Coastal'!T128="",'6. Coastal'!R128,'6. Coastal'!T128)</f>
        <v>0</v>
      </c>
      <c r="M11" s="3218"/>
      <c r="N11" s="3375">
        <f>IF('6. Coastal'!L135="",'6. Coastal'!J135,'6. Coastal'!L135)*IF('6. Coastal'!P135="",'6. Coastal'!N135,'6. Coastal'!P135)</f>
        <v>0</v>
      </c>
      <c r="O11" s="3218"/>
      <c r="P11" s="3218"/>
      <c r="Q11" s="3218"/>
      <c r="R11" s="3218"/>
    </row>
    <row r="12" spans="2:18">
      <c r="B12" s="3218"/>
      <c r="C12" s="3218"/>
      <c r="D12" s="3218"/>
      <c r="E12" s="3218"/>
      <c r="F12" s="3218"/>
      <c r="G12" s="3218"/>
      <c r="H12" s="3218"/>
      <c r="I12" s="3218"/>
      <c r="J12" s="3218"/>
      <c r="K12" s="3218"/>
      <c r="L12" s="3218"/>
      <c r="M12" s="3218"/>
      <c r="N12" s="3218"/>
      <c r="O12" s="3218"/>
      <c r="P12" s="3218"/>
      <c r="Q12" s="3218"/>
      <c r="R12" s="3218"/>
    </row>
    <row r="13" spans="2:18">
      <c r="B13" s="3218"/>
      <c r="C13" s="3218"/>
      <c r="D13" s="3218"/>
      <c r="E13" s="3218"/>
      <c r="F13" s="3218"/>
      <c r="G13" s="3218"/>
      <c r="H13" s="3218"/>
      <c r="I13" s="3218"/>
      <c r="J13" s="3218"/>
      <c r="K13" s="3218"/>
      <c r="L13" s="3218"/>
      <c r="M13" s="3218"/>
      <c r="N13" s="3218"/>
      <c r="O13" s="3218"/>
      <c r="P13" s="3218"/>
      <c r="Q13" s="3218"/>
      <c r="R13" s="3218"/>
    </row>
    <row r="15" spans="2:18">
      <c r="B15" s="3228"/>
      <c r="C15" s="2067"/>
      <c r="D15" s="2067"/>
      <c r="E15" s="2067"/>
      <c r="F15" s="2067"/>
      <c r="G15" s="2067"/>
      <c r="H15" s="2067"/>
      <c r="I15" s="2067"/>
      <c r="J15" s="2067"/>
      <c r="K15" s="2067"/>
      <c r="L15" s="2067"/>
      <c r="M15" s="3228" t="s">
        <v>5688</v>
      </c>
      <c r="N15" s="2067"/>
      <c r="O15" s="2067"/>
      <c r="P15" s="3262" t="s">
        <v>5690</v>
      </c>
      <c r="Q15" s="3262"/>
      <c r="R15" s="3262"/>
    </row>
    <row r="16" spans="2:18">
      <c r="B16" s="3228" t="str">
        <f>Wetlands!B7</f>
        <v>Type of vegetation</v>
      </c>
      <c r="C16" s="3228"/>
      <c r="D16" s="3228"/>
      <c r="E16" s="3228"/>
      <c r="F16" s="3228" t="str">
        <f>'6. Coastal'!M11</f>
        <v>Area excavated (ha)</v>
      </c>
      <c r="G16" s="3228"/>
      <c r="H16" s="3228"/>
      <c r="I16" s="3228"/>
      <c r="J16" s="3228"/>
      <c r="K16" s="2067"/>
      <c r="L16" s="2067"/>
      <c r="M16" s="3228" t="s">
        <v>5689</v>
      </c>
      <c r="N16" s="3228" t="s">
        <v>331</v>
      </c>
      <c r="O16" s="2067"/>
      <c r="P16" s="3208" t="s">
        <v>674</v>
      </c>
      <c r="Q16" s="3208" t="s">
        <v>675</v>
      </c>
      <c r="R16" s="3208" t="s">
        <v>1294</v>
      </c>
    </row>
    <row r="17" spans="2:21">
      <c r="B17" s="3228"/>
      <c r="C17" s="2067"/>
      <c r="D17" s="2067"/>
      <c r="E17" s="2067"/>
      <c r="F17" s="3228" t="str">
        <f>'6. Coastal'!F12</f>
        <v>Start</v>
      </c>
      <c r="G17" s="3228"/>
      <c r="H17" s="3367" t="str">
        <f>'6. Coastal'!H12</f>
        <v>Without</v>
      </c>
      <c r="I17" s="3228"/>
      <c r="J17" s="3367" t="str">
        <f>'6. Coastal'!J12</f>
        <v>With</v>
      </c>
      <c r="K17" s="2067"/>
      <c r="L17" s="2067"/>
      <c r="M17" s="2067"/>
      <c r="N17" s="2067"/>
      <c r="O17" s="2067"/>
      <c r="P17" s="3208"/>
      <c r="Q17" s="3208"/>
      <c r="R17" s="3208"/>
    </row>
    <row r="18" spans="2:21">
      <c r="B18" s="3229" t="str">
        <f>B9</f>
        <v>Mangrove</v>
      </c>
      <c r="C18" s="3218"/>
      <c r="D18" s="3218"/>
      <c r="E18" s="3218"/>
      <c r="F18" s="3243">
        <v>0</v>
      </c>
      <c r="G18" s="3243"/>
      <c r="H18" s="3243">
        <f>'6. Coastal'!M14</f>
        <v>0</v>
      </c>
      <c r="I18" s="3243"/>
      <c r="J18" s="3243">
        <f>'6. Coastal'!N14</f>
        <v>0</v>
      </c>
      <c r="K18" s="3218"/>
      <c r="L18" s="3218"/>
      <c r="M18" s="3375">
        <f>SUM(F9:N9)</f>
        <v>0</v>
      </c>
      <c r="N18" s="3375">
        <f>M18*44/12</f>
        <v>0</v>
      </c>
      <c r="O18" s="3218"/>
      <c r="P18" s="3256">
        <f>(H18-F18)*N18</f>
        <v>0</v>
      </c>
      <c r="Q18" s="3256">
        <f>(J18-F18)*N18</f>
        <v>0</v>
      </c>
      <c r="R18" s="3256">
        <f>Q18-P18</f>
        <v>0</v>
      </c>
    </row>
    <row r="19" spans="2:21">
      <c r="B19" s="3229" t="str">
        <f t="shared" ref="B19:B20" si="0">B10</f>
        <v>Tidal marsh</v>
      </c>
      <c r="C19" s="3218"/>
      <c r="D19" s="3218"/>
      <c r="E19" s="3218"/>
      <c r="F19" s="3243">
        <v>0</v>
      </c>
      <c r="G19" s="3243"/>
      <c r="H19" s="3243">
        <f>'6. Coastal'!M15</f>
        <v>0</v>
      </c>
      <c r="I19" s="3243"/>
      <c r="J19" s="3243">
        <f>'6. Coastal'!N15</f>
        <v>0</v>
      </c>
      <c r="K19" s="3218"/>
      <c r="L19" s="3218"/>
      <c r="M19" s="3375">
        <f>SUM(F10:N10)</f>
        <v>0</v>
      </c>
      <c r="N19" s="3375">
        <f t="shared" ref="N19:N20" si="1">M19*44/12</f>
        <v>0</v>
      </c>
      <c r="O19" s="3218"/>
      <c r="P19" s="3256">
        <f t="shared" ref="P19:P20" si="2">(H19-F19)*N19</f>
        <v>0</v>
      </c>
      <c r="Q19" s="3256">
        <f t="shared" ref="Q19:Q20" si="3">(J19-F19)*N19</f>
        <v>0</v>
      </c>
      <c r="R19" s="3256">
        <f t="shared" ref="R19:R20" si="4">Q19-P19</f>
        <v>0</v>
      </c>
    </row>
    <row r="20" spans="2:21">
      <c r="B20" s="3229" t="str">
        <f t="shared" si="0"/>
        <v>Seagrass meadow</v>
      </c>
      <c r="C20" s="3218"/>
      <c r="D20" s="3218"/>
      <c r="E20" s="3218"/>
      <c r="F20" s="3243">
        <v>0</v>
      </c>
      <c r="G20" s="3243"/>
      <c r="H20" s="3243">
        <f>'6. Coastal'!M16</f>
        <v>0</v>
      </c>
      <c r="I20" s="3243"/>
      <c r="J20" s="3243">
        <f>'6. Coastal'!N16</f>
        <v>0</v>
      </c>
      <c r="K20" s="3218"/>
      <c r="L20" s="3218"/>
      <c r="M20" s="3375">
        <f>SUM(F11:N11)</f>
        <v>0</v>
      </c>
      <c r="N20" s="3375">
        <f t="shared" si="1"/>
        <v>0</v>
      </c>
      <c r="O20" s="3218"/>
      <c r="P20" s="3256">
        <f t="shared" si="2"/>
        <v>0</v>
      </c>
      <c r="Q20" s="3256">
        <f t="shared" si="3"/>
        <v>0</v>
      </c>
      <c r="R20" s="3256">
        <f t="shared" si="4"/>
        <v>0</v>
      </c>
    </row>
    <row r="21" spans="2:21">
      <c r="P21" s="3231"/>
      <c r="Q21" s="3231"/>
      <c r="R21" s="3231"/>
    </row>
    <row r="22" spans="2:21">
      <c r="B22" s="3187"/>
      <c r="C22" s="2472"/>
      <c r="D22" s="2472"/>
      <c r="E22" s="3922" t="s">
        <v>5691</v>
      </c>
      <c r="F22" s="3922"/>
      <c r="G22" s="3922"/>
      <c r="H22" s="3922"/>
      <c r="I22" s="2472"/>
      <c r="J22" s="2472"/>
      <c r="K22" s="2472"/>
      <c r="L22" s="2472"/>
      <c r="M22" s="3923" t="s">
        <v>516</v>
      </c>
      <c r="N22" s="3923"/>
      <c r="O22" s="2472"/>
      <c r="P22" s="3188" t="s">
        <v>5695</v>
      </c>
      <c r="Q22" s="3188"/>
      <c r="R22" s="3255"/>
    </row>
    <row r="23" spans="2:21">
      <c r="B23" s="3187" t="str">
        <f>B7</f>
        <v>Type of vegetation</v>
      </c>
      <c r="C23" s="2472"/>
      <c r="D23" s="2472"/>
      <c r="E23" s="2472"/>
      <c r="F23" s="3187" t="s">
        <v>5677</v>
      </c>
      <c r="G23" s="2472"/>
      <c r="H23" s="3187" t="s">
        <v>5683</v>
      </c>
      <c r="I23" s="2472"/>
      <c r="J23" s="2472"/>
      <c r="K23" s="2472"/>
      <c r="L23" s="2472"/>
      <c r="M23" s="3923" t="s">
        <v>535</v>
      </c>
      <c r="N23" s="3923"/>
      <c r="O23" s="2472"/>
      <c r="P23" s="3188"/>
      <c r="Q23" s="3188"/>
      <c r="R23" s="3255"/>
    </row>
    <row r="24" spans="2:21">
      <c r="B24" s="3187"/>
      <c r="C24" s="2472"/>
      <c r="D24" s="2472"/>
      <c r="E24" s="2472"/>
      <c r="F24" s="2472"/>
      <c r="G24" s="2472"/>
      <c r="H24" s="2472"/>
      <c r="I24" s="2472"/>
      <c r="J24" s="2472"/>
      <c r="K24" s="2472"/>
      <c r="L24" s="2472"/>
      <c r="M24" s="3187" t="s">
        <v>674</v>
      </c>
      <c r="N24" s="3187" t="s">
        <v>675</v>
      </c>
      <c r="O24" s="2472"/>
      <c r="P24" s="3188" t="s">
        <v>674</v>
      </c>
      <c r="Q24" s="3188" t="s">
        <v>675</v>
      </c>
      <c r="R24" s="3255"/>
    </row>
    <row r="25" spans="2:21">
      <c r="B25" s="3229" t="str">
        <f>B18</f>
        <v>Mangrove</v>
      </c>
      <c r="C25" s="3218"/>
      <c r="D25" s="3218"/>
      <c r="E25" s="3218"/>
      <c r="F25" s="3217">
        <f>IF('6. Coastal'!H133="no",1,0)*MAX(F18:J18)</f>
        <v>0</v>
      </c>
      <c r="G25" s="3218"/>
      <c r="H25" s="3217">
        <f>MAX(F18:J18)-F25</f>
        <v>0</v>
      </c>
      <c r="I25" s="3218"/>
      <c r="J25" s="3218"/>
      <c r="K25" s="3218"/>
      <c r="L25" s="3218"/>
      <c r="M25" s="3234">
        <f>SUM(F9:L9)*(44/12)*(H18-F18)</f>
        <v>0</v>
      </c>
      <c r="N25" s="3234">
        <f>SUM(F9:L9)*(44/12)*(J18-F18)</f>
        <v>0</v>
      </c>
      <c r="O25" s="3235"/>
      <c r="P25" s="3260">
        <f>N9*(44/12)*(H18-F18)</f>
        <v>0</v>
      </c>
      <c r="Q25" s="3261">
        <f>N9*(44/12)*(J18-F18)</f>
        <v>0</v>
      </c>
      <c r="R25" s="3257"/>
      <c r="S25" s="3233"/>
      <c r="T25" s="3233"/>
    </row>
    <row r="26" spans="2:21">
      <c r="B26" s="3229" t="str">
        <f t="shared" ref="B26:B27" si="5">B19</f>
        <v>Tidal marsh</v>
      </c>
      <c r="C26" s="3218"/>
      <c r="D26" s="3218"/>
      <c r="E26" s="3218"/>
      <c r="F26" s="3217">
        <f>IF('6. Coastal'!H134="no",1,0)*MAX(F19:J19)</f>
        <v>0</v>
      </c>
      <c r="G26" s="3218"/>
      <c r="H26" s="3217">
        <f>MAX(F19:J19)-F26</f>
        <v>0</v>
      </c>
      <c r="I26" s="3218"/>
      <c r="J26" s="3218"/>
      <c r="K26" s="3218"/>
      <c r="L26" s="3218"/>
      <c r="M26" s="3234">
        <f>SUM(F10:L10)*(44/12)*(H19-F19)</f>
        <v>0</v>
      </c>
      <c r="N26" s="3234">
        <f>SUM(F10:L10)*(44/12)*(J19-F19)</f>
        <v>0</v>
      </c>
      <c r="O26" s="3235"/>
      <c r="P26" s="3260">
        <f t="shared" ref="P26:P27" si="6">N10*(44/12)*(H19-F19)</f>
        <v>0</v>
      </c>
      <c r="Q26" s="3261">
        <f t="shared" ref="Q26" si="7">N10*(44/12)*(J19-F19)</f>
        <v>0</v>
      </c>
      <c r="R26" s="3257"/>
      <c r="S26" s="3233"/>
      <c r="T26" s="3233"/>
    </row>
    <row r="27" spans="2:21">
      <c r="B27" s="3229" t="str">
        <f t="shared" si="5"/>
        <v>Seagrass meadow</v>
      </c>
      <c r="C27" s="3218"/>
      <c r="D27" s="3218"/>
      <c r="E27" s="3218"/>
      <c r="F27" s="3217">
        <f>MAX(F20:J20)</f>
        <v>0</v>
      </c>
      <c r="G27" s="3218"/>
      <c r="H27" s="3243" t="s">
        <v>1457</v>
      </c>
      <c r="I27" s="3218"/>
      <c r="J27" s="3218"/>
      <c r="K27" s="3218"/>
      <c r="L27" s="3218"/>
      <c r="M27" s="3234">
        <f t="shared" ref="M27" si="8">SUM(F11:L11)*(44/12)*(H20-F20)</f>
        <v>0</v>
      </c>
      <c r="N27" s="3234">
        <f t="shared" ref="N27" si="9">SUM(F11:L11)*(44/12)*(J20-F20)</f>
        <v>0</v>
      </c>
      <c r="O27" s="3235"/>
      <c r="P27" s="3260">
        <f t="shared" si="6"/>
        <v>0</v>
      </c>
      <c r="Q27" s="3261">
        <f>N11*(44/12)*(J20-F20)</f>
        <v>0</v>
      </c>
      <c r="R27" s="3257"/>
      <c r="S27" s="3233"/>
      <c r="T27" s="3233"/>
    </row>
    <row r="28" spans="2:21">
      <c r="B28" s="3229"/>
      <c r="C28" s="3218"/>
      <c r="D28" s="3218"/>
      <c r="E28" s="3218"/>
      <c r="F28" s="3217"/>
      <c r="G28" s="3218"/>
      <c r="H28" s="3229"/>
      <c r="I28" s="3218"/>
      <c r="J28" s="3218"/>
      <c r="K28" s="3218"/>
      <c r="L28" s="3218"/>
      <c r="M28" s="3234"/>
      <c r="N28" s="3234"/>
      <c r="O28" s="3235"/>
      <c r="P28" s="3260"/>
      <c r="Q28" s="3261"/>
      <c r="R28" s="3257"/>
      <c r="S28" s="3233"/>
      <c r="T28" s="3233"/>
    </row>
    <row r="29" spans="2:21">
      <c r="B29" s="3229"/>
      <c r="C29" s="3218"/>
      <c r="D29" s="3218"/>
      <c r="E29" s="3218"/>
      <c r="F29" s="3217"/>
      <c r="G29" s="3218"/>
      <c r="H29" s="3229"/>
      <c r="I29" s="3218"/>
      <c r="J29" s="3218"/>
      <c r="K29" s="3218"/>
      <c r="L29" s="3229" t="s">
        <v>516</v>
      </c>
      <c r="M29" s="3234">
        <f>SUM(M25:M27)</f>
        <v>0</v>
      </c>
      <c r="N29" s="3234">
        <f t="shared" ref="N29:Q29" si="10">SUM(N25:N27)</f>
        <v>0</v>
      </c>
      <c r="O29" s="3234"/>
      <c r="P29" s="3260">
        <f>SUM(P25:P27)</f>
        <v>0</v>
      </c>
      <c r="Q29" s="3260">
        <f t="shared" si="10"/>
        <v>0</v>
      </c>
      <c r="R29" s="3257"/>
      <c r="S29" s="3233"/>
      <c r="T29" s="3233"/>
    </row>
    <row r="30" spans="2:21">
      <c r="P30" s="3258" t="str">
        <f>P16</f>
        <v>Without</v>
      </c>
      <c r="Q30" s="3258" t="str">
        <f>Q16</f>
        <v>With</v>
      </c>
      <c r="R30" s="3258" t="str">
        <f>R16</f>
        <v>Balance</v>
      </c>
    </row>
    <row r="31" spans="2:21">
      <c r="C31" s="3228" t="s">
        <v>5692</v>
      </c>
      <c r="D31" s="2067"/>
      <c r="E31" s="2067"/>
      <c r="F31" s="2067">
        <f>SUM(F25:F27)</f>
        <v>0</v>
      </c>
      <c r="G31" s="2067"/>
      <c r="H31" s="2067">
        <f>SUM(H25:H26)</f>
        <v>0</v>
      </c>
      <c r="N31" s="3228" t="s">
        <v>5693</v>
      </c>
      <c r="O31" s="2067"/>
      <c r="P31" s="3259">
        <f>SUM(P18:P20)</f>
        <v>0</v>
      </c>
      <c r="Q31" s="3259">
        <f t="shared" ref="Q31" si="11">SUM(Q18:Q20)</f>
        <v>0</v>
      </c>
      <c r="R31" s="3259">
        <f>SUM(R18:R20)</f>
        <v>0</v>
      </c>
    </row>
    <row r="32" spans="2:21">
      <c r="N32" s="2067"/>
      <c r="O32" s="2067"/>
      <c r="P32" s="3232"/>
      <c r="Q32" s="3232"/>
      <c r="R32" s="3232"/>
      <c r="U32" s="3226" t="s">
        <v>1294</v>
      </c>
    </row>
    <row r="33" spans="2:27">
      <c r="N33" s="3228" t="s">
        <v>5694</v>
      </c>
      <c r="O33" s="2067"/>
      <c r="P33" s="3232">
        <f>P31</f>
        <v>0</v>
      </c>
      <c r="Q33" s="3232">
        <f t="shared" ref="Q33:R33" si="12">Q31</f>
        <v>0</v>
      </c>
      <c r="R33" s="3232">
        <f t="shared" si="12"/>
        <v>0</v>
      </c>
      <c r="T33" s="3226" t="s">
        <v>5706</v>
      </c>
      <c r="U33" s="3266">
        <f>R31-R33</f>
        <v>0</v>
      </c>
      <c r="V33" s="3249"/>
    </row>
    <row r="34" spans="2:27">
      <c r="B34" s="3242" t="str">
        <f>'6. Coastal'!B20</f>
        <v xml:space="preserve">6.1.2. Drainage </v>
      </c>
      <c r="U34" s="3249"/>
      <c r="V34" s="3249"/>
    </row>
    <row r="35" spans="2:27">
      <c r="B35" s="3228" t="s">
        <v>7139</v>
      </c>
      <c r="C35" s="2067"/>
      <c r="D35" s="2067"/>
      <c r="E35" s="2067"/>
      <c r="F35" s="3228" t="s">
        <v>5653</v>
      </c>
      <c r="G35" s="2067"/>
      <c r="H35" s="3228" t="s">
        <v>5686</v>
      </c>
      <c r="I35" s="2067"/>
      <c r="J35" s="3228" t="s">
        <v>495</v>
      </c>
      <c r="K35" s="2067"/>
      <c r="L35" s="3228" t="s">
        <v>499</v>
      </c>
      <c r="M35" s="3327" t="s">
        <v>7133</v>
      </c>
      <c r="N35" s="3327"/>
      <c r="O35" s="2067"/>
      <c r="P35" s="2067" t="s">
        <v>7134</v>
      </c>
      <c r="Q35" s="2067"/>
      <c r="R35" s="2067"/>
      <c r="U35" s="3249"/>
      <c r="V35" s="3249" t="s">
        <v>844</v>
      </c>
    </row>
    <row r="36" spans="2:27">
      <c r="B36" s="3228"/>
      <c r="C36" s="2067"/>
      <c r="D36" s="2067"/>
      <c r="E36" s="2067"/>
      <c r="F36" s="2067"/>
      <c r="G36" s="2067"/>
      <c r="H36" s="2067"/>
      <c r="I36" s="2067"/>
      <c r="J36" s="2067"/>
      <c r="K36" s="2067"/>
      <c r="L36" s="2067"/>
      <c r="M36" s="3327" t="str">
        <f>F45</f>
        <v>Start</v>
      </c>
      <c r="N36" s="3327" t="str">
        <f>H45</f>
        <v>Without</v>
      </c>
      <c r="O36" s="2067" t="str">
        <f>J45</f>
        <v>With</v>
      </c>
      <c r="P36" s="2067" t="str">
        <f>P30</f>
        <v>Without</v>
      </c>
      <c r="Q36" s="2067" t="str">
        <f>Q30</f>
        <v>With</v>
      </c>
      <c r="R36" s="2067" t="str">
        <f>R30</f>
        <v>Balance</v>
      </c>
      <c r="U36" s="3249"/>
      <c r="V36" s="2701" t="str">
        <f>P36</f>
        <v>Without</v>
      </c>
      <c r="W36" s="2701" t="str">
        <f>Q36</f>
        <v>With</v>
      </c>
    </row>
    <row r="37" spans="2:27">
      <c r="B37" s="3229" t="str">
        <f>B25</f>
        <v>Mangrove</v>
      </c>
      <c r="C37" s="3218"/>
      <c r="D37" s="3218"/>
      <c r="E37" s="3218"/>
      <c r="F37" s="3375">
        <f>IF('6. Coastal'!H142="",'6. Coastal'!F142,'6. Coastal'!H142)</f>
        <v>0</v>
      </c>
      <c r="G37" s="3218"/>
      <c r="H37" s="3375">
        <f>IF('6. Coastal'!L142="",'6. Coastal'!J142,'6. Coastal'!L142)</f>
        <v>0</v>
      </c>
      <c r="I37" s="3218"/>
      <c r="J37" s="3218">
        <f>IF('6. Coastal'!P142="",'6. Coastal'!N142,'6. Coastal'!P142)</f>
        <v>0</v>
      </c>
      <c r="K37" s="3218"/>
      <c r="L37" s="3217">
        <f>IF('6. Coastal'!T142="",'6. Coastal'!R142,'6. Coastal'!T142)</f>
        <v>0</v>
      </c>
      <c r="M37" s="3375">
        <f>SUM(F37:L37)*F46</f>
        <v>0</v>
      </c>
      <c r="N37" s="3375">
        <f>SUM(F37:L37)*H46</f>
        <v>0</v>
      </c>
      <c r="O37" s="3375">
        <f>SUM(F37:L37)*J46</f>
        <v>0</v>
      </c>
      <c r="P37" s="3328">
        <f>(N37-M37)*44/12</f>
        <v>0</v>
      </c>
      <c r="Q37" s="3328">
        <f>(O37-M37)*44/12</f>
        <v>0</v>
      </c>
      <c r="R37" s="3329">
        <f>Q37-P37</f>
        <v>0</v>
      </c>
      <c r="U37" s="3249"/>
      <c r="V37" s="3254">
        <f>P37</f>
        <v>0</v>
      </c>
      <c r="W37" s="3254">
        <f>Q37</f>
        <v>0</v>
      </c>
    </row>
    <row r="38" spans="2:27">
      <c r="B38" s="3229" t="str">
        <f t="shared" ref="B38:B39" si="13">B26</f>
        <v>Tidal marsh</v>
      </c>
      <c r="C38" s="3218"/>
      <c r="D38" s="3218"/>
      <c r="E38" s="3218"/>
      <c r="F38" s="3375">
        <f>IF('6. Coastal'!H144="",'6. Coastal'!F143,'6. Coastal'!H143)</f>
        <v>0</v>
      </c>
      <c r="G38" s="3218"/>
      <c r="H38" s="3375">
        <f>IF('6. Coastal'!L143="",'6. Coastal'!J143,'6. Coastal'!L143)</f>
        <v>0</v>
      </c>
      <c r="I38" s="3218"/>
      <c r="J38" s="3218">
        <f>IF('6. Coastal'!P143="",'6. Coastal'!N143,'6. Coastal'!P143)</f>
        <v>0</v>
      </c>
      <c r="K38" s="3218"/>
      <c r="L38" s="3217">
        <f>IF('6. Coastal'!T143="",'6. Coastal'!R143,'6. Coastal'!T143)</f>
        <v>0</v>
      </c>
      <c r="M38" s="3375">
        <f t="shared" ref="M38:M39" si="14">SUM(F38:L38)*F47</f>
        <v>0</v>
      </c>
      <c r="N38" s="3375">
        <f t="shared" ref="N38:N39" si="15">SUM(F38:L38)*H47</f>
        <v>0</v>
      </c>
      <c r="O38" s="3375">
        <f t="shared" ref="O38:O39" si="16">SUM(F38:L38)*J47</f>
        <v>0</v>
      </c>
      <c r="P38" s="3328">
        <f t="shared" ref="P38:P39" si="17">(N38-M38)*44/12</f>
        <v>0</v>
      </c>
      <c r="Q38" s="3328">
        <f t="shared" ref="Q38:Q39" si="18">(O38-M38)*44/12</f>
        <v>0</v>
      </c>
      <c r="R38" s="3329">
        <f t="shared" ref="R38:R39" si="19">Q38-P38</f>
        <v>0</v>
      </c>
      <c r="U38" s="3249"/>
      <c r="V38" s="3254">
        <f t="shared" ref="V38:W39" si="20">P38</f>
        <v>0</v>
      </c>
      <c r="W38" s="3254">
        <f t="shared" si="20"/>
        <v>0</v>
      </c>
    </row>
    <row r="39" spans="2:27">
      <c r="B39" s="3229" t="str">
        <f t="shared" si="13"/>
        <v>Seagrass meadow</v>
      </c>
      <c r="C39" s="3218"/>
      <c r="D39" s="3218"/>
      <c r="E39" s="3218"/>
      <c r="F39" s="3375">
        <f>IF('6. Coastal'!H144="",'6. Coastal'!F144,'6. Coastal'!H144)</f>
        <v>0</v>
      </c>
      <c r="G39" s="3218"/>
      <c r="H39" s="3375">
        <f>IF('6. Coastal'!L144="",'6. Coastal'!J144,'6. Coastal'!L144)</f>
        <v>0</v>
      </c>
      <c r="I39" s="3218"/>
      <c r="J39" s="3218">
        <f>IF('6. Coastal'!P144="",'6. Coastal'!N144,'6. Coastal'!P144)</f>
        <v>0</v>
      </c>
      <c r="K39" s="3218"/>
      <c r="L39" s="3217">
        <f>IF('6. Coastal'!T144="",'6. Coastal'!R144,'6. Coastal'!T144)</f>
        <v>0</v>
      </c>
      <c r="M39" s="3375">
        <f t="shared" si="14"/>
        <v>0</v>
      </c>
      <c r="N39" s="3375">
        <f t="shared" si="15"/>
        <v>0</v>
      </c>
      <c r="O39" s="3375">
        <f t="shared" si="16"/>
        <v>0</v>
      </c>
      <c r="P39" s="3328">
        <f t="shared" si="17"/>
        <v>0</v>
      </c>
      <c r="Q39" s="3328">
        <f t="shared" si="18"/>
        <v>0</v>
      </c>
      <c r="R39" s="3329">
        <f t="shared" si="19"/>
        <v>0</v>
      </c>
      <c r="U39" s="3249"/>
      <c r="V39" s="3254">
        <f t="shared" si="20"/>
        <v>0</v>
      </c>
      <c r="W39" s="3254">
        <f t="shared" si="20"/>
        <v>0</v>
      </c>
    </row>
    <row r="40" spans="2:27">
      <c r="B40" s="3218"/>
      <c r="C40" s="3218"/>
      <c r="D40" s="3218"/>
      <c r="E40" s="3218"/>
      <c r="F40" s="3218"/>
      <c r="G40" s="3218"/>
      <c r="H40" s="3218"/>
      <c r="I40" s="3218"/>
      <c r="J40" s="3218"/>
      <c r="K40" s="3218"/>
      <c r="L40" s="3217"/>
      <c r="M40" s="3218"/>
      <c r="N40" s="3218"/>
      <c r="O40" s="3218"/>
      <c r="P40" s="3218"/>
      <c r="Q40" s="3218"/>
      <c r="R40" s="3218"/>
      <c r="U40" s="3249"/>
      <c r="V40" s="3249"/>
      <c r="X40" s="2701" t="s">
        <v>7136</v>
      </c>
    </row>
    <row r="41" spans="2:27">
      <c r="B41" s="3218"/>
      <c r="C41" s="3218"/>
      <c r="D41" s="3218"/>
      <c r="E41" s="3218"/>
      <c r="F41" s="3218"/>
      <c r="G41" s="3218"/>
      <c r="H41" s="3218"/>
      <c r="I41" s="3218"/>
      <c r="J41" s="3218"/>
      <c r="K41" s="3218"/>
      <c r="L41" s="3218"/>
      <c r="M41" s="3218"/>
      <c r="N41" s="3218"/>
      <c r="O41" s="3218" t="s">
        <v>7135</v>
      </c>
      <c r="P41" s="3329">
        <f>SUM(P37:P39)</f>
        <v>0</v>
      </c>
      <c r="Q41" s="3329">
        <f t="shared" ref="Q41:R41" si="21">SUM(Q37:Q39)</f>
        <v>0</v>
      </c>
      <c r="R41" s="3329">
        <f t="shared" si="21"/>
        <v>0</v>
      </c>
      <c r="U41" s="3249"/>
      <c r="V41" s="3254">
        <f>SUM(V37:V39)</f>
        <v>0</v>
      </c>
      <c r="W41" s="3254">
        <f>SUM(W37:W39)</f>
        <v>0</v>
      </c>
      <c r="X41" s="3245">
        <f>W41-V41</f>
        <v>0</v>
      </c>
    </row>
    <row r="42" spans="2:27">
      <c r="B42" s="3242"/>
      <c r="U42" s="3249"/>
      <c r="V42" s="3249"/>
    </row>
    <row r="43" spans="2:27" ht="13.5" thickBot="1">
      <c r="B43" s="3187"/>
      <c r="C43" s="2472"/>
      <c r="D43" s="2472"/>
      <c r="E43" s="3187" t="s">
        <v>5697</v>
      </c>
      <c r="F43" s="2472"/>
      <c r="G43" s="2472"/>
      <c r="H43" s="2472"/>
      <c r="I43" s="2472"/>
      <c r="J43" s="2472"/>
      <c r="K43" s="2472"/>
      <c r="L43" s="2472"/>
      <c r="M43" s="2472" t="str">
        <f>E22</f>
        <v>Area of soils</v>
      </c>
      <c r="N43" s="3187" t="s">
        <v>5700</v>
      </c>
      <c r="O43" s="3187" t="s">
        <v>5702</v>
      </c>
      <c r="P43" s="3187" t="s">
        <v>5703</v>
      </c>
      <c r="Q43" s="1535" t="s">
        <v>2</v>
      </c>
      <c r="R43" s="3248"/>
      <c r="U43" s="3249"/>
      <c r="V43" s="1872" t="s">
        <v>63</v>
      </c>
      <c r="Y43" s="3264" t="s">
        <v>5706</v>
      </c>
      <c r="Z43" s="3231"/>
    </row>
    <row r="44" spans="2:27">
      <c r="B44" s="3187" t="str">
        <f>B23</f>
        <v>Type of vegetation</v>
      </c>
      <c r="C44" s="2472"/>
      <c r="D44" s="2472"/>
      <c r="E44" s="3187"/>
      <c r="F44" s="3187"/>
      <c r="G44" s="3187"/>
      <c r="H44" s="3187"/>
      <c r="I44" s="3187"/>
      <c r="J44" s="2472"/>
      <c r="K44" s="2472"/>
      <c r="L44" s="3187" t="s">
        <v>5677</v>
      </c>
      <c r="M44" s="3187" t="s">
        <v>5683</v>
      </c>
      <c r="N44" s="3187" t="s">
        <v>5701</v>
      </c>
      <c r="O44" s="3187" t="s">
        <v>1409</v>
      </c>
      <c r="P44" s="3187" t="s">
        <v>5704</v>
      </c>
      <c r="Q44" s="3207" t="s">
        <v>341</v>
      </c>
      <c r="R44" s="3207"/>
      <c r="U44" s="3249"/>
      <c r="V44" s="1872" t="s">
        <v>53</v>
      </c>
      <c r="Y44" s="3264" t="s">
        <v>54</v>
      </c>
      <c r="Z44" s="3264" t="s">
        <v>274</v>
      </c>
    </row>
    <row r="45" spans="2:27">
      <c r="B45" s="3187"/>
      <c r="C45" s="2472"/>
      <c r="D45" s="2472"/>
      <c r="E45" s="2472"/>
      <c r="F45" s="3188" t="str">
        <f>F17</f>
        <v>Start</v>
      </c>
      <c r="G45" s="2472"/>
      <c r="H45" s="3188" t="str">
        <f>H17</f>
        <v>Without</v>
      </c>
      <c r="I45" s="2472"/>
      <c r="J45" s="3188" t="str">
        <f>J17</f>
        <v>With</v>
      </c>
      <c r="K45" s="2472"/>
      <c r="L45" s="2472"/>
      <c r="M45" s="2472"/>
      <c r="N45" s="2472"/>
      <c r="O45" s="2472"/>
      <c r="P45" s="2472"/>
      <c r="Q45" s="1367" t="s">
        <v>674</v>
      </c>
      <c r="R45" s="1368" t="s">
        <v>675</v>
      </c>
      <c r="U45" s="3249"/>
      <c r="V45" s="3249"/>
      <c r="Y45" s="3265">
        <f>Q51-V51</f>
        <v>0</v>
      </c>
      <c r="Z45" s="3265">
        <f>R51-W51</f>
        <v>0</v>
      </c>
      <c r="AA45" s="3251">
        <f>Z45-Y45</f>
        <v>0</v>
      </c>
    </row>
    <row r="46" spans="2:27">
      <c r="B46" s="3228" t="str">
        <f>B25</f>
        <v>Mangrove</v>
      </c>
      <c r="C46" s="2067"/>
      <c r="D46" s="2067"/>
      <c r="E46" s="2067"/>
      <c r="F46" s="3243">
        <f>'6. Coastal'!Q25</f>
        <v>0</v>
      </c>
      <c r="G46" s="2067"/>
      <c r="H46" s="3243">
        <f>'6. Coastal'!M25</f>
        <v>0</v>
      </c>
      <c r="I46" s="2067" t="str">
        <f>VLOOKUP('6. Coastal'!I25,List!$D$35:$E$37,2,)</f>
        <v>Linear</v>
      </c>
      <c r="J46" s="3243">
        <f>'6. Coastal'!N25</f>
        <v>0</v>
      </c>
      <c r="K46" s="2067" t="str">
        <f>VLOOKUP('6. Coastal'!K25,List!$D$35:$E$37,2,)</f>
        <v>Linear</v>
      </c>
      <c r="L46" s="3198">
        <f>IF('6. Coastal'!H149="no",1,0)*MAX(F46:J46)</f>
        <v>0</v>
      </c>
      <c r="M46" s="3198">
        <f>MAX(F46:J46)-L46</f>
        <v>0</v>
      </c>
      <c r="N46" s="3198">
        <f>IF('6. Coastal'!P149="",'6. Coastal'!N149,'6. Coastal'!P149)</f>
        <v>0</v>
      </c>
      <c r="O46" s="3198">
        <f>IF(N46=0,1000,INT('6. Coastal'!J149/Wetlands!N46))</f>
        <v>1000</v>
      </c>
      <c r="P46" s="3247">
        <f>IF('6. Coastal'!L149="",'6. Coastal'!J149,'6. Coastal'!L149)*(44/12)</f>
        <v>0</v>
      </c>
      <c r="Q46" s="1893">
        <f>MIN(MAX(F46,H46)*P46,N46*(44/12)*((MIN($F46,H46)*MIN(O46,time_tot))+IF(I46="immediate",IF(H46&gt;$F46,H46*MIN(O46,time_tot),0),IF($F46&gt;H46,($F46-H46)*IF(time&gt;O46,IF(I46="linear",time-((time-O46)^2)/(2*time),(0.215*time)-(time/4.6)*(EXP(-92.1/time)-0.01)),time*(1-VLOOKUP(I46,List!$E$35:$F$37,2,))),(H46-$F46)*IF(time_tot&gt;time+O46,O46,IF(time_tot&lt;O46,(time*VLOOKUP(I46,List!$E$35:$F$37,2,))+(time_tot-time),((MIN(O46,time)))))))))</f>
        <v>0</v>
      </c>
      <c r="R46" s="1893">
        <f>MIN(MAX(F46,J46)*P46,N46*(44/12)*((MIN($F46,J46)*MIN(O46,time_tot))+IF(K46="immediate",IF(J46&gt;$F46,J46*MIN(O46,time_tot),0),IF($F46&gt;J46,($F46-J46)*IF(time&gt;O46,IF(K46="linear",time-((time-O46)^2)/(2*time),(0.215*time)-(time/4.6)*(EXP(-92.1/time)-0.01)),time*(1-VLOOKUP(K46,List!$E$35:$F$37,2,))),(J46-$F46)*IF(time_tot&gt;time+O46,O46,IF(time_tot&lt;O46,(time*VLOOKUP(K46,List!$E$35:$F$37,2,))+(time_tot-time),((MIN(O46,time)))))))))</f>
        <v>0</v>
      </c>
      <c r="U46" s="3249"/>
      <c r="V46" s="3254">
        <f>MIN(MAX(F46,H46)*P46,N46*(44/12)*((MIN($F46,H46)*MIN(O46,time))+IF(I46="immediate",IF(H46&gt;$F46,H46*MIN(O46,time),0),IF($F46&gt;H46,($F46-H46)*IF(time&gt;O46,IF(I46="linear",time-((time-O46)^2)/(2*time),(0.215*time)-(time/4.6)*(EXP(-92.1/time)-0.01)),time*(1-VLOOKUP(I46,List!$E$35:$F$37,2,))),(H46-$F46)*IF(time&gt;time+O46,O46,IF(time&lt;O46,(time*VLOOKUP(I46,List!$E$35:$F$37,2,))+(time-time),((MIN(O46,time)))))))))</f>
        <v>0</v>
      </c>
      <c r="W46" s="3245">
        <f>MIN(MAX(F46,J46)*P46,N46*(44/12)*((MIN($F46,J46)*MIN(O46,time))+IF(K46="immediate",IF(J46&gt;$F46,J46*MIN(O46,time),0),IF($F46&gt;J46,($F46-J46)*IF(time&gt;O46,IF(K46="linear",time-((time-O46)^2)/(2*time),(0.215*time)-(time/4.6)*(EXP(-92.1/time)-0.01)),time*(1-VLOOKUP(K46,List!$E$35:$F$37,2,))),(J46-$F46)*IF(time&gt;time+O46,O46,IF(time&lt;O46,(time*VLOOKUP(K46,List!$E$35:$F$37,2,))+(time-time),((MIN(O46,time)))))))))</f>
        <v>0</v>
      </c>
    </row>
    <row r="47" spans="2:27">
      <c r="B47" s="3228" t="str">
        <f>B26</f>
        <v>Tidal marsh</v>
      </c>
      <c r="C47" s="2067"/>
      <c r="D47" s="2067"/>
      <c r="E47" s="2067"/>
      <c r="F47" s="3243">
        <f>'6. Coastal'!Q26</f>
        <v>0</v>
      </c>
      <c r="G47" s="2067"/>
      <c r="H47" s="3243">
        <f>'6. Coastal'!M26</f>
        <v>0</v>
      </c>
      <c r="I47" s="2067" t="str">
        <f>VLOOKUP('6. Coastal'!I26,List!$D$35:$E$37,2,)</f>
        <v>Linear</v>
      </c>
      <c r="J47" s="3243">
        <f>'6. Coastal'!N26</f>
        <v>0</v>
      </c>
      <c r="K47" s="2067" t="str">
        <f>VLOOKUP('6. Coastal'!K26,List!$D$35:$E$37,2,)</f>
        <v>Linear</v>
      </c>
      <c r="L47" s="3342">
        <f>IF('6. Coastal'!H150="no",1,0)*MAX(F47:J47)</f>
        <v>0</v>
      </c>
      <c r="M47" s="3198">
        <f t="shared" ref="M47:M48" si="22">MAX(F47:J47)-L47</f>
        <v>0</v>
      </c>
      <c r="N47" s="3342">
        <f>IF('6. Coastal'!P150="",'6. Coastal'!N150,'6. Coastal'!P150)</f>
        <v>0</v>
      </c>
      <c r="O47" s="3342">
        <f>IF(N47=0,1000,INT('6. Coastal'!J150/Wetlands!N47))</f>
        <v>1000</v>
      </c>
      <c r="P47" s="3247">
        <f>IF('6. Coastal'!L150="",'6. Coastal'!J150,'6. Coastal'!L150)*(44/12)</f>
        <v>0</v>
      </c>
      <c r="Q47" s="1893">
        <f>MIN(MAX(F47,H47)*P47,N47*(44/12)*((MIN($F47,H47)*MIN(O47,time_tot))+IF(I47="immediate",IF(H47&gt;$F47,H47*MIN(O47,time_tot),0),IF($F47&gt;H47,($F47-H47)*IF(time&gt;O47,IF(I47="linear",time-((time-O47)^2)/(2*time),(0.215*time)-(time/4.6)*(EXP(-92.1/time)-0.01)),time*(1-VLOOKUP(I47,List!$E$35:$F$37,2,))),(H47-$F47)*IF(time_tot&gt;time+O47,O47,IF(time_tot&lt;O47,(time*VLOOKUP(I47,List!$E$35:$F$37,2,))+(time_tot-time),((MIN(O47,time)))))))))</f>
        <v>0</v>
      </c>
      <c r="R47" s="1893">
        <f>MIN(MAX(F47,J47)*P47,N47*(44/12)*((MIN($F47,J47)*MIN(O47,time_tot))+IF(K47="immediate",IF(J47&gt;$F47,J47*MIN(O47,time_tot),0),IF($F47&gt;J47,($F47-J47)*IF(time&gt;O47,IF(K47="linear",time-((time-O47)^2)/(2*time),(0.215*time)-(time/4.6)*(EXP(-92.1/time)-0.01)),time*(1-VLOOKUP(K47,List!$E$35:$F$37,2,))),(J47-$F47)*IF(time_tot&gt;time+O47,O47,IF(time_tot&lt;O47,(time*VLOOKUP(K47,List!$E$35:$F$37,2,))+(time_tot-time),((MIN(O47,time)))))))))</f>
        <v>0</v>
      </c>
      <c r="U47" s="3249"/>
      <c r="V47" s="3254">
        <f>MIN(MAX(F47,H47)*P47,N47*(44/12)*((MIN($F47,H47)*MIN(O47,time))+IF(I47="immediate",IF(H47&gt;$F47,H47*MIN(O47,time),0),IF($F47&gt;H47,($F47-H47)*IF(time&gt;O47,IF(I47="linear",time-((time-O47)^2)/(2*time),(0.215*time)-(time/4.6)*(EXP(-92.1/time)-0.01)),time*(1-VLOOKUP(I47,List!$E$35:$F$37,2,))),(H47-$F47)*IF(time&gt;time+O47,O47,IF(time&lt;O47,(time*VLOOKUP(I47,List!$E$35:$F$37,2,))+(time-time),((MIN(O47,time)))))))))</f>
        <v>0</v>
      </c>
      <c r="W47" s="3245">
        <f>MIN(MAX(F47,J47)*P47,N47*(44/12)*((MIN($F47,J47)*MIN(O47,time))+IF(K47="immediate",IF(J47&gt;$F47,J47*MIN(O47,time),0),IF($F47&gt;J47,($F47-J47)*IF(time&gt;O47,IF(K47="linear",time-((time-O47)^2)/(2*time),(0.215*time)-(time/4.6)*(EXP(-92.1/time)-0.01)),time*(1-VLOOKUP(K47,List!$E$35:$F$37,2,))),(J47-$F47)*IF(time&gt;time+O47,O47,IF(time&lt;O47,(time*VLOOKUP(K47,List!$E$35:$F$37,2,))+(time-time),((MIN(O47,time)))))))))</f>
        <v>0</v>
      </c>
    </row>
    <row r="48" spans="2:27">
      <c r="B48" s="3228" t="str">
        <f>B27</f>
        <v>Seagrass meadow</v>
      </c>
      <c r="C48" s="2067"/>
      <c r="D48" s="2067"/>
      <c r="E48" s="2067"/>
      <c r="F48" s="3243">
        <f>'6. Coastal'!Q27</f>
        <v>0</v>
      </c>
      <c r="G48" s="2067"/>
      <c r="H48" s="3243">
        <f>'6. Coastal'!M27</f>
        <v>0</v>
      </c>
      <c r="I48" s="2067" t="str">
        <f>VLOOKUP('6. Coastal'!I27,List!$D$35:$E$37,2,)</f>
        <v>Linear</v>
      </c>
      <c r="J48" s="3243">
        <f>'6. Coastal'!N27</f>
        <v>0</v>
      </c>
      <c r="K48" s="2067" t="str">
        <f>VLOOKUP('6. Coastal'!K27,List!$D$35:$E$37,2,)</f>
        <v>Linear</v>
      </c>
      <c r="L48" s="3198">
        <f>MAX(F48:J48)</f>
        <v>0</v>
      </c>
      <c r="M48" s="3198">
        <f t="shared" si="22"/>
        <v>0</v>
      </c>
      <c r="N48" s="3342">
        <f>IF('6. Coastal'!P151="",'6. Coastal'!N151,'6. Coastal'!P151)</f>
        <v>0</v>
      </c>
      <c r="O48" s="3342">
        <f>IF(N48=0,1000,INT('6. Coastal'!J151/Wetlands!N48))</f>
        <v>1000</v>
      </c>
      <c r="P48" s="3247">
        <f>IF('6. Coastal'!L151="",'6. Coastal'!J151,'6. Coastal'!L151)*(44/12)</f>
        <v>0</v>
      </c>
      <c r="Q48" s="1893">
        <f>MIN(MAX(F48,H48)*P48,N48*(44/12)*((MIN($F48,H48)*MIN(O48,time_tot))+IF(I48="immediate",IF(H48&gt;$F48,H48*MIN(O48,time_tot),0),IF($F48&gt;H48,($F48-H48)*IF(time&gt;O48,IF(I48="linear",time-((time-O48)^2)/(2*time),(0.215*time)-(time/4.6)*(EXP(-92.1/time)-0.01)),time*(1-VLOOKUP(I48,List!$E$35:$F$37,2,))),(H48-$F48)*IF(time_tot&gt;time+O48,O48,IF(time_tot&lt;O48,(time*VLOOKUP(I48,List!$E$35:$F$37,2,))+(time_tot-time),((MIN(O48,time)))))))))</f>
        <v>0</v>
      </c>
      <c r="R48" s="1893">
        <f>MIN(MAX(F48,J48)*P48,N48*(44/12)*((MIN($F48,J48)*MIN(O48,time_tot))+IF(K48="immediate",IF(J48&gt;$F48,J48*MIN(O48,time_tot),0),IF($F48&gt;J48,($F48-J48)*IF(time&gt;O48,IF(K48="linear",time-((time-O48)^2)/(2*time),(0.215*time)-(time/4.6)*(EXP(-92.1/time)-0.01)),time*(1-VLOOKUP(K48,List!$E$35:$F$37,2,))),(J48-$F48)*IF(time_tot&gt;time+O48,O48,IF(time_tot&lt;O48,(time*VLOOKUP(K48,List!$E$35:$F$37,2,))+(time_tot-time),((MIN(O48,time)))))))))</f>
        <v>0</v>
      </c>
      <c r="U48" s="3249"/>
      <c r="V48" s="3254">
        <f>MIN(MAX(F48,H48)*P48,N48*(44/12)*((MIN($F48,H48)*MIN(O48,time))+IF(I48="immediate",IF(H48&gt;$F48,H48*MIN(O48,time),0),IF($F48&gt;H48,($F48-H48)*IF(time&gt;O48,IF(I48="linear",time-((time-O48)^2)/(2*time),(0.215*time)-(time/4.6)*(EXP(-92.1/time)-0.01)),time*(1-VLOOKUP(I48,List!$E$35:$F$37,2,))),(H48-$F48)*IF(time&gt;time+O48,O48,IF(time&lt;O48,(time*VLOOKUP(I48,List!$E$35:$F$37,2,))+(time-time),((MIN(O48,time)))))))))</f>
        <v>0</v>
      </c>
      <c r="W48" s="3245">
        <f>MIN(MAX(F48,J48)*P48,N48*(44/12)*((MIN($F48,J48)*MIN(O48,time))+IF(K48="immediate",IF(J48&gt;$F48,J48*MIN(O48,time),0),IF($F48&gt;J48,($F48-J48)*IF(time&gt;O48,IF(K48="linear",time-((time-O48)^2)/(2*time),(0.215*time)-(time/4.6)*(EXP(-92.1/time)-0.01)),time*(1-VLOOKUP(K48,List!$E$35:$F$37,2,))),(J48-$F48)*IF(time&gt;time+O48,O48,IF(time&lt;O48,(time*VLOOKUP(K48,List!$E$35:$F$37,2,))+(time-time),((MIN(O48,time)))))))))</f>
        <v>0</v>
      </c>
    </row>
    <row r="49" spans="2:27">
      <c r="B49" s="3228"/>
      <c r="C49" s="2067"/>
      <c r="D49" s="2067"/>
      <c r="E49" s="2067"/>
      <c r="F49" s="2067"/>
      <c r="G49" s="2067"/>
      <c r="H49" s="2067"/>
      <c r="I49" s="2067"/>
      <c r="J49" s="2067"/>
      <c r="K49" s="2067"/>
      <c r="L49" s="2067"/>
      <c r="M49" s="2067"/>
      <c r="N49" s="2067"/>
      <c r="O49" s="2067"/>
      <c r="P49" s="2067"/>
      <c r="Q49" s="2067"/>
      <c r="R49" s="2067"/>
      <c r="U49" s="3249"/>
      <c r="V49" s="3249"/>
    </row>
    <row r="50" spans="2:27">
      <c r="B50" s="3228"/>
      <c r="C50" s="2067"/>
      <c r="D50" s="2067"/>
      <c r="E50" s="2067"/>
      <c r="F50" s="2067"/>
      <c r="G50" s="2067"/>
      <c r="H50" s="2067"/>
      <c r="I50" s="2067"/>
      <c r="J50" s="2472"/>
      <c r="K50" s="2472"/>
      <c r="L50" s="2472"/>
      <c r="M50" s="2472"/>
      <c r="N50" s="2067"/>
      <c r="O50" s="2067"/>
      <c r="P50" s="2067"/>
      <c r="Q50" s="2067"/>
      <c r="R50" s="2067"/>
      <c r="U50" s="3249"/>
      <c r="V50" s="3249"/>
      <c r="X50" s="2701" t="str">
        <f>X40</f>
        <v>Balance Impl</v>
      </c>
    </row>
    <row r="51" spans="2:27">
      <c r="J51" s="2472"/>
      <c r="K51" s="3244" t="s">
        <v>1787</v>
      </c>
      <c r="L51" s="3185">
        <f>SUM(L46:L48)</f>
        <v>0</v>
      </c>
      <c r="M51" s="3185">
        <f>SUM(M46:M48)</f>
        <v>0</v>
      </c>
      <c r="O51" s="2472"/>
      <c r="P51" s="3252" t="str">
        <f>N31</f>
        <v>Total emissions</v>
      </c>
      <c r="Q51" s="3253">
        <f>SUM(Q46:Q48)</f>
        <v>0</v>
      </c>
      <c r="R51" s="3253">
        <f>SUM(R46:R48)</f>
        <v>0</v>
      </c>
      <c r="S51" s="3253">
        <f>R51-Q51</f>
        <v>0</v>
      </c>
      <c r="U51" s="3249"/>
      <c r="V51" s="3254">
        <f>SUM(V46:V48)</f>
        <v>0</v>
      </c>
      <c r="W51" s="3245">
        <f>SUM(W46:W48)</f>
        <v>0</v>
      </c>
      <c r="X51" s="3245">
        <f>W51-V51</f>
        <v>0</v>
      </c>
    </row>
    <row r="52" spans="2:27">
      <c r="O52" s="3226"/>
      <c r="P52" s="3250"/>
      <c r="Q52" s="3246"/>
      <c r="U52" s="3249"/>
      <c r="V52" s="3249"/>
    </row>
    <row r="53" spans="2:27">
      <c r="P53" s="3245"/>
      <c r="Q53" s="3246"/>
    </row>
    <row r="54" spans="2:27">
      <c r="Q54" s="3246"/>
    </row>
    <row r="55" spans="2:27">
      <c r="B55" s="3242" t="str">
        <f>'6. Coastal'!B32</f>
        <v>6.1.3. Rewetting</v>
      </c>
    </row>
    <row r="56" spans="2:27" ht="13.5" thickBot="1">
      <c r="B56" s="3187" t="s">
        <v>331</v>
      </c>
      <c r="C56" s="2472"/>
      <c r="D56" s="2472"/>
      <c r="E56" s="3187" t="s">
        <v>5697</v>
      </c>
      <c r="F56" s="2472"/>
      <c r="G56" s="2472"/>
      <c r="H56" s="2472"/>
      <c r="I56" s="2472"/>
      <c r="J56" s="2472"/>
      <c r="K56" s="2472"/>
      <c r="L56" s="2472"/>
      <c r="M56" s="2472" t="str">
        <f>E43</f>
        <v>Area drained (ha)</v>
      </c>
      <c r="N56" s="3187" t="s">
        <v>5700</v>
      </c>
      <c r="O56" s="3855" t="s">
        <v>336</v>
      </c>
      <c r="P56" s="3855"/>
      <c r="Q56" s="3855"/>
      <c r="S56" s="3263" t="s">
        <v>2</v>
      </c>
      <c r="U56" s="3263"/>
      <c r="W56" s="1872" t="s">
        <v>844</v>
      </c>
      <c r="X56" s="1902"/>
    </row>
    <row r="57" spans="2:27">
      <c r="B57" s="3187" t="str">
        <f>B44</f>
        <v>Type of vegetation</v>
      </c>
      <c r="C57" s="2472"/>
      <c r="D57" s="2472"/>
      <c r="E57" s="3187"/>
      <c r="F57" s="3187"/>
      <c r="G57" s="3187"/>
      <c r="H57" s="3187"/>
      <c r="I57" s="3187"/>
      <c r="J57" s="2472"/>
      <c r="K57" s="2472"/>
      <c r="L57" s="3187" t="s">
        <v>5677</v>
      </c>
      <c r="M57" s="3187" t="s">
        <v>5683</v>
      </c>
      <c r="N57" s="3187" t="s">
        <v>5701</v>
      </c>
      <c r="O57" s="1399" t="s">
        <v>340</v>
      </c>
      <c r="P57" s="3207" t="s">
        <v>341</v>
      </c>
      <c r="Q57" s="3207"/>
      <c r="S57" s="343" t="s">
        <v>342</v>
      </c>
      <c r="U57" s="343"/>
      <c r="W57" s="1913" t="s">
        <v>674</v>
      </c>
      <c r="X57" s="1913" t="s">
        <v>675</v>
      </c>
    </row>
    <row r="58" spans="2:27">
      <c r="B58" s="3187"/>
      <c r="C58" s="2472"/>
      <c r="D58" s="2472"/>
      <c r="E58" s="2472"/>
      <c r="F58" s="2472" t="str">
        <f>F45</f>
        <v>Start</v>
      </c>
      <c r="G58" s="2472"/>
      <c r="H58" s="2472" t="str">
        <f t="shared" ref="H58:J58" si="23">H45</f>
        <v>Without</v>
      </c>
      <c r="I58" s="2472"/>
      <c r="J58" s="2472" t="str">
        <f t="shared" si="23"/>
        <v>With</v>
      </c>
      <c r="K58" s="2472"/>
      <c r="L58" s="2472"/>
      <c r="M58" s="2472"/>
      <c r="N58" s="2472"/>
      <c r="O58" s="1399"/>
      <c r="P58" s="1367" t="s">
        <v>674</v>
      </c>
      <c r="Q58" s="1368" t="s">
        <v>675</v>
      </c>
      <c r="S58" s="1367" t="s">
        <v>674</v>
      </c>
      <c r="U58" s="1368" t="s">
        <v>675</v>
      </c>
    </row>
    <row r="59" spans="2:27">
      <c r="B59" s="3228" t="str">
        <f>B46</f>
        <v>Mangrove</v>
      </c>
      <c r="C59" s="2067"/>
      <c r="D59" s="2067"/>
      <c r="E59" s="2067"/>
      <c r="F59" s="3243">
        <v>0</v>
      </c>
      <c r="G59" s="2067"/>
      <c r="H59" s="3243">
        <f>'6. Coastal'!H37</f>
        <v>0</v>
      </c>
      <c r="I59" s="2067" t="str">
        <f>VLOOKUP('6. Coastal'!I37,List!$D$35:$E$37,2,)</f>
        <v>Linear</v>
      </c>
      <c r="J59" s="3243">
        <f>'6. Coastal'!J37</f>
        <v>0</v>
      </c>
      <c r="K59" s="2067" t="str">
        <f>VLOOKUP('6. Coastal'!K37,List!$D$35:$E$37,2,)</f>
        <v>Linear</v>
      </c>
      <c r="L59" s="3198">
        <f>IF('6. Coastal'!H149="no",1,0)*MAX(F59:J59)</f>
        <v>0</v>
      </c>
      <c r="M59" s="3198">
        <f>MAX(F59:J59)-L59</f>
        <v>0</v>
      </c>
      <c r="N59" s="3198">
        <f>IF('6. Coastal'!M166="",'6. Coastal'!L166,'6. Coastal'!M166)</f>
        <v>0</v>
      </c>
      <c r="O59" s="1893">
        <f>F59*N59*44/12</f>
        <v>0</v>
      </c>
      <c r="P59" s="1893">
        <f>H59*N59*'6. Coastal'!P37*44/12</f>
        <v>0</v>
      </c>
      <c r="Q59" s="1893">
        <f>J59*N59*'6. Coastal'!Q37*(44/12)</f>
        <v>0</v>
      </c>
      <c r="S59" s="1893">
        <f>MIN(O59,P59)*time_tot+ABS(P59-O59)*IF(P59&gt;O59,time2+time*(VLOOKUP(I59,List!$E$35:$F$37,2,)),time*(1-(VLOOKUP(I59,List!$E$35:$F$37,2,))))</f>
        <v>0</v>
      </c>
      <c r="U59" s="1893">
        <f>MIN(O59,Q59)*time_tot+ABS(Q59-O59)*IF(Q59&gt;O59,time2+time*(VLOOKUP(K59,List!$E$35:$F$37,2,)),time*(1-(VLOOKUP(K59,List!$E$35:$F$37,2,))))</f>
        <v>0</v>
      </c>
      <c r="W59" s="1914">
        <f>MIN(O59,P59)*time+ABS(P59-O59)*IF(P59&gt;O59,time*(VLOOKUP(I59,List!$E$35:$F$37,2,)),time*(1-(VLOOKUP(I59,List!$E$35:$F$37,2,))))</f>
        <v>0</v>
      </c>
      <c r="X59" s="1914">
        <f>MIN(O59,Q59)*time+ABS(Q59-O59)*IF(Q59&gt;O59,time*(VLOOKUP(K59,List!$E$35:$F$37,2,)),time*(1-(VLOOKUP(K59,List!$E$35:$F$37,2,))))</f>
        <v>0</v>
      </c>
    </row>
    <row r="60" spans="2:27">
      <c r="B60" s="3228" t="str">
        <f>B47</f>
        <v>Tidal marsh</v>
      </c>
      <c r="C60" s="2067"/>
      <c r="D60" s="2067"/>
      <c r="E60" s="2067"/>
      <c r="F60" s="3243">
        <v>0</v>
      </c>
      <c r="G60" s="2067"/>
      <c r="H60" s="3243">
        <f>'6. Coastal'!H38</f>
        <v>0</v>
      </c>
      <c r="I60" s="2067" t="str">
        <f>VLOOKUP('6. Coastal'!I38,List!$D$35:$E$37,2,)</f>
        <v>Linear</v>
      </c>
      <c r="J60" s="3243">
        <f>'6. Coastal'!J38</f>
        <v>0</v>
      </c>
      <c r="K60" s="2067" t="str">
        <f>VLOOKUP('6. Coastal'!K38,List!$D$35:$E$37,2,)</f>
        <v>Linear</v>
      </c>
      <c r="L60" s="3342">
        <f>IF('6. Coastal'!H150="no",1,0)*MAX(F60:J60)</f>
        <v>0</v>
      </c>
      <c r="M60" s="3198">
        <f t="shared" ref="M60:M61" si="24">MAX(F60:J60)-L60</f>
        <v>0</v>
      </c>
      <c r="N60" s="3342">
        <f>IF('6. Coastal'!M167="",'6. Coastal'!L167,'6. Coastal'!M167)</f>
        <v>0</v>
      </c>
      <c r="O60" s="1893">
        <f t="shared" ref="O60:O61" si="25">F60*N60*44/12</f>
        <v>0</v>
      </c>
      <c r="P60" s="1893">
        <f>H60*N60*'6. Coastal'!P38*44/12</f>
        <v>0</v>
      </c>
      <c r="Q60" s="1893">
        <f>J60*N60*'6. Coastal'!Q38*(44/12)</f>
        <v>0</v>
      </c>
      <c r="S60" s="1893">
        <f>MIN(O60,P60)*time_tot+ABS(P60-O60)*IF(P60&gt;O60,time2+time*(VLOOKUP(I60,List!$E$35:$F$37,2,)),time*(1-(VLOOKUP(I60,List!$E$35:$F$37,2,))))</f>
        <v>0</v>
      </c>
      <c r="U60" s="1893">
        <f>MIN(O60,Q60)*time_tot+ABS(Q60-O60)*IF(Q60&gt;O60,time2+time*(VLOOKUP(K60,List!$E$35:$F$37,2,)),time*(1-(VLOOKUP(K60,List!$E$35:$F$37,2,))))</f>
        <v>0</v>
      </c>
      <c r="W60" s="1914">
        <f>MIN(O60,P60)*time+ABS(P60-O60)*IF(P60&gt;O60,time*(VLOOKUP(I60,List!$E$35:$F$37,2,)),time*(1-(VLOOKUP(I60,List!$E$35:$F$37,2,))))</f>
        <v>0</v>
      </c>
      <c r="X60" s="1914">
        <f>MIN(O60,Q60)*time+ABS(Q60-O60)*IF(Q60&gt;O60,time*(VLOOKUP(K60,List!$E$35:$F$37,2,)),time*(1-(VLOOKUP(K60,List!$E$35:$F$37,2,))))</f>
        <v>0</v>
      </c>
    </row>
    <row r="61" spans="2:27">
      <c r="B61" s="3228" t="str">
        <f>B48</f>
        <v>Seagrass meadow</v>
      </c>
      <c r="C61" s="2067"/>
      <c r="D61" s="2067"/>
      <c r="E61" s="2067"/>
      <c r="F61" s="3243">
        <v>0</v>
      </c>
      <c r="G61" s="2067"/>
      <c r="H61" s="3243">
        <f>'6. Coastal'!H39</f>
        <v>0</v>
      </c>
      <c r="I61" s="2067" t="str">
        <f>VLOOKUP('6. Coastal'!I39,List!$D$35:$E$37,2,)</f>
        <v>Linear</v>
      </c>
      <c r="J61" s="3243">
        <f>'6. Coastal'!J39</f>
        <v>0</v>
      </c>
      <c r="K61" s="2067" t="str">
        <f>VLOOKUP('6. Coastal'!K39,List!$D$35:$E$37,2,)</f>
        <v>Linear</v>
      </c>
      <c r="L61" s="3342">
        <f>MAX(F61:J61)</f>
        <v>0</v>
      </c>
      <c r="M61" s="3198">
        <f t="shared" si="24"/>
        <v>0</v>
      </c>
      <c r="N61" s="3342">
        <f>IF('6. Coastal'!M168="",'6. Coastal'!L168,'6. Coastal'!M168)</f>
        <v>0</v>
      </c>
      <c r="O61" s="1893">
        <f t="shared" si="25"/>
        <v>0</v>
      </c>
      <c r="P61" s="1893">
        <f>H61*N61*'6. Coastal'!P39*44/12</f>
        <v>0</v>
      </c>
      <c r="Q61" s="1893">
        <f>J61*N61*'6. Coastal'!Q39*(44/12)</f>
        <v>0</v>
      </c>
      <c r="S61" s="1893">
        <f>MIN(O61,P61)*time_tot+ABS(P61-O61)*IF(P61&gt;O61,time2+time*(VLOOKUP(I61,List!$E$35:$F$37,2,)),time*(1-(VLOOKUP(I61,List!$E$35:$F$37,2,))))</f>
        <v>0</v>
      </c>
      <c r="U61" s="1893">
        <f>MIN(O61,Q61)*time_tot+ABS(Q61-O61)*IF(Q61&gt;O61,time2+time*(VLOOKUP(K61,List!$E$35:$F$37,2,)),time*(1-(VLOOKUP(K61,List!$E$35:$F$37,2,))))</f>
        <v>0</v>
      </c>
      <c r="W61" s="1914">
        <f>MIN(O61,P61)*time+ABS(P61-O61)*IF(P61&gt;O61,time*(VLOOKUP(I61,List!$E$35:$F$37,2,)),time*(1-(VLOOKUP(I61,List!$E$35:$F$37,2,))))</f>
        <v>0</v>
      </c>
      <c r="X61" s="1914">
        <f>MIN(O61,Q61)*time+ABS(Q61-O61)*IF(Q61&gt;O61,time*(VLOOKUP(K61,List!$E$35:$F$37,2,)),time*(1-(VLOOKUP(K61,List!$E$35:$F$37,2,))))</f>
        <v>0</v>
      </c>
      <c r="Y61" s="3226" t="s">
        <v>5707</v>
      </c>
      <c r="AA61" s="3226" t="s">
        <v>5708</v>
      </c>
    </row>
    <row r="62" spans="2:27">
      <c r="B62" s="3228"/>
      <c r="C62" s="2067"/>
      <c r="D62" s="2067"/>
      <c r="E62" s="2067"/>
      <c r="F62" s="2067"/>
      <c r="G62" s="2067"/>
      <c r="H62" s="2067"/>
      <c r="I62" s="2067"/>
      <c r="J62" s="2067"/>
      <c r="K62" s="2067"/>
      <c r="L62" s="2067"/>
      <c r="M62" s="2067"/>
      <c r="N62" s="2067"/>
      <c r="W62" s="3245">
        <f>SUM(W59:W61)</f>
        <v>0</v>
      </c>
      <c r="X62" s="3245">
        <f>SUM(X59:X61)</f>
        <v>0</v>
      </c>
      <c r="Y62" s="3245">
        <f>X62-W62</f>
        <v>0</v>
      </c>
      <c r="AA62" s="3251">
        <f>V63-Y62</f>
        <v>0</v>
      </c>
    </row>
    <row r="63" spans="2:27">
      <c r="B63" s="3228"/>
      <c r="C63" s="2067"/>
      <c r="D63" s="2067"/>
      <c r="E63" s="2067"/>
      <c r="F63" s="2067"/>
      <c r="G63" s="2067"/>
      <c r="H63" s="2067"/>
      <c r="I63" s="2067"/>
      <c r="J63" s="2472"/>
      <c r="K63" s="2472"/>
      <c r="L63" s="2472"/>
      <c r="M63" s="2472"/>
      <c r="N63" s="2067"/>
      <c r="R63" s="3187" t="s">
        <v>516</v>
      </c>
      <c r="S63" s="3253">
        <f>SUM(S59:S61)</f>
        <v>0</v>
      </c>
      <c r="T63" s="2472"/>
      <c r="U63" s="3253">
        <f>SUM(U59:U61)</f>
        <v>0</v>
      </c>
      <c r="V63" s="3253">
        <f>U63-S63</f>
        <v>0</v>
      </c>
    </row>
    <row r="64" spans="2:27">
      <c r="J64" s="2472"/>
      <c r="K64" s="3244" t="s">
        <v>1787</v>
      </c>
      <c r="L64" s="3185">
        <f>SUM(L59:L61)</f>
        <v>0</v>
      </c>
      <c r="M64" s="3185">
        <f>SUM(M59:M61)</f>
        <v>0</v>
      </c>
    </row>
    <row r="66" spans="1:27" ht="13.5" thickBot="1">
      <c r="B66" s="3187" t="s">
        <v>332</v>
      </c>
      <c r="C66" s="2472"/>
      <c r="D66" s="2472"/>
      <c r="E66" s="3187" t="s">
        <v>5697</v>
      </c>
      <c r="F66" s="2472"/>
      <c r="G66" s="2472"/>
      <c r="H66" s="2472"/>
      <c r="I66" s="2472"/>
      <c r="J66" s="2472"/>
      <c r="K66" s="2472"/>
      <c r="L66" s="2472"/>
      <c r="M66" s="3187" t="s">
        <v>5716</v>
      </c>
      <c r="N66" s="3187" t="s">
        <v>5700</v>
      </c>
      <c r="O66" s="3855" t="s">
        <v>336</v>
      </c>
      <c r="P66" s="3855"/>
      <c r="Q66" s="3855"/>
      <c r="S66" s="3263" t="s">
        <v>2</v>
      </c>
      <c r="U66" s="3263"/>
      <c r="W66" s="1872" t="s">
        <v>844</v>
      </c>
      <c r="X66" s="1902"/>
    </row>
    <row r="67" spans="1:27">
      <c r="B67" s="3187" t="str">
        <f>B57</f>
        <v>Type of vegetation</v>
      </c>
      <c r="C67" s="2472"/>
      <c r="D67" s="2472"/>
      <c r="E67" s="3187"/>
      <c r="F67" s="3187"/>
      <c r="G67" s="3187"/>
      <c r="H67" s="3187"/>
      <c r="I67" s="3187"/>
      <c r="J67" s="2472"/>
      <c r="K67" s="2472"/>
      <c r="L67" s="3187"/>
      <c r="M67" s="3187"/>
      <c r="N67" s="3187" t="s">
        <v>1273</v>
      </c>
      <c r="O67" s="1399" t="s">
        <v>340</v>
      </c>
      <c r="P67" s="3207" t="s">
        <v>341</v>
      </c>
      <c r="Q67" s="3207"/>
      <c r="S67" s="343" t="s">
        <v>342</v>
      </c>
      <c r="U67" s="343"/>
      <c r="W67" s="1913" t="s">
        <v>674</v>
      </c>
      <c r="X67" s="1913" t="s">
        <v>675</v>
      </c>
    </row>
    <row r="68" spans="1:27">
      <c r="B68" s="3187"/>
      <c r="C68" s="2472"/>
      <c r="D68" s="2472"/>
      <c r="E68" s="2472"/>
      <c r="F68" s="2472" t="str">
        <f>F58</f>
        <v>Start</v>
      </c>
      <c r="G68" s="2472"/>
      <c r="H68" s="2472" t="str">
        <f t="shared" ref="H68:J68" si="26">H58</f>
        <v>Without</v>
      </c>
      <c r="I68" s="2472"/>
      <c r="J68" s="2472" t="str">
        <f t="shared" si="26"/>
        <v>With</v>
      </c>
      <c r="K68" s="2472"/>
      <c r="L68" s="2472"/>
      <c r="M68" s="2472"/>
      <c r="N68" s="2472"/>
      <c r="O68" s="1399"/>
      <c r="P68" s="1367" t="s">
        <v>674</v>
      </c>
      <c r="Q68" s="1368" t="s">
        <v>675</v>
      </c>
      <c r="S68" s="1367" t="s">
        <v>674</v>
      </c>
      <c r="U68" s="1368" t="s">
        <v>675</v>
      </c>
    </row>
    <row r="69" spans="1:27">
      <c r="B69" s="3228" t="str">
        <f>B59</f>
        <v>Mangrove</v>
      </c>
      <c r="C69" s="2067"/>
      <c r="D69" s="2067"/>
      <c r="E69" s="2067"/>
      <c r="F69" s="3205">
        <f>F59</f>
        <v>0</v>
      </c>
      <c r="G69" s="3205">
        <f t="shared" ref="G69:K69" si="27">G59</f>
        <v>0</v>
      </c>
      <c r="H69" s="3205">
        <f t="shared" si="27"/>
        <v>0</v>
      </c>
      <c r="I69" s="3205" t="str">
        <f t="shared" si="27"/>
        <v>Linear</v>
      </c>
      <c r="J69" s="3205">
        <f t="shared" si="27"/>
        <v>0</v>
      </c>
      <c r="K69" s="3205" t="str">
        <f t="shared" si="27"/>
        <v>Linear</v>
      </c>
      <c r="L69" s="3205"/>
      <c r="M69" s="3205">
        <f>IF('6. Coastal'!Q166="",'6. Coastal'!P166,'6. Coastal'!Q166)</f>
        <v>0</v>
      </c>
      <c r="N69" s="3203">
        <f>M69*methane*0.001</f>
        <v>0</v>
      </c>
      <c r="O69" s="1893">
        <f>F69*N69</f>
        <v>0</v>
      </c>
      <c r="P69" s="1893">
        <f>H69*N69</f>
        <v>0</v>
      </c>
      <c r="Q69" s="1893">
        <f>J69*N69</f>
        <v>0</v>
      </c>
      <c r="S69" s="1893">
        <f>MIN(O69,P69)*time_tot+ABS(P69-O69)*IF(P69&gt;O69,time2+time*(VLOOKUP(I69,List!$E$35:$F$37,2,)),time*(1-(VLOOKUP(I69,List!$E$35:$F$37,2,))))</f>
        <v>0</v>
      </c>
      <c r="U69" s="1893">
        <f>MIN(O69,Q69)*time_tot+ABS(Q69-O69)*IF(Q69&gt;O69,time2+time*(VLOOKUP(K69,List!$E$35:$F$37,2,)),time*(1-(VLOOKUP(K69,List!$E$35:$F$37,2,))))</f>
        <v>0</v>
      </c>
      <c r="W69" s="1914">
        <f>MIN(O69,P69)*time+ABS(P69-O69)*IF(P69&gt;O69,time*(VLOOKUP(I69,List!$E$35:$F$37,2,)),time*(1-(VLOOKUP(I69,List!$E$35:$F$37,2,))))</f>
        <v>0</v>
      </c>
      <c r="X69" s="1914">
        <f>MIN(O69,Q69)*time+ABS(Q69-O69)*IF(Q69&gt;O69,time*(VLOOKUP(K69,List!$E$35:$F$37,2,)),time*(1-(VLOOKUP(K69,List!$E$35:$F$37,2,))))</f>
        <v>0</v>
      </c>
    </row>
    <row r="70" spans="1:27">
      <c r="B70" s="3228" t="str">
        <f t="shared" ref="B70:B71" si="28">B60</f>
        <v>Tidal marsh</v>
      </c>
      <c r="C70" s="2067"/>
      <c r="D70" s="2067"/>
      <c r="E70" s="2067"/>
      <c r="F70" s="3205">
        <f t="shared" ref="F70:K70" si="29">F60</f>
        <v>0</v>
      </c>
      <c r="G70" s="3205">
        <f t="shared" si="29"/>
        <v>0</v>
      </c>
      <c r="H70" s="3205">
        <f t="shared" si="29"/>
        <v>0</v>
      </c>
      <c r="I70" s="3205" t="str">
        <f t="shared" si="29"/>
        <v>Linear</v>
      </c>
      <c r="J70" s="3205">
        <f t="shared" si="29"/>
        <v>0</v>
      </c>
      <c r="K70" s="3205" t="str">
        <f t="shared" si="29"/>
        <v>Linear</v>
      </c>
      <c r="L70" s="3205"/>
      <c r="M70" s="3341">
        <f>IF('6. Coastal'!Q167="",'6. Coastal'!P167,'6. Coastal'!Q167)</f>
        <v>0</v>
      </c>
      <c r="N70" s="3203">
        <f>M70*methane*0.001</f>
        <v>0</v>
      </c>
      <c r="O70" s="1893">
        <f t="shared" ref="O70:O71" si="30">F70*N70</f>
        <v>0</v>
      </c>
      <c r="P70" s="1893">
        <f t="shared" ref="P70:P71" si="31">H70*N70</f>
        <v>0</v>
      </c>
      <c r="Q70" s="1893">
        <f t="shared" ref="Q70:Q71" si="32">J70*N70</f>
        <v>0</v>
      </c>
      <c r="S70" s="1893">
        <f>MIN(O70,P70)*time_tot+ABS(P70-O70)*IF(P70&gt;O70,time2+time*(VLOOKUP(I70,List!$E$35:$F$37,2,)),time*(1-(VLOOKUP(I70,List!$E$35:$F$37,2,))))</f>
        <v>0</v>
      </c>
      <c r="U70" s="1893">
        <f>MIN(O70,Q70)*time_tot+ABS(Q70-O70)*IF(Q70&gt;O70,time2+time*(VLOOKUP(K70,List!$E$35:$F$37,2,)),time*(1-(VLOOKUP(K70,List!$E$35:$F$37,2,))))</f>
        <v>0</v>
      </c>
      <c r="W70" s="1914">
        <f>MIN(O70,P70)*time+ABS(P70-O70)*IF(P70&gt;O70,time*(VLOOKUP(I70,List!$E$35:$F$37,2,)),time*(1-(VLOOKUP(I70,List!$E$35:$F$37,2,))))</f>
        <v>0</v>
      </c>
      <c r="X70" s="1914">
        <f>MIN(O70,Q70)*time+ABS(Q70-O70)*IF(Q70&gt;O70,time*(VLOOKUP(K70,List!$E$35:$F$37,2,)),time*(1-(VLOOKUP(K70,List!$E$35:$F$37,2,))))</f>
        <v>0</v>
      </c>
    </row>
    <row r="71" spans="1:27">
      <c r="B71" s="3228" t="str">
        <f t="shared" si="28"/>
        <v>Seagrass meadow</v>
      </c>
      <c r="C71" s="2067"/>
      <c r="D71" s="2067"/>
      <c r="E71" s="2067"/>
      <c r="F71" s="3205">
        <f t="shared" ref="F71:K71" si="33">F61</f>
        <v>0</v>
      </c>
      <c r="G71" s="3205">
        <f t="shared" si="33"/>
        <v>0</v>
      </c>
      <c r="H71" s="3205">
        <f t="shared" si="33"/>
        <v>0</v>
      </c>
      <c r="I71" s="3205" t="str">
        <f t="shared" si="33"/>
        <v>Linear</v>
      </c>
      <c r="J71" s="3205">
        <f t="shared" si="33"/>
        <v>0</v>
      </c>
      <c r="K71" s="3205" t="str">
        <f t="shared" si="33"/>
        <v>Linear</v>
      </c>
      <c r="L71" s="3205"/>
      <c r="M71" s="3341">
        <f>IF('6. Coastal'!Q168="",'6. Coastal'!P168,'6. Coastal'!Q168)</f>
        <v>0</v>
      </c>
      <c r="N71" s="3203">
        <f>M71*methane*0.001</f>
        <v>0</v>
      </c>
      <c r="O71" s="1893">
        <f t="shared" si="30"/>
        <v>0</v>
      </c>
      <c r="P71" s="1893">
        <f t="shared" si="31"/>
        <v>0</v>
      </c>
      <c r="Q71" s="1893">
        <f t="shared" si="32"/>
        <v>0</v>
      </c>
      <c r="S71" s="1893">
        <f>MIN(O71,P71)*time_tot+ABS(P71-O71)*IF(P71&gt;O71,time2+time*(VLOOKUP(I71,List!$E$35:$F$37,2,)),time*(1-(VLOOKUP(I71,List!$E$35:$F$37,2,))))</f>
        <v>0</v>
      </c>
      <c r="U71" s="1893">
        <f>MIN(O71,Q71)*time_tot+ABS(Q71-O71)*IF(Q71&gt;O71,time2+time*(VLOOKUP(K71,List!$E$35:$F$37,2,)),time*(1-(VLOOKUP(K71,List!$E$35:$F$37,2,))))</f>
        <v>0</v>
      </c>
      <c r="W71" s="1914">
        <f>MIN(O71,P71)*time+ABS(P71-O71)*IF(P71&gt;O71,time*(VLOOKUP(I71,List!$E$35:$F$37,2,)),time*(1-(VLOOKUP(I71,List!$E$35:$F$37,2,))))</f>
        <v>0</v>
      </c>
      <c r="X71" s="1914">
        <f>MIN(O71,Q71)*time+ABS(Q71-O71)*IF(Q71&gt;O71,time*(VLOOKUP(K71,List!$E$35:$F$37,2,)),time*(1-(VLOOKUP(K71,List!$E$35:$F$37,2,))))</f>
        <v>0</v>
      </c>
      <c r="Y71" s="3226" t="s">
        <v>5707</v>
      </c>
      <c r="AA71" s="3226" t="s">
        <v>5708</v>
      </c>
    </row>
    <row r="72" spans="1:27">
      <c r="B72" s="3228"/>
      <c r="C72" s="2067"/>
      <c r="D72" s="2067"/>
      <c r="E72" s="2067"/>
      <c r="F72" s="2067"/>
      <c r="G72" s="2067"/>
      <c r="H72" s="2067"/>
      <c r="I72" s="2067"/>
      <c r="J72" s="2067"/>
      <c r="K72" s="2067"/>
      <c r="L72" s="2067"/>
      <c r="M72" s="2067"/>
      <c r="N72" s="2067"/>
      <c r="W72" s="3245">
        <f>SUM(W69:W71)</f>
        <v>0</v>
      </c>
      <c r="X72" s="3245">
        <f>SUM(X69:X71)</f>
        <v>0</v>
      </c>
      <c r="Y72" s="3245">
        <f>X72-W72</f>
        <v>0</v>
      </c>
      <c r="AA72" s="3251">
        <f>V73-Y72</f>
        <v>0</v>
      </c>
    </row>
    <row r="73" spans="1:27">
      <c r="B73" s="3228"/>
      <c r="C73" s="2067"/>
      <c r="D73" s="2067"/>
      <c r="E73" s="2067"/>
      <c r="F73" s="2067"/>
      <c r="G73" s="2067"/>
      <c r="H73" s="2067"/>
      <c r="I73" s="2067"/>
      <c r="J73" s="2067"/>
      <c r="K73" s="2067"/>
      <c r="L73" s="2067"/>
      <c r="M73" s="2067"/>
      <c r="N73" s="2067"/>
      <c r="R73" s="3187" t="s">
        <v>516</v>
      </c>
      <c r="S73" s="3253">
        <f>SUM(S69:S71)</f>
        <v>0</v>
      </c>
      <c r="T73" s="2472"/>
      <c r="U73" s="3253">
        <f>SUM(U69:U71)</f>
        <v>0</v>
      </c>
      <c r="V73" s="3253">
        <f>U73-S73</f>
        <v>0</v>
      </c>
    </row>
    <row r="75" spans="1:27">
      <c r="A75" s="1636"/>
      <c r="B75" s="3228" t="str">
        <f>B35</f>
        <v>BIOMASS</v>
      </c>
      <c r="C75" s="2067"/>
      <c r="D75" s="2067"/>
      <c r="E75" s="2067"/>
      <c r="F75" s="3228" t="s">
        <v>5653</v>
      </c>
      <c r="G75" s="2067"/>
      <c r="H75" s="3228" t="s">
        <v>5686</v>
      </c>
      <c r="I75" s="2067"/>
      <c r="J75" s="3228" t="s">
        <v>495</v>
      </c>
      <c r="K75" s="2067"/>
      <c r="L75" s="3228" t="s">
        <v>499</v>
      </c>
      <c r="M75" s="3919" t="s">
        <v>7140</v>
      </c>
      <c r="N75" s="3920"/>
      <c r="O75" s="2067"/>
      <c r="P75" s="3335" t="s">
        <v>7141</v>
      </c>
      <c r="Q75" s="3327"/>
      <c r="R75" s="3327"/>
      <c r="U75" s="3249"/>
    </row>
    <row r="76" spans="1:27">
      <c r="A76" s="1636"/>
      <c r="B76" s="3228"/>
      <c r="C76" s="2067"/>
      <c r="D76" s="2067"/>
      <c r="E76" s="2067"/>
      <c r="F76" s="2067"/>
      <c r="G76" s="2067"/>
      <c r="H76" s="2067"/>
      <c r="I76" s="2067"/>
      <c r="J76" s="2067"/>
      <c r="K76" s="2067"/>
      <c r="L76" s="2067"/>
      <c r="M76" s="3327"/>
      <c r="N76" s="3197" t="str">
        <f>N36</f>
        <v>Without</v>
      </c>
      <c r="O76" s="3197" t="str">
        <f>O36</f>
        <v>With</v>
      </c>
      <c r="P76" s="3327" t="str">
        <f>P36</f>
        <v>Without</v>
      </c>
      <c r="Q76" s="3327" t="str">
        <f>Q36</f>
        <v>With</v>
      </c>
      <c r="R76" s="3327" t="str">
        <f>R36</f>
        <v>Balance</v>
      </c>
      <c r="U76" s="3249"/>
    </row>
    <row r="77" spans="1:27">
      <c r="A77" s="1636"/>
      <c r="B77" s="3229" t="str">
        <f>B37</f>
        <v>Mangrove</v>
      </c>
      <c r="C77" s="3218"/>
      <c r="D77" s="3218"/>
      <c r="E77" s="3218"/>
      <c r="F77" s="3375">
        <f>IF('6. Coastal'!H158="",'6. Coastal'!F158,'6. Coastal'!H158)</f>
        <v>0</v>
      </c>
      <c r="G77" s="3218"/>
      <c r="H77" s="3375">
        <f>IF('6. Coastal'!L158="",'6. Coastal'!J158,'6. Coastal'!L158)</f>
        <v>0</v>
      </c>
      <c r="I77" s="3218"/>
      <c r="J77" s="3217">
        <f>IF('6. Coastal'!P158="",'6. Coastal'!N158,'6. Coastal'!P158)</f>
        <v>0</v>
      </c>
      <c r="K77" s="3218"/>
      <c r="L77" s="3217">
        <f>IF('6. Coastal'!T158="",'6. Coastal'!R158,'6. Coastal'!T158)</f>
        <v>0</v>
      </c>
      <c r="M77" s="3230"/>
      <c r="N77" s="3332">
        <f>SUM(F77:L77)*'6. Coastal'!P37</f>
        <v>0</v>
      </c>
      <c r="O77" s="3332">
        <f>SUM(F77:L77)*'6. Coastal'!Q37</f>
        <v>0</v>
      </c>
      <c r="P77" s="3328">
        <f>-N77*44/12</f>
        <v>0</v>
      </c>
      <c r="Q77" s="3328">
        <f>-O77*44/12</f>
        <v>0</v>
      </c>
      <c r="R77" s="3328">
        <f>Q77-P77</f>
        <v>0</v>
      </c>
      <c r="U77" s="3249"/>
    </row>
    <row r="78" spans="1:27">
      <c r="A78" s="1636"/>
      <c r="B78" s="3229" t="str">
        <f t="shared" ref="B78:B79" si="34">B38</f>
        <v>Tidal marsh</v>
      </c>
      <c r="C78" s="3218"/>
      <c r="D78" s="3218"/>
      <c r="E78" s="3218"/>
      <c r="F78" s="3375">
        <f>IF('6. Coastal'!H159="",'6. Coastal'!F159,'6. Coastal'!H159)</f>
        <v>0</v>
      </c>
      <c r="G78" s="3218"/>
      <c r="H78" s="3375">
        <f>IF('6. Coastal'!L159="",'6. Coastal'!J159,'6. Coastal'!L159)</f>
        <v>0</v>
      </c>
      <c r="I78" s="3218"/>
      <c r="J78" s="3217">
        <f>IF('6. Coastal'!P159="",'6. Coastal'!N159,'6. Coastal'!P159)</f>
        <v>0</v>
      </c>
      <c r="K78" s="3218"/>
      <c r="L78" s="3217">
        <f>IF('6. Coastal'!T159="",'6. Coastal'!R159,'6. Coastal'!T159)</f>
        <v>0</v>
      </c>
      <c r="M78" s="3230"/>
      <c r="N78" s="3332">
        <f>SUM(F78:L78)*'6. Coastal'!P38</f>
        <v>0</v>
      </c>
      <c r="O78" s="3332">
        <f>SUM(F78:L78)*'6. Coastal'!Q38</f>
        <v>0</v>
      </c>
      <c r="P78" s="3328">
        <f t="shared" ref="P78:P79" si="35">-N78*44/12</f>
        <v>0</v>
      </c>
      <c r="Q78" s="3328">
        <f t="shared" ref="Q78:Q79" si="36">-O78*44/12</f>
        <v>0</v>
      </c>
      <c r="R78" s="3328">
        <f t="shared" ref="R78:R79" si="37">Q78-P78</f>
        <v>0</v>
      </c>
      <c r="U78" s="3249"/>
    </row>
    <row r="79" spans="1:27">
      <c r="A79" s="1636"/>
      <c r="B79" s="3229" t="str">
        <f t="shared" si="34"/>
        <v>Seagrass meadow</v>
      </c>
      <c r="C79" s="3218"/>
      <c r="D79" s="3218"/>
      <c r="E79" s="3218"/>
      <c r="F79" s="3375">
        <f>IF('6. Coastal'!H160="",'6. Coastal'!F160,'6. Coastal'!H160)</f>
        <v>0</v>
      </c>
      <c r="G79" s="3218"/>
      <c r="H79" s="3375">
        <f>IF('6. Coastal'!L160="",'6. Coastal'!J160,'6. Coastal'!L160)</f>
        <v>0</v>
      </c>
      <c r="I79" s="3218"/>
      <c r="J79" s="3217">
        <f>IF('6. Coastal'!P160="",'6. Coastal'!N160,'6. Coastal'!P160)</f>
        <v>0</v>
      </c>
      <c r="K79" s="3218"/>
      <c r="L79" s="3217">
        <f>IF('6. Coastal'!T160="",'6. Coastal'!R160,'6. Coastal'!T160)</f>
        <v>0</v>
      </c>
      <c r="M79" s="3230"/>
      <c r="N79" s="3332">
        <f>SUM(F79:L79)*'6. Coastal'!P39</f>
        <v>0</v>
      </c>
      <c r="O79" s="3332">
        <f>SUM(F79:L79)*'6. Coastal'!Q39</f>
        <v>0</v>
      </c>
      <c r="P79" s="3328">
        <f t="shared" si="35"/>
        <v>0</v>
      </c>
      <c r="Q79" s="3328">
        <f t="shared" si="36"/>
        <v>0</v>
      </c>
      <c r="R79" s="3328">
        <f t="shared" si="37"/>
        <v>0</v>
      </c>
      <c r="U79" s="3249"/>
    </row>
    <row r="80" spans="1:27">
      <c r="A80" s="1636"/>
      <c r="B80" s="3218"/>
      <c r="C80" s="3218"/>
      <c r="D80" s="3218"/>
      <c r="E80" s="3218"/>
      <c r="F80" s="3218"/>
      <c r="G80" s="3218"/>
      <c r="H80" s="3218"/>
      <c r="I80" s="3218"/>
      <c r="J80" s="3218"/>
      <c r="K80" s="3218"/>
      <c r="L80" s="3218"/>
      <c r="M80" s="3218"/>
      <c r="N80" s="3218"/>
      <c r="O80" s="3218"/>
      <c r="P80" s="3217"/>
      <c r="Q80" s="3217"/>
      <c r="R80" s="3217"/>
      <c r="U80" s="3249"/>
    </row>
    <row r="81" spans="1:27">
      <c r="A81" s="1636"/>
      <c r="B81" s="3218"/>
      <c r="C81" s="3218"/>
      <c r="D81" s="3218"/>
      <c r="E81" s="3218"/>
      <c r="F81" s="3218"/>
      <c r="G81" s="3218"/>
      <c r="H81" s="3218"/>
      <c r="I81" s="3218"/>
      <c r="J81" s="3218"/>
      <c r="K81" s="3218"/>
      <c r="L81" s="3218"/>
      <c r="M81" s="3218"/>
      <c r="N81" s="3218"/>
      <c r="O81" s="3218" t="s">
        <v>7135</v>
      </c>
      <c r="P81" s="3328">
        <f>SUM(P77:P79)</f>
        <v>0</v>
      </c>
      <c r="Q81" s="3328">
        <f t="shared" ref="Q81:R81" si="38">SUM(Q77:Q79)</f>
        <v>0</v>
      </c>
      <c r="R81" s="3328">
        <f t="shared" si="38"/>
        <v>0</v>
      </c>
      <c r="U81" s="3249"/>
    </row>
    <row r="82" spans="1:27">
      <c r="A82" s="1636"/>
      <c r="M82" s="3336"/>
    </row>
    <row r="83" spans="1:27" ht="13.5" thickBot="1">
      <c r="A83" s="1636"/>
      <c r="B83" s="3187"/>
      <c r="C83" s="2472"/>
      <c r="D83" s="2472"/>
      <c r="E83" s="3187" t="str">
        <f>'6. Coastal'!F34</f>
        <v>Area rewetted (ha)</v>
      </c>
      <c r="F83" s="2472"/>
      <c r="G83" s="2472"/>
      <c r="H83" s="2472"/>
      <c r="I83" s="2472"/>
      <c r="J83" s="2472"/>
      <c r="K83" s="2472"/>
      <c r="S83" s="3921" t="s">
        <v>7142</v>
      </c>
      <c r="T83" s="3855"/>
      <c r="U83" s="3855"/>
      <c r="W83" s="1872" t="s">
        <v>844</v>
      </c>
      <c r="X83" s="1902"/>
    </row>
    <row r="84" spans="1:27">
      <c r="A84" s="1636"/>
      <c r="B84" s="3187"/>
      <c r="C84" s="2472"/>
      <c r="D84" s="2472"/>
      <c r="E84" s="3187"/>
      <c r="F84" s="3187"/>
      <c r="G84" s="3187"/>
      <c r="H84" s="3187"/>
      <c r="I84" s="3187"/>
      <c r="J84" s="2472"/>
      <c r="K84" s="2472"/>
      <c r="S84" s="3324" t="s">
        <v>341</v>
      </c>
      <c r="U84" s="3324"/>
      <c r="W84" s="1913" t="s">
        <v>674</v>
      </c>
      <c r="X84" s="1913" t="s">
        <v>675</v>
      </c>
    </row>
    <row r="85" spans="1:27">
      <c r="A85" s="1636"/>
      <c r="B85" s="3187"/>
      <c r="C85" s="2472"/>
      <c r="D85" s="2472"/>
      <c r="E85" s="2472"/>
      <c r="F85" s="3188">
        <f>F57</f>
        <v>0</v>
      </c>
      <c r="G85" s="2472"/>
      <c r="H85" s="3188">
        <f>H57</f>
        <v>0</v>
      </c>
      <c r="I85" s="2472"/>
      <c r="J85" s="3188">
        <f>J57</f>
        <v>0</v>
      </c>
      <c r="K85" s="2472"/>
      <c r="S85" s="1367" t="s">
        <v>674</v>
      </c>
      <c r="U85" s="1368" t="s">
        <v>675</v>
      </c>
      <c r="W85" s="3249"/>
    </row>
    <row r="86" spans="1:27">
      <c r="A86" s="1636"/>
      <c r="B86" s="3228" t="str">
        <f>B77</f>
        <v>Mangrove</v>
      </c>
      <c r="C86" s="2067"/>
      <c r="D86" s="2067"/>
      <c r="E86" s="2067"/>
      <c r="F86" s="3243">
        <f>F59</f>
        <v>0</v>
      </c>
      <c r="G86" s="2067"/>
      <c r="H86" s="3243">
        <f>H59</f>
        <v>0</v>
      </c>
      <c r="J86" s="3243">
        <f>J59</f>
        <v>0</v>
      </c>
      <c r="S86" s="3337">
        <f>(H86-F86)*P77</f>
        <v>0</v>
      </c>
      <c r="U86" s="3337">
        <f>(J86-F86)*Q77</f>
        <v>0</v>
      </c>
      <c r="W86" s="3254">
        <f>S86</f>
        <v>0</v>
      </c>
      <c r="X86" s="3245">
        <f>U86</f>
        <v>0</v>
      </c>
    </row>
    <row r="87" spans="1:27">
      <c r="A87" s="1636"/>
      <c r="B87" s="3228" t="str">
        <f>B78</f>
        <v>Tidal marsh</v>
      </c>
      <c r="C87" s="2067"/>
      <c r="D87" s="2067"/>
      <c r="E87" s="2067"/>
      <c r="F87" s="3243">
        <f t="shared" ref="F87:F88" si="39">F60</f>
        <v>0</v>
      </c>
      <c r="G87" s="2067"/>
      <c r="H87" s="3243">
        <f t="shared" ref="H87:H88" si="40">H60</f>
        <v>0</v>
      </c>
      <c r="J87" s="3243">
        <f t="shared" ref="J87:J88" si="41">J60</f>
        <v>0</v>
      </c>
      <c r="S87" s="3337">
        <f>(H87-F87)*P78</f>
        <v>0</v>
      </c>
      <c r="U87" s="3337">
        <f>(J87-F87)*Q78</f>
        <v>0</v>
      </c>
      <c r="W87" s="3254">
        <f t="shared" ref="W87:W88" si="42">S87</f>
        <v>0</v>
      </c>
      <c r="X87" s="3245">
        <f t="shared" ref="X87:X88" si="43">U87</f>
        <v>0</v>
      </c>
    </row>
    <row r="88" spans="1:27">
      <c r="A88" s="1636"/>
      <c r="B88" s="3228" t="str">
        <f>B79</f>
        <v>Seagrass meadow</v>
      </c>
      <c r="C88" s="2067"/>
      <c r="D88" s="2067"/>
      <c r="E88" s="2067"/>
      <c r="F88" s="3243">
        <f t="shared" si="39"/>
        <v>0</v>
      </c>
      <c r="G88" s="2067"/>
      <c r="H88" s="3243">
        <f t="shared" si="40"/>
        <v>0</v>
      </c>
      <c r="J88" s="3243">
        <f t="shared" si="41"/>
        <v>0</v>
      </c>
      <c r="S88" s="3337">
        <f>(H88-F88)*P79</f>
        <v>0</v>
      </c>
      <c r="U88" s="2061">
        <f>(J88-F88)*Q79</f>
        <v>0</v>
      </c>
      <c r="W88" s="3254">
        <f t="shared" si="42"/>
        <v>0</v>
      </c>
      <c r="X88" s="3245">
        <f t="shared" si="43"/>
        <v>0</v>
      </c>
      <c r="Y88" s="3226" t="s">
        <v>5707</v>
      </c>
      <c r="AA88" s="3226"/>
    </row>
    <row r="89" spans="1:27">
      <c r="W89" s="3245">
        <f>SUM(W86:W88)</f>
        <v>0</v>
      </c>
      <c r="X89" s="3245">
        <f>SUM(X86:X88)</f>
        <v>0</v>
      </c>
      <c r="Y89" s="3245">
        <f>X89-W89</f>
        <v>0</v>
      </c>
      <c r="AA89" s="3251"/>
    </row>
    <row r="90" spans="1:27">
      <c r="R90" s="3187" t="s">
        <v>516</v>
      </c>
      <c r="S90" s="3253">
        <f>SUM(S86:S88)</f>
        <v>0</v>
      </c>
      <c r="T90" s="2472"/>
      <c r="U90" s="3253">
        <f>SUM(U86:U88)</f>
        <v>0</v>
      </c>
      <c r="V90" s="3253">
        <f>U90-S90</f>
        <v>0</v>
      </c>
      <c r="W90" s="3249"/>
    </row>
    <row r="91" spans="1:27">
      <c r="W91" s="3254"/>
      <c r="X91" s="3245"/>
      <c r="Y91" s="3245"/>
    </row>
  </sheetData>
  <mergeCells count="7">
    <mergeCell ref="O66:Q66"/>
    <mergeCell ref="O56:Q56"/>
    <mergeCell ref="M75:N75"/>
    <mergeCell ref="S83:U83"/>
    <mergeCell ref="E22:H22"/>
    <mergeCell ref="M22:N22"/>
    <mergeCell ref="M23:N2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39997558519241921"/>
    <pageSetUpPr fitToPage="1"/>
  </sheetPr>
  <dimension ref="A1:AA340"/>
  <sheetViews>
    <sheetView zoomScale="90" zoomScaleNormal="90" workbookViewId="0">
      <pane ySplit="5" topLeftCell="A6" activePane="bottomLeft" state="frozen"/>
      <selection activeCell="O43" sqref="O43"/>
      <selection pane="bottomLeft" activeCell="A33" sqref="A33"/>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8.7109375" style="244" customWidth="1"/>
    <col min="6" max="6" width="10.7109375" style="244" customWidth="1"/>
    <col min="7" max="7" width="2.28515625" style="232" customWidth="1"/>
    <col min="8" max="8" width="10.42578125" style="232" customWidth="1"/>
    <col min="9" max="9" width="8.7109375" style="244" customWidth="1"/>
    <col min="10" max="10" width="2.42578125" style="244" customWidth="1"/>
    <col min="11" max="11" width="8.7109375" style="244" customWidth="1"/>
    <col min="12" max="12" width="3" style="244" customWidth="1"/>
    <col min="13" max="14" width="9" style="244" customWidth="1"/>
    <col min="15" max="15" width="2.7109375" style="244" customWidth="1"/>
    <col min="16" max="17" width="9" style="244" customWidth="1"/>
    <col min="18" max="18" width="2" style="244" customWidth="1"/>
    <col min="19" max="19" width="9.7109375" style="244" customWidth="1"/>
    <col min="20" max="20" width="2.5703125" style="244" customWidth="1"/>
    <col min="21" max="21" width="11.42578125" style="244" customWidth="1"/>
    <col min="22" max="22" width="1.7109375" style="244" customWidth="1"/>
    <col min="23" max="23" width="10" style="244" customWidth="1"/>
    <col min="24" max="24" width="9" style="244" customWidth="1"/>
    <col min="25" max="25" width="10.140625" style="232" customWidth="1"/>
    <col min="26" max="28" width="10.7109375" style="232" customWidth="1"/>
    <col min="29" max="16384" width="14.140625" style="232"/>
  </cols>
  <sheetData>
    <row r="1" spans="1:26" s="2233" customFormat="1" ht="22.9" customHeight="1">
      <c r="E1" s="2234"/>
      <c r="F1" s="2234"/>
      <c r="I1" s="2234"/>
      <c r="J1" s="2234"/>
      <c r="K1" s="2234"/>
      <c r="L1" s="2234"/>
      <c r="M1" s="2234"/>
      <c r="N1" s="2234"/>
      <c r="O1" s="2234"/>
      <c r="P1" s="2234"/>
      <c r="Q1" s="2234"/>
      <c r="R1" s="2234"/>
      <c r="S1" s="2234"/>
      <c r="T1" s="2234"/>
      <c r="U1" s="2234"/>
      <c r="V1" s="2234"/>
      <c r="W1" s="2234"/>
      <c r="X1" s="2234"/>
    </row>
    <row r="2" spans="1:26" s="2233" customFormat="1" ht="22.9" customHeight="1">
      <c r="E2" s="2234"/>
      <c r="F2" s="2234"/>
      <c r="I2" s="2234"/>
      <c r="J2" s="2234"/>
      <c r="K2" s="2234"/>
      <c r="L2" s="2234"/>
      <c r="M2" s="2234"/>
      <c r="N2" s="2234"/>
      <c r="O2" s="2234"/>
      <c r="P2" s="2234"/>
      <c r="Q2" s="2234"/>
      <c r="R2" s="2234"/>
      <c r="S2" s="2234"/>
      <c r="T2" s="2234"/>
      <c r="U2" s="2234"/>
      <c r="V2" s="2234"/>
      <c r="W2" s="2234"/>
      <c r="X2" s="2234"/>
    </row>
    <row r="3" spans="1:26" s="2233" customFormat="1" ht="22.9" customHeight="1">
      <c r="E3" s="2234"/>
      <c r="F3" s="2234"/>
      <c r="I3" s="2234"/>
      <c r="J3" s="2234"/>
      <c r="K3" s="2234"/>
      <c r="L3" s="2234"/>
      <c r="M3" s="2234"/>
      <c r="N3" s="2234"/>
      <c r="O3" s="2234"/>
      <c r="P3" s="2234"/>
      <c r="Q3" s="2234"/>
      <c r="R3" s="2234"/>
      <c r="S3" s="2234"/>
      <c r="T3" s="2234"/>
      <c r="U3" s="2234"/>
      <c r="V3" s="2234"/>
      <c r="W3" s="2234"/>
      <c r="X3" s="2234"/>
    </row>
    <row r="4" spans="1:26" s="2233" customFormat="1" ht="22.9" customHeight="1">
      <c r="E4" s="2234"/>
      <c r="F4" s="2234"/>
      <c r="I4" s="2234"/>
      <c r="J4" s="2234"/>
      <c r="K4" s="2234"/>
      <c r="L4" s="2234"/>
      <c r="M4" s="2234"/>
      <c r="N4" s="2234"/>
      <c r="O4" s="2234"/>
      <c r="P4" s="2234"/>
      <c r="Q4" s="2234"/>
      <c r="R4" s="2234"/>
      <c r="S4" s="2234"/>
      <c r="T4" s="2234"/>
      <c r="U4" s="2234"/>
      <c r="V4" s="2234"/>
      <c r="W4" s="2234"/>
      <c r="X4" s="2234"/>
    </row>
    <row r="5" spans="1:26" s="2235" customFormat="1" ht="22.9" customHeight="1">
      <c r="A5" s="2706" t="str">
        <f>HLOOKUP(select,translations!$B$436:$H$450,2,)</f>
        <v xml:space="preserve"> </v>
      </c>
      <c r="E5" s="2236"/>
      <c r="F5" s="2236"/>
      <c r="I5" s="2236"/>
      <c r="J5" s="2236"/>
      <c r="K5" s="2236"/>
      <c r="L5" s="2236"/>
      <c r="M5" s="2236"/>
      <c r="N5" s="2236"/>
      <c r="O5" s="2236"/>
      <c r="P5" s="2236"/>
      <c r="Q5" s="2236"/>
      <c r="R5" s="2236"/>
      <c r="S5" s="2236"/>
      <c r="T5" s="2236"/>
      <c r="U5" s="2236"/>
      <c r="V5" s="2236"/>
      <c r="W5" s="2236"/>
      <c r="X5" s="2236"/>
    </row>
    <row r="6" spans="1:26" s="1715" customFormat="1">
      <c r="B6" s="1797"/>
      <c r="I6" s="1717"/>
      <c r="J6" s="1717"/>
      <c r="K6" s="1717"/>
      <c r="L6" s="1717"/>
      <c r="M6" s="1717"/>
      <c r="N6" s="1717"/>
      <c r="O6" s="1717"/>
      <c r="P6" s="1717"/>
      <c r="Q6" s="1717"/>
      <c r="R6" s="1717"/>
      <c r="S6" s="1717"/>
      <c r="T6" s="1717"/>
      <c r="U6" s="1717"/>
      <c r="V6" s="1717"/>
      <c r="W6" s="1717"/>
      <c r="X6" s="1717"/>
    </row>
    <row r="7" spans="1:26" s="1714" customFormat="1" ht="15.75">
      <c r="B7" s="2520" t="str">
        <f>HLOOKUP(select,translations!$A$251:$H$340,2,)</f>
        <v>6.1. Inputs (liming, fertilizers, pesticides, herbicides,…)</v>
      </c>
      <c r="C7" s="1732"/>
      <c r="D7" s="1732"/>
      <c r="E7" s="1732"/>
      <c r="F7" s="1732"/>
      <c r="G7" s="1732"/>
      <c r="H7" s="1732"/>
      <c r="I7" s="1732"/>
      <c r="J7" s="1732"/>
      <c r="K7" s="1732"/>
      <c r="L7" s="1732"/>
      <c r="M7" s="1732"/>
      <c r="N7" s="1732"/>
      <c r="O7" s="1732"/>
      <c r="P7" s="1732"/>
      <c r="Q7" s="1732"/>
      <c r="R7" s="1732"/>
      <c r="S7" s="1732"/>
      <c r="T7" s="1732"/>
      <c r="U7" s="1732"/>
      <c r="V7" s="1732"/>
      <c r="W7" s="1732"/>
      <c r="X7" s="1957"/>
      <c r="Y7" s="1957"/>
    </row>
    <row r="8" spans="1:26" s="1714" customFormat="1" ht="13.15" customHeight="1">
      <c r="B8" s="1719"/>
      <c r="W8" s="1958"/>
      <c r="X8" s="1958"/>
    </row>
    <row r="9" spans="1:26" s="1959" customFormat="1" ht="15.6" customHeight="1">
      <c r="B9" s="2778" t="str">
        <f>HLOOKUP(select,translations!$A$251:$H$340,3,)</f>
        <v>Description and unit to report</v>
      </c>
      <c r="C9" s="2837"/>
      <c r="D9" s="1869"/>
      <c r="E9" s="2085"/>
      <c r="F9" s="1869"/>
      <c r="G9" s="1869"/>
      <c r="H9" s="1726" t="str">
        <f>HLOOKUP(select,translations!$A$251:$H$340,4,)</f>
        <v>Amount applied per year</v>
      </c>
      <c r="I9" s="1727"/>
      <c r="J9" s="1727"/>
      <c r="K9" s="1727"/>
      <c r="L9" s="1960"/>
      <c r="M9" s="3924" t="str">
        <f>HLOOKUP(select,translations!$A$251:$H$340,5,)</f>
        <v>Total emissions at field level (tCO2-eq)</v>
      </c>
      <c r="N9" s="3925"/>
      <c r="O9" s="3925"/>
      <c r="P9" s="3925"/>
      <c r="Q9" s="3925"/>
      <c r="R9" s="1727"/>
      <c r="S9" s="3928" t="str">
        <f>HLOOKUP(select,translations!$A$251:$H$340,6,)</f>
        <v>Emissions from production, transportation, storage and transfer (tCO2-eq)</v>
      </c>
      <c r="T9" s="3928"/>
      <c r="U9" s="3928"/>
      <c r="V9" s="3928"/>
      <c r="W9" s="3716" t="str">
        <f>'5. Management'!Y10</f>
        <v>Total Emissions</v>
      </c>
      <c r="X9" s="3716"/>
      <c r="Y9" s="2074" t="str">
        <f>'5. Management'!AA10</f>
        <v>Balance</v>
      </c>
    </row>
    <row r="10" spans="1:26" s="1959" customFormat="1" ht="15.6" customHeight="1">
      <c r="B10" s="2778"/>
      <c r="C10" s="2837"/>
      <c r="D10" s="2086"/>
      <c r="E10" s="2086"/>
      <c r="F10" s="1869"/>
      <c r="G10" s="1869"/>
      <c r="H10" s="1727"/>
      <c r="I10" s="1727"/>
      <c r="J10" s="1727"/>
      <c r="K10" s="1727"/>
      <c r="L10" s="1960"/>
      <c r="M10" s="3925" t="str">
        <f>HLOOKUP(select,translations!$A$251:$H$340,24,)</f>
        <v>CO2 emissions</v>
      </c>
      <c r="N10" s="3925"/>
      <c r="O10" s="1966"/>
      <c r="P10" s="3925" t="str">
        <f>HLOOKUP(select,translations!$A$251:$H$340,25,)</f>
        <v>N2O emissions</v>
      </c>
      <c r="Q10" s="3925"/>
      <c r="R10" s="1727"/>
      <c r="S10" s="3928"/>
      <c r="T10" s="3928"/>
      <c r="U10" s="3928"/>
      <c r="V10" s="3928"/>
      <c r="W10" s="3836" t="str">
        <f>'5. Management'!Y11</f>
        <v>(tCO2-eq)</v>
      </c>
      <c r="X10" s="3836"/>
      <c r="Y10" s="1746"/>
    </row>
    <row r="11" spans="1:26" s="1959" customFormat="1">
      <c r="B11" s="2778" t="str">
        <f>HLOOKUP(select,translations!$A$251:$H$340,7,)</f>
        <v>Lime application</v>
      </c>
      <c r="C11" s="2085"/>
      <c r="D11" s="2086"/>
      <c r="E11" s="2086"/>
      <c r="F11" s="1869"/>
      <c r="G11" s="1869"/>
      <c r="H11" s="1967" t="str">
        <f>'5. Management'!T11</f>
        <v>Start</v>
      </c>
      <c r="I11" s="2665" t="str">
        <f>'5. Management'!U11</f>
        <v>Without</v>
      </c>
      <c r="J11" s="2329" t="s">
        <v>91</v>
      </c>
      <c r="K11" s="2617" t="str">
        <f>'5. Management'!W11</f>
        <v>With</v>
      </c>
      <c r="L11" s="2329" t="s">
        <v>91</v>
      </c>
      <c r="M11" s="2617" t="str">
        <f>I11</f>
        <v>Without</v>
      </c>
      <c r="N11" s="2617" t="str">
        <f>K11</f>
        <v>With</v>
      </c>
      <c r="O11" s="1746"/>
      <c r="P11" s="2617" t="str">
        <f>I11</f>
        <v>Without</v>
      </c>
      <c r="Q11" s="2617" t="str">
        <f>K11</f>
        <v>With</v>
      </c>
      <c r="R11" s="1746"/>
      <c r="S11" s="2617" t="str">
        <f>P11</f>
        <v>Without</v>
      </c>
      <c r="T11" s="2329"/>
      <c r="U11" s="2617" t="str">
        <f>Q11</f>
        <v>With</v>
      </c>
      <c r="V11" s="1727"/>
      <c r="W11" s="2617" t="str">
        <f>S11</f>
        <v>Without</v>
      </c>
      <c r="X11" s="2617" t="str">
        <f>U11</f>
        <v>With</v>
      </c>
      <c r="Y11" s="1746"/>
    </row>
    <row r="12" spans="1:26" s="1955" customFormat="1">
      <c r="B12" s="2838"/>
      <c r="C12" s="2838" t="str">
        <f>HLOOKUP(select,translations!$A$251:$H$340,8,)</f>
        <v>Limestone (tonnes per year)</v>
      </c>
      <c r="D12" s="2090"/>
      <c r="E12" s="2090"/>
      <c r="F12" s="1956"/>
      <c r="G12" s="1956"/>
      <c r="H12" s="2091">
        <v>0</v>
      </c>
      <c r="I12" s="2091">
        <v>0</v>
      </c>
      <c r="J12" s="2113" t="s">
        <v>1498</v>
      </c>
      <c r="K12" s="2091">
        <v>0</v>
      </c>
      <c r="L12" s="2113" t="s">
        <v>1498</v>
      </c>
      <c r="M12" s="1954">
        <f>Inputs!Q12</f>
        <v>0</v>
      </c>
      <c r="N12" s="1954">
        <f>Inputs!R12</f>
        <v>0</v>
      </c>
      <c r="O12" s="1954"/>
      <c r="P12" s="1954" t="s">
        <v>1457</v>
      </c>
      <c r="Q12" s="1954" t="s">
        <v>1457</v>
      </c>
      <c r="R12" s="1968"/>
      <c r="S12" s="1954">
        <f>Inputs!Q44</f>
        <v>0</v>
      </c>
      <c r="T12" s="1954"/>
      <c r="U12" s="1954">
        <f>Inputs!R44</f>
        <v>0</v>
      </c>
      <c r="V12" s="1956"/>
      <c r="W12" s="1954">
        <f>M12+S12</f>
        <v>0</v>
      </c>
      <c r="X12" s="1954">
        <f>N12+U12</f>
        <v>0</v>
      </c>
      <c r="Y12" s="1954">
        <f>X12-W12</f>
        <v>0</v>
      </c>
      <c r="Z12" s="1972"/>
    </row>
    <row r="13" spans="1:26" s="1955" customFormat="1">
      <c r="B13" s="2838"/>
      <c r="C13" s="2838" t="str">
        <f>HLOOKUP(select,translations!$A$251:$H$340,9,)</f>
        <v>Dolomite tonnes per year)</v>
      </c>
      <c r="D13" s="2090"/>
      <c r="E13" s="2090"/>
      <c r="F13" s="1956"/>
      <c r="G13" s="1956"/>
      <c r="H13" s="2091">
        <v>0</v>
      </c>
      <c r="I13" s="2091">
        <v>0</v>
      </c>
      <c r="J13" s="2113" t="s">
        <v>1498</v>
      </c>
      <c r="K13" s="2091">
        <v>0</v>
      </c>
      <c r="L13" s="2113" t="s">
        <v>1498</v>
      </c>
      <c r="M13" s="1954">
        <f>Inputs!Q13</f>
        <v>0</v>
      </c>
      <c r="N13" s="1954">
        <f>Inputs!R13</f>
        <v>0</v>
      </c>
      <c r="O13" s="1954"/>
      <c r="P13" s="1954" t="s">
        <v>1457</v>
      </c>
      <c r="Q13" s="1954" t="s">
        <v>1457</v>
      </c>
      <c r="R13" s="1968"/>
      <c r="S13" s="1954">
        <f>Inputs!Q45</f>
        <v>0</v>
      </c>
      <c r="T13" s="1954"/>
      <c r="U13" s="1954">
        <f>Inputs!R45</f>
        <v>0</v>
      </c>
      <c r="V13" s="1956"/>
      <c r="W13" s="1954">
        <f>M13+S13</f>
        <v>0</v>
      </c>
      <c r="X13" s="1954">
        <f>N13+U13</f>
        <v>0</v>
      </c>
      <c r="Y13" s="1954">
        <f>X13-W13</f>
        <v>0</v>
      </c>
      <c r="Z13" s="1972"/>
    </row>
    <row r="14" spans="1:26" s="1955" customFormat="1">
      <c r="B14" s="2838"/>
      <c r="C14" s="2838" t="str">
        <f>HLOOKUP(select,translations!$A$251:$H$340,10,)</f>
        <v>not-specified (tonnes per year)</v>
      </c>
      <c r="D14" s="2090"/>
      <c r="E14" s="2090"/>
      <c r="F14" s="1956"/>
      <c r="G14" s="1956"/>
      <c r="H14" s="2091">
        <v>0</v>
      </c>
      <c r="I14" s="2091">
        <v>0</v>
      </c>
      <c r="J14" s="2113" t="s">
        <v>1498</v>
      </c>
      <c r="K14" s="2091">
        <v>0</v>
      </c>
      <c r="L14" s="2113" t="s">
        <v>1498</v>
      </c>
      <c r="M14" s="1954">
        <f>Inputs!Q14</f>
        <v>0</v>
      </c>
      <c r="N14" s="1954">
        <f>Inputs!R14</f>
        <v>0</v>
      </c>
      <c r="O14" s="1954"/>
      <c r="P14" s="1954" t="s">
        <v>1457</v>
      </c>
      <c r="Q14" s="1954" t="s">
        <v>1457</v>
      </c>
      <c r="R14" s="1968"/>
      <c r="S14" s="1954">
        <f>Inputs!Q46</f>
        <v>0</v>
      </c>
      <c r="T14" s="1954"/>
      <c r="U14" s="1954">
        <f>Inputs!R46</f>
        <v>0</v>
      </c>
      <c r="V14" s="1956"/>
      <c r="W14" s="1954">
        <f>M14+S14</f>
        <v>0</v>
      </c>
      <c r="X14" s="1954">
        <f>N14+U14</f>
        <v>0</v>
      </c>
      <c r="Y14" s="1954">
        <f>X14-W14</f>
        <v>0</v>
      </c>
      <c r="Z14" s="1972"/>
    </row>
    <row r="15" spans="1:26" s="1959" customFormat="1">
      <c r="B15" s="1757" t="str">
        <f>HLOOKUP(select,translations!$A$251:$H$340,11,)</f>
        <v>Fertilizers</v>
      </c>
      <c r="C15" s="2085"/>
      <c r="D15" s="2086"/>
      <c r="E15" s="2086"/>
      <c r="F15" s="1869"/>
      <c r="G15" s="1869"/>
      <c r="H15" s="2086"/>
      <c r="I15" s="2086"/>
      <c r="J15" s="2086"/>
      <c r="K15" s="2086"/>
      <c r="L15" s="2086"/>
      <c r="M15" s="2086"/>
      <c r="N15" s="1954"/>
      <c r="O15" s="1954"/>
      <c r="P15" s="1954"/>
      <c r="Q15" s="1954"/>
      <c r="R15" s="1970"/>
      <c r="S15" s="2079"/>
      <c r="T15" s="2333"/>
      <c r="U15" s="2079"/>
      <c r="V15" s="1869"/>
      <c r="W15" s="1954">
        <f>M15+S15</f>
        <v>0</v>
      </c>
      <c r="X15" s="1954">
        <f>N15+U15</f>
        <v>0</v>
      </c>
      <c r="Y15" s="1954">
        <f t="shared" ref="Y15:Y26" si="0">X15-W15</f>
        <v>0</v>
      </c>
      <c r="Z15" s="1972"/>
    </row>
    <row r="16" spans="1:26" s="1955" customFormat="1">
      <c r="B16" s="2838"/>
      <c r="C16" s="2838" t="str">
        <f>HLOOKUP(select,translations!$A$251:$H$340,12,)</f>
        <v>Urea (tonnes of N per year - Urea has 46.7% of N)</v>
      </c>
      <c r="D16" s="2090"/>
      <c r="E16" s="2090"/>
      <c r="F16" s="1956"/>
      <c r="G16" s="1956"/>
      <c r="H16" s="2091">
        <v>0</v>
      </c>
      <c r="I16" s="2091">
        <v>0</v>
      </c>
      <c r="J16" s="2113" t="s">
        <v>1498</v>
      </c>
      <c r="K16" s="2091">
        <v>0</v>
      </c>
      <c r="L16" s="2113" t="s">
        <v>1498</v>
      </c>
      <c r="M16" s="1954">
        <f>Inputs!Q21</f>
        <v>0</v>
      </c>
      <c r="N16" s="1954">
        <f>Inputs!R21</f>
        <v>0</v>
      </c>
      <c r="O16" s="1954"/>
      <c r="P16" s="1954">
        <f>Inputs!Q28</f>
        <v>0</v>
      </c>
      <c r="Q16" s="1954">
        <f>Inputs!R28</f>
        <v>0</v>
      </c>
      <c r="R16" s="1969"/>
      <c r="S16" s="1954">
        <f>IF($X$153="YES",Inputs!Q39-M16,Inputs!Q39)</f>
        <v>0</v>
      </c>
      <c r="T16" s="2379" t="str">
        <f>IF($X$153="YES","**","")</f>
        <v/>
      </c>
      <c r="U16" s="1954">
        <f>IF($X$153="YES",Inputs!R39-N16,Inputs!R39)</f>
        <v>0</v>
      </c>
      <c r="V16" s="2495" t="str">
        <f>IF($X$153="YES","**","")</f>
        <v/>
      </c>
      <c r="W16" s="1954">
        <f>M16+S16+P16</f>
        <v>0</v>
      </c>
      <c r="X16" s="1954">
        <f>N16+U16+Q16</f>
        <v>0</v>
      </c>
      <c r="Y16" s="1954">
        <f t="shared" si="0"/>
        <v>0</v>
      </c>
      <c r="Z16" s="1972"/>
    </row>
    <row r="17" spans="2:27" s="1955" customFormat="1">
      <c r="B17" s="2838"/>
      <c r="C17" s="2838" t="str">
        <f>HLOOKUP(select,translations!$A$251:$H$340,13,)</f>
        <v>Other N-fertilizers (tonnes of N per year)</v>
      </c>
      <c r="D17" s="2090"/>
      <c r="E17" s="2090"/>
      <c r="F17" s="1956"/>
      <c r="G17" s="1956"/>
      <c r="H17" s="2091">
        <v>0</v>
      </c>
      <c r="I17" s="2091">
        <v>0</v>
      </c>
      <c r="J17" s="2113" t="s">
        <v>1498</v>
      </c>
      <c r="K17" s="2091">
        <v>0</v>
      </c>
      <c r="L17" s="2113" t="s">
        <v>1498</v>
      </c>
      <c r="M17" s="1954" t="s">
        <v>1457</v>
      </c>
      <c r="N17" s="1954" t="s">
        <v>1457</v>
      </c>
      <c r="O17" s="1954"/>
      <c r="P17" s="1954">
        <f>Inputs!Q29</f>
        <v>0</v>
      </c>
      <c r="Q17" s="1954">
        <f>Inputs!R29</f>
        <v>0</v>
      </c>
      <c r="R17" s="1969"/>
      <c r="S17" s="1954">
        <f>Inputs!Q40</f>
        <v>0</v>
      </c>
      <c r="T17" s="1954"/>
      <c r="U17" s="1954">
        <f>Inputs!R40</f>
        <v>0</v>
      </c>
      <c r="V17" s="1956"/>
      <c r="W17" s="1954">
        <f>P17+S17</f>
        <v>0</v>
      </c>
      <c r="X17" s="1954">
        <f>Q17+U17</f>
        <v>0</v>
      </c>
      <c r="Y17" s="1954">
        <f t="shared" si="0"/>
        <v>0</v>
      </c>
      <c r="Z17" s="1972"/>
      <c r="AA17" s="1972"/>
    </row>
    <row r="18" spans="2:27" s="1955" customFormat="1">
      <c r="B18" s="2838"/>
      <c r="C18" s="2838" t="str">
        <f>HLOOKUP(select,translations!$A$251:$H$340,14,)</f>
        <v>N-fertilizer in irrigated rice (tonnes of N per year)</v>
      </c>
      <c r="D18" s="2090"/>
      <c r="E18" s="2090"/>
      <c r="F18" s="1956"/>
      <c r="G18" s="1956"/>
      <c r="H18" s="2091">
        <v>0</v>
      </c>
      <c r="I18" s="2091">
        <v>0</v>
      </c>
      <c r="J18" s="2113" t="s">
        <v>1498</v>
      </c>
      <c r="K18" s="2091">
        <v>0</v>
      </c>
      <c r="L18" s="2113" t="s">
        <v>1498</v>
      </c>
      <c r="M18" s="1954" t="s">
        <v>1457</v>
      </c>
      <c r="N18" s="1954" t="s">
        <v>1457</v>
      </c>
      <c r="O18" s="1954"/>
      <c r="P18" s="1954">
        <f>Inputs!Q30</f>
        <v>0</v>
      </c>
      <c r="Q18" s="1954">
        <f>Inputs!R30</f>
        <v>0</v>
      </c>
      <c r="R18" s="1969"/>
      <c r="S18" s="1954">
        <f>Inputs!Q41</f>
        <v>0</v>
      </c>
      <c r="T18" s="1954"/>
      <c r="U18" s="1954">
        <f>Inputs!R41</f>
        <v>0</v>
      </c>
      <c r="V18" s="1956"/>
      <c r="W18" s="1954">
        <f>P18+S18</f>
        <v>0</v>
      </c>
      <c r="X18" s="1954">
        <f>Q18+U18</f>
        <v>0</v>
      </c>
      <c r="Y18" s="1954">
        <f t="shared" si="0"/>
        <v>0</v>
      </c>
      <c r="Z18" s="1972"/>
    </row>
    <row r="19" spans="2:27" s="1955" customFormat="1">
      <c r="B19" s="2838"/>
      <c r="C19" s="2838" t="str">
        <f>HLOOKUP(select,translations!$A$251:$H$340,15,)</f>
        <v>Sewage (tonnes of N per year)</v>
      </c>
      <c r="D19" s="2090"/>
      <c r="E19" s="2090"/>
      <c r="F19" s="1956"/>
      <c r="G19" s="1956"/>
      <c r="H19" s="2091">
        <v>0</v>
      </c>
      <c r="I19" s="2091">
        <v>0</v>
      </c>
      <c r="J19" s="2113" t="s">
        <v>1498</v>
      </c>
      <c r="K19" s="2091">
        <v>0</v>
      </c>
      <c r="L19" s="2113" t="s">
        <v>1498</v>
      </c>
      <c r="M19" s="1954" t="s">
        <v>1457</v>
      </c>
      <c r="N19" s="1954" t="s">
        <v>1457</v>
      </c>
      <c r="O19" s="1954"/>
      <c r="P19" s="1954">
        <f>Inputs!Q31</f>
        <v>0</v>
      </c>
      <c r="Q19" s="1954">
        <f>Inputs!R31</f>
        <v>0</v>
      </c>
      <c r="R19" s="1969"/>
      <c r="S19" s="1954" t="s">
        <v>1457</v>
      </c>
      <c r="T19" s="1954"/>
      <c r="U19" s="1954" t="s">
        <v>1457</v>
      </c>
      <c r="V19" s="1956"/>
      <c r="W19" s="1954">
        <f>P19</f>
        <v>0</v>
      </c>
      <c r="X19" s="1954">
        <f>Q19</f>
        <v>0</v>
      </c>
      <c r="Y19" s="1954">
        <f t="shared" si="0"/>
        <v>0</v>
      </c>
      <c r="Z19" s="1972"/>
    </row>
    <row r="20" spans="2:27" s="1955" customFormat="1">
      <c r="B20" s="2838"/>
      <c r="C20" s="2838" t="str">
        <f>HLOOKUP(select,translations!$A$251:$H$340,16,)</f>
        <v>Compost (tonnes of N per year)</v>
      </c>
      <c r="D20" s="2090"/>
      <c r="E20" s="2090"/>
      <c r="F20" s="1956"/>
      <c r="G20" s="1956"/>
      <c r="H20" s="2091">
        <v>0</v>
      </c>
      <c r="I20" s="2091">
        <v>0</v>
      </c>
      <c r="J20" s="2113" t="s">
        <v>1498</v>
      </c>
      <c r="K20" s="2091">
        <v>0</v>
      </c>
      <c r="L20" s="2113" t="s">
        <v>1498</v>
      </c>
      <c r="M20" s="1954" t="s">
        <v>1457</v>
      </c>
      <c r="N20" s="1954" t="s">
        <v>1457</v>
      </c>
      <c r="O20" s="1954"/>
      <c r="P20" s="1954">
        <f>Inputs!Q32</f>
        <v>0</v>
      </c>
      <c r="Q20" s="1954">
        <f>Inputs!R32</f>
        <v>0</v>
      </c>
      <c r="R20" s="1969"/>
      <c r="S20" s="1954" t="s">
        <v>1457</v>
      </c>
      <c r="T20" s="1954"/>
      <c r="U20" s="1954" t="s">
        <v>1457</v>
      </c>
      <c r="V20" s="1956"/>
      <c r="W20" s="1954">
        <f>P20</f>
        <v>0</v>
      </c>
      <c r="X20" s="1954">
        <f>Q20</f>
        <v>0</v>
      </c>
      <c r="Y20" s="1954">
        <f t="shared" si="0"/>
        <v>0</v>
      </c>
      <c r="Z20" s="1972"/>
    </row>
    <row r="21" spans="2:27" s="1955" customFormat="1">
      <c r="B21" s="2838"/>
      <c r="C21" s="2838" t="str">
        <f>HLOOKUP(select,translations!$A$251:$H$340,17,)</f>
        <v>Phosphorus (tonnes of P2O5 per year)</v>
      </c>
      <c r="D21" s="2090"/>
      <c r="E21" s="2090"/>
      <c r="F21" s="1956"/>
      <c r="G21" s="1956"/>
      <c r="H21" s="2091">
        <v>0</v>
      </c>
      <c r="I21" s="2091">
        <v>0</v>
      </c>
      <c r="J21" s="2113" t="s">
        <v>1498</v>
      </c>
      <c r="K21" s="2091">
        <v>0</v>
      </c>
      <c r="L21" s="2113" t="s">
        <v>1498</v>
      </c>
      <c r="M21" s="1954" t="s">
        <v>1457</v>
      </c>
      <c r="N21" s="1954" t="s">
        <v>1457</v>
      </c>
      <c r="O21" s="1954"/>
      <c r="P21" s="1954" t="s">
        <v>1457</v>
      </c>
      <c r="Q21" s="1954" t="s">
        <v>1457</v>
      </c>
      <c r="R21" s="1969"/>
      <c r="S21" s="1954">
        <f>Inputs!Q42</f>
        <v>0</v>
      </c>
      <c r="T21" s="1954"/>
      <c r="U21" s="1954">
        <f>Inputs!R42</f>
        <v>0</v>
      </c>
      <c r="V21" s="1956"/>
      <c r="W21" s="1954">
        <f>S21</f>
        <v>0</v>
      </c>
      <c r="X21" s="1954">
        <f>U21</f>
        <v>0</v>
      </c>
      <c r="Y21" s="1954">
        <f t="shared" si="0"/>
        <v>0</v>
      </c>
      <c r="Z21" s="1972"/>
    </row>
    <row r="22" spans="2:27" s="1955" customFormat="1">
      <c r="B22" s="2838"/>
      <c r="C22" s="2838" t="str">
        <f>HLOOKUP(select,translations!$A$251:$H$340,18,)</f>
        <v>Potassium  (tonnes of K2O per year)</v>
      </c>
      <c r="D22" s="2090"/>
      <c r="E22" s="2090"/>
      <c r="F22" s="1956"/>
      <c r="G22" s="1956"/>
      <c r="H22" s="2091">
        <v>0</v>
      </c>
      <c r="I22" s="2091">
        <v>0</v>
      </c>
      <c r="J22" s="2113" t="s">
        <v>1498</v>
      </c>
      <c r="K22" s="2091">
        <v>0</v>
      </c>
      <c r="L22" s="2113" t="s">
        <v>1498</v>
      </c>
      <c r="M22" s="1954" t="s">
        <v>1457</v>
      </c>
      <c r="N22" s="1954" t="s">
        <v>1457</v>
      </c>
      <c r="O22" s="1954"/>
      <c r="P22" s="1954" t="s">
        <v>1457</v>
      </c>
      <c r="Q22" s="1954" t="s">
        <v>1457</v>
      </c>
      <c r="R22" s="1969"/>
      <c r="S22" s="1954">
        <f>Inputs!Q43</f>
        <v>0</v>
      </c>
      <c r="T22" s="1954"/>
      <c r="U22" s="1954">
        <f>Inputs!R43</f>
        <v>0</v>
      </c>
      <c r="V22" s="1956"/>
      <c r="W22" s="1954">
        <f>S22</f>
        <v>0</v>
      </c>
      <c r="X22" s="1954">
        <f>U22</f>
        <v>0</v>
      </c>
      <c r="Y22" s="1954">
        <f t="shared" si="0"/>
        <v>0</v>
      </c>
      <c r="Z22" s="1972"/>
    </row>
    <row r="23" spans="2:27" s="1959" customFormat="1">
      <c r="B23" s="1757" t="str">
        <f>HLOOKUP(select,translations!$A$251:$H$340,19,)</f>
        <v>Pesticides</v>
      </c>
      <c r="C23" s="2085"/>
      <c r="D23" s="2086"/>
      <c r="E23" s="2086"/>
      <c r="F23" s="1869"/>
      <c r="G23" s="1869"/>
      <c r="H23" s="1869"/>
      <c r="I23" s="1954"/>
      <c r="J23" s="1954"/>
      <c r="K23" s="1954"/>
      <c r="L23" s="1954"/>
      <c r="M23" s="1954"/>
      <c r="N23" s="1954"/>
      <c r="O23" s="1954"/>
      <c r="P23" s="1954"/>
      <c r="Q23" s="1954"/>
      <c r="R23" s="1970"/>
      <c r="S23" s="2079"/>
      <c r="T23" s="2333"/>
      <c r="U23" s="2079"/>
      <c r="V23" s="2079"/>
      <c r="W23" s="2079"/>
      <c r="X23" s="2079"/>
      <c r="Y23" s="2079"/>
      <c r="Z23" s="1972"/>
    </row>
    <row r="24" spans="2:27" s="1955" customFormat="1">
      <c r="B24" s="2838"/>
      <c r="C24" s="2838" t="str">
        <f>HLOOKUP(select,translations!$A$251:$H$340,20,)</f>
        <v>Herbicides (tonnes of active ingredient per year)</v>
      </c>
      <c r="D24" s="2090"/>
      <c r="E24" s="2090"/>
      <c r="F24" s="1956"/>
      <c r="G24" s="1956"/>
      <c r="H24" s="2091">
        <v>0</v>
      </c>
      <c r="I24" s="2091">
        <v>0</v>
      </c>
      <c r="J24" s="2113" t="s">
        <v>1498</v>
      </c>
      <c r="K24" s="2091">
        <v>0</v>
      </c>
      <c r="L24" s="2113" t="s">
        <v>1498</v>
      </c>
      <c r="M24" s="1954" t="s">
        <v>1457</v>
      </c>
      <c r="N24" s="1954" t="s">
        <v>1457</v>
      </c>
      <c r="O24" s="1954"/>
      <c r="P24" s="1954" t="s">
        <v>1457</v>
      </c>
      <c r="Q24" s="1954" t="s">
        <v>1457</v>
      </c>
      <c r="R24" s="1969"/>
      <c r="S24" s="1954">
        <f>Inputs!Q47</f>
        <v>0</v>
      </c>
      <c r="T24" s="1954"/>
      <c r="U24" s="1954">
        <f>Inputs!R47</f>
        <v>0</v>
      </c>
      <c r="V24" s="1956"/>
      <c r="W24" s="1954">
        <f>S24</f>
        <v>0</v>
      </c>
      <c r="X24" s="1954">
        <f>U24</f>
        <v>0</v>
      </c>
      <c r="Y24" s="1954">
        <f t="shared" si="0"/>
        <v>0</v>
      </c>
      <c r="Z24" s="1972"/>
    </row>
    <row r="25" spans="2:27" s="1955" customFormat="1">
      <c r="B25" s="2838"/>
      <c r="C25" s="2838" t="str">
        <f>HLOOKUP(select,translations!$A$251:$H$340,21,)</f>
        <v>Insecticides (tonnes of active ingredient per year)</v>
      </c>
      <c r="D25" s="2090"/>
      <c r="E25" s="2090"/>
      <c r="F25" s="1956"/>
      <c r="G25" s="1956"/>
      <c r="H25" s="2091">
        <v>0</v>
      </c>
      <c r="I25" s="2091">
        <v>0</v>
      </c>
      <c r="J25" s="2113" t="s">
        <v>1498</v>
      </c>
      <c r="K25" s="2091">
        <v>0</v>
      </c>
      <c r="L25" s="2113" t="s">
        <v>1498</v>
      </c>
      <c r="M25" s="1954" t="s">
        <v>1457</v>
      </c>
      <c r="N25" s="1954" t="s">
        <v>1457</v>
      </c>
      <c r="O25" s="1954"/>
      <c r="P25" s="1954" t="s">
        <v>1457</v>
      </c>
      <c r="Q25" s="1954" t="s">
        <v>1457</v>
      </c>
      <c r="R25" s="1969"/>
      <c r="S25" s="1954">
        <f>Inputs!Q48</f>
        <v>0</v>
      </c>
      <c r="T25" s="1954"/>
      <c r="U25" s="1954">
        <f>Inputs!R48</f>
        <v>0</v>
      </c>
      <c r="V25" s="1956"/>
      <c r="W25" s="1954">
        <f>S25</f>
        <v>0</v>
      </c>
      <c r="X25" s="1954">
        <f>U25</f>
        <v>0</v>
      </c>
      <c r="Y25" s="1954">
        <f t="shared" si="0"/>
        <v>0</v>
      </c>
      <c r="Z25" s="1972"/>
    </row>
    <row r="26" spans="2:27" s="1955" customFormat="1">
      <c r="B26" s="2838"/>
      <c r="C26" s="2838" t="str">
        <f>HLOOKUP(select,translations!$A$251:$H$340,22,)</f>
        <v>Fungicides (tonnes of active ingredient per year)</v>
      </c>
      <c r="D26" s="2090"/>
      <c r="E26" s="2090"/>
      <c r="F26" s="1956"/>
      <c r="G26" s="1956"/>
      <c r="H26" s="2091">
        <v>0</v>
      </c>
      <c r="I26" s="2091">
        <v>0</v>
      </c>
      <c r="J26" s="2113" t="s">
        <v>1498</v>
      </c>
      <c r="K26" s="2091">
        <v>0</v>
      </c>
      <c r="L26" s="2113" t="s">
        <v>1498</v>
      </c>
      <c r="M26" s="1954" t="s">
        <v>1457</v>
      </c>
      <c r="N26" s="1954" t="s">
        <v>1457</v>
      </c>
      <c r="O26" s="1954"/>
      <c r="P26" s="1954" t="s">
        <v>1457</v>
      </c>
      <c r="Q26" s="1954" t="s">
        <v>1457</v>
      </c>
      <c r="R26" s="1969"/>
      <c r="S26" s="1954">
        <f>Inputs!Q49</f>
        <v>0</v>
      </c>
      <c r="T26" s="1954"/>
      <c r="U26" s="1954">
        <f>Inputs!R49</f>
        <v>0</v>
      </c>
      <c r="V26" s="1956"/>
      <c r="W26" s="1954">
        <f>S26</f>
        <v>0</v>
      </c>
      <c r="X26" s="1954">
        <f>U26</f>
        <v>0</v>
      </c>
      <c r="Y26" s="1954">
        <f t="shared" si="0"/>
        <v>0</v>
      </c>
      <c r="Z26" s="1972"/>
    </row>
    <row r="27" spans="2:27" s="1955" customFormat="1" ht="12">
      <c r="B27" s="1972"/>
      <c r="C27" s="1972"/>
      <c r="D27" s="1972"/>
      <c r="E27" s="1972"/>
      <c r="F27" s="1972"/>
      <c r="G27" s="1972"/>
      <c r="H27" s="1972"/>
      <c r="I27" s="2135" t="str">
        <f>'5. Management'!J21</f>
        <v>* Note concerning dynamics of change : "D" corresponds to default/linear, "I" to immediate and "E" to exponential (Please refer to the guidelines)</v>
      </c>
      <c r="J27" s="2349"/>
      <c r="K27" s="2349"/>
      <c r="L27" s="2349"/>
      <c r="M27" s="2349"/>
      <c r="N27" s="2349"/>
      <c r="O27" s="2349"/>
      <c r="P27" s="2349"/>
      <c r="Q27" s="2349"/>
      <c r="R27" s="2349"/>
      <c r="S27" s="2349"/>
      <c r="T27" s="2349"/>
      <c r="U27" s="2349"/>
      <c r="V27" s="2349"/>
      <c r="W27" s="2349"/>
      <c r="X27" s="2349"/>
      <c r="Y27" s="2349"/>
      <c r="Z27" s="1972"/>
    </row>
    <row r="28" spans="2:27" s="1955" customFormat="1" ht="12">
      <c r="B28" s="1972"/>
      <c r="C28" s="1972"/>
      <c r="D28" s="1972"/>
      <c r="E28" s="1972"/>
      <c r="F28" s="1972"/>
      <c r="G28" s="1972"/>
      <c r="H28" s="1972"/>
      <c r="I28" s="1972"/>
      <c r="J28" s="1972"/>
      <c r="K28" s="1972"/>
      <c r="L28" s="1972"/>
      <c r="M28" s="1972"/>
      <c r="N28" s="1972"/>
      <c r="O28" s="1972"/>
      <c r="P28" s="1972"/>
      <c r="Q28" s="1972"/>
      <c r="R28" s="1972"/>
      <c r="S28" s="1972"/>
      <c r="T28" s="1972"/>
      <c r="U28" s="1972"/>
      <c r="V28" s="1972"/>
      <c r="W28" s="1972"/>
      <c r="X28" s="1972"/>
      <c r="Y28" s="1972"/>
      <c r="Z28" s="1972"/>
    </row>
    <row r="29" spans="2:27" s="1704" customFormat="1">
      <c r="E29" s="1709"/>
      <c r="F29" s="2374"/>
      <c r="I29" s="1709"/>
      <c r="J29" s="1709"/>
      <c r="K29" s="1709"/>
      <c r="L29" s="1709"/>
      <c r="M29" s="1709"/>
      <c r="N29" s="1709"/>
      <c r="O29" s="1709"/>
      <c r="P29" s="1709"/>
      <c r="Q29" s="1709"/>
      <c r="R29" s="1709"/>
      <c r="S29" s="1709"/>
      <c r="T29" s="1709"/>
      <c r="U29" s="1709"/>
      <c r="V29" s="1709"/>
      <c r="W29" s="1709"/>
      <c r="X29" s="1709"/>
    </row>
    <row r="30" spans="2:27" s="1704" customFormat="1">
      <c r="E30" s="1709"/>
      <c r="F30" s="1709"/>
      <c r="I30" s="1709"/>
      <c r="J30" s="1709"/>
      <c r="K30" s="1709"/>
      <c r="L30" s="1709"/>
      <c r="M30" s="1709"/>
      <c r="N30" s="1971"/>
      <c r="O30" s="1709"/>
      <c r="P30" s="1709"/>
      <c r="Q30" s="1709"/>
      <c r="R30" s="1709"/>
      <c r="S30" s="2664" t="str">
        <f>HLOOKUP(select,translations!$A$251:$H$340,23,)</f>
        <v>Total Inputs</v>
      </c>
      <c r="T30" s="1696"/>
      <c r="U30" s="2354"/>
      <c r="V30" s="1696"/>
      <c r="W30" s="2173">
        <f>SUM(W12:W26)</f>
        <v>0</v>
      </c>
      <c r="X30" s="2173">
        <f>SUM(X12:X26)</f>
        <v>0</v>
      </c>
      <c r="Y30" s="2173">
        <f>SUM(Y12:Y26)</f>
        <v>0</v>
      </c>
    </row>
    <row r="31" spans="2:27" s="1704" customFormat="1">
      <c r="E31" s="1709"/>
      <c r="F31" s="1709"/>
      <c r="I31" s="1709"/>
      <c r="J31" s="1709"/>
      <c r="K31" s="1709"/>
      <c r="L31" s="1709"/>
      <c r="M31" s="1709"/>
      <c r="N31" s="1971"/>
      <c r="O31" s="1709"/>
      <c r="P31" s="1709"/>
      <c r="Q31" s="1709"/>
      <c r="R31" s="1709"/>
      <c r="S31" s="1709"/>
      <c r="T31" s="1709"/>
      <c r="U31" s="1709"/>
      <c r="V31" s="1709"/>
      <c r="W31" s="1709"/>
      <c r="X31" s="1709"/>
      <c r="Y31" s="1709"/>
      <c r="Z31" s="1709"/>
    </row>
    <row r="32" spans="2:27" s="1704" customFormat="1">
      <c r="E32" s="1709"/>
      <c r="F32" s="1709"/>
      <c r="I32" s="1709"/>
      <c r="J32" s="1709"/>
      <c r="K32" s="1709"/>
      <c r="L32" s="1709"/>
      <c r="M32" s="1709"/>
      <c r="N32" s="1971"/>
      <c r="O32" s="1709"/>
      <c r="P32" s="1709"/>
      <c r="Q32" s="1709"/>
      <c r="R32" s="1709"/>
      <c r="S32" s="1709"/>
      <c r="T32" s="1709"/>
      <c r="U32" s="1709"/>
      <c r="V32" s="1709"/>
      <c r="W32" s="1709"/>
      <c r="X32" s="1709"/>
      <c r="Y32" s="1709"/>
      <c r="Z32" s="1709"/>
    </row>
    <row r="33" spans="2:25" s="1704" customFormat="1">
      <c r="E33" s="1709"/>
      <c r="F33" s="1709"/>
      <c r="I33" s="1709"/>
      <c r="J33" s="1709"/>
      <c r="K33" s="1709"/>
      <c r="L33" s="1709"/>
      <c r="M33" s="1709"/>
      <c r="N33" s="1971"/>
      <c r="O33" s="1709"/>
      <c r="P33" s="1709"/>
      <c r="Q33" s="1709"/>
      <c r="R33" s="1709"/>
      <c r="S33" s="1709"/>
      <c r="T33" s="1709"/>
      <c r="U33" s="1709"/>
      <c r="V33" s="1709"/>
      <c r="W33" s="1709"/>
      <c r="X33" s="1709"/>
    </row>
    <row r="34" spans="2:25" s="1704" customFormat="1" ht="15.75">
      <c r="B34" s="2529" t="str">
        <f>HLOOKUP(select,translations!$A$251:$H$340,26,)</f>
        <v>6.2. Energy consumption (electricity, fuel,…)</v>
      </c>
      <c r="C34" s="2182"/>
      <c r="D34" s="2182"/>
      <c r="E34" s="2182"/>
      <c r="F34" s="2182"/>
      <c r="G34" s="2182"/>
      <c r="H34" s="2182"/>
      <c r="I34" s="2182"/>
      <c r="J34" s="2182"/>
      <c r="K34" s="2182"/>
      <c r="L34" s="2182"/>
      <c r="M34" s="2182"/>
      <c r="N34" s="2182"/>
      <c r="O34" s="2182"/>
      <c r="P34" s="2182"/>
      <c r="Q34" s="2182"/>
      <c r="R34" s="2182"/>
      <c r="S34" s="2182"/>
      <c r="T34" s="2182"/>
      <c r="U34" s="2182"/>
      <c r="V34" s="2182"/>
      <c r="W34" s="2182"/>
      <c r="X34" s="2334"/>
      <c r="Y34" s="2334"/>
    </row>
    <row r="35" spans="2:25" s="1704" customFormat="1">
      <c r="B35" s="1719"/>
      <c r="C35" s="1714"/>
      <c r="D35" s="1714"/>
      <c r="E35" s="1714"/>
      <c r="F35" s="1714"/>
      <c r="G35" s="1714"/>
      <c r="H35" s="1714"/>
      <c r="I35" s="1714"/>
      <c r="J35" s="1714"/>
      <c r="K35" s="1714"/>
      <c r="L35" s="1714"/>
      <c r="M35" s="1714"/>
      <c r="N35" s="1714"/>
      <c r="O35" s="1714"/>
      <c r="P35" s="1714"/>
      <c r="Q35" s="1714"/>
      <c r="R35" s="1714"/>
      <c r="S35" s="1714"/>
      <c r="T35" s="1714"/>
      <c r="U35" s="1714"/>
      <c r="V35" s="1714"/>
      <c r="W35" s="1958"/>
      <c r="X35" s="1958"/>
      <c r="Y35" s="1714"/>
    </row>
    <row r="36" spans="2:25" s="1704" customFormat="1">
      <c r="B36" s="2830" t="str">
        <f>B9</f>
        <v>Description and unit to report</v>
      </c>
      <c r="C36" s="2335"/>
      <c r="D36" s="2274"/>
      <c r="E36" s="2336"/>
      <c r="F36" s="2274"/>
      <c r="G36" s="2274"/>
      <c r="H36" s="2117" t="str">
        <f>HLOOKUP(select,translations!$A$251:$H$340,27,)</f>
        <v>Quantity consumed per year</v>
      </c>
      <c r="I36" s="2123"/>
      <c r="J36" s="2123"/>
      <c r="K36" s="2123"/>
      <c r="L36" s="2337"/>
      <c r="M36" s="2338"/>
      <c r="N36" s="2338"/>
      <c r="O36" s="2338"/>
      <c r="P36" s="2338"/>
      <c r="Q36" s="2338"/>
      <c r="R36" s="2338"/>
      <c r="S36" s="2338"/>
      <c r="T36" s="2338"/>
      <c r="U36" s="2338"/>
      <c r="V36" s="2338"/>
      <c r="W36" s="3714" t="str">
        <f>W9</f>
        <v>Total Emissions</v>
      </c>
      <c r="X36" s="3714"/>
      <c r="Y36" s="2327" t="str">
        <f>Y9</f>
        <v>Balance</v>
      </c>
    </row>
    <row r="37" spans="2:25" s="1704" customFormat="1">
      <c r="B37" s="2830"/>
      <c r="C37" s="2335"/>
      <c r="D37" s="2339"/>
      <c r="E37" s="2339"/>
      <c r="F37" s="2274"/>
      <c r="G37" s="2274"/>
      <c r="H37" s="2123"/>
      <c r="I37" s="2123"/>
      <c r="J37" s="2123"/>
      <c r="K37" s="2123"/>
      <c r="L37" s="2337"/>
      <c r="M37" s="2338"/>
      <c r="N37" s="2338"/>
      <c r="O37" s="2338"/>
      <c r="P37" s="2338"/>
      <c r="Q37" s="2338"/>
      <c r="R37" s="2338"/>
      <c r="S37" s="2338"/>
      <c r="T37" s="2338"/>
      <c r="U37" s="2338"/>
      <c r="V37" s="2338"/>
      <c r="W37" s="3712" t="str">
        <f>W10</f>
        <v>(tCO2-eq)</v>
      </c>
      <c r="X37" s="3712"/>
      <c r="Y37" s="2331"/>
    </row>
    <row r="38" spans="2:25" s="1704" customFormat="1">
      <c r="B38" s="2297"/>
      <c r="C38" s="2138"/>
      <c r="D38" s="2138"/>
      <c r="E38" s="2330"/>
      <c r="F38" s="2330"/>
      <c r="G38" s="2138"/>
      <c r="H38" s="2331" t="str">
        <f>H11</f>
        <v>Start</v>
      </c>
      <c r="I38" s="2648" t="str">
        <f>I11</f>
        <v>Without</v>
      </c>
      <c r="J38" s="2331"/>
      <c r="K38" s="2648" t="str">
        <f>K11</f>
        <v>With</v>
      </c>
      <c r="L38" s="2337"/>
      <c r="M38" s="2338"/>
      <c r="N38" s="2338"/>
      <c r="O38" s="2338"/>
      <c r="P38" s="2338"/>
      <c r="Q38" s="2338"/>
      <c r="R38" s="2338"/>
      <c r="S38" s="2338"/>
      <c r="T38" s="2338"/>
      <c r="U38" s="2338"/>
      <c r="V38" s="2338"/>
      <c r="W38" s="2648" t="str">
        <f>I38</f>
        <v>Without</v>
      </c>
      <c r="X38" s="2648" t="str">
        <f>K38</f>
        <v>With</v>
      </c>
      <c r="Y38" s="2331"/>
    </row>
    <row r="39" spans="2:25" s="1704" customFormat="1">
      <c r="B39" s="2775" t="str">
        <f>HLOOKUP(select,translations!$A$251:$H$340,28,)</f>
        <v>Electricity (MWh per year)</v>
      </c>
      <c r="C39" s="2138"/>
      <c r="D39" s="2138"/>
      <c r="E39" s="2330"/>
      <c r="F39" s="2338"/>
      <c r="G39" s="2337"/>
      <c r="H39" s="2355"/>
      <c r="I39" s="2337"/>
      <c r="J39" s="2331" t="s">
        <v>91</v>
      </c>
      <c r="K39" s="2355"/>
      <c r="L39" s="2331" t="s">
        <v>91</v>
      </c>
      <c r="M39" s="2338"/>
      <c r="N39" s="2338"/>
      <c r="O39" s="2338"/>
      <c r="P39" s="2338"/>
      <c r="Q39" s="2338"/>
      <c r="R39" s="2338"/>
      <c r="S39" s="2338"/>
      <c r="T39" s="2338"/>
      <c r="U39" s="2338"/>
      <c r="V39" s="2338"/>
      <c r="W39" s="2355"/>
      <c r="X39" s="2355"/>
      <c r="Y39" s="2355"/>
    </row>
    <row r="40" spans="2:25" s="1704" customFormat="1">
      <c r="B40" s="2357"/>
      <c r="C40" s="3674" t="s">
        <v>21</v>
      </c>
      <c r="D40" s="3674"/>
      <c r="E40" s="3674"/>
      <c r="F40" s="3674"/>
      <c r="G40" s="2337"/>
      <c r="H40" s="2084">
        <v>0</v>
      </c>
      <c r="I40" s="3645">
        <v>0</v>
      </c>
      <c r="J40" s="2113" t="s">
        <v>1498</v>
      </c>
      <c r="K40" s="3645">
        <v>0</v>
      </c>
      <c r="L40" s="2113" t="s">
        <v>1498</v>
      </c>
      <c r="M40" s="2338"/>
      <c r="N40" s="2338"/>
      <c r="O40" s="2338"/>
      <c r="P40" s="2338"/>
      <c r="Q40" s="2338"/>
      <c r="R40" s="2338"/>
      <c r="S40" s="2338"/>
      <c r="T40" s="2338"/>
      <c r="U40" s="2338"/>
      <c r="V40" s="2338"/>
      <c r="W40" s="2355">
        <f>'Other investments'!G22</f>
        <v>0</v>
      </c>
      <c r="X40" s="2355">
        <f>'Other investments'!H22</f>
        <v>0</v>
      </c>
      <c r="Y40" s="2355">
        <f>'Other investments'!J30</f>
        <v>0</v>
      </c>
    </row>
    <row r="41" spans="2:25" s="1704" customFormat="1">
      <c r="B41" s="2357"/>
      <c r="C41" s="3927" t="str">
        <f>D207</f>
        <v>User defined (Tier 2):</v>
      </c>
      <c r="D41" s="3927"/>
      <c r="E41" s="3927"/>
      <c r="F41" s="3927"/>
      <c r="G41" s="3647"/>
      <c r="H41" s="3645">
        <v>0</v>
      </c>
      <c r="I41" s="3645">
        <v>0</v>
      </c>
      <c r="J41" s="2113" t="s">
        <v>1498</v>
      </c>
      <c r="K41" s="3645">
        <v>0</v>
      </c>
      <c r="L41" s="2113" t="s">
        <v>1498</v>
      </c>
      <c r="M41" s="2338"/>
      <c r="N41" s="2338"/>
      <c r="O41" s="2338"/>
      <c r="P41" s="2338"/>
      <c r="Q41" s="2338"/>
      <c r="R41" s="2338"/>
      <c r="S41" s="2338"/>
      <c r="T41" s="2338"/>
      <c r="U41" s="2338"/>
      <c r="V41" s="2338"/>
      <c r="W41" s="2355">
        <f>'Other investments'!G28</f>
        <v>0</v>
      </c>
      <c r="X41" s="2355">
        <f>'Other investments'!H28</f>
        <v>0</v>
      </c>
      <c r="Y41" s="2355">
        <f>'Other investments'!J31</f>
        <v>0</v>
      </c>
    </row>
    <row r="42" spans="2:25" s="1704" customFormat="1">
      <c r="B42" s="2357"/>
      <c r="C42" s="3647"/>
      <c r="D42" s="3647"/>
      <c r="E42" s="3647"/>
      <c r="F42" s="3647"/>
      <c r="G42" s="2337"/>
      <c r="H42" s="2337"/>
      <c r="I42" s="2337"/>
      <c r="J42" s="2337"/>
      <c r="K42" s="2337"/>
      <c r="L42" s="2337"/>
      <c r="M42" s="2337"/>
      <c r="N42" s="2338"/>
      <c r="O42" s="2338"/>
      <c r="P42" s="2338"/>
      <c r="Q42" s="2338"/>
      <c r="R42" s="2338"/>
      <c r="S42" s="2338"/>
      <c r="T42" s="2338"/>
      <c r="U42" s="2338"/>
      <c r="V42" s="2338"/>
      <c r="W42" s="2338"/>
      <c r="X42" s="2338"/>
      <c r="Y42" s="2338"/>
    </row>
    <row r="43" spans="2:25" s="1704" customFormat="1">
      <c r="B43" s="2356" t="str">
        <f>HLOOKUP(select,translations!$A$251:$H$340,30,)</f>
        <v>Liquide or gaseous (in m3 per year)</v>
      </c>
      <c r="C43" s="2337"/>
      <c r="D43" s="2337"/>
      <c r="E43" s="2337"/>
      <c r="F43" s="2337"/>
      <c r="G43" s="2337"/>
      <c r="H43" s="2337"/>
      <c r="I43" s="2337"/>
      <c r="J43" s="2337"/>
      <c r="K43" s="2337"/>
      <c r="L43" s="2337"/>
      <c r="M43" s="2337"/>
      <c r="N43" s="2338"/>
      <c r="O43" s="2338"/>
      <c r="P43" s="2338"/>
      <c r="Q43" s="2338"/>
      <c r="R43" s="2338"/>
      <c r="S43" s="2338"/>
      <c r="T43" s="2338"/>
      <c r="U43" s="2338"/>
      <c r="V43" s="2338"/>
      <c r="W43" s="2338"/>
      <c r="X43" s="2338"/>
      <c r="Y43" s="2338"/>
    </row>
    <row r="44" spans="2:25" s="1704" customFormat="1">
      <c r="B44" s="2357"/>
      <c r="C44" s="2358" t="str">
        <f>HLOOKUP(select,translations!$A$251:$H$340,31,)</f>
        <v>Gasoil/Diesel</v>
      </c>
      <c r="D44" s="2337"/>
      <c r="E44" s="2337"/>
      <c r="F44" s="2337"/>
      <c r="G44" s="2337"/>
      <c r="H44" s="2084">
        <v>0</v>
      </c>
      <c r="I44" s="2084">
        <v>0</v>
      </c>
      <c r="J44" s="2113" t="s">
        <v>1498</v>
      </c>
      <c r="K44" s="2084">
        <v>0</v>
      </c>
      <c r="L44" s="2113" t="s">
        <v>1498</v>
      </c>
      <c r="M44" s="2337"/>
      <c r="N44" s="2338"/>
      <c r="O44" s="2338"/>
      <c r="P44" s="2338"/>
      <c r="Q44" s="2338"/>
      <c r="R44" s="2338"/>
      <c r="S44" s="2338"/>
      <c r="T44" s="2338"/>
      <c r="U44" s="2338"/>
      <c r="V44" s="2338"/>
      <c r="W44" s="2355">
        <f>'Other investments'!K45</f>
        <v>0</v>
      </c>
      <c r="X44" s="2355">
        <f>'Other investments'!L45</f>
        <v>0</v>
      </c>
      <c r="Y44" s="2355">
        <f t="shared" ref="Y44:Y50" si="1">X44-W44</f>
        <v>0</v>
      </c>
    </row>
    <row r="45" spans="2:25" s="1704" customFormat="1">
      <c r="B45" s="2357"/>
      <c r="C45" s="2358" t="str">
        <f>HLOOKUP(select,translations!$A$251:$H$340,32,)</f>
        <v>Gasoline</v>
      </c>
      <c r="D45" s="2337"/>
      <c r="E45" s="2337"/>
      <c r="F45" s="2337"/>
      <c r="G45" s="2337"/>
      <c r="H45" s="2084">
        <v>0</v>
      </c>
      <c r="I45" s="2084">
        <v>0</v>
      </c>
      <c r="J45" s="2113" t="s">
        <v>1498</v>
      </c>
      <c r="K45" s="2084">
        <v>0</v>
      </c>
      <c r="L45" s="2113" t="s">
        <v>1498</v>
      </c>
      <c r="M45" s="2337"/>
      <c r="N45" s="2338"/>
      <c r="O45" s="2338"/>
      <c r="P45" s="2338"/>
      <c r="Q45" s="2338"/>
      <c r="R45" s="2338"/>
      <c r="S45" s="2338"/>
      <c r="T45" s="2338"/>
      <c r="U45" s="2338"/>
      <c r="V45" s="2338"/>
      <c r="W45" s="2355">
        <f>'Other investments'!K46</f>
        <v>0</v>
      </c>
      <c r="X45" s="2355">
        <f>'Other investments'!L46</f>
        <v>0</v>
      </c>
      <c r="Y45" s="2355">
        <f t="shared" si="1"/>
        <v>0</v>
      </c>
    </row>
    <row r="46" spans="2:25" s="1704" customFormat="1">
      <c r="B46" s="2357"/>
      <c r="C46" s="2358" t="str">
        <f>HLOOKUP(select,translations!$A$251:$H$340,33,)</f>
        <v>Gas (LPG/ natural)</v>
      </c>
      <c r="D46" s="2337"/>
      <c r="E46" s="2337"/>
      <c r="F46" s="2337"/>
      <c r="G46" s="2337"/>
      <c r="H46" s="2084">
        <v>0</v>
      </c>
      <c r="I46" s="2084">
        <v>0</v>
      </c>
      <c r="J46" s="2113" t="s">
        <v>1498</v>
      </c>
      <c r="K46" s="2084">
        <v>0</v>
      </c>
      <c r="L46" s="2113" t="s">
        <v>1498</v>
      </c>
      <c r="M46" s="2337"/>
      <c r="N46" s="2338"/>
      <c r="O46" s="2338"/>
      <c r="P46" s="2338"/>
      <c r="Q46" s="2338"/>
      <c r="R46" s="2338"/>
      <c r="S46" s="2338"/>
      <c r="T46" s="2338"/>
      <c r="U46" s="2338"/>
      <c r="V46" s="2338"/>
      <c r="W46" s="2355">
        <f>'Other investments'!K47</f>
        <v>0</v>
      </c>
      <c r="X46" s="2355">
        <f>'Other investments'!L47</f>
        <v>0</v>
      </c>
      <c r="Y46" s="2355">
        <f t="shared" si="1"/>
        <v>0</v>
      </c>
    </row>
    <row r="47" spans="2:25" s="1704" customFormat="1">
      <c r="B47" s="2357"/>
      <c r="C47" s="2358" t="str">
        <f>HLOOKUP(select,translations!$A$251:$H$340,34,)</f>
        <v>Butane</v>
      </c>
      <c r="D47" s="2337"/>
      <c r="E47" s="2337"/>
      <c r="F47" s="2337"/>
      <c r="G47" s="2337"/>
      <c r="H47" s="2084">
        <v>0</v>
      </c>
      <c r="I47" s="2084">
        <v>0</v>
      </c>
      <c r="J47" s="2113" t="s">
        <v>1498</v>
      </c>
      <c r="K47" s="2084">
        <v>0</v>
      </c>
      <c r="L47" s="2113" t="s">
        <v>1498</v>
      </c>
      <c r="M47" s="2337"/>
      <c r="N47" s="2338"/>
      <c r="O47" s="2338"/>
      <c r="P47" s="2338"/>
      <c r="Q47" s="2338"/>
      <c r="R47" s="2338"/>
      <c r="S47" s="2338"/>
      <c r="T47" s="2338"/>
      <c r="U47" s="2338"/>
      <c r="V47" s="2338"/>
      <c r="W47" s="2355">
        <f>'Other investments'!K48</f>
        <v>0</v>
      </c>
      <c r="X47" s="2355">
        <f>'Other investments'!L48</f>
        <v>0</v>
      </c>
      <c r="Y47" s="2355">
        <f t="shared" si="1"/>
        <v>0</v>
      </c>
    </row>
    <row r="48" spans="2:25" s="1704" customFormat="1">
      <c r="B48" s="2357"/>
      <c r="C48" s="2358" t="str">
        <f>HLOOKUP(select,translations!$A$251:$H$340,35,)</f>
        <v>Propane</v>
      </c>
      <c r="D48" s="2337"/>
      <c r="E48" s="2337"/>
      <c r="F48" s="2337"/>
      <c r="G48" s="2337"/>
      <c r="H48" s="2084">
        <v>0</v>
      </c>
      <c r="I48" s="2084">
        <v>0</v>
      </c>
      <c r="J48" s="2113" t="s">
        <v>1498</v>
      </c>
      <c r="K48" s="2084">
        <v>0</v>
      </c>
      <c r="L48" s="2113" t="s">
        <v>1498</v>
      </c>
      <c r="M48" s="2337"/>
      <c r="N48" s="2338"/>
      <c r="O48" s="2338"/>
      <c r="P48" s="2338"/>
      <c r="Q48" s="2338"/>
      <c r="R48" s="2338"/>
      <c r="S48" s="2338"/>
      <c r="T48" s="2338"/>
      <c r="U48" s="2338"/>
      <c r="V48" s="2338"/>
      <c r="W48" s="2355">
        <f>'Other investments'!K49</f>
        <v>0</v>
      </c>
      <c r="X48" s="2355">
        <f>'Other investments'!L49</f>
        <v>0</v>
      </c>
      <c r="Y48" s="2355">
        <f t="shared" si="1"/>
        <v>0</v>
      </c>
    </row>
    <row r="49" spans="2:25" s="1704" customFormat="1">
      <c r="B49" s="2357"/>
      <c r="C49" s="2358" t="str">
        <f>HLOOKUP(select,translations!$A$251:$H$340,36,)</f>
        <v>Ethanol</v>
      </c>
      <c r="D49" s="2337"/>
      <c r="E49" s="2337"/>
      <c r="F49" s="2337"/>
      <c r="G49" s="2337"/>
      <c r="H49" s="2559">
        <v>0</v>
      </c>
      <c r="I49" s="2559">
        <v>0</v>
      </c>
      <c r="J49" s="2113" t="s">
        <v>1498</v>
      </c>
      <c r="K49" s="2559">
        <v>0</v>
      </c>
      <c r="L49" s="2113" t="s">
        <v>1498</v>
      </c>
      <c r="M49" s="2337"/>
      <c r="N49" s="2338"/>
      <c r="O49" s="2338"/>
      <c r="P49" s="2338"/>
      <c r="Q49" s="2338"/>
      <c r="R49" s="2338"/>
      <c r="S49" s="2338"/>
      <c r="T49" s="2338"/>
      <c r="U49" s="2338"/>
      <c r="V49" s="2338"/>
      <c r="W49" s="2355">
        <f>'Other investments'!K50</f>
        <v>0</v>
      </c>
      <c r="X49" s="2355">
        <f>'Other investments'!L50</f>
        <v>0</v>
      </c>
      <c r="Y49" s="2355">
        <f>X49-W49</f>
        <v>0</v>
      </c>
    </row>
    <row r="50" spans="2:25" s="1704" customFormat="1">
      <c r="B50" s="2357"/>
      <c r="C50" s="2358" t="str">
        <f>HLOOKUP(select,translations!$A$251:$H$340,37,)</f>
        <v>User defined (Tier 2):</v>
      </c>
      <c r="D50" s="2337"/>
      <c r="E50" s="2357" t="str">
        <f>IF(D217="Please precise the name","",D217)</f>
        <v/>
      </c>
      <c r="F50" s="2337"/>
      <c r="G50" s="2337"/>
      <c r="H50" s="3654">
        <v>0</v>
      </c>
      <c r="I50" s="3654">
        <v>0</v>
      </c>
      <c r="J50" s="2113" t="s">
        <v>1498</v>
      </c>
      <c r="K50" s="2084">
        <v>0</v>
      </c>
      <c r="L50" s="2113" t="s">
        <v>1498</v>
      </c>
      <c r="M50" s="2337"/>
      <c r="N50" s="2338"/>
      <c r="O50" s="2338"/>
      <c r="P50" s="2338"/>
      <c r="Q50" s="2338"/>
      <c r="R50" s="2338"/>
      <c r="S50" s="2338"/>
      <c r="T50" s="2338"/>
      <c r="U50" s="2338"/>
      <c r="V50" s="2338"/>
      <c r="W50" s="2355">
        <f>'Other investments'!K51</f>
        <v>0</v>
      </c>
      <c r="X50" s="2355">
        <f>'Other investments'!L51</f>
        <v>0</v>
      </c>
      <c r="Y50" s="2355">
        <f t="shared" si="1"/>
        <v>0</v>
      </c>
    </row>
    <row r="51" spans="2:25" s="1704" customFormat="1">
      <c r="B51" s="2356" t="str">
        <f>HLOOKUP(select,translations!$A$251:$H$340,38,)</f>
        <v>Solid (in tonnes of dry matter per year)</v>
      </c>
      <c r="C51" s="2358"/>
      <c r="D51" s="2337"/>
      <c r="E51" s="2337"/>
      <c r="F51" s="2337"/>
      <c r="G51" s="2337"/>
      <c r="H51" s="2337"/>
      <c r="I51" s="2337"/>
      <c r="J51" s="2337"/>
      <c r="K51" s="2337"/>
      <c r="L51" s="2337"/>
      <c r="M51" s="2337"/>
      <c r="N51" s="2338"/>
      <c r="O51" s="2338"/>
      <c r="P51" s="2338"/>
      <c r="Q51" s="2338"/>
      <c r="R51" s="2338"/>
      <c r="S51" s="2338"/>
      <c r="T51" s="2338"/>
      <c r="U51" s="2338"/>
      <c r="V51" s="2338"/>
      <c r="W51" s="2338"/>
      <c r="X51" s="2338"/>
      <c r="Y51" s="2338"/>
    </row>
    <row r="52" spans="2:25" s="1704" customFormat="1">
      <c r="B52" s="2357"/>
      <c r="C52" s="2358" t="str">
        <f>HLOOKUP(select,translations!$A$251:$H$340,39,)</f>
        <v>Wood</v>
      </c>
      <c r="D52" s="2337"/>
      <c r="E52" s="2337"/>
      <c r="F52" s="2337"/>
      <c r="G52" s="2337"/>
      <c r="H52" s="2084">
        <v>0</v>
      </c>
      <c r="I52" s="2084">
        <v>0</v>
      </c>
      <c r="J52" s="2113" t="s">
        <v>1498</v>
      </c>
      <c r="K52" s="2084">
        <v>0</v>
      </c>
      <c r="L52" s="2113" t="s">
        <v>1498</v>
      </c>
      <c r="M52" s="2337"/>
      <c r="N52" s="2338"/>
      <c r="O52" s="2338"/>
      <c r="P52" s="2338"/>
      <c r="Q52" s="2338"/>
      <c r="R52" s="2338"/>
      <c r="S52" s="2338"/>
      <c r="T52" s="2338"/>
      <c r="U52" s="2338"/>
      <c r="V52" s="2338"/>
      <c r="W52" s="2355">
        <f>'Other investments'!K53</f>
        <v>0</v>
      </c>
      <c r="X52" s="2355">
        <f>'Other investments'!L53</f>
        <v>0</v>
      </c>
      <c r="Y52" s="2355">
        <f>X52-W52</f>
        <v>0</v>
      </c>
    </row>
    <row r="53" spans="2:25" s="1704" customFormat="1">
      <c r="B53" s="2357"/>
      <c r="C53" s="3163" t="str">
        <f>HLOOKUP(select,translations!$A$582:$H$616,2,)</f>
        <v>Peat (from peatlands)</v>
      </c>
      <c r="D53" s="3142"/>
      <c r="E53" s="3142"/>
      <c r="F53" s="3142"/>
      <c r="G53" s="3142"/>
      <c r="H53" s="3142">
        <f>IF('5. Management'!$AG$234="YES",'5. Management'!R49,0)+IF('5. Management'!$AG$235="YES",'5. Management'!R50,0)</f>
        <v>0</v>
      </c>
      <c r="I53" s="3323">
        <f>IF('5. Management'!$AG$234="YES",'5. Management'!T49,0)+IF('5. Management'!$AG$235="YES",'5. Management'!T50,0)</f>
        <v>0</v>
      </c>
      <c r="J53" s="3323"/>
      <c r="K53" s="3323">
        <f>IF('5. Management'!$AG$234="YES",'5. Management'!U49,0)+IF('5. Management'!$AG$235="YES",'5. Management'!U50,0)</f>
        <v>0</v>
      </c>
      <c r="L53" s="3142"/>
      <c r="M53" s="3142"/>
      <c r="N53" s="2338"/>
      <c r="O53" s="2338"/>
      <c r="P53" s="2338"/>
      <c r="Q53" s="2338"/>
      <c r="R53" s="2338"/>
      <c r="S53" s="2338"/>
      <c r="T53" s="2338"/>
      <c r="U53" s="2338"/>
      <c r="V53" s="2338"/>
      <c r="W53" s="2355">
        <f>'Other investments'!K54</f>
        <v>0</v>
      </c>
      <c r="X53" s="2355">
        <f>'Other investments'!L54</f>
        <v>0</v>
      </c>
      <c r="Y53" s="2355">
        <f t="shared" ref="Y53:Y54" si="2">X53-W53</f>
        <v>0</v>
      </c>
    </row>
    <row r="54" spans="2:25" s="1704" customFormat="1">
      <c r="B54" s="2357"/>
      <c r="C54" s="2358" t="str">
        <f>HLOOKUP(select,translations!$A$251:$H$340,40,)</f>
        <v>Peat</v>
      </c>
      <c r="D54" s="2337"/>
      <c r="E54" s="2337"/>
      <c r="F54" s="2337"/>
      <c r="G54" s="2337"/>
      <c r="H54" s="2084">
        <v>0</v>
      </c>
      <c r="I54" s="2084">
        <v>0</v>
      </c>
      <c r="J54" s="2113" t="s">
        <v>1498</v>
      </c>
      <c r="K54" s="2084">
        <v>0</v>
      </c>
      <c r="L54" s="2113" t="s">
        <v>1498</v>
      </c>
      <c r="M54" s="2337"/>
      <c r="N54" s="2338"/>
      <c r="O54" s="2338"/>
      <c r="P54" s="2338"/>
      <c r="Q54" s="2338"/>
      <c r="R54" s="2338"/>
      <c r="S54" s="2338"/>
      <c r="T54" s="2338"/>
      <c r="U54" s="2338"/>
      <c r="V54" s="2338"/>
      <c r="W54" s="2355">
        <f>'Other investments'!K55</f>
        <v>0</v>
      </c>
      <c r="X54" s="2355">
        <f>'Other investments'!L55</f>
        <v>0</v>
      </c>
      <c r="Y54" s="2355">
        <f t="shared" si="2"/>
        <v>0</v>
      </c>
    </row>
    <row r="55" spans="2:25" s="1704" customFormat="1">
      <c r="I55" s="2135" t="str">
        <f>I27</f>
        <v>* Note concerning dynamics of change : "D" corresponds to default/linear, "I" to immediate and "E" to exponential (Please refer to the guidelines)</v>
      </c>
      <c r="J55" s="2349"/>
      <c r="K55" s="2349"/>
      <c r="L55" s="2349"/>
      <c r="M55" s="2349"/>
      <c r="N55" s="2349"/>
      <c r="O55" s="2349"/>
      <c r="P55" s="2349"/>
      <c r="Q55" s="2349"/>
      <c r="R55" s="2349"/>
      <c r="S55" s="2349"/>
      <c r="T55" s="2349"/>
      <c r="U55" s="2349"/>
      <c r="V55" s="2349"/>
      <c r="W55" s="2349"/>
      <c r="X55" s="2349"/>
      <c r="Y55" s="2349"/>
    </row>
    <row r="56" spans="2:25" s="1704" customFormat="1">
      <c r="E56" s="1709"/>
      <c r="F56" s="1709"/>
      <c r="I56" s="1709"/>
      <c r="J56" s="1709"/>
      <c r="K56" s="1709"/>
      <c r="L56" s="1709"/>
      <c r="M56" s="1709"/>
      <c r="N56" s="1709"/>
      <c r="O56" s="1709"/>
      <c r="P56" s="1709"/>
      <c r="Q56" s="1709"/>
      <c r="R56" s="1709"/>
      <c r="S56" s="1709"/>
      <c r="T56" s="1709"/>
      <c r="U56" s="1709"/>
      <c r="V56" s="1709"/>
      <c r="W56" s="1709"/>
      <c r="X56" s="1709"/>
    </row>
    <row r="57" spans="2:25" s="1704" customFormat="1">
      <c r="E57" s="1709"/>
      <c r="F57" s="1709"/>
      <c r="I57" s="1709"/>
      <c r="J57" s="1709"/>
      <c r="K57" s="1709"/>
      <c r="L57" s="1709"/>
      <c r="M57" s="1709"/>
      <c r="N57" s="1709"/>
      <c r="O57" s="1709"/>
      <c r="P57" s="1709"/>
      <c r="Q57" s="1709"/>
      <c r="R57" s="1709"/>
      <c r="S57" s="2603" t="str">
        <f>HLOOKUP(select,translations!$A$251:$H$340,41,)</f>
        <v>Total Energy</v>
      </c>
      <c r="T57" s="1854"/>
      <c r="U57" s="1854"/>
      <c r="V57" s="1854"/>
      <c r="W57" s="1850">
        <f>SUM(W40:W54)</f>
        <v>0</v>
      </c>
      <c r="X57" s="1850">
        <f>SUM(X40:X54)</f>
        <v>0</v>
      </c>
      <c r="Y57" s="1850">
        <f>SUM(Y40:Y54)</f>
        <v>0</v>
      </c>
    </row>
    <row r="58" spans="2:25" s="1704" customFormat="1">
      <c r="E58" s="1709"/>
      <c r="F58" s="1709"/>
      <c r="I58" s="1709"/>
      <c r="J58" s="1709"/>
      <c r="K58" s="1709"/>
      <c r="L58" s="1709"/>
      <c r="M58" s="1709"/>
      <c r="N58" s="1709"/>
      <c r="O58" s="1709"/>
      <c r="P58" s="1709"/>
    </row>
    <row r="59" spans="2:25" s="1704" customFormat="1">
      <c r="E59" s="1709"/>
      <c r="F59" s="1709"/>
      <c r="I59" s="1709"/>
      <c r="J59" s="1709"/>
      <c r="K59" s="1709"/>
      <c r="L59" s="1709"/>
      <c r="M59" s="1709"/>
      <c r="N59" s="1709"/>
      <c r="O59" s="1709"/>
      <c r="P59" s="1709"/>
    </row>
    <row r="60" spans="2:25" s="1704" customFormat="1">
      <c r="E60" s="1709"/>
      <c r="F60" s="1709"/>
      <c r="I60" s="1709"/>
      <c r="J60" s="1709"/>
      <c r="K60" s="1709"/>
      <c r="L60" s="1709"/>
      <c r="M60" s="1709"/>
      <c r="N60" s="1709"/>
      <c r="O60" s="1709"/>
      <c r="P60" s="1709"/>
      <c r="Q60" s="1709"/>
      <c r="R60" s="1709"/>
      <c r="S60" s="1709"/>
      <c r="T60" s="1709"/>
      <c r="U60" s="1709"/>
      <c r="V60" s="1709"/>
      <c r="W60" s="1709"/>
      <c r="X60" s="1709"/>
    </row>
    <row r="61" spans="2:25" s="1704" customFormat="1" ht="15.75">
      <c r="B61" s="2511" t="str">
        <f>HLOOKUP(select,translations!$A$251:$H$340,42,)</f>
        <v>6.3. Construction of new infrastructure (irrigation systems, buildings, roads)</v>
      </c>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359"/>
      <c r="Y61" s="2359"/>
    </row>
    <row r="62" spans="2:25" s="1704" customFormat="1">
      <c r="B62" s="1719"/>
      <c r="C62" s="1714"/>
      <c r="D62" s="1714"/>
      <c r="E62" s="1714"/>
      <c r="F62" s="1714"/>
      <c r="G62" s="1714"/>
      <c r="H62" s="1714"/>
      <c r="I62" s="1714"/>
      <c r="J62" s="1714"/>
      <c r="K62" s="1714"/>
      <c r="L62" s="1714"/>
      <c r="M62" s="1714"/>
      <c r="N62" s="1714"/>
      <c r="O62" s="1714"/>
      <c r="P62" s="1714"/>
      <c r="Q62" s="1714"/>
      <c r="R62" s="1714"/>
      <c r="S62" s="1714"/>
      <c r="T62" s="1714"/>
      <c r="U62" s="1714"/>
      <c r="V62" s="1714"/>
      <c r="W62" s="1958"/>
      <c r="X62" s="1958"/>
      <c r="Y62" s="1714"/>
    </row>
    <row r="63" spans="2:25" s="1704" customFormat="1">
      <c r="B63" s="2836" t="str">
        <f>B36</f>
        <v>Description and unit to report</v>
      </c>
      <c r="C63" s="2361"/>
      <c r="D63" s="2362"/>
      <c r="E63" s="2363"/>
      <c r="F63" s="2362"/>
      <c r="G63" s="2362"/>
      <c r="H63" s="2213"/>
      <c r="I63" s="3934" t="str">
        <f>HLOOKUP(select,translations!$A$251:$H$340,43,)</f>
        <v>Surfaces</v>
      </c>
      <c r="J63" s="3934"/>
      <c r="K63" s="3934"/>
      <c r="L63" s="2364"/>
      <c r="M63" s="2365"/>
      <c r="N63" s="2365"/>
      <c r="O63" s="2365"/>
      <c r="P63" s="2365"/>
      <c r="Q63" s="2365"/>
      <c r="R63" s="2365"/>
      <c r="S63" s="2365"/>
      <c r="T63" s="2365"/>
      <c r="U63" s="2365"/>
      <c r="V63" s="2365"/>
      <c r="W63" s="3697" t="str">
        <f>W36</f>
        <v>Total Emissions</v>
      </c>
      <c r="X63" s="3697"/>
      <c r="Y63" s="1982" t="str">
        <f>Y36</f>
        <v>Balance</v>
      </c>
    </row>
    <row r="64" spans="2:25" s="1704" customFormat="1">
      <c r="B64" s="2836"/>
      <c r="C64" s="2361"/>
      <c r="D64" s="2366"/>
      <c r="E64" s="2366"/>
      <c r="F64" s="2362"/>
      <c r="G64" s="2362"/>
      <c r="H64" s="2213"/>
      <c r="I64" s="2213"/>
      <c r="J64" s="2213"/>
      <c r="K64" s="2213"/>
      <c r="L64" s="2364"/>
      <c r="M64" s="2365"/>
      <c r="N64" s="2365"/>
      <c r="O64" s="2365"/>
      <c r="P64" s="2365"/>
      <c r="Q64" s="2365"/>
      <c r="R64" s="2365"/>
      <c r="S64" s="2365"/>
      <c r="T64" s="2365"/>
      <c r="U64" s="2365"/>
      <c r="V64" s="2365"/>
      <c r="W64" s="3930" t="str">
        <f>W37</f>
        <v>(tCO2-eq)</v>
      </c>
      <c r="X64" s="3930"/>
      <c r="Y64" s="2332"/>
    </row>
    <row r="65" spans="2:25" s="1704" customFormat="1">
      <c r="B65" s="2667"/>
      <c r="C65" s="2137"/>
      <c r="D65" s="2137"/>
      <c r="E65" s="2200"/>
      <c r="F65" s="2200"/>
      <c r="G65" s="2137"/>
      <c r="H65" s="2332"/>
      <c r="I65" s="2666" t="str">
        <f>I38</f>
        <v>Without</v>
      </c>
      <c r="J65" s="2332"/>
      <c r="K65" s="2666" t="str">
        <f>K38</f>
        <v>With</v>
      </c>
      <c r="L65" s="2364"/>
      <c r="M65" s="2365"/>
      <c r="N65" s="2365"/>
      <c r="O65" s="2365"/>
      <c r="P65" s="2365"/>
      <c r="Q65" s="2365"/>
      <c r="R65" s="2365"/>
      <c r="S65" s="2365"/>
      <c r="T65" s="2365"/>
      <c r="U65" s="2365"/>
      <c r="V65" s="2365"/>
      <c r="W65" s="2666" t="str">
        <f>I65</f>
        <v>Without</v>
      </c>
      <c r="X65" s="2666" t="str">
        <f>K65</f>
        <v>With</v>
      </c>
      <c r="Y65" s="2332"/>
    </row>
    <row r="66" spans="2:25" s="1704" customFormat="1">
      <c r="B66" s="2599" t="str">
        <f>HLOOKUP(select,translations!$A$251:$H$340,44,)</f>
        <v>Irrigation systems (in ha)</v>
      </c>
      <c r="C66" s="2137"/>
      <c r="D66" s="2137"/>
      <c r="E66" s="2200"/>
      <c r="F66" s="2365"/>
      <c r="G66" s="2364"/>
      <c r="H66" s="2368"/>
      <c r="I66" s="2364"/>
      <c r="J66" s="2343"/>
      <c r="K66" s="2368"/>
      <c r="L66" s="2364"/>
      <c r="M66" s="2365"/>
      <c r="N66" s="3935" t="str">
        <f>'2.LUC'!V9</f>
        <v xml:space="preserve"> </v>
      </c>
      <c r="O66" s="3935"/>
      <c r="P66" s="3935"/>
      <c r="Q66" s="2365"/>
      <c r="R66" s="2365"/>
      <c r="S66" s="2365"/>
      <c r="T66" s="2365"/>
      <c r="U66" s="2365"/>
      <c r="V66" s="2365"/>
      <c r="W66" s="2368"/>
      <c r="X66" s="2368"/>
      <c r="Y66" s="2368"/>
    </row>
    <row r="67" spans="2:25" s="1704" customFormat="1">
      <c r="B67" s="2667"/>
      <c r="C67" s="3875" t="s">
        <v>4</v>
      </c>
      <c r="D67" s="3875"/>
      <c r="E67" s="3875"/>
      <c r="F67" s="3875"/>
      <c r="G67" s="2364"/>
      <c r="H67" s="2368"/>
      <c r="I67" s="2084">
        <v>0</v>
      </c>
      <c r="J67" s="2343"/>
      <c r="K67" s="2084">
        <v>0</v>
      </c>
      <c r="L67" s="2364"/>
      <c r="M67" s="2200"/>
      <c r="N67" s="2667" t="str">
        <f>IF(Nlang=1,"",VLOOKUP(C67,'Name translation'!$A$135:$H$144,Nlang+1,))</f>
        <v/>
      </c>
      <c r="O67" s="2200"/>
      <c r="P67" s="2200"/>
      <c r="Q67" s="2200"/>
      <c r="R67" s="2200"/>
      <c r="S67" s="2200"/>
      <c r="T67" s="2200"/>
      <c r="U67" s="2200"/>
      <c r="V67" s="2200"/>
      <c r="W67" s="2369">
        <f>'Other investments'!G62</f>
        <v>0</v>
      </c>
      <c r="X67" s="2369">
        <f>'Other investments'!G65</f>
        <v>0</v>
      </c>
      <c r="Y67" s="2370">
        <f>X67-W67</f>
        <v>0</v>
      </c>
    </row>
    <row r="68" spans="2:25" s="1704" customFormat="1">
      <c r="B68" s="2667"/>
      <c r="C68" s="3875" t="s">
        <v>4</v>
      </c>
      <c r="D68" s="3875"/>
      <c r="E68" s="3875"/>
      <c r="F68" s="3875"/>
      <c r="G68" s="2364"/>
      <c r="H68" s="2368"/>
      <c r="I68" s="2084">
        <v>0</v>
      </c>
      <c r="J68" s="2343"/>
      <c r="K68" s="2084">
        <v>0</v>
      </c>
      <c r="L68" s="2364"/>
      <c r="M68" s="2200"/>
      <c r="N68" s="2667" t="str">
        <f>IF(Nlang=1,"",VLOOKUP(C68,'Name translation'!$A$135:$H$144,Nlang+1,))</f>
        <v/>
      </c>
      <c r="O68" s="2200"/>
      <c r="P68" s="2200"/>
      <c r="Q68" s="2200"/>
      <c r="R68" s="2200"/>
      <c r="S68" s="2200"/>
      <c r="T68" s="2200"/>
      <c r="U68" s="2200"/>
      <c r="V68" s="2200"/>
      <c r="W68" s="2369">
        <f>'Other investments'!G63</f>
        <v>0</v>
      </c>
      <c r="X68" s="2369">
        <f>'Other investments'!G66</f>
        <v>0</v>
      </c>
      <c r="Y68" s="2370">
        <f>X68-W68</f>
        <v>0</v>
      </c>
    </row>
    <row r="69" spans="2:25" s="1704" customFormat="1">
      <c r="B69" s="2667"/>
      <c r="C69" s="3875" t="s">
        <v>4</v>
      </c>
      <c r="D69" s="3875"/>
      <c r="E69" s="3875"/>
      <c r="F69" s="3875"/>
      <c r="G69" s="2364"/>
      <c r="H69" s="2368"/>
      <c r="I69" s="3363">
        <v>0</v>
      </c>
      <c r="J69" s="2343"/>
      <c r="K69" s="3363">
        <v>0</v>
      </c>
      <c r="L69" s="2364"/>
      <c r="M69" s="3362"/>
      <c r="N69" s="2667"/>
      <c r="O69" s="3362"/>
      <c r="P69" s="3362"/>
      <c r="Q69" s="3362"/>
      <c r="R69" s="3362"/>
      <c r="S69" s="3362"/>
      <c r="T69" s="3362"/>
      <c r="U69" s="3362"/>
      <c r="V69" s="3362"/>
      <c r="W69" s="2369">
        <f>'Other investments'!G64</f>
        <v>0</v>
      </c>
      <c r="X69" s="2369">
        <f>'Other investments'!G67</f>
        <v>0</v>
      </c>
      <c r="Y69" s="2370">
        <f>X69-W69</f>
        <v>0</v>
      </c>
    </row>
    <row r="70" spans="2:25" s="1704" customFormat="1">
      <c r="B70" s="2667"/>
      <c r="C70" s="2669" t="s">
        <v>2880</v>
      </c>
      <c r="D70" s="2137"/>
      <c r="E70" s="2200"/>
      <c r="F70" s="2200"/>
      <c r="G70" s="2137"/>
      <c r="H70" s="2137"/>
      <c r="I70" s="2200"/>
      <c r="J70" s="2343"/>
      <c r="K70" s="2200"/>
      <c r="L70" s="2364"/>
      <c r="M70" s="2200"/>
      <c r="N70" s="2670" t="str">
        <f>IF(Nlang=1,"",HLOOKUP(select,translations!$A$251:$H$340,46,))</f>
        <v/>
      </c>
      <c r="O70" s="2200"/>
      <c r="P70" s="2200"/>
      <c r="Q70" s="2200"/>
      <c r="R70" s="2200"/>
      <c r="S70" s="2200"/>
      <c r="T70" s="2200"/>
      <c r="U70" s="2200"/>
      <c r="V70" s="2200"/>
      <c r="W70" s="2200"/>
      <c r="X70" s="2200"/>
      <c r="Y70" s="2370"/>
    </row>
    <row r="71" spans="2:25" s="1704" customFormat="1">
      <c r="B71" s="2667"/>
      <c r="C71" s="2137"/>
      <c r="D71" s="2137"/>
      <c r="E71" s="2658"/>
      <c r="F71" s="2658"/>
      <c r="G71" s="2137"/>
      <c r="H71" s="2137"/>
      <c r="I71" s="2658"/>
      <c r="J71" s="2343"/>
      <c r="K71" s="2658"/>
      <c r="L71" s="2364"/>
      <c r="M71" s="2658"/>
      <c r="N71" s="2667"/>
      <c r="O71" s="2658"/>
      <c r="P71" s="2658"/>
      <c r="Q71" s="2658"/>
      <c r="R71" s="2658"/>
      <c r="S71" s="2658"/>
      <c r="T71" s="2658"/>
      <c r="U71" s="2658"/>
      <c r="V71" s="2658"/>
      <c r="W71" s="2658"/>
      <c r="X71" s="2658"/>
      <c r="Y71" s="2370"/>
    </row>
    <row r="72" spans="2:25" s="1704" customFormat="1">
      <c r="B72" s="2599" t="str">
        <f>HLOOKUP(select,translations!$A$251:$H$340,45,)</f>
        <v>Buildings and roads (in m2)</v>
      </c>
      <c r="C72" s="2137"/>
      <c r="D72" s="2137"/>
      <c r="E72" s="2200"/>
      <c r="F72" s="2200"/>
      <c r="G72" s="2137"/>
      <c r="H72" s="2137"/>
      <c r="I72" s="2200"/>
      <c r="J72" s="2343"/>
      <c r="K72" s="2200"/>
      <c r="L72" s="2364"/>
      <c r="M72" s="2200"/>
      <c r="N72" s="2200"/>
      <c r="O72" s="2200"/>
      <c r="P72" s="2200"/>
      <c r="Q72" s="2200"/>
      <c r="R72" s="2200"/>
      <c r="S72" s="2200"/>
      <c r="T72" s="2200"/>
      <c r="U72" s="2200"/>
      <c r="V72" s="2200"/>
      <c r="W72" s="2200"/>
      <c r="X72" s="2200"/>
      <c r="Y72" s="2370"/>
    </row>
    <row r="73" spans="2:25" s="1704" customFormat="1">
      <c r="B73" s="2667"/>
      <c r="C73" s="3926" t="s">
        <v>4</v>
      </c>
      <c r="D73" s="3875"/>
      <c r="E73" s="3875"/>
      <c r="F73" s="3875"/>
      <c r="G73" s="2137"/>
      <c r="H73" s="2137"/>
      <c r="I73" s="2084">
        <v>0</v>
      </c>
      <c r="J73" s="2343"/>
      <c r="K73" s="2084">
        <v>0</v>
      </c>
      <c r="L73" s="2364"/>
      <c r="M73" s="2200"/>
      <c r="N73" s="2667" t="str">
        <f>IF(Nlang=1,"",VLOOKUP(C73,'Name translation'!$A$145:$H$160,Nlang+1,))</f>
        <v/>
      </c>
      <c r="O73" s="2200"/>
      <c r="P73" s="2200"/>
      <c r="Q73" s="2200"/>
      <c r="R73" s="2200"/>
      <c r="S73" s="2200"/>
      <c r="T73" s="2200"/>
      <c r="U73" s="2200"/>
      <c r="V73" s="2200"/>
      <c r="W73" s="2370">
        <f>'Other investments'!I74</f>
        <v>0</v>
      </c>
      <c r="X73" s="2370">
        <f>'Other investments'!J74</f>
        <v>0</v>
      </c>
      <c r="Y73" s="2370">
        <f>X73-W73</f>
        <v>0</v>
      </c>
    </row>
    <row r="74" spans="2:25" s="1704" customFormat="1">
      <c r="B74" s="2667"/>
      <c r="C74" s="3875" t="s">
        <v>4</v>
      </c>
      <c r="D74" s="3875"/>
      <c r="E74" s="3875"/>
      <c r="F74" s="3875"/>
      <c r="G74" s="2137"/>
      <c r="H74" s="2137"/>
      <c r="I74" s="2084">
        <v>0</v>
      </c>
      <c r="J74" s="2343"/>
      <c r="K74" s="2084">
        <v>0</v>
      </c>
      <c r="L74" s="2364"/>
      <c r="M74" s="2200"/>
      <c r="N74" s="2667" t="str">
        <f>IF(Nlang=1,"",VLOOKUP(C74,'Name translation'!$A$145:$H$160,Nlang+1,))</f>
        <v/>
      </c>
      <c r="O74" s="2200"/>
      <c r="P74" s="2200"/>
      <c r="Q74" s="2200"/>
      <c r="R74" s="2200"/>
      <c r="S74" s="2200"/>
      <c r="T74" s="2200"/>
      <c r="U74" s="2200"/>
      <c r="V74" s="2200"/>
      <c r="W74" s="2370">
        <f>'Other investments'!I75</f>
        <v>0</v>
      </c>
      <c r="X74" s="2370">
        <f>'Other investments'!J75</f>
        <v>0</v>
      </c>
      <c r="Y74" s="2370">
        <f t="shared" ref="Y74:Y79" si="3">X74-W74</f>
        <v>0</v>
      </c>
    </row>
    <row r="75" spans="2:25" s="1704" customFormat="1">
      <c r="B75" s="2667"/>
      <c r="C75" s="3926" t="s">
        <v>4</v>
      </c>
      <c r="D75" s="3875"/>
      <c r="E75" s="3875"/>
      <c r="F75" s="3875"/>
      <c r="G75" s="2137"/>
      <c r="H75" s="2137"/>
      <c r="I75" s="2084">
        <v>0</v>
      </c>
      <c r="J75" s="2343"/>
      <c r="K75" s="2084">
        <v>0</v>
      </c>
      <c r="L75" s="2364"/>
      <c r="M75" s="2200"/>
      <c r="N75" s="2667" t="str">
        <f>IF(Nlang=1,"",VLOOKUP(C75,'Name translation'!$A$145:$H$160,Nlang+1,))</f>
        <v/>
      </c>
      <c r="O75" s="2200"/>
      <c r="P75" s="2200"/>
      <c r="Q75" s="2200"/>
      <c r="R75" s="2200"/>
      <c r="S75" s="2200"/>
      <c r="T75" s="2200"/>
      <c r="U75" s="2200"/>
      <c r="V75" s="2200"/>
      <c r="W75" s="2370">
        <f>'Other investments'!I76</f>
        <v>0</v>
      </c>
      <c r="X75" s="2370">
        <f>'Other investments'!J76</f>
        <v>0</v>
      </c>
      <c r="Y75" s="2370">
        <f t="shared" si="3"/>
        <v>0</v>
      </c>
    </row>
    <row r="76" spans="2:25" s="1704" customFormat="1">
      <c r="B76" s="2137"/>
      <c r="C76" s="3875" t="s">
        <v>4</v>
      </c>
      <c r="D76" s="3875"/>
      <c r="E76" s="3875"/>
      <c r="F76" s="3875"/>
      <c r="G76" s="2137"/>
      <c r="H76" s="2137"/>
      <c r="I76" s="2084">
        <v>0</v>
      </c>
      <c r="J76" s="2343"/>
      <c r="K76" s="2084">
        <v>0</v>
      </c>
      <c r="L76" s="2364"/>
      <c r="M76" s="2200"/>
      <c r="N76" s="2667" t="str">
        <f>IF(Nlang=1,"",VLOOKUP(C76,'Name translation'!$A$145:$H$160,Nlang+1,))</f>
        <v/>
      </c>
      <c r="O76" s="2200"/>
      <c r="P76" s="2200"/>
      <c r="Q76" s="2200"/>
      <c r="R76" s="2200"/>
      <c r="S76" s="2200"/>
      <c r="T76" s="2200"/>
      <c r="U76" s="2200"/>
      <c r="V76" s="2200"/>
      <c r="W76" s="2370">
        <f>'Other investments'!I77</f>
        <v>0</v>
      </c>
      <c r="X76" s="2370">
        <f>'Other investments'!J77</f>
        <v>0</v>
      </c>
      <c r="Y76" s="2370">
        <f t="shared" si="3"/>
        <v>0</v>
      </c>
    </row>
    <row r="77" spans="2:25" s="1704" customFormat="1">
      <c r="B77" s="2137"/>
      <c r="C77" s="3875" t="s">
        <v>4</v>
      </c>
      <c r="D77" s="3875"/>
      <c r="E77" s="3875"/>
      <c r="F77" s="3875"/>
      <c r="G77" s="2137"/>
      <c r="H77" s="2137"/>
      <c r="I77" s="2084">
        <v>0</v>
      </c>
      <c r="J77" s="2343"/>
      <c r="K77" s="2084">
        <v>0</v>
      </c>
      <c r="L77" s="2364"/>
      <c r="M77" s="2200"/>
      <c r="N77" s="2667" t="str">
        <f>IF(Nlang=1,"",VLOOKUP(C77,'Name translation'!$A$145:$H$160,Nlang+1,))</f>
        <v/>
      </c>
      <c r="O77" s="2200"/>
      <c r="P77" s="2200"/>
      <c r="Q77" s="2200"/>
      <c r="R77" s="2200"/>
      <c r="S77" s="2200"/>
      <c r="T77" s="2200"/>
      <c r="U77" s="2200"/>
      <c r="V77" s="2200"/>
      <c r="W77" s="2370">
        <f>'Other investments'!I78</f>
        <v>0</v>
      </c>
      <c r="X77" s="2370">
        <f>'Other investments'!J78</f>
        <v>0</v>
      </c>
      <c r="Y77" s="2370">
        <f t="shared" si="3"/>
        <v>0</v>
      </c>
    </row>
    <row r="78" spans="2:25" s="1704" customFormat="1">
      <c r="B78" s="2137"/>
      <c r="C78" s="3875" t="s">
        <v>4</v>
      </c>
      <c r="D78" s="3875"/>
      <c r="E78" s="3875"/>
      <c r="F78" s="3875"/>
      <c r="G78" s="2137"/>
      <c r="H78" s="2137"/>
      <c r="I78" s="2084">
        <v>0</v>
      </c>
      <c r="J78" s="2343"/>
      <c r="K78" s="2084">
        <v>0</v>
      </c>
      <c r="L78" s="2364"/>
      <c r="M78" s="2200"/>
      <c r="N78" s="2667" t="str">
        <f>IF(Nlang=1,"",VLOOKUP(C78,'Name translation'!$A$145:$H$160,Nlang+1,))</f>
        <v/>
      </c>
      <c r="O78" s="2200"/>
      <c r="P78" s="2200"/>
      <c r="Q78" s="2200"/>
      <c r="R78" s="2200"/>
      <c r="S78" s="2200"/>
      <c r="T78" s="2200"/>
      <c r="U78" s="2200"/>
      <c r="V78" s="2200"/>
      <c r="W78" s="2370">
        <f>'Other investments'!I79</f>
        <v>0</v>
      </c>
      <c r="X78" s="2370">
        <f>'Other investments'!J79</f>
        <v>0</v>
      </c>
      <c r="Y78" s="2370">
        <f t="shared" si="3"/>
        <v>0</v>
      </c>
    </row>
    <row r="79" spans="2:25" s="1704" customFormat="1">
      <c r="B79" s="2137"/>
      <c r="C79" s="3875" t="s">
        <v>4</v>
      </c>
      <c r="D79" s="3875"/>
      <c r="E79" s="3875"/>
      <c r="F79" s="3875"/>
      <c r="G79" s="2137"/>
      <c r="H79" s="2137"/>
      <c r="I79" s="2084">
        <v>0</v>
      </c>
      <c r="J79" s="2343"/>
      <c r="K79" s="2084">
        <v>0</v>
      </c>
      <c r="L79" s="2364"/>
      <c r="M79" s="2200"/>
      <c r="N79" s="2667" t="str">
        <f>IF(Nlang=1,"",VLOOKUP(C79,'Name translation'!$A$145:$H$160,Nlang+1,))</f>
        <v/>
      </c>
      <c r="O79" s="2200"/>
      <c r="P79" s="2200"/>
      <c r="Q79" s="2200"/>
      <c r="R79" s="2200"/>
      <c r="S79" s="2200"/>
      <c r="T79" s="2200"/>
      <c r="U79" s="2200"/>
      <c r="V79" s="2200"/>
      <c r="W79" s="2370">
        <f>'Other investments'!I80</f>
        <v>0</v>
      </c>
      <c r="X79" s="2370">
        <f>'Other investments'!J80</f>
        <v>0</v>
      </c>
      <c r="Y79" s="2370">
        <f t="shared" si="3"/>
        <v>0</v>
      </c>
    </row>
    <row r="80" spans="2:25" s="1704" customFormat="1"/>
    <row r="81" spans="5:25" s="1704" customFormat="1">
      <c r="E81" s="1709"/>
      <c r="F81" s="1709"/>
      <c r="I81" s="1709"/>
      <c r="J81" s="1709"/>
      <c r="K81" s="1709"/>
      <c r="L81" s="1709"/>
      <c r="M81" s="1709"/>
      <c r="N81" s="1709"/>
      <c r="O81" s="1709"/>
      <c r="P81" s="1709"/>
      <c r="Q81" s="1709"/>
      <c r="R81" s="1709"/>
      <c r="S81" s="1709"/>
      <c r="T81" s="1709"/>
      <c r="U81" s="1709"/>
      <c r="V81" s="1709"/>
      <c r="W81" s="1709"/>
      <c r="X81" s="1709"/>
    </row>
    <row r="82" spans="5:25" s="1704" customFormat="1">
      <c r="E82" s="1709"/>
      <c r="F82" s="1709"/>
      <c r="I82" s="1709"/>
      <c r="J82" s="1709"/>
      <c r="K82" s="1709"/>
      <c r="L82" s="1709"/>
      <c r="M82" s="1709"/>
      <c r="N82" s="1709"/>
      <c r="O82" s="1709"/>
      <c r="P82" s="1709"/>
      <c r="Q82" s="1709"/>
      <c r="R82" s="1709"/>
      <c r="S82" s="2671" t="str">
        <f>HLOOKUP(select,translations!$A$251:$H$340,47,)</f>
        <v>Total Construction</v>
      </c>
      <c r="T82" s="2360"/>
      <c r="U82" s="2251"/>
      <c r="V82" s="2360"/>
      <c r="W82" s="2252">
        <f>SUM(W65:W79)</f>
        <v>0</v>
      </c>
      <c r="X82" s="2252">
        <f>SUM(X65:X79)</f>
        <v>0</v>
      </c>
      <c r="Y82" s="2252">
        <f>SUM(Y65:Y79)</f>
        <v>0</v>
      </c>
    </row>
    <row r="83" spans="5:25" s="1704" customFormat="1">
      <c r="E83" s="1709"/>
      <c r="F83" s="1709"/>
      <c r="I83" s="1709"/>
      <c r="J83" s="1709"/>
      <c r="K83" s="1709"/>
      <c r="L83" s="1709"/>
      <c r="M83" s="1709"/>
      <c r="N83" s="1709"/>
      <c r="O83" s="1709"/>
      <c r="P83" s="1709"/>
      <c r="Q83" s="1709"/>
      <c r="R83" s="1709"/>
      <c r="S83" s="1709"/>
      <c r="T83" s="1709"/>
      <c r="U83" s="1709"/>
      <c r="V83" s="1709"/>
      <c r="W83" s="1709"/>
      <c r="X83" s="1709"/>
    </row>
    <row r="84" spans="5:25" s="1704" customFormat="1">
      <c r="E84" s="1709"/>
      <c r="F84" s="1709"/>
      <c r="I84" s="1709"/>
      <c r="J84" s="1709"/>
      <c r="K84" s="1709"/>
      <c r="L84" s="1709"/>
      <c r="M84" s="1709"/>
      <c r="N84" s="1709"/>
      <c r="O84" s="1709"/>
      <c r="P84" s="1709"/>
      <c r="Q84" s="1709"/>
      <c r="R84" s="1709"/>
      <c r="S84" s="1709"/>
      <c r="T84" s="1709"/>
      <c r="U84" s="1709"/>
      <c r="V84" s="1709"/>
      <c r="W84" s="1709"/>
      <c r="X84" s="1709"/>
    </row>
    <row r="85" spans="5:25" s="1704" customFormat="1">
      <c r="E85" s="1709"/>
      <c r="F85" s="1709"/>
      <c r="I85" s="1709"/>
      <c r="J85" s="1709"/>
      <c r="K85" s="1709"/>
      <c r="L85" s="1709"/>
      <c r="M85" s="1709"/>
      <c r="N85" s="1709"/>
      <c r="O85" s="1709"/>
      <c r="P85" s="1709"/>
      <c r="Q85" s="1709"/>
      <c r="R85" s="1709"/>
      <c r="S85" s="1709"/>
      <c r="T85" s="1709"/>
      <c r="U85" s="1709"/>
      <c r="V85" s="1709"/>
      <c r="W85" s="1709"/>
      <c r="X85" s="1709"/>
    </row>
    <row r="86" spans="5:25" s="1704" customFormat="1">
      <c r="E86" s="1709"/>
      <c r="F86" s="1709"/>
      <c r="I86" s="1709"/>
      <c r="J86" s="1709"/>
      <c r="K86" s="1709"/>
      <c r="L86" s="1709"/>
      <c r="M86" s="1709"/>
      <c r="N86" s="1709"/>
      <c r="O86" s="1709"/>
      <c r="P86" s="1709"/>
      <c r="Q86" s="1709"/>
      <c r="R86" s="1709"/>
      <c r="S86" s="1709"/>
      <c r="T86" s="1709"/>
      <c r="U86" s="1709"/>
      <c r="V86" s="1709"/>
      <c r="W86" s="1709"/>
      <c r="X86" s="1709"/>
    </row>
    <row r="87" spans="5:25" s="1704" customFormat="1">
      <c r="E87" s="1709"/>
      <c r="F87" s="1709"/>
      <c r="I87" s="1709"/>
      <c r="J87" s="1709"/>
      <c r="K87" s="1709"/>
      <c r="L87" s="1709"/>
      <c r="M87" s="1709"/>
      <c r="N87" s="1709"/>
      <c r="O87" s="1709"/>
      <c r="P87" s="1709"/>
      <c r="Q87" s="1709"/>
      <c r="R87" s="1709"/>
      <c r="S87" s="1709"/>
      <c r="T87" s="1709"/>
      <c r="U87" s="1709"/>
      <c r="V87" s="1709"/>
      <c r="W87" s="1709"/>
      <c r="X87" s="1709"/>
    </row>
    <row r="88" spans="5:25" s="1704" customFormat="1">
      <c r="E88" s="1709"/>
      <c r="F88" s="1709"/>
      <c r="I88" s="1709"/>
      <c r="J88" s="1709"/>
      <c r="K88" s="1709"/>
      <c r="L88" s="1709"/>
      <c r="M88" s="1709"/>
      <c r="N88" s="1709"/>
      <c r="O88" s="1709"/>
      <c r="P88" s="1709"/>
      <c r="Q88" s="1709"/>
      <c r="R88" s="1709"/>
      <c r="S88" s="1709"/>
      <c r="T88" s="1709"/>
      <c r="U88" s="1709"/>
      <c r="V88" s="1709"/>
      <c r="W88" s="1709"/>
      <c r="X88" s="1709"/>
    </row>
    <row r="89" spans="5:25" s="1704" customFormat="1">
      <c r="E89" s="1709"/>
      <c r="F89" s="1709"/>
      <c r="I89" s="1709"/>
      <c r="J89" s="1709"/>
      <c r="K89" s="1709"/>
      <c r="L89" s="1709"/>
      <c r="M89" s="1709"/>
      <c r="N89" s="1709"/>
      <c r="O89" s="1709"/>
      <c r="P89" s="1709"/>
      <c r="Q89" s="1709"/>
      <c r="R89" s="1709"/>
      <c r="S89" s="1709"/>
      <c r="T89" s="1709"/>
      <c r="U89" s="1709"/>
      <c r="V89" s="1709"/>
      <c r="W89" s="1709"/>
      <c r="X89" s="1709"/>
    </row>
    <row r="90" spans="5:25" s="1704" customFormat="1">
      <c r="E90" s="1709"/>
      <c r="F90" s="1709"/>
      <c r="I90" s="1709"/>
      <c r="J90" s="1709"/>
      <c r="K90" s="1709"/>
      <c r="L90" s="1709"/>
      <c r="M90" s="1709"/>
      <c r="N90" s="1709"/>
      <c r="O90" s="1709"/>
      <c r="P90" s="1709"/>
      <c r="Q90" s="1709"/>
      <c r="R90" s="1709"/>
      <c r="S90" s="1709"/>
      <c r="T90" s="1709"/>
      <c r="U90" s="1709"/>
      <c r="V90" s="1709"/>
      <c r="W90" s="1709"/>
      <c r="X90" s="1709"/>
    </row>
    <row r="91" spans="5:25" s="1704" customFormat="1">
      <c r="E91" s="1709"/>
      <c r="F91" s="1709"/>
      <c r="I91" s="1709"/>
      <c r="J91" s="1709"/>
      <c r="K91" s="1709"/>
      <c r="L91" s="1709"/>
      <c r="M91" s="1709"/>
      <c r="N91" s="1709"/>
      <c r="O91" s="1709"/>
      <c r="P91" s="1709"/>
      <c r="Q91" s="1709"/>
      <c r="R91" s="1709"/>
      <c r="S91" s="1709"/>
      <c r="T91" s="1709"/>
      <c r="U91" s="1709"/>
      <c r="V91" s="1709"/>
      <c r="W91" s="1709"/>
      <c r="X91" s="1709"/>
    </row>
    <row r="92" spans="5:25" s="1704" customFormat="1">
      <c r="E92" s="1709"/>
      <c r="F92" s="1709"/>
      <c r="I92" s="1709"/>
      <c r="J92" s="1709"/>
      <c r="K92" s="1709"/>
      <c r="L92" s="1709"/>
      <c r="M92" s="1709"/>
      <c r="N92" s="1709"/>
      <c r="O92" s="1709"/>
      <c r="P92" s="1709"/>
      <c r="Q92" s="1709"/>
      <c r="R92" s="1709"/>
      <c r="S92" s="1709"/>
      <c r="T92" s="1709"/>
      <c r="U92" s="1709"/>
      <c r="V92" s="1709"/>
      <c r="W92" s="1709"/>
      <c r="X92" s="1709"/>
    </row>
    <row r="93" spans="5:25" s="1704" customFormat="1">
      <c r="E93" s="1709"/>
      <c r="F93" s="1709"/>
      <c r="I93" s="1709"/>
      <c r="J93" s="1709"/>
      <c r="K93" s="1709"/>
      <c r="L93" s="1709"/>
      <c r="M93" s="1709"/>
      <c r="N93" s="1709"/>
      <c r="O93" s="1709"/>
      <c r="P93" s="1709"/>
      <c r="Q93" s="1709"/>
      <c r="R93" s="1709"/>
      <c r="S93" s="1709"/>
      <c r="T93" s="1709"/>
      <c r="U93" s="1709"/>
      <c r="V93" s="1709"/>
      <c r="W93" s="1709"/>
      <c r="X93" s="1709"/>
    </row>
    <row r="94" spans="5:25" s="1704" customFormat="1">
      <c r="E94" s="1709"/>
      <c r="F94" s="1709"/>
      <c r="I94" s="1709"/>
      <c r="J94" s="1709"/>
      <c r="K94" s="1709"/>
      <c r="L94" s="1709"/>
      <c r="M94" s="1709"/>
      <c r="N94" s="1709"/>
      <c r="O94" s="1709"/>
      <c r="P94" s="1709"/>
      <c r="Q94" s="1709"/>
      <c r="R94" s="1709"/>
      <c r="S94" s="1709"/>
      <c r="T94" s="1709"/>
      <c r="U94" s="1709"/>
      <c r="V94" s="1709"/>
      <c r="W94" s="1709"/>
      <c r="X94" s="1709"/>
    </row>
    <row r="95" spans="5:25" s="1704" customFormat="1">
      <c r="E95" s="1709"/>
      <c r="F95" s="1709"/>
      <c r="I95" s="1709"/>
      <c r="J95" s="1709"/>
      <c r="K95" s="1709"/>
      <c r="L95" s="1709"/>
      <c r="M95" s="1709"/>
      <c r="N95" s="1709"/>
      <c r="O95" s="1709"/>
      <c r="P95" s="1709"/>
      <c r="Q95" s="1709"/>
      <c r="R95" s="1709"/>
      <c r="S95" s="1709"/>
      <c r="T95" s="1709"/>
      <c r="U95" s="1709"/>
      <c r="V95" s="1709"/>
      <c r="W95" s="1709"/>
      <c r="X95" s="1709"/>
    </row>
    <row r="96" spans="5:25" s="1704" customFormat="1">
      <c r="E96" s="1709"/>
      <c r="F96" s="1709"/>
      <c r="I96" s="1709"/>
      <c r="J96" s="1709"/>
      <c r="K96" s="1709"/>
      <c r="L96" s="1709"/>
      <c r="M96" s="1709"/>
      <c r="N96" s="1709"/>
      <c r="O96" s="1709"/>
      <c r="P96" s="1709"/>
      <c r="Q96" s="1709"/>
      <c r="R96" s="1709"/>
      <c r="S96" s="1709"/>
      <c r="T96" s="1709"/>
      <c r="U96" s="1709"/>
      <c r="V96" s="1709"/>
      <c r="W96" s="1709"/>
      <c r="X96" s="1709"/>
    </row>
    <row r="97" spans="2:25" s="1704" customFormat="1">
      <c r="E97" s="1709"/>
      <c r="F97" s="1709"/>
      <c r="I97" s="1709"/>
      <c r="J97" s="1709"/>
      <c r="K97" s="1709"/>
      <c r="L97" s="1709"/>
      <c r="M97" s="1709"/>
      <c r="N97" s="1709"/>
      <c r="O97" s="1709"/>
      <c r="P97" s="1709"/>
    </row>
    <row r="98" spans="2:25" s="1704" customFormat="1">
      <c r="E98" s="1709"/>
      <c r="F98" s="1709"/>
      <c r="I98" s="1709"/>
      <c r="J98" s="1709"/>
      <c r="K98" s="1709"/>
      <c r="L98" s="1709"/>
      <c r="M98" s="1709"/>
      <c r="N98" s="1709"/>
      <c r="O98" s="1709"/>
      <c r="P98" s="1709"/>
      <c r="Q98" s="1709"/>
      <c r="R98" s="1709"/>
      <c r="S98" s="1709"/>
      <c r="T98" s="1709"/>
      <c r="U98" s="1709"/>
      <c r="V98" s="1709"/>
      <c r="W98" s="1709"/>
      <c r="X98" s="1709"/>
    </row>
    <row r="99" spans="2:25" s="1704" customFormat="1">
      <c r="E99" s="1709"/>
      <c r="F99" s="1709"/>
      <c r="I99" s="1709"/>
      <c r="J99" s="1709"/>
      <c r="K99" s="1709"/>
      <c r="L99" s="1709"/>
      <c r="M99" s="1709"/>
      <c r="N99" s="1709"/>
      <c r="O99" s="1709"/>
      <c r="P99" s="1709"/>
      <c r="Q99" s="1709"/>
      <c r="R99" s="1709"/>
      <c r="S99" s="1709"/>
      <c r="T99" s="1709"/>
      <c r="U99" s="1709"/>
      <c r="V99" s="1709"/>
      <c r="W99" s="1709"/>
      <c r="X99" s="1709"/>
    </row>
    <row r="100" spans="2:25" s="1704" customFormat="1">
      <c r="E100" s="1709"/>
      <c r="F100" s="1709"/>
      <c r="I100" s="1709"/>
      <c r="J100" s="1709"/>
      <c r="K100" s="1709"/>
      <c r="L100" s="1709"/>
      <c r="M100" s="1709"/>
      <c r="N100" s="1709"/>
      <c r="O100" s="1709"/>
      <c r="P100" s="1709"/>
      <c r="Q100" s="1709"/>
      <c r="R100" s="1709"/>
      <c r="S100" s="1709"/>
      <c r="T100" s="1709"/>
      <c r="U100" s="1709"/>
      <c r="V100" s="1709"/>
      <c r="W100" s="1709"/>
      <c r="X100" s="1709"/>
    </row>
    <row r="101" spans="2:25" s="1704" customFormat="1">
      <c r="E101" s="1709"/>
      <c r="F101" s="1709"/>
      <c r="I101" s="1709"/>
      <c r="J101" s="1709"/>
      <c r="K101" s="1709"/>
      <c r="L101" s="1709"/>
      <c r="M101" s="1709"/>
      <c r="N101" s="1709"/>
      <c r="O101" s="1709"/>
      <c r="P101" s="1709"/>
      <c r="Q101" s="1709"/>
      <c r="R101" s="1709"/>
      <c r="S101" s="1709"/>
      <c r="T101" s="1709"/>
      <c r="U101" s="1709"/>
      <c r="V101" s="1709"/>
      <c r="W101" s="1709"/>
      <c r="X101" s="1709"/>
    </row>
    <row r="102" spans="2:25" s="1704" customFormat="1">
      <c r="E102" s="1709"/>
      <c r="F102" s="1709"/>
      <c r="I102" s="1709"/>
      <c r="J102" s="1709"/>
      <c r="K102" s="1709"/>
      <c r="L102" s="1709"/>
      <c r="M102" s="1709"/>
      <c r="N102" s="1709"/>
      <c r="O102" s="1709"/>
      <c r="P102" s="1709"/>
      <c r="Q102" s="1709"/>
      <c r="R102" s="1709"/>
      <c r="S102" s="1709"/>
      <c r="T102" s="1709"/>
      <c r="U102" s="1709"/>
      <c r="V102" s="1709"/>
      <c r="W102" s="1709"/>
      <c r="X102" s="1709"/>
    </row>
    <row r="103" spans="2:25" s="1704" customFormat="1">
      <c r="B103" s="1937"/>
      <c r="M103" s="1709"/>
      <c r="N103" s="1709"/>
      <c r="O103" s="1709"/>
      <c r="P103" s="1709"/>
      <c r="Q103" s="1709"/>
      <c r="W103" s="1709"/>
      <c r="X103" s="1709"/>
      <c r="Y103" s="1709"/>
    </row>
    <row r="104" spans="2:25" s="1704" customFormat="1">
      <c r="M104" s="2093"/>
      <c r="N104" s="2093"/>
      <c r="O104" s="3288"/>
      <c r="P104" s="1709"/>
      <c r="Q104" s="2093"/>
      <c r="R104" s="3288"/>
      <c r="W104" s="3289"/>
      <c r="X104" s="3289"/>
      <c r="Y104" s="3289"/>
    </row>
    <row r="105" spans="2:25" s="1704" customFormat="1">
      <c r="M105" s="2093"/>
      <c r="N105" s="2093"/>
      <c r="O105" s="3288"/>
      <c r="P105" s="1709"/>
      <c r="Q105" s="2093"/>
      <c r="R105" s="3288"/>
      <c r="W105" s="3289"/>
      <c r="X105" s="3289"/>
      <c r="Y105" s="3289"/>
    </row>
    <row r="106" spans="2:25" s="1704" customFormat="1">
      <c r="M106" s="2093"/>
      <c r="N106" s="2093"/>
      <c r="O106" s="3288"/>
      <c r="P106" s="1709"/>
      <c r="Q106" s="2093"/>
      <c r="R106" s="3288"/>
      <c r="W106" s="3289"/>
      <c r="X106" s="3289"/>
      <c r="Y106" s="3289"/>
    </row>
    <row r="107" spans="2:25" s="1704" customFormat="1">
      <c r="M107" s="2093"/>
      <c r="N107" s="2093"/>
      <c r="O107" s="3288"/>
      <c r="P107" s="1709"/>
      <c r="Q107" s="2093"/>
      <c r="R107" s="3288"/>
      <c r="W107" s="3289"/>
      <c r="X107" s="3289"/>
      <c r="Y107" s="3289"/>
    </row>
    <row r="108" spans="2:25" s="1704" customFormat="1">
      <c r="M108" s="2093"/>
      <c r="N108" s="2093"/>
      <c r="O108" s="3288"/>
      <c r="P108" s="1709"/>
      <c r="Q108" s="2093"/>
      <c r="R108" s="3288"/>
      <c r="W108" s="3289"/>
      <c r="X108" s="3289"/>
      <c r="Y108" s="3289"/>
    </row>
    <row r="109" spans="2:25" s="1704" customFormat="1">
      <c r="M109" s="2093"/>
      <c r="N109" s="2093"/>
      <c r="O109" s="3288"/>
      <c r="P109" s="1709"/>
      <c r="Q109" s="2093"/>
      <c r="R109" s="3288"/>
      <c r="W109" s="3289"/>
      <c r="X109" s="3289"/>
      <c r="Y109" s="3289"/>
    </row>
    <row r="110" spans="2:25" s="1704" customFormat="1"/>
    <row r="111" spans="2:25" s="1704" customFormat="1">
      <c r="E111" s="1709"/>
      <c r="F111" s="1709"/>
      <c r="I111" s="1709"/>
      <c r="J111" s="1709"/>
      <c r="K111" s="1709"/>
      <c r="L111" s="1709"/>
      <c r="M111" s="1709"/>
      <c r="N111" s="1709"/>
      <c r="O111" s="1709"/>
      <c r="P111" s="1709"/>
      <c r="Q111" s="1709"/>
      <c r="R111" s="1709"/>
      <c r="S111" s="1709"/>
      <c r="T111" s="1709"/>
      <c r="U111" s="1709"/>
      <c r="V111" s="1709"/>
      <c r="W111" s="1709"/>
      <c r="X111" s="1709"/>
    </row>
    <row r="112" spans="2:25" s="1704" customFormat="1">
      <c r="E112" s="1709"/>
      <c r="F112" s="1709"/>
      <c r="I112" s="1709"/>
      <c r="J112" s="1709"/>
      <c r="K112" s="1709"/>
      <c r="L112" s="1709"/>
      <c r="M112" s="1709"/>
      <c r="N112" s="1709"/>
      <c r="O112" s="1709"/>
      <c r="P112" s="1709"/>
      <c r="Q112" s="1709"/>
      <c r="R112" s="1709"/>
      <c r="S112" s="1709"/>
      <c r="T112" s="1709"/>
      <c r="U112" s="1709"/>
      <c r="V112" s="1709"/>
      <c r="W112" s="1709"/>
      <c r="X112" s="1709"/>
    </row>
    <row r="113" spans="3:24" s="1704" customFormat="1">
      <c r="E113" s="1709"/>
      <c r="F113" s="1709"/>
      <c r="I113" s="1709"/>
      <c r="J113" s="1709"/>
      <c r="K113" s="1709"/>
      <c r="L113" s="1709"/>
      <c r="M113" s="1709"/>
      <c r="N113" s="1709"/>
      <c r="O113" s="1709"/>
      <c r="P113" s="1709"/>
      <c r="Q113" s="1709"/>
      <c r="R113" s="1709"/>
      <c r="S113" s="1709"/>
      <c r="T113" s="1709"/>
      <c r="U113" s="1709"/>
      <c r="V113" s="1709"/>
      <c r="W113" s="1709"/>
      <c r="X113" s="1709"/>
    </row>
    <row r="114" spans="3:24" s="1704" customFormat="1">
      <c r="E114" s="1709"/>
      <c r="F114" s="1709"/>
      <c r="I114" s="1709"/>
      <c r="J114" s="1709"/>
      <c r="K114" s="1709"/>
      <c r="L114" s="1709"/>
      <c r="M114" s="1709"/>
      <c r="N114" s="1709"/>
      <c r="O114" s="1709"/>
      <c r="P114" s="1709"/>
      <c r="Q114" s="1709"/>
      <c r="R114" s="1709"/>
      <c r="S114" s="1709"/>
      <c r="T114" s="1709"/>
      <c r="U114" s="1709"/>
      <c r="V114" s="1709"/>
      <c r="W114" s="1709"/>
      <c r="X114" s="1709"/>
    </row>
    <row r="115" spans="3:24" s="1704" customFormat="1">
      <c r="E115" s="1709"/>
      <c r="F115" s="1709"/>
      <c r="I115" s="1709"/>
      <c r="J115" s="1709"/>
      <c r="K115" s="1709"/>
      <c r="L115" s="1709"/>
      <c r="M115" s="1709"/>
      <c r="N115" s="1709"/>
      <c r="O115" s="1709"/>
      <c r="P115" s="1709"/>
      <c r="Q115" s="1709"/>
      <c r="R115" s="1709"/>
      <c r="S115" s="1709"/>
      <c r="T115" s="1709"/>
      <c r="U115" s="1709"/>
      <c r="V115" s="1709"/>
      <c r="W115" s="1709"/>
      <c r="X115" s="1709"/>
    </row>
    <row r="116" spans="3:24" s="1704" customFormat="1">
      <c r="E116" s="1709"/>
      <c r="F116" s="1709"/>
      <c r="I116" s="1709"/>
      <c r="J116" s="1709"/>
      <c r="K116" s="1709"/>
      <c r="L116" s="1709"/>
      <c r="M116" s="1709"/>
      <c r="N116" s="1709"/>
      <c r="O116" s="1709"/>
      <c r="P116" s="1709"/>
      <c r="Q116" s="1709"/>
      <c r="R116" s="1709"/>
      <c r="S116" s="1709"/>
      <c r="T116" s="1709"/>
      <c r="U116" s="1709"/>
      <c r="V116" s="1709"/>
      <c r="W116" s="1709"/>
      <c r="X116" s="1709"/>
    </row>
    <row r="117" spans="3:24" s="1704" customFormat="1">
      <c r="E117" s="1709"/>
      <c r="F117" s="1709"/>
      <c r="I117" s="1709"/>
      <c r="J117" s="1709"/>
      <c r="K117" s="1709"/>
      <c r="L117" s="1709"/>
      <c r="M117" s="1709"/>
      <c r="N117" s="1709"/>
      <c r="O117" s="1709"/>
      <c r="P117" s="1709"/>
      <c r="Q117" s="1709"/>
      <c r="R117" s="1709"/>
      <c r="S117" s="1709"/>
      <c r="T117" s="1709"/>
      <c r="U117" s="1709"/>
      <c r="V117" s="1709"/>
      <c r="W117" s="1709"/>
      <c r="X117" s="1709"/>
    </row>
    <row r="118" spans="3:24" s="1704" customFormat="1">
      <c r="E118" s="1709"/>
      <c r="F118" s="1709"/>
      <c r="I118" s="1709"/>
      <c r="J118" s="1709"/>
      <c r="K118" s="1709"/>
      <c r="L118" s="1709"/>
      <c r="M118" s="1709"/>
      <c r="N118" s="1709"/>
      <c r="O118" s="1709"/>
      <c r="P118" s="1709"/>
      <c r="Q118" s="1709"/>
      <c r="R118" s="1709"/>
      <c r="S118" s="1709"/>
      <c r="T118" s="1709"/>
      <c r="U118" s="1709"/>
      <c r="V118" s="1709"/>
      <c r="W118" s="1709"/>
      <c r="X118" s="1709"/>
    </row>
    <row r="119" spans="3:24" s="1704" customFormat="1">
      <c r="E119" s="1709"/>
      <c r="F119" s="1709"/>
      <c r="I119" s="1709"/>
      <c r="J119" s="1709"/>
      <c r="K119" s="1709"/>
      <c r="L119" s="1709"/>
      <c r="M119" s="1709"/>
      <c r="N119" s="1709"/>
      <c r="O119" s="1709"/>
      <c r="P119" s="1709"/>
      <c r="Q119" s="1709"/>
      <c r="R119" s="1709"/>
      <c r="S119" s="1709"/>
      <c r="T119" s="1709"/>
      <c r="U119" s="1709"/>
      <c r="V119" s="1709"/>
      <c r="W119" s="1709"/>
      <c r="X119" s="1709"/>
    </row>
    <row r="120" spans="3:24" s="1704" customFormat="1">
      <c r="E120" s="1709"/>
      <c r="F120" s="1709"/>
      <c r="I120" s="1709"/>
      <c r="J120" s="1709"/>
      <c r="K120" s="1709"/>
      <c r="L120" s="1709"/>
      <c r="M120" s="1709"/>
      <c r="N120" s="1709"/>
      <c r="O120" s="1709"/>
      <c r="P120" s="1709"/>
      <c r="Q120" s="1709"/>
      <c r="R120" s="1709"/>
      <c r="S120" s="1709"/>
      <c r="T120" s="1709"/>
      <c r="U120" s="1709"/>
      <c r="V120" s="1709"/>
      <c r="W120" s="1709"/>
      <c r="X120" s="1709"/>
    </row>
    <row r="121" spans="3:24" s="1704" customFormat="1">
      <c r="E121" s="1709"/>
      <c r="F121" s="1709"/>
      <c r="I121" s="1709"/>
      <c r="J121" s="1709"/>
      <c r="K121" s="1709"/>
      <c r="L121" s="1709"/>
      <c r="M121" s="1709"/>
      <c r="N121" s="1709"/>
      <c r="O121" s="1709"/>
      <c r="P121" s="1709"/>
      <c r="Q121" s="1709"/>
      <c r="R121" s="1709"/>
      <c r="S121" s="1709"/>
      <c r="T121" s="1709"/>
      <c r="U121" s="1709"/>
      <c r="V121" s="1709"/>
      <c r="W121" s="1709"/>
      <c r="X121" s="1709"/>
    </row>
    <row r="122" spans="3:24" s="1704" customFormat="1">
      <c r="E122" s="1709"/>
      <c r="F122" s="1709"/>
      <c r="I122" s="1709"/>
      <c r="J122" s="1709"/>
      <c r="K122" s="1709"/>
      <c r="L122" s="1709"/>
      <c r="M122" s="1709"/>
      <c r="N122" s="1709"/>
      <c r="O122" s="1709"/>
      <c r="P122" s="1709"/>
      <c r="Q122" s="1709"/>
      <c r="R122" s="1709"/>
      <c r="S122" s="1709"/>
      <c r="T122" s="1709"/>
      <c r="U122" s="1709"/>
      <c r="V122" s="1709"/>
      <c r="W122" s="1709"/>
      <c r="X122" s="1709"/>
    </row>
    <row r="123" spans="3:24" s="1704" customFormat="1">
      <c r="E123" s="1709"/>
      <c r="F123" s="1709"/>
      <c r="I123" s="1709"/>
      <c r="J123" s="1709"/>
      <c r="K123" s="1709"/>
      <c r="L123" s="1709"/>
      <c r="M123" s="1709"/>
      <c r="N123" s="1709"/>
      <c r="O123" s="1709"/>
      <c r="P123" s="1709"/>
      <c r="Q123" s="1709"/>
      <c r="R123" s="1709"/>
      <c r="S123" s="1709"/>
      <c r="T123" s="1709"/>
      <c r="U123" s="1709"/>
      <c r="V123" s="1709"/>
      <c r="W123" s="1709"/>
      <c r="X123" s="1709"/>
    </row>
    <row r="124" spans="3:24" s="1704" customFormat="1">
      <c r="E124" s="1709"/>
      <c r="F124" s="1709"/>
      <c r="I124" s="1709"/>
      <c r="J124" s="1709"/>
      <c r="K124" s="1709"/>
      <c r="L124" s="1709"/>
      <c r="M124" s="1709"/>
      <c r="N124" s="1709"/>
      <c r="O124" s="1709"/>
      <c r="P124" s="1709"/>
      <c r="Q124" s="1709"/>
      <c r="R124" s="1709"/>
      <c r="S124" s="1709"/>
      <c r="T124" s="1709"/>
      <c r="U124" s="1709"/>
      <c r="V124" s="1709"/>
      <c r="W124" s="1709"/>
      <c r="X124" s="1709"/>
    </row>
    <row r="125" spans="3:24" s="1704" customFormat="1" ht="15.75">
      <c r="C125" s="2520" t="str">
        <f>B7</f>
        <v>6.1. Inputs (liming, fertilizers, pesticides, herbicides,…)</v>
      </c>
      <c r="D125" s="1732"/>
      <c r="E125" s="1732"/>
      <c r="F125" s="1732"/>
      <c r="G125" s="1732"/>
      <c r="H125" s="1732"/>
      <c r="I125" s="1732"/>
      <c r="J125" s="1732"/>
      <c r="K125" s="1732"/>
      <c r="L125" s="1732"/>
      <c r="M125" s="1732"/>
      <c r="N125" s="1732"/>
      <c r="O125" s="1732"/>
      <c r="P125" s="1732"/>
      <c r="Q125" s="1732"/>
      <c r="R125" s="1732"/>
      <c r="S125" s="1732"/>
      <c r="T125" s="1732"/>
      <c r="U125" s="1732"/>
      <c r="V125" s="1732"/>
      <c r="W125" s="1732"/>
      <c r="X125" s="1732"/>
    </row>
    <row r="126" spans="3:24" s="1704" customFormat="1">
      <c r="E126" s="1709"/>
      <c r="F126" s="1709"/>
      <c r="I126" s="1709"/>
      <c r="J126" s="1709"/>
      <c r="K126" s="1709"/>
      <c r="L126" s="1709"/>
      <c r="M126" s="1709"/>
      <c r="N126" s="1709"/>
      <c r="O126" s="1709"/>
      <c r="P126" s="1709"/>
      <c r="Q126" s="1709"/>
      <c r="R126" s="1709"/>
      <c r="S126" s="1709"/>
      <c r="T126" s="1709"/>
      <c r="U126" s="1709"/>
      <c r="V126" s="1709"/>
      <c r="W126" s="1709"/>
      <c r="X126" s="1709"/>
    </row>
    <row r="127" spans="3:24" s="1704" customFormat="1">
      <c r="C127" s="1726"/>
      <c r="D127" s="1726"/>
      <c r="E127" s="1756"/>
      <c r="F127" s="1755"/>
      <c r="G127" s="1755"/>
      <c r="H127" s="1755"/>
      <c r="I127" s="1755"/>
      <c r="J127" s="1755"/>
      <c r="K127" s="1755"/>
      <c r="L127" s="1755"/>
      <c r="M127" s="1755"/>
      <c r="N127" s="1755"/>
      <c r="O127" s="1755"/>
      <c r="P127" s="1755"/>
      <c r="Q127" s="1755"/>
      <c r="R127" s="1755"/>
      <c r="S127" s="1755"/>
      <c r="T127" s="1755"/>
      <c r="U127" s="1755"/>
      <c r="V127" s="1755"/>
      <c r="W127" s="1755"/>
      <c r="X127" s="1755"/>
    </row>
    <row r="128" spans="3:24" s="1704" customFormat="1">
      <c r="C128" s="1726"/>
      <c r="D128" s="1726"/>
      <c r="E128" s="1755"/>
      <c r="F128" s="1755"/>
      <c r="G128" s="1755"/>
      <c r="H128" s="1755"/>
      <c r="I128" s="1755"/>
      <c r="J128" s="1755"/>
      <c r="K128" s="1755"/>
      <c r="L128" s="1755"/>
      <c r="M128" s="1755"/>
      <c r="N128" s="1755"/>
      <c r="O128" s="1755"/>
      <c r="P128" s="1755"/>
      <c r="Q128" s="1755"/>
      <c r="R128" s="1755"/>
      <c r="S128" s="1755"/>
      <c r="T128" s="1755"/>
      <c r="U128" s="1755"/>
      <c r="V128" s="1755"/>
      <c r="W128" s="1755"/>
      <c r="X128" s="1755"/>
    </row>
    <row r="129" spans="3:24" s="1704" customFormat="1">
      <c r="C129" s="1726"/>
      <c r="D129" s="1726"/>
      <c r="E129" s="1755"/>
      <c r="F129" s="1755"/>
      <c r="G129" s="1755"/>
      <c r="H129" s="1755"/>
      <c r="I129" s="1755"/>
      <c r="J129" s="1755"/>
      <c r="K129" s="1755"/>
      <c r="L129" s="1755"/>
      <c r="M129" s="1755"/>
      <c r="N129" s="1755"/>
      <c r="O129" s="1755"/>
      <c r="P129" s="1755"/>
      <c r="Q129" s="1755"/>
      <c r="R129" s="1755"/>
      <c r="S129" s="1755"/>
      <c r="T129" s="1755"/>
      <c r="U129" s="1755"/>
      <c r="V129" s="1755"/>
      <c r="W129" s="1755"/>
      <c r="X129" s="1755"/>
    </row>
    <row r="130" spans="3:24" s="1704" customFormat="1">
      <c r="C130" s="1804" t="str">
        <f>'5. Management'!C144</f>
        <v>Use this part only if you want to refine the analysis with Tier 2 coefficients.</v>
      </c>
      <c r="D130" s="2840"/>
      <c r="E130" s="1726"/>
      <c r="F130" s="1727"/>
      <c r="G130" s="1726"/>
      <c r="H130" s="1726"/>
      <c r="I130" s="1726"/>
      <c r="J130" s="1755"/>
      <c r="K130" s="1755"/>
      <c r="L130" s="1755"/>
      <c r="M130" s="1755"/>
      <c r="N130" s="1755"/>
      <c r="O130" s="1755"/>
      <c r="P130" s="1755"/>
      <c r="Q130" s="1755"/>
      <c r="R130" s="1755"/>
      <c r="S130" s="1755"/>
      <c r="T130" s="1755"/>
      <c r="U130" s="1755"/>
      <c r="V130" s="1755"/>
      <c r="W130" s="1755"/>
      <c r="X130" s="1755"/>
    </row>
    <row r="131" spans="3:24" s="1704" customFormat="1">
      <c r="C131" s="2840" t="str">
        <f>'2.LUC'!$B$97</f>
        <v>(default values are provided for your information only, while EX-ACT will use Tier 2 values automatically wherever specified)</v>
      </c>
      <c r="D131" s="2840"/>
      <c r="E131" s="1726"/>
      <c r="F131" s="1726"/>
      <c r="G131" s="1726"/>
      <c r="H131" s="1726"/>
      <c r="I131" s="1726"/>
      <c r="J131" s="1755"/>
      <c r="K131" s="1755"/>
      <c r="L131" s="1755"/>
      <c r="M131" s="1755"/>
      <c r="N131" s="1755"/>
      <c r="O131" s="1755"/>
      <c r="P131" s="1755"/>
      <c r="Q131" s="1755"/>
      <c r="R131" s="1755"/>
      <c r="S131" s="1755"/>
      <c r="T131" s="1755"/>
      <c r="U131" s="1755"/>
      <c r="V131" s="1755"/>
      <c r="W131" s="1755"/>
      <c r="X131" s="1755"/>
    </row>
    <row r="132" spans="3:24" s="1704" customFormat="1">
      <c r="C132" s="2833"/>
      <c r="D132" s="2833"/>
      <c r="E132" s="1709"/>
      <c r="F132" s="1709"/>
      <c r="I132" s="1709"/>
      <c r="J132" s="1709"/>
      <c r="K132" s="1709"/>
      <c r="L132" s="1709"/>
      <c r="M132" s="1709"/>
      <c r="N132" s="1709"/>
      <c r="O132" s="1709"/>
      <c r="P132" s="1709"/>
      <c r="Q132" s="1709"/>
      <c r="R132" s="1709"/>
      <c r="S132" s="1709"/>
      <c r="T132" s="1709"/>
      <c r="U132" s="1709"/>
      <c r="V132" s="1709"/>
      <c r="W132" s="1709"/>
      <c r="X132" s="1709"/>
    </row>
    <row r="133" spans="3:24" s="1704" customFormat="1" ht="13.15" customHeight="1">
      <c r="C133" s="2496" t="str">
        <f>HLOOKUP(select,translations!$A$251:$H$340,48,)</f>
        <v>Emission factors</v>
      </c>
      <c r="D133" s="2841"/>
      <c r="E133" s="2326"/>
      <c r="F133" s="2326"/>
      <c r="G133" s="1755"/>
      <c r="H133" s="3932" t="str">
        <f>HLOOKUP(select,translations!$A$251:$H$340,51,)</f>
        <v xml:space="preserve">Emissions at field level </v>
      </c>
      <c r="I133" s="3932"/>
      <c r="J133" s="3932"/>
      <c r="K133" s="3932"/>
      <c r="L133" s="3932"/>
      <c r="M133" s="3932"/>
      <c r="N133" s="3932"/>
      <c r="O133" s="3932"/>
      <c r="P133" s="3932"/>
      <c r="Q133" s="3932"/>
      <c r="R133" s="2373"/>
      <c r="S133" s="3931" t="str">
        <f>HLOOKUP(select,translations!$A$251:$H$340,52,)</f>
        <v>Emissions from production, transportation, storage and transfer</v>
      </c>
      <c r="T133" s="3931"/>
      <c r="U133" s="3931"/>
      <c r="V133" s="3931"/>
      <c r="W133" s="3931"/>
      <c r="X133" s="3931"/>
    </row>
    <row r="134" spans="3:24" s="1704" customFormat="1" ht="13.15" customHeight="1">
      <c r="C134" s="2841"/>
      <c r="D134" s="2841"/>
      <c r="E134" s="2326"/>
      <c r="F134" s="2326"/>
      <c r="G134" s="1755"/>
      <c r="H134" s="3933" t="str">
        <f>HLOOKUP(select,translations!$A$251:$H$340,49,)</f>
        <v>CO2 emissions</v>
      </c>
      <c r="I134" s="3933"/>
      <c r="J134" s="3933"/>
      <c r="K134" s="3933"/>
      <c r="L134" s="1756"/>
      <c r="M134" s="1755"/>
      <c r="N134" s="3933" t="str">
        <f>HLOOKUP(select,translations!$A$251:$H$340,50,)</f>
        <v>N2O emissions</v>
      </c>
      <c r="O134" s="3933"/>
      <c r="P134" s="3933"/>
      <c r="Q134" s="3933"/>
      <c r="R134" s="2373"/>
      <c r="S134" s="3931"/>
      <c r="T134" s="3931"/>
      <c r="U134" s="3931"/>
      <c r="V134" s="3931"/>
      <c r="W134" s="3931"/>
      <c r="X134" s="3931"/>
    </row>
    <row r="135" spans="3:24" s="1704" customFormat="1" ht="13.15" customHeight="1">
      <c r="C135" s="2496" t="str">
        <f>B11</f>
        <v>Lime application</v>
      </c>
      <c r="D135" s="2085"/>
      <c r="E135" s="2086"/>
      <c r="F135" s="2086"/>
      <c r="G135" s="1869"/>
      <c r="H135" s="2333" t="str">
        <f>HLOOKUP(select,translations!$A$251:$H$340,53,)</f>
        <v>Unit</v>
      </c>
      <c r="I135" s="2329" t="str">
        <f>'5. Management'!Q142</f>
        <v>Default</v>
      </c>
      <c r="J135" s="2372"/>
      <c r="K135" s="2317" t="str">
        <f>'5. Management'!R142</f>
        <v>Tier 2</v>
      </c>
      <c r="L135" s="2326"/>
      <c r="M135" s="1755"/>
      <c r="N135" s="2333" t="str">
        <f>H135</f>
        <v>Unit</v>
      </c>
      <c r="O135" s="1755"/>
      <c r="P135" s="2329" t="str">
        <f>I135</f>
        <v>Default</v>
      </c>
      <c r="Q135" s="2317" t="str">
        <f>K135</f>
        <v>Tier 2</v>
      </c>
      <c r="R135" s="2329"/>
      <c r="S135" s="2373"/>
      <c r="T135" s="2373"/>
      <c r="U135" s="2333" t="str">
        <f>H135</f>
        <v>Unit</v>
      </c>
      <c r="V135" s="2326"/>
      <c r="W135" s="2329" t="str">
        <f>P135</f>
        <v>Default</v>
      </c>
      <c r="X135" s="2317" t="str">
        <f>Q135</f>
        <v>Tier 2</v>
      </c>
    </row>
    <row r="136" spans="3:24" s="1704" customFormat="1" ht="13.15" customHeight="1">
      <c r="C136" s="2838"/>
      <c r="D136" s="2838" t="str">
        <f>C12</f>
        <v>Limestone (tonnes per year)</v>
      </c>
      <c r="E136" s="2090"/>
      <c r="F136" s="2090"/>
      <c r="G136" s="1956"/>
      <c r="H136" s="2672" t="str">
        <f>HLOOKUP(select,translations!$A$251:$H$340,54,)</f>
        <v>tC/t lime</v>
      </c>
      <c r="I136" s="2326">
        <f>Inputs!C12</f>
        <v>0.12</v>
      </c>
      <c r="J136" s="2372"/>
      <c r="K136" s="2325"/>
      <c r="L136" s="2326"/>
      <c r="M136" s="1755"/>
      <c r="N136" s="1755"/>
      <c r="O136" s="1755"/>
      <c r="P136" s="1755"/>
      <c r="Q136" s="1755"/>
      <c r="R136" s="1755"/>
      <c r="S136" s="1755"/>
      <c r="T136" s="1755"/>
      <c r="U136" s="2376" t="str">
        <f>HLOOKUP(select,translations!$A$251:$H$340,55,)</f>
        <v>tCO2/t CaCO3</v>
      </c>
      <c r="V136" s="1755"/>
      <c r="W136" s="2377">
        <f>Inputs!C44</f>
        <v>0.58666666666666667</v>
      </c>
      <c r="X136" s="2325"/>
    </row>
    <row r="137" spans="3:24" s="1704" customFormat="1" ht="13.15" customHeight="1">
      <c r="C137" s="2838"/>
      <c r="D137" s="2838" t="str">
        <f>C13</f>
        <v>Dolomite tonnes per year)</v>
      </c>
      <c r="E137" s="2090"/>
      <c r="F137" s="2090"/>
      <c r="G137" s="1956"/>
      <c r="H137" s="2672" t="str">
        <f>HLOOKUP(select,translations!$A$251:$H$340,54,)</f>
        <v>tC/t lime</v>
      </c>
      <c r="I137" s="2326">
        <f>Inputs!C13</f>
        <v>0.13</v>
      </c>
      <c r="J137" s="2372"/>
      <c r="K137" s="2325"/>
      <c r="L137" s="2326"/>
      <c r="M137" s="2326"/>
      <c r="N137" s="2326"/>
      <c r="O137" s="2326"/>
      <c r="P137" s="2326"/>
      <c r="Q137" s="2326"/>
      <c r="R137" s="2326"/>
      <c r="S137" s="2326"/>
      <c r="T137" s="2326"/>
      <c r="U137" s="2376" t="str">
        <f>HLOOKUP(select,translations!$A$251:$H$340,55,)</f>
        <v>tCO2/t CaCO3</v>
      </c>
      <c r="V137" s="2326"/>
      <c r="W137" s="2377">
        <f>Inputs!C45</f>
        <v>0.58666666666666667</v>
      </c>
      <c r="X137" s="2325"/>
    </row>
    <row r="138" spans="3:24" s="1704" customFormat="1" ht="13.15" customHeight="1">
      <c r="C138" s="2838"/>
      <c r="D138" s="2838" t="str">
        <f>C14</f>
        <v>not-specified (tonnes per year)</v>
      </c>
      <c r="E138" s="2090"/>
      <c r="F138" s="2090"/>
      <c r="G138" s="1956"/>
      <c r="H138" s="2672" t="str">
        <f>HLOOKUP(select,translations!$A$251:$H$340,54,)</f>
        <v>tC/t lime</v>
      </c>
      <c r="I138" s="2326">
        <f>Inputs!C14</f>
        <v>0.125</v>
      </c>
      <c r="J138" s="2372"/>
      <c r="K138" s="2325"/>
      <c r="L138" s="2326"/>
      <c r="M138" s="2326"/>
      <c r="N138" s="2326"/>
      <c r="O138" s="2326"/>
      <c r="P138" s="2326"/>
      <c r="Q138" s="2326"/>
      <c r="R138" s="2326"/>
      <c r="S138" s="2326"/>
      <c r="T138" s="2326"/>
      <c r="U138" s="2376" t="str">
        <f>HLOOKUP(select,translations!$A$251:$H$340,55,)</f>
        <v>tCO2/t CaCO3</v>
      </c>
      <c r="V138" s="2326"/>
      <c r="W138" s="2377">
        <f>Inputs!C46</f>
        <v>0.58666666666666667</v>
      </c>
      <c r="X138" s="2325"/>
    </row>
    <row r="139" spans="3:24" s="1704" customFormat="1">
      <c r="C139" s="1757" t="str">
        <f>B15</f>
        <v>Fertilizers</v>
      </c>
      <c r="D139" s="2838"/>
      <c r="E139" s="2086"/>
      <c r="F139" s="2086"/>
      <c r="G139" s="1869"/>
      <c r="H139" s="1869"/>
      <c r="I139" s="2326"/>
      <c r="J139" s="2326"/>
      <c r="K139" s="2326"/>
      <c r="L139" s="2326"/>
      <c r="M139" s="2326"/>
      <c r="N139" s="2326"/>
      <c r="O139" s="2326"/>
      <c r="P139" s="2326"/>
      <c r="Q139" s="2326"/>
      <c r="R139" s="2326"/>
      <c r="S139" s="2326"/>
      <c r="T139" s="2326"/>
      <c r="U139" s="1968"/>
      <c r="V139" s="2326"/>
      <c r="W139" s="2377"/>
      <c r="X139" s="2326"/>
    </row>
    <row r="140" spans="3:24" s="1704" customFormat="1" ht="13.15" customHeight="1">
      <c r="C140" s="2838"/>
      <c r="D140" s="2838" t="str">
        <f t="shared" ref="D140:D146" si="4">C16</f>
        <v>Urea (tonnes of N per year - Urea has 46.7% of N)</v>
      </c>
      <c r="E140" s="2090"/>
      <c r="F140" s="2090"/>
      <c r="G140" s="1956"/>
      <c r="H140" s="1968" t="str">
        <f>HLOOKUP(select,translations!$A$251:$H$340,56,)</f>
        <v>tC/t Urea</v>
      </c>
      <c r="I140" s="2326">
        <f>Inputs!C21</f>
        <v>0.2</v>
      </c>
      <c r="J140" s="2326"/>
      <c r="K140" s="2325"/>
      <c r="L140" s="2326"/>
      <c r="M140" s="2326"/>
      <c r="N140" s="2376" t="str">
        <f>HLOOKUP(select,translations!$A$251:$H$340,57,)</f>
        <v>kg N-N2O/kg N</v>
      </c>
      <c r="O140" s="2326"/>
      <c r="P140" s="2326">
        <f>Inputs!C28</f>
        <v>0.01</v>
      </c>
      <c r="Q140" s="2325"/>
      <c r="R140" s="2326"/>
      <c r="S140" s="2326"/>
      <c r="T140" s="2326"/>
      <c r="U140" s="2376" t="str">
        <f>HLOOKUP(select,translations!$A$251:$H$340,58,)</f>
        <v>tCO2/t N</v>
      </c>
      <c r="V140" s="2326"/>
      <c r="W140" s="2377">
        <f>Inputs!C39</f>
        <v>4.7666666666666666</v>
      </c>
      <c r="X140" s="2325"/>
    </row>
    <row r="141" spans="3:24" s="1704" customFormat="1" ht="13.15" customHeight="1">
      <c r="C141" s="2838"/>
      <c r="D141" s="2838" t="str">
        <f t="shared" si="4"/>
        <v>Other N-fertilizers (tonnes of N per year)</v>
      </c>
      <c r="E141" s="2090"/>
      <c r="F141" s="2090"/>
      <c r="G141" s="1956"/>
      <c r="H141" s="1956"/>
      <c r="I141" s="2326"/>
      <c r="J141" s="2326"/>
      <c r="K141" s="2326"/>
      <c r="L141" s="2326"/>
      <c r="M141" s="2326"/>
      <c r="N141" s="2376" t="str">
        <f>HLOOKUP(select,translations!$A$251:$H$340,57,)</f>
        <v>kg N-N2O/kg N</v>
      </c>
      <c r="O141" s="2326"/>
      <c r="P141" s="2326">
        <f>Inputs!C29</f>
        <v>0.01</v>
      </c>
      <c r="Q141" s="2325"/>
      <c r="R141" s="2326"/>
      <c r="S141" s="2326"/>
      <c r="T141" s="2326"/>
      <c r="U141" s="2376" t="str">
        <f>HLOOKUP(select,translations!$A$251:$H$340,58,)</f>
        <v>tCO2/t N</v>
      </c>
      <c r="V141" s="2326"/>
      <c r="W141" s="2377">
        <f>Inputs!C40</f>
        <v>4.7666666666666666</v>
      </c>
      <c r="X141" s="2325"/>
    </row>
    <row r="142" spans="3:24" s="1704" customFormat="1" ht="13.15" customHeight="1">
      <c r="C142" s="2838"/>
      <c r="D142" s="2838" t="str">
        <f t="shared" si="4"/>
        <v>N-fertilizer in irrigated rice (tonnes of N per year)</v>
      </c>
      <c r="E142" s="2090"/>
      <c r="F142" s="2090"/>
      <c r="G142" s="1956"/>
      <c r="H142" s="1956"/>
      <c r="I142" s="2326"/>
      <c r="J142" s="2326"/>
      <c r="K142" s="2326"/>
      <c r="L142" s="2326"/>
      <c r="M142" s="2326"/>
      <c r="N142" s="2376" t="str">
        <f>HLOOKUP(select,translations!$A$251:$H$340,57,)</f>
        <v>kg N-N2O/kg N</v>
      </c>
      <c r="O142" s="2326"/>
      <c r="P142" s="2326">
        <f>Inputs!C30</f>
        <v>3.0000000000000001E-3</v>
      </c>
      <c r="Q142" s="2325"/>
      <c r="R142" s="2326"/>
      <c r="S142" s="2326"/>
      <c r="T142" s="2326"/>
      <c r="U142" s="2376" t="str">
        <f>HLOOKUP(select,translations!$A$251:$H$340,58,)</f>
        <v>tCO2/t N</v>
      </c>
      <c r="V142" s="2326"/>
      <c r="W142" s="2377">
        <f>Inputs!C41</f>
        <v>4.7666666666666666</v>
      </c>
      <c r="X142" s="2325"/>
    </row>
    <row r="143" spans="3:24" s="1704" customFormat="1" ht="13.15" customHeight="1">
      <c r="C143" s="2838"/>
      <c r="D143" s="2838" t="str">
        <f t="shared" si="4"/>
        <v>Sewage (tonnes of N per year)</v>
      </c>
      <c r="E143" s="2090"/>
      <c r="F143" s="2090"/>
      <c r="G143" s="1956"/>
      <c r="H143" s="1956"/>
      <c r="I143" s="2326"/>
      <c r="J143" s="2326"/>
      <c r="K143" s="2326"/>
      <c r="L143" s="2326"/>
      <c r="M143" s="2326"/>
      <c r="N143" s="2376" t="str">
        <f>HLOOKUP(select,translations!$A$251:$H$340,57,)</f>
        <v>kg N-N2O/kg N</v>
      </c>
      <c r="O143" s="2326"/>
      <c r="P143" s="2326">
        <f>Inputs!C31</f>
        <v>0.01</v>
      </c>
      <c r="Q143" s="2325"/>
      <c r="R143" s="2326"/>
      <c r="S143" s="2326"/>
      <c r="T143" s="2326"/>
      <c r="U143" s="2326"/>
      <c r="V143" s="2326"/>
      <c r="W143" s="2377"/>
      <c r="X143" s="2326"/>
    </row>
    <row r="144" spans="3:24" s="1704" customFormat="1" ht="13.15" customHeight="1">
      <c r="C144" s="2838"/>
      <c r="D144" s="2838" t="str">
        <f t="shared" si="4"/>
        <v>Compost (tonnes of N per year)</v>
      </c>
      <c r="E144" s="2090"/>
      <c r="F144" s="2090"/>
      <c r="G144" s="1956"/>
      <c r="H144" s="1956"/>
      <c r="I144" s="2326"/>
      <c r="J144" s="2326"/>
      <c r="K144" s="2326"/>
      <c r="L144" s="2326"/>
      <c r="M144" s="2326"/>
      <c r="N144" s="2376" t="str">
        <f>HLOOKUP(select,translations!$A$251:$H$340,57,)</f>
        <v>kg N-N2O/kg N</v>
      </c>
      <c r="O144" s="2326"/>
      <c r="P144" s="2326">
        <f>Inputs!C32</f>
        <v>0.01</v>
      </c>
      <c r="Q144" s="2325"/>
      <c r="R144" s="2326"/>
      <c r="S144" s="2326"/>
      <c r="T144" s="2326"/>
      <c r="U144" s="2326"/>
      <c r="V144" s="2326"/>
      <c r="W144" s="2377"/>
      <c r="X144" s="2326"/>
    </row>
    <row r="145" spans="3:24" s="1704" customFormat="1" ht="13.15" customHeight="1">
      <c r="C145" s="2838"/>
      <c r="D145" s="2838" t="str">
        <f t="shared" si="4"/>
        <v>Phosphorus (tonnes of P2O5 per year)</v>
      </c>
      <c r="E145" s="2090"/>
      <c r="F145" s="2090"/>
      <c r="G145" s="1956"/>
      <c r="H145" s="1956"/>
      <c r="I145" s="2326"/>
      <c r="J145" s="2326"/>
      <c r="K145" s="2326"/>
      <c r="L145" s="2326"/>
      <c r="M145" s="2326"/>
      <c r="N145" s="2326"/>
      <c r="O145" s="2326"/>
      <c r="P145" s="2326"/>
      <c r="Q145" s="2326"/>
      <c r="R145" s="2326"/>
      <c r="S145" s="2326"/>
      <c r="T145" s="2326"/>
      <c r="U145" s="2376" t="str">
        <f>HLOOKUP(select,translations!$A$251:$H$340,59,)</f>
        <v>tCO2/t P2O5</v>
      </c>
      <c r="V145" s="2326"/>
      <c r="W145" s="2377">
        <f>Inputs!C42</f>
        <v>0.73333333333333339</v>
      </c>
      <c r="X145" s="2325"/>
    </row>
    <row r="146" spans="3:24" s="1704" customFormat="1" ht="13.15" customHeight="1">
      <c r="C146" s="2838"/>
      <c r="D146" s="2838" t="str">
        <f t="shared" si="4"/>
        <v>Potassium  (tonnes of K2O per year)</v>
      </c>
      <c r="E146" s="2090"/>
      <c r="F146" s="2090"/>
      <c r="G146" s="1956"/>
      <c r="H146" s="1956"/>
      <c r="I146" s="2326"/>
      <c r="J146" s="2326"/>
      <c r="K146" s="2326"/>
      <c r="L146" s="2326"/>
      <c r="M146" s="2326"/>
      <c r="N146" s="2326"/>
      <c r="O146" s="2326"/>
      <c r="P146" s="2326"/>
      <c r="Q146" s="2326"/>
      <c r="R146" s="2326"/>
      <c r="S146" s="2326"/>
      <c r="T146" s="2326"/>
      <c r="U146" s="2376" t="str">
        <f>HLOOKUP(select,translations!$A$251:$H$340,60,)</f>
        <v>tCO2/t K2O</v>
      </c>
      <c r="V146" s="2326"/>
      <c r="W146" s="2377">
        <f>Inputs!C43</f>
        <v>0.54999999999999993</v>
      </c>
      <c r="X146" s="2325"/>
    </row>
    <row r="147" spans="3:24" s="1704" customFormat="1">
      <c r="C147" s="1757" t="str">
        <f>B23</f>
        <v>Pesticides</v>
      </c>
      <c r="D147" s="2838"/>
      <c r="E147" s="2086"/>
      <c r="F147" s="2086"/>
      <c r="G147" s="1869"/>
      <c r="H147" s="1869"/>
      <c r="I147" s="2326"/>
      <c r="J147" s="2326"/>
      <c r="K147" s="2326"/>
      <c r="L147" s="2326"/>
      <c r="M147" s="2326"/>
      <c r="N147" s="2326"/>
      <c r="O147" s="2326"/>
      <c r="P147" s="2326"/>
      <c r="Q147" s="2326"/>
      <c r="R147" s="2326"/>
      <c r="S147" s="2326"/>
      <c r="T147" s="2326"/>
      <c r="U147" s="2326"/>
      <c r="V147" s="2326"/>
      <c r="W147" s="1980"/>
      <c r="X147" s="2326"/>
    </row>
    <row r="148" spans="3:24" s="1704" customFormat="1" ht="13.15" customHeight="1">
      <c r="C148" s="2838"/>
      <c r="D148" s="2838" t="str">
        <f>C24</f>
        <v>Herbicides (tonnes of active ingredient per year)</v>
      </c>
      <c r="E148" s="2090"/>
      <c r="F148" s="2090"/>
      <c r="G148" s="1956"/>
      <c r="H148" s="1956"/>
      <c r="I148" s="2326"/>
      <c r="J148" s="2326"/>
      <c r="K148" s="2326"/>
      <c r="L148" s="2326"/>
      <c r="M148" s="2326"/>
      <c r="N148" s="2326"/>
      <c r="O148" s="2326"/>
      <c r="P148" s="2326"/>
      <c r="Q148" s="2326"/>
      <c r="R148" s="2326"/>
      <c r="S148" s="2326"/>
      <c r="T148" s="2326"/>
      <c r="U148" s="2376" t="str">
        <f>HLOOKUP(select,translations!$A$251:$H$340,61,)</f>
        <v>tCO2/t active ingredient</v>
      </c>
      <c r="V148" s="2326"/>
      <c r="W148" s="1980">
        <f>Inputs!C47</f>
        <v>23.099999999999998</v>
      </c>
      <c r="X148" s="2325"/>
    </row>
    <row r="149" spans="3:24" s="1704" customFormat="1" ht="13.15" customHeight="1">
      <c r="C149" s="2838"/>
      <c r="D149" s="2838" t="str">
        <f>C25</f>
        <v>Insecticides (tonnes of active ingredient per year)</v>
      </c>
      <c r="E149" s="2090"/>
      <c r="F149" s="2090"/>
      <c r="G149" s="1956"/>
      <c r="H149" s="1956"/>
      <c r="I149" s="2326"/>
      <c r="J149" s="2326"/>
      <c r="K149" s="2326"/>
      <c r="L149" s="2326"/>
      <c r="M149" s="2326"/>
      <c r="N149" s="2326"/>
      <c r="O149" s="2326"/>
      <c r="P149" s="2326"/>
      <c r="Q149" s="2326"/>
      <c r="R149" s="2326"/>
      <c r="S149" s="2326"/>
      <c r="T149" s="2326"/>
      <c r="U149" s="2376" t="str">
        <f>HLOOKUP(select,translations!$A$251:$H$340,61,)</f>
        <v>tCO2/t active ingredient</v>
      </c>
      <c r="V149" s="2326"/>
      <c r="W149" s="1980">
        <f>Inputs!C48</f>
        <v>18.7</v>
      </c>
      <c r="X149" s="2325"/>
    </row>
    <row r="150" spans="3:24" s="1704" customFormat="1" ht="13.15" customHeight="1">
      <c r="C150" s="2838"/>
      <c r="D150" s="2838" t="str">
        <f>C26</f>
        <v>Fungicides (tonnes of active ingredient per year)</v>
      </c>
      <c r="E150" s="2090"/>
      <c r="F150" s="2090"/>
      <c r="G150" s="1956"/>
      <c r="H150" s="1956"/>
      <c r="I150" s="2326"/>
      <c r="J150" s="2326"/>
      <c r="K150" s="2326"/>
      <c r="L150" s="2326"/>
      <c r="M150" s="2326"/>
      <c r="N150" s="2326"/>
      <c r="O150" s="2326"/>
      <c r="P150" s="2326"/>
      <c r="Q150" s="2326"/>
      <c r="R150" s="2326"/>
      <c r="S150" s="2326"/>
      <c r="T150" s="2326"/>
      <c r="U150" s="2376" t="str">
        <f>HLOOKUP(select,translations!$A$251:$H$340,61,)</f>
        <v>tCO2/t active ingredient</v>
      </c>
      <c r="V150" s="2326"/>
      <c r="W150" s="1980">
        <f>Inputs!C49</f>
        <v>14.299999999999999</v>
      </c>
      <c r="X150" s="2325"/>
    </row>
    <row r="151" spans="3:24" s="1704" customFormat="1" ht="13.15" customHeight="1">
      <c r="C151" s="2833"/>
      <c r="D151" s="2833"/>
    </row>
    <row r="152" spans="3:24" s="1704" customFormat="1">
      <c r="C152" s="2496" t="str">
        <f>HLOOKUP(select,translations!$A$251:$H$340,65,)</f>
        <v>Urea</v>
      </c>
      <c r="D152" s="2841" t="str">
        <f>HLOOKUP(select,translations!$A$251:$H$340,62,)</f>
        <v>CO2 removal from the atmosphere during urea manufacturing is estimated in the Industrial Processes and Product Use Sector by the country where urea was produced.</v>
      </c>
      <c r="E152" s="2490"/>
      <c r="F152" s="2490"/>
      <c r="G152" s="1755"/>
      <c r="H152" s="1755"/>
      <c r="I152" s="2490"/>
      <c r="J152" s="2490"/>
      <c r="K152" s="2490"/>
      <c r="L152" s="2490"/>
      <c r="M152" s="2490"/>
      <c r="N152" s="2490"/>
      <c r="O152" s="2490"/>
      <c r="P152" s="2490"/>
      <c r="Q152" s="2490"/>
      <c r="R152" s="2490"/>
      <c r="S152" s="2490"/>
      <c r="T152" s="2490"/>
      <c r="U152" s="2490"/>
      <c r="V152" s="2490"/>
      <c r="W152" s="2490"/>
      <c r="X152" s="2490"/>
    </row>
    <row r="153" spans="3:24" s="1704" customFormat="1">
      <c r="C153" s="2841"/>
      <c r="D153" s="2841" t="str">
        <f>HLOOKUP(select,translations!$A$251:$H$340,63,)</f>
        <v>By default EX-ACT considers that urea is imported and do not account for this sink, but you can force the calculation to do so:</v>
      </c>
      <c r="E153" s="2657"/>
      <c r="F153" s="2657"/>
      <c r="G153" s="1755"/>
      <c r="H153" s="1755"/>
      <c r="I153" s="2657"/>
      <c r="J153" s="2657"/>
      <c r="K153" s="2657"/>
      <c r="L153" s="2657"/>
      <c r="M153" s="2657"/>
      <c r="N153" s="2657"/>
      <c r="O153" s="2657"/>
      <c r="P153" s="2657"/>
      <c r="Q153" s="2657"/>
      <c r="R153" s="2657"/>
      <c r="S153" s="2496"/>
      <c r="T153" s="2490"/>
      <c r="U153" s="2490"/>
      <c r="V153" s="2490"/>
      <c r="W153" s="2673" t="str">
        <f>HLOOKUP(select,translations!$A$251:$H$340,64,)</f>
        <v>Account the manufacturing sink?</v>
      </c>
      <c r="X153" s="2494" t="s">
        <v>354</v>
      </c>
    </row>
    <row r="154" spans="3:24" s="1704" customFormat="1">
      <c r="D154" s="1959"/>
      <c r="E154" s="1709"/>
      <c r="F154" s="1709"/>
      <c r="I154" s="1709"/>
      <c r="J154" s="1709"/>
      <c r="K154" s="1709"/>
      <c r="L154" s="1709"/>
      <c r="M154" s="1709"/>
      <c r="N154" s="1709"/>
      <c r="O154" s="1709"/>
      <c r="P154" s="1709"/>
      <c r="Q154" s="1709"/>
      <c r="R154" s="1709"/>
      <c r="S154" s="1709"/>
      <c r="T154" s="1709"/>
      <c r="U154" s="1709"/>
      <c r="V154" s="1709"/>
      <c r="W154" s="1709"/>
      <c r="X154" s="1709"/>
    </row>
    <row r="155" spans="3:24" s="1704" customFormat="1">
      <c r="E155" s="1709"/>
      <c r="F155" s="1709"/>
      <c r="I155" s="1709"/>
      <c r="J155" s="1709"/>
      <c r="K155" s="1709"/>
      <c r="L155" s="1709"/>
      <c r="M155" s="1709"/>
      <c r="N155" s="1709"/>
      <c r="O155" s="1709"/>
      <c r="P155" s="1709"/>
      <c r="Q155" s="1709"/>
      <c r="R155" s="1709"/>
      <c r="S155" s="1709"/>
      <c r="T155" s="1709"/>
      <c r="U155" s="1709"/>
      <c r="V155" s="1709"/>
      <c r="W155" s="1709"/>
      <c r="X155" s="1709"/>
    </row>
    <row r="156" spans="3:24" s="1704" customFormat="1">
      <c r="E156" s="1709"/>
      <c r="F156" s="1709"/>
      <c r="I156" s="1709"/>
      <c r="J156" s="1709"/>
      <c r="K156" s="1709"/>
      <c r="L156" s="1709"/>
      <c r="M156" s="1709"/>
      <c r="N156" s="1709"/>
      <c r="O156" s="1709"/>
      <c r="P156" s="1709"/>
      <c r="Q156" s="1709"/>
      <c r="R156" s="1709"/>
      <c r="S156" s="1709"/>
      <c r="T156" s="1709"/>
      <c r="U156" s="1709"/>
      <c r="V156" s="1709"/>
      <c r="W156" s="1709"/>
      <c r="X156" s="1709"/>
    </row>
    <row r="157" spans="3:24" s="1704" customFormat="1">
      <c r="E157" s="1709"/>
      <c r="F157" s="1709"/>
      <c r="I157" s="1709"/>
      <c r="J157" s="1709"/>
      <c r="K157" s="1709"/>
      <c r="L157" s="1709"/>
      <c r="M157" s="1709"/>
      <c r="N157" s="1709"/>
      <c r="O157" s="1709"/>
      <c r="P157" s="1709"/>
      <c r="Q157" s="1709"/>
      <c r="R157" s="1709"/>
      <c r="S157" s="1709"/>
      <c r="T157" s="1709"/>
      <c r="U157" s="1709"/>
      <c r="V157" s="1709"/>
      <c r="W157" s="1709"/>
      <c r="X157" s="1709"/>
    </row>
    <row r="158" spans="3:24" s="1704" customFormat="1">
      <c r="E158" s="1709"/>
      <c r="F158" s="1709"/>
      <c r="I158" s="1709"/>
      <c r="J158" s="1709"/>
      <c r="K158" s="1709"/>
      <c r="L158" s="1709"/>
      <c r="M158" s="1709"/>
      <c r="N158" s="1709"/>
      <c r="O158" s="1709"/>
      <c r="P158" s="1709"/>
      <c r="Q158" s="1709"/>
      <c r="R158" s="1709"/>
      <c r="S158" s="1709"/>
      <c r="T158" s="1709"/>
      <c r="U158" s="1709"/>
      <c r="V158" s="1709"/>
      <c r="W158" s="1709"/>
      <c r="X158" s="1709"/>
    </row>
    <row r="159" spans="3:24" s="1704" customFormat="1">
      <c r="E159" s="1709"/>
      <c r="F159" s="1709"/>
      <c r="I159" s="1709"/>
      <c r="J159" s="1709"/>
      <c r="K159" s="1709"/>
      <c r="L159" s="1709"/>
      <c r="M159" s="1709"/>
      <c r="N159" s="1709"/>
      <c r="O159" s="1709"/>
      <c r="P159" s="1709"/>
      <c r="Q159" s="1709"/>
      <c r="R159" s="1709"/>
      <c r="S159" s="1709"/>
      <c r="T159" s="1709"/>
      <c r="U159" s="1709"/>
      <c r="V159" s="1709"/>
      <c r="W159" s="1709"/>
      <c r="X159" s="1709"/>
    </row>
    <row r="160" spans="3:24" s="1704" customFormat="1">
      <c r="E160" s="1709"/>
      <c r="F160" s="1709"/>
      <c r="I160" s="1709"/>
      <c r="J160" s="1709"/>
      <c r="K160" s="1709"/>
      <c r="L160" s="1709"/>
      <c r="M160" s="1709"/>
      <c r="N160" s="1709"/>
      <c r="O160" s="1709"/>
      <c r="P160" s="1709"/>
      <c r="Q160" s="1709"/>
      <c r="R160" s="1709"/>
      <c r="S160" s="1709"/>
      <c r="T160" s="1709"/>
      <c r="U160" s="1709"/>
      <c r="V160" s="1709"/>
      <c r="W160" s="1709"/>
      <c r="X160" s="1709"/>
    </row>
    <row r="161" spans="5:24" s="1704" customFormat="1">
      <c r="E161" s="1709"/>
      <c r="F161" s="1709"/>
      <c r="I161" s="1709"/>
      <c r="J161" s="1709"/>
      <c r="K161" s="1709"/>
      <c r="L161" s="1709"/>
      <c r="M161" s="1709"/>
      <c r="N161" s="1709"/>
      <c r="O161" s="1709"/>
      <c r="P161" s="1709"/>
      <c r="Q161" s="1709"/>
      <c r="R161" s="1709"/>
      <c r="S161" s="1709"/>
      <c r="T161" s="1709"/>
      <c r="U161" s="1709"/>
      <c r="V161" s="1709"/>
      <c r="W161" s="1709"/>
      <c r="X161" s="1709"/>
    </row>
    <row r="162" spans="5:24" s="1704" customFormat="1">
      <c r="E162" s="1709"/>
      <c r="F162" s="1709"/>
      <c r="I162" s="1709"/>
      <c r="J162" s="1709"/>
      <c r="K162" s="1709"/>
      <c r="L162" s="1709"/>
      <c r="M162" s="1709"/>
      <c r="N162" s="1709"/>
      <c r="O162" s="1709"/>
      <c r="P162" s="1709"/>
      <c r="Q162" s="1709"/>
      <c r="R162" s="1709"/>
      <c r="S162" s="1709"/>
      <c r="T162" s="1709"/>
      <c r="U162" s="1709"/>
      <c r="V162" s="1709"/>
      <c r="W162" s="1709"/>
      <c r="X162" s="1709"/>
    </row>
    <row r="163" spans="5:24" s="1704" customFormat="1">
      <c r="E163" s="1709"/>
      <c r="F163" s="1709"/>
      <c r="I163" s="1709"/>
      <c r="J163" s="1709"/>
      <c r="K163" s="1709"/>
      <c r="L163" s="1709"/>
      <c r="M163" s="1709"/>
      <c r="N163" s="1709"/>
      <c r="O163" s="1709"/>
      <c r="P163" s="1709"/>
      <c r="Q163" s="1709"/>
      <c r="R163" s="1709"/>
      <c r="S163" s="1709"/>
      <c r="T163" s="1709"/>
      <c r="U163" s="1709"/>
      <c r="V163" s="1709"/>
      <c r="W163" s="1709"/>
      <c r="X163" s="1709"/>
    </row>
    <row r="164" spans="5:24" s="1704" customFormat="1">
      <c r="E164" s="1709"/>
      <c r="F164" s="1709"/>
      <c r="I164" s="1709"/>
      <c r="J164" s="1709"/>
      <c r="K164" s="1709"/>
      <c r="L164" s="1709"/>
      <c r="M164" s="1709"/>
      <c r="N164" s="1709"/>
      <c r="O164" s="1709"/>
      <c r="P164" s="1709"/>
      <c r="Q164" s="1709"/>
      <c r="R164" s="1709"/>
      <c r="S164" s="1709"/>
      <c r="T164" s="1709"/>
      <c r="U164" s="1709"/>
      <c r="V164" s="1709"/>
      <c r="W164" s="1709"/>
      <c r="X164" s="1709"/>
    </row>
    <row r="165" spans="5:24" s="1704" customFormat="1">
      <c r="E165" s="1709"/>
      <c r="F165" s="1709"/>
      <c r="I165" s="1709"/>
      <c r="J165" s="1709"/>
      <c r="K165" s="1709"/>
      <c r="L165" s="1709"/>
      <c r="M165" s="1709"/>
      <c r="N165" s="1709"/>
      <c r="O165" s="1709"/>
      <c r="P165" s="1709"/>
      <c r="Q165" s="1709"/>
      <c r="R165" s="1709"/>
      <c r="S165" s="1709"/>
      <c r="T165" s="1709"/>
      <c r="U165" s="1709"/>
      <c r="V165" s="1709"/>
      <c r="W165" s="1709"/>
      <c r="X165" s="1709"/>
    </row>
    <row r="166" spans="5:24" s="1704" customFormat="1">
      <c r="E166" s="1709"/>
      <c r="F166" s="1709"/>
      <c r="I166" s="1709"/>
      <c r="J166" s="1709"/>
      <c r="K166" s="1709"/>
      <c r="L166" s="1709"/>
      <c r="M166" s="1709"/>
      <c r="N166" s="1709"/>
      <c r="O166" s="1709"/>
      <c r="P166" s="1709"/>
      <c r="Q166" s="1709"/>
      <c r="R166" s="1709"/>
      <c r="S166" s="1709"/>
      <c r="T166" s="1709"/>
      <c r="U166" s="1709"/>
      <c r="V166" s="1709"/>
      <c r="W166" s="1709"/>
      <c r="X166" s="1709"/>
    </row>
    <row r="167" spans="5:24" s="1704" customFormat="1">
      <c r="E167" s="1709"/>
      <c r="F167" s="1709"/>
      <c r="I167" s="1709"/>
      <c r="J167" s="1709"/>
      <c r="K167" s="1709"/>
      <c r="L167" s="1709"/>
      <c r="M167" s="1709"/>
      <c r="N167" s="1709"/>
      <c r="O167" s="1709"/>
      <c r="P167" s="1709"/>
      <c r="Q167" s="1709"/>
      <c r="R167" s="1709"/>
      <c r="S167" s="1709"/>
      <c r="T167" s="1709"/>
      <c r="U167" s="1709"/>
      <c r="V167" s="1709"/>
      <c r="W167" s="1709"/>
      <c r="X167" s="1709"/>
    </row>
    <row r="168" spans="5:24" s="1704" customFormat="1">
      <c r="E168" s="1709"/>
      <c r="F168" s="1709"/>
      <c r="I168" s="1709"/>
      <c r="J168" s="1709"/>
      <c r="K168" s="1709"/>
      <c r="L168" s="1709"/>
      <c r="M168" s="1709"/>
      <c r="N168" s="1709"/>
      <c r="O168" s="1709"/>
      <c r="P168" s="1709"/>
      <c r="Q168" s="1709"/>
      <c r="R168" s="1709"/>
      <c r="S168" s="1709"/>
      <c r="T168" s="1709"/>
      <c r="U168" s="1709"/>
      <c r="V168" s="1709"/>
      <c r="W168" s="1709"/>
      <c r="X168" s="1709"/>
    </row>
    <row r="169" spans="5:24" s="1704" customFormat="1">
      <c r="E169" s="1709"/>
      <c r="F169" s="1709"/>
      <c r="I169" s="1709"/>
      <c r="J169" s="1709"/>
      <c r="K169" s="1709"/>
      <c r="L169" s="1709"/>
      <c r="M169" s="1709"/>
      <c r="N169" s="1709"/>
      <c r="O169" s="1709"/>
      <c r="P169" s="1709"/>
      <c r="Q169" s="1709"/>
      <c r="R169" s="1709"/>
      <c r="S169" s="1709"/>
      <c r="T169" s="1709"/>
      <c r="U169" s="1709"/>
      <c r="V169" s="1709"/>
      <c r="W169" s="1709"/>
      <c r="X169" s="1709"/>
    </row>
    <row r="170" spans="5:24" s="1704" customFormat="1">
      <c r="E170" s="1709"/>
      <c r="F170" s="1709"/>
      <c r="I170" s="1709"/>
      <c r="J170" s="1709"/>
      <c r="K170" s="1709"/>
      <c r="L170" s="1709"/>
      <c r="M170" s="1709"/>
      <c r="N170" s="1709"/>
      <c r="O170" s="1709"/>
      <c r="P170" s="1709"/>
      <c r="Q170" s="1709"/>
      <c r="R170" s="1709"/>
      <c r="S170" s="1709"/>
      <c r="T170" s="1709"/>
      <c r="U170" s="1709"/>
      <c r="V170" s="1709"/>
      <c r="W170" s="1709"/>
      <c r="X170" s="1709"/>
    </row>
    <row r="171" spans="5:24" s="1704" customFormat="1">
      <c r="E171" s="1709"/>
      <c r="F171" s="1709"/>
      <c r="I171" s="1709"/>
      <c r="J171" s="1709"/>
      <c r="K171" s="1709"/>
      <c r="L171" s="1709"/>
      <c r="M171" s="1709"/>
      <c r="N171" s="1709"/>
      <c r="O171" s="1709"/>
      <c r="P171" s="1709"/>
      <c r="Q171" s="1709"/>
      <c r="R171" s="1709"/>
      <c r="S171" s="1709"/>
      <c r="T171" s="1709"/>
      <c r="U171" s="1709"/>
      <c r="V171" s="1709"/>
      <c r="W171" s="1709"/>
      <c r="X171" s="1709"/>
    </row>
    <row r="172" spans="5:24" s="1704" customFormat="1">
      <c r="E172" s="1709"/>
      <c r="F172" s="1709"/>
      <c r="I172" s="1709"/>
      <c r="J172" s="1709"/>
      <c r="K172" s="1709"/>
      <c r="L172" s="1709"/>
      <c r="M172" s="1709"/>
      <c r="N172" s="1709"/>
      <c r="O172" s="1709"/>
      <c r="P172" s="1709"/>
      <c r="Q172" s="1709"/>
      <c r="R172" s="1709"/>
      <c r="S172" s="1709"/>
      <c r="T172" s="1709"/>
      <c r="U172" s="1709"/>
      <c r="V172" s="1709"/>
      <c r="W172" s="1709"/>
      <c r="X172" s="1709"/>
    </row>
    <row r="173" spans="5:24" s="1704" customFormat="1">
      <c r="E173" s="1709"/>
      <c r="F173" s="1709"/>
      <c r="I173" s="1709"/>
      <c r="J173" s="1709"/>
      <c r="K173" s="1709"/>
      <c r="L173" s="1709"/>
      <c r="M173" s="1709"/>
      <c r="N173" s="1709"/>
      <c r="O173" s="1709"/>
      <c r="P173" s="1709"/>
      <c r="Q173" s="1709"/>
      <c r="R173" s="1709"/>
      <c r="S173" s="1709"/>
      <c r="T173" s="1709"/>
      <c r="U173" s="1709"/>
      <c r="V173" s="1709"/>
      <c r="W173" s="1709"/>
      <c r="X173" s="1709"/>
    </row>
    <row r="174" spans="5:24" s="1704" customFormat="1">
      <c r="E174" s="1709"/>
      <c r="F174" s="1709"/>
      <c r="I174" s="1709"/>
      <c r="J174" s="1709"/>
      <c r="K174" s="1709"/>
      <c r="L174" s="1709"/>
      <c r="M174" s="1709"/>
      <c r="N174" s="1709"/>
      <c r="O174" s="1709"/>
      <c r="P174" s="1709"/>
      <c r="Q174" s="1709"/>
      <c r="R174" s="1709"/>
      <c r="S174" s="1709"/>
      <c r="T174" s="1709"/>
      <c r="U174" s="1709"/>
      <c r="V174" s="1709"/>
      <c r="W174" s="1709"/>
      <c r="X174" s="1709"/>
    </row>
    <row r="175" spans="5:24" s="1704" customFormat="1">
      <c r="E175" s="1709"/>
      <c r="F175" s="1709"/>
      <c r="I175" s="1709"/>
      <c r="J175" s="1709"/>
      <c r="K175" s="1709"/>
      <c r="L175" s="1709"/>
      <c r="M175" s="1709"/>
      <c r="N175" s="1709"/>
      <c r="O175" s="1709"/>
      <c r="P175" s="1709"/>
      <c r="Q175" s="1709"/>
      <c r="R175" s="1709"/>
      <c r="S175" s="1709"/>
      <c r="T175" s="1709"/>
      <c r="U175" s="1709"/>
      <c r="V175" s="1709"/>
      <c r="W175" s="1709"/>
      <c r="X175" s="1709"/>
    </row>
    <row r="176" spans="5:24" s="1704" customFormat="1">
      <c r="E176" s="1709"/>
      <c r="F176" s="1709"/>
      <c r="I176" s="1709"/>
      <c r="J176" s="1709"/>
      <c r="K176" s="1709"/>
      <c r="L176" s="1709"/>
      <c r="M176" s="1709"/>
      <c r="N176" s="1709"/>
      <c r="O176" s="1709"/>
      <c r="P176" s="1709"/>
      <c r="Q176" s="1709"/>
      <c r="R176" s="1709"/>
      <c r="S176" s="1709"/>
      <c r="T176" s="1709"/>
      <c r="U176" s="1709"/>
      <c r="V176" s="1709"/>
      <c r="W176" s="1709"/>
      <c r="X176" s="1709"/>
    </row>
    <row r="177" spans="5:24" s="1704" customFormat="1">
      <c r="E177" s="1709"/>
      <c r="F177" s="1709"/>
      <c r="I177" s="1709"/>
      <c r="J177" s="1709"/>
      <c r="K177" s="1709"/>
      <c r="L177" s="1709"/>
      <c r="M177" s="1709"/>
      <c r="N177" s="1709"/>
      <c r="O177" s="1709"/>
      <c r="P177" s="1709"/>
      <c r="Q177" s="1709"/>
      <c r="R177" s="1709"/>
      <c r="S177" s="1709"/>
      <c r="T177" s="1709"/>
      <c r="U177" s="1709"/>
      <c r="V177" s="1709"/>
      <c r="W177" s="1709"/>
      <c r="X177" s="1709"/>
    </row>
    <row r="178" spans="5:24" s="1704" customFormat="1">
      <c r="E178" s="1709"/>
      <c r="F178" s="1709"/>
      <c r="I178" s="1709"/>
      <c r="J178" s="1709"/>
      <c r="K178" s="1709"/>
      <c r="L178" s="1709"/>
      <c r="M178" s="1709"/>
      <c r="N178" s="1709"/>
      <c r="O178" s="1709"/>
      <c r="P178" s="1709"/>
      <c r="Q178" s="1709"/>
      <c r="R178" s="1709"/>
      <c r="S178" s="1709"/>
      <c r="T178" s="1709"/>
      <c r="U178" s="1709"/>
      <c r="V178" s="1709"/>
      <c r="W178" s="1709"/>
      <c r="X178" s="1709"/>
    </row>
    <row r="179" spans="5:24" s="1704" customFormat="1">
      <c r="E179" s="1709"/>
      <c r="F179" s="1709"/>
      <c r="I179" s="1709"/>
      <c r="J179" s="1709"/>
      <c r="K179" s="1709"/>
      <c r="L179" s="1709"/>
      <c r="M179" s="1709"/>
      <c r="N179" s="1709"/>
      <c r="O179" s="1709"/>
      <c r="P179" s="1709"/>
      <c r="Q179" s="1709"/>
      <c r="R179" s="1709"/>
      <c r="S179" s="1709"/>
      <c r="T179" s="1709"/>
      <c r="U179" s="1709"/>
      <c r="V179" s="1709"/>
      <c r="W179" s="1709"/>
      <c r="X179" s="1709"/>
    </row>
    <row r="180" spans="5:24" s="1704" customFormat="1">
      <c r="E180" s="1709"/>
      <c r="F180" s="1709"/>
      <c r="I180" s="1709"/>
      <c r="J180" s="1709"/>
      <c r="K180" s="1709"/>
      <c r="L180" s="1709"/>
      <c r="M180" s="1709"/>
      <c r="N180" s="1709"/>
      <c r="O180" s="1709"/>
      <c r="P180" s="1709"/>
      <c r="Q180" s="1709"/>
      <c r="R180" s="1709"/>
      <c r="S180" s="1709"/>
      <c r="T180" s="1709"/>
      <c r="U180" s="1709"/>
      <c r="V180" s="1709"/>
      <c r="W180" s="1709"/>
      <c r="X180" s="1709"/>
    </row>
    <row r="181" spans="5:24" s="1704" customFormat="1">
      <c r="E181" s="1709"/>
      <c r="F181" s="1709"/>
      <c r="I181" s="1709"/>
      <c r="J181" s="1709"/>
      <c r="K181" s="1709"/>
      <c r="L181" s="1709"/>
      <c r="M181" s="1709"/>
      <c r="N181" s="1709"/>
      <c r="O181" s="1709"/>
      <c r="P181" s="1709"/>
      <c r="Q181" s="1709"/>
      <c r="R181" s="1709"/>
      <c r="S181" s="1709"/>
      <c r="T181" s="1709"/>
      <c r="U181" s="1709"/>
      <c r="V181" s="1709"/>
      <c r="W181" s="1709"/>
      <c r="X181" s="1709"/>
    </row>
    <row r="182" spans="5:24" s="1704" customFormat="1">
      <c r="E182" s="1709"/>
      <c r="F182" s="1709"/>
      <c r="I182" s="1709"/>
      <c r="J182" s="1709"/>
      <c r="K182" s="1709"/>
      <c r="L182" s="1709"/>
      <c r="M182" s="1709"/>
      <c r="N182" s="1709"/>
      <c r="O182" s="1709"/>
      <c r="P182" s="1709"/>
      <c r="Q182" s="1709"/>
      <c r="R182" s="1709"/>
      <c r="S182" s="1709"/>
      <c r="T182" s="1709"/>
      <c r="U182" s="1709"/>
      <c r="V182" s="1709"/>
      <c r="W182" s="1709"/>
      <c r="X182" s="1709"/>
    </row>
    <row r="183" spans="5:24" s="1704" customFormat="1">
      <c r="E183" s="1709"/>
      <c r="F183" s="1709"/>
      <c r="I183" s="1709"/>
      <c r="J183" s="1709"/>
      <c r="K183" s="1709"/>
      <c r="L183" s="1709"/>
      <c r="M183" s="1709"/>
      <c r="N183" s="1709"/>
      <c r="O183" s="1709"/>
      <c r="P183" s="1709"/>
      <c r="Q183" s="1709"/>
      <c r="R183" s="1709"/>
      <c r="S183" s="1709"/>
      <c r="T183" s="1709"/>
      <c r="U183" s="1709"/>
      <c r="V183" s="1709"/>
      <c r="W183" s="1709"/>
      <c r="X183" s="1709"/>
    </row>
    <row r="184" spans="5:24" s="1704" customFormat="1">
      <c r="E184" s="1709"/>
      <c r="F184" s="1709"/>
      <c r="I184" s="1709"/>
      <c r="J184" s="1709"/>
      <c r="K184" s="1709"/>
      <c r="L184" s="1709"/>
      <c r="M184" s="1709"/>
      <c r="N184" s="1709"/>
      <c r="O184" s="1709"/>
      <c r="P184" s="1709"/>
      <c r="Q184" s="1709"/>
      <c r="R184" s="1709"/>
      <c r="S184" s="1709"/>
      <c r="T184" s="1709"/>
      <c r="U184" s="1709"/>
      <c r="V184" s="1709"/>
      <c r="W184" s="1709"/>
      <c r="X184" s="1709"/>
    </row>
    <row r="185" spans="5:24" s="1704" customFormat="1">
      <c r="E185" s="1709"/>
      <c r="F185" s="1709"/>
      <c r="I185" s="1709"/>
      <c r="J185" s="1709"/>
      <c r="K185" s="1709"/>
      <c r="L185" s="1709"/>
      <c r="M185" s="1709"/>
      <c r="N185" s="1709"/>
      <c r="O185" s="1709"/>
      <c r="P185" s="1709"/>
      <c r="Q185" s="1709"/>
      <c r="R185" s="1709"/>
      <c r="S185" s="1709"/>
      <c r="T185" s="1709"/>
      <c r="U185" s="1709"/>
      <c r="V185" s="1709"/>
      <c r="W185" s="1709"/>
      <c r="X185" s="1709"/>
    </row>
    <row r="186" spans="5:24" s="1704" customFormat="1">
      <c r="E186" s="1709"/>
      <c r="F186" s="1709"/>
      <c r="I186" s="1709"/>
      <c r="J186" s="1709"/>
      <c r="K186" s="1709"/>
      <c r="L186" s="1709"/>
      <c r="M186" s="1709"/>
      <c r="N186" s="1709"/>
      <c r="O186" s="1709"/>
      <c r="P186" s="1709"/>
      <c r="Q186" s="1709"/>
      <c r="R186" s="1709"/>
      <c r="S186" s="1709"/>
      <c r="T186" s="1709"/>
      <c r="U186" s="1709"/>
      <c r="V186" s="1709"/>
      <c r="W186" s="1709"/>
      <c r="X186" s="1709"/>
    </row>
    <row r="187" spans="5:24" s="1704" customFormat="1">
      <c r="E187" s="1709"/>
      <c r="F187" s="1709"/>
      <c r="I187" s="1709"/>
      <c r="J187" s="1709"/>
      <c r="K187" s="1709"/>
      <c r="L187" s="1709"/>
      <c r="M187" s="1709"/>
      <c r="N187" s="1709"/>
      <c r="O187" s="1709"/>
      <c r="P187" s="1709"/>
      <c r="Q187" s="1709"/>
      <c r="R187" s="1709"/>
      <c r="S187" s="1709"/>
      <c r="T187" s="1709"/>
      <c r="U187" s="1709"/>
      <c r="V187" s="1709"/>
      <c r="W187" s="1709"/>
      <c r="X187" s="1709"/>
    </row>
    <row r="188" spans="5:24" s="1704" customFormat="1">
      <c r="E188" s="1709"/>
      <c r="F188" s="1709"/>
      <c r="I188" s="1709"/>
      <c r="J188" s="1709"/>
      <c r="K188" s="1709"/>
      <c r="L188" s="1709"/>
      <c r="M188" s="1709"/>
      <c r="N188" s="1709"/>
      <c r="O188" s="1709"/>
      <c r="P188" s="1709"/>
      <c r="Q188" s="1709"/>
      <c r="R188" s="1709"/>
      <c r="S188" s="1709"/>
      <c r="T188" s="1709"/>
      <c r="U188" s="1709"/>
      <c r="V188" s="1709"/>
      <c r="W188" s="1709"/>
      <c r="X188" s="1709"/>
    </row>
    <row r="189" spans="5:24" s="1704" customFormat="1">
      <c r="E189" s="1709"/>
      <c r="F189" s="1709"/>
      <c r="I189" s="1709"/>
      <c r="J189" s="1709"/>
      <c r="K189" s="1709"/>
      <c r="L189" s="1709"/>
      <c r="M189" s="1709"/>
      <c r="N189" s="1709"/>
      <c r="O189" s="1709"/>
      <c r="P189" s="1709"/>
      <c r="Q189" s="1709"/>
      <c r="R189" s="1709"/>
      <c r="S189" s="1709"/>
      <c r="T189" s="1709"/>
      <c r="U189" s="1709"/>
      <c r="V189" s="1709"/>
      <c r="W189" s="1709"/>
      <c r="X189" s="1709"/>
    </row>
    <row r="190" spans="5:24" s="1704" customFormat="1">
      <c r="E190" s="1709"/>
      <c r="F190" s="1709"/>
      <c r="I190" s="1709"/>
      <c r="J190" s="1709"/>
      <c r="K190" s="1709"/>
      <c r="L190" s="1709"/>
      <c r="M190" s="1709"/>
      <c r="N190" s="1709"/>
      <c r="O190" s="1709"/>
      <c r="P190" s="1709"/>
      <c r="Q190" s="1709"/>
      <c r="R190" s="1709"/>
      <c r="S190" s="1709"/>
      <c r="T190" s="1709"/>
      <c r="U190" s="1709"/>
      <c r="V190" s="1709"/>
      <c r="W190" s="1709"/>
      <c r="X190" s="1709"/>
    </row>
    <row r="191" spans="5:24" s="1704" customFormat="1">
      <c r="E191" s="1709"/>
      <c r="F191" s="1709"/>
      <c r="I191" s="1709"/>
      <c r="J191" s="1709"/>
      <c r="K191" s="1709"/>
      <c r="L191" s="1709"/>
      <c r="M191" s="1709"/>
      <c r="N191" s="1709"/>
      <c r="O191" s="1709"/>
      <c r="P191" s="1709"/>
      <c r="Q191" s="1709"/>
      <c r="R191" s="1709"/>
      <c r="S191" s="1709"/>
      <c r="T191" s="1709"/>
      <c r="U191" s="1709"/>
      <c r="V191" s="1709"/>
      <c r="W191" s="1709"/>
      <c r="X191" s="1709"/>
    </row>
    <row r="192" spans="5:24" s="1704" customFormat="1">
      <c r="E192" s="1709"/>
      <c r="F192" s="1709"/>
      <c r="I192" s="1709"/>
      <c r="J192" s="1709"/>
      <c r="K192" s="1709"/>
      <c r="L192" s="1709"/>
      <c r="M192" s="1709"/>
      <c r="N192" s="1709"/>
      <c r="O192" s="1709"/>
      <c r="P192" s="1709"/>
      <c r="Q192" s="1709"/>
      <c r="R192" s="1709"/>
      <c r="S192" s="1709"/>
      <c r="T192" s="1709"/>
      <c r="U192" s="1709"/>
      <c r="V192" s="1709"/>
      <c r="W192" s="1709"/>
      <c r="X192" s="1709"/>
    </row>
    <row r="193" spans="3:24" s="1704" customFormat="1">
      <c r="E193" s="1709"/>
      <c r="F193" s="1709"/>
      <c r="I193" s="1709"/>
      <c r="J193" s="1709"/>
      <c r="K193" s="1709"/>
      <c r="L193" s="1709"/>
      <c r="M193" s="1709"/>
      <c r="N193" s="1709"/>
      <c r="O193" s="1709"/>
      <c r="P193" s="1709"/>
      <c r="Q193" s="1709"/>
      <c r="R193" s="1709"/>
      <c r="S193" s="1709"/>
      <c r="T193" s="1709"/>
      <c r="U193" s="1709"/>
      <c r="V193" s="1709"/>
      <c r="W193" s="1709"/>
      <c r="X193" s="1709"/>
    </row>
    <row r="194" spans="3:24" s="1704" customFormat="1" ht="15.75">
      <c r="C194" s="2529" t="str">
        <f>B34</f>
        <v>6.2. Energy consumption (electricity, fuel,…)</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row>
    <row r="195" spans="3:24" s="1704" customFormat="1">
      <c r="E195" s="1709"/>
      <c r="F195" s="1709"/>
      <c r="I195" s="1709"/>
      <c r="J195" s="1709"/>
      <c r="K195" s="1709"/>
      <c r="L195" s="1709"/>
      <c r="M195" s="1709"/>
      <c r="N195" s="1709"/>
      <c r="O195" s="1709"/>
      <c r="P195" s="1709"/>
      <c r="Q195" s="1709"/>
      <c r="R195" s="1709"/>
      <c r="S195" s="1709"/>
      <c r="T195" s="1709"/>
      <c r="U195" s="1709"/>
      <c r="V195" s="1709"/>
      <c r="W195" s="1709"/>
      <c r="X195" s="1709"/>
    </row>
    <row r="196" spans="3:24" s="1704" customFormat="1">
      <c r="C196" s="2138"/>
      <c r="D196" s="2138"/>
      <c r="E196" s="2139"/>
      <c r="F196" s="2138"/>
      <c r="G196" s="2138"/>
      <c r="H196" s="2138"/>
      <c r="I196" s="2138"/>
      <c r="J196" s="2138"/>
      <c r="K196" s="2138"/>
      <c r="L196" s="2138"/>
      <c r="M196" s="2138"/>
      <c r="N196" s="2138"/>
      <c r="O196" s="2138"/>
      <c r="P196" s="2138"/>
      <c r="Q196" s="2138"/>
      <c r="R196" s="2138"/>
      <c r="S196" s="2138"/>
      <c r="T196" s="2138"/>
      <c r="U196" s="2138"/>
      <c r="V196" s="2138"/>
      <c r="W196" s="2138"/>
      <c r="X196" s="2138"/>
    </row>
    <row r="197" spans="3:24" s="1704" customFormat="1">
      <c r="C197" s="2138"/>
      <c r="D197" s="2138"/>
      <c r="E197" s="2138"/>
      <c r="F197" s="2138"/>
      <c r="G197" s="2138"/>
      <c r="H197" s="2138"/>
      <c r="I197" s="2138"/>
      <c r="J197" s="2138"/>
      <c r="K197" s="2138"/>
      <c r="L197" s="2138"/>
      <c r="M197" s="2138"/>
      <c r="N197" s="2138"/>
      <c r="O197" s="2138"/>
      <c r="P197" s="2138"/>
      <c r="Q197" s="2138"/>
      <c r="R197" s="2138"/>
      <c r="S197" s="2138"/>
      <c r="T197" s="2138"/>
      <c r="U197" s="2138"/>
      <c r="V197" s="2138"/>
      <c r="W197" s="2138"/>
      <c r="X197" s="2138"/>
    </row>
    <row r="198" spans="3:24" s="1704" customFormat="1">
      <c r="C198" s="2138"/>
      <c r="D198" s="2138"/>
      <c r="E198" s="2138"/>
      <c r="F198" s="2138"/>
      <c r="G198" s="2138"/>
      <c r="H198" s="2138"/>
      <c r="I198" s="2138"/>
      <c r="J198" s="2138"/>
      <c r="K198" s="2138"/>
      <c r="L198" s="2138"/>
      <c r="M198" s="2138"/>
      <c r="N198" s="2138"/>
      <c r="O198" s="2138"/>
      <c r="P198" s="2138"/>
      <c r="Q198" s="2138"/>
      <c r="R198" s="2138"/>
      <c r="S198" s="2138"/>
      <c r="T198" s="2138"/>
      <c r="U198" s="2138"/>
      <c r="V198" s="2138"/>
      <c r="W198" s="2138"/>
      <c r="X198" s="2138"/>
    </row>
    <row r="199" spans="3:24" s="1704" customFormat="1">
      <c r="C199" s="2143" t="str">
        <f>C130</f>
        <v>Use this part only if you want to refine the analysis with Tier 2 coefficients.</v>
      </c>
      <c r="D199" s="2122"/>
      <c r="E199" s="2117"/>
      <c r="F199" s="2123"/>
      <c r="G199" s="2117"/>
      <c r="H199" s="2117"/>
      <c r="I199" s="2117"/>
      <c r="J199" s="2138"/>
      <c r="K199" s="2138"/>
      <c r="L199" s="2138"/>
      <c r="M199" s="2138"/>
      <c r="N199" s="2138"/>
      <c r="O199" s="2138"/>
      <c r="P199" s="2138"/>
      <c r="Q199" s="2138"/>
      <c r="R199" s="2138"/>
      <c r="S199" s="2138"/>
      <c r="T199" s="2138"/>
      <c r="U199" s="2138"/>
      <c r="V199" s="2138"/>
      <c r="W199" s="2138"/>
      <c r="X199" s="2138"/>
    </row>
    <row r="200" spans="3:24" s="1704" customFormat="1">
      <c r="C200" s="2774" t="str">
        <f>'2.LUC'!$B$97</f>
        <v>(default values are provided for your information only, while EX-ACT will use Tier 2 values automatically wherever specified)</v>
      </c>
      <c r="D200" s="2122"/>
      <c r="E200" s="2117"/>
      <c r="F200" s="2117"/>
      <c r="G200" s="2117"/>
      <c r="H200" s="2117"/>
      <c r="I200" s="2117"/>
      <c r="J200" s="2138"/>
      <c r="K200" s="2138"/>
      <c r="L200" s="2138"/>
      <c r="M200" s="2138"/>
      <c r="N200" s="2138"/>
      <c r="O200" s="2138"/>
      <c r="P200" s="2138"/>
      <c r="Q200" s="2138"/>
      <c r="R200" s="2138"/>
      <c r="S200" s="2138"/>
      <c r="T200" s="2138"/>
      <c r="U200" s="2138"/>
      <c r="V200" s="2138"/>
      <c r="W200" s="2138"/>
      <c r="X200" s="2138"/>
    </row>
    <row r="201" spans="3:24" s="1704" customFormat="1">
      <c r="C201" s="2833"/>
      <c r="E201" s="1709"/>
      <c r="F201" s="1709"/>
      <c r="I201" s="1709"/>
      <c r="J201" s="1709"/>
      <c r="K201" s="1709"/>
      <c r="L201" s="1709"/>
      <c r="M201" s="1709"/>
      <c r="N201" s="1709"/>
      <c r="O201" s="1709"/>
      <c r="P201" s="1709"/>
      <c r="Q201" s="1709"/>
      <c r="R201" s="1709"/>
      <c r="S201" s="1709"/>
      <c r="T201" s="1709"/>
      <c r="U201" s="1709"/>
      <c r="V201" s="1709"/>
      <c r="W201" s="1709"/>
      <c r="X201" s="1709"/>
    </row>
    <row r="202" spans="3:24" s="1704" customFormat="1">
      <c r="C202" s="2839"/>
      <c r="D202" s="2138"/>
      <c r="E202" s="2138"/>
      <c r="F202" s="2138"/>
      <c r="G202" s="2138"/>
      <c r="H202" s="2138"/>
      <c r="I202" s="2344"/>
      <c r="J202" s="2344"/>
      <c r="K202" s="2344"/>
      <c r="L202" s="2344"/>
      <c r="M202" s="2344"/>
      <c r="N202" s="2344"/>
      <c r="O202" s="2344"/>
      <c r="P202" s="2344"/>
      <c r="Q202" s="2344"/>
      <c r="R202" s="2344"/>
      <c r="S202" s="2344"/>
      <c r="T202" s="2344"/>
      <c r="U202" s="2344"/>
      <c r="V202" s="2344"/>
      <c r="W202" s="2344"/>
      <c r="X202" s="2344"/>
    </row>
    <row r="203" spans="3:24" s="1704" customFormat="1">
      <c r="C203" s="2775" t="str">
        <f>B39</f>
        <v>Electricity (MWh per year)</v>
      </c>
      <c r="D203" s="2138"/>
      <c r="E203" s="2344"/>
      <c r="F203" s="2344"/>
      <c r="G203" s="2138"/>
      <c r="H203" s="2138"/>
      <c r="I203" s="2389" t="str">
        <f>H135</f>
        <v>Unit</v>
      </c>
      <c r="J203" s="2138"/>
      <c r="K203" s="2389" t="str">
        <f>W135</f>
        <v>Default</v>
      </c>
      <c r="L203" s="2138"/>
      <c r="M203" s="2677" t="str">
        <f>X135</f>
        <v>Tier 2</v>
      </c>
      <c r="N203" s="2344"/>
      <c r="O203" s="2344"/>
      <c r="P203" s="2344"/>
      <c r="Q203" s="2344"/>
      <c r="R203" s="2344"/>
      <c r="S203" s="2344"/>
      <c r="T203" s="2344"/>
      <c r="U203" s="2344"/>
      <c r="V203" s="2344"/>
      <c r="W203" s="2344"/>
      <c r="X203" s="2344"/>
    </row>
    <row r="204" spans="3:24" s="1704" customFormat="1">
      <c r="C204" s="2297"/>
      <c r="D204" s="2387" t="str">
        <f>HLOOKUP(select,translations!$A$251:$H$340,66,)</f>
        <v>Emission factor for the selected country</v>
      </c>
      <c r="E204" s="3646"/>
      <c r="F204" s="3646"/>
      <c r="G204" s="2138"/>
      <c r="H204" s="2138"/>
      <c r="I204" s="2389" t="str">
        <f>HLOOKUP(select,translations!$A$251:$H$340,68,)</f>
        <v>tCO2/MWh/yr</v>
      </c>
      <c r="J204" s="2138"/>
      <c r="K204" s="2388">
        <f>'Other investments'!E11</f>
        <v>0.50720981957055322</v>
      </c>
      <c r="L204" s="2138"/>
      <c r="M204" s="2342"/>
      <c r="N204" s="2344"/>
      <c r="O204" s="2344"/>
      <c r="P204" s="2344"/>
      <c r="Q204" s="2344"/>
      <c r="R204" s="2344"/>
      <c r="S204" s="2344"/>
      <c r="T204" s="2344"/>
      <c r="U204" s="2344"/>
      <c r="V204" s="2344"/>
      <c r="W204" s="2344"/>
      <c r="X204" s="2344"/>
    </row>
    <row r="205" spans="3:24" s="1704" customFormat="1">
      <c r="C205" s="2297"/>
      <c r="D205" s="2387" t="str">
        <f>HLOOKUP(select,translations!$A$251:$H$340,67,)</f>
        <v>Losses of electricity during transportation</v>
      </c>
      <c r="E205" s="3646"/>
      <c r="F205" s="3646"/>
      <c r="G205" s="2138"/>
      <c r="H205" s="2138"/>
      <c r="I205" s="2389" t="str">
        <f>HLOOKUP(select,translations!$A$251:$H$340,69,)</f>
        <v>%</v>
      </c>
      <c r="J205" s="2138"/>
      <c r="K205" s="3646">
        <v>10</v>
      </c>
      <c r="L205" s="3646"/>
      <c r="M205" s="2316"/>
      <c r="N205" s="2344"/>
      <c r="O205" s="2344"/>
      <c r="P205" s="2344"/>
      <c r="Q205" s="2344"/>
      <c r="R205" s="2344"/>
      <c r="S205" s="2344"/>
      <c r="T205" s="2344"/>
      <c r="U205" s="2344"/>
      <c r="V205" s="2344"/>
      <c r="W205" s="2344"/>
      <c r="X205" s="2344"/>
    </row>
    <row r="206" spans="3:24" s="1704" customFormat="1" ht="4.5" customHeight="1">
      <c r="C206" s="2297"/>
      <c r="D206" s="2387"/>
      <c r="E206" s="3646"/>
      <c r="F206" s="3646"/>
      <c r="G206" s="2138"/>
      <c r="H206" s="2138"/>
      <c r="I206" s="2389"/>
      <c r="J206" s="2138"/>
      <c r="K206" s="3646"/>
      <c r="L206" s="3646"/>
      <c r="M206" s="2316"/>
      <c r="N206" s="3646"/>
      <c r="O206" s="3646"/>
      <c r="P206" s="3646"/>
      <c r="Q206" s="3646"/>
      <c r="R206" s="3646"/>
      <c r="S206" s="3646"/>
      <c r="T206" s="3646"/>
      <c r="U206" s="3646"/>
      <c r="V206" s="3646"/>
      <c r="W206" s="3646"/>
      <c r="X206" s="3646"/>
    </row>
    <row r="207" spans="3:24" s="1704" customFormat="1">
      <c r="C207" s="2297"/>
      <c r="D207" s="2387" t="s">
        <v>1612</v>
      </c>
      <c r="E207" s="3646"/>
      <c r="F207" s="3646"/>
      <c r="G207" s="2138"/>
      <c r="H207" s="2138"/>
      <c r="I207" s="2839" t="str">
        <f>HLOOKUP(select,translations!$A$251:$H$340,68,)</f>
        <v>tCO2/MWh/yr</v>
      </c>
      <c r="J207" s="2839"/>
      <c r="K207" s="2839"/>
      <c r="L207" s="3646"/>
      <c r="M207" s="2313"/>
      <c r="N207" s="3646"/>
      <c r="O207" s="3646"/>
      <c r="P207" s="3646"/>
      <c r="Q207" s="3646"/>
      <c r="R207" s="3646"/>
      <c r="S207" s="3646"/>
      <c r="T207" s="3646"/>
      <c r="U207" s="3646"/>
      <c r="V207" s="3646"/>
      <c r="W207" s="3646"/>
      <c r="X207" s="3646"/>
    </row>
    <row r="208" spans="3:24" s="1704" customFormat="1">
      <c r="C208" s="2297"/>
      <c r="D208" s="2387" t="str">
        <f>HLOOKUP(select,translations!$A$251:$H$340,67,)</f>
        <v>Losses of electricity during transportation</v>
      </c>
      <c r="E208" s="3646"/>
      <c r="F208" s="3646"/>
      <c r="G208" s="2138"/>
      <c r="H208" s="2138"/>
      <c r="I208" s="2389" t="str">
        <f>HLOOKUP(select,translations!$A$251:$H$340,69,)</f>
        <v>%</v>
      </c>
      <c r="J208" s="2138"/>
      <c r="K208" s="3646">
        <v>10</v>
      </c>
      <c r="L208" s="3646"/>
      <c r="M208" s="2316"/>
      <c r="N208" s="2344"/>
      <c r="O208" s="2344"/>
      <c r="P208" s="2344"/>
      <c r="Q208" s="2344"/>
      <c r="R208" s="2344"/>
      <c r="S208" s="2344"/>
      <c r="T208" s="2344"/>
      <c r="U208" s="2344"/>
      <c r="V208" s="2344"/>
      <c r="W208" s="2344"/>
      <c r="X208" s="2344"/>
    </row>
    <row r="209" spans="3:24" s="1704" customFormat="1">
      <c r="C209" s="2297"/>
      <c r="D209" s="2138"/>
      <c r="E209" s="3646"/>
      <c r="F209" s="3646"/>
      <c r="G209" s="2138"/>
      <c r="H209" s="2138"/>
      <c r="I209" s="3646"/>
      <c r="J209" s="3646"/>
      <c r="K209" s="3646"/>
      <c r="L209" s="3646"/>
      <c r="M209" s="3646"/>
      <c r="N209" s="3646"/>
      <c r="O209" s="3646"/>
      <c r="P209" s="3646"/>
      <c r="Q209" s="3646"/>
      <c r="R209" s="3646"/>
      <c r="S209" s="3646"/>
      <c r="T209" s="3646"/>
      <c r="U209" s="3646"/>
      <c r="V209" s="3646"/>
      <c r="W209" s="3646"/>
      <c r="X209" s="3646"/>
    </row>
    <row r="210" spans="3:24" s="1704" customFormat="1">
      <c r="C210" s="2356" t="str">
        <f>B43</f>
        <v>Liquide or gaseous (in m3 per year)</v>
      </c>
      <c r="D210" s="2337"/>
      <c r="E210" s="2344"/>
      <c r="F210" s="2344"/>
      <c r="G210" s="2138"/>
      <c r="H210" s="2138"/>
      <c r="I210" s="2344"/>
      <c r="J210" s="2344"/>
      <c r="K210" s="2344"/>
      <c r="L210" s="2344"/>
      <c r="M210" s="2344"/>
      <c r="N210" s="2344"/>
      <c r="O210" s="2344"/>
      <c r="P210" s="2344"/>
      <c r="Q210" s="2344"/>
      <c r="R210" s="2344"/>
      <c r="S210" s="2344"/>
      <c r="T210" s="2344"/>
      <c r="U210" s="2344"/>
      <c r="V210" s="2344"/>
      <c r="W210" s="2344"/>
      <c r="X210" s="2344"/>
    </row>
    <row r="211" spans="3:24" s="1704" customFormat="1">
      <c r="C211" s="2357"/>
      <c r="D211" s="2358" t="str">
        <f t="shared" ref="D211:D216" si="5">C44</f>
        <v>Gasoil/Diesel</v>
      </c>
      <c r="E211" s="2344"/>
      <c r="F211" s="2344"/>
      <c r="G211" s="2138"/>
      <c r="H211" s="2138"/>
      <c r="I211" s="2501" t="str">
        <f>HLOOKUP(select,translations!$A$251:$H$340,70,)</f>
        <v>t CO2 /m3</v>
      </c>
      <c r="J211" s="2344"/>
      <c r="K211" s="2347">
        <f>'Other investments'!C45</f>
        <v>2.6224696892130002</v>
      </c>
      <c r="L211" s="2344"/>
      <c r="M211" s="2342"/>
      <c r="N211" s="2344"/>
      <c r="O211" s="2344"/>
      <c r="P211" s="2344"/>
      <c r="Q211" s="2344"/>
      <c r="R211" s="2344"/>
      <c r="S211" s="2344"/>
      <c r="T211" s="2344"/>
      <c r="U211" s="2344"/>
      <c r="V211" s="2344"/>
      <c r="W211" s="2344"/>
      <c r="X211" s="2344"/>
    </row>
    <row r="212" spans="3:24" s="1704" customFormat="1">
      <c r="C212" s="2357"/>
      <c r="D212" s="2358" t="str">
        <f t="shared" si="5"/>
        <v>Gasoline</v>
      </c>
      <c r="E212" s="2344"/>
      <c r="F212" s="2344"/>
      <c r="G212" s="2138"/>
      <c r="H212" s="2138"/>
      <c r="I212" s="2501" t="str">
        <f>HLOOKUP(select,translations!$A$251:$H$340,70,)</f>
        <v>t CO2 /m3</v>
      </c>
      <c r="J212" s="2344"/>
      <c r="K212" s="2347">
        <f>'Other investments'!C46</f>
        <v>2.8713948129333327</v>
      </c>
      <c r="L212" s="2344"/>
      <c r="M212" s="2342"/>
      <c r="N212" s="2344"/>
      <c r="O212" s="2344"/>
      <c r="P212" s="2344"/>
      <c r="Q212" s="2344"/>
      <c r="R212" s="2344"/>
      <c r="S212" s="2344"/>
      <c r="T212" s="2344"/>
      <c r="U212" s="2344"/>
      <c r="V212" s="2344"/>
      <c r="W212" s="2344"/>
      <c r="X212" s="2344"/>
    </row>
    <row r="213" spans="3:24" s="1704" customFormat="1">
      <c r="C213" s="2357"/>
      <c r="D213" s="2358" t="str">
        <f t="shared" si="5"/>
        <v>Gas (LPG/ natural)</v>
      </c>
      <c r="E213" s="2344"/>
      <c r="F213" s="2344"/>
      <c r="G213" s="2138"/>
      <c r="H213" s="2138"/>
      <c r="I213" s="2501" t="str">
        <f>HLOOKUP(select,translations!$A$251:$H$340,70,)</f>
        <v>t CO2 /m3</v>
      </c>
      <c r="J213" s="2344"/>
      <c r="K213" s="2347">
        <f>'Other investments'!C47</f>
        <v>1.6884716750000001E-3</v>
      </c>
      <c r="L213" s="2344"/>
      <c r="M213" s="2342"/>
      <c r="N213" s="2344"/>
      <c r="O213" s="2344"/>
      <c r="P213" s="2344"/>
      <c r="Q213" s="2344"/>
      <c r="R213" s="2344"/>
      <c r="S213" s="2344"/>
      <c r="T213" s="2344"/>
      <c r="U213" s="2344"/>
      <c r="V213" s="2344"/>
      <c r="W213" s="2344"/>
      <c r="X213" s="2344"/>
    </row>
    <row r="214" spans="3:24" s="1704" customFormat="1">
      <c r="C214" s="2357"/>
      <c r="D214" s="2358" t="str">
        <f t="shared" si="5"/>
        <v>Butane</v>
      </c>
      <c r="E214" s="2344"/>
      <c r="F214" s="2344"/>
      <c r="G214" s="2138"/>
      <c r="H214" s="2138"/>
      <c r="I214" s="2501" t="str">
        <f>HLOOKUP(select,translations!$A$251:$H$340,70,)</f>
        <v>t CO2 /m3</v>
      </c>
      <c r="J214" s="2344"/>
      <c r="K214" s="2347">
        <f>'Other investments'!C48</f>
        <v>8.0000000000000002E-3</v>
      </c>
      <c r="L214" s="2344"/>
      <c r="M214" s="2342"/>
      <c r="N214" s="2344"/>
      <c r="O214" s="2344"/>
      <c r="P214" s="2344"/>
      <c r="Q214" s="2344"/>
      <c r="R214" s="2344"/>
      <c r="S214" s="2344"/>
      <c r="T214" s="2344"/>
      <c r="U214" s="2344"/>
      <c r="V214" s="2344"/>
      <c r="W214" s="2344"/>
      <c r="X214" s="2344"/>
    </row>
    <row r="215" spans="3:24" s="1704" customFormat="1">
      <c r="C215" s="2357"/>
      <c r="D215" s="2358" t="str">
        <f t="shared" si="5"/>
        <v>Propane</v>
      </c>
      <c r="E215" s="2344"/>
      <c r="F215" s="2344"/>
      <c r="G215" s="2138"/>
      <c r="H215" s="2138"/>
      <c r="I215" s="2501" t="str">
        <f>HLOOKUP(select,translations!$A$251:$H$340,70,)</f>
        <v>t CO2 /m3</v>
      </c>
      <c r="J215" s="2344"/>
      <c r="K215" s="2347">
        <f>'Other investments'!C49</f>
        <v>6.0000000000000001E-3</v>
      </c>
      <c r="L215" s="2344"/>
      <c r="M215" s="2342"/>
      <c r="N215" s="2344"/>
      <c r="O215" s="2344"/>
      <c r="P215" s="2344"/>
      <c r="Q215" s="2344"/>
      <c r="R215" s="2344"/>
      <c r="S215" s="2344"/>
      <c r="T215" s="2344"/>
      <c r="U215" s="2344"/>
      <c r="V215" s="2344"/>
      <c r="W215" s="2344"/>
      <c r="X215" s="2344"/>
    </row>
    <row r="216" spans="3:24" s="1704" customFormat="1">
      <c r="C216" s="2357"/>
      <c r="D216" s="2358" t="str">
        <f t="shared" si="5"/>
        <v>Ethanol</v>
      </c>
      <c r="E216" s="2344"/>
      <c r="F216" s="2344"/>
      <c r="G216" s="2138"/>
      <c r="H216" s="2138"/>
      <c r="I216" s="2501" t="str">
        <f>HLOOKUP(select,translations!$A$251:$H$340,70,)</f>
        <v>t CO2 /m3</v>
      </c>
      <c r="J216" s="2344"/>
      <c r="K216" s="2347">
        <v>0.51700000000000002</v>
      </c>
      <c r="L216" s="2344"/>
      <c r="M216" s="2342"/>
      <c r="N216" s="2344"/>
      <c r="O216" s="2344"/>
      <c r="P216" s="2344"/>
      <c r="Q216" s="2344"/>
      <c r="R216" s="2344"/>
      <c r="S216" s="2344"/>
      <c r="T216" s="2344"/>
      <c r="U216" s="2344"/>
      <c r="V216" s="2344"/>
      <c r="W216" s="2344"/>
      <c r="X216" s="2344"/>
    </row>
    <row r="217" spans="3:24" s="1704" customFormat="1">
      <c r="C217" s="2357"/>
      <c r="D217" s="3929" t="str">
        <f>HLOOKUP(select,translations!$A$251:$H$340,71,)</f>
        <v>Please precise the name</v>
      </c>
      <c r="E217" s="3929"/>
      <c r="F217" s="3929"/>
      <c r="G217" s="2138"/>
      <c r="H217" s="2138"/>
      <c r="I217" s="2501" t="s">
        <v>927</v>
      </c>
      <c r="J217" s="2501"/>
      <c r="K217" s="2395"/>
      <c r="L217" s="2558"/>
      <c r="M217" s="2560"/>
      <c r="N217" s="2558"/>
      <c r="O217" s="2558"/>
      <c r="P217" s="2558"/>
      <c r="Q217" s="2558"/>
      <c r="R217" s="2558"/>
      <c r="S217" s="2558"/>
      <c r="T217" s="2558"/>
      <c r="U217" s="2558"/>
      <c r="V217" s="2558"/>
      <c r="W217" s="2558"/>
      <c r="X217" s="2558"/>
    </row>
    <row r="218" spans="3:24" s="1704" customFormat="1">
      <c r="C218" s="2356" t="str">
        <f>B51</f>
        <v>Solid (in tonnes of dry matter per year)</v>
      </c>
      <c r="D218" s="2358"/>
      <c r="E218" s="2344"/>
      <c r="F218" s="2344"/>
      <c r="G218" s="2138"/>
      <c r="H218" s="2138"/>
      <c r="I218" s="2395"/>
      <c r="J218" s="2344"/>
      <c r="K218" s="2344"/>
      <c r="L218" s="2344"/>
      <c r="M218" s="2344"/>
      <c r="N218" s="2344"/>
      <c r="O218" s="2344"/>
      <c r="P218" s="2344"/>
      <c r="Q218" s="2344"/>
      <c r="R218" s="2344"/>
      <c r="S218" s="2344"/>
      <c r="T218" s="2344"/>
      <c r="U218" s="2344"/>
      <c r="V218" s="2344"/>
      <c r="W218" s="2344"/>
      <c r="X218" s="2344"/>
    </row>
    <row r="219" spans="3:24" s="1704" customFormat="1">
      <c r="C219" s="2357"/>
      <c r="D219" s="2358" t="str">
        <f>C52</f>
        <v>Wood</v>
      </c>
      <c r="E219" s="2344"/>
      <c r="F219" s="2344"/>
      <c r="G219" s="2138"/>
      <c r="H219" s="2138"/>
      <c r="I219" s="2501" t="str">
        <f>HLOOKUP(select,translations!$A$251:$H$340,73,)</f>
        <v>t CO2/t dry matter</v>
      </c>
      <c r="J219" s="2344"/>
      <c r="K219" s="2347">
        <f>'Other investments'!C53</f>
        <v>0.19498000000000001</v>
      </c>
      <c r="L219" s="2344"/>
      <c r="M219" s="2342"/>
      <c r="N219" s="2344"/>
      <c r="O219" s="2344"/>
      <c r="P219" s="2344"/>
      <c r="Q219" s="2344"/>
      <c r="R219" s="2344"/>
      <c r="S219" s="2344"/>
      <c r="T219" s="2344"/>
      <c r="U219" s="2344"/>
      <c r="V219" s="2344"/>
      <c r="W219" s="2344"/>
      <c r="X219" s="2344"/>
    </row>
    <row r="220" spans="3:24" s="1704" customFormat="1">
      <c r="C220" s="2357"/>
      <c r="D220" s="2358" t="str">
        <f>C54</f>
        <v>Peat</v>
      </c>
      <c r="E220" s="2344"/>
      <c r="F220" s="2344"/>
      <c r="G220" s="2138"/>
      <c r="H220" s="2138"/>
      <c r="I220" s="2501" t="str">
        <f>HLOOKUP(select,translations!$A$251:$H$340,73,)</f>
        <v>t CO2/t dry matter</v>
      </c>
      <c r="J220" s="2344"/>
      <c r="K220" s="2388">
        <f>'Other investments'!C55</f>
        <v>3.1434089411764704E-3</v>
      </c>
      <c r="L220" s="2344"/>
      <c r="M220" s="2342"/>
      <c r="N220" s="2344"/>
      <c r="O220" s="2344"/>
      <c r="P220" s="2344"/>
      <c r="Q220" s="2344"/>
      <c r="R220" s="2344"/>
      <c r="S220" s="2344"/>
      <c r="T220" s="2344"/>
      <c r="U220" s="2344"/>
      <c r="V220" s="2344"/>
      <c r="W220" s="2344"/>
      <c r="X220" s="2344"/>
    </row>
    <row r="221" spans="3:24" s="1704" customFormat="1">
      <c r="E221" s="1709"/>
      <c r="F221" s="1709"/>
      <c r="I221" s="1709"/>
      <c r="J221" s="1709"/>
      <c r="K221" s="1709"/>
      <c r="L221" s="1709"/>
      <c r="M221" s="1709"/>
      <c r="N221" s="1709"/>
      <c r="O221" s="1709"/>
      <c r="P221" s="1709"/>
      <c r="Q221" s="1709"/>
      <c r="R221" s="1709"/>
      <c r="S221" s="1709"/>
      <c r="T221" s="1709"/>
      <c r="U221" s="1709"/>
      <c r="V221" s="1709"/>
      <c r="W221" s="1709"/>
      <c r="X221" s="1709"/>
    </row>
    <row r="222" spans="3:24" s="1704" customFormat="1">
      <c r="E222" s="1709"/>
      <c r="F222" s="1709"/>
      <c r="I222" s="1709"/>
      <c r="J222" s="1709"/>
      <c r="K222" s="1709"/>
      <c r="L222" s="1709"/>
      <c r="M222" s="1709"/>
      <c r="N222" s="1709"/>
      <c r="O222" s="1709"/>
      <c r="P222" s="1709"/>
      <c r="Q222" s="1709"/>
      <c r="R222" s="1709"/>
      <c r="S222" s="1709"/>
      <c r="T222" s="1709"/>
      <c r="U222" s="1709"/>
      <c r="V222" s="1709"/>
      <c r="W222" s="1709"/>
      <c r="X222" s="1709"/>
    </row>
    <row r="223" spans="3:24" s="1704" customFormat="1">
      <c r="E223" s="1709"/>
      <c r="F223" s="1709"/>
      <c r="I223" s="1709"/>
      <c r="J223" s="1709"/>
      <c r="K223" s="1709"/>
      <c r="L223" s="1709"/>
      <c r="M223" s="1709"/>
      <c r="N223" s="1709"/>
      <c r="O223" s="1709"/>
      <c r="P223" s="1709"/>
      <c r="Q223" s="1709"/>
      <c r="R223" s="1709"/>
      <c r="S223" s="1709"/>
      <c r="T223" s="1709"/>
      <c r="U223" s="1709"/>
      <c r="V223" s="1709"/>
      <c r="W223" s="1709"/>
      <c r="X223" s="1709"/>
    </row>
    <row r="224" spans="3:24" s="1704" customFormat="1">
      <c r="E224" s="1709"/>
      <c r="F224" s="1709"/>
      <c r="I224" s="1709"/>
      <c r="J224" s="1709"/>
      <c r="K224" s="1709"/>
      <c r="L224" s="1709"/>
      <c r="M224" s="1709"/>
      <c r="N224" s="1709"/>
      <c r="O224" s="1709"/>
      <c r="P224" s="1709"/>
      <c r="Q224" s="1709"/>
      <c r="R224" s="1709"/>
      <c r="S224" s="1709"/>
      <c r="T224" s="1709"/>
      <c r="U224" s="1709"/>
      <c r="V224" s="1709"/>
      <c r="W224" s="1709"/>
      <c r="X224" s="1709"/>
    </row>
    <row r="225" spans="3:24" s="1704" customFormat="1">
      <c r="E225" s="1709"/>
      <c r="F225" s="1709"/>
      <c r="I225" s="1709"/>
      <c r="J225" s="1709"/>
      <c r="K225" s="1709"/>
      <c r="L225" s="1709"/>
      <c r="M225" s="1709"/>
      <c r="N225" s="1709"/>
      <c r="O225" s="1709"/>
      <c r="P225" s="1709"/>
      <c r="Q225" s="1709"/>
      <c r="R225" s="1709"/>
      <c r="S225" s="1709"/>
      <c r="T225" s="1709"/>
      <c r="U225" s="1709"/>
      <c r="V225" s="1709"/>
      <c r="W225" s="1709"/>
      <c r="X225" s="1709"/>
    </row>
    <row r="226" spans="3:24" s="1704" customFormat="1">
      <c r="E226" s="1709"/>
      <c r="F226" s="1709"/>
      <c r="I226" s="1709"/>
      <c r="J226" s="1709"/>
      <c r="K226" s="1709"/>
      <c r="L226" s="1709"/>
      <c r="M226" s="1709"/>
      <c r="N226" s="1709"/>
      <c r="O226" s="1709"/>
      <c r="P226" s="1709"/>
      <c r="Q226" s="1709"/>
      <c r="R226" s="1709"/>
      <c r="S226" s="1709"/>
      <c r="T226" s="1709"/>
      <c r="U226" s="1709"/>
      <c r="V226" s="1709"/>
      <c r="W226" s="1709"/>
      <c r="X226" s="1709"/>
    </row>
    <row r="227" spans="3:24" s="1704" customFormat="1">
      <c r="E227" s="1709"/>
      <c r="F227" s="1709"/>
      <c r="I227" s="1709"/>
      <c r="J227" s="1709"/>
      <c r="K227" s="1709"/>
      <c r="L227" s="1709"/>
      <c r="M227" s="1709"/>
      <c r="N227" s="1709"/>
      <c r="O227" s="1709"/>
      <c r="P227" s="1709"/>
      <c r="Q227" s="1709"/>
      <c r="R227" s="1709"/>
      <c r="S227" s="1709"/>
      <c r="T227" s="1709"/>
      <c r="U227" s="1709"/>
      <c r="V227" s="1709"/>
      <c r="W227" s="1709"/>
      <c r="X227" s="1709"/>
    </row>
    <row r="228" spans="3:24" s="1704" customFormat="1">
      <c r="E228" s="1709"/>
      <c r="F228" s="1709"/>
      <c r="I228" s="1709"/>
      <c r="J228" s="1709"/>
      <c r="K228" s="1709"/>
      <c r="L228" s="1709"/>
      <c r="M228" s="1709"/>
      <c r="N228" s="1709"/>
      <c r="O228" s="1709"/>
      <c r="P228" s="1709"/>
      <c r="Q228" s="1709"/>
      <c r="R228" s="1709"/>
      <c r="S228" s="1709"/>
      <c r="T228" s="1709"/>
      <c r="U228" s="1709"/>
      <c r="V228" s="1709"/>
      <c r="W228" s="1709"/>
      <c r="X228" s="1709"/>
    </row>
    <row r="229" spans="3:24" s="1704" customFormat="1">
      <c r="E229" s="1709"/>
      <c r="F229" s="1709"/>
      <c r="I229" s="1709"/>
      <c r="J229" s="1709"/>
      <c r="K229" s="1709"/>
      <c r="L229" s="1709"/>
      <c r="M229" s="1709"/>
      <c r="N229" s="1709"/>
      <c r="O229" s="1709"/>
      <c r="P229" s="1709"/>
      <c r="Q229" s="1709"/>
      <c r="R229" s="1709"/>
      <c r="S229" s="1709"/>
      <c r="T229" s="1709"/>
      <c r="U229" s="1709"/>
      <c r="V229" s="1709"/>
      <c r="W229" s="1709"/>
      <c r="X229" s="1709"/>
    </row>
    <row r="230" spans="3:24" s="1704" customFormat="1">
      <c r="E230" s="1709"/>
      <c r="F230" s="1709"/>
      <c r="I230" s="1709"/>
      <c r="J230" s="1709"/>
      <c r="K230" s="1709"/>
      <c r="L230" s="1709"/>
      <c r="M230" s="1709"/>
      <c r="N230" s="1709"/>
      <c r="O230" s="1709"/>
      <c r="P230" s="1709"/>
      <c r="Q230" s="1709"/>
      <c r="R230" s="1709"/>
      <c r="S230" s="1709"/>
      <c r="T230" s="1709"/>
      <c r="U230" s="1709"/>
      <c r="V230" s="1709"/>
      <c r="W230" s="1709"/>
      <c r="X230" s="1709"/>
    </row>
    <row r="231" spans="3:24" s="1704" customFormat="1">
      <c r="E231" s="1709"/>
      <c r="F231" s="1709"/>
      <c r="I231" s="1709"/>
      <c r="J231" s="1709"/>
      <c r="K231" s="1709"/>
      <c r="L231" s="1709"/>
      <c r="M231" s="1709"/>
      <c r="N231" s="1709"/>
      <c r="O231" s="1709"/>
      <c r="P231" s="1709"/>
      <c r="Q231" s="1709"/>
      <c r="R231" s="1709"/>
      <c r="S231" s="1709"/>
      <c r="T231" s="1709"/>
      <c r="U231" s="1709"/>
      <c r="V231" s="1709"/>
      <c r="W231" s="1709"/>
      <c r="X231" s="1709"/>
    </row>
    <row r="232" spans="3:24" s="1704" customFormat="1" ht="15.75">
      <c r="C232" s="2511" t="str">
        <f>B61</f>
        <v>6.3. Construction of new infrastructure (irrigation systems, buildings, roads)</v>
      </c>
      <c r="D232" s="2197"/>
      <c r="E232" s="2197"/>
      <c r="F232" s="2360"/>
      <c r="G232" s="2250"/>
      <c r="H232" s="2250"/>
      <c r="I232" s="2360"/>
      <c r="J232" s="2360"/>
      <c r="K232" s="2360"/>
      <c r="L232" s="2360"/>
      <c r="M232" s="2360"/>
      <c r="N232" s="2360"/>
      <c r="O232" s="2360"/>
      <c r="P232" s="2360"/>
      <c r="Q232" s="2360"/>
      <c r="R232" s="2360"/>
      <c r="S232" s="2360"/>
      <c r="T232" s="2360"/>
      <c r="U232" s="2360"/>
      <c r="V232" s="2360"/>
      <c r="W232" s="2360"/>
      <c r="X232" s="2360"/>
    </row>
    <row r="233" spans="3:24" s="1704" customFormat="1">
      <c r="C233" s="1719"/>
      <c r="D233" s="1714"/>
      <c r="E233" s="1714"/>
      <c r="F233" s="1709"/>
      <c r="I233" s="1709"/>
      <c r="J233" s="1709"/>
      <c r="K233" s="1709"/>
      <c r="L233" s="1709"/>
      <c r="M233" s="1709"/>
      <c r="N233" s="1709"/>
      <c r="O233" s="1709"/>
      <c r="P233" s="1709"/>
      <c r="Q233" s="1709"/>
      <c r="R233" s="1709"/>
      <c r="S233" s="1709"/>
      <c r="T233" s="1709"/>
      <c r="U233" s="1709"/>
      <c r="V233" s="1709"/>
      <c r="W233" s="1709"/>
      <c r="X233" s="1709"/>
    </row>
    <row r="234" spans="3:24" s="1704" customFormat="1">
      <c r="C234" s="2137"/>
      <c r="D234" s="2137"/>
      <c r="E234" s="1983"/>
      <c r="F234" s="2137"/>
      <c r="G234" s="2137"/>
      <c r="H234" s="2137"/>
      <c r="I234" s="2137"/>
      <c r="J234" s="2137"/>
      <c r="K234" s="2137"/>
      <c r="L234" s="2137"/>
      <c r="M234" s="2137"/>
      <c r="N234" s="2137"/>
      <c r="O234" s="2137"/>
      <c r="P234" s="2137"/>
      <c r="Q234" s="2137"/>
      <c r="R234" s="2137"/>
      <c r="S234" s="2137"/>
      <c r="T234" s="2137"/>
      <c r="U234" s="2137"/>
      <c r="V234" s="2137"/>
      <c r="W234" s="2137"/>
      <c r="X234" s="2137"/>
    </row>
    <row r="235" spans="3:24" s="1704" customFormat="1">
      <c r="C235" s="2137"/>
      <c r="D235" s="2137"/>
      <c r="E235" s="2137"/>
      <c r="F235" s="2137"/>
      <c r="G235" s="2137"/>
      <c r="H235" s="2137"/>
      <c r="I235" s="2137"/>
      <c r="J235" s="2137"/>
      <c r="K235" s="2137"/>
      <c r="L235" s="2137"/>
      <c r="M235" s="2137"/>
      <c r="N235" s="2137"/>
      <c r="O235" s="2137"/>
      <c r="P235" s="2137"/>
      <c r="Q235" s="2137"/>
      <c r="R235" s="2137"/>
      <c r="S235" s="2137"/>
      <c r="T235" s="2137"/>
      <c r="U235" s="2137"/>
      <c r="V235" s="2137"/>
      <c r="W235" s="2137"/>
      <c r="X235" s="2137"/>
    </row>
    <row r="236" spans="3:24" s="1704" customFormat="1">
      <c r="C236" s="2137"/>
      <c r="D236" s="2137"/>
      <c r="E236" s="2137"/>
      <c r="F236" s="2137"/>
      <c r="G236" s="2137"/>
      <c r="H236" s="2137"/>
      <c r="I236" s="2137"/>
      <c r="J236" s="2137"/>
      <c r="K236" s="2137"/>
      <c r="L236" s="2137"/>
      <c r="M236" s="2137"/>
      <c r="N236" s="2137"/>
      <c r="O236" s="2137"/>
      <c r="P236" s="2137"/>
      <c r="Q236" s="2137"/>
      <c r="R236" s="2137"/>
      <c r="S236" s="2137"/>
      <c r="T236" s="2137"/>
      <c r="U236" s="2137"/>
      <c r="V236" s="2137"/>
      <c r="W236" s="2137"/>
      <c r="X236" s="2137"/>
    </row>
    <row r="237" spans="3:24" s="1704" customFormat="1">
      <c r="C237" s="2221" t="str">
        <f>C199</f>
        <v>Use this part only if you want to refine the analysis with Tier 2 coefficients.</v>
      </c>
      <c r="D237" s="2222"/>
      <c r="E237" s="2203"/>
      <c r="F237" s="2213"/>
      <c r="G237" s="2203"/>
      <c r="H237" s="2203"/>
      <c r="I237" s="2203"/>
      <c r="J237" s="2137"/>
      <c r="K237" s="2137"/>
      <c r="L237" s="2137"/>
      <c r="M237" s="2137"/>
      <c r="N237" s="2137"/>
      <c r="O237" s="2137"/>
      <c r="P237" s="2137"/>
      <c r="Q237" s="2137"/>
      <c r="R237" s="2137"/>
      <c r="S237" s="2137"/>
      <c r="T237" s="2137"/>
      <c r="U237" s="2137"/>
      <c r="V237" s="2137"/>
      <c r="W237" s="2137"/>
      <c r="X237" s="2137"/>
    </row>
    <row r="238" spans="3:24" s="1704" customFormat="1">
      <c r="C238" s="2222" t="str">
        <f>C200</f>
        <v>(default values are provided for your information only, while EX-ACT will use Tier 2 values automatically wherever specified)</v>
      </c>
      <c r="D238" s="2222"/>
      <c r="E238" s="2203"/>
      <c r="F238" s="2203"/>
      <c r="G238" s="2203"/>
      <c r="H238" s="2203"/>
      <c r="I238" s="2203"/>
      <c r="J238" s="2137"/>
      <c r="K238" s="2137"/>
      <c r="L238" s="2137"/>
      <c r="M238" s="2137"/>
      <c r="N238" s="2137"/>
      <c r="O238" s="2137"/>
      <c r="P238" s="2137"/>
      <c r="Q238" s="2137"/>
      <c r="R238" s="2137"/>
      <c r="S238" s="2137"/>
      <c r="T238" s="2137"/>
      <c r="U238" s="2137"/>
      <c r="V238" s="2137"/>
      <c r="W238" s="2137"/>
      <c r="X238" s="2137"/>
    </row>
    <row r="239" spans="3:24" s="1704" customFormat="1">
      <c r="E239" s="1709"/>
      <c r="F239" s="1709"/>
      <c r="I239" s="1709"/>
      <c r="J239" s="1709"/>
      <c r="K239" s="1709"/>
      <c r="L239" s="1709"/>
      <c r="M239" s="1709"/>
      <c r="N239" s="1709"/>
      <c r="O239" s="1709"/>
      <c r="P239" s="1709"/>
      <c r="Q239" s="1709"/>
      <c r="R239" s="1709"/>
      <c r="S239" s="1709"/>
      <c r="T239" s="1709"/>
      <c r="U239" s="1709"/>
      <c r="V239" s="1709"/>
      <c r="W239" s="1709"/>
      <c r="X239" s="1709"/>
    </row>
    <row r="240" spans="3:24" s="1704" customFormat="1">
      <c r="C240" s="2362" t="str">
        <f>C133</f>
        <v>Emission factors</v>
      </c>
      <c r="D240" s="2137"/>
      <c r="E240" s="2200"/>
      <c r="F240" s="2200"/>
      <c r="G240" s="2137"/>
      <c r="H240" s="2137"/>
      <c r="I240" s="2200"/>
      <c r="J240" s="2200"/>
      <c r="K240" s="2200"/>
      <c r="L240" s="2200"/>
      <c r="M240" s="2200"/>
      <c r="N240" s="2200"/>
      <c r="O240" s="2200"/>
      <c r="P240" s="2200"/>
      <c r="Q240" s="2200"/>
      <c r="R240" s="2200"/>
      <c r="S240" s="2200"/>
      <c r="T240" s="2200"/>
      <c r="U240" s="2200"/>
      <c r="V240" s="2200"/>
      <c r="W240" s="2200"/>
      <c r="X240" s="2200"/>
    </row>
    <row r="241" spans="3:24" s="1704" customFormat="1">
      <c r="C241" s="1983" t="str">
        <f>HLOOKUP(select,translations!$A$251:$H$340,74,)</f>
        <v>Irrigation systems</v>
      </c>
      <c r="D241" s="2137"/>
      <c r="E241" s="2200"/>
      <c r="F241" s="2200"/>
      <c r="G241" s="2137"/>
      <c r="H241" s="2367" t="str">
        <f>I203</f>
        <v>Unit</v>
      </c>
      <c r="I241" s="2362" t="str">
        <f>K203</f>
        <v>Default</v>
      </c>
      <c r="J241" s="2200"/>
      <c r="K241" s="2367" t="str">
        <f>M203</f>
        <v>Tier 2</v>
      </c>
      <c r="L241" s="2200"/>
      <c r="M241" s="2200"/>
      <c r="N241" s="2676" t="str">
        <f>IF(Nlang=1,"",N66)</f>
        <v/>
      </c>
      <c r="O241" s="2200"/>
      <c r="P241" s="2200"/>
      <c r="Q241" s="2200"/>
      <c r="R241" s="2200"/>
      <c r="S241" s="2200"/>
      <c r="T241" s="2200"/>
      <c r="U241" s="2200"/>
      <c r="V241" s="2200"/>
      <c r="W241" s="2200"/>
      <c r="X241" s="2200"/>
    </row>
    <row r="242" spans="3:24" s="1704" customFormat="1">
      <c r="C242" s="2137"/>
      <c r="D242" s="2137" t="str">
        <f>C67</f>
        <v>Please select</v>
      </c>
      <c r="E242" s="2200"/>
      <c r="F242" s="2200"/>
      <c r="G242" s="2137"/>
      <c r="H242" s="2674" t="str">
        <f>HLOOKUP(select,translations!$A$251:$H$340,76,)</f>
        <v>kgCO2/ha</v>
      </c>
      <c r="I242" s="2369">
        <f>VLOOKUP(D242,' IPCC'!$A$694:$B$703,2,)</f>
        <v>0</v>
      </c>
      <c r="J242" s="2200"/>
      <c r="K242" s="2342"/>
      <c r="L242" s="2200"/>
      <c r="M242" s="2200"/>
      <c r="N242" s="2675" t="str">
        <f>IF(Nlang=1,"",N67)</f>
        <v/>
      </c>
      <c r="O242" s="2200"/>
      <c r="P242" s="2200"/>
      <c r="Q242" s="2200"/>
      <c r="R242" s="2200"/>
      <c r="S242" s="2200"/>
      <c r="T242" s="2200"/>
      <c r="U242" s="2200"/>
      <c r="V242" s="2200"/>
      <c r="W242" s="2200"/>
      <c r="X242" s="2200"/>
    </row>
    <row r="243" spans="3:24" s="1704" customFormat="1">
      <c r="C243" s="2137"/>
      <c r="D243" s="2137" t="str">
        <f>C68</f>
        <v>Please select</v>
      </c>
      <c r="E243" s="2200"/>
      <c r="F243" s="2200"/>
      <c r="G243" s="2137"/>
      <c r="H243" s="2674" t="str">
        <f>HLOOKUP(select,translations!$A$251:$H$340,76,)</f>
        <v>kgCO2/ha</v>
      </c>
      <c r="I243" s="2369">
        <f>VLOOKUP(D243,' IPCC'!$A$694:$B$703,2,)</f>
        <v>0</v>
      </c>
      <c r="J243" s="2200"/>
      <c r="K243" s="2342"/>
      <c r="L243" s="2200"/>
      <c r="M243" s="2200"/>
      <c r="N243" s="2675" t="str">
        <f>IF(Nlang=1,"",N68)</f>
        <v/>
      </c>
      <c r="O243" s="2200"/>
      <c r="P243" s="2200"/>
      <c r="Q243" s="2200"/>
      <c r="R243" s="2200"/>
      <c r="S243" s="2200"/>
      <c r="T243" s="2200"/>
      <c r="U243" s="2200"/>
      <c r="V243" s="2200"/>
      <c r="W243" s="2200"/>
      <c r="X243" s="2200"/>
    </row>
    <row r="244" spans="3:24" s="1704" customFormat="1">
      <c r="C244" s="2137"/>
      <c r="D244" s="2137" t="str">
        <f>C69</f>
        <v>Please select</v>
      </c>
      <c r="E244" s="3362"/>
      <c r="F244" s="3362"/>
      <c r="G244" s="2137"/>
      <c r="H244" s="2674" t="str">
        <f>HLOOKUP(select,translations!$A$251:$H$340,76,)</f>
        <v>kgCO2/ha</v>
      </c>
      <c r="I244" s="2369">
        <f>VLOOKUP(D244,' IPCC'!$A$694:$B$703,2,)</f>
        <v>0</v>
      </c>
      <c r="J244" s="3362"/>
      <c r="K244" s="3361"/>
      <c r="L244" s="3362"/>
      <c r="M244" s="3362"/>
      <c r="N244" s="2675"/>
      <c r="O244" s="3362"/>
      <c r="P244" s="3362"/>
      <c r="Q244" s="3362"/>
      <c r="R244" s="3362"/>
      <c r="S244" s="3362"/>
      <c r="T244" s="3362"/>
      <c r="U244" s="3362"/>
      <c r="V244" s="3362"/>
      <c r="W244" s="3362"/>
      <c r="X244" s="3362"/>
    </row>
    <row r="245" spans="3:24" s="1704" customFormat="1">
      <c r="C245" s="2137"/>
      <c r="D245" s="2137"/>
      <c r="E245" s="2200"/>
      <c r="F245" s="2200"/>
      <c r="G245" s="2137"/>
      <c r="H245" s="2137"/>
      <c r="I245" s="2200"/>
      <c r="J245" s="2200"/>
      <c r="K245" s="2200"/>
      <c r="L245" s="2200"/>
      <c r="M245" s="2200"/>
      <c r="N245" s="2675" t="str">
        <f>IF(Nlang=1,"",N70)</f>
        <v/>
      </c>
      <c r="O245" s="2200"/>
      <c r="P245" s="2200"/>
      <c r="Q245" s="2200"/>
      <c r="R245" s="2200"/>
      <c r="S245" s="2200"/>
      <c r="T245" s="2200"/>
      <c r="U245" s="2200"/>
      <c r="V245" s="2200"/>
      <c r="W245" s="2200"/>
      <c r="X245" s="2200"/>
    </row>
    <row r="246" spans="3:24" s="1704" customFormat="1">
      <c r="C246" s="1983" t="str">
        <f>HLOOKUP(select,translations!$A$251:$H$340,75,)</f>
        <v>Buildings and roads</v>
      </c>
      <c r="D246" s="2137"/>
      <c r="E246" s="2200"/>
      <c r="F246" s="2200"/>
      <c r="G246" s="2137"/>
      <c r="H246" s="2137"/>
      <c r="I246" s="2200"/>
      <c r="J246" s="2200"/>
      <c r="K246" s="2200"/>
      <c r="L246" s="2200"/>
      <c r="M246" s="2200"/>
      <c r="N246" s="2675"/>
      <c r="O246" s="2200"/>
      <c r="P246" s="2200"/>
      <c r="Q246" s="2200"/>
      <c r="R246" s="2200"/>
      <c r="S246" s="2200"/>
      <c r="T246" s="2200"/>
      <c r="U246" s="2200"/>
      <c r="V246" s="2200"/>
      <c r="W246" s="2200"/>
      <c r="X246" s="2200"/>
    </row>
    <row r="247" spans="3:24" s="1704" customFormat="1">
      <c r="C247" s="2137"/>
      <c r="D247" s="2137" t="str">
        <f>C73</f>
        <v>Please select</v>
      </c>
      <c r="E247" s="2200"/>
      <c r="F247" s="2200"/>
      <c r="G247" s="2137"/>
      <c r="H247" s="2674" t="str">
        <f>HLOOKUP(select,translations!$A$251:$H$340,77,)</f>
        <v>t CO2/m2</v>
      </c>
      <c r="I247" s="2200">
        <f>'Other investments'!D74</f>
        <v>0</v>
      </c>
      <c r="J247" s="2200"/>
      <c r="K247" s="2342"/>
      <c r="L247" s="2200"/>
      <c r="M247" s="2200"/>
      <c r="N247" s="2675" t="str">
        <f t="shared" ref="N247:N253" si="6">IF(Nlang=1,"",N73)</f>
        <v/>
      </c>
      <c r="O247" s="2200"/>
      <c r="P247" s="2200"/>
      <c r="Q247" s="2200"/>
      <c r="R247" s="2200"/>
      <c r="S247" s="2200"/>
      <c r="T247" s="2200"/>
      <c r="U247" s="2200"/>
      <c r="V247" s="2200"/>
      <c r="W247" s="2200"/>
      <c r="X247" s="2200"/>
    </row>
    <row r="248" spans="3:24" s="1704" customFormat="1">
      <c r="C248" s="2137"/>
      <c r="D248" s="2137" t="str">
        <f t="shared" ref="D248:D253" si="7">C74</f>
        <v>Please select</v>
      </c>
      <c r="E248" s="2200"/>
      <c r="F248" s="2200"/>
      <c r="G248" s="2137"/>
      <c r="H248" s="2674" t="str">
        <f>HLOOKUP(select,translations!$A$251:$H$340,77,)</f>
        <v>t CO2/m2</v>
      </c>
      <c r="I248" s="2200">
        <f>'Other investments'!D75</f>
        <v>0</v>
      </c>
      <c r="J248" s="2200"/>
      <c r="K248" s="2342"/>
      <c r="L248" s="2200"/>
      <c r="M248" s="2200"/>
      <c r="N248" s="2675" t="str">
        <f t="shared" si="6"/>
        <v/>
      </c>
      <c r="O248" s="2200"/>
      <c r="P248" s="2200"/>
      <c r="Q248" s="2200"/>
      <c r="R248" s="2200"/>
      <c r="S248" s="2200"/>
      <c r="T248" s="2200"/>
      <c r="U248" s="2200"/>
      <c r="V248" s="2200"/>
      <c r="W248" s="2200"/>
      <c r="X248" s="2200"/>
    </row>
    <row r="249" spans="3:24" s="1704" customFormat="1">
      <c r="C249" s="2137"/>
      <c r="D249" s="2137" t="str">
        <f t="shared" si="7"/>
        <v>Please select</v>
      </c>
      <c r="E249" s="2200"/>
      <c r="F249" s="2200"/>
      <c r="G249" s="2137"/>
      <c r="H249" s="2674" t="str">
        <f>HLOOKUP(select,translations!$A$251:$H$340,77,)</f>
        <v>t CO2/m2</v>
      </c>
      <c r="I249" s="2200">
        <f>'Other investments'!D76</f>
        <v>0</v>
      </c>
      <c r="J249" s="2200"/>
      <c r="K249" s="2342"/>
      <c r="L249" s="2200"/>
      <c r="M249" s="2200"/>
      <c r="N249" s="2675" t="str">
        <f t="shared" si="6"/>
        <v/>
      </c>
      <c r="O249" s="2200"/>
      <c r="P249" s="2200"/>
      <c r="Q249" s="2200"/>
      <c r="R249" s="2200"/>
      <c r="S249" s="2200"/>
      <c r="T249" s="2200"/>
      <c r="U249" s="2200"/>
      <c r="V249" s="2200"/>
      <c r="W249" s="2200"/>
      <c r="X249" s="2200"/>
    </row>
    <row r="250" spans="3:24" s="1704" customFormat="1">
      <c r="C250" s="2137"/>
      <c r="D250" s="2137" t="str">
        <f t="shared" si="7"/>
        <v>Please select</v>
      </c>
      <c r="E250" s="2200"/>
      <c r="F250" s="2200"/>
      <c r="G250" s="2137"/>
      <c r="H250" s="2674" t="str">
        <f>HLOOKUP(select,translations!$A$251:$H$340,77,)</f>
        <v>t CO2/m2</v>
      </c>
      <c r="I250" s="2200">
        <f>'Other investments'!D77</f>
        <v>0</v>
      </c>
      <c r="J250" s="2200"/>
      <c r="K250" s="2342"/>
      <c r="L250" s="2200"/>
      <c r="M250" s="2200"/>
      <c r="N250" s="2675" t="str">
        <f t="shared" si="6"/>
        <v/>
      </c>
      <c r="O250" s="2200"/>
      <c r="P250" s="2200"/>
      <c r="Q250" s="2200"/>
      <c r="R250" s="2200"/>
      <c r="S250" s="2200"/>
      <c r="T250" s="2200"/>
      <c r="U250" s="2200"/>
      <c r="V250" s="2200"/>
      <c r="W250" s="2200"/>
      <c r="X250" s="2200"/>
    </row>
    <row r="251" spans="3:24" s="1704" customFormat="1">
      <c r="C251" s="2137"/>
      <c r="D251" s="2137" t="str">
        <f t="shared" si="7"/>
        <v>Please select</v>
      </c>
      <c r="E251" s="2200"/>
      <c r="F251" s="2200"/>
      <c r="G251" s="2137"/>
      <c r="H251" s="2674" t="str">
        <f>HLOOKUP(select,translations!$A$251:$H$340,77,)</f>
        <v>t CO2/m2</v>
      </c>
      <c r="I251" s="2200">
        <f>'Other investments'!D78</f>
        <v>0</v>
      </c>
      <c r="J251" s="2200"/>
      <c r="K251" s="2342"/>
      <c r="L251" s="2200"/>
      <c r="M251" s="2200"/>
      <c r="N251" s="2675" t="str">
        <f t="shared" si="6"/>
        <v/>
      </c>
      <c r="O251" s="2200"/>
      <c r="P251" s="2200"/>
      <c r="Q251" s="2200"/>
      <c r="R251" s="2200"/>
      <c r="S251" s="2200"/>
      <c r="T251" s="2200"/>
      <c r="U251" s="2200"/>
      <c r="V251" s="2200"/>
      <c r="W251" s="2200"/>
      <c r="X251" s="2200"/>
    </row>
    <row r="252" spans="3:24" s="1704" customFormat="1">
      <c r="C252" s="2137"/>
      <c r="D252" s="2137" t="str">
        <f t="shared" si="7"/>
        <v>Please select</v>
      </c>
      <c r="E252" s="2200"/>
      <c r="F252" s="2200"/>
      <c r="G252" s="2137"/>
      <c r="H252" s="2674" t="str">
        <f>HLOOKUP(select,translations!$A$251:$H$340,77,)</f>
        <v>t CO2/m2</v>
      </c>
      <c r="I252" s="2200">
        <f>'Other investments'!D79</f>
        <v>0</v>
      </c>
      <c r="J252" s="2200"/>
      <c r="K252" s="2342"/>
      <c r="L252" s="2200"/>
      <c r="M252" s="2200"/>
      <c r="N252" s="2675" t="str">
        <f t="shared" si="6"/>
        <v/>
      </c>
      <c r="O252" s="2200"/>
      <c r="P252" s="2200"/>
      <c r="Q252" s="2200"/>
      <c r="R252" s="2200"/>
      <c r="S252" s="2200"/>
      <c r="T252" s="2200"/>
      <c r="U252" s="2200"/>
      <c r="V252" s="2200"/>
      <c r="W252" s="2200"/>
      <c r="X252" s="2200"/>
    </row>
    <row r="253" spans="3:24" s="1704" customFormat="1">
      <c r="C253" s="2137"/>
      <c r="D253" s="2137" t="str">
        <f t="shared" si="7"/>
        <v>Please select</v>
      </c>
      <c r="E253" s="2200"/>
      <c r="F253" s="2200"/>
      <c r="G253" s="2137"/>
      <c r="H253" s="2674" t="str">
        <f>HLOOKUP(select,translations!$A$251:$H$340,77,)</f>
        <v>t CO2/m2</v>
      </c>
      <c r="I253" s="2200">
        <f>'Other investments'!D80</f>
        <v>0</v>
      </c>
      <c r="J253" s="2200"/>
      <c r="K253" s="2342"/>
      <c r="L253" s="2200"/>
      <c r="M253" s="2200"/>
      <c r="N253" s="2675" t="str">
        <f t="shared" si="6"/>
        <v/>
      </c>
      <c r="O253" s="2200"/>
      <c r="P253" s="2200"/>
      <c r="Q253" s="2200"/>
      <c r="R253" s="2200"/>
      <c r="S253" s="2200"/>
      <c r="T253" s="2200"/>
      <c r="U253" s="2200"/>
      <c r="V253" s="2200"/>
      <c r="W253" s="2200"/>
      <c r="X253" s="2200"/>
    </row>
    <row r="254" spans="3:24" s="1704" customFormat="1">
      <c r="F254" s="1709"/>
      <c r="I254" s="1709"/>
      <c r="J254" s="1709"/>
      <c r="K254" s="1709"/>
      <c r="L254" s="1709"/>
      <c r="M254" s="1709"/>
      <c r="N254" s="1709"/>
      <c r="O254" s="1709"/>
      <c r="P254" s="1709"/>
      <c r="Q254" s="1709"/>
      <c r="R254" s="1709"/>
      <c r="S254" s="1709"/>
      <c r="T254" s="1709"/>
      <c r="U254" s="1709"/>
      <c r="V254" s="1709"/>
      <c r="W254" s="1709"/>
      <c r="X254" s="1709"/>
    </row>
    <row r="255" spans="3:24" s="1704" customFormat="1">
      <c r="F255" s="1709"/>
      <c r="I255" s="1709"/>
      <c r="J255" s="1709"/>
      <c r="K255" s="1709"/>
      <c r="L255" s="1709"/>
      <c r="M255" s="1709"/>
      <c r="N255" s="1709"/>
      <c r="O255" s="1709"/>
      <c r="P255" s="1709"/>
      <c r="Q255" s="1709"/>
      <c r="R255" s="1709"/>
      <c r="S255" s="1709"/>
      <c r="T255" s="1709"/>
      <c r="U255" s="1709"/>
      <c r="V255" s="1709"/>
      <c r="W255" s="1709"/>
      <c r="X255" s="1709"/>
    </row>
    <row r="256" spans="3:24" s="1704" customFormat="1">
      <c r="E256" s="1709"/>
      <c r="F256" s="1709"/>
      <c r="I256" s="1709"/>
      <c r="J256" s="1709"/>
      <c r="K256" s="1709"/>
      <c r="L256" s="1709"/>
      <c r="M256" s="1709"/>
      <c r="N256" s="1709"/>
      <c r="O256" s="1709"/>
      <c r="P256" s="1709"/>
      <c r="Q256" s="1709"/>
      <c r="R256" s="1709"/>
      <c r="S256" s="1709"/>
      <c r="T256" s="1709"/>
      <c r="U256" s="1709"/>
      <c r="V256" s="1709"/>
      <c r="W256" s="1709"/>
      <c r="X256" s="1709"/>
    </row>
    <row r="257" spans="5:24" s="1704" customFormat="1">
      <c r="E257" s="1709"/>
      <c r="F257" s="1709"/>
      <c r="I257" s="1709"/>
      <c r="J257" s="1709"/>
      <c r="K257" s="1709"/>
      <c r="L257" s="1709"/>
      <c r="M257" s="1709"/>
      <c r="N257" s="1709"/>
      <c r="O257" s="1709"/>
      <c r="P257" s="1709"/>
      <c r="Q257" s="1709"/>
      <c r="R257" s="1709"/>
      <c r="S257" s="1709"/>
      <c r="T257" s="1709"/>
      <c r="U257" s="1709"/>
      <c r="V257" s="1709"/>
      <c r="W257" s="1709"/>
      <c r="X257" s="1709"/>
    </row>
    <row r="258" spans="5:24" s="1704" customFormat="1">
      <c r="E258" s="1709"/>
      <c r="F258" s="1709"/>
      <c r="I258" s="1709"/>
      <c r="J258" s="1709"/>
      <c r="K258" s="1709"/>
      <c r="L258" s="1709"/>
      <c r="M258" s="1709"/>
      <c r="N258" s="1709"/>
      <c r="O258" s="1709"/>
      <c r="P258" s="1709"/>
      <c r="Q258" s="1709"/>
      <c r="R258" s="1709"/>
      <c r="S258" s="1709"/>
      <c r="T258" s="1709"/>
      <c r="U258" s="1709"/>
      <c r="V258" s="1709"/>
      <c r="W258" s="1709"/>
      <c r="X258" s="1709"/>
    </row>
    <row r="259" spans="5:24" s="1704" customFormat="1">
      <c r="E259" s="1709"/>
      <c r="F259" s="1709"/>
      <c r="I259" s="1709"/>
      <c r="J259" s="1709"/>
      <c r="K259" s="1709"/>
      <c r="L259" s="1709"/>
      <c r="M259" s="1709"/>
      <c r="N259" s="1709"/>
      <c r="O259" s="1709"/>
      <c r="P259" s="1709"/>
      <c r="Q259" s="1709"/>
      <c r="R259" s="1709"/>
      <c r="S259" s="1709"/>
      <c r="T259" s="1709"/>
      <c r="U259" s="1709"/>
      <c r="V259" s="1709"/>
      <c r="W259" s="1709"/>
      <c r="X259" s="1709"/>
    </row>
    <row r="260" spans="5:24" s="1704" customFormat="1">
      <c r="E260" s="1709"/>
      <c r="F260" s="1709"/>
      <c r="I260" s="1709"/>
      <c r="J260" s="1709"/>
      <c r="K260" s="1709"/>
      <c r="L260" s="1709"/>
      <c r="M260" s="1709"/>
      <c r="N260" s="1709"/>
      <c r="O260" s="1709"/>
      <c r="P260" s="1709"/>
      <c r="Q260" s="1709"/>
      <c r="R260" s="1709"/>
      <c r="S260" s="1709"/>
      <c r="T260" s="1709"/>
      <c r="U260" s="1709"/>
      <c r="V260" s="1709"/>
      <c r="W260" s="1709"/>
      <c r="X260" s="1709"/>
    </row>
    <row r="261" spans="5:24" s="1704" customFormat="1">
      <c r="E261" s="1709"/>
      <c r="F261" s="1709"/>
      <c r="I261" s="1709"/>
      <c r="J261" s="1709"/>
      <c r="K261" s="1709"/>
      <c r="L261" s="1709"/>
      <c r="M261" s="1709"/>
      <c r="N261" s="1709"/>
      <c r="O261" s="1709"/>
      <c r="P261" s="1709"/>
      <c r="Q261" s="1709"/>
      <c r="R261" s="1709"/>
      <c r="S261" s="1709"/>
      <c r="T261" s="1709"/>
      <c r="U261" s="1709"/>
      <c r="V261" s="1709"/>
      <c r="W261" s="1709"/>
      <c r="X261" s="1709"/>
    </row>
    <row r="262" spans="5:24" s="1704" customFormat="1">
      <c r="E262" s="1709"/>
      <c r="F262" s="1709"/>
      <c r="I262" s="1709"/>
      <c r="J262" s="1709"/>
      <c r="K262" s="1709"/>
      <c r="L262" s="1709"/>
      <c r="M262" s="1709"/>
      <c r="N262" s="1709"/>
      <c r="O262" s="1709"/>
      <c r="P262" s="1709"/>
      <c r="Q262" s="1709"/>
      <c r="R262" s="1709"/>
      <c r="S262" s="1709"/>
      <c r="T262" s="1709"/>
      <c r="U262" s="1709"/>
      <c r="V262" s="1709"/>
      <c r="W262" s="1709"/>
      <c r="X262" s="1709"/>
    </row>
    <row r="263" spans="5:24" s="1704" customFormat="1">
      <c r="E263" s="1709"/>
      <c r="F263" s="1709"/>
      <c r="I263" s="1709"/>
      <c r="J263" s="1709"/>
      <c r="K263" s="1709"/>
      <c r="L263" s="1709"/>
      <c r="M263" s="1709"/>
      <c r="N263" s="1709"/>
      <c r="O263" s="1709"/>
      <c r="P263" s="1709"/>
      <c r="Q263" s="1709"/>
      <c r="R263" s="1709"/>
      <c r="S263" s="1709"/>
      <c r="T263" s="1709"/>
      <c r="U263" s="1709"/>
      <c r="V263" s="1709"/>
      <c r="W263" s="1709"/>
      <c r="X263" s="1709"/>
    </row>
    <row r="264" spans="5:24" s="1704" customFormat="1">
      <c r="E264" s="1709"/>
      <c r="F264" s="1709"/>
      <c r="I264" s="1709"/>
      <c r="J264" s="1709"/>
      <c r="K264" s="1709"/>
      <c r="L264" s="1709"/>
      <c r="M264" s="1709"/>
      <c r="N264" s="1709"/>
      <c r="O264" s="1709"/>
      <c r="P264" s="1709"/>
      <c r="Q264" s="1709"/>
      <c r="R264" s="1709"/>
      <c r="S264" s="1709"/>
      <c r="T264" s="1709"/>
      <c r="U264" s="1709"/>
      <c r="V264" s="1709"/>
      <c r="W264" s="1709"/>
      <c r="X264" s="1709"/>
    </row>
    <row r="265" spans="5:24" s="1704" customFormat="1">
      <c r="E265" s="1709"/>
      <c r="F265" s="1709"/>
      <c r="I265" s="1709"/>
      <c r="J265" s="1709"/>
      <c r="K265" s="1709"/>
      <c r="L265" s="1709"/>
      <c r="M265" s="1709"/>
      <c r="N265" s="1709"/>
      <c r="O265" s="1709"/>
      <c r="P265" s="1709"/>
      <c r="Q265" s="1709"/>
      <c r="R265" s="1709"/>
      <c r="S265" s="1709"/>
      <c r="T265" s="1709"/>
      <c r="U265" s="1709"/>
      <c r="V265" s="1709"/>
      <c r="W265" s="1709"/>
      <c r="X265" s="1709"/>
    </row>
    <row r="266" spans="5:24" s="1704" customFormat="1">
      <c r="E266" s="1709"/>
      <c r="F266" s="1709"/>
      <c r="I266" s="1709"/>
      <c r="J266" s="1709"/>
      <c r="K266" s="1709"/>
      <c r="L266" s="1709"/>
      <c r="M266" s="1709"/>
      <c r="N266" s="1709"/>
      <c r="O266" s="1709"/>
      <c r="P266" s="1709"/>
      <c r="Q266" s="1709"/>
      <c r="R266" s="1709"/>
      <c r="S266" s="1709"/>
      <c r="T266" s="1709"/>
      <c r="U266" s="1709"/>
      <c r="V266" s="1709"/>
      <c r="W266" s="1709"/>
      <c r="X266" s="1709"/>
    </row>
    <row r="267" spans="5:24" s="1704" customFormat="1">
      <c r="E267" s="1709"/>
      <c r="F267" s="1709"/>
      <c r="I267" s="1709"/>
      <c r="J267" s="1709"/>
      <c r="K267" s="1709"/>
      <c r="L267" s="1709"/>
      <c r="M267" s="1709"/>
      <c r="N267" s="1709"/>
      <c r="O267" s="1709"/>
      <c r="P267" s="1709"/>
      <c r="Q267" s="1709"/>
      <c r="R267" s="1709"/>
      <c r="S267" s="1709"/>
      <c r="T267" s="1709"/>
      <c r="U267" s="1709"/>
      <c r="V267" s="1709"/>
      <c r="W267" s="1709"/>
      <c r="X267" s="1709"/>
    </row>
    <row r="268" spans="5:24" s="1704" customFormat="1">
      <c r="E268" s="1709"/>
      <c r="F268" s="1709"/>
      <c r="I268" s="1709"/>
      <c r="J268" s="1709"/>
      <c r="K268" s="1709"/>
      <c r="L268" s="1709"/>
      <c r="M268" s="1709"/>
      <c r="N268" s="1709"/>
      <c r="O268" s="1709"/>
      <c r="P268" s="1709"/>
      <c r="Q268" s="1709"/>
      <c r="R268" s="1709"/>
      <c r="S268" s="1709"/>
      <c r="T268" s="1709"/>
      <c r="U268" s="1709"/>
      <c r="V268" s="1709"/>
      <c r="W268" s="1709"/>
      <c r="X268" s="1709"/>
    </row>
    <row r="269" spans="5:24" s="1704" customFormat="1">
      <c r="E269" s="1709"/>
      <c r="F269" s="1709"/>
      <c r="I269" s="1709"/>
      <c r="J269" s="1709"/>
      <c r="K269" s="1709"/>
      <c r="L269" s="1709"/>
      <c r="M269" s="1709"/>
      <c r="N269" s="1709"/>
      <c r="O269" s="1709"/>
      <c r="P269" s="1709"/>
      <c r="Q269" s="1709"/>
      <c r="R269" s="1709"/>
      <c r="S269" s="1709"/>
      <c r="T269" s="1709"/>
      <c r="U269" s="1709"/>
      <c r="V269" s="1709"/>
      <c r="W269" s="1709"/>
      <c r="X269" s="1709"/>
    </row>
    <row r="270" spans="5:24" s="1704" customFormat="1">
      <c r="E270" s="1709"/>
      <c r="F270" s="1709"/>
      <c r="I270" s="1709"/>
      <c r="J270" s="1709"/>
      <c r="K270" s="1709"/>
      <c r="L270" s="1709"/>
      <c r="M270" s="1709"/>
      <c r="N270" s="1709"/>
      <c r="O270" s="1709"/>
      <c r="P270" s="1709"/>
      <c r="Q270" s="1709"/>
      <c r="R270" s="1709"/>
      <c r="S270" s="1709"/>
      <c r="T270" s="1709"/>
      <c r="U270" s="1709"/>
      <c r="V270" s="1709"/>
      <c r="W270" s="1709"/>
      <c r="X270" s="1709"/>
    </row>
    <row r="271" spans="5:24" s="1704" customFormat="1">
      <c r="E271" s="1709"/>
      <c r="F271" s="1709"/>
      <c r="I271" s="1709"/>
      <c r="J271" s="1709"/>
      <c r="K271" s="1709"/>
      <c r="L271" s="1709"/>
      <c r="M271" s="1709"/>
      <c r="N271" s="1709"/>
      <c r="O271" s="1709"/>
      <c r="P271" s="1709"/>
      <c r="Q271" s="1709"/>
      <c r="R271" s="1709"/>
      <c r="S271" s="1709"/>
      <c r="T271" s="1709"/>
      <c r="U271" s="1709"/>
      <c r="V271" s="1709"/>
      <c r="W271" s="1709"/>
      <c r="X271" s="1709"/>
    </row>
    <row r="272" spans="5:24" s="1704" customFormat="1">
      <c r="E272" s="1709"/>
      <c r="F272" s="1709"/>
      <c r="I272" s="1709"/>
      <c r="J272" s="1709"/>
      <c r="K272" s="1709"/>
      <c r="L272" s="1709"/>
      <c r="M272" s="1709"/>
      <c r="N272" s="1709"/>
      <c r="O272" s="1709"/>
      <c r="P272" s="1709"/>
      <c r="Q272" s="1709"/>
      <c r="R272" s="1709"/>
      <c r="S272" s="1709"/>
      <c r="T272" s="1709"/>
      <c r="U272" s="1709"/>
      <c r="V272" s="1709"/>
      <c r="W272" s="1709"/>
      <c r="X272" s="1709"/>
    </row>
    <row r="273" spans="5:24" s="1704" customFormat="1">
      <c r="E273" s="1709"/>
      <c r="F273" s="1709"/>
      <c r="I273" s="1709"/>
      <c r="J273" s="1709"/>
      <c r="K273" s="1709"/>
      <c r="L273" s="1709"/>
      <c r="M273" s="1709"/>
      <c r="N273" s="1709"/>
      <c r="O273" s="1709"/>
      <c r="P273" s="1709"/>
      <c r="Q273" s="1709"/>
      <c r="R273" s="1709"/>
      <c r="S273" s="1709"/>
      <c r="T273" s="1709"/>
      <c r="U273" s="1709"/>
      <c r="V273" s="1709"/>
      <c r="W273" s="1709"/>
      <c r="X273" s="1709"/>
    </row>
    <row r="274" spans="5:24" s="1704" customFormat="1">
      <c r="E274" s="1709"/>
      <c r="F274" s="1709"/>
      <c r="I274" s="1709"/>
      <c r="J274" s="1709"/>
      <c r="K274" s="1709"/>
      <c r="L274" s="1709"/>
      <c r="M274" s="1709"/>
      <c r="N274" s="1709"/>
      <c r="O274" s="1709"/>
      <c r="P274" s="1709"/>
      <c r="Q274" s="1709"/>
      <c r="R274" s="1709"/>
      <c r="S274" s="1709"/>
      <c r="T274" s="1709"/>
      <c r="U274" s="1709"/>
      <c r="V274" s="1709"/>
      <c r="W274" s="1709"/>
      <c r="X274" s="1709"/>
    </row>
    <row r="275" spans="5:24" s="1704" customFormat="1">
      <c r="E275" s="1709"/>
      <c r="F275" s="1709"/>
      <c r="I275" s="1709"/>
      <c r="J275" s="1709"/>
      <c r="K275" s="1709"/>
      <c r="L275" s="1709"/>
      <c r="M275" s="1709"/>
      <c r="N275" s="1709"/>
      <c r="O275" s="1709"/>
      <c r="P275" s="1709"/>
      <c r="Q275" s="1709"/>
      <c r="R275" s="1709"/>
      <c r="S275" s="1709"/>
      <c r="T275" s="1709"/>
      <c r="U275" s="1709"/>
      <c r="V275" s="1709"/>
      <c r="W275" s="1709"/>
      <c r="X275" s="1709"/>
    </row>
    <row r="276" spans="5:24" s="1704" customFormat="1">
      <c r="E276" s="1709"/>
      <c r="F276" s="1709"/>
      <c r="I276" s="1709"/>
      <c r="J276" s="1709"/>
      <c r="K276" s="1709"/>
      <c r="L276" s="1709"/>
      <c r="M276" s="1709"/>
      <c r="N276" s="1709"/>
      <c r="O276" s="1709"/>
      <c r="P276" s="1709"/>
      <c r="Q276" s="1709"/>
      <c r="R276" s="1709"/>
      <c r="S276" s="1709"/>
      <c r="T276" s="1709"/>
      <c r="U276" s="1709"/>
      <c r="V276" s="1709"/>
      <c r="W276" s="1709"/>
      <c r="X276" s="1709"/>
    </row>
    <row r="277" spans="5:24" s="1704" customFormat="1">
      <c r="E277" s="1709"/>
      <c r="F277" s="1709"/>
      <c r="I277" s="1709"/>
      <c r="J277" s="1709"/>
      <c r="K277" s="1709"/>
      <c r="L277" s="1709"/>
      <c r="M277" s="1709"/>
      <c r="N277" s="1709"/>
      <c r="O277" s="1709"/>
      <c r="P277" s="1709"/>
      <c r="Q277" s="1709"/>
      <c r="R277" s="1709"/>
      <c r="S277" s="1709"/>
      <c r="T277" s="1709"/>
      <c r="U277" s="1709"/>
      <c r="V277" s="1709"/>
      <c r="W277" s="1709"/>
      <c r="X277" s="1709"/>
    </row>
    <row r="278" spans="5:24" s="1704" customFormat="1">
      <c r="E278" s="1709"/>
      <c r="F278" s="1709"/>
      <c r="I278" s="1709"/>
      <c r="J278" s="1709"/>
      <c r="K278" s="1709"/>
      <c r="L278" s="1709"/>
      <c r="M278" s="1709"/>
      <c r="N278" s="1709"/>
      <c r="O278" s="1709"/>
      <c r="P278" s="1709"/>
      <c r="Q278" s="1709"/>
      <c r="R278" s="1709"/>
      <c r="S278" s="1709"/>
      <c r="T278" s="1709"/>
      <c r="U278" s="1709"/>
      <c r="V278" s="1709"/>
      <c r="W278" s="1709"/>
      <c r="X278" s="1709"/>
    </row>
    <row r="279" spans="5:24" s="1704" customFormat="1">
      <c r="E279" s="1709"/>
      <c r="F279" s="1709"/>
      <c r="I279" s="1709"/>
      <c r="J279" s="1709"/>
      <c r="K279" s="1709"/>
      <c r="L279" s="1709"/>
      <c r="M279" s="1709"/>
      <c r="N279" s="1709"/>
      <c r="O279" s="1709"/>
      <c r="P279" s="1709"/>
      <c r="Q279" s="1709"/>
      <c r="R279" s="1709"/>
      <c r="S279" s="1709"/>
      <c r="T279" s="1709"/>
      <c r="U279" s="1709"/>
      <c r="V279" s="1709"/>
      <c r="W279" s="1709"/>
      <c r="X279" s="1709"/>
    </row>
    <row r="280" spans="5:24" s="1704" customFormat="1">
      <c r="E280" s="1709"/>
      <c r="F280" s="1709"/>
      <c r="I280" s="1709"/>
      <c r="J280" s="1709"/>
      <c r="K280" s="1709"/>
      <c r="L280" s="1709"/>
      <c r="M280" s="1709"/>
      <c r="N280" s="1709"/>
      <c r="O280" s="1709"/>
      <c r="P280" s="1709"/>
      <c r="Q280" s="1709"/>
      <c r="R280" s="1709"/>
      <c r="S280" s="1709"/>
      <c r="T280" s="1709"/>
      <c r="U280" s="1709"/>
      <c r="V280" s="1709"/>
      <c r="W280" s="1709"/>
      <c r="X280" s="1709"/>
    </row>
    <row r="281" spans="5:24" s="1704" customFormat="1">
      <c r="E281" s="1709"/>
      <c r="F281" s="1709"/>
      <c r="I281" s="1709"/>
      <c r="J281" s="1709"/>
      <c r="K281" s="1709"/>
      <c r="L281" s="1709"/>
      <c r="M281" s="1709"/>
      <c r="N281" s="1709"/>
      <c r="O281" s="1709"/>
      <c r="P281" s="1709"/>
      <c r="Q281" s="1709"/>
      <c r="R281" s="1709"/>
      <c r="S281" s="1709"/>
      <c r="T281" s="1709"/>
      <c r="U281" s="1709"/>
      <c r="V281" s="1709"/>
      <c r="W281" s="1709"/>
      <c r="X281" s="1709"/>
    </row>
    <row r="282" spans="5:24" s="1704" customFormat="1">
      <c r="E282" s="1709"/>
      <c r="F282" s="1709"/>
      <c r="I282" s="1709"/>
      <c r="J282" s="1709"/>
      <c r="K282" s="1709"/>
      <c r="L282" s="1709"/>
      <c r="M282" s="1709"/>
      <c r="N282" s="1709"/>
      <c r="O282" s="1709"/>
      <c r="P282" s="1709"/>
      <c r="Q282" s="1709"/>
      <c r="R282" s="1709"/>
      <c r="S282" s="1709"/>
      <c r="T282" s="1709"/>
      <c r="U282" s="1709"/>
      <c r="V282" s="1709"/>
      <c r="W282" s="1709"/>
      <c r="X282" s="1709"/>
    </row>
    <row r="283" spans="5:24" s="1704" customFormat="1">
      <c r="E283" s="1709"/>
      <c r="F283" s="1709"/>
      <c r="I283" s="1709"/>
      <c r="J283" s="1709"/>
      <c r="K283" s="1709"/>
      <c r="L283" s="1709"/>
      <c r="M283" s="1709"/>
      <c r="N283" s="1709"/>
      <c r="O283" s="1709"/>
      <c r="P283" s="1709"/>
      <c r="Q283" s="1709"/>
      <c r="R283" s="1709"/>
      <c r="S283" s="1709"/>
      <c r="T283" s="1709"/>
      <c r="U283" s="1709"/>
      <c r="V283" s="1709"/>
      <c r="W283" s="1709"/>
      <c r="X283" s="1709"/>
    </row>
    <row r="284" spans="5:24" s="1704" customFormat="1">
      <c r="E284" s="1709"/>
      <c r="F284" s="1709"/>
      <c r="I284" s="1709"/>
      <c r="J284" s="1709"/>
      <c r="K284" s="1709"/>
      <c r="L284" s="1709"/>
      <c r="M284" s="1709"/>
      <c r="N284" s="1709"/>
      <c r="O284" s="1709"/>
      <c r="P284" s="1709"/>
      <c r="Q284" s="1709"/>
      <c r="R284" s="1709"/>
      <c r="S284" s="1709"/>
      <c r="T284" s="1709"/>
      <c r="U284" s="1709"/>
      <c r="V284" s="1709"/>
      <c r="W284" s="1709"/>
      <c r="X284" s="1709"/>
    </row>
    <row r="285" spans="5:24" s="1704" customFormat="1">
      <c r="E285" s="1709"/>
      <c r="F285" s="1709"/>
      <c r="I285" s="1709"/>
      <c r="J285" s="1709"/>
      <c r="K285" s="1709"/>
      <c r="L285" s="1709"/>
      <c r="M285" s="1709"/>
      <c r="N285" s="1709"/>
      <c r="O285" s="1709"/>
      <c r="P285" s="1709"/>
      <c r="Q285" s="1709"/>
      <c r="R285" s="1709"/>
      <c r="S285" s="1709"/>
      <c r="T285" s="1709"/>
      <c r="U285" s="1709"/>
      <c r="V285" s="1709"/>
      <c r="W285" s="1709"/>
      <c r="X285" s="1709"/>
    </row>
    <row r="286" spans="5:24" s="1704" customFormat="1">
      <c r="E286" s="1709"/>
      <c r="F286" s="1709"/>
      <c r="I286" s="1709"/>
      <c r="J286" s="1709"/>
      <c r="K286" s="1709"/>
      <c r="L286" s="1709"/>
      <c r="M286" s="1709"/>
      <c r="N286" s="1709"/>
      <c r="O286" s="1709"/>
      <c r="P286" s="1709"/>
      <c r="Q286" s="1709"/>
      <c r="R286" s="1709"/>
      <c r="S286" s="1709"/>
      <c r="T286" s="1709"/>
      <c r="U286" s="1709"/>
      <c r="V286" s="1709"/>
      <c r="W286" s="1709"/>
      <c r="X286" s="1709"/>
    </row>
    <row r="287" spans="5:24" s="1704" customFormat="1">
      <c r="E287" s="1709"/>
      <c r="F287" s="1709"/>
      <c r="I287" s="1709"/>
      <c r="J287" s="1709"/>
      <c r="K287" s="1709"/>
      <c r="L287" s="1709"/>
      <c r="M287" s="1709"/>
      <c r="N287" s="1709"/>
      <c r="O287" s="1709"/>
      <c r="P287" s="1709"/>
      <c r="Q287" s="1709"/>
      <c r="R287" s="1709"/>
      <c r="S287" s="1709"/>
      <c r="T287" s="1709"/>
      <c r="U287" s="1709"/>
      <c r="V287" s="1709"/>
      <c r="W287" s="1709"/>
      <c r="X287" s="1709"/>
    </row>
    <row r="288" spans="5:24" s="1704" customFormat="1">
      <c r="E288" s="1709"/>
      <c r="F288" s="1709"/>
      <c r="I288" s="1709"/>
      <c r="J288" s="1709"/>
      <c r="K288" s="1709"/>
      <c r="L288" s="1709"/>
      <c r="M288" s="1709"/>
      <c r="N288" s="1709"/>
      <c r="O288" s="1709"/>
      <c r="P288" s="1709"/>
      <c r="Q288" s="1709"/>
      <c r="R288" s="1709"/>
      <c r="S288" s="1709"/>
      <c r="T288" s="1709"/>
      <c r="U288" s="1709"/>
      <c r="V288" s="1709"/>
      <c r="W288" s="1709"/>
      <c r="X288" s="1709"/>
    </row>
    <row r="289" spans="5:24" s="1704" customFormat="1">
      <c r="E289" s="1709"/>
      <c r="F289" s="1709"/>
      <c r="I289" s="1709"/>
      <c r="J289" s="1709"/>
      <c r="K289" s="1709"/>
      <c r="L289" s="1709"/>
      <c r="M289" s="1709"/>
      <c r="N289" s="1709"/>
      <c r="O289" s="1709"/>
      <c r="P289" s="1709"/>
      <c r="Q289" s="1709"/>
      <c r="R289" s="1709"/>
      <c r="S289" s="1709"/>
      <c r="T289" s="1709"/>
      <c r="U289" s="1709"/>
      <c r="V289" s="1709"/>
      <c r="W289" s="1709"/>
      <c r="X289" s="1709"/>
    </row>
    <row r="290" spans="5:24" s="1704" customFormat="1">
      <c r="E290" s="1709"/>
      <c r="F290" s="1709"/>
      <c r="I290" s="1709"/>
      <c r="J290" s="1709"/>
      <c r="K290" s="1709"/>
      <c r="L290" s="1709"/>
      <c r="M290" s="1709"/>
      <c r="N290" s="1709"/>
      <c r="O290" s="1709"/>
      <c r="P290" s="1709"/>
      <c r="Q290" s="1709"/>
      <c r="R290" s="1709"/>
      <c r="S290" s="1709"/>
      <c r="T290" s="1709"/>
      <c r="U290" s="1709"/>
      <c r="V290" s="1709"/>
      <c r="W290" s="1709"/>
      <c r="X290" s="1709"/>
    </row>
    <row r="291" spans="5:24" s="1704" customFormat="1">
      <c r="E291" s="1709"/>
      <c r="F291" s="1709"/>
      <c r="I291" s="1709"/>
      <c r="J291" s="1709"/>
      <c r="K291" s="1709"/>
      <c r="L291" s="1709"/>
      <c r="M291" s="1709"/>
      <c r="N291" s="1709"/>
      <c r="O291" s="1709"/>
      <c r="P291" s="1709"/>
      <c r="Q291" s="1709"/>
      <c r="R291" s="1709"/>
      <c r="S291" s="1709"/>
      <c r="T291" s="1709"/>
      <c r="U291" s="1709"/>
      <c r="V291" s="1709"/>
      <c r="W291" s="1709"/>
      <c r="X291" s="1709"/>
    </row>
    <row r="292" spans="5:24" s="1704" customFormat="1">
      <c r="E292" s="1709"/>
      <c r="F292" s="1709"/>
      <c r="I292" s="1709"/>
      <c r="J292" s="1709"/>
      <c r="K292" s="1709"/>
      <c r="L292" s="1709"/>
      <c r="M292" s="1709"/>
      <c r="N292" s="1709"/>
      <c r="O292" s="1709"/>
      <c r="P292" s="1709"/>
      <c r="Q292" s="1709"/>
      <c r="R292" s="1709"/>
      <c r="S292" s="1709"/>
      <c r="T292" s="1709"/>
      <c r="U292" s="1709"/>
      <c r="V292" s="1709"/>
      <c r="W292" s="1709"/>
      <c r="X292" s="1709"/>
    </row>
    <row r="293" spans="5:24" s="1704" customFormat="1">
      <c r="E293" s="1709"/>
      <c r="F293" s="1709"/>
      <c r="I293" s="1709"/>
      <c r="J293" s="1709"/>
      <c r="K293" s="1709"/>
      <c r="L293" s="1709"/>
      <c r="M293" s="1709"/>
      <c r="N293" s="1709"/>
      <c r="O293" s="1709"/>
      <c r="P293" s="1709"/>
      <c r="Q293" s="1709"/>
      <c r="R293" s="1709"/>
      <c r="S293" s="1709"/>
      <c r="T293" s="1709"/>
      <c r="U293" s="1709"/>
      <c r="V293" s="1709"/>
      <c r="W293" s="1709"/>
      <c r="X293" s="1709"/>
    </row>
    <row r="294" spans="5:24" s="1704" customFormat="1">
      <c r="E294" s="1709"/>
      <c r="F294" s="1709"/>
      <c r="I294" s="1709"/>
      <c r="J294" s="1709"/>
      <c r="K294" s="1709"/>
      <c r="L294" s="1709"/>
      <c r="M294" s="1709"/>
      <c r="N294" s="1709"/>
      <c r="O294" s="1709"/>
      <c r="P294" s="1709"/>
      <c r="Q294" s="1709"/>
      <c r="R294" s="1709"/>
      <c r="S294" s="1709"/>
      <c r="T294" s="1709"/>
      <c r="U294" s="1709"/>
      <c r="V294" s="1709"/>
      <c r="W294" s="1709"/>
      <c r="X294" s="1709"/>
    </row>
    <row r="295" spans="5:24" s="1704" customFormat="1">
      <c r="E295" s="1709"/>
      <c r="F295" s="1709"/>
      <c r="I295" s="1709"/>
      <c r="J295" s="1709"/>
      <c r="K295" s="1709"/>
      <c r="L295" s="1709"/>
      <c r="M295" s="1709"/>
      <c r="N295" s="1709"/>
      <c r="O295" s="1709"/>
      <c r="P295" s="1709"/>
      <c r="Q295" s="1709"/>
      <c r="R295" s="1709"/>
      <c r="S295" s="1709"/>
      <c r="T295" s="1709"/>
      <c r="U295" s="1709"/>
      <c r="V295" s="1709"/>
      <c r="W295" s="1709"/>
      <c r="X295" s="1709"/>
    </row>
    <row r="296" spans="5:24" s="1704" customFormat="1">
      <c r="E296" s="1709"/>
      <c r="F296" s="1709"/>
      <c r="I296" s="1709"/>
      <c r="J296" s="1709"/>
      <c r="K296" s="1709"/>
      <c r="L296" s="1709"/>
      <c r="M296" s="1709"/>
      <c r="N296" s="1709"/>
      <c r="O296" s="1709"/>
      <c r="P296" s="1709"/>
      <c r="Q296" s="1709"/>
      <c r="R296" s="1709"/>
      <c r="S296" s="1709"/>
      <c r="T296" s="1709"/>
      <c r="U296" s="1709"/>
      <c r="V296" s="1709"/>
      <c r="W296" s="1709"/>
      <c r="X296" s="1709"/>
    </row>
    <row r="297" spans="5:24" s="1704" customFormat="1">
      <c r="E297" s="1709"/>
      <c r="F297" s="1709"/>
      <c r="I297" s="1709"/>
      <c r="J297" s="1709"/>
      <c r="K297" s="1709"/>
      <c r="L297" s="1709"/>
      <c r="M297" s="1709"/>
      <c r="N297" s="1709"/>
      <c r="O297" s="1709"/>
      <c r="P297" s="1709"/>
      <c r="Q297" s="1709"/>
      <c r="R297" s="1709"/>
      <c r="S297" s="1709"/>
      <c r="T297" s="1709"/>
      <c r="U297" s="1709"/>
      <c r="V297" s="1709"/>
      <c r="W297" s="1709"/>
      <c r="X297" s="1709"/>
    </row>
    <row r="298" spans="5:24" s="1704" customFormat="1">
      <c r="E298" s="1709"/>
      <c r="F298" s="1709"/>
      <c r="I298" s="1709"/>
      <c r="J298" s="1709"/>
      <c r="K298" s="1709"/>
      <c r="L298" s="1709"/>
      <c r="M298" s="1709"/>
      <c r="N298" s="1709"/>
      <c r="O298" s="1709"/>
      <c r="P298" s="1709"/>
      <c r="Q298" s="1709"/>
      <c r="R298" s="1709"/>
      <c r="S298" s="1709"/>
      <c r="T298" s="1709"/>
      <c r="U298" s="1709"/>
      <c r="V298" s="1709"/>
      <c r="W298" s="1709"/>
      <c r="X298" s="1709"/>
    </row>
    <row r="299" spans="5:24" s="1704" customFormat="1">
      <c r="E299" s="1709"/>
      <c r="F299" s="1709"/>
      <c r="I299" s="1709"/>
      <c r="J299" s="1709"/>
      <c r="K299" s="1709"/>
      <c r="L299" s="1709"/>
      <c r="M299" s="1709"/>
      <c r="N299" s="1709"/>
      <c r="O299" s="1709"/>
      <c r="P299" s="1709"/>
      <c r="Q299" s="1709"/>
      <c r="R299" s="1709"/>
      <c r="S299" s="1709"/>
      <c r="T299" s="1709"/>
      <c r="U299" s="1709"/>
      <c r="V299" s="1709"/>
      <c r="W299" s="1709"/>
      <c r="X299" s="1709"/>
    </row>
    <row r="300" spans="5:24" s="1704" customFormat="1">
      <c r="E300" s="1709"/>
      <c r="F300" s="1709"/>
      <c r="I300" s="1709"/>
      <c r="J300" s="1709"/>
      <c r="K300" s="1709"/>
      <c r="L300" s="1709"/>
      <c r="M300" s="1709"/>
      <c r="N300" s="1709"/>
      <c r="O300" s="1709"/>
      <c r="P300" s="1709"/>
      <c r="Q300" s="1709"/>
      <c r="R300" s="1709"/>
      <c r="S300" s="1709"/>
      <c r="T300" s="1709"/>
      <c r="U300" s="1709"/>
      <c r="V300" s="1709"/>
      <c r="W300" s="1709"/>
      <c r="X300" s="1709"/>
    </row>
    <row r="301" spans="5:24" s="1704" customFormat="1">
      <c r="E301" s="1709"/>
      <c r="F301" s="1709"/>
      <c r="I301" s="1709"/>
      <c r="J301" s="1709"/>
      <c r="K301" s="1709"/>
      <c r="L301" s="1709"/>
      <c r="M301" s="1709"/>
      <c r="N301" s="1709"/>
      <c r="O301" s="1709"/>
      <c r="P301" s="1709"/>
      <c r="Q301" s="1709"/>
      <c r="R301" s="1709"/>
      <c r="S301" s="1709"/>
      <c r="T301" s="1709"/>
      <c r="U301" s="1709"/>
      <c r="V301" s="1709"/>
      <c r="W301" s="1709"/>
      <c r="X301" s="1709"/>
    </row>
    <row r="302" spans="5:24" s="1704" customFormat="1">
      <c r="E302" s="1709"/>
      <c r="F302" s="1709"/>
      <c r="I302" s="1709"/>
      <c r="J302" s="1709"/>
      <c r="K302" s="1709"/>
      <c r="L302" s="1709"/>
      <c r="M302" s="1709"/>
      <c r="N302" s="1709"/>
      <c r="O302" s="1709"/>
      <c r="P302" s="1709"/>
      <c r="Q302" s="1709"/>
      <c r="R302" s="1709"/>
      <c r="S302" s="1709"/>
      <c r="T302" s="1709"/>
      <c r="U302" s="1709"/>
      <c r="V302" s="1709"/>
      <c r="W302" s="1709"/>
      <c r="X302" s="1709"/>
    </row>
    <row r="303" spans="5:24" s="1704" customFormat="1">
      <c r="E303" s="1709"/>
      <c r="F303" s="1709"/>
      <c r="I303" s="1709"/>
      <c r="J303" s="1709"/>
      <c r="K303" s="1709"/>
      <c r="L303" s="1709"/>
      <c r="M303" s="1709"/>
      <c r="N303" s="1709"/>
      <c r="O303" s="1709"/>
      <c r="P303" s="1709"/>
      <c r="Q303" s="1709"/>
      <c r="R303" s="1709"/>
      <c r="S303" s="1709"/>
      <c r="T303" s="1709"/>
      <c r="U303" s="1709"/>
      <c r="V303" s="1709"/>
      <c r="W303" s="1709"/>
      <c r="X303" s="1709"/>
    </row>
    <row r="304" spans="5:24" s="1704" customFormat="1">
      <c r="E304" s="1709"/>
      <c r="F304" s="1709"/>
      <c r="I304" s="1709"/>
      <c r="J304" s="1709"/>
      <c r="K304" s="1709"/>
      <c r="L304" s="1709"/>
      <c r="M304" s="1709"/>
      <c r="N304" s="1709"/>
      <c r="O304" s="1709"/>
      <c r="P304" s="1709"/>
      <c r="Q304" s="1709"/>
      <c r="R304" s="1709"/>
      <c r="S304" s="1709"/>
      <c r="T304" s="1709"/>
      <c r="U304" s="1709"/>
      <c r="V304" s="1709"/>
      <c r="W304" s="1709"/>
      <c r="X304" s="1709"/>
    </row>
    <row r="305" spans="5:24" s="1704" customFormat="1">
      <c r="E305" s="1709"/>
      <c r="F305" s="1709"/>
      <c r="I305" s="1709"/>
      <c r="J305" s="1709"/>
      <c r="K305" s="1709"/>
      <c r="L305" s="1709"/>
      <c r="M305" s="1709"/>
      <c r="N305" s="1709"/>
      <c r="O305" s="1709"/>
      <c r="P305" s="1709"/>
      <c r="Q305" s="1709"/>
      <c r="R305" s="1709"/>
      <c r="S305" s="1709"/>
      <c r="T305" s="1709"/>
      <c r="U305" s="1709"/>
      <c r="V305" s="1709"/>
      <c r="W305" s="1709"/>
      <c r="X305" s="1709"/>
    </row>
    <row r="306" spans="5:24" s="1704" customFormat="1">
      <c r="E306" s="1709"/>
      <c r="F306" s="1709"/>
      <c r="I306" s="1709"/>
      <c r="J306" s="1709"/>
      <c r="K306" s="1709"/>
      <c r="L306" s="1709"/>
      <c r="M306" s="1709"/>
      <c r="N306" s="1709"/>
      <c r="O306" s="1709"/>
      <c r="P306" s="1709"/>
      <c r="Q306" s="1709"/>
      <c r="R306" s="1709"/>
      <c r="S306" s="1709"/>
      <c r="T306" s="1709"/>
      <c r="U306" s="1709"/>
      <c r="V306" s="1709"/>
      <c r="W306" s="1709"/>
      <c r="X306" s="1709"/>
    </row>
    <row r="307" spans="5:24" s="1704" customFormat="1">
      <c r="E307" s="1709"/>
      <c r="F307" s="1709"/>
      <c r="I307" s="1709"/>
      <c r="J307" s="1709"/>
      <c r="K307" s="1709"/>
      <c r="L307" s="1709"/>
      <c r="M307" s="1709"/>
      <c r="N307" s="1709"/>
      <c r="O307" s="1709"/>
      <c r="P307" s="1709"/>
      <c r="Q307" s="1709"/>
      <c r="R307" s="1709"/>
      <c r="S307" s="1709"/>
      <c r="T307" s="1709"/>
      <c r="U307" s="1709"/>
      <c r="V307" s="1709"/>
      <c r="W307" s="1709"/>
      <c r="X307" s="1709"/>
    </row>
    <row r="308" spans="5:24" s="1704" customFormat="1">
      <c r="E308" s="1709"/>
      <c r="F308" s="1709"/>
      <c r="I308" s="1709"/>
      <c r="J308" s="1709"/>
      <c r="K308" s="1709"/>
      <c r="L308" s="1709"/>
      <c r="M308" s="1709"/>
      <c r="N308" s="1709"/>
      <c r="O308" s="1709"/>
      <c r="P308" s="1709"/>
      <c r="Q308" s="1709"/>
      <c r="R308" s="1709"/>
      <c r="S308" s="1709"/>
      <c r="T308" s="1709"/>
      <c r="U308" s="1709"/>
      <c r="V308" s="1709"/>
      <c r="W308" s="1709"/>
      <c r="X308" s="1709"/>
    </row>
    <row r="309" spans="5:24" s="1704" customFormat="1">
      <c r="E309" s="1709"/>
      <c r="F309" s="1709"/>
      <c r="I309" s="1709"/>
      <c r="J309" s="1709"/>
      <c r="K309" s="1709"/>
      <c r="L309" s="1709"/>
      <c r="M309" s="1709"/>
      <c r="N309" s="1709"/>
      <c r="O309" s="1709"/>
      <c r="P309" s="1709"/>
      <c r="Q309" s="1709"/>
      <c r="R309" s="1709"/>
      <c r="S309" s="1709"/>
      <c r="T309" s="1709"/>
      <c r="U309" s="1709"/>
      <c r="V309" s="1709"/>
      <c r="W309" s="1709"/>
      <c r="X309" s="1709"/>
    </row>
    <row r="310" spans="5:24" s="1704" customFormat="1">
      <c r="E310" s="1709"/>
      <c r="F310" s="1709"/>
      <c r="I310" s="1709"/>
      <c r="J310" s="1709"/>
      <c r="K310" s="1709"/>
      <c r="L310" s="1709"/>
      <c r="M310" s="1709"/>
      <c r="N310" s="1709"/>
      <c r="O310" s="1709"/>
      <c r="P310" s="1709"/>
      <c r="Q310" s="1709"/>
      <c r="R310" s="1709"/>
      <c r="S310" s="1709"/>
      <c r="T310" s="1709"/>
      <c r="U310" s="1709"/>
      <c r="V310" s="1709"/>
      <c r="W310" s="1709"/>
      <c r="X310" s="1709"/>
    </row>
    <row r="311" spans="5:24" s="1704" customFormat="1">
      <c r="E311" s="1709"/>
      <c r="F311" s="1709"/>
      <c r="I311" s="1709"/>
      <c r="J311" s="1709"/>
      <c r="K311" s="1709"/>
      <c r="L311" s="1709"/>
      <c r="M311" s="1709"/>
      <c r="N311" s="1709"/>
      <c r="O311" s="1709"/>
      <c r="P311" s="1709"/>
      <c r="Q311" s="1709"/>
      <c r="R311" s="1709"/>
      <c r="S311" s="1709"/>
      <c r="T311" s="1709"/>
      <c r="U311" s="1709"/>
      <c r="V311" s="1709"/>
      <c r="W311" s="1709"/>
      <c r="X311" s="1709"/>
    </row>
    <row r="312" spans="5:24" s="1704" customFormat="1">
      <c r="E312" s="1709"/>
      <c r="F312" s="1709"/>
      <c r="I312" s="1709"/>
      <c r="J312" s="1709"/>
      <c r="K312" s="1709"/>
      <c r="L312" s="1709"/>
      <c r="M312" s="1709"/>
      <c r="N312" s="1709"/>
      <c r="O312" s="1709"/>
      <c r="P312" s="1709"/>
      <c r="Q312" s="1709"/>
      <c r="R312" s="1709"/>
      <c r="S312" s="1709"/>
      <c r="T312" s="1709"/>
      <c r="U312" s="1709"/>
      <c r="V312" s="1709"/>
      <c r="W312" s="1709"/>
      <c r="X312" s="1709"/>
    </row>
    <row r="313" spans="5:24" s="1704" customFormat="1">
      <c r="E313" s="1709"/>
      <c r="F313" s="1709"/>
      <c r="I313" s="1709"/>
      <c r="J313" s="1709"/>
      <c r="K313" s="1709"/>
      <c r="L313" s="1709"/>
      <c r="M313" s="1709"/>
      <c r="N313" s="1709"/>
      <c r="O313" s="1709"/>
      <c r="P313" s="1709"/>
      <c r="Q313" s="1709"/>
      <c r="R313" s="1709"/>
      <c r="S313" s="1709"/>
      <c r="T313" s="1709"/>
      <c r="U313" s="1709"/>
      <c r="V313" s="1709"/>
      <c r="W313" s="1709"/>
      <c r="X313" s="1709"/>
    </row>
    <row r="314" spans="5:24" s="1704" customFormat="1">
      <c r="E314" s="1709"/>
      <c r="F314" s="1709"/>
      <c r="I314" s="1709"/>
      <c r="J314" s="1709"/>
      <c r="K314" s="1709"/>
      <c r="L314" s="1709"/>
      <c r="M314" s="1709"/>
      <c r="N314" s="1709"/>
      <c r="O314" s="1709"/>
      <c r="P314" s="1709"/>
      <c r="Q314" s="1709"/>
      <c r="R314" s="1709"/>
      <c r="S314" s="1709"/>
      <c r="T314" s="1709"/>
      <c r="U314" s="1709"/>
      <c r="V314" s="1709"/>
      <c r="W314" s="1709"/>
      <c r="X314" s="1709"/>
    </row>
    <row r="315" spans="5:24" s="1704" customFormat="1">
      <c r="E315" s="1709"/>
      <c r="F315" s="1709"/>
      <c r="I315" s="1709"/>
      <c r="J315" s="1709"/>
      <c r="K315" s="1709"/>
      <c r="L315" s="1709"/>
      <c r="M315" s="1709"/>
      <c r="N315" s="1709"/>
      <c r="O315" s="1709"/>
      <c r="P315" s="1709"/>
      <c r="Q315" s="1709"/>
      <c r="R315" s="1709"/>
      <c r="S315" s="1709"/>
      <c r="T315" s="1709"/>
      <c r="U315" s="1709"/>
      <c r="V315" s="1709"/>
      <c r="W315" s="1709"/>
      <c r="X315" s="1709"/>
    </row>
    <row r="316" spans="5:24" s="1704" customFormat="1">
      <c r="E316" s="1709"/>
      <c r="F316" s="1709"/>
      <c r="I316" s="1709"/>
      <c r="J316" s="1709"/>
      <c r="K316" s="1709"/>
      <c r="L316" s="1709"/>
      <c r="M316" s="1709"/>
      <c r="N316" s="1709"/>
      <c r="O316" s="1709"/>
      <c r="P316" s="1709"/>
      <c r="Q316" s="1709"/>
      <c r="R316" s="1709"/>
      <c r="S316" s="1709"/>
      <c r="T316" s="1709"/>
      <c r="U316" s="1709"/>
      <c r="V316" s="1709"/>
      <c r="W316" s="1709"/>
      <c r="X316" s="1709"/>
    </row>
    <row r="317" spans="5:24" s="1704" customFormat="1">
      <c r="E317" s="1709"/>
      <c r="F317" s="1709"/>
      <c r="I317" s="1709"/>
      <c r="J317" s="1709"/>
      <c r="K317" s="1709"/>
      <c r="L317" s="1709"/>
      <c r="M317" s="1709"/>
      <c r="N317" s="1709"/>
      <c r="O317" s="1709"/>
      <c r="P317" s="1709"/>
      <c r="Q317" s="1709"/>
      <c r="R317" s="1709"/>
      <c r="S317" s="1709"/>
      <c r="T317" s="1709"/>
      <c r="U317" s="1709"/>
      <c r="V317" s="1709"/>
      <c r="W317" s="1709"/>
      <c r="X317" s="1709"/>
    </row>
    <row r="318" spans="5:24" s="1704" customFormat="1">
      <c r="E318" s="1709"/>
      <c r="F318" s="1709"/>
      <c r="I318" s="1709"/>
      <c r="J318" s="1709"/>
      <c r="K318" s="1709"/>
      <c r="L318" s="1709"/>
      <c r="M318" s="1709"/>
      <c r="N318" s="1709"/>
      <c r="O318" s="1709"/>
      <c r="P318" s="1709"/>
      <c r="Q318" s="1709"/>
      <c r="R318" s="1709"/>
      <c r="S318" s="1709"/>
      <c r="T318" s="1709"/>
      <c r="U318" s="1709"/>
      <c r="V318" s="1709"/>
      <c r="W318" s="1709"/>
      <c r="X318" s="1709"/>
    </row>
    <row r="319" spans="5:24" s="1704" customFormat="1">
      <c r="E319" s="1709"/>
      <c r="F319" s="1709"/>
      <c r="I319" s="1709"/>
      <c r="J319" s="1709"/>
      <c r="K319" s="1709"/>
      <c r="L319" s="1709"/>
      <c r="M319" s="1709"/>
      <c r="N319" s="1709"/>
      <c r="O319" s="1709"/>
      <c r="P319" s="1709"/>
      <c r="Q319" s="1709"/>
      <c r="R319" s="1709"/>
      <c r="S319" s="1709"/>
      <c r="T319" s="1709"/>
      <c r="U319" s="1709"/>
      <c r="V319" s="1709"/>
      <c r="W319" s="1709"/>
      <c r="X319" s="1709"/>
    </row>
    <row r="320" spans="5:24" s="1704" customFormat="1">
      <c r="E320" s="1709"/>
      <c r="F320" s="1709"/>
      <c r="I320" s="1709"/>
      <c r="J320" s="1709"/>
      <c r="K320" s="1709"/>
      <c r="L320" s="1709"/>
      <c r="M320" s="1709"/>
      <c r="N320" s="1709"/>
      <c r="O320" s="1709"/>
      <c r="P320" s="1709"/>
      <c r="Q320" s="1709"/>
      <c r="R320" s="1709"/>
      <c r="S320" s="1709"/>
      <c r="T320" s="1709"/>
      <c r="U320" s="1709"/>
      <c r="V320" s="1709"/>
      <c r="W320" s="1709"/>
      <c r="X320" s="1709"/>
    </row>
    <row r="321" spans="5:24" s="1704" customFormat="1">
      <c r="E321" s="1709"/>
      <c r="F321" s="1709"/>
      <c r="I321" s="1709"/>
      <c r="J321" s="1709"/>
      <c r="K321" s="1709"/>
      <c r="L321" s="1709"/>
      <c r="M321" s="1709"/>
      <c r="N321" s="1709"/>
      <c r="O321" s="1709"/>
      <c r="P321" s="1709"/>
      <c r="Q321" s="1709"/>
      <c r="R321" s="1709"/>
      <c r="S321" s="1709"/>
      <c r="T321" s="1709"/>
      <c r="U321" s="1709"/>
      <c r="V321" s="1709"/>
      <c r="W321" s="1709"/>
      <c r="X321" s="1709"/>
    </row>
    <row r="322" spans="5:24" s="1704" customFormat="1">
      <c r="E322" s="1709"/>
      <c r="F322" s="1709"/>
      <c r="I322" s="1709"/>
      <c r="J322" s="1709"/>
      <c r="K322" s="1709"/>
      <c r="L322" s="1709"/>
      <c r="M322" s="1709"/>
      <c r="N322" s="1709"/>
      <c r="O322" s="1709"/>
      <c r="P322" s="1709"/>
      <c r="Q322" s="1709"/>
      <c r="R322" s="1709"/>
      <c r="S322" s="1709"/>
      <c r="T322" s="1709"/>
      <c r="U322" s="1709"/>
      <c r="V322" s="1709"/>
      <c r="W322" s="1709"/>
      <c r="X322" s="1709"/>
    </row>
    <row r="323" spans="5:24" s="1704" customFormat="1">
      <c r="E323" s="1709"/>
      <c r="F323" s="1709"/>
      <c r="I323" s="1709"/>
      <c r="J323" s="1709"/>
      <c r="K323" s="1709"/>
      <c r="L323" s="1709"/>
      <c r="M323" s="1709"/>
      <c r="N323" s="1709"/>
      <c r="O323" s="1709"/>
      <c r="P323" s="1709"/>
      <c r="Q323" s="1709"/>
      <c r="R323" s="1709"/>
      <c r="S323" s="1709"/>
      <c r="T323" s="1709"/>
      <c r="U323" s="1709"/>
      <c r="V323" s="1709"/>
      <c r="W323" s="1709"/>
      <c r="X323" s="1709"/>
    </row>
    <row r="324" spans="5:24" s="1704" customFormat="1">
      <c r="E324" s="1709"/>
      <c r="F324" s="1709"/>
      <c r="I324" s="1709"/>
      <c r="J324" s="1709"/>
      <c r="K324" s="1709"/>
      <c r="L324" s="1709"/>
      <c r="M324" s="1709"/>
      <c r="N324" s="1709"/>
      <c r="O324" s="1709"/>
      <c r="P324" s="1709"/>
      <c r="Q324" s="1709"/>
      <c r="R324" s="1709"/>
      <c r="S324" s="1709"/>
      <c r="T324" s="1709"/>
      <c r="U324" s="1709"/>
      <c r="V324" s="1709"/>
      <c r="W324" s="1709"/>
      <c r="X324" s="1709"/>
    </row>
    <row r="325" spans="5:24" s="1704" customFormat="1">
      <c r="E325" s="1709"/>
      <c r="F325" s="1709"/>
      <c r="I325" s="1709"/>
      <c r="J325" s="1709"/>
      <c r="K325" s="1709"/>
      <c r="L325" s="1709"/>
      <c r="M325" s="1709"/>
      <c r="N325" s="1709"/>
      <c r="O325" s="1709"/>
      <c r="P325" s="1709"/>
      <c r="Q325" s="1709"/>
      <c r="R325" s="1709"/>
      <c r="S325" s="1709"/>
      <c r="T325" s="1709"/>
      <c r="U325" s="1709"/>
      <c r="V325" s="1709"/>
      <c r="W325" s="1709"/>
      <c r="X325" s="1709"/>
    </row>
    <row r="326" spans="5:24" s="1704" customFormat="1">
      <c r="E326" s="1709"/>
      <c r="F326" s="1709"/>
      <c r="I326" s="1709"/>
      <c r="J326" s="1709"/>
      <c r="K326" s="1709"/>
      <c r="L326" s="1709"/>
      <c r="M326" s="1709"/>
      <c r="N326" s="1709"/>
      <c r="O326" s="1709"/>
      <c r="P326" s="1709"/>
      <c r="Q326" s="1709"/>
      <c r="R326" s="1709"/>
      <c r="S326" s="1709"/>
      <c r="T326" s="1709"/>
      <c r="U326" s="1709"/>
      <c r="V326" s="1709"/>
      <c r="W326" s="1709"/>
      <c r="X326" s="1709"/>
    </row>
    <row r="327" spans="5:24" s="1704" customFormat="1">
      <c r="E327" s="1709"/>
      <c r="F327" s="1709"/>
      <c r="I327" s="1709"/>
      <c r="J327" s="1709"/>
      <c r="K327" s="1709"/>
      <c r="L327" s="1709"/>
      <c r="M327" s="1709"/>
      <c r="N327" s="1709"/>
      <c r="O327" s="1709"/>
      <c r="P327" s="1709"/>
      <c r="Q327" s="1709"/>
      <c r="R327" s="1709"/>
      <c r="S327" s="1709"/>
      <c r="T327" s="1709"/>
      <c r="U327" s="1709"/>
      <c r="V327" s="1709"/>
      <c r="W327" s="1709"/>
      <c r="X327" s="1709"/>
    </row>
    <row r="328" spans="5:24" s="1704" customFormat="1">
      <c r="E328" s="1709"/>
      <c r="F328" s="1709"/>
      <c r="I328" s="1709"/>
      <c r="J328" s="1709"/>
      <c r="K328" s="1709"/>
      <c r="L328" s="1709"/>
      <c r="M328" s="1709"/>
      <c r="N328" s="1709"/>
      <c r="O328" s="1709"/>
      <c r="P328" s="1709"/>
      <c r="Q328" s="1709"/>
      <c r="R328" s="1709"/>
      <c r="S328" s="1709"/>
      <c r="T328" s="1709"/>
      <c r="U328" s="1709"/>
      <c r="V328" s="1709"/>
      <c r="W328" s="1709"/>
      <c r="X328" s="1709"/>
    </row>
    <row r="329" spans="5:24" s="1704" customFormat="1">
      <c r="E329" s="1709"/>
      <c r="F329" s="1709"/>
      <c r="I329" s="1709"/>
      <c r="J329" s="1709"/>
      <c r="K329" s="1709"/>
      <c r="L329" s="1709"/>
      <c r="M329" s="1709"/>
      <c r="N329" s="1709"/>
      <c r="O329" s="1709"/>
      <c r="P329" s="1709"/>
      <c r="Q329" s="1709"/>
      <c r="R329" s="1709"/>
      <c r="S329" s="1709"/>
      <c r="T329" s="1709"/>
      <c r="U329" s="1709"/>
      <c r="V329" s="1709"/>
      <c r="W329" s="1709"/>
      <c r="X329" s="1709"/>
    </row>
    <row r="330" spans="5:24" s="1704" customFormat="1">
      <c r="E330" s="1709"/>
      <c r="F330" s="1709"/>
      <c r="I330" s="1709"/>
      <c r="J330" s="1709"/>
      <c r="K330" s="1709"/>
      <c r="L330" s="1709"/>
      <c r="M330" s="1709"/>
      <c r="N330" s="1709"/>
      <c r="O330" s="1709"/>
      <c r="P330" s="1709"/>
      <c r="Q330" s="1709"/>
      <c r="R330" s="1709"/>
      <c r="S330" s="1709"/>
      <c r="T330" s="1709"/>
      <c r="U330" s="1709"/>
      <c r="V330" s="1709"/>
      <c r="W330" s="1709"/>
      <c r="X330" s="1709"/>
    </row>
    <row r="331" spans="5:24" s="1704" customFormat="1">
      <c r="E331" s="1709"/>
      <c r="F331" s="1709"/>
      <c r="I331" s="1709"/>
      <c r="J331" s="1709"/>
      <c r="K331" s="1709"/>
      <c r="L331" s="1709"/>
      <c r="M331" s="1709"/>
      <c r="N331" s="1709"/>
      <c r="O331" s="1709"/>
      <c r="P331" s="1709"/>
      <c r="Q331" s="1709"/>
      <c r="R331" s="1709"/>
      <c r="S331" s="1709"/>
      <c r="T331" s="1709"/>
      <c r="U331" s="1709"/>
      <c r="V331" s="1709"/>
      <c r="W331" s="1709"/>
      <c r="X331" s="1709"/>
    </row>
    <row r="332" spans="5:24" s="1704" customFormat="1">
      <c r="E332" s="1709"/>
      <c r="F332" s="1709"/>
      <c r="I332" s="1709"/>
      <c r="J332" s="1709"/>
      <c r="K332" s="1709"/>
      <c r="L332" s="1709"/>
      <c r="M332" s="1709"/>
      <c r="N332" s="1709"/>
      <c r="O332" s="1709"/>
      <c r="P332" s="1709"/>
      <c r="Q332" s="1709"/>
      <c r="R332" s="1709"/>
      <c r="S332" s="1709"/>
      <c r="T332" s="1709"/>
      <c r="U332" s="1709"/>
      <c r="V332" s="1709"/>
      <c r="W332" s="1709"/>
      <c r="X332" s="1709"/>
    </row>
    <row r="333" spans="5:24" s="1704" customFormat="1">
      <c r="E333" s="1709"/>
      <c r="F333" s="1709"/>
      <c r="I333" s="1709"/>
      <c r="J333" s="1709"/>
      <c r="K333" s="1709"/>
      <c r="L333" s="1709"/>
      <c r="M333" s="1709"/>
      <c r="N333" s="1709"/>
      <c r="O333" s="1709"/>
      <c r="P333" s="1709"/>
      <c r="Q333" s="1709"/>
      <c r="R333" s="1709"/>
      <c r="S333" s="1709"/>
      <c r="T333" s="1709"/>
      <c r="U333" s="1709"/>
      <c r="V333" s="1709"/>
      <c r="W333" s="1709"/>
      <c r="X333" s="1709"/>
    </row>
    <row r="334" spans="5:24" s="1704" customFormat="1">
      <c r="E334" s="1709"/>
      <c r="F334" s="1709"/>
      <c r="I334" s="1709"/>
      <c r="J334" s="1709"/>
      <c r="K334" s="1709"/>
      <c r="L334" s="1709"/>
      <c r="M334" s="1709"/>
      <c r="N334" s="1709"/>
      <c r="O334" s="1709"/>
      <c r="P334" s="1709"/>
      <c r="Q334" s="1709"/>
      <c r="R334" s="1709"/>
      <c r="S334" s="1709"/>
      <c r="T334" s="1709"/>
      <c r="U334" s="1709"/>
      <c r="V334" s="1709"/>
      <c r="W334" s="1709"/>
      <c r="X334" s="1709"/>
    </row>
    <row r="335" spans="5:24" s="1704" customFormat="1">
      <c r="E335" s="1709"/>
      <c r="F335" s="1709"/>
      <c r="I335" s="1709"/>
      <c r="J335" s="1709"/>
      <c r="K335" s="1709"/>
      <c r="L335" s="1709"/>
      <c r="M335" s="1709"/>
      <c r="N335" s="1709"/>
      <c r="O335" s="1709"/>
      <c r="P335" s="1709"/>
      <c r="Q335" s="1709"/>
      <c r="R335" s="1709"/>
      <c r="S335" s="1709"/>
      <c r="T335" s="1709"/>
      <c r="U335" s="1709"/>
      <c r="V335" s="1709"/>
      <c r="W335" s="1709"/>
      <c r="X335" s="1709"/>
    </row>
    <row r="336" spans="5:24" s="1704" customFormat="1">
      <c r="E336" s="1709"/>
      <c r="F336" s="1709"/>
      <c r="I336" s="1709"/>
      <c r="J336" s="1709"/>
      <c r="K336" s="1709"/>
      <c r="L336" s="1709"/>
      <c r="M336" s="1709"/>
      <c r="N336" s="1709"/>
      <c r="O336" s="1709"/>
      <c r="P336" s="1709"/>
      <c r="Q336" s="1709"/>
      <c r="R336" s="1709"/>
      <c r="S336" s="1709"/>
      <c r="T336" s="1709"/>
      <c r="U336" s="1709"/>
      <c r="V336" s="1709"/>
      <c r="W336" s="1709"/>
      <c r="X336" s="1709"/>
    </row>
    <row r="337" spans="5:24" s="1704" customFormat="1">
      <c r="E337" s="1709"/>
      <c r="F337" s="1709"/>
      <c r="I337" s="1709"/>
      <c r="J337" s="1709"/>
      <c r="K337" s="1709"/>
      <c r="L337" s="1709"/>
      <c r="M337" s="1709"/>
      <c r="N337" s="1709"/>
      <c r="O337" s="1709"/>
      <c r="P337" s="1709"/>
      <c r="Q337" s="1709"/>
      <c r="R337" s="1709"/>
      <c r="S337" s="1709"/>
      <c r="T337" s="1709"/>
      <c r="U337" s="1709"/>
      <c r="V337" s="1709"/>
      <c r="W337" s="1709"/>
      <c r="X337" s="1709"/>
    </row>
    <row r="338" spans="5:24" s="1704" customFormat="1">
      <c r="E338" s="1709"/>
      <c r="F338" s="1709"/>
      <c r="I338" s="1709"/>
      <c r="J338" s="1709"/>
      <c r="K338" s="1709"/>
      <c r="L338" s="1709"/>
      <c r="M338" s="1709"/>
      <c r="N338" s="1709"/>
      <c r="O338" s="1709"/>
      <c r="P338" s="1709"/>
      <c r="Q338" s="1709"/>
      <c r="R338" s="1709"/>
      <c r="S338" s="1709"/>
      <c r="T338" s="1709"/>
      <c r="U338" s="1709"/>
      <c r="V338" s="1709"/>
      <c r="W338" s="1709"/>
      <c r="X338" s="1709"/>
    </row>
    <row r="339" spans="5:24" s="1704" customFormat="1">
      <c r="E339" s="1709"/>
      <c r="F339" s="1709"/>
      <c r="I339" s="1709"/>
      <c r="J339" s="1709"/>
      <c r="K339" s="1709"/>
      <c r="L339" s="1709"/>
      <c r="M339" s="1709"/>
      <c r="N339" s="1709"/>
      <c r="O339" s="1709"/>
      <c r="P339" s="1709"/>
      <c r="Q339" s="1709"/>
      <c r="R339" s="1709"/>
      <c r="S339" s="1709"/>
      <c r="T339" s="1709"/>
      <c r="U339" s="1709"/>
      <c r="V339" s="1709"/>
      <c r="W339" s="1709"/>
      <c r="X339" s="1709"/>
    </row>
    <row r="340" spans="5:24" s="1704" customFormat="1">
      <c r="E340" s="1709"/>
      <c r="F340" s="1709"/>
      <c r="I340" s="1709"/>
      <c r="J340" s="1709"/>
      <c r="K340" s="1709"/>
      <c r="L340" s="1709"/>
      <c r="M340" s="1709"/>
      <c r="N340" s="1709"/>
      <c r="O340" s="1709"/>
      <c r="P340" s="1709"/>
      <c r="Q340" s="1709"/>
      <c r="R340" s="1709"/>
      <c r="S340" s="1709"/>
      <c r="T340" s="1709"/>
      <c r="U340" s="1709"/>
      <c r="V340" s="1709"/>
      <c r="W340" s="1709"/>
      <c r="X340" s="1709"/>
    </row>
  </sheetData>
  <sheetProtection algorithmName="SHA-512" hashValue="vdB55R6UhHpMA+J7qgfW3V975X1VUghzVVUMevkrCPaqUpGQ9n7onDy9F2QfJcy1y+Byn/HZaNiw70fLtlyn7A==" saltValue="udX5NsnN9DrGWHF/mYfsaQ==" spinCount="100000" sheet="1" objects="1" scenarios="1" formatCells="0" formatColumns="0" formatRows="0"/>
  <mergeCells count="29">
    <mergeCell ref="D217:F217"/>
    <mergeCell ref="W63:X63"/>
    <mergeCell ref="W64:X64"/>
    <mergeCell ref="S133:X134"/>
    <mergeCell ref="H133:Q133"/>
    <mergeCell ref="N134:Q134"/>
    <mergeCell ref="H134:K134"/>
    <mergeCell ref="I63:K63"/>
    <mergeCell ref="N66:P66"/>
    <mergeCell ref="C79:F79"/>
    <mergeCell ref="C74:F74"/>
    <mergeCell ref="C75:F75"/>
    <mergeCell ref="C76:F76"/>
    <mergeCell ref="C77:F77"/>
    <mergeCell ref="C78:F78"/>
    <mergeCell ref="S9:V10"/>
    <mergeCell ref="W9:X9"/>
    <mergeCell ref="W10:X10"/>
    <mergeCell ref="W36:X36"/>
    <mergeCell ref="W37:X37"/>
    <mergeCell ref="M9:Q9"/>
    <mergeCell ref="M10:N10"/>
    <mergeCell ref="P10:Q10"/>
    <mergeCell ref="C67:F67"/>
    <mergeCell ref="C73:F73"/>
    <mergeCell ref="C40:F40"/>
    <mergeCell ref="C68:F68"/>
    <mergeCell ref="C41:F41"/>
    <mergeCell ref="C69:F69"/>
  </mergeCells>
  <dataValidations count="7">
    <dataValidation type="list" allowBlank="1" showInputMessage="1" showErrorMessage="1" sqref="C40">
      <formula1>country</formula1>
    </dataValidation>
    <dataValidation type="list" allowBlank="1" showInputMessage="1" showErrorMessage="1" sqref="C67:C69">
      <formula1>irrig_sys</formula1>
    </dataValidation>
    <dataValidation type="list" allowBlank="1" showInputMessage="1" showErrorMessage="1" sqref="C73:C79">
      <formula1>construct</formula1>
    </dataValidation>
    <dataValidation type="list" allowBlank="1" showInputMessage="1" showErrorMessage="1" sqref="L24:L26 J16:J22 J24:J26 J12:J14 L12:L14 L16:L22 J54 L54 L44:L50 J44:J50 R104:R109 O104:O109 L52 J52 L40:L41 J40:J41">
      <formula1>dyn_simple</formula1>
    </dataValidation>
    <dataValidation type="decimal" operator="greaterThanOrEqual" allowBlank="1" showInputMessage="1" showErrorMessage="1" sqref="K136:K138 K140 Q140:Q144 X136:X138 K247:K253 X140:X142 X145:X146 M204 M211:M217 M219:M220 K242:K244 X148:X150">
      <formula1>0</formula1>
    </dataValidation>
    <dataValidation type="decimal" allowBlank="1" showInputMessage="1" showErrorMessage="1" sqref="M205:M208">
      <formula1>0</formula1>
      <formula2>100</formula2>
    </dataValidation>
    <dataValidation type="list" allowBlank="1" showInputMessage="1" showErrorMessage="1" sqref="X153">
      <formula1>YES_NO</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U16" formula="1"/>
    <ignoredError sqref="D217"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pageSetUpPr fitToPage="1"/>
  </sheetPr>
  <dimension ref="A1:AI392"/>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140625" style="232" customWidth="1"/>
    <col min="3" max="3" width="7" style="232" customWidth="1"/>
    <col min="4" max="4" width="12.42578125" style="232" customWidth="1"/>
    <col min="5" max="5" width="1.28515625" style="244" customWidth="1"/>
    <col min="6" max="8" width="6.7109375" style="244" customWidth="1"/>
    <col min="9" max="9" width="2.28515625" style="232" customWidth="1"/>
    <col min="10" max="10" width="10.42578125" style="232" customWidth="1"/>
    <col min="11" max="11" width="1.5703125" style="232" customWidth="1"/>
    <col min="12" max="12" width="8" style="244" customWidth="1"/>
    <col min="13" max="13" width="2.42578125" style="244" customWidth="1"/>
    <col min="14" max="14" width="8.7109375" style="244" customWidth="1"/>
    <col min="15" max="15" width="2.28515625" style="244" customWidth="1"/>
    <col min="16" max="16" width="9" style="244" customWidth="1"/>
    <col min="17" max="17" width="2.42578125" style="244" customWidth="1"/>
    <col min="18" max="18" width="9.28515625" style="244" customWidth="1"/>
    <col min="19" max="19" width="2.7109375" style="244" customWidth="1"/>
    <col min="20" max="20" width="4.42578125" style="244" customWidth="1"/>
    <col min="21" max="21" width="9" style="244" customWidth="1"/>
    <col min="22" max="22" width="2" style="244" customWidth="1"/>
    <col min="23" max="23" width="9.7109375" style="244" customWidth="1"/>
    <col min="24" max="24" width="2.5703125" style="244" customWidth="1"/>
    <col min="25" max="25" width="11.42578125" style="244" customWidth="1"/>
    <col min="26" max="26" width="1.7109375" style="244" customWidth="1"/>
    <col min="27" max="27" width="4.28515625" style="244" customWidth="1"/>
    <col min="28" max="28" width="9.42578125" style="244" customWidth="1"/>
    <col min="29" max="29" width="12.5703125" style="232" customWidth="1"/>
    <col min="30" max="30" width="9.28515625" style="232" customWidth="1"/>
    <col min="31" max="32" width="10.7109375" style="232" customWidth="1"/>
    <col min="33" max="33" width="8.5703125" style="232" customWidth="1"/>
    <col min="34" max="34" width="3.28515625" style="232" customWidth="1"/>
    <col min="35" max="16384" width="14.140625" style="232"/>
  </cols>
  <sheetData>
    <row r="1" spans="1:35" s="2233" customFormat="1" ht="22.9" customHeight="1">
      <c r="E1" s="2234"/>
      <c r="F1" s="2234"/>
      <c r="G1" s="2234"/>
      <c r="H1" s="2234"/>
      <c r="L1" s="2234"/>
      <c r="M1" s="2234"/>
      <c r="N1" s="2234"/>
      <c r="O1" s="2234"/>
      <c r="P1" s="2234"/>
      <c r="Q1" s="2234"/>
      <c r="R1" s="2234"/>
      <c r="S1" s="2234"/>
      <c r="T1" s="2234"/>
      <c r="U1" s="2234"/>
      <c r="V1" s="2234"/>
      <c r="W1" s="2234"/>
      <c r="X1" s="2234"/>
      <c r="Y1" s="2234"/>
      <c r="Z1" s="2234"/>
      <c r="AA1" s="2234"/>
      <c r="AB1" s="2234"/>
    </row>
    <row r="2" spans="1:35" s="2233" customFormat="1" ht="22.9" customHeight="1">
      <c r="E2" s="2234"/>
      <c r="F2" s="2234"/>
      <c r="G2" s="2234"/>
      <c r="H2" s="2234"/>
      <c r="L2" s="2234"/>
      <c r="M2" s="2234"/>
      <c r="N2" s="2234"/>
      <c r="O2" s="2234"/>
      <c r="P2" s="2234"/>
      <c r="Q2" s="2234"/>
      <c r="R2" s="2234"/>
      <c r="S2" s="2234"/>
      <c r="T2" s="2234"/>
      <c r="U2" s="2234"/>
      <c r="V2" s="2234"/>
      <c r="W2" s="2234"/>
      <c r="X2" s="2234"/>
      <c r="Y2" s="2234"/>
      <c r="Z2" s="2234"/>
      <c r="AA2" s="2234"/>
      <c r="AB2" s="2234"/>
    </row>
    <row r="3" spans="1:35" s="2233" customFormat="1" ht="22.9" customHeight="1">
      <c r="E3" s="2234"/>
      <c r="F3" s="2234"/>
      <c r="G3" s="2234"/>
      <c r="H3" s="2234"/>
      <c r="L3" s="2234"/>
      <c r="M3" s="2234"/>
      <c r="N3" s="2234"/>
      <c r="O3" s="2234"/>
      <c r="P3" s="2234"/>
      <c r="Q3" s="2234"/>
      <c r="R3" s="2234"/>
      <c r="S3" s="2234"/>
      <c r="T3" s="2234"/>
      <c r="U3" s="2234"/>
      <c r="V3" s="2234"/>
      <c r="W3" s="2234"/>
      <c r="X3" s="2234"/>
      <c r="Y3" s="2234"/>
      <c r="Z3" s="2234"/>
      <c r="AA3" s="2234"/>
      <c r="AB3" s="2234"/>
    </row>
    <row r="4" spans="1:35" s="2233" customFormat="1" ht="22.9" customHeight="1">
      <c r="E4" s="2234"/>
      <c r="F4" s="2234"/>
      <c r="G4" s="2234"/>
      <c r="H4" s="2234"/>
      <c r="L4" s="2234"/>
      <c r="M4" s="2234"/>
      <c r="N4" s="2234"/>
      <c r="O4" s="2234"/>
      <c r="P4" s="2234"/>
      <c r="Q4" s="2234"/>
      <c r="R4" s="2234"/>
      <c r="S4" s="2234"/>
      <c r="T4" s="2234"/>
      <c r="U4" s="2234"/>
      <c r="V4" s="2234"/>
      <c r="W4" s="2234"/>
      <c r="X4" s="2234"/>
      <c r="Y4" s="2234"/>
      <c r="Z4" s="2234"/>
      <c r="AA4" s="2234"/>
      <c r="AB4" s="2234"/>
    </row>
    <row r="5" spans="1:35" s="2235" customFormat="1" ht="22.9" customHeight="1">
      <c r="A5" s="2706" t="str">
        <f>HLOOKUP(select,translations!$B$436:$H$450,2,)</f>
        <v xml:space="preserve"> </v>
      </c>
      <c r="E5" s="2236"/>
      <c r="F5" s="2236"/>
      <c r="G5" s="2236"/>
      <c r="H5" s="2236"/>
      <c r="L5" s="2236"/>
      <c r="M5" s="2236"/>
      <c r="N5" s="2236"/>
      <c r="O5" s="2236"/>
      <c r="P5" s="2236"/>
      <c r="Q5" s="2236"/>
      <c r="R5" s="2236"/>
      <c r="S5" s="2236"/>
      <c r="T5" s="2236"/>
      <c r="U5" s="2236"/>
      <c r="V5" s="2236"/>
      <c r="W5" s="2236"/>
      <c r="X5" s="2236"/>
      <c r="Y5" s="2236"/>
      <c r="Z5" s="2236"/>
      <c r="AA5" s="2236"/>
      <c r="AB5" s="2236"/>
    </row>
    <row r="6" spans="1:35" s="1704" customFormat="1">
      <c r="E6" s="1709"/>
      <c r="F6" s="3424"/>
      <c r="G6" s="3424"/>
      <c r="H6" s="1709"/>
      <c r="L6" s="1709"/>
      <c r="M6" s="1709"/>
      <c r="N6" s="1709"/>
      <c r="O6" s="1709"/>
      <c r="P6" s="1709"/>
      <c r="Q6" s="3424"/>
      <c r="R6" s="1709"/>
      <c r="S6" s="1709"/>
      <c r="T6" s="1709"/>
      <c r="U6" s="1709"/>
      <c r="V6" s="1709"/>
      <c r="W6" s="1709"/>
      <c r="X6" s="1709"/>
      <c r="Y6" s="1709"/>
      <c r="Z6" s="1709"/>
      <c r="AA6" s="1709"/>
      <c r="AB6" s="1709"/>
    </row>
    <row r="7" spans="1:35" s="1704" customFormat="1" ht="15.75">
      <c r="B7" s="2921" t="str">
        <f>HLOOKUP(select,translations!$A$582:$H$616,3,)</f>
        <v>8.1. Fisheries</v>
      </c>
      <c r="C7" s="2922"/>
      <c r="D7" s="2922"/>
      <c r="E7" s="2922"/>
      <c r="F7" s="2922"/>
      <c r="G7" s="2922"/>
      <c r="H7" s="2922"/>
      <c r="I7" s="2922"/>
      <c r="J7" s="2922"/>
      <c r="K7" s="2922"/>
      <c r="L7" s="2922"/>
      <c r="M7" s="2922"/>
      <c r="N7" s="2922"/>
      <c r="O7" s="2922"/>
      <c r="P7" s="2922"/>
      <c r="Q7" s="2922"/>
      <c r="R7" s="2922"/>
      <c r="S7" s="2922"/>
      <c r="T7" s="2922"/>
      <c r="U7" s="2922"/>
      <c r="V7" s="2922"/>
      <c r="W7" s="2922"/>
      <c r="X7" s="2922"/>
      <c r="Y7" s="2922"/>
      <c r="Z7" s="2922"/>
      <c r="AA7" s="2922"/>
      <c r="AB7" s="2923"/>
      <c r="AC7" s="2923"/>
      <c r="AD7" s="2923"/>
    </row>
    <row r="8" spans="1:35" s="1704" customFormat="1">
      <c r="E8" s="1709"/>
      <c r="F8" s="3424"/>
      <c r="G8" s="3424"/>
      <c r="H8" s="1709"/>
      <c r="L8" s="1709"/>
      <c r="M8" s="1709"/>
      <c r="N8" s="1709"/>
      <c r="O8" s="1709"/>
      <c r="P8" s="1709"/>
      <c r="Q8" s="3424"/>
      <c r="R8" s="1709"/>
      <c r="S8" s="1709"/>
      <c r="T8" s="1709"/>
      <c r="U8" s="1709"/>
      <c r="V8" s="1709"/>
      <c r="W8" s="1709"/>
      <c r="X8" s="1709"/>
      <c r="Y8" s="1709"/>
      <c r="Z8" s="1709"/>
      <c r="AA8" s="1709"/>
      <c r="AB8" s="1709"/>
    </row>
    <row r="9" spans="1:35" s="1704" customFormat="1">
      <c r="C9" s="3556" t="str">
        <f>HLOOKUP(select,translations!$A$582:$H$616,4,)</f>
        <v>The sections 6.1 (Inputs), 6.2. (Energy) and 6.3. (Construction of new infratructure) can be used to complement this section</v>
      </c>
      <c r="D9" s="2924"/>
      <c r="E9" s="2925"/>
      <c r="F9" s="2925"/>
      <c r="G9" s="2925"/>
      <c r="H9" s="2925"/>
      <c r="I9" s="2924"/>
      <c r="J9" s="2924"/>
      <c r="K9" s="2924"/>
      <c r="L9" s="2925"/>
      <c r="M9" s="2925"/>
      <c r="N9" s="2925"/>
      <c r="O9" s="2925"/>
      <c r="P9" s="2925"/>
      <c r="Q9" s="2925"/>
      <c r="R9" s="2925"/>
      <c r="S9" s="2925"/>
      <c r="T9" s="2925"/>
      <c r="U9" s="2925"/>
      <c r="V9" s="2925"/>
      <c r="W9" s="2925"/>
      <c r="X9" s="2925"/>
      <c r="Y9" s="2925"/>
      <c r="Z9" s="2925"/>
      <c r="AA9" s="2925"/>
      <c r="AB9" s="2925"/>
      <c r="AC9" s="2925"/>
    </row>
    <row r="10" spans="1:35" s="1704" customFormat="1">
      <c r="E10" s="1709"/>
      <c r="F10" s="3424"/>
      <c r="G10" s="3424"/>
      <c r="H10" s="1709"/>
      <c r="L10" s="1709"/>
      <c r="M10" s="1709"/>
      <c r="N10" s="1709"/>
      <c r="O10" s="1709"/>
      <c r="P10" s="1709"/>
      <c r="Q10" s="3424"/>
      <c r="R10" s="1709"/>
      <c r="S10" s="1709"/>
      <c r="T10" s="1709"/>
      <c r="U10" s="1709"/>
      <c r="V10" s="1709"/>
      <c r="W10" s="1709"/>
      <c r="X10" s="1709"/>
      <c r="Y10" s="1709"/>
      <c r="Z10" s="1709"/>
      <c r="AA10" s="1709"/>
      <c r="AB10" s="1709"/>
      <c r="AC10" s="1709"/>
    </row>
    <row r="11" spans="1:35" s="1704" customFormat="1">
      <c r="B11" s="3312" t="str">
        <f>HLOOKUP(select,translations!$A$582:$H$616,7,)</f>
        <v>Fishing operations (based on Fuel Use intensity - FUI -  values)</v>
      </c>
      <c r="C11" s="2947"/>
      <c r="D11" s="2947"/>
      <c r="E11" s="3282"/>
      <c r="F11" s="3428"/>
      <c r="G11" s="3428"/>
      <c r="H11" s="2947"/>
      <c r="I11" s="2947"/>
      <c r="J11" s="3282"/>
      <c r="K11" s="3428"/>
      <c r="L11" s="2947"/>
      <c r="M11" s="2947"/>
      <c r="N11" s="3428"/>
      <c r="O11" s="3428"/>
      <c r="P11" s="3428"/>
      <c r="Q11" s="3428"/>
      <c r="R11" s="3428"/>
      <c r="S11" s="3428"/>
      <c r="T11" s="3428"/>
      <c r="U11" s="3428"/>
      <c r="V11" s="3428"/>
      <c r="W11" s="3428"/>
      <c r="X11" s="3428"/>
      <c r="Y11" s="3428"/>
      <c r="Z11" s="3428"/>
      <c r="AA11" s="3428"/>
      <c r="AB11" s="3427" t="str">
        <f>'7. Inputs'!W9</f>
        <v>Total Emissions</v>
      </c>
      <c r="AC11" s="3427"/>
      <c r="AD11" s="3429" t="str">
        <f>'7. Inputs'!Y9</f>
        <v>Balance</v>
      </c>
      <c r="AF11" s="1937" t="str">
        <f>HLOOKUP(select,translations!$B$7:$H$19,13,)</f>
        <v xml:space="preserve"> </v>
      </c>
    </row>
    <row r="12" spans="1:35" s="1704" customFormat="1">
      <c r="B12" s="2947"/>
      <c r="C12" s="2946" t="str">
        <f>HLOOKUP(select,translations!$A$582:$H$616,5,)</f>
        <v>Category</v>
      </c>
      <c r="D12" s="2946"/>
      <c r="E12" s="2946"/>
      <c r="F12" s="2946" t="str">
        <f>HLOOKUP(select,translations!$A$582:$H$620,36,)</f>
        <v>Gear</v>
      </c>
      <c r="G12" s="2946"/>
      <c r="H12" s="2947"/>
      <c r="I12" s="2947"/>
      <c r="J12" s="3302" t="str">
        <f>HLOOKUP(select,translations!$A$582:$H$616,24,)</f>
        <v>% with refrigerant syst.</v>
      </c>
      <c r="K12" s="3302"/>
      <c r="L12" s="3303"/>
      <c r="M12" s="3303"/>
      <c r="N12" s="3302"/>
      <c r="O12" s="2947"/>
      <c r="P12" s="3557" t="str">
        <f>HLOOKUP(select,translations!$A$582:$H$625,25,)</f>
        <v>Management (will impact FUI)</v>
      </c>
      <c r="Q12" s="2998"/>
      <c r="R12" s="2947"/>
      <c r="S12" s="3428"/>
      <c r="T12" s="3428"/>
      <c r="U12" s="3558" t="str">
        <f>HLOOKUP(select,translations!$A$582:$H$616,6,)</f>
        <v>Total catch per year (tonnes per year)</v>
      </c>
      <c r="V12" s="3428"/>
      <c r="W12" s="3301"/>
      <c r="X12" s="3301"/>
      <c r="Y12" s="3301"/>
      <c r="Z12" s="3301"/>
      <c r="AA12" s="3428"/>
      <c r="AB12" s="3428" t="str">
        <f>'7. Inputs'!W10</f>
        <v>(tCO2-eq)</v>
      </c>
      <c r="AC12" s="3428"/>
      <c r="AD12" s="3428"/>
      <c r="AF12" s="1937" t="str">
        <f>IF(Nlang=1,"",C12)</f>
        <v/>
      </c>
      <c r="AG12" s="1937"/>
      <c r="AH12" s="1937"/>
      <c r="AI12" s="1937" t="str">
        <f>IF(Nlang=1,"",F12)</f>
        <v/>
      </c>
    </row>
    <row r="13" spans="1:35" s="1704" customFormat="1">
      <c r="B13" s="2947"/>
      <c r="C13" s="2947"/>
      <c r="D13" s="2947"/>
      <c r="E13" s="2947"/>
      <c r="F13" s="2947"/>
      <c r="G13" s="2947"/>
      <c r="H13" s="2947"/>
      <c r="I13" s="2947"/>
      <c r="J13" s="2947" t="str">
        <f>U13</f>
        <v>Start</v>
      </c>
      <c r="K13" s="2947"/>
      <c r="L13" s="3425" t="str">
        <f>W13</f>
        <v>Without</v>
      </c>
      <c r="M13" s="3075"/>
      <c r="N13" s="3425" t="str">
        <f>R13</f>
        <v>With</v>
      </c>
      <c r="O13" s="2947"/>
      <c r="P13" s="3425" t="str">
        <f>W13</f>
        <v>Without</v>
      </c>
      <c r="Q13" s="2947"/>
      <c r="R13" s="3425" t="str">
        <f>Y13</f>
        <v>With</v>
      </c>
      <c r="S13" s="3428"/>
      <c r="T13" s="3428"/>
      <c r="U13" s="3428" t="str">
        <f>'7. Inputs'!H11</f>
        <v>Start</v>
      </c>
      <c r="V13" s="3428"/>
      <c r="W13" s="3425" t="str">
        <f>'7. Inputs'!I11</f>
        <v>Without</v>
      </c>
      <c r="X13" s="3428" t="str">
        <f>'7. Inputs'!J11</f>
        <v>*</v>
      </c>
      <c r="Y13" s="3425" t="str">
        <f>'7. Inputs'!K11</f>
        <v>With</v>
      </c>
      <c r="Z13" s="3428" t="str">
        <f>X13</f>
        <v>*</v>
      </c>
      <c r="AA13" s="3428"/>
      <c r="AB13" s="3425" t="str">
        <f>W13</f>
        <v>Without</v>
      </c>
      <c r="AC13" s="3425" t="str">
        <f>Y13</f>
        <v>With</v>
      </c>
      <c r="AD13" s="3428"/>
    </row>
    <row r="14" spans="1:35" s="1704" customFormat="1">
      <c r="B14" s="2947"/>
      <c r="C14" s="3936" t="s">
        <v>5501</v>
      </c>
      <c r="D14" s="3936"/>
      <c r="E14" s="2947"/>
      <c r="F14" s="3936" t="s">
        <v>6</v>
      </c>
      <c r="G14" s="3936"/>
      <c r="H14" s="3936"/>
      <c r="I14" s="2947"/>
      <c r="J14" s="3278">
        <v>0</v>
      </c>
      <c r="K14" s="2947"/>
      <c r="L14" s="3278">
        <v>0</v>
      </c>
      <c r="M14" s="3075"/>
      <c r="N14" s="3278">
        <v>0</v>
      </c>
      <c r="O14" s="3428"/>
      <c r="P14" s="3278">
        <v>1</v>
      </c>
      <c r="Q14" s="2947"/>
      <c r="R14" s="3278">
        <v>1</v>
      </c>
      <c r="S14" s="3428"/>
      <c r="T14" s="3428"/>
      <c r="U14" s="3423">
        <v>0</v>
      </c>
      <c r="V14" s="3428"/>
      <c r="W14" s="3423">
        <v>0</v>
      </c>
      <c r="X14" s="2113" t="s">
        <v>1498</v>
      </c>
      <c r="Y14" s="3423">
        <v>0</v>
      </c>
      <c r="Z14" s="2113" t="s">
        <v>1498</v>
      </c>
      <c r="AA14" s="3428"/>
      <c r="AB14" s="2952">
        <f>Fishery!H37</f>
        <v>0</v>
      </c>
      <c r="AC14" s="2952">
        <f>Fishery!I37</f>
        <v>0</v>
      </c>
      <c r="AD14" s="2952">
        <f>AC14-AB14</f>
        <v>0</v>
      </c>
      <c r="AF14" s="1715" t="str">
        <f>IF(Nlang=1,"",VLOOKUP(C14,'Name translation'!A1:I275,Nlang+1,))</f>
        <v/>
      </c>
      <c r="AG14" s="1715"/>
      <c r="AI14" s="2653" t="str">
        <f>IF(Nlang=1,"",VLOOKUP(F14,'Name translation'!A1:I275,Nlang+1,))</f>
        <v/>
      </c>
    </row>
    <row r="15" spans="1:35" s="1704" customFormat="1">
      <c r="B15" s="2947"/>
      <c r="C15" s="3936" t="s">
        <v>5501</v>
      </c>
      <c r="D15" s="3936"/>
      <c r="E15" s="2947"/>
      <c r="F15" s="3936" t="s">
        <v>6</v>
      </c>
      <c r="G15" s="3936"/>
      <c r="H15" s="3936"/>
      <c r="I15" s="2947"/>
      <c r="J15" s="3278">
        <v>0</v>
      </c>
      <c r="K15" s="2947"/>
      <c r="L15" s="3278">
        <v>0</v>
      </c>
      <c r="M15" s="3075"/>
      <c r="N15" s="3278">
        <v>0</v>
      </c>
      <c r="O15" s="3428"/>
      <c r="P15" s="3278">
        <v>1</v>
      </c>
      <c r="Q15" s="2947"/>
      <c r="R15" s="3278">
        <v>1</v>
      </c>
      <c r="S15" s="3428"/>
      <c r="T15" s="3428"/>
      <c r="U15" s="3423">
        <v>0</v>
      </c>
      <c r="V15" s="3428"/>
      <c r="W15" s="3423">
        <v>0</v>
      </c>
      <c r="X15" s="2113" t="s">
        <v>1498</v>
      </c>
      <c r="Y15" s="3423">
        <v>0</v>
      </c>
      <c r="Z15" s="2113" t="s">
        <v>1498</v>
      </c>
      <c r="AA15" s="3428"/>
      <c r="AB15" s="2952">
        <f>Fishery!H38</f>
        <v>0</v>
      </c>
      <c r="AC15" s="2952">
        <f>Fishery!I38</f>
        <v>0</v>
      </c>
      <c r="AD15" s="2952">
        <f>AC15-AB15</f>
        <v>0</v>
      </c>
      <c r="AF15" s="1715" t="str">
        <f>IF(Nlang=1,"",VLOOKUP(C15,'Name translation'!A2:I276,Nlang+1,))</f>
        <v/>
      </c>
      <c r="AG15" s="1715"/>
      <c r="AI15" s="2653" t="str">
        <f>IF(Nlang=1,"",VLOOKUP(F15,'Name translation'!A2:I276,Nlang+1,))</f>
        <v/>
      </c>
    </row>
    <row r="16" spans="1:35" s="1704" customFormat="1">
      <c r="B16" s="2947"/>
      <c r="C16" s="3936" t="s">
        <v>5501</v>
      </c>
      <c r="D16" s="3936"/>
      <c r="E16" s="2947"/>
      <c r="F16" s="3936" t="s">
        <v>6</v>
      </c>
      <c r="G16" s="3936"/>
      <c r="H16" s="3936"/>
      <c r="I16" s="2947"/>
      <c r="J16" s="3278">
        <v>0</v>
      </c>
      <c r="K16" s="2947"/>
      <c r="L16" s="3278">
        <v>0</v>
      </c>
      <c r="M16" s="3075"/>
      <c r="N16" s="3278">
        <v>0</v>
      </c>
      <c r="O16" s="3428"/>
      <c r="P16" s="3278">
        <v>1</v>
      </c>
      <c r="Q16" s="2947"/>
      <c r="R16" s="3278">
        <v>1</v>
      </c>
      <c r="S16" s="3428"/>
      <c r="T16" s="3428"/>
      <c r="U16" s="3423">
        <v>0</v>
      </c>
      <c r="V16" s="3428"/>
      <c r="W16" s="3423">
        <v>0</v>
      </c>
      <c r="X16" s="2113" t="s">
        <v>1498</v>
      </c>
      <c r="Y16" s="3423">
        <v>0</v>
      </c>
      <c r="Z16" s="2113" t="s">
        <v>1498</v>
      </c>
      <c r="AA16" s="3428"/>
      <c r="AB16" s="2952">
        <f>Fishery!H39</f>
        <v>0</v>
      </c>
      <c r="AC16" s="2952">
        <f>Fishery!I39</f>
        <v>0</v>
      </c>
      <c r="AD16" s="2952">
        <f>AC16-AB16</f>
        <v>0</v>
      </c>
      <c r="AF16" s="1715" t="str">
        <f>IF(Nlang=1,"",VLOOKUP(C16,'Name translation'!A3:I277,Nlang+1,))</f>
        <v/>
      </c>
      <c r="AG16" s="1715"/>
      <c r="AI16" s="2653" t="str">
        <f>IF(Nlang=1,"",VLOOKUP(F16,'Name translation'!A3:I277,Nlang+1,))</f>
        <v/>
      </c>
    </row>
    <row r="17" spans="2:35" s="1704" customFormat="1">
      <c r="B17" s="2947"/>
      <c r="C17" s="3936" t="s">
        <v>5501</v>
      </c>
      <c r="D17" s="3936"/>
      <c r="E17" s="2947"/>
      <c r="F17" s="3936" t="s">
        <v>6</v>
      </c>
      <c r="G17" s="3936"/>
      <c r="H17" s="3936"/>
      <c r="I17" s="2947"/>
      <c r="J17" s="3278">
        <v>0</v>
      </c>
      <c r="K17" s="2947"/>
      <c r="L17" s="3278">
        <v>0</v>
      </c>
      <c r="M17" s="3075"/>
      <c r="N17" s="3278">
        <v>0</v>
      </c>
      <c r="O17" s="3428"/>
      <c r="P17" s="3278">
        <v>1</v>
      </c>
      <c r="Q17" s="2947"/>
      <c r="R17" s="3278">
        <v>1</v>
      </c>
      <c r="S17" s="3428"/>
      <c r="T17" s="3428"/>
      <c r="U17" s="3423">
        <v>0</v>
      </c>
      <c r="V17" s="3428"/>
      <c r="W17" s="3423">
        <v>0</v>
      </c>
      <c r="X17" s="2113" t="s">
        <v>1498</v>
      </c>
      <c r="Y17" s="3423">
        <v>0</v>
      </c>
      <c r="Z17" s="2113" t="s">
        <v>1498</v>
      </c>
      <c r="AA17" s="3428"/>
      <c r="AB17" s="2952">
        <f>Fishery!H40</f>
        <v>0</v>
      </c>
      <c r="AC17" s="2952">
        <f>Fishery!I40</f>
        <v>0</v>
      </c>
      <c r="AD17" s="2952">
        <f>AC17-AB17</f>
        <v>0</v>
      </c>
      <c r="AF17" s="1715" t="str">
        <f>IF(Nlang=1,"",VLOOKUP(C17,'Name translation'!A4:I278,Nlang+1,))</f>
        <v/>
      </c>
      <c r="AG17" s="1715"/>
      <c r="AI17" s="2653" t="str">
        <f>IF(Nlang=1,"",VLOOKUP(F17,'Name translation'!A4:I278,Nlang+1,))</f>
        <v/>
      </c>
    </row>
    <row r="18" spans="2:35" s="1704" customFormat="1">
      <c r="B18" s="2947"/>
      <c r="C18" s="3936" t="s">
        <v>5501</v>
      </c>
      <c r="D18" s="3936"/>
      <c r="E18" s="2947"/>
      <c r="F18" s="3936" t="s">
        <v>6</v>
      </c>
      <c r="G18" s="3936"/>
      <c r="H18" s="3936"/>
      <c r="I18" s="2947"/>
      <c r="J18" s="3278">
        <v>0</v>
      </c>
      <c r="K18" s="2947"/>
      <c r="L18" s="3278">
        <v>0</v>
      </c>
      <c r="M18" s="3075"/>
      <c r="N18" s="3278">
        <v>0</v>
      </c>
      <c r="O18" s="3428"/>
      <c r="P18" s="3278">
        <v>1</v>
      </c>
      <c r="Q18" s="2947"/>
      <c r="R18" s="3278">
        <v>1</v>
      </c>
      <c r="S18" s="3428"/>
      <c r="T18" s="3428"/>
      <c r="U18" s="3423">
        <v>0</v>
      </c>
      <c r="V18" s="3428"/>
      <c r="W18" s="3423">
        <v>0</v>
      </c>
      <c r="X18" s="2113" t="s">
        <v>1498</v>
      </c>
      <c r="Y18" s="3423">
        <v>0</v>
      </c>
      <c r="Z18" s="2113" t="s">
        <v>1498</v>
      </c>
      <c r="AA18" s="3428"/>
      <c r="AB18" s="2952">
        <f>Fishery!H41</f>
        <v>0</v>
      </c>
      <c r="AC18" s="2952">
        <f>Fishery!I41</f>
        <v>0</v>
      </c>
      <c r="AD18" s="2952">
        <f>AC18-AB18</f>
        <v>0</v>
      </c>
      <c r="AF18" s="1715" t="str">
        <f>IF(Nlang=1,"",VLOOKUP(C18,'Name translation'!A5:I279,Nlang+1,))</f>
        <v/>
      </c>
      <c r="AG18" s="1715"/>
      <c r="AI18" s="2653" t="str">
        <f>IF(Nlang=1,"",VLOOKUP(F18,'Name translation'!A5:I279,Nlang+1,))</f>
        <v/>
      </c>
    </row>
    <row r="19" spans="2:35" s="1704" customFormat="1">
      <c r="B19" s="2947"/>
      <c r="C19" s="2947"/>
      <c r="D19" s="2947"/>
      <c r="E19" s="2947"/>
      <c r="F19" s="2947"/>
      <c r="G19" s="2947"/>
      <c r="H19" s="2947"/>
      <c r="I19" s="2947"/>
      <c r="J19" s="2947"/>
      <c r="K19" s="2947"/>
      <c r="L19" s="2947"/>
      <c r="M19" s="2947"/>
      <c r="N19" s="2947"/>
      <c r="O19" s="2947"/>
      <c r="P19" s="2947" t="str">
        <f>HLOOKUP(select,translations!$A$582:$H$625,26,)</f>
        <v>100% = Nominal FUI (see Tier2)</v>
      </c>
      <c r="Q19" s="2947"/>
      <c r="R19" s="3428"/>
      <c r="S19" s="3428"/>
      <c r="T19" s="3428"/>
      <c r="U19" s="2947"/>
      <c r="V19" s="3428"/>
      <c r="W19" s="2947"/>
      <c r="X19" s="2947"/>
      <c r="Y19" s="2947"/>
      <c r="Z19" s="2947"/>
      <c r="AA19" s="2947"/>
      <c r="AB19" s="3428"/>
      <c r="AC19" s="3428"/>
      <c r="AD19" s="3428"/>
    </row>
    <row r="20" spans="2:35" s="1704" customFormat="1">
      <c r="B20" s="2947"/>
      <c r="C20" s="2947"/>
      <c r="D20" s="2947"/>
      <c r="E20" s="2947"/>
      <c r="F20" s="2947"/>
      <c r="G20" s="2947"/>
      <c r="H20" s="2947"/>
      <c r="I20" s="2947"/>
      <c r="J20" s="2947"/>
      <c r="K20" s="2947"/>
      <c r="L20" s="2947"/>
      <c r="M20" s="2947"/>
      <c r="N20" s="2947"/>
      <c r="O20" s="2947"/>
      <c r="P20" s="2947"/>
      <c r="Q20" s="2947"/>
      <c r="R20" s="3428"/>
      <c r="S20" s="3428"/>
      <c r="T20" s="3428"/>
      <c r="U20" s="2947"/>
      <c r="V20" s="3428"/>
      <c r="W20" s="2947"/>
      <c r="X20" s="2947"/>
      <c r="Y20" s="2947"/>
      <c r="Z20" s="2947"/>
      <c r="AA20" s="2947"/>
      <c r="AB20" s="3428"/>
      <c r="AC20" s="3428"/>
      <c r="AD20" s="3428"/>
    </row>
    <row r="21" spans="2:35" s="1704" customFormat="1">
      <c r="B21" s="3312" t="str">
        <f>HLOOKUP(select,translations!$A$582:$H$616,8,)</f>
        <v>On-board leakage from refrigeration systems</v>
      </c>
      <c r="C21" s="2946"/>
      <c r="D21" s="2946"/>
      <c r="E21" s="2946"/>
      <c r="F21" s="2946"/>
      <c r="G21" s="2946"/>
      <c r="H21" s="2947"/>
      <c r="I21" s="2947"/>
      <c r="J21" s="2946"/>
      <c r="K21" s="2946"/>
      <c r="L21" s="2946"/>
      <c r="M21" s="2946"/>
      <c r="N21" s="2947"/>
      <c r="O21" s="2947"/>
      <c r="P21" s="2947"/>
      <c r="Q21" s="2947"/>
      <c r="R21" s="3428"/>
      <c r="S21" s="3428"/>
      <c r="T21" s="3428"/>
      <c r="U21" s="3428" t="str">
        <f>U13</f>
        <v>Start</v>
      </c>
      <c r="V21" s="3428"/>
      <c r="W21" s="3425" t="str">
        <f>W13</f>
        <v>Without</v>
      </c>
      <c r="X21" s="3428"/>
      <c r="Y21" s="3425" t="str">
        <f>Y13</f>
        <v>With</v>
      </c>
      <c r="Z21" s="2947"/>
      <c r="AA21" s="2947"/>
      <c r="AB21" s="3425" t="str">
        <f>AB13</f>
        <v>Without</v>
      </c>
      <c r="AC21" s="3425" t="str">
        <f>AC13</f>
        <v>With</v>
      </c>
      <c r="AD21" s="3428"/>
    </row>
    <row r="22" spans="2:35" s="1704" customFormat="1">
      <c r="B22" s="3550"/>
      <c r="C22" s="3550" t="str">
        <f>HLOOKUP(select,translations!$A$582:$H$616,11,)</f>
        <v>Total catch with refrigerant systems (fishes, etc.)</v>
      </c>
      <c r="D22" s="2947"/>
      <c r="E22" s="2947"/>
      <c r="F22" s="2947"/>
      <c r="G22" s="2947"/>
      <c r="H22" s="2947"/>
      <c r="I22" s="2947"/>
      <c r="J22" s="2947"/>
      <c r="K22" s="2947"/>
      <c r="L22" s="2947"/>
      <c r="M22" s="2947"/>
      <c r="N22" s="2947"/>
      <c r="O22" s="2947"/>
      <c r="P22" s="2947"/>
      <c r="Q22" s="2947"/>
      <c r="R22" s="3428"/>
      <c r="S22" s="3428"/>
      <c r="T22" s="3428"/>
      <c r="U22" s="3428">
        <f>(U14*$J$14+U15*$J$15+U16*$J$16+U17*$J$17+U18*$J$18)</f>
        <v>0</v>
      </c>
      <c r="V22" s="3428"/>
      <c r="W22" s="3428">
        <f>(W14*$L$14+W15*$L$15+W16*$L$16+W17*$L$17+W18*$L$18)</f>
        <v>0</v>
      </c>
      <c r="X22" s="3428"/>
      <c r="Y22" s="3428">
        <f>(Y14*$N$14+Y15*$N$15+Y16*$N$16+Y17*$N$17+Y18*$N$18)</f>
        <v>0</v>
      </c>
      <c r="Z22" s="2947"/>
      <c r="AA22" s="2947"/>
      <c r="AB22" s="2952">
        <f>Fishery!H46</f>
        <v>0</v>
      </c>
      <c r="AC22" s="2952">
        <f>Fishery!I46</f>
        <v>0</v>
      </c>
      <c r="AD22" s="2952">
        <f>AC22-AB22</f>
        <v>0</v>
      </c>
    </row>
    <row r="23" spans="2:35" s="1704" customFormat="1">
      <c r="B23" s="3550"/>
      <c r="C23" s="2947"/>
      <c r="D23" s="2947"/>
      <c r="E23" s="2947"/>
      <c r="F23" s="2947"/>
      <c r="G23" s="2947"/>
      <c r="H23" s="2947"/>
      <c r="I23" s="2947"/>
      <c r="J23" s="2947"/>
      <c r="K23" s="2947"/>
      <c r="L23" s="2947"/>
      <c r="M23" s="2947"/>
      <c r="N23" s="2947"/>
      <c r="O23" s="2947"/>
      <c r="P23" s="2947"/>
      <c r="Q23" s="2947"/>
      <c r="R23" s="3428"/>
      <c r="S23" s="3428"/>
      <c r="T23" s="3428"/>
      <c r="U23" s="2947"/>
      <c r="V23" s="3428"/>
      <c r="W23" s="2947"/>
      <c r="X23" s="2947"/>
      <c r="Y23" s="2947"/>
      <c r="Z23" s="2947"/>
      <c r="AA23" s="2947"/>
      <c r="AB23" s="3428"/>
      <c r="AC23" s="3428"/>
      <c r="AD23" s="3428"/>
    </row>
    <row r="24" spans="2:35" s="1704" customFormat="1">
      <c r="B24" s="3312" t="str">
        <f>HLOOKUP(select,translations!$A$582:$H$616,9,)</f>
        <v>Emissions from production of ice produced ashore</v>
      </c>
      <c r="C24" s="2947"/>
      <c r="D24" s="2947"/>
      <c r="E24" s="2947"/>
      <c r="F24" s="2947"/>
      <c r="G24" s="2947"/>
      <c r="H24" s="2947"/>
      <c r="I24" s="2947"/>
      <c r="J24" s="2947"/>
      <c r="K24" s="2947"/>
      <c r="L24" s="2947"/>
      <c r="M24" s="2947"/>
      <c r="N24" s="2947" t="str">
        <f>HLOOKUP(select,translations!$A$582:$H$616,34,)</f>
        <v>% of total catch concerned by ice production</v>
      </c>
      <c r="O24" s="2947"/>
      <c r="P24" s="2947"/>
      <c r="Q24" s="2947"/>
      <c r="R24" s="3428"/>
      <c r="S24" s="3428"/>
      <c r="T24" s="3428"/>
      <c r="U24" s="3428" t="str">
        <f>U21</f>
        <v>Start</v>
      </c>
      <c r="V24" s="3428"/>
      <c r="W24" s="3425" t="str">
        <f>W21</f>
        <v>Without</v>
      </c>
      <c r="X24" s="3428"/>
      <c r="Y24" s="3425" t="str">
        <f>Y21</f>
        <v>With</v>
      </c>
      <c r="Z24" s="2947"/>
      <c r="AA24" s="2947"/>
      <c r="AB24" s="3425" t="str">
        <f>AB13</f>
        <v>Without</v>
      </c>
      <c r="AC24" s="3425" t="str">
        <f>AC13</f>
        <v>With</v>
      </c>
      <c r="AD24" s="3428"/>
    </row>
    <row r="25" spans="2:35" s="1704" customFormat="1">
      <c r="B25" s="3312"/>
      <c r="C25" s="2947"/>
      <c r="D25" s="2947"/>
      <c r="E25" s="2947"/>
      <c r="F25" s="2947"/>
      <c r="G25" s="2947"/>
      <c r="H25" s="2947"/>
      <c r="I25" s="2947"/>
      <c r="J25" s="2947"/>
      <c r="K25" s="2947"/>
      <c r="L25" s="2947"/>
      <c r="M25" s="2947"/>
      <c r="N25" s="2947" t="str">
        <f>J13</f>
        <v>Start</v>
      </c>
      <c r="O25" s="2947"/>
      <c r="P25" s="2950" t="str">
        <f>P13</f>
        <v>Without</v>
      </c>
      <c r="Q25" s="2947"/>
      <c r="R25" s="3425" t="str">
        <f>R13</f>
        <v>With</v>
      </c>
      <c r="S25" s="3428"/>
      <c r="T25" s="3428"/>
      <c r="U25" s="3428"/>
      <c r="V25" s="3428"/>
      <c r="W25" s="3425"/>
      <c r="X25" s="3428"/>
      <c r="Y25" s="3425"/>
      <c r="Z25" s="2947"/>
      <c r="AA25" s="2947"/>
      <c r="AB25" s="3425"/>
      <c r="AC25" s="3425"/>
      <c r="AD25" s="3428"/>
    </row>
    <row r="26" spans="2:35" s="1704" customFormat="1">
      <c r="B26" s="3550"/>
      <c r="C26" s="3550" t="str">
        <f>HLOOKUP(select,translations!$A$582:$H$616,12,)</f>
        <v>Total artisanal and coastal catch</v>
      </c>
      <c r="D26" s="2947"/>
      <c r="E26" s="2947"/>
      <c r="F26" s="2947"/>
      <c r="G26" s="2947"/>
      <c r="H26" s="2947"/>
      <c r="I26" s="2947"/>
      <c r="J26" s="2947"/>
      <c r="K26" s="2947"/>
      <c r="L26" s="2947"/>
      <c r="M26" s="2947"/>
      <c r="N26" s="3278">
        <v>0</v>
      </c>
      <c r="O26" s="2947"/>
      <c r="P26" s="3278">
        <v>0</v>
      </c>
      <c r="Q26" s="2947"/>
      <c r="R26" s="3278">
        <v>0</v>
      </c>
      <c r="S26" s="3428"/>
      <c r="T26" s="3428"/>
      <c r="U26" s="3632">
        <f>N26*SUM(U14:U18)</f>
        <v>0</v>
      </c>
      <c r="V26" s="3428"/>
      <c r="W26" s="3632">
        <f>P26*SUM(W14:W18)</f>
        <v>0</v>
      </c>
      <c r="X26" s="3428"/>
      <c r="Y26" s="3632">
        <f>R26*SUM(Y14:Y18)</f>
        <v>0</v>
      </c>
      <c r="Z26" s="2947"/>
      <c r="AA26" s="2947"/>
      <c r="AB26" s="2952">
        <f>Fishery!H51</f>
        <v>0</v>
      </c>
      <c r="AC26" s="2952">
        <f>Fishery!I51</f>
        <v>0</v>
      </c>
      <c r="AD26" s="2952">
        <f>AC26-AB26</f>
        <v>0</v>
      </c>
    </row>
    <row r="27" spans="2:35" s="1704" customFormat="1">
      <c r="B27" s="2947"/>
      <c r="C27" s="2947"/>
      <c r="D27" s="2947"/>
      <c r="E27" s="2947"/>
      <c r="F27" s="2947"/>
      <c r="G27" s="2947"/>
      <c r="H27" s="2947"/>
      <c r="I27" s="2947"/>
      <c r="J27" s="2947"/>
      <c r="K27" s="2947"/>
      <c r="L27" s="2947"/>
      <c r="M27" s="2947"/>
      <c r="N27" s="2947"/>
      <c r="O27" s="2947"/>
      <c r="P27" s="2947"/>
      <c r="Q27" s="2947"/>
      <c r="R27" s="2947"/>
      <c r="S27" s="2947"/>
      <c r="T27" s="2947"/>
      <c r="U27" s="2947"/>
      <c r="V27" s="2947"/>
      <c r="W27" s="2947"/>
      <c r="X27" s="2947"/>
      <c r="Y27" s="2947"/>
      <c r="Z27" s="2947"/>
      <c r="AA27" s="2947"/>
      <c r="AB27" s="3428"/>
      <c r="AC27" s="3428"/>
      <c r="AD27" s="3428"/>
    </row>
    <row r="28" spans="2:35" s="1704" customFormat="1"/>
    <row r="29" spans="2:35" s="1704" customFormat="1"/>
    <row r="30" spans="2:35" s="1704" customFormat="1">
      <c r="W30" s="3272"/>
      <c r="X30" s="3076"/>
      <c r="Y30" s="3076"/>
      <c r="Z30" s="3076"/>
      <c r="AA30" s="3077" t="str">
        <f>HLOOKUP(select,translations!$A$582:$H$616,13,)</f>
        <v>Total from catch</v>
      </c>
      <c r="AB30" s="3078">
        <f>SUM(AB14:AB26)</f>
        <v>0</v>
      </c>
      <c r="AC30" s="3078">
        <f>SUM(AC14:AC26)</f>
        <v>0</v>
      </c>
      <c r="AD30" s="3078">
        <f>SUM(AD14:AD26)</f>
        <v>0</v>
      </c>
    </row>
    <row r="31" spans="2:35" s="1704" customFormat="1"/>
    <row r="32" spans="2:35" s="1704" customFormat="1">
      <c r="V32" s="1709"/>
      <c r="W32" s="1709"/>
      <c r="X32" s="1709"/>
      <c r="Y32" s="1709"/>
      <c r="Z32" s="1709"/>
      <c r="AA32" s="1709"/>
      <c r="AB32" s="1709"/>
    </row>
    <row r="33" spans="2:30" s="1704" customFormat="1" ht="15.75">
      <c r="B33" s="3290" t="str">
        <f>HLOOKUP(select,translations!$A$582:$H$625,27,)</f>
        <v>8.2. Aquaculture</v>
      </c>
      <c r="C33" s="3291"/>
      <c r="D33" s="3291"/>
      <c r="E33" s="3291"/>
      <c r="F33" s="3291"/>
      <c r="G33" s="3291"/>
      <c r="H33" s="3291"/>
      <c r="I33" s="3291"/>
      <c r="J33" s="3291"/>
      <c r="K33" s="3291"/>
      <c r="L33" s="3291"/>
      <c r="M33" s="3291"/>
      <c r="N33" s="3291"/>
      <c r="O33" s="3291"/>
      <c r="P33" s="3291"/>
      <c r="Q33" s="3291"/>
      <c r="R33" s="3291"/>
      <c r="S33" s="3291"/>
      <c r="T33" s="3291"/>
      <c r="U33" s="3291"/>
      <c r="V33" s="3291"/>
      <c r="W33" s="3291"/>
      <c r="X33" s="3291"/>
      <c r="Y33" s="3291"/>
      <c r="Z33" s="3291"/>
      <c r="AA33" s="3291"/>
      <c r="AB33" s="3291"/>
      <c r="AC33" s="3293"/>
      <c r="AD33" s="3293"/>
    </row>
    <row r="34" spans="2:30" s="1704" customFormat="1">
      <c r="E34" s="1709"/>
      <c r="F34" s="3424"/>
      <c r="G34" s="3424"/>
      <c r="H34" s="1709"/>
      <c r="L34" s="1709"/>
      <c r="M34" s="1709"/>
      <c r="N34" s="1709"/>
      <c r="O34" s="1709"/>
      <c r="P34" s="1709"/>
      <c r="Q34" s="3424"/>
      <c r="R34" s="1709"/>
      <c r="S34" s="1709"/>
      <c r="T34" s="1709"/>
      <c r="U34" s="1709"/>
      <c r="V34" s="1709"/>
      <c r="W34" s="1709"/>
      <c r="X34" s="1709"/>
      <c r="Y34" s="3424"/>
      <c r="Z34" s="1709"/>
      <c r="AA34" s="3424"/>
      <c r="AB34" s="3424"/>
      <c r="AC34" s="3424"/>
    </row>
    <row r="35" spans="2:30" s="1704" customFormat="1">
      <c r="C35" s="3556" t="str">
        <f>C9</f>
        <v>The sections 6.1 (Inputs), 6.2. (Energy) and 6.3. (Construction of new infratructure) can be used to complement this section</v>
      </c>
      <c r="D35" s="2924"/>
      <c r="E35" s="2925"/>
      <c r="F35" s="2925"/>
      <c r="G35" s="2925"/>
      <c r="H35" s="2925"/>
      <c r="I35" s="2924"/>
      <c r="J35" s="2924"/>
      <c r="K35" s="2924"/>
      <c r="L35" s="2925"/>
      <c r="M35" s="2925"/>
      <c r="N35" s="2925"/>
      <c r="O35" s="2925"/>
      <c r="P35" s="2925"/>
      <c r="Q35" s="2925"/>
      <c r="R35" s="2925"/>
      <c r="S35" s="2925"/>
      <c r="T35" s="2925"/>
      <c r="U35" s="2925"/>
      <c r="V35" s="2925"/>
      <c r="W35" s="2925"/>
      <c r="X35" s="2925"/>
      <c r="Y35" s="2925"/>
      <c r="Z35" s="2925"/>
      <c r="AA35" s="2925"/>
      <c r="AB35" s="2925"/>
      <c r="AC35" s="2925"/>
    </row>
    <row r="36" spans="2:30" s="1704" customFormat="1">
      <c r="E36" s="1709"/>
      <c r="F36" s="3424"/>
      <c r="G36" s="3424"/>
      <c r="H36" s="1709"/>
      <c r="L36" s="1709"/>
      <c r="M36" s="1709"/>
      <c r="N36" s="1709"/>
      <c r="O36" s="1709"/>
      <c r="P36" s="1709"/>
      <c r="Q36" s="3424"/>
      <c r="R36" s="1709"/>
      <c r="S36" s="1709"/>
      <c r="T36" s="1709"/>
      <c r="U36" s="1709"/>
      <c r="V36" s="1709"/>
      <c r="W36" s="1709"/>
      <c r="X36" s="1709"/>
      <c r="Y36" s="3424"/>
      <c r="Z36" s="1709"/>
      <c r="AA36" s="3424"/>
      <c r="AB36" s="3424"/>
      <c r="AC36" s="3424"/>
    </row>
    <row r="37" spans="2:30" s="1704" customFormat="1">
      <c r="B37" s="3312" t="str">
        <f>HLOOKUP(select,translations!$A$582:$H$616,10,)</f>
        <v>Aquaculture (only emissions from N2O during  fish production)</v>
      </c>
      <c r="C37" s="2947"/>
      <c r="D37" s="2947"/>
      <c r="E37" s="2947"/>
      <c r="F37" s="2947"/>
      <c r="G37" s="2947"/>
      <c r="H37" s="2947"/>
      <c r="I37" s="2947"/>
      <c r="J37" s="2947"/>
      <c r="K37" s="2947"/>
      <c r="L37" s="2947"/>
      <c r="M37" s="2947"/>
      <c r="N37" s="2947"/>
      <c r="O37" s="2947"/>
      <c r="P37" s="2947"/>
      <c r="Q37" s="2947"/>
      <c r="R37" s="2947"/>
      <c r="S37" s="2947"/>
      <c r="T37" s="2947"/>
      <c r="U37" s="2947"/>
      <c r="V37" s="2947"/>
      <c r="W37" s="2947"/>
      <c r="X37" s="2947"/>
      <c r="Y37" s="2947"/>
      <c r="Z37" s="2947"/>
      <c r="AA37" s="2947"/>
      <c r="AB37" s="3427" t="str">
        <f>AB11</f>
        <v>Total Emissions</v>
      </c>
      <c r="AC37" s="3427"/>
      <c r="AD37" s="2946" t="str">
        <f>AD11</f>
        <v>Balance</v>
      </c>
    </row>
    <row r="38" spans="2:30" s="1704" customFormat="1">
      <c r="B38" s="2947"/>
      <c r="C38" s="2947"/>
      <c r="D38" s="2947"/>
      <c r="E38" s="2947"/>
      <c r="F38" s="2947"/>
      <c r="G38" s="2947"/>
      <c r="H38" s="2947"/>
      <c r="I38" s="2947"/>
      <c r="J38" s="2947"/>
      <c r="K38" s="2947"/>
      <c r="L38" s="2947"/>
      <c r="M38" s="2947"/>
      <c r="N38" s="2947"/>
      <c r="O38" s="2947"/>
      <c r="P38" s="3939" t="str">
        <f>HLOOKUP(select,translations!$A$582:$H$625,28,)</f>
        <v>Annual production (tonnes per year)</v>
      </c>
      <c r="Q38" s="3939"/>
      <c r="R38" s="3939"/>
      <c r="S38" s="3939"/>
      <c r="T38" s="3939"/>
      <c r="U38" s="3939"/>
      <c r="V38" s="2947"/>
      <c r="W38" s="2947"/>
      <c r="X38" s="2947"/>
      <c r="Y38" s="2947"/>
      <c r="Z38" s="2947"/>
      <c r="AA38" s="2947"/>
      <c r="AB38" s="3428" t="str">
        <f>AB12</f>
        <v>(tCO2-eq)</v>
      </c>
      <c r="AC38" s="3428"/>
      <c r="AD38" s="3428"/>
    </row>
    <row r="39" spans="2:30" s="1704" customFormat="1">
      <c r="B39" s="2947"/>
      <c r="C39" s="2947"/>
      <c r="D39" s="2947"/>
      <c r="E39" s="2947"/>
      <c r="F39" s="2947"/>
      <c r="G39" s="2947"/>
      <c r="H39" s="2947"/>
      <c r="I39" s="2947"/>
      <c r="J39" s="2947"/>
      <c r="K39" s="2947"/>
      <c r="L39" s="2947"/>
      <c r="M39" s="2947"/>
      <c r="N39" s="2947"/>
      <c r="O39" s="2947"/>
      <c r="P39" s="3282" t="str">
        <f>U24</f>
        <v>Start</v>
      </c>
      <c r="Q39" s="3428"/>
      <c r="R39" s="3282" t="str">
        <f>W24</f>
        <v>Without</v>
      </c>
      <c r="S39" s="3282"/>
      <c r="T39" s="3282"/>
      <c r="U39" s="3282" t="str">
        <f>Y24</f>
        <v>With</v>
      </c>
      <c r="V39" s="2947"/>
      <c r="W39" s="2947"/>
      <c r="X39" s="2947"/>
      <c r="Y39" s="2947"/>
      <c r="Z39" s="2947"/>
      <c r="AA39" s="2947"/>
      <c r="AB39" s="3425" t="str">
        <f>AB13</f>
        <v>Without</v>
      </c>
      <c r="AC39" s="3425" t="str">
        <f>AC13</f>
        <v>With</v>
      </c>
      <c r="AD39" s="3425"/>
    </row>
    <row r="40" spans="2:30" s="1704" customFormat="1">
      <c r="B40" s="2947"/>
      <c r="C40" s="2947" t="s">
        <v>6470</v>
      </c>
      <c r="D40" s="2947"/>
      <c r="E40" s="3296" t="s">
        <v>1595</v>
      </c>
      <c r="F40" s="3296"/>
      <c r="G40" s="3296"/>
      <c r="H40" s="2174"/>
      <c r="I40" s="2174"/>
      <c r="J40" s="2174"/>
      <c r="K40" s="2174"/>
      <c r="L40" s="2174"/>
      <c r="M40" s="2947"/>
      <c r="N40" s="2947"/>
      <c r="O40" s="2947"/>
      <c r="P40" s="3317">
        <v>0</v>
      </c>
      <c r="Q40" s="3423"/>
      <c r="R40" s="3317">
        <v>0</v>
      </c>
      <c r="S40" s="2113" t="s">
        <v>1498</v>
      </c>
      <c r="T40" s="3282"/>
      <c r="U40" s="3279">
        <v>0</v>
      </c>
      <c r="V40" s="2113" t="s">
        <v>1498</v>
      </c>
      <c r="W40" s="2947"/>
      <c r="X40" s="2947"/>
      <c r="Y40" s="2947"/>
      <c r="Z40" s="2947"/>
      <c r="AA40" s="2947"/>
      <c r="AB40" s="2952">
        <f>Fishery!H56</f>
        <v>0</v>
      </c>
      <c r="AC40" s="2952">
        <f>Fishery!I56</f>
        <v>0</v>
      </c>
      <c r="AD40" s="2952">
        <f t="shared" ref="AD40" si="0">AC40-AB40</f>
        <v>0</v>
      </c>
    </row>
    <row r="41" spans="2:30" s="1704" customFormat="1">
      <c r="B41" s="2947"/>
      <c r="C41" s="2947" t="s">
        <v>6471</v>
      </c>
      <c r="D41" s="2947"/>
      <c r="E41" s="3296" t="s">
        <v>1596</v>
      </c>
      <c r="F41" s="3296"/>
      <c r="G41" s="3296"/>
      <c r="H41" s="2174"/>
      <c r="I41" s="2174"/>
      <c r="J41" s="2174"/>
      <c r="K41" s="2174"/>
      <c r="L41" s="2174"/>
      <c r="M41" s="2947"/>
      <c r="N41" s="2947"/>
      <c r="O41" s="2947"/>
      <c r="P41" s="3317">
        <v>0</v>
      </c>
      <c r="Q41" s="3423"/>
      <c r="R41" s="3317">
        <v>0</v>
      </c>
      <c r="S41" s="2113" t="s">
        <v>1498</v>
      </c>
      <c r="T41" s="3282"/>
      <c r="U41" s="3279">
        <v>0</v>
      </c>
      <c r="V41" s="2113" t="s">
        <v>1498</v>
      </c>
      <c r="W41" s="2947"/>
      <c r="X41" s="2947"/>
      <c r="Y41" s="2947"/>
      <c r="Z41" s="2947"/>
      <c r="AA41" s="2947"/>
      <c r="AB41" s="2952">
        <f>Fishery!H57</f>
        <v>0</v>
      </c>
      <c r="AC41" s="2952">
        <f>Fishery!I57</f>
        <v>0</v>
      </c>
      <c r="AD41" s="2952">
        <f t="shared" ref="AD41:AD42" si="1">AC41-AB41</f>
        <v>0</v>
      </c>
    </row>
    <row r="42" spans="2:30" s="1704" customFormat="1">
      <c r="B42" s="2947"/>
      <c r="C42" s="2947" t="s">
        <v>6472</v>
      </c>
      <c r="D42" s="2947"/>
      <c r="E42" s="3296" t="s">
        <v>1597</v>
      </c>
      <c r="F42" s="3296"/>
      <c r="G42" s="3296"/>
      <c r="H42" s="2174"/>
      <c r="I42" s="2174"/>
      <c r="J42" s="2174"/>
      <c r="K42" s="2174"/>
      <c r="L42" s="2174"/>
      <c r="M42" s="2947"/>
      <c r="N42" s="2947"/>
      <c r="O42" s="2947"/>
      <c r="P42" s="3317">
        <v>0</v>
      </c>
      <c r="Q42" s="3423"/>
      <c r="R42" s="3317">
        <v>0</v>
      </c>
      <c r="S42" s="2113" t="s">
        <v>1498</v>
      </c>
      <c r="T42" s="3282"/>
      <c r="U42" s="3279">
        <v>0</v>
      </c>
      <c r="V42" s="2113" t="s">
        <v>1498</v>
      </c>
      <c r="W42" s="2947"/>
      <c r="X42" s="2947"/>
      <c r="Y42" s="2947"/>
      <c r="Z42" s="2947"/>
      <c r="AA42" s="2947"/>
      <c r="AB42" s="2952">
        <f>Fishery!H58</f>
        <v>0</v>
      </c>
      <c r="AC42" s="2952">
        <f>Fishery!I58</f>
        <v>0</v>
      </c>
      <c r="AD42" s="2952">
        <f t="shared" si="1"/>
        <v>0</v>
      </c>
    </row>
    <row r="43" spans="2:30" s="1704" customFormat="1">
      <c r="B43" s="2947"/>
      <c r="C43" s="2947" t="s">
        <v>6473</v>
      </c>
      <c r="D43" s="2947"/>
      <c r="E43" s="3296" t="s">
        <v>1598</v>
      </c>
      <c r="F43" s="3296"/>
      <c r="G43" s="3296"/>
      <c r="H43" s="2174"/>
      <c r="I43" s="2174"/>
      <c r="J43" s="2174"/>
      <c r="K43" s="2174"/>
      <c r="L43" s="2174"/>
      <c r="M43" s="2947"/>
      <c r="N43" s="2947"/>
      <c r="O43" s="2947"/>
      <c r="P43" s="3279">
        <v>0</v>
      </c>
      <c r="Q43" s="3423"/>
      <c r="R43" s="3279">
        <v>0</v>
      </c>
      <c r="S43" s="2113" t="s">
        <v>1498</v>
      </c>
      <c r="T43" s="3282"/>
      <c r="U43" s="3279">
        <v>0</v>
      </c>
      <c r="V43" s="2113" t="s">
        <v>1498</v>
      </c>
      <c r="W43" s="2947"/>
      <c r="X43" s="2947"/>
      <c r="Y43" s="2947"/>
      <c r="Z43" s="2947"/>
      <c r="AA43" s="2947"/>
      <c r="AB43" s="2952">
        <f>Fishery!H59</f>
        <v>0</v>
      </c>
      <c r="AC43" s="2952">
        <f>Fishery!I59</f>
        <v>0</v>
      </c>
      <c r="AD43" s="2952">
        <f t="shared" ref="AD43:AD44" si="2">AC43-AB43</f>
        <v>0</v>
      </c>
    </row>
    <row r="44" spans="2:30" s="1704" customFormat="1">
      <c r="B44" s="2947"/>
      <c r="C44" s="2947" t="s">
        <v>6474</v>
      </c>
      <c r="D44" s="2947"/>
      <c r="E44" s="3296" t="s">
        <v>1508</v>
      </c>
      <c r="F44" s="3296"/>
      <c r="G44" s="3296"/>
      <c r="H44" s="2174"/>
      <c r="I44" s="2174"/>
      <c r="J44" s="2174"/>
      <c r="K44" s="2174"/>
      <c r="L44" s="2174"/>
      <c r="M44" s="2947"/>
      <c r="N44" s="2947"/>
      <c r="O44" s="2947"/>
      <c r="P44" s="3279">
        <v>0</v>
      </c>
      <c r="Q44" s="3423"/>
      <c r="R44" s="3279">
        <v>0</v>
      </c>
      <c r="S44" s="2113" t="s">
        <v>1498</v>
      </c>
      <c r="T44" s="3282"/>
      <c r="U44" s="3279">
        <v>0</v>
      </c>
      <c r="V44" s="2113" t="s">
        <v>1498</v>
      </c>
      <c r="W44" s="2947"/>
      <c r="X44" s="2947"/>
      <c r="Y44" s="2947"/>
      <c r="Z44" s="2947"/>
      <c r="AA44" s="2947"/>
      <c r="AB44" s="2952">
        <f>Fishery!H60</f>
        <v>0</v>
      </c>
      <c r="AC44" s="2952">
        <f>Fishery!I60</f>
        <v>0</v>
      </c>
      <c r="AD44" s="2952">
        <f t="shared" si="2"/>
        <v>0</v>
      </c>
    </row>
    <row r="45" spans="2:30" s="1704" customFormat="1">
      <c r="B45" s="2947"/>
      <c r="C45" s="2947"/>
      <c r="D45" s="2947"/>
      <c r="E45" s="2947"/>
      <c r="F45" s="2947"/>
      <c r="G45" s="2947"/>
      <c r="H45" s="2947" t="s">
        <v>8905</v>
      </c>
      <c r="I45" s="2947"/>
      <c r="J45" s="2947"/>
      <c r="K45" s="2947"/>
      <c r="L45" s="2947"/>
      <c r="M45" s="2947"/>
      <c r="N45" s="2947"/>
      <c r="O45" s="2947"/>
      <c r="P45" s="2947"/>
      <c r="Q45" s="2947"/>
      <c r="R45" s="2947"/>
      <c r="S45" s="2947"/>
      <c r="T45" s="2947"/>
      <c r="U45" s="2947"/>
      <c r="V45" s="2947"/>
      <c r="W45" s="2947"/>
      <c r="X45" s="2947"/>
      <c r="Y45" s="2947"/>
      <c r="Z45" s="2947"/>
      <c r="AA45" s="2947"/>
      <c r="AB45" s="2947"/>
      <c r="AC45" s="2947"/>
      <c r="AD45" s="2947"/>
    </row>
    <row r="46" spans="2:30" s="1704" customFormat="1">
      <c r="B46" s="3312"/>
      <c r="C46" s="2947"/>
      <c r="D46" s="2947"/>
      <c r="E46" s="2947"/>
      <c r="F46" s="2947"/>
      <c r="G46" s="2947"/>
      <c r="H46" s="3609" t="str">
        <f>'3.Cropland'!O62</f>
        <v>Total (ha)</v>
      </c>
      <c r="I46" s="2947"/>
      <c r="J46" s="3565"/>
      <c r="K46" s="2947"/>
      <c r="L46" s="2947"/>
      <c r="M46" s="2947"/>
      <c r="N46" s="2947"/>
      <c r="O46" s="2947"/>
      <c r="P46" s="3939" t="str">
        <f>HLOOKUP(select,translations!$A$582:$H$625,30,)</f>
        <v>Annual quantity of feeds (tonnes per year)</v>
      </c>
      <c r="Q46" s="3939"/>
      <c r="R46" s="3939"/>
      <c r="S46" s="3939"/>
      <c r="T46" s="3939"/>
      <c r="U46" s="3939"/>
      <c r="V46" s="2947"/>
      <c r="W46" s="2947"/>
      <c r="X46" s="2947"/>
      <c r="Y46" s="2947"/>
      <c r="Z46" s="2947"/>
      <c r="AA46" s="2947"/>
      <c r="AB46" s="3427"/>
      <c r="AC46" s="3427"/>
      <c r="AD46" s="2946"/>
    </row>
    <row r="47" spans="2:30" s="1704" customFormat="1">
      <c r="B47" s="3312" t="str">
        <f>HLOOKUP(select,translations!$A$582:$H$625,29,)</f>
        <v>Emissions from feeds</v>
      </c>
      <c r="C47" s="2947"/>
      <c r="D47" s="2947"/>
      <c r="E47" s="2947"/>
      <c r="F47" s="2947"/>
      <c r="G47" s="2947"/>
      <c r="H47" s="2947"/>
      <c r="I47" s="2947"/>
      <c r="J47" s="2947"/>
      <c r="K47" s="2947"/>
      <c r="L47" s="2947"/>
      <c r="M47" s="2947"/>
      <c r="N47" s="2947"/>
      <c r="O47" s="2947"/>
      <c r="P47" s="3282" t="str">
        <f>P39</f>
        <v>Start</v>
      </c>
      <c r="Q47" s="3428"/>
      <c r="R47" s="3282" t="str">
        <f>R39</f>
        <v>Without</v>
      </c>
      <c r="S47" s="3282"/>
      <c r="T47" s="3282"/>
      <c r="U47" s="3282" t="str">
        <f>U39</f>
        <v>With</v>
      </c>
      <c r="V47" s="2947"/>
      <c r="W47" s="2947"/>
      <c r="X47" s="2947"/>
      <c r="Y47" s="2947"/>
      <c r="Z47" s="2947"/>
      <c r="AA47" s="2947"/>
      <c r="AB47" s="3425" t="str">
        <f>AB39</f>
        <v>Without</v>
      </c>
      <c r="AC47" s="3425" t="str">
        <f>AC39</f>
        <v>With</v>
      </c>
      <c r="AD47" s="2947"/>
    </row>
    <row r="48" spans="2:30" s="1704" customFormat="1">
      <c r="B48" s="2947"/>
      <c r="C48" s="2947" t="s">
        <v>6491</v>
      </c>
      <c r="D48" s="2947"/>
      <c r="E48" s="3296" t="s">
        <v>1595</v>
      </c>
      <c r="F48" s="3296"/>
      <c r="G48" s="3296"/>
      <c r="H48" s="2174"/>
      <c r="I48" s="2174"/>
      <c r="J48" s="2174"/>
      <c r="K48" s="2174"/>
      <c r="L48" s="2174"/>
      <c r="M48" s="2947"/>
      <c r="N48" s="2947"/>
      <c r="O48" s="2947"/>
      <c r="P48" s="3279">
        <v>0</v>
      </c>
      <c r="Q48" s="3423"/>
      <c r="R48" s="3279">
        <v>0</v>
      </c>
      <c r="S48" s="2113" t="s">
        <v>1498</v>
      </c>
      <c r="T48" s="3282"/>
      <c r="U48" s="3279">
        <v>0</v>
      </c>
      <c r="V48" s="2113" t="s">
        <v>1498</v>
      </c>
      <c r="W48" s="2947"/>
      <c r="X48" s="2947"/>
      <c r="Y48" s="2947"/>
      <c r="Z48" s="2947"/>
      <c r="AA48" s="2947"/>
      <c r="AB48" s="2952">
        <f>Fishery!H64</f>
        <v>0</v>
      </c>
      <c r="AC48" s="2952">
        <f>Fishery!I64</f>
        <v>0</v>
      </c>
      <c r="AD48" s="2952">
        <f t="shared" ref="AD48:AD52" si="3">AC48-AB48</f>
        <v>0</v>
      </c>
    </row>
    <row r="49" spans="2:30" s="1704" customFormat="1">
      <c r="B49" s="2947"/>
      <c r="C49" s="2947" t="s">
        <v>6492</v>
      </c>
      <c r="D49" s="2947"/>
      <c r="E49" s="3296" t="s">
        <v>1596</v>
      </c>
      <c r="F49" s="3296"/>
      <c r="G49" s="3296"/>
      <c r="H49" s="2174"/>
      <c r="I49" s="2174"/>
      <c r="J49" s="2174"/>
      <c r="K49" s="2174"/>
      <c r="L49" s="2174"/>
      <c r="M49" s="2947"/>
      <c r="N49" s="2947"/>
      <c r="O49" s="2947"/>
      <c r="P49" s="3279">
        <v>0</v>
      </c>
      <c r="Q49" s="3423"/>
      <c r="R49" s="3279">
        <v>0</v>
      </c>
      <c r="S49" s="2113" t="s">
        <v>1498</v>
      </c>
      <c r="T49" s="3282"/>
      <c r="U49" s="3279">
        <v>0</v>
      </c>
      <c r="V49" s="2113" t="s">
        <v>1498</v>
      </c>
      <c r="W49" s="2947"/>
      <c r="X49" s="2947"/>
      <c r="Y49" s="2947"/>
      <c r="Z49" s="2947"/>
      <c r="AA49" s="2947"/>
      <c r="AB49" s="2952">
        <f>Fishery!H65</f>
        <v>0</v>
      </c>
      <c r="AC49" s="2952">
        <f>Fishery!I65</f>
        <v>0</v>
      </c>
      <c r="AD49" s="2952">
        <f t="shared" si="3"/>
        <v>0</v>
      </c>
    </row>
    <row r="50" spans="2:30" s="1704" customFormat="1">
      <c r="B50" s="2947"/>
      <c r="C50" s="2947" t="s">
        <v>6493</v>
      </c>
      <c r="D50" s="2947"/>
      <c r="E50" s="3296" t="s">
        <v>1597</v>
      </c>
      <c r="F50" s="3296"/>
      <c r="G50" s="3296"/>
      <c r="H50" s="2174"/>
      <c r="I50" s="2174"/>
      <c r="J50" s="2174"/>
      <c r="K50" s="2174"/>
      <c r="L50" s="2174"/>
      <c r="M50" s="2947"/>
      <c r="N50" s="2947"/>
      <c r="O50" s="2947"/>
      <c r="P50" s="3279">
        <v>0</v>
      </c>
      <c r="Q50" s="3423"/>
      <c r="R50" s="3279">
        <v>0</v>
      </c>
      <c r="S50" s="2113" t="s">
        <v>1498</v>
      </c>
      <c r="T50" s="3282"/>
      <c r="U50" s="3279">
        <v>0</v>
      </c>
      <c r="V50" s="2113" t="s">
        <v>1498</v>
      </c>
      <c r="W50" s="2947"/>
      <c r="X50" s="2947"/>
      <c r="Y50" s="2947"/>
      <c r="Z50" s="2947"/>
      <c r="AA50" s="2947"/>
      <c r="AB50" s="2952">
        <f>Fishery!H66</f>
        <v>0</v>
      </c>
      <c r="AC50" s="2952">
        <f>Fishery!I66</f>
        <v>0</v>
      </c>
      <c r="AD50" s="2952">
        <f t="shared" si="3"/>
        <v>0</v>
      </c>
    </row>
    <row r="51" spans="2:30" s="1704" customFormat="1">
      <c r="B51" s="2947"/>
      <c r="C51" s="2947" t="s">
        <v>6494</v>
      </c>
      <c r="D51" s="2947"/>
      <c r="E51" s="3296" t="s">
        <v>1598</v>
      </c>
      <c r="F51" s="3296"/>
      <c r="G51" s="3296"/>
      <c r="H51" s="2174"/>
      <c r="I51" s="2174"/>
      <c r="J51" s="2174"/>
      <c r="K51" s="2174"/>
      <c r="L51" s="2174"/>
      <c r="M51" s="2947"/>
      <c r="N51" s="2947"/>
      <c r="O51" s="2947"/>
      <c r="P51" s="3279">
        <v>0</v>
      </c>
      <c r="Q51" s="3423"/>
      <c r="R51" s="3279">
        <v>0</v>
      </c>
      <c r="S51" s="2113" t="s">
        <v>1498</v>
      </c>
      <c r="T51" s="3282"/>
      <c r="U51" s="3279">
        <v>0</v>
      </c>
      <c r="V51" s="2113" t="s">
        <v>1498</v>
      </c>
      <c r="W51" s="2947"/>
      <c r="X51" s="2947"/>
      <c r="Y51" s="2947"/>
      <c r="Z51" s="2947"/>
      <c r="AA51" s="2947"/>
      <c r="AB51" s="2952">
        <f>Fishery!H67</f>
        <v>0</v>
      </c>
      <c r="AC51" s="2952">
        <f>Fishery!I67</f>
        <v>0</v>
      </c>
      <c r="AD51" s="2952">
        <f t="shared" si="3"/>
        <v>0</v>
      </c>
    </row>
    <row r="52" spans="2:30" s="1704" customFormat="1">
      <c r="B52" s="2947"/>
      <c r="C52" s="2947" t="s">
        <v>6495</v>
      </c>
      <c r="D52" s="2947"/>
      <c r="E52" s="3296" t="s">
        <v>1508</v>
      </c>
      <c r="F52" s="3296"/>
      <c r="G52" s="3296"/>
      <c r="H52" s="2174"/>
      <c r="I52" s="2174"/>
      <c r="J52" s="2174"/>
      <c r="K52" s="2174"/>
      <c r="L52" s="2174"/>
      <c r="M52" s="2947"/>
      <c r="N52" s="2947"/>
      <c r="O52" s="2947"/>
      <c r="P52" s="3279">
        <v>0</v>
      </c>
      <c r="Q52" s="3423"/>
      <c r="R52" s="3279">
        <v>0</v>
      </c>
      <c r="S52" s="2113" t="s">
        <v>1498</v>
      </c>
      <c r="T52" s="3282"/>
      <c r="U52" s="3279">
        <v>0</v>
      </c>
      <c r="V52" s="2113" t="s">
        <v>1498</v>
      </c>
      <c r="W52" s="2947"/>
      <c r="X52" s="2947"/>
      <c r="Y52" s="2947"/>
      <c r="Z52" s="2947"/>
      <c r="AA52" s="2947"/>
      <c r="AB52" s="2952">
        <f>Fishery!H68</f>
        <v>0</v>
      </c>
      <c r="AC52" s="2952">
        <f>Fishery!I68</f>
        <v>0</v>
      </c>
      <c r="AD52" s="2952">
        <f t="shared" si="3"/>
        <v>0</v>
      </c>
    </row>
    <row r="53" spans="2:30" s="1704" customFormat="1">
      <c r="B53" s="2947"/>
      <c r="C53" s="2947"/>
      <c r="D53" s="2947"/>
      <c r="E53" s="2947"/>
      <c r="F53" s="2947"/>
      <c r="G53" s="2947"/>
      <c r="H53" s="2947"/>
      <c r="I53" s="2947"/>
      <c r="J53" s="2947"/>
      <c r="K53" s="2947"/>
      <c r="L53" s="2947"/>
      <c r="M53" s="2947"/>
      <c r="N53" s="2947"/>
      <c r="O53" s="2947"/>
      <c r="P53" s="2947"/>
      <c r="Q53" s="2947"/>
      <c r="R53" s="2947"/>
      <c r="S53" s="2947"/>
      <c r="T53" s="2947"/>
      <c r="U53" s="2947"/>
      <c r="V53" s="2947"/>
      <c r="W53" s="2947"/>
      <c r="X53" s="2947"/>
      <c r="Y53" s="2947"/>
      <c r="Z53" s="2947"/>
      <c r="AA53" s="2947"/>
      <c r="AB53" s="2947"/>
      <c r="AC53" s="2947"/>
      <c r="AD53" s="2947"/>
    </row>
    <row r="54" spans="2:30" s="1704" customFormat="1">
      <c r="E54" s="1709"/>
      <c r="F54" s="3424"/>
      <c r="G54" s="3424"/>
      <c r="H54" s="1709"/>
      <c r="L54" s="1709"/>
      <c r="M54" s="1709"/>
      <c r="N54" s="1709"/>
      <c r="O54" s="1709"/>
      <c r="P54" s="1709"/>
      <c r="Q54" s="3424"/>
      <c r="R54" s="1709"/>
      <c r="S54" s="1709"/>
      <c r="T54" s="1709"/>
      <c r="U54" s="1709"/>
      <c r="V54" s="1709"/>
      <c r="W54" s="1709"/>
      <c r="X54" s="1709"/>
      <c r="Y54" s="3424"/>
      <c r="Z54" s="1709"/>
      <c r="AA54" s="3424"/>
      <c r="AB54" s="3424"/>
      <c r="AC54" s="3424"/>
    </row>
    <row r="55" spans="2:30" s="1704" customFormat="1">
      <c r="E55" s="1709"/>
      <c r="F55" s="3424"/>
      <c r="G55" s="3424"/>
      <c r="H55" s="1709"/>
      <c r="L55" s="1709"/>
      <c r="M55" s="1709"/>
      <c r="N55" s="1709"/>
      <c r="O55" s="1709"/>
      <c r="P55" s="1709"/>
      <c r="Q55" s="3424"/>
      <c r="R55" s="1709"/>
      <c r="S55" s="1709"/>
      <c r="T55" s="1709"/>
      <c r="U55" s="3272"/>
      <c r="V55" s="3076"/>
      <c r="W55" s="3076"/>
      <c r="X55" s="3076"/>
      <c r="Y55" s="3076"/>
      <c r="Z55" s="3076"/>
      <c r="AA55" s="3077" t="str">
        <f>HLOOKUP(select,translations!$A$582:$H$625,31,)</f>
        <v>Total aquaculture</v>
      </c>
      <c r="AB55" s="3078">
        <f>SUM(AB40:AB52)</f>
        <v>0</v>
      </c>
      <c r="AC55" s="3078">
        <f>SUM(AC40:AC52)</f>
        <v>0</v>
      </c>
      <c r="AD55" s="3078">
        <f>SUM(AD40:AD52)</f>
        <v>0</v>
      </c>
    </row>
    <row r="56" spans="2:30" s="1704" customFormat="1">
      <c r="E56" s="1709"/>
      <c r="F56" s="3424"/>
      <c r="G56" s="3424"/>
      <c r="H56" s="1709"/>
      <c r="L56" s="1709"/>
      <c r="M56" s="1709"/>
      <c r="N56" s="1709"/>
      <c r="O56" s="1709"/>
      <c r="P56" s="1709"/>
      <c r="Q56" s="3424"/>
      <c r="R56" s="1709"/>
      <c r="S56" s="1709"/>
      <c r="T56" s="1709"/>
      <c r="U56" s="1709"/>
      <c r="V56" s="1709"/>
      <c r="W56" s="1709"/>
      <c r="X56" s="1709"/>
      <c r="Y56" s="1709"/>
      <c r="Z56" s="1709"/>
      <c r="AA56" s="1709"/>
      <c r="AB56" s="1709"/>
    </row>
    <row r="57" spans="2:30" s="1704" customFormat="1">
      <c r="E57" s="1709"/>
      <c r="F57" s="3424"/>
      <c r="G57" s="3424"/>
      <c r="H57" s="1709"/>
      <c r="L57" s="1709"/>
      <c r="M57" s="1709"/>
      <c r="N57" s="1709"/>
      <c r="O57" s="1709"/>
      <c r="P57" s="1709"/>
      <c r="Q57" s="3424"/>
      <c r="R57" s="1709"/>
      <c r="S57" s="1709"/>
      <c r="T57" s="1709"/>
      <c r="U57" s="1709"/>
      <c r="V57" s="1709"/>
      <c r="W57" s="1709"/>
      <c r="X57" s="1709"/>
      <c r="Y57" s="1709"/>
      <c r="Z57" s="1709"/>
      <c r="AA57" s="1709"/>
      <c r="AB57" s="1709"/>
    </row>
    <row r="58" spans="2:30" s="1704" customFormat="1">
      <c r="E58" s="1709"/>
      <c r="F58" s="3424"/>
      <c r="G58" s="3424"/>
      <c r="H58" s="1709"/>
      <c r="L58" s="1709"/>
      <c r="M58" s="1709"/>
      <c r="N58" s="1709"/>
      <c r="O58" s="1709"/>
      <c r="P58" s="1709"/>
      <c r="Q58" s="3424"/>
      <c r="R58" s="1709"/>
      <c r="S58" s="1709"/>
      <c r="T58" s="1709"/>
      <c r="U58" s="1709"/>
      <c r="V58" s="1709"/>
      <c r="W58" s="1709"/>
      <c r="X58" s="1709"/>
      <c r="Y58" s="1709"/>
      <c r="Z58" s="1709"/>
      <c r="AA58" s="1709"/>
      <c r="AB58" s="1709"/>
    </row>
    <row r="59" spans="2:30" s="1704" customFormat="1">
      <c r="E59" s="1709"/>
      <c r="F59" s="3424"/>
      <c r="G59" s="3424"/>
      <c r="H59" s="1709"/>
      <c r="L59" s="1709"/>
      <c r="M59" s="1709"/>
      <c r="N59" s="1709"/>
      <c r="O59" s="1709"/>
      <c r="P59" s="1709"/>
      <c r="Q59" s="3424"/>
      <c r="R59" s="1709"/>
      <c r="S59" s="1709"/>
      <c r="T59" s="1709"/>
      <c r="U59" s="1709"/>
      <c r="V59" s="1709"/>
      <c r="W59" s="1709"/>
      <c r="X59" s="1709"/>
      <c r="Y59" s="1709"/>
      <c r="Z59" s="1709"/>
      <c r="AA59" s="1709"/>
      <c r="AB59" s="1709"/>
    </row>
    <row r="60" spans="2:30" s="1704" customFormat="1">
      <c r="E60" s="1709"/>
      <c r="F60" s="3424"/>
      <c r="G60" s="3424"/>
      <c r="H60" s="1709"/>
      <c r="L60" s="1709"/>
      <c r="M60" s="1709"/>
      <c r="N60" s="1709"/>
      <c r="O60" s="1709"/>
      <c r="P60" s="1709"/>
      <c r="Q60" s="3424"/>
      <c r="R60" s="1709"/>
      <c r="S60" s="1709"/>
      <c r="T60" s="1709"/>
      <c r="U60" s="1709"/>
      <c r="V60" s="1709"/>
      <c r="W60" s="1709"/>
      <c r="X60" s="1709"/>
      <c r="Y60" s="1709"/>
      <c r="Z60" s="1709"/>
      <c r="AA60" s="1709"/>
      <c r="AB60" s="1709"/>
    </row>
    <row r="61" spans="2:30" s="1704" customFormat="1">
      <c r="E61" s="1709"/>
      <c r="F61" s="3424"/>
      <c r="G61" s="3424"/>
      <c r="H61" s="1709"/>
      <c r="L61" s="1709"/>
      <c r="M61" s="1709"/>
      <c r="N61" s="1709"/>
      <c r="O61" s="1709"/>
      <c r="P61" s="1709"/>
      <c r="Q61" s="3424"/>
      <c r="R61" s="1709"/>
      <c r="S61" s="1709"/>
      <c r="T61" s="1709"/>
      <c r="U61" s="1709"/>
      <c r="V61" s="1709"/>
      <c r="W61" s="1709"/>
      <c r="X61" s="1709"/>
      <c r="Y61" s="1709"/>
      <c r="Z61" s="1709"/>
      <c r="AA61" s="1709"/>
      <c r="AB61" s="1709"/>
    </row>
    <row r="62" spans="2:30" s="1704" customFormat="1">
      <c r="E62" s="1709"/>
      <c r="F62" s="3424"/>
      <c r="G62" s="3424"/>
      <c r="H62" s="1709"/>
      <c r="L62" s="1709"/>
      <c r="M62" s="1709"/>
      <c r="N62" s="1709"/>
      <c r="O62" s="1709"/>
      <c r="P62" s="1709"/>
      <c r="Q62" s="3424"/>
      <c r="R62" s="1709"/>
      <c r="S62" s="1709"/>
      <c r="T62" s="1709"/>
      <c r="U62" s="1709"/>
      <c r="V62" s="1709"/>
      <c r="W62" s="1709"/>
      <c r="X62" s="1709"/>
      <c r="Y62" s="1709"/>
      <c r="Z62" s="1709"/>
      <c r="AA62" s="1709"/>
      <c r="AB62" s="1709"/>
    </row>
    <row r="63" spans="2:30" s="1704" customFormat="1">
      <c r="E63" s="1709"/>
      <c r="F63" s="3424"/>
      <c r="G63" s="3424"/>
      <c r="H63" s="1709"/>
      <c r="L63" s="1709"/>
      <c r="M63" s="1709"/>
      <c r="N63" s="1709"/>
      <c r="O63" s="1709"/>
      <c r="P63" s="1709"/>
      <c r="Q63" s="3424"/>
      <c r="R63" s="1709"/>
      <c r="S63" s="1709"/>
      <c r="T63" s="1709"/>
      <c r="U63" s="1709"/>
      <c r="V63" s="1709"/>
      <c r="W63" s="1709"/>
      <c r="X63" s="1709"/>
      <c r="Y63" s="1709"/>
      <c r="Z63" s="1709"/>
      <c r="AA63" s="1709"/>
      <c r="AB63" s="1709"/>
    </row>
    <row r="64" spans="2:30" s="1704" customFormat="1">
      <c r="E64" s="1709"/>
      <c r="F64" s="3424"/>
      <c r="G64" s="3424"/>
      <c r="H64" s="1709"/>
      <c r="L64" s="1709"/>
      <c r="M64" s="1709"/>
      <c r="N64" s="1709"/>
      <c r="O64" s="1709"/>
      <c r="P64" s="1709"/>
      <c r="Q64" s="3424"/>
      <c r="R64" s="1709"/>
      <c r="S64" s="1709"/>
      <c r="T64" s="1709"/>
      <c r="U64" s="1709"/>
      <c r="V64" s="1709"/>
      <c r="W64" s="1709"/>
      <c r="X64" s="1709"/>
      <c r="Y64" s="1709"/>
      <c r="Z64" s="1709"/>
      <c r="AA64" s="1709"/>
      <c r="AB64" s="1709"/>
    </row>
    <row r="65" spans="5:28" s="1704" customFormat="1">
      <c r="E65" s="1709"/>
      <c r="F65" s="3424"/>
      <c r="G65" s="3424"/>
      <c r="H65" s="1709"/>
      <c r="L65" s="1709"/>
      <c r="M65" s="1709"/>
      <c r="N65" s="1709"/>
      <c r="O65" s="1709"/>
      <c r="P65" s="1709"/>
      <c r="Q65" s="3424"/>
      <c r="R65" s="1709"/>
      <c r="S65" s="1709"/>
      <c r="T65" s="1709"/>
      <c r="U65" s="1709"/>
      <c r="V65" s="1709"/>
      <c r="W65" s="1709"/>
      <c r="X65" s="1709"/>
      <c r="Y65" s="1709"/>
      <c r="Z65" s="1709"/>
      <c r="AA65" s="1709"/>
      <c r="AB65" s="1709"/>
    </row>
    <row r="66" spans="5:28" s="1704" customFormat="1">
      <c r="E66" s="1709"/>
      <c r="F66" s="3424"/>
      <c r="G66" s="3424"/>
      <c r="H66" s="1709"/>
      <c r="L66" s="1709"/>
      <c r="M66" s="1709"/>
      <c r="N66" s="1709"/>
      <c r="O66" s="1709"/>
      <c r="P66" s="1709"/>
      <c r="Q66" s="3424"/>
      <c r="R66" s="1709"/>
      <c r="S66" s="1709"/>
      <c r="T66" s="1709"/>
      <c r="U66" s="1709"/>
      <c r="V66" s="1709"/>
      <c r="W66" s="1709"/>
      <c r="X66" s="1709"/>
      <c r="Y66" s="1709"/>
      <c r="Z66" s="1709"/>
      <c r="AA66" s="1709"/>
      <c r="AB66" s="1709"/>
    </row>
    <row r="67" spans="5:28" s="1704" customFormat="1">
      <c r="E67" s="1709"/>
      <c r="F67" s="3424"/>
      <c r="G67" s="3424"/>
      <c r="H67" s="1709"/>
      <c r="L67" s="1709"/>
      <c r="M67" s="1709"/>
      <c r="N67" s="1709"/>
      <c r="O67" s="1709"/>
      <c r="P67" s="1709"/>
      <c r="Q67" s="3424"/>
      <c r="R67" s="1709"/>
      <c r="S67" s="1709"/>
      <c r="T67" s="1709"/>
      <c r="U67" s="1709"/>
      <c r="V67" s="1709"/>
      <c r="W67" s="1709"/>
      <c r="X67" s="1709"/>
      <c r="Y67" s="1709"/>
      <c r="Z67" s="1709"/>
      <c r="AA67" s="1709"/>
      <c r="AB67" s="1709"/>
    </row>
    <row r="68" spans="5:28" s="1704" customFormat="1">
      <c r="E68" s="1709"/>
      <c r="F68" s="3424"/>
      <c r="G68" s="3424"/>
      <c r="H68" s="1709"/>
      <c r="L68" s="1709"/>
      <c r="M68" s="1709"/>
      <c r="N68" s="1709"/>
      <c r="O68" s="1709"/>
      <c r="P68" s="1709"/>
      <c r="Q68" s="3424"/>
      <c r="R68" s="1709"/>
      <c r="S68" s="1709"/>
      <c r="T68" s="1709"/>
      <c r="U68" s="1709"/>
      <c r="V68" s="1709"/>
      <c r="W68" s="1709"/>
      <c r="X68" s="1709"/>
      <c r="Y68" s="1709"/>
      <c r="Z68" s="1709"/>
      <c r="AA68" s="1709"/>
      <c r="AB68" s="1709"/>
    </row>
    <row r="69" spans="5:28" s="1704" customFormat="1">
      <c r="E69" s="1709"/>
      <c r="F69" s="3424"/>
      <c r="G69" s="3424"/>
      <c r="H69" s="1709"/>
      <c r="L69" s="1709"/>
      <c r="M69" s="1709"/>
      <c r="N69" s="1709"/>
      <c r="O69" s="1709"/>
      <c r="P69" s="1709"/>
      <c r="Q69" s="3424"/>
      <c r="R69" s="1709"/>
      <c r="S69" s="1709"/>
      <c r="T69" s="1709"/>
      <c r="U69" s="1709"/>
      <c r="V69" s="1709"/>
      <c r="W69" s="1709"/>
      <c r="X69" s="1709"/>
      <c r="Y69" s="1709"/>
      <c r="Z69" s="1709"/>
      <c r="AA69" s="1709"/>
      <c r="AB69" s="1709"/>
    </row>
    <row r="70" spans="5:28" s="1704" customFormat="1">
      <c r="E70" s="1709"/>
      <c r="F70" s="3424"/>
      <c r="G70" s="3424"/>
      <c r="H70" s="1709"/>
      <c r="L70" s="1709"/>
      <c r="M70" s="1709"/>
      <c r="N70" s="1709"/>
      <c r="O70" s="1709"/>
      <c r="P70" s="1709"/>
      <c r="Q70" s="3424"/>
      <c r="R70" s="1709"/>
      <c r="S70" s="1709"/>
      <c r="T70" s="1709"/>
      <c r="U70" s="1709"/>
      <c r="V70" s="1709"/>
      <c r="W70" s="1709"/>
      <c r="X70" s="1709"/>
      <c r="Y70" s="1709"/>
      <c r="Z70" s="1709"/>
      <c r="AA70" s="1709"/>
      <c r="AB70" s="1709"/>
    </row>
    <row r="71" spans="5:28" s="1704" customFormat="1">
      <c r="E71" s="1709"/>
      <c r="F71" s="3424"/>
      <c r="G71" s="3424"/>
      <c r="H71" s="1709"/>
      <c r="L71" s="1709"/>
      <c r="M71" s="1709"/>
      <c r="N71" s="1709"/>
      <c r="O71" s="1709"/>
      <c r="P71" s="1709"/>
      <c r="Q71" s="3424"/>
      <c r="R71" s="1709"/>
      <c r="S71" s="1709"/>
      <c r="T71" s="1709"/>
      <c r="U71" s="1709"/>
      <c r="V71" s="1709"/>
      <c r="W71" s="1709"/>
      <c r="X71" s="1709"/>
      <c r="Y71" s="1709"/>
      <c r="Z71" s="1709"/>
      <c r="AA71" s="1709"/>
      <c r="AB71" s="1709"/>
    </row>
    <row r="72" spans="5:28" s="1704" customFormat="1">
      <c r="E72" s="1709"/>
      <c r="F72" s="3424"/>
      <c r="G72" s="3424"/>
      <c r="H72" s="1709"/>
      <c r="L72" s="1709"/>
      <c r="M72" s="1709"/>
      <c r="N72" s="1709"/>
      <c r="O72" s="1709"/>
      <c r="P72" s="1709"/>
      <c r="Q72" s="3424"/>
      <c r="R72" s="1709"/>
      <c r="S72" s="1709"/>
      <c r="T72" s="1709"/>
      <c r="U72" s="1709"/>
      <c r="V72" s="1709"/>
      <c r="W72" s="1709"/>
      <c r="X72" s="1709"/>
      <c r="Y72" s="1709"/>
      <c r="Z72" s="1709"/>
      <c r="AA72" s="1709"/>
      <c r="AB72" s="1709"/>
    </row>
    <row r="73" spans="5:28" s="1704" customFormat="1">
      <c r="E73" s="1709"/>
      <c r="F73" s="3424"/>
      <c r="G73" s="3424"/>
      <c r="H73" s="1709"/>
      <c r="L73" s="1709"/>
      <c r="M73" s="1709"/>
      <c r="N73" s="1709"/>
      <c r="O73" s="1709"/>
      <c r="P73" s="1709"/>
      <c r="Q73" s="3424"/>
      <c r="R73" s="1709"/>
      <c r="S73" s="1709"/>
      <c r="T73" s="1709"/>
      <c r="U73" s="1709"/>
      <c r="V73" s="1709"/>
      <c r="W73" s="1709"/>
      <c r="X73" s="1709"/>
      <c r="Y73" s="1709"/>
      <c r="Z73" s="1709"/>
      <c r="AA73" s="1709"/>
      <c r="AB73" s="1709"/>
    </row>
    <row r="74" spans="5:28" s="1704" customFormat="1">
      <c r="E74" s="1709"/>
      <c r="F74" s="3424"/>
      <c r="G74" s="3424"/>
      <c r="H74" s="1709"/>
      <c r="L74" s="1709"/>
      <c r="M74" s="1709"/>
      <c r="N74" s="1709"/>
      <c r="O74" s="1709"/>
      <c r="P74" s="1709"/>
      <c r="Q74" s="3424"/>
      <c r="R74" s="1709"/>
      <c r="S74" s="1709"/>
      <c r="T74" s="1709"/>
      <c r="U74" s="1709"/>
      <c r="V74" s="1709"/>
      <c r="W74" s="1709"/>
      <c r="X74" s="1709"/>
      <c r="Y74" s="1709"/>
      <c r="Z74" s="1709"/>
      <c r="AA74" s="1709"/>
      <c r="AB74" s="1709"/>
    </row>
    <row r="75" spans="5:28" s="1704" customFormat="1">
      <c r="E75" s="1709"/>
      <c r="F75" s="3424"/>
      <c r="G75" s="3424"/>
      <c r="H75" s="1709"/>
      <c r="L75" s="1709"/>
      <c r="M75" s="1709"/>
      <c r="N75" s="1709"/>
      <c r="O75" s="1709"/>
      <c r="P75" s="1709"/>
      <c r="Q75" s="3424"/>
      <c r="R75" s="1709"/>
      <c r="S75" s="1709"/>
      <c r="T75" s="1709"/>
      <c r="U75" s="1709"/>
      <c r="V75" s="1709"/>
      <c r="W75" s="1709"/>
      <c r="X75" s="1709"/>
      <c r="Y75" s="1709"/>
      <c r="Z75" s="1709"/>
      <c r="AA75" s="1709"/>
      <c r="AB75" s="1709"/>
    </row>
    <row r="76" spans="5:28" s="1704" customFormat="1">
      <c r="E76" s="1709"/>
      <c r="F76" s="3424"/>
      <c r="G76" s="3424"/>
      <c r="H76" s="1709"/>
      <c r="L76" s="1709"/>
      <c r="M76" s="1709"/>
      <c r="N76" s="1709"/>
      <c r="O76" s="1709"/>
      <c r="P76" s="1709"/>
      <c r="Q76" s="3424"/>
      <c r="R76" s="1709"/>
      <c r="S76" s="1709"/>
      <c r="T76" s="1709"/>
      <c r="U76" s="1709"/>
      <c r="V76" s="1709"/>
      <c r="W76" s="1709"/>
      <c r="X76" s="1709"/>
      <c r="Y76" s="1709"/>
      <c r="Z76" s="1709"/>
      <c r="AA76" s="1709"/>
      <c r="AB76" s="1709"/>
    </row>
    <row r="77" spans="5:28" s="1704" customFormat="1">
      <c r="E77" s="1709"/>
      <c r="F77" s="3424"/>
      <c r="G77" s="3424"/>
      <c r="H77" s="1709"/>
      <c r="L77" s="1709"/>
      <c r="M77" s="1709"/>
      <c r="N77" s="1709"/>
      <c r="O77" s="1709"/>
      <c r="P77" s="1709"/>
      <c r="Q77" s="3424"/>
      <c r="R77" s="1709"/>
      <c r="S77" s="1709"/>
      <c r="T77" s="1709"/>
      <c r="U77" s="1709"/>
      <c r="V77" s="1709"/>
      <c r="W77" s="1709"/>
      <c r="X77" s="1709"/>
      <c r="Y77" s="1709"/>
      <c r="Z77" s="1709"/>
      <c r="AA77" s="1709"/>
      <c r="AB77" s="1709"/>
    </row>
    <row r="78" spans="5:28" s="1704" customFormat="1">
      <c r="E78" s="1709"/>
      <c r="F78" s="3424"/>
      <c r="G78" s="3424"/>
      <c r="H78" s="1709"/>
      <c r="L78" s="1709"/>
      <c r="M78" s="1709"/>
      <c r="N78" s="1709"/>
      <c r="O78" s="1709"/>
      <c r="P78" s="1709"/>
      <c r="Q78" s="3424"/>
      <c r="R78" s="1709"/>
      <c r="S78" s="1709"/>
      <c r="T78" s="1709"/>
      <c r="U78" s="1709"/>
      <c r="V78" s="1709"/>
      <c r="W78" s="1709"/>
      <c r="X78" s="1709"/>
      <c r="Y78" s="1709"/>
      <c r="Z78" s="1709"/>
      <c r="AA78" s="1709"/>
      <c r="AB78" s="1709"/>
    </row>
    <row r="79" spans="5:28" s="1704" customFormat="1">
      <c r="E79" s="1709"/>
      <c r="F79" s="3424"/>
      <c r="G79" s="3424"/>
      <c r="H79" s="1709"/>
      <c r="L79" s="1709"/>
      <c r="M79" s="1709"/>
      <c r="N79" s="1709"/>
      <c r="O79" s="1709"/>
      <c r="P79" s="1709"/>
      <c r="Q79" s="3424"/>
      <c r="R79" s="1709"/>
      <c r="S79" s="1709"/>
      <c r="T79" s="1709"/>
      <c r="U79" s="1709"/>
      <c r="V79" s="1709"/>
      <c r="W79" s="1709"/>
      <c r="X79" s="1709"/>
      <c r="Y79" s="1709"/>
      <c r="Z79" s="1709"/>
      <c r="AA79" s="1709"/>
      <c r="AB79" s="1709"/>
    </row>
    <row r="80" spans="5:28" s="1704" customFormat="1">
      <c r="E80" s="1709"/>
      <c r="F80" s="3424"/>
      <c r="G80" s="3424"/>
      <c r="H80" s="1709"/>
      <c r="L80" s="1709"/>
      <c r="M80" s="1709"/>
      <c r="N80" s="1709"/>
      <c r="O80" s="1709"/>
      <c r="P80" s="1709"/>
      <c r="Q80" s="3424"/>
      <c r="R80" s="1709"/>
      <c r="S80" s="1709"/>
      <c r="T80" s="1709"/>
      <c r="U80" s="1709"/>
      <c r="V80" s="1709"/>
      <c r="W80" s="1709"/>
      <c r="X80" s="1709"/>
      <c r="Y80" s="1709"/>
      <c r="Z80" s="1709"/>
      <c r="AA80" s="1709"/>
      <c r="AB80" s="1709"/>
    </row>
    <row r="81" spans="2:32" s="1704" customFormat="1" ht="15.75">
      <c r="B81" s="2921" t="str">
        <f>B7</f>
        <v>8.1. Fisheries</v>
      </c>
      <c r="C81" s="2921"/>
      <c r="D81" s="2922"/>
      <c r="E81" s="2922"/>
      <c r="F81" s="2922"/>
      <c r="G81" s="2922"/>
      <c r="H81" s="2922"/>
      <c r="I81" s="2922"/>
      <c r="J81" s="2922"/>
      <c r="K81" s="2922"/>
      <c r="L81" s="2922"/>
      <c r="M81" s="2922"/>
      <c r="N81" s="2922"/>
      <c r="O81" s="2922"/>
      <c r="P81" s="2922"/>
      <c r="Q81" s="2922"/>
      <c r="R81" s="2922"/>
      <c r="S81" s="2922"/>
      <c r="T81" s="2922"/>
      <c r="U81" s="2922"/>
      <c r="V81" s="2922"/>
      <c r="W81" s="2922"/>
      <c r="X81" s="2922"/>
      <c r="Y81" s="2922"/>
      <c r="Z81" s="2922"/>
      <c r="AA81" s="2922"/>
      <c r="AB81" s="2922"/>
      <c r="AC81" s="2922"/>
      <c r="AD81" s="2922"/>
      <c r="AE81" s="2922"/>
      <c r="AF81" s="2922"/>
    </row>
    <row r="82" spans="2:32" s="1704" customFormat="1">
      <c r="E82" s="1709"/>
      <c r="F82" s="3424"/>
      <c r="G82" s="3424"/>
      <c r="H82" s="1709"/>
      <c r="L82" s="1709"/>
      <c r="M82" s="1709"/>
      <c r="N82" s="1709"/>
      <c r="O82" s="1709"/>
      <c r="P82" s="1709"/>
      <c r="Q82" s="3424"/>
      <c r="R82" s="1709"/>
      <c r="S82" s="1709"/>
      <c r="T82" s="1709"/>
      <c r="U82" s="1709"/>
      <c r="V82" s="1709"/>
      <c r="W82" s="1709"/>
      <c r="X82" s="1709"/>
      <c r="Y82" s="1709"/>
      <c r="Z82" s="1709"/>
      <c r="AA82" s="1709"/>
      <c r="AB82" s="1709"/>
    </row>
    <row r="83" spans="2:32" s="1704" customFormat="1">
      <c r="B83" s="3075"/>
      <c r="C83" s="3075"/>
      <c r="D83" s="3075"/>
      <c r="E83" s="3075"/>
      <c r="F83" s="3075"/>
      <c r="G83" s="3075"/>
      <c r="H83" s="2946"/>
      <c r="I83" s="2946"/>
      <c r="J83" s="2946"/>
      <c r="K83" s="2946"/>
      <c r="L83" s="2946"/>
      <c r="M83" s="2946"/>
      <c r="N83" s="2946"/>
      <c r="O83" s="2946"/>
      <c r="P83" s="2946"/>
      <c r="Q83" s="2946"/>
      <c r="R83" s="2946"/>
      <c r="S83" s="2946"/>
      <c r="T83" s="2946"/>
      <c r="U83" s="2946"/>
      <c r="V83" s="2946"/>
      <c r="W83" s="2946"/>
      <c r="X83" s="2946"/>
      <c r="Y83" s="2946"/>
      <c r="Z83" s="2946"/>
      <c r="AA83" s="2946"/>
      <c r="AB83" s="2946"/>
      <c r="AC83" s="2946"/>
      <c r="AD83" s="2946"/>
      <c r="AE83" s="2946"/>
      <c r="AF83" s="2946"/>
    </row>
    <row r="84" spans="2:32" s="1704" customFormat="1">
      <c r="B84" s="3075"/>
      <c r="C84" s="3075"/>
      <c r="D84" s="3075"/>
      <c r="E84" s="3075"/>
      <c r="F84" s="3075"/>
      <c r="G84" s="3075"/>
      <c r="H84" s="2946"/>
      <c r="I84" s="2946"/>
      <c r="J84" s="2946"/>
      <c r="K84" s="2946"/>
      <c r="L84" s="2946"/>
      <c r="M84" s="2946"/>
      <c r="N84" s="2946"/>
      <c r="O84" s="2946"/>
      <c r="P84" s="2946"/>
      <c r="Q84" s="2946"/>
      <c r="R84" s="2946"/>
      <c r="S84" s="2946"/>
      <c r="T84" s="2946"/>
      <c r="U84" s="2946"/>
      <c r="V84" s="2946"/>
      <c r="W84" s="2946"/>
      <c r="X84" s="2946"/>
      <c r="Y84" s="2946"/>
      <c r="Z84" s="2946"/>
      <c r="AA84" s="2946"/>
      <c r="AB84" s="2946"/>
      <c r="AC84" s="2946"/>
      <c r="AD84" s="2946"/>
      <c r="AE84" s="2946"/>
      <c r="AF84" s="2946"/>
    </row>
    <row r="85" spans="2:32" s="1704" customFormat="1">
      <c r="B85" s="3075"/>
      <c r="C85" s="3075"/>
      <c r="D85" s="3075"/>
      <c r="E85" s="3075"/>
      <c r="F85" s="3075"/>
      <c r="G85" s="3075"/>
      <c r="H85" s="2946"/>
      <c r="I85" s="2946"/>
      <c r="J85" s="2946"/>
      <c r="K85" s="2946"/>
      <c r="L85" s="2946"/>
      <c r="M85" s="2946"/>
      <c r="N85" s="2946"/>
      <c r="O85" s="2946"/>
      <c r="P85" s="2946"/>
      <c r="Q85" s="2946"/>
      <c r="R85" s="2946"/>
      <c r="S85" s="2946"/>
      <c r="T85" s="2946"/>
      <c r="U85" s="2946"/>
      <c r="V85" s="2946"/>
      <c r="W85" s="2946"/>
      <c r="X85" s="2946"/>
      <c r="Y85" s="2946"/>
      <c r="Z85" s="2946"/>
      <c r="AA85" s="2946"/>
      <c r="AB85" s="2946"/>
      <c r="AC85" s="2946"/>
      <c r="AD85" s="2946"/>
      <c r="AE85" s="2946"/>
      <c r="AF85" s="2946"/>
    </row>
    <row r="86" spans="2:32" s="1704" customFormat="1">
      <c r="B86" s="3312" t="str">
        <f>'7. Inputs'!C130</f>
        <v>Use this part only if you want to refine the analysis with Tier 2 coefficients.</v>
      </c>
      <c r="C86" s="2946"/>
      <c r="D86" s="2946"/>
      <c r="E86" s="2946"/>
      <c r="F86" s="2946"/>
      <c r="G86" s="2946"/>
      <c r="H86" s="2946"/>
      <c r="I86" s="2946"/>
      <c r="J86" s="2946"/>
      <c r="K86" s="2946"/>
      <c r="L86" s="2946"/>
      <c r="M86" s="2946"/>
      <c r="N86" s="2946"/>
      <c r="O86" s="2946"/>
      <c r="P86" s="2946"/>
      <c r="Q86" s="2946"/>
      <c r="R86" s="2946"/>
      <c r="S86" s="2946"/>
      <c r="T86" s="2946"/>
      <c r="U86" s="2946"/>
      <c r="V86" s="2946"/>
      <c r="W86" s="2946"/>
      <c r="X86" s="2946"/>
      <c r="Y86" s="2946"/>
      <c r="Z86" s="2946"/>
      <c r="AA86" s="2946"/>
      <c r="AB86" s="2946"/>
      <c r="AC86" s="2946"/>
      <c r="AD86" s="2946"/>
      <c r="AE86" s="2946"/>
      <c r="AF86" s="2946"/>
    </row>
    <row r="87" spans="2:32" s="1704" customFormat="1">
      <c r="B87" s="2947" t="str">
        <f>'7. Inputs'!C131</f>
        <v>(default values are provided for your information only, while EX-ACT will use Tier 2 values automatically wherever specified)</v>
      </c>
      <c r="C87" s="2946"/>
      <c r="D87" s="2946"/>
      <c r="E87" s="2946"/>
      <c r="F87" s="2946"/>
      <c r="G87" s="2946"/>
      <c r="H87" s="2946"/>
      <c r="I87" s="2946"/>
      <c r="J87" s="2946"/>
      <c r="K87" s="2946"/>
      <c r="L87" s="2946"/>
      <c r="M87" s="2946"/>
      <c r="N87" s="2946"/>
      <c r="O87" s="2946"/>
      <c r="P87" s="2946"/>
      <c r="Q87" s="2946"/>
      <c r="R87" s="2946"/>
      <c r="S87" s="2946"/>
      <c r="T87" s="2946"/>
      <c r="U87" s="2946"/>
      <c r="V87" s="2946"/>
      <c r="W87" s="2946"/>
      <c r="X87" s="2946"/>
      <c r="Y87" s="2946"/>
      <c r="Z87" s="2946"/>
      <c r="AA87" s="2946"/>
      <c r="AB87" s="2946"/>
      <c r="AC87" s="2946"/>
      <c r="AD87" s="2946"/>
      <c r="AE87" s="2946"/>
      <c r="AF87" s="2946"/>
    </row>
    <row r="88" spans="2:32" s="1704" customFormat="1">
      <c r="E88" s="1709"/>
      <c r="F88" s="3424"/>
      <c r="G88" s="3424"/>
      <c r="H88" s="1709"/>
      <c r="L88" s="1709"/>
      <c r="M88" s="1709"/>
      <c r="N88" s="1709"/>
      <c r="O88" s="1709"/>
      <c r="P88" s="1709"/>
      <c r="Q88" s="3424"/>
      <c r="R88" s="1709"/>
      <c r="S88" s="1709"/>
      <c r="T88" s="1709"/>
      <c r="U88" s="1709"/>
      <c r="V88" s="1709"/>
      <c r="W88" s="1709"/>
      <c r="X88" s="1709"/>
      <c r="Y88" s="1709"/>
      <c r="Z88" s="1709"/>
      <c r="AA88" s="1709"/>
      <c r="AB88" s="1709"/>
    </row>
    <row r="89" spans="2:32" s="1704" customFormat="1">
      <c r="B89" s="3550"/>
      <c r="C89" s="3312" t="str">
        <f>B11</f>
        <v>Fishing operations (based on Fuel Use intensity - FUI -  values)</v>
      </c>
      <c r="D89" s="2946"/>
      <c r="E89" s="2946"/>
      <c r="F89" s="2946"/>
      <c r="G89" s="2946"/>
      <c r="H89" s="2946"/>
      <c r="I89" s="2946"/>
      <c r="J89" s="2946"/>
      <c r="K89" s="2946"/>
      <c r="L89" s="2946"/>
      <c r="M89" s="2946"/>
      <c r="N89" s="2946"/>
      <c r="O89" s="2946"/>
      <c r="P89" s="3292"/>
      <c r="Q89" s="3292"/>
      <c r="R89" s="3292"/>
      <c r="S89" s="2947"/>
      <c r="T89" s="2947"/>
      <c r="U89" s="2946"/>
      <c r="V89" s="2946"/>
      <c r="W89" s="2946"/>
      <c r="X89" s="2946"/>
      <c r="Y89" s="3304"/>
      <c r="Z89" s="3304"/>
      <c r="AA89" s="2946"/>
      <c r="AC89" s="2946"/>
      <c r="AD89" s="2946"/>
      <c r="AE89" s="2946"/>
      <c r="AF89" s="2946"/>
    </row>
    <row r="90" spans="2:32" s="1704" customFormat="1">
      <c r="B90" s="3550"/>
      <c r="C90" s="3550"/>
      <c r="D90" s="2947"/>
      <c r="E90" s="3940" t="str">
        <f>HLOOKUP(select,translations!$A$582:$H$616,14,)</f>
        <v>Fuel Use Intensity - FUI (l/t catch)</v>
      </c>
      <c r="F90" s="3940"/>
      <c r="G90" s="3940"/>
      <c r="H90" s="3940"/>
      <c r="I90" s="3940"/>
      <c r="J90" s="3940"/>
      <c r="K90" s="3940"/>
      <c r="L90" s="3940"/>
      <c r="M90" s="3940"/>
      <c r="N90" s="3940"/>
      <c r="O90" s="2947"/>
      <c r="P90" s="3292"/>
      <c r="Q90" s="3292"/>
      <c r="R90" s="3292"/>
      <c r="S90" s="2947"/>
      <c r="T90" s="2947"/>
      <c r="U90" s="3307" t="str">
        <f>HLOOKUP(select,translations!$A$582:$H$616,15,)</f>
        <v>Emission factor</v>
      </c>
      <c r="V90" s="3306"/>
      <c r="W90" s="3306"/>
      <c r="X90" s="3306"/>
      <c r="Y90" s="3306"/>
      <c r="Z90" s="2947"/>
      <c r="AA90" s="2947"/>
      <c r="AC90" s="2948" t="str">
        <f>'7. Inputs'!D211</f>
        <v>Gasoil/Diesel</v>
      </c>
      <c r="AD90" s="2947"/>
      <c r="AE90" s="2946" t="str">
        <f>J91</f>
        <v>Default</v>
      </c>
      <c r="AF90" s="2952" t="str">
        <f>'7. Inputs'!M203</f>
        <v>Tier 2</v>
      </c>
    </row>
    <row r="91" spans="2:32" s="1704" customFormat="1">
      <c r="B91" s="3550"/>
      <c r="C91" s="3550" t="str">
        <f>C12</f>
        <v>Category</v>
      </c>
      <c r="D91" s="2947"/>
      <c r="E91" s="2947" t="str">
        <f>F12</f>
        <v>Gear</v>
      </c>
      <c r="F91" s="2947"/>
      <c r="G91" s="2947"/>
      <c r="H91" s="2950" t="str">
        <f>HLOOKUP(select,translations!$A$582:$H$620,39,)</f>
        <v>Unit</v>
      </c>
      <c r="I91" s="2947"/>
      <c r="J91" s="2947" t="str">
        <f>'7. Inputs'!P135</f>
        <v>Default</v>
      </c>
      <c r="K91" s="2947"/>
      <c r="L91" s="2947"/>
      <c r="M91" s="2947"/>
      <c r="N91" s="3942" t="str">
        <f>'7. Inputs'!Q135</f>
        <v>Tier 2</v>
      </c>
      <c r="O91" s="3942"/>
      <c r="P91" s="3942"/>
      <c r="Q91" s="3942"/>
      <c r="R91" s="3942"/>
      <c r="S91" s="2947"/>
      <c r="T91" s="2947"/>
      <c r="U91" s="3075" t="str">
        <f>HLOOKUP(select,translations!$A$582:$H$616,16,)</f>
        <v>(tCO2-eq / t catch)</v>
      </c>
      <c r="V91" s="3294"/>
      <c r="W91" s="3294"/>
      <c r="X91" s="3294"/>
      <c r="Y91" s="3294"/>
      <c r="Z91" s="2947"/>
      <c r="AA91" s="2947"/>
      <c r="AC91" s="3429" t="str">
        <f>'7. Inputs'!I211</f>
        <v>t CO2 /m3</v>
      </c>
      <c r="AD91" s="2947"/>
      <c r="AE91" s="2949">
        <f>'7. Inputs'!K211</f>
        <v>2.6224696892130002</v>
      </c>
      <c r="AF91" s="3280"/>
    </row>
    <row r="92" spans="2:32" s="1704" customFormat="1">
      <c r="B92" s="3550"/>
      <c r="C92" s="3550"/>
      <c r="D92" s="2947"/>
      <c r="E92" s="2947"/>
      <c r="F92" s="2947"/>
      <c r="G92" s="2947"/>
      <c r="H92" s="2950"/>
      <c r="I92" s="2947"/>
      <c r="J92" s="2947"/>
      <c r="K92" s="2947"/>
      <c r="L92" s="2947"/>
      <c r="M92" s="2947"/>
      <c r="N92" s="3292" t="str">
        <f>U92</f>
        <v>Start</v>
      </c>
      <c r="O92" s="2947"/>
      <c r="P92" s="3292" t="str">
        <f>W92</f>
        <v>Without</v>
      </c>
      <c r="Q92" s="3292"/>
      <c r="R92" s="3292" t="str">
        <f t="shared" ref="R92" si="4">Y92</f>
        <v>With</v>
      </c>
      <c r="S92" s="2947"/>
      <c r="T92" s="2947"/>
      <c r="U92" s="3298" t="str">
        <f>P39</f>
        <v>Start</v>
      </c>
      <c r="V92" s="3428"/>
      <c r="W92" s="3298" t="str">
        <f>R39</f>
        <v>Without</v>
      </c>
      <c r="X92" s="3298"/>
      <c r="Y92" s="3308" t="str">
        <f>U39</f>
        <v>With</v>
      </c>
      <c r="Z92" s="3294"/>
      <c r="AA92" s="2947"/>
      <c r="AC92" s="3429"/>
      <c r="AD92" s="2947"/>
      <c r="AE92" s="2949"/>
      <c r="AF92" s="2949"/>
    </row>
    <row r="93" spans="2:32" s="1704" customFormat="1">
      <c r="B93" s="3550"/>
      <c r="C93" s="3550" t="str">
        <f>IF(Nlang=1,C14,VLOOKUP(C14,'Name translation'!A1:I275,Nlang+1,))</f>
        <v>Not Specified</v>
      </c>
      <c r="D93" s="2947"/>
      <c r="E93" s="3941" t="str">
        <f>IF(Nlang=1,F14,VLOOKUP(F14,'Name translation'!A1:I275,Nlang+1,))</f>
        <v>Not specified</v>
      </c>
      <c r="F93" s="3941"/>
      <c r="G93" s="3941"/>
      <c r="H93" s="2947" t="str">
        <f>HLOOKUP(select,translations!$A$582:$H$630,40,)</f>
        <v>l/tonne</v>
      </c>
      <c r="I93" s="2947"/>
      <c r="J93" s="3289">
        <f>IF(VLOOKUP(C14,Fishery!$A$80:$Q$89,VLOOKUP(F14,Fishery!$A$93:$B$100,2,),)=0,VLOOKUP(C14,Fishery!$A$80:$Q$89,17,),VLOOKUP(C14,Fishery!$A$80:$Q$89,VLOOKUP(F14,Fishery!$A$93:$B$100,2,),))</f>
        <v>1606.2946635730859</v>
      </c>
      <c r="K93" s="3434" t="str">
        <f>IF((VLOOKUP(C14,Fishery!$A$80:$Q$89,VLOOKUP(F14,Fishery!$A$93:$B$100,2,),))=0,Fishery!$D$94,Fishery!$D$93)</f>
        <v>Gear specific</v>
      </c>
      <c r="L93" s="2947"/>
      <c r="M93" s="2947"/>
      <c r="N93" s="3422"/>
      <c r="O93" s="2947"/>
      <c r="P93" s="3280"/>
      <c r="Q93" s="3292"/>
      <c r="R93" s="3422"/>
      <c r="S93" s="2947"/>
      <c r="T93" s="2947"/>
      <c r="U93" s="3309">
        <f>IF($N93="",J93,$N93)*IF($AF$91="",$AE$91,$AF$91)/1000</f>
        <v>4.2124590671650113</v>
      </c>
      <c r="V93" s="3309"/>
      <c r="W93" s="3309">
        <f>(IF($P93="",J93,$P93)*IF($AF$91="",$AE$91,$AF$91)/1000)*P14</f>
        <v>4.2124590671650113</v>
      </c>
      <c r="X93" s="3298"/>
      <c r="Y93" s="3309">
        <f>(IF($R93="",J93,$R93)*IF($AF$91="",$AE$91,$AF$91)/1000)*R14</f>
        <v>4.2124590671650113</v>
      </c>
      <c r="Z93" s="3309"/>
      <c r="AA93" s="2947"/>
      <c r="AC93" s="2947"/>
      <c r="AD93" s="2947"/>
      <c r="AE93" s="2947"/>
      <c r="AF93" s="2947"/>
    </row>
    <row r="94" spans="2:32" s="1704" customFormat="1">
      <c r="B94" s="3550"/>
      <c r="C94" s="3550" t="str">
        <f>IF(Nlang=1,C15,VLOOKUP(C15,'Name translation'!A2:I276,Nlang+1,))</f>
        <v>Not Specified</v>
      </c>
      <c r="D94" s="2947"/>
      <c r="E94" s="3941" t="str">
        <f>IF(Nlang=1,F15,VLOOKUP(F15,'Name translation'!A2:I276,Nlang+1,))</f>
        <v>Not specified</v>
      </c>
      <c r="F94" s="3941"/>
      <c r="G94" s="3941"/>
      <c r="H94" s="2947" t="str">
        <f>H93</f>
        <v>l/tonne</v>
      </c>
      <c r="I94" s="2947"/>
      <c r="J94" s="3289">
        <f>IF(VLOOKUP(C15,Fishery!$A$80:$Q$89,VLOOKUP(F15,Fishery!$A$93:$B$100,2,),)=0,VLOOKUP(C15,Fishery!$A$80:$Q$89,17,),VLOOKUP(C15,Fishery!$A$80:$Q$89,VLOOKUP(F15,Fishery!$A$93:$B$100,2,),))</f>
        <v>1606.2946635730859</v>
      </c>
      <c r="K94" s="3434" t="str">
        <f>IF((VLOOKUP(C15,Fishery!$A$80:$Q$89,VLOOKUP(F15,Fishery!$A$93:$B$100,2,),))=0,Fishery!$D$94,Fishery!$D$93)</f>
        <v>Gear specific</v>
      </c>
      <c r="L94" s="2947"/>
      <c r="M94" s="2947"/>
      <c r="N94" s="3422"/>
      <c r="O94" s="2947"/>
      <c r="P94" s="3280"/>
      <c r="Q94" s="3292"/>
      <c r="R94" s="3422"/>
      <c r="S94" s="2947"/>
      <c r="T94" s="2947"/>
      <c r="U94" s="3309">
        <f>IF($N94="",J94,$N94)*IF($AF$91="",$AE$91,$AF$91)/1000</f>
        <v>4.2124590671650113</v>
      </c>
      <c r="V94" s="3309"/>
      <c r="W94" s="3309">
        <f>U94*P15</f>
        <v>4.2124590671650113</v>
      </c>
      <c r="X94" s="3299"/>
      <c r="Y94" s="3309">
        <f>(IF($R94="",J94,$R94)*IF($AF$91="",$AE$91,$AF$91)/1000)*R15</f>
        <v>4.2124590671650113</v>
      </c>
      <c r="Z94" s="2947"/>
      <c r="AA94" s="2947"/>
      <c r="AC94" s="3305" t="str">
        <f>HLOOKUP(select,translations!$A$582:$H$625,33,)</f>
        <v>Total fuel consumption (m3/yr)</v>
      </c>
      <c r="AD94" s="3305"/>
      <c r="AE94" s="3305"/>
      <c r="AF94" s="3303"/>
    </row>
    <row r="95" spans="2:32" s="1704" customFormat="1">
      <c r="B95" s="3550"/>
      <c r="C95" s="3550" t="str">
        <f>IF(Nlang=1,C16,VLOOKUP(C16,'Name translation'!A3:I277,Nlang+1,))</f>
        <v>Not Specified</v>
      </c>
      <c r="D95" s="2947"/>
      <c r="E95" s="3941" t="str">
        <f>IF(Nlang=1,F16,VLOOKUP(F16,'Name translation'!A3:I277,Nlang+1,))</f>
        <v>Not specified</v>
      </c>
      <c r="F95" s="3941"/>
      <c r="G95" s="3941"/>
      <c r="H95" s="2947" t="str">
        <f t="shared" ref="H95:H96" si="5">H94</f>
        <v>l/tonne</v>
      </c>
      <c r="I95" s="2947"/>
      <c r="J95" s="3289">
        <f>IF(VLOOKUP(C16,Fishery!$A$80:$Q$89,VLOOKUP(F16,Fishery!$A$93:$B$100,2,),)=0,VLOOKUP(C16,Fishery!$A$80:$Q$89,17,),VLOOKUP(C16,Fishery!$A$80:$Q$89,VLOOKUP(F16,Fishery!$A$93:$B$100,2,),))</f>
        <v>1606.2946635730859</v>
      </c>
      <c r="K95" s="3434" t="str">
        <f>IF((VLOOKUP(C16,Fishery!$A$80:$Q$89,VLOOKUP(F16,Fishery!$A$93:$B$100,2,),))=0,Fishery!$D$94,Fishery!$D$93)</f>
        <v>Gear specific</v>
      </c>
      <c r="L95" s="2947"/>
      <c r="M95" s="2947"/>
      <c r="N95" s="3422"/>
      <c r="O95" s="2947"/>
      <c r="P95" s="3280"/>
      <c r="Q95" s="3292"/>
      <c r="R95" s="3422"/>
      <c r="S95" s="2947"/>
      <c r="T95" s="2947"/>
      <c r="U95" s="3309">
        <f>IF($N95="",J95,$N95)*IF($AF$91="",$AE$91,$AF$91)/1000</f>
        <v>4.2124590671650113</v>
      </c>
      <c r="V95" s="3309"/>
      <c r="W95" s="3309">
        <f>U95*P16</f>
        <v>4.2124590671650113</v>
      </c>
      <c r="X95" s="3299"/>
      <c r="Y95" s="3309">
        <f>(IF($R95="",J95,$R95)*IF($AF$91="",$AE$91,$AF$91)/1000)*R16</f>
        <v>4.2124590671650113</v>
      </c>
      <c r="Z95" s="2947"/>
      <c r="AA95" s="2947"/>
      <c r="AC95" s="3428" t="str">
        <f>U92</f>
        <v>Start</v>
      </c>
      <c r="AD95" s="2947"/>
      <c r="AE95" s="2947" t="str">
        <f>W92</f>
        <v>Without</v>
      </c>
      <c r="AF95" s="2947" t="str">
        <f>Y92</f>
        <v>With</v>
      </c>
    </row>
    <row r="96" spans="2:32" s="1704" customFormat="1">
      <c r="B96" s="3550"/>
      <c r="C96" s="3550" t="str">
        <f>IF(Nlang=1,C17,VLOOKUP(C17,'Name translation'!A4:I278,Nlang+1,))</f>
        <v>Not Specified</v>
      </c>
      <c r="D96" s="2947"/>
      <c r="E96" s="3941" t="str">
        <f>IF(Nlang=1,F17,VLOOKUP(F17,'Name translation'!A4:I278,Nlang+1,))</f>
        <v>Not specified</v>
      </c>
      <c r="F96" s="3941"/>
      <c r="G96" s="3941"/>
      <c r="H96" s="2947" t="str">
        <f t="shared" si="5"/>
        <v>l/tonne</v>
      </c>
      <c r="I96" s="2947"/>
      <c r="J96" s="3289">
        <f>IF(VLOOKUP(C17,Fishery!$A$80:$Q$89,VLOOKUP(F17,Fishery!$A$93:$B$100,2,),)=0,VLOOKUP(C17,Fishery!$A$80:$Q$89,17,),VLOOKUP(C17,Fishery!$A$80:$Q$89,VLOOKUP(F17,Fishery!$A$93:$B$100,2,),))</f>
        <v>1606.2946635730859</v>
      </c>
      <c r="K96" s="3434" t="str">
        <f>IF((VLOOKUP(C17,Fishery!$A$80:$Q$89,VLOOKUP(F17,Fishery!$A$93:$B$100,2,),))=0,Fishery!$D$94,Fishery!$D$93)</f>
        <v>Gear specific</v>
      </c>
      <c r="L96" s="2947"/>
      <c r="M96" s="2947"/>
      <c r="N96" s="3422"/>
      <c r="O96" s="2947"/>
      <c r="P96" s="3280"/>
      <c r="Q96" s="3292"/>
      <c r="R96" s="3422"/>
      <c r="S96" s="2947"/>
      <c r="T96" s="2947"/>
      <c r="U96" s="3309">
        <f>IF($N96="",J96,$N96)*IF($AF$91="",$AE$91,$AF$91)/1000</f>
        <v>4.2124590671650113</v>
      </c>
      <c r="V96" s="3309"/>
      <c r="W96" s="3309">
        <f>U96*P17</f>
        <v>4.2124590671650113</v>
      </c>
      <c r="X96" s="3299"/>
      <c r="Y96" s="3309">
        <f>(IF($R96="",J96,$R96)*IF($AF$91="",$AE$91,$AF$91)/1000)*R17</f>
        <v>4.2124590671650113</v>
      </c>
      <c r="Z96" s="2947"/>
      <c r="AA96" s="2947"/>
      <c r="AC96" s="3295">
        <f>Fishery!C42/IF($AF$91="",'8. Fish'!$AE$91,$AF$91)</f>
        <v>0</v>
      </c>
      <c r="AD96" s="3311"/>
      <c r="AE96" s="3295">
        <f>Fishery!D42/IF($AF$91="",'8. Fish'!$AE$91,$AF$91)</f>
        <v>0</v>
      </c>
      <c r="AF96" s="3295">
        <f>Fishery!F42/IF($AF$91="",'8. Fish'!$AE$91,$AF$91)</f>
        <v>0</v>
      </c>
    </row>
    <row r="97" spans="2:32" s="1704" customFormat="1">
      <c r="B97" s="3550"/>
      <c r="C97" s="3550" t="str">
        <f>IF(Nlang=1,C18,VLOOKUP(C18,'Name translation'!A5:I279,Nlang+1,))</f>
        <v>Not Specified</v>
      </c>
      <c r="D97" s="2947"/>
      <c r="E97" s="3941" t="str">
        <f>IF(Nlang=1,F18,VLOOKUP(F18,'Name translation'!A5:I279,Nlang+1,))</f>
        <v>Not specified</v>
      </c>
      <c r="F97" s="3941"/>
      <c r="G97" s="3941"/>
      <c r="H97" s="2947" t="str">
        <f>H96</f>
        <v>l/tonne</v>
      </c>
      <c r="I97" s="2947"/>
      <c r="J97" s="3289">
        <f>IF(VLOOKUP(C18,Fishery!$A$80:$Q$89,VLOOKUP(F18,Fishery!$A$93:$B$100,2,),)=0,VLOOKUP(C18,Fishery!$A$80:$Q$89,17,),VLOOKUP(C18,Fishery!$A$80:$Q$89,VLOOKUP(F18,Fishery!$A$93:$B$100,2,),))</f>
        <v>1606.2946635730859</v>
      </c>
      <c r="K97" s="3434" t="str">
        <f>IF((VLOOKUP(C18,Fishery!$A$80:$Q$89,VLOOKUP(F18,Fishery!$A$93:$B$100,2,),))=0,Fishery!$D$94,Fishery!$D$93)</f>
        <v>Gear specific</v>
      </c>
      <c r="L97" s="2947"/>
      <c r="M97" s="2947"/>
      <c r="N97" s="3422"/>
      <c r="O97" s="2947"/>
      <c r="P97" s="3280"/>
      <c r="Q97" s="3292"/>
      <c r="R97" s="3422"/>
      <c r="S97" s="2947"/>
      <c r="T97" s="2947"/>
      <c r="U97" s="3309">
        <f>IF($N97="",J97,$N97)*IF($AF$91="",$AE$91,$AF$91)/1000</f>
        <v>4.2124590671650113</v>
      </c>
      <c r="V97" s="3309"/>
      <c r="W97" s="3309">
        <f>U97*P18</f>
        <v>4.2124590671650113</v>
      </c>
      <c r="X97" s="3299"/>
      <c r="Y97" s="3309">
        <f>(IF($R97="",J97,$R97)*IF($AF$91="",$AE$91,$AF$91)/1000)*R18</f>
        <v>4.2124590671650113</v>
      </c>
      <c r="Z97" s="2947"/>
      <c r="AA97" s="2947"/>
      <c r="AC97" s="2947"/>
      <c r="AD97" s="2947"/>
      <c r="AE97" s="2947"/>
      <c r="AF97" s="2947"/>
    </row>
    <row r="98" spans="2:32" s="1704" customFormat="1">
      <c r="B98" s="3550"/>
      <c r="C98" s="3550"/>
      <c r="D98" s="2947"/>
      <c r="E98" s="2947"/>
      <c r="F98" s="2947"/>
      <c r="G98" s="2947"/>
      <c r="H98" s="2947"/>
      <c r="I98" s="2947"/>
      <c r="J98" s="2947"/>
      <c r="K98" s="2947"/>
      <c r="L98" s="2947"/>
      <c r="M98" s="2947"/>
      <c r="N98" s="2947"/>
      <c r="O98" s="2947"/>
      <c r="P98" s="2947"/>
      <c r="Q98" s="2947"/>
      <c r="R98" s="2947"/>
      <c r="S98" s="2947"/>
      <c r="T98" s="2947"/>
      <c r="U98" s="2947"/>
      <c r="V98" s="2947"/>
      <c r="W98" s="2947"/>
      <c r="X98" s="2947"/>
      <c r="Y98" s="2947"/>
      <c r="Z98" s="2947"/>
      <c r="AA98" s="2947"/>
      <c r="AC98" s="2947"/>
      <c r="AD98" s="2947"/>
      <c r="AE98" s="2947"/>
      <c r="AF98" s="2947"/>
    </row>
    <row r="99" spans="2:32" s="1704" customFormat="1">
      <c r="B99" s="3550"/>
      <c r="C99" s="3312" t="str">
        <f>B21</f>
        <v>On-board leakage from refrigeration systems</v>
      </c>
      <c r="D99" s="2947"/>
      <c r="E99" s="2947"/>
      <c r="F99" s="2947"/>
      <c r="G99" s="2947"/>
      <c r="H99" s="2947"/>
      <c r="I99" s="2947"/>
      <c r="J99" s="2947"/>
      <c r="K99" s="2947"/>
      <c r="L99" s="2947"/>
      <c r="M99" s="2947"/>
      <c r="N99" s="2947"/>
      <c r="O99" s="2947"/>
      <c r="P99" s="2947"/>
      <c r="Q99" s="2947"/>
      <c r="R99" s="2947"/>
      <c r="S99" s="2947"/>
      <c r="T99" s="2947"/>
      <c r="U99" s="2947"/>
      <c r="V99" s="2947"/>
      <c r="W99" s="2947"/>
      <c r="X99" s="2947"/>
      <c r="Y99" s="2947"/>
      <c r="Z99" s="2947"/>
      <c r="AA99" s="2947"/>
      <c r="AB99" s="1709"/>
    </row>
    <row r="100" spans="2:32" s="1704" customFormat="1">
      <c r="B100" s="3550"/>
      <c r="C100" s="3550"/>
      <c r="D100" s="2947"/>
      <c r="E100" s="2947"/>
      <c r="F100" s="2947"/>
      <c r="G100" s="2947"/>
      <c r="H100" s="2947"/>
      <c r="I100" s="2947"/>
      <c r="J100" s="2998" t="str">
        <f>HLOOKUP(select,translations!$A$582:$H$616,17,)</f>
        <v>Quantity lost (kg refrigerant)</v>
      </c>
      <c r="K100" s="2998"/>
      <c r="L100" s="2998"/>
      <c r="M100" s="2998"/>
      <c r="N100" s="2947"/>
      <c r="O100" s="2947"/>
      <c r="P100" s="2947"/>
      <c r="Q100" s="2947"/>
      <c r="R100" s="2947"/>
      <c r="S100" s="2947"/>
      <c r="T100" s="2947"/>
      <c r="U100" s="2998" t="str">
        <f>HLOOKUP(select,translations!$A$582:$H$616,18,)</f>
        <v>GWP of refrigerant</v>
      </c>
      <c r="V100" s="2998"/>
      <c r="W100" s="2947"/>
      <c r="X100" s="3944" t="str">
        <f>U90</f>
        <v>Emission factor</v>
      </c>
      <c r="Y100" s="3944"/>
      <c r="Z100" s="3944"/>
      <c r="AA100" s="3944"/>
      <c r="AB100" s="1709"/>
    </row>
    <row r="101" spans="2:32" s="1704" customFormat="1">
      <c r="B101" s="3550"/>
      <c r="C101" s="3550"/>
      <c r="D101" s="2947"/>
      <c r="E101" s="2947"/>
      <c r="F101" s="2947"/>
      <c r="G101" s="2947"/>
      <c r="H101" s="2947"/>
      <c r="I101" s="2947"/>
      <c r="J101" s="3282" t="str">
        <f>J91</f>
        <v>Default</v>
      </c>
      <c r="K101" s="3428"/>
      <c r="L101" s="2952" t="str">
        <f>N91</f>
        <v>Tier 2</v>
      </c>
      <c r="M101" s="2947"/>
      <c r="N101" s="2947"/>
      <c r="O101" s="2947"/>
      <c r="P101" s="2947"/>
      <c r="Q101" s="2947"/>
      <c r="R101" s="2947"/>
      <c r="S101" s="2947"/>
      <c r="T101" s="2947"/>
      <c r="U101" s="3282" t="str">
        <f>J101</f>
        <v>Default</v>
      </c>
      <c r="V101" s="3428"/>
      <c r="W101" s="2952" t="str">
        <f>N91</f>
        <v>Tier 2</v>
      </c>
      <c r="X101" s="3943" t="str">
        <f>U91</f>
        <v>(tCO2-eq / t catch)</v>
      </c>
      <c r="Y101" s="3943"/>
      <c r="Z101" s="3943"/>
      <c r="AA101" s="3943"/>
      <c r="AB101" s="1709"/>
    </row>
    <row r="102" spans="2:32" s="1704" customFormat="1">
      <c r="B102" s="3550"/>
      <c r="C102" s="3550" t="str">
        <f>HLOOKUP(select,translations!$A$582:$H$616,19,)</f>
        <v>Refrigerant lost per tonne of landed catch</v>
      </c>
      <c r="D102" s="2947"/>
      <c r="E102" s="2947"/>
      <c r="F102" s="2947"/>
      <c r="G102" s="2947"/>
      <c r="H102" s="2947"/>
      <c r="I102" s="2947"/>
      <c r="J102" s="3282">
        <v>2.3E-2</v>
      </c>
      <c r="K102" s="3428"/>
      <c r="L102" s="3280"/>
      <c r="M102" s="3282"/>
      <c r="N102" s="3282"/>
      <c r="O102" s="2947"/>
      <c r="P102" s="2947"/>
      <c r="Q102" s="2947"/>
      <c r="R102" s="2947"/>
      <c r="S102" s="2947"/>
      <c r="T102" s="2947"/>
      <c r="U102" s="3282">
        <v>1780</v>
      </c>
      <c r="V102" s="3428"/>
      <c r="W102" s="3280"/>
      <c r="X102" s="3428"/>
      <c r="Y102" s="3435">
        <f>IF(L102="",J102,L102)*IF(W102="",U102,W102)/1000</f>
        <v>4.0939999999999997E-2</v>
      </c>
      <c r="Z102" s="3428"/>
      <c r="AA102" s="3428"/>
      <c r="AB102" s="1709"/>
    </row>
    <row r="103" spans="2:32" s="1704" customFormat="1" ht="13.15" customHeight="1">
      <c r="B103" s="3550"/>
      <c r="C103" s="3550"/>
      <c r="D103" s="2947"/>
      <c r="E103" s="2947"/>
      <c r="F103" s="2947"/>
      <c r="G103" s="2947"/>
      <c r="H103" s="2947"/>
      <c r="I103" s="2947"/>
      <c r="J103" s="2947"/>
      <c r="K103" s="2947"/>
      <c r="L103" s="2947"/>
      <c r="M103" s="2947"/>
      <c r="N103" s="2947"/>
      <c r="O103" s="2947"/>
      <c r="P103" s="2947"/>
      <c r="Q103" s="2947"/>
      <c r="R103" s="2947"/>
      <c r="S103" s="2947"/>
      <c r="T103" s="2947"/>
      <c r="U103" s="2947"/>
      <c r="V103" s="2947"/>
      <c r="W103" s="2947"/>
      <c r="X103" s="2947"/>
      <c r="Y103" s="2947"/>
      <c r="Z103" s="2947"/>
      <c r="AA103" s="2947"/>
      <c r="AB103" s="1709"/>
    </row>
    <row r="104" spans="2:32" s="1704" customFormat="1">
      <c r="B104" s="3550"/>
      <c r="C104" s="3312" t="str">
        <f>B24</f>
        <v>Emissions from production of ice produced ashore</v>
      </c>
      <c r="D104" s="2947"/>
      <c r="E104" s="2947"/>
      <c r="F104" s="2947"/>
      <c r="G104" s="2947"/>
      <c r="H104" s="2947"/>
      <c r="I104" s="2947"/>
      <c r="J104" s="2947"/>
      <c r="K104" s="2947"/>
      <c r="L104" s="2947"/>
      <c r="M104" s="2947"/>
      <c r="N104" s="2947"/>
      <c r="O104" s="2947"/>
      <c r="P104" s="2947"/>
      <c r="Q104" s="2947"/>
      <c r="R104" s="2947"/>
      <c r="S104" s="2947"/>
      <c r="T104" s="2947"/>
      <c r="U104" s="2947"/>
      <c r="V104" s="2947"/>
      <c r="W104" s="2947"/>
      <c r="X104" s="2947"/>
      <c r="Y104" s="2947"/>
      <c r="Z104" s="2947"/>
      <c r="AA104" s="2947"/>
      <c r="AB104" s="1709"/>
    </row>
    <row r="105" spans="2:32" s="1704" customFormat="1">
      <c r="B105" s="3550"/>
      <c r="C105" s="3550"/>
      <c r="D105" s="2947"/>
      <c r="E105" s="2947"/>
      <c r="F105" s="2947"/>
      <c r="G105" s="2947"/>
      <c r="H105" s="2947"/>
      <c r="I105" s="2947"/>
      <c r="J105" s="2998" t="str">
        <f>HLOOKUP(select,translations!$A$582:$H$616,20,)</f>
        <v>Quantity (tonnes)</v>
      </c>
      <c r="K105" s="2998"/>
      <c r="L105" s="2947"/>
      <c r="M105" s="2947"/>
      <c r="N105" s="2947"/>
      <c r="O105" s="2947"/>
      <c r="P105" s="2947"/>
      <c r="Q105" s="2947"/>
      <c r="R105" s="2947"/>
      <c r="S105" s="2947"/>
      <c r="T105" s="2947"/>
      <c r="U105" s="2947"/>
      <c r="V105" s="2947"/>
      <c r="W105" s="2947"/>
      <c r="X105" s="3944" t="str">
        <f>X100</f>
        <v>Emission factor</v>
      </c>
      <c r="Y105" s="3944"/>
      <c r="Z105" s="3944"/>
      <c r="AA105" s="3944"/>
      <c r="AB105" s="1709"/>
    </row>
    <row r="106" spans="2:32" s="1704" customFormat="1">
      <c r="B106" s="3550"/>
      <c r="C106" s="3550"/>
      <c r="D106" s="2947"/>
      <c r="E106" s="2947"/>
      <c r="F106" s="2947"/>
      <c r="G106" s="2947"/>
      <c r="H106" s="2947"/>
      <c r="I106" s="2947"/>
      <c r="J106" s="3282" t="str">
        <f>J101</f>
        <v>Default</v>
      </c>
      <c r="K106" s="3428"/>
      <c r="L106" s="3282" t="str">
        <f>L101</f>
        <v>Tier 2</v>
      </c>
      <c r="M106" s="2947"/>
      <c r="N106" s="2947"/>
      <c r="O106" s="2947"/>
      <c r="P106" s="2947"/>
      <c r="Q106" s="2947"/>
      <c r="R106" s="2947"/>
      <c r="S106" s="2947"/>
      <c r="T106" s="2947"/>
      <c r="U106" s="2947"/>
      <c r="V106" s="2947"/>
      <c r="W106" s="2947"/>
      <c r="X106" s="3943" t="str">
        <f>X101</f>
        <v>(tCO2-eq / t catch)</v>
      </c>
      <c r="Y106" s="3943"/>
      <c r="Z106" s="3943"/>
      <c r="AA106" s="3943"/>
      <c r="AB106" s="1709"/>
    </row>
    <row r="107" spans="2:32" s="1704" customFormat="1">
      <c r="B107" s="3550"/>
      <c r="C107" s="3550" t="str">
        <f>HLOOKUP(select,translations!$A$582:$H$616,21,)</f>
        <v>Quantity of ice (tonnes) per tonne of catch</v>
      </c>
      <c r="D107" s="2947"/>
      <c r="E107" s="2947"/>
      <c r="F107" s="2947"/>
      <c r="G107" s="2947"/>
      <c r="H107" s="2947"/>
      <c r="I107" s="2947"/>
      <c r="J107" s="3295">
        <v>2.8</v>
      </c>
      <c r="K107" s="3295"/>
      <c r="L107" s="3280"/>
      <c r="M107" s="2947"/>
      <c r="N107" s="2947"/>
      <c r="O107" s="2947"/>
      <c r="P107" s="2947"/>
      <c r="Q107" s="2947"/>
      <c r="R107" s="2947"/>
      <c r="S107" s="2947"/>
      <c r="T107" s="2947"/>
      <c r="U107" s="2947"/>
      <c r="V107" s="2947"/>
      <c r="W107" s="2947"/>
      <c r="X107" s="2947"/>
      <c r="Y107" s="2951">
        <f>IF(L107="",J107,L107)*IF(L108="",J108,L108)*VLOOKUP(E109,Elec_EF!A6:B143,2,)/1000</f>
        <v>8.5211249687852944E-2</v>
      </c>
      <c r="Z107" s="2947"/>
      <c r="AA107" s="2947"/>
      <c r="AB107" s="1709"/>
    </row>
    <row r="108" spans="2:32" s="1704" customFormat="1">
      <c r="B108" s="3550"/>
      <c r="C108" s="3550" t="str">
        <f>HLOOKUP(select,translations!$A$582:$H$616,35,)</f>
        <v>Electricity used per tonne of Ice</v>
      </c>
      <c r="D108" s="2947"/>
      <c r="E108" s="2947"/>
      <c r="F108" s="2947"/>
      <c r="G108" s="2947"/>
      <c r="H108" s="2947"/>
      <c r="I108" s="2947"/>
      <c r="J108" s="2952">
        <v>60</v>
      </c>
      <c r="K108" s="2952"/>
      <c r="L108" s="2316"/>
      <c r="M108" s="2947"/>
      <c r="N108" s="2947"/>
      <c r="O108" s="2947"/>
      <c r="P108" s="2947"/>
      <c r="Q108" s="2947"/>
      <c r="R108" s="2947"/>
      <c r="S108" s="2947"/>
      <c r="T108" s="2947"/>
      <c r="U108" s="2947"/>
      <c r="V108" s="2947"/>
      <c r="W108" s="2947"/>
      <c r="X108" s="2947"/>
      <c r="Y108" s="2947"/>
      <c r="Z108" s="2947"/>
      <c r="AA108" s="2947"/>
      <c r="AB108" s="1709"/>
    </row>
    <row r="109" spans="2:32" s="1704" customFormat="1">
      <c r="B109" s="3550"/>
      <c r="C109" s="3550"/>
      <c r="D109" s="2947"/>
      <c r="E109" s="3938" t="s">
        <v>21</v>
      </c>
      <c r="F109" s="3938"/>
      <c r="G109" s="3938"/>
      <c r="H109" s="3938"/>
      <c r="I109" s="3938"/>
      <c r="J109" s="3938"/>
      <c r="K109" s="3426"/>
      <c r="L109" s="2947"/>
      <c r="M109" s="2947"/>
      <c r="N109" s="2947"/>
      <c r="O109" s="2947"/>
      <c r="P109" s="2947"/>
      <c r="Q109" s="2947"/>
      <c r="R109" s="2947"/>
      <c r="S109" s="2947"/>
      <c r="T109" s="2947"/>
      <c r="U109" s="2947"/>
      <c r="V109" s="2947"/>
      <c r="W109" s="2947"/>
      <c r="X109" s="2947"/>
      <c r="Y109" s="2947"/>
      <c r="Z109" s="2947"/>
      <c r="AA109" s="2947"/>
      <c r="AB109" s="1709"/>
    </row>
    <row r="110" spans="2:32" s="1704" customFormat="1">
      <c r="B110" s="3550"/>
      <c r="C110" s="3550"/>
      <c r="D110" s="2947"/>
      <c r="E110" s="3937" t="e">
        <f>'7. Inputs'!#REF!</f>
        <v>#REF!</v>
      </c>
      <c r="F110" s="3937"/>
      <c r="G110" s="3937"/>
      <c r="H110" s="3937"/>
      <c r="I110" s="3937"/>
      <c r="J110" s="3937"/>
      <c r="K110" s="3425"/>
      <c r="L110" s="2947"/>
      <c r="M110" s="2947"/>
      <c r="N110" s="2947"/>
      <c r="O110" s="2947"/>
      <c r="P110" s="2947"/>
      <c r="Q110" s="2947"/>
      <c r="R110" s="2947"/>
      <c r="S110" s="2947"/>
      <c r="T110" s="2947"/>
      <c r="U110" s="2947"/>
      <c r="V110" s="2947"/>
      <c r="W110" s="2947"/>
      <c r="X110" s="2947"/>
      <c r="Y110" s="2947"/>
      <c r="Z110" s="2947"/>
      <c r="AA110" s="2947"/>
      <c r="AB110" s="1709"/>
    </row>
    <row r="111" spans="2:32" s="1704" customFormat="1">
      <c r="E111" s="1709"/>
      <c r="F111" s="3424"/>
      <c r="G111" s="3424"/>
      <c r="H111" s="1709"/>
      <c r="L111" s="1709"/>
      <c r="M111" s="1709"/>
      <c r="N111" s="1709"/>
      <c r="O111" s="1709"/>
      <c r="P111" s="1709"/>
      <c r="Q111" s="3424"/>
      <c r="R111" s="1709"/>
      <c r="S111" s="1709"/>
      <c r="T111" s="1709"/>
      <c r="U111" s="1709"/>
      <c r="V111" s="1709"/>
      <c r="W111" s="1709"/>
      <c r="X111" s="1709"/>
      <c r="Y111" s="1709"/>
      <c r="Z111" s="1709"/>
      <c r="AA111" s="1709"/>
      <c r="AB111" s="1709"/>
    </row>
    <row r="112" spans="2:32" s="1704" customFormat="1">
      <c r="E112" s="1709"/>
      <c r="F112" s="3424"/>
      <c r="G112" s="3424"/>
      <c r="H112" s="1709"/>
      <c r="L112" s="1709"/>
      <c r="M112" s="1709"/>
      <c r="N112" s="1709"/>
      <c r="O112" s="1709"/>
      <c r="P112" s="1709"/>
      <c r="Q112" s="3424"/>
      <c r="R112" s="1709"/>
      <c r="S112" s="1709"/>
      <c r="T112" s="1709"/>
      <c r="U112" s="1709"/>
      <c r="V112" s="1709"/>
      <c r="W112" s="1709"/>
      <c r="X112" s="1709"/>
      <c r="Y112" s="1709"/>
      <c r="Z112" s="1709"/>
      <c r="AA112" s="1709"/>
      <c r="AB112" s="1709"/>
    </row>
    <row r="113" spans="5:28" s="1704" customFormat="1">
      <c r="E113" s="1709"/>
      <c r="F113" s="3424"/>
      <c r="G113" s="3424"/>
      <c r="H113" s="1709"/>
      <c r="L113" s="1709"/>
      <c r="M113" s="1709"/>
      <c r="N113" s="1709"/>
      <c r="O113" s="1709"/>
      <c r="P113" s="1709"/>
      <c r="Q113" s="3424"/>
      <c r="R113" s="1709"/>
      <c r="S113" s="1709"/>
      <c r="T113" s="1709"/>
      <c r="U113" s="1709"/>
      <c r="V113" s="1709"/>
      <c r="W113" s="1709"/>
      <c r="X113" s="1709"/>
      <c r="Y113" s="1709"/>
      <c r="Z113" s="1709"/>
      <c r="AA113" s="1709"/>
      <c r="AB113" s="1709"/>
    </row>
    <row r="114" spans="5:28" s="1704" customFormat="1">
      <c r="E114" s="1709"/>
      <c r="F114" s="3424"/>
      <c r="G114" s="3424"/>
      <c r="H114" s="1709"/>
      <c r="L114" s="1709"/>
      <c r="M114" s="1709"/>
      <c r="N114" s="1709"/>
      <c r="O114" s="1709"/>
      <c r="P114" s="1709"/>
      <c r="Q114" s="3424"/>
      <c r="R114" s="1709"/>
      <c r="S114" s="1709"/>
      <c r="T114" s="1709"/>
      <c r="U114" s="1709"/>
      <c r="V114" s="1709"/>
      <c r="W114" s="1709"/>
      <c r="X114" s="1709"/>
      <c r="Y114" s="1709"/>
      <c r="Z114" s="1709"/>
      <c r="AA114" s="1709"/>
      <c r="AB114" s="1709"/>
    </row>
    <row r="115" spans="5:28" s="1704" customFormat="1">
      <c r="E115" s="1709"/>
      <c r="F115" s="3424"/>
      <c r="G115" s="3424"/>
      <c r="H115" s="1709"/>
      <c r="L115" s="1709"/>
      <c r="M115" s="1709"/>
      <c r="N115" s="1709"/>
      <c r="O115" s="1709"/>
      <c r="P115" s="1709"/>
      <c r="Q115" s="3424"/>
      <c r="R115" s="1709"/>
      <c r="S115" s="1709"/>
      <c r="T115" s="1709"/>
      <c r="U115" s="1709"/>
      <c r="V115" s="1709"/>
      <c r="W115" s="1709"/>
      <c r="X115" s="1709"/>
      <c r="Y115" s="1709"/>
      <c r="Z115" s="1709"/>
      <c r="AA115" s="1709"/>
      <c r="AB115" s="1709"/>
    </row>
    <row r="116" spans="5:28" s="1704" customFormat="1">
      <c r="E116" s="1709"/>
      <c r="F116" s="3424"/>
      <c r="G116" s="3424"/>
      <c r="H116" s="1709"/>
      <c r="L116" s="1709"/>
      <c r="M116" s="1709"/>
      <c r="N116" s="1709"/>
      <c r="O116" s="1709"/>
      <c r="P116" s="1709"/>
      <c r="Q116" s="3424"/>
      <c r="R116" s="1709"/>
      <c r="S116" s="1709"/>
      <c r="T116" s="1709"/>
      <c r="U116" s="1709"/>
      <c r="V116" s="1709"/>
      <c r="W116" s="1709"/>
      <c r="X116" s="1709"/>
      <c r="Y116" s="1709"/>
      <c r="Z116" s="1709"/>
      <c r="AA116" s="1709"/>
      <c r="AB116" s="1709"/>
    </row>
    <row r="117" spans="5:28" s="1704" customFormat="1">
      <c r="E117" s="1709"/>
      <c r="F117" s="3424"/>
      <c r="G117" s="3424"/>
      <c r="H117" s="1709"/>
      <c r="L117" s="1709"/>
      <c r="M117" s="1709"/>
      <c r="N117" s="1709"/>
      <c r="O117" s="1709"/>
      <c r="P117" s="1709"/>
      <c r="Q117" s="3424"/>
      <c r="R117" s="1709"/>
      <c r="S117" s="1709"/>
      <c r="T117" s="1709"/>
      <c r="U117" s="1709"/>
      <c r="V117" s="1709"/>
      <c r="W117" s="1709"/>
      <c r="X117" s="1709"/>
      <c r="Y117" s="1709"/>
      <c r="Z117" s="1709"/>
      <c r="AA117" s="1709"/>
      <c r="AB117" s="1709"/>
    </row>
    <row r="118" spans="5:28" s="1704" customFormat="1">
      <c r="E118" s="1709"/>
      <c r="F118" s="3424"/>
      <c r="G118" s="3424"/>
      <c r="H118" s="1709"/>
      <c r="L118" s="1709"/>
      <c r="M118" s="1709"/>
      <c r="N118" s="1709"/>
      <c r="O118" s="1709"/>
      <c r="P118" s="1709"/>
      <c r="Q118" s="3424"/>
      <c r="R118" s="1709"/>
      <c r="S118" s="1709"/>
      <c r="T118" s="1709"/>
      <c r="U118" s="1709"/>
      <c r="V118" s="1709"/>
      <c r="W118" s="1709"/>
      <c r="X118" s="1709"/>
      <c r="Y118" s="1709"/>
      <c r="Z118" s="1709"/>
      <c r="AA118" s="1709"/>
      <c r="AB118" s="1709"/>
    </row>
    <row r="119" spans="5:28" s="1704" customFormat="1">
      <c r="E119" s="1709"/>
      <c r="F119" s="3424"/>
      <c r="G119" s="3424"/>
      <c r="H119" s="1709"/>
      <c r="L119" s="1709"/>
      <c r="M119" s="1709"/>
      <c r="N119" s="1709"/>
      <c r="O119" s="1709"/>
      <c r="P119" s="1709"/>
      <c r="Q119" s="3424"/>
      <c r="R119" s="1709"/>
      <c r="S119" s="1709"/>
      <c r="T119" s="1709"/>
      <c r="U119" s="1709"/>
      <c r="V119" s="1709"/>
      <c r="W119" s="1709"/>
      <c r="X119" s="1709"/>
      <c r="Y119" s="1709"/>
      <c r="Z119" s="1709"/>
      <c r="AA119" s="1709"/>
      <c r="AB119" s="1709"/>
    </row>
    <row r="120" spans="5:28" s="1704" customFormat="1">
      <c r="E120" s="1709"/>
      <c r="F120" s="3424"/>
      <c r="G120" s="3424"/>
      <c r="H120" s="1709"/>
      <c r="L120" s="1709"/>
      <c r="M120" s="1709"/>
      <c r="N120" s="1709"/>
      <c r="O120" s="1709"/>
      <c r="P120" s="1709"/>
      <c r="Q120" s="3424"/>
      <c r="R120" s="1709"/>
      <c r="S120" s="1709"/>
      <c r="T120" s="1709"/>
      <c r="U120" s="1709"/>
      <c r="V120" s="1709"/>
      <c r="W120" s="1709"/>
      <c r="X120" s="1709"/>
      <c r="Y120" s="1709"/>
      <c r="Z120" s="1709"/>
      <c r="AA120" s="1709"/>
      <c r="AB120" s="1709"/>
    </row>
    <row r="121" spans="5:28" s="1704" customFormat="1">
      <c r="E121" s="1709"/>
      <c r="F121" s="3424"/>
      <c r="G121" s="3424"/>
      <c r="H121" s="1709"/>
      <c r="L121" s="1709"/>
      <c r="M121" s="1709"/>
      <c r="N121" s="1709"/>
      <c r="O121" s="1709"/>
      <c r="P121" s="1709"/>
      <c r="Q121" s="3424"/>
      <c r="R121" s="1709"/>
      <c r="S121" s="1709"/>
      <c r="T121" s="1709"/>
      <c r="U121" s="1709"/>
      <c r="V121" s="1709"/>
      <c r="W121" s="1709"/>
      <c r="X121" s="1709"/>
      <c r="Y121" s="1709"/>
      <c r="Z121" s="1709"/>
      <c r="AA121" s="1709"/>
      <c r="AB121" s="1709"/>
    </row>
    <row r="122" spans="5:28" s="1704" customFormat="1">
      <c r="E122" s="1709"/>
      <c r="F122" s="3424"/>
      <c r="G122" s="3424"/>
      <c r="H122" s="1709"/>
      <c r="L122" s="1709"/>
      <c r="M122" s="1709"/>
      <c r="N122" s="1709"/>
      <c r="O122" s="1709"/>
      <c r="P122" s="1709"/>
      <c r="Q122" s="3424"/>
      <c r="R122" s="1709"/>
      <c r="S122" s="1709"/>
      <c r="T122" s="1709"/>
      <c r="U122" s="1709"/>
      <c r="V122" s="1709"/>
      <c r="W122" s="1709"/>
      <c r="X122" s="1709"/>
      <c r="Y122" s="1709"/>
      <c r="Z122" s="1709"/>
      <c r="AA122" s="1709"/>
      <c r="AB122" s="1709"/>
    </row>
    <row r="123" spans="5:28" s="1704" customFormat="1">
      <c r="E123" s="1709"/>
      <c r="F123" s="3424"/>
      <c r="G123" s="3424"/>
      <c r="H123" s="1709"/>
      <c r="L123" s="1709"/>
      <c r="M123" s="1709"/>
      <c r="N123" s="1709"/>
      <c r="O123" s="1709"/>
      <c r="P123" s="1709"/>
      <c r="Q123" s="3424"/>
      <c r="R123" s="1709"/>
      <c r="S123" s="1709"/>
      <c r="T123" s="1709"/>
      <c r="U123" s="1709"/>
      <c r="V123" s="1709"/>
      <c r="W123" s="1709"/>
      <c r="X123" s="1709"/>
      <c r="Y123" s="1709"/>
      <c r="Z123" s="1709"/>
      <c r="AA123" s="1709"/>
      <c r="AB123" s="1709"/>
    </row>
    <row r="124" spans="5:28" s="1704" customFormat="1">
      <c r="E124" s="1709"/>
      <c r="F124" s="3424"/>
      <c r="G124" s="3424"/>
      <c r="H124" s="1709"/>
      <c r="L124" s="1709"/>
      <c r="M124" s="1709"/>
      <c r="N124" s="1709"/>
      <c r="O124" s="1709"/>
      <c r="P124" s="1709"/>
      <c r="Q124" s="3424"/>
      <c r="R124" s="1709"/>
      <c r="S124" s="1709"/>
      <c r="T124" s="1709"/>
      <c r="U124" s="1709"/>
      <c r="V124" s="1709"/>
      <c r="W124" s="1709"/>
      <c r="X124" s="1709"/>
      <c r="Y124" s="1709"/>
      <c r="Z124" s="1709"/>
      <c r="AA124" s="1709"/>
      <c r="AB124" s="1709"/>
    </row>
    <row r="125" spans="5:28" s="1704" customFormat="1">
      <c r="E125" s="1709"/>
      <c r="F125" s="3424"/>
      <c r="G125" s="3424"/>
      <c r="H125" s="1709"/>
      <c r="L125" s="1709"/>
      <c r="M125" s="1709"/>
      <c r="N125" s="1709"/>
      <c r="O125" s="1709"/>
      <c r="P125" s="1709"/>
      <c r="Q125" s="3424"/>
      <c r="R125" s="1709"/>
      <c r="S125" s="1709"/>
      <c r="T125" s="1709"/>
      <c r="U125" s="1709"/>
      <c r="V125" s="1709"/>
      <c r="W125" s="1709"/>
      <c r="X125" s="1709"/>
      <c r="Y125" s="1709"/>
      <c r="Z125" s="1709"/>
      <c r="AA125" s="1709"/>
      <c r="AB125" s="1709"/>
    </row>
    <row r="126" spans="5:28" s="1704" customFormat="1">
      <c r="E126" s="1709"/>
      <c r="F126" s="3424"/>
      <c r="G126" s="3424"/>
      <c r="H126" s="1709"/>
      <c r="L126" s="1709"/>
      <c r="M126" s="1709"/>
      <c r="N126" s="1709"/>
      <c r="O126" s="1709"/>
      <c r="P126" s="1709"/>
      <c r="Q126" s="3424"/>
      <c r="R126" s="1709"/>
      <c r="S126" s="1709"/>
      <c r="T126" s="1709"/>
      <c r="U126" s="1709"/>
      <c r="V126" s="1709"/>
      <c r="W126" s="1709"/>
      <c r="X126" s="1709"/>
      <c r="Y126" s="1709"/>
      <c r="Z126" s="1709"/>
      <c r="AA126" s="1709"/>
      <c r="AB126" s="1709"/>
    </row>
    <row r="127" spans="5:28" s="1704" customFormat="1">
      <c r="E127" s="1709"/>
      <c r="F127" s="3424"/>
      <c r="G127" s="3424"/>
      <c r="H127" s="1709"/>
      <c r="L127" s="1709"/>
      <c r="M127" s="1709"/>
      <c r="N127" s="1709"/>
      <c r="O127" s="1709"/>
      <c r="P127" s="1709"/>
      <c r="Q127" s="3424"/>
      <c r="R127" s="1709"/>
      <c r="S127" s="1709"/>
      <c r="T127" s="1709"/>
      <c r="U127" s="1709"/>
      <c r="V127" s="1709"/>
      <c r="W127" s="1709"/>
      <c r="X127" s="1709"/>
      <c r="Y127" s="1709"/>
      <c r="Z127" s="1709"/>
      <c r="AA127" s="1709"/>
      <c r="AB127" s="1709"/>
    </row>
    <row r="128" spans="5:28" s="1704" customFormat="1">
      <c r="E128" s="1709"/>
      <c r="F128" s="3424"/>
      <c r="G128" s="3424"/>
      <c r="H128" s="1709"/>
      <c r="L128" s="1709"/>
      <c r="M128" s="1709"/>
      <c r="N128" s="1709"/>
      <c r="O128" s="1709"/>
      <c r="P128" s="1709"/>
      <c r="Q128" s="3424"/>
      <c r="R128" s="1709"/>
      <c r="S128" s="1709"/>
      <c r="T128" s="1709"/>
      <c r="U128" s="1709"/>
      <c r="V128" s="1709"/>
      <c r="W128" s="1709"/>
      <c r="X128" s="1709"/>
      <c r="Y128" s="1709"/>
      <c r="Z128" s="1709"/>
      <c r="AA128" s="1709"/>
      <c r="AB128" s="1709"/>
    </row>
    <row r="129" spans="2:28" s="1704" customFormat="1">
      <c r="E129" s="1709"/>
      <c r="F129" s="3424"/>
      <c r="G129" s="3424"/>
      <c r="H129" s="1709"/>
      <c r="L129" s="1709"/>
      <c r="M129" s="1709"/>
      <c r="N129" s="1709"/>
      <c r="O129" s="1709"/>
      <c r="P129" s="1709"/>
      <c r="Q129" s="3424"/>
      <c r="R129" s="1709"/>
      <c r="S129" s="1709"/>
      <c r="T129" s="1709"/>
      <c r="U129" s="1709"/>
      <c r="V129" s="1709"/>
      <c r="W129" s="1709"/>
      <c r="X129" s="1709"/>
      <c r="Y129" s="1709"/>
      <c r="Z129" s="1709"/>
      <c r="AA129" s="1709"/>
      <c r="AB129" s="1709"/>
    </row>
    <row r="130" spans="2:28" s="1704" customFormat="1">
      <c r="E130" s="1709"/>
      <c r="F130" s="3424"/>
      <c r="G130" s="3424"/>
      <c r="H130" s="1709"/>
      <c r="L130" s="1709"/>
      <c r="M130" s="1709"/>
      <c r="N130" s="1709"/>
      <c r="O130" s="1709"/>
      <c r="P130" s="1709"/>
      <c r="Q130" s="3424"/>
      <c r="R130" s="1709"/>
      <c r="S130" s="1709"/>
      <c r="T130" s="1709"/>
      <c r="U130" s="1709"/>
      <c r="V130" s="1709"/>
      <c r="W130" s="1709"/>
      <c r="X130" s="1709"/>
      <c r="Y130" s="1709"/>
      <c r="Z130" s="1709"/>
      <c r="AA130" s="1709"/>
      <c r="AB130" s="1709"/>
    </row>
    <row r="131" spans="2:28" s="1704" customFormat="1">
      <c r="E131" s="1709"/>
      <c r="F131" s="3424"/>
      <c r="G131" s="3424"/>
      <c r="H131" s="1709"/>
      <c r="L131" s="1709"/>
      <c r="M131" s="1709"/>
      <c r="N131" s="1709"/>
      <c r="O131" s="1709"/>
      <c r="P131" s="1709"/>
      <c r="Q131" s="3424"/>
      <c r="R131" s="1709"/>
      <c r="S131" s="1709"/>
      <c r="T131" s="1709"/>
      <c r="U131" s="1709"/>
      <c r="V131" s="1709"/>
      <c r="W131" s="1709"/>
      <c r="X131" s="1709"/>
      <c r="Y131" s="1709"/>
      <c r="Z131" s="1709"/>
      <c r="AA131" s="1709"/>
      <c r="AB131" s="1709"/>
    </row>
    <row r="132" spans="2:28" s="1704" customFormat="1">
      <c r="E132" s="1709"/>
      <c r="F132" s="3424"/>
      <c r="G132" s="3424"/>
      <c r="H132" s="1709"/>
      <c r="L132" s="1709"/>
      <c r="M132" s="1709"/>
      <c r="N132" s="1709"/>
      <c r="O132" s="1709"/>
      <c r="P132" s="1709"/>
      <c r="Q132" s="3424"/>
      <c r="R132" s="1709"/>
      <c r="S132" s="1709"/>
      <c r="T132" s="1709"/>
      <c r="U132" s="1709"/>
      <c r="V132" s="1709"/>
      <c r="W132" s="1709"/>
      <c r="X132" s="1709"/>
      <c r="Y132" s="1709"/>
      <c r="Z132" s="1709"/>
      <c r="AA132" s="1709"/>
      <c r="AB132" s="1709"/>
    </row>
    <row r="133" spans="2:28" s="1704" customFormat="1">
      <c r="E133" s="1709"/>
      <c r="F133" s="3424"/>
      <c r="G133" s="3424"/>
      <c r="H133" s="1709"/>
      <c r="L133" s="1709"/>
      <c r="M133" s="1709"/>
      <c r="N133" s="1709"/>
      <c r="O133" s="1709"/>
      <c r="P133" s="1709"/>
      <c r="Q133" s="3424"/>
      <c r="R133" s="1709"/>
      <c r="S133" s="1709"/>
      <c r="T133" s="1709"/>
      <c r="U133" s="1709"/>
      <c r="V133" s="1709"/>
      <c r="W133" s="1709"/>
      <c r="X133" s="1709"/>
      <c r="Y133" s="1709"/>
      <c r="Z133" s="1709"/>
      <c r="AA133" s="1709"/>
      <c r="AB133" s="1709"/>
    </row>
    <row r="134" spans="2:28" s="1704" customFormat="1">
      <c r="E134" s="1709"/>
      <c r="F134" s="3424"/>
      <c r="G134" s="3424"/>
      <c r="H134" s="1709"/>
      <c r="L134" s="1709"/>
      <c r="M134" s="1709"/>
      <c r="N134" s="1709"/>
      <c r="O134" s="1709"/>
      <c r="P134" s="1709"/>
      <c r="Q134" s="3424"/>
      <c r="R134" s="1709"/>
      <c r="S134" s="1709"/>
      <c r="T134" s="1709"/>
      <c r="U134" s="1709"/>
      <c r="V134" s="1709"/>
      <c r="W134" s="1709"/>
      <c r="X134" s="1709"/>
      <c r="Y134" s="1709"/>
      <c r="Z134" s="1709"/>
      <c r="AA134" s="1709"/>
      <c r="AB134" s="1709"/>
    </row>
    <row r="135" spans="2:28" s="1704" customFormat="1">
      <c r="E135" s="1709"/>
      <c r="F135" s="3424"/>
      <c r="G135" s="3424"/>
      <c r="H135" s="1709"/>
      <c r="L135" s="1709"/>
      <c r="M135" s="1709"/>
      <c r="N135" s="1709"/>
      <c r="O135" s="1709"/>
      <c r="P135" s="1709"/>
      <c r="Q135" s="3424"/>
      <c r="R135" s="1709"/>
      <c r="S135" s="1709"/>
      <c r="T135" s="1709"/>
      <c r="U135" s="1709"/>
      <c r="V135" s="1709"/>
      <c r="W135" s="1709"/>
      <c r="X135" s="1709"/>
      <c r="Y135" s="1709"/>
      <c r="Z135" s="1709"/>
      <c r="AA135" s="1709"/>
      <c r="AB135" s="1709"/>
    </row>
    <row r="136" spans="2:28" s="1704" customFormat="1">
      <c r="E136" s="1709"/>
      <c r="F136" s="3424"/>
      <c r="G136" s="3424"/>
      <c r="H136" s="1709"/>
      <c r="L136" s="1709"/>
      <c r="M136" s="1709"/>
      <c r="N136" s="1709"/>
      <c r="O136" s="1709"/>
      <c r="P136" s="1709"/>
      <c r="Q136" s="3424"/>
      <c r="R136" s="1709"/>
      <c r="S136" s="1709"/>
      <c r="T136" s="1709"/>
      <c r="U136" s="1709"/>
      <c r="V136" s="1709"/>
      <c r="W136" s="1709"/>
      <c r="X136" s="1709"/>
      <c r="Y136" s="1709"/>
      <c r="Z136" s="1709"/>
      <c r="AA136" s="1709"/>
      <c r="AB136" s="1709"/>
    </row>
    <row r="137" spans="2:28" s="1704" customFormat="1">
      <c r="E137" s="1709"/>
      <c r="F137" s="3424"/>
      <c r="G137" s="3424"/>
      <c r="H137" s="1709"/>
      <c r="L137" s="1709"/>
      <c r="M137" s="1709"/>
      <c r="N137" s="1709"/>
      <c r="O137" s="1709"/>
      <c r="P137" s="1709"/>
      <c r="Q137" s="3424"/>
      <c r="R137" s="1709"/>
      <c r="S137" s="1709"/>
      <c r="T137" s="1709"/>
      <c r="U137" s="1709"/>
      <c r="V137" s="1709"/>
      <c r="W137" s="1709"/>
      <c r="X137" s="1709"/>
      <c r="Y137" s="1709"/>
      <c r="Z137" s="1709"/>
      <c r="AA137" s="1709"/>
      <c r="AB137" s="1709"/>
    </row>
    <row r="138" spans="2:28" s="1704" customFormat="1">
      <c r="E138" s="1709"/>
      <c r="F138" s="3424"/>
      <c r="G138" s="3424"/>
      <c r="H138" s="1709"/>
      <c r="L138" s="1709"/>
      <c r="M138" s="1709"/>
      <c r="N138" s="1709"/>
      <c r="O138" s="1709"/>
      <c r="P138" s="1709"/>
      <c r="Q138" s="3424"/>
      <c r="R138" s="1709"/>
      <c r="S138" s="1709"/>
      <c r="T138" s="1709"/>
      <c r="U138" s="1709"/>
      <c r="V138" s="1709"/>
      <c r="W138" s="1709"/>
      <c r="X138" s="1709"/>
      <c r="Y138" s="1709"/>
      <c r="Z138" s="1709"/>
      <c r="AA138" s="1709"/>
      <c r="AB138" s="1709"/>
    </row>
    <row r="139" spans="2:28" s="1704" customFormat="1">
      <c r="E139" s="1709"/>
      <c r="F139" s="3424"/>
      <c r="G139" s="3424"/>
      <c r="H139" s="1709"/>
      <c r="L139" s="1709"/>
      <c r="M139" s="1709"/>
      <c r="N139" s="1709"/>
      <c r="O139" s="1709"/>
      <c r="P139" s="1709"/>
      <c r="Q139" s="3424"/>
      <c r="R139" s="1709"/>
      <c r="S139" s="1709"/>
      <c r="T139" s="1709"/>
      <c r="U139" s="1709"/>
      <c r="V139" s="1709"/>
      <c r="W139" s="1709"/>
      <c r="X139" s="1709"/>
      <c r="Y139" s="1709"/>
      <c r="Z139" s="1709"/>
      <c r="AA139" s="1709"/>
      <c r="AB139" s="1709"/>
    </row>
    <row r="140" spans="2:28" s="1704" customFormat="1">
      <c r="E140" s="1709"/>
      <c r="F140" s="3424"/>
      <c r="G140" s="3424"/>
      <c r="H140" s="1709"/>
      <c r="L140" s="1709"/>
      <c r="M140" s="1709"/>
      <c r="N140" s="1709"/>
      <c r="O140" s="1709"/>
      <c r="P140" s="1709"/>
      <c r="Q140" s="3424"/>
      <c r="R140" s="1709"/>
      <c r="S140" s="1709"/>
      <c r="T140" s="1709"/>
      <c r="U140" s="1709"/>
      <c r="V140" s="1709"/>
      <c r="W140" s="1709"/>
      <c r="X140" s="1709"/>
      <c r="Y140" s="1709"/>
      <c r="Z140" s="1709"/>
      <c r="AA140" s="1709"/>
      <c r="AB140" s="1709"/>
    </row>
    <row r="141" spans="2:28" s="1704" customFormat="1">
      <c r="E141" s="1709"/>
      <c r="F141" s="3424"/>
      <c r="G141" s="3424"/>
      <c r="H141" s="1709"/>
      <c r="L141" s="1709"/>
      <c r="M141" s="1709"/>
      <c r="N141" s="1709"/>
      <c r="O141" s="1709"/>
      <c r="P141" s="1709"/>
      <c r="Q141" s="3424"/>
      <c r="R141" s="1709"/>
      <c r="S141" s="1709"/>
      <c r="T141" s="1709"/>
      <c r="U141" s="1709"/>
      <c r="V141" s="1709"/>
      <c r="W141" s="1709"/>
      <c r="X141" s="1709"/>
      <c r="Y141" s="1709"/>
      <c r="Z141" s="1709"/>
      <c r="AA141" s="1709"/>
      <c r="AB141" s="1709"/>
    </row>
    <row r="142" spans="2:28" s="1704" customFormat="1" ht="15.75">
      <c r="B142" s="3290" t="str">
        <f>B33</f>
        <v>8.2. Aquaculture</v>
      </c>
      <c r="C142" s="3291"/>
      <c r="D142" s="3291"/>
      <c r="E142" s="3291"/>
      <c r="F142" s="3291"/>
      <c r="G142" s="3291"/>
      <c r="H142" s="3291"/>
      <c r="I142" s="3291"/>
      <c r="J142" s="3291"/>
      <c r="K142" s="3291"/>
      <c r="L142" s="3291"/>
      <c r="M142" s="3291"/>
      <c r="N142" s="3291"/>
      <c r="O142" s="3291"/>
      <c r="P142" s="3291"/>
      <c r="Q142" s="3291"/>
      <c r="R142" s="3291"/>
      <c r="S142" s="3291"/>
      <c r="T142" s="3291"/>
      <c r="U142" s="3291"/>
      <c r="V142" s="3291"/>
      <c r="W142" s="1709"/>
      <c r="X142" s="1709"/>
      <c r="Y142" s="1709"/>
      <c r="Z142" s="1709"/>
      <c r="AA142" s="1709"/>
      <c r="AB142" s="1709"/>
    </row>
    <row r="143" spans="2:28" s="1704" customFormat="1">
      <c r="E143" s="1709"/>
      <c r="F143" s="3424"/>
      <c r="G143" s="3424"/>
      <c r="H143" s="1709"/>
      <c r="L143" s="1709"/>
      <c r="M143" s="1709"/>
      <c r="N143" s="1709"/>
      <c r="O143" s="1709"/>
      <c r="P143" s="1709"/>
      <c r="Q143" s="3424"/>
      <c r="R143" s="1709"/>
      <c r="S143" s="1709"/>
      <c r="T143" s="1709"/>
      <c r="U143" s="1709"/>
      <c r="V143" s="1709"/>
      <c r="W143" s="1709"/>
      <c r="X143" s="1709"/>
      <c r="Y143" s="1709"/>
      <c r="Z143" s="1709"/>
      <c r="AA143" s="1709"/>
      <c r="AB143" s="1709"/>
    </row>
    <row r="144" spans="2:28" s="1704" customFormat="1">
      <c r="B144" s="3075"/>
      <c r="C144" s="3075"/>
      <c r="D144" s="3075"/>
      <c r="E144" s="3075"/>
      <c r="F144" s="3075"/>
      <c r="G144" s="3075"/>
      <c r="H144" s="2946"/>
      <c r="I144" s="2946"/>
      <c r="J144" s="2946"/>
      <c r="K144" s="2946"/>
      <c r="L144" s="2946"/>
      <c r="M144" s="2946"/>
      <c r="N144" s="2946"/>
      <c r="O144" s="2946"/>
      <c r="P144" s="2946"/>
      <c r="Q144" s="2946"/>
      <c r="R144" s="2946"/>
      <c r="S144" s="2946"/>
      <c r="T144" s="2946"/>
      <c r="U144" s="2946"/>
      <c r="V144" s="2946"/>
      <c r="W144" s="2946"/>
      <c r="X144" s="1709"/>
      <c r="Y144" s="1709"/>
      <c r="Z144" s="1709"/>
      <c r="AA144" s="1709"/>
      <c r="AB144" s="1709"/>
    </row>
    <row r="145" spans="2:28" s="1704" customFormat="1">
      <c r="B145" s="3075"/>
      <c r="C145" s="3075"/>
      <c r="D145" s="3075"/>
      <c r="E145" s="3075"/>
      <c r="F145" s="3075"/>
      <c r="G145" s="3075"/>
      <c r="H145" s="2946"/>
      <c r="I145" s="2946"/>
      <c r="J145" s="2946"/>
      <c r="K145" s="2946"/>
      <c r="L145" s="2946"/>
      <c r="M145" s="2946"/>
      <c r="N145" s="2946"/>
      <c r="O145" s="2946"/>
      <c r="P145" s="2946"/>
      <c r="Q145" s="2946"/>
      <c r="R145" s="2946"/>
      <c r="S145" s="2946"/>
      <c r="T145" s="2946"/>
      <c r="U145" s="2946"/>
      <c r="V145" s="2946"/>
      <c r="W145" s="2946"/>
      <c r="X145" s="1709"/>
      <c r="Y145" s="1709"/>
      <c r="Z145" s="1709"/>
      <c r="AA145" s="1709"/>
      <c r="AB145" s="1709"/>
    </row>
    <row r="146" spans="2:28" s="1704" customFormat="1">
      <c r="B146" s="3075"/>
      <c r="C146" s="3075"/>
      <c r="D146" s="3075"/>
      <c r="E146" s="3075"/>
      <c r="F146" s="3075"/>
      <c r="G146" s="3075"/>
      <c r="H146" s="2946"/>
      <c r="I146" s="2946"/>
      <c r="J146" s="2946"/>
      <c r="K146" s="2946"/>
      <c r="L146" s="2946"/>
      <c r="M146" s="2946"/>
      <c r="N146" s="2946"/>
      <c r="O146" s="2946"/>
      <c r="P146" s="2946"/>
      <c r="Q146" s="2946"/>
      <c r="R146" s="2946"/>
      <c r="S146" s="2946"/>
      <c r="T146" s="2946"/>
      <c r="U146" s="2946"/>
      <c r="V146" s="2946"/>
      <c r="W146" s="2946"/>
      <c r="X146" s="1709"/>
      <c r="Y146" s="1709"/>
      <c r="Z146" s="1709"/>
      <c r="AA146" s="1709"/>
      <c r="AB146" s="1709"/>
    </row>
    <row r="147" spans="2:28" s="1704" customFormat="1">
      <c r="B147" s="3312" t="str">
        <f>B86</f>
        <v>Use this part only if you want to refine the analysis with Tier 2 coefficients.</v>
      </c>
      <c r="C147" s="2946"/>
      <c r="D147" s="2946"/>
      <c r="E147" s="2946"/>
      <c r="F147" s="2946"/>
      <c r="G147" s="2946"/>
      <c r="H147" s="2946"/>
      <c r="I147" s="2946"/>
      <c r="J147" s="2946"/>
      <c r="K147" s="2946"/>
      <c r="L147" s="2946"/>
      <c r="M147" s="2946"/>
      <c r="N147" s="2946"/>
      <c r="O147" s="2946"/>
      <c r="P147" s="2946"/>
      <c r="Q147" s="2946"/>
      <c r="R147" s="2946"/>
      <c r="S147" s="2946"/>
      <c r="T147" s="2946"/>
      <c r="U147" s="2946"/>
      <c r="V147" s="2946"/>
      <c r="W147" s="2946"/>
      <c r="X147" s="1709"/>
      <c r="Y147" s="1709"/>
      <c r="Z147" s="1709"/>
      <c r="AA147" s="1709"/>
      <c r="AB147" s="1709"/>
    </row>
    <row r="148" spans="2:28" s="1704" customFormat="1">
      <c r="B148" s="2947" t="str">
        <f>B87</f>
        <v>(default values are provided for your information only, while EX-ACT will use Tier 2 values automatically wherever specified)</v>
      </c>
      <c r="C148" s="2946"/>
      <c r="D148" s="2946"/>
      <c r="E148" s="2946"/>
      <c r="F148" s="2946"/>
      <c r="G148" s="2946"/>
      <c r="H148" s="2946"/>
      <c r="I148" s="2946"/>
      <c r="J148" s="2946"/>
      <c r="K148" s="2946"/>
      <c r="L148" s="2946"/>
      <c r="M148" s="2946"/>
      <c r="N148" s="2946"/>
      <c r="O148" s="2946"/>
      <c r="P148" s="2946"/>
      <c r="Q148" s="2946"/>
      <c r="R148" s="2946"/>
      <c r="S148" s="2946"/>
      <c r="T148" s="2946"/>
      <c r="U148" s="2946"/>
      <c r="V148" s="2946"/>
      <c r="W148" s="2946"/>
      <c r="X148" s="1709"/>
      <c r="Y148" s="1709"/>
      <c r="Z148" s="1709"/>
      <c r="AA148" s="1709"/>
      <c r="AB148" s="1709"/>
    </row>
    <row r="149" spans="2:28" s="1704" customFormat="1">
      <c r="E149" s="1709"/>
      <c r="F149" s="3424"/>
      <c r="G149" s="3424"/>
      <c r="H149" s="1709"/>
      <c r="L149" s="1709"/>
      <c r="M149" s="1709"/>
      <c r="N149" s="1709"/>
      <c r="O149" s="1709"/>
      <c r="P149" s="1709"/>
      <c r="Q149" s="3424"/>
      <c r="R149" s="1709"/>
      <c r="S149" s="1709"/>
      <c r="T149" s="1709"/>
      <c r="U149" s="1709"/>
      <c r="V149" s="1709"/>
      <c r="W149" s="1709"/>
      <c r="X149" s="1709"/>
      <c r="Y149" s="1709"/>
      <c r="Z149" s="1709"/>
      <c r="AA149" s="1709"/>
      <c r="AB149" s="1709"/>
    </row>
    <row r="150" spans="2:28" s="1704" customFormat="1">
      <c r="B150" s="2947"/>
      <c r="C150" s="3312" t="str">
        <f>HLOOKUP(select,translations!$A$582:$H$616,23,)</f>
        <v>Emissions factor for N2O emission from fish production (t N-N2O / t fish)</v>
      </c>
      <c r="D150" s="2946"/>
      <c r="E150" s="2946"/>
      <c r="F150" s="2946"/>
      <c r="G150" s="2946"/>
      <c r="H150" s="2946"/>
      <c r="I150" s="2946"/>
      <c r="J150" s="2946"/>
      <c r="K150" s="2946"/>
      <c r="L150" s="2946"/>
      <c r="M150" s="2946"/>
      <c r="N150" s="2946"/>
      <c r="O150" s="2946"/>
      <c r="P150" s="2946"/>
      <c r="Q150" s="2946"/>
      <c r="R150" s="2946"/>
      <c r="S150" s="2946"/>
      <c r="T150" s="2946"/>
      <c r="U150" s="2946"/>
      <c r="V150" s="2946"/>
      <c r="W150" s="2946"/>
      <c r="X150" s="1709"/>
      <c r="Y150" s="1709"/>
      <c r="Z150" s="1709"/>
      <c r="AA150" s="1709"/>
      <c r="AB150" s="1709"/>
    </row>
    <row r="151" spans="2:28" s="1704" customFormat="1">
      <c r="B151" s="3286"/>
      <c r="C151" s="3286"/>
      <c r="D151" s="3286"/>
      <c r="E151" s="3286"/>
      <c r="F151" s="3428"/>
      <c r="G151" s="3428"/>
      <c r="H151" s="3282" t="str">
        <f>U101</f>
        <v>Default</v>
      </c>
      <c r="I151" s="3286"/>
      <c r="J151" s="3282" t="str">
        <f>W101</f>
        <v>Tier 2</v>
      </c>
      <c r="K151" s="3428"/>
      <c r="L151" s="2946"/>
      <c r="M151" s="2946"/>
      <c r="N151" s="2946"/>
      <c r="O151" s="2946"/>
      <c r="P151" s="2998" t="str">
        <f>X105</f>
        <v>Emission factor</v>
      </c>
      <c r="Q151" s="2998"/>
      <c r="R151" s="2947"/>
      <c r="S151" s="2946"/>
      <c r="T151" s="2946"/>
      <c r="U151" s="2946"/>
      <c r="V151" s="2946"/>
      <c r="W151" s="2946"/>
      <c r="X151" s="1709"/>
      <c r="Y151" s="1709"/>
      <c r="Z151" s="1709"/>
      <c r="AA151" s="1709"/>
      <c r="AB151" s="1709"/>
    </row>
    <row r="152" spans="2:28" s="1704" customFormat="1">
      <c r="B152" s="3286"/>
      <c r="C152" s="3286"/>
      <c r="D152" s="3286"/>
      <c r="E152" s="3286"/>
      <c r="F152" s="3428"/>
      <c r="G152" s="3428"/>
      <c r="H152" s="3282"/>
      <c r="I152" s="3286"/>
      <c r="J152" s="3283"/>
      <c r="K152" s="3283"/>
      <c r="L152" s="2946"/>
      <c r="M152" s="2946"/>
      <c r="N152" s="2946"/>
      <c r="O152" s="2946"/>
      <c r="P152" s="2947" t="str">
        <f>X106</f>
        <v>(tCO2-eq / t catch)</v>
      </c>
      <c r="Q152" s="2947"/>
      <c r="R152" s="2947"/>
      <c r="S152" s="2946"/>
      <c r="T152" s="2946"/>
      <c r="U152" s="2946"/>
      <c r="V152" s="2946"/>
      <c r="W152" s="2946"/>
      <c r="X152" s="1709"/>
      <c r="Y152" s="1709"/>
      <c r="Z152" s="1709"/>
      <c r="AA152" s="1709"/>
      <c r="AB152" s="1709"/>
    </row>
    <row r="153" spans="2:28" s="1704" customFormat="1">
      <c r="B153" s="3286"/>
      <c r="C153" s="3273" t="str">
        <f>C40</f>
        <v>Production system 1</v>
      </c>
      <c r="D153" s="3286"/>
      <c r="E153" s="3286"/>
      <c r="F153" s="3428"/>
      <c r="G153" s="3428"/>
      <c r="H153" s="3282">
        <v>1.6900000000000001E-3</v>
      </c>
      <c r="I153" s="3286"/>
      <c r="J153" s="3280"/>
      <c r="K153" s="3422"/>
      <c r="L153" s="2946"/>
      <c r="M153" s="2946"/>
      <c r="N153" s="2946"/>
      <c r="O153" s="2946"/>
      <c r="P153" s="2997">
        <f>Nitrous*IF(J153="",H153,J153)*44/28</f>
        <v>0.79140285714285719</v>
      </c>
      <c r="Q153" s="2997"/>
      <c r="R153" s="2947"/>
      <c r="S153" s="2947"/>
      <c r="T153" s="2947"/>
      <c r="U153" s="2947"/>
      <c r="V153" s="2947"/>
      <c r="W153" s="2947"/>
      <c r="X153" s="1709"/>
      <c r="Y153" s="1709"/>
      <c r="Z153" s="1709"/>
      <c r="AA153" s="1709"/>
      <c r="AB153" s="1709"/>
    </row>
    <row r="154" spans="2:28" s="1704" customFormat="1">
      <c r="B154" s="3286"/>
      <c r="C154" s="3273" t="str">
        <f t="shared" ref="C154:C157" si="6">C41</f>
        <v>Production system 2</v>
      </c>
      <c r="D154" s="3286"/>
      <c r="E154" s="3286"/>
      <c r="F154" s="3428"/>
      <c r="G154" s="3428"/>
      <c r="H154" s="3286">
        <v>1.6900000000000001E-3</v>
      </c>
      <c r="I154" s="3286"/>
      <c r="J154" s="3284"/>
      <c r="K154" s="3422"/>
      <c r="L154" s="2946"/>
      <c r="M154" s="2946"/>
      <c r="N154" s="2946"/>
      <c r="O154" s="2946"/>
      <c r="P154" s="2997">
        <f>Nitrous*IF(J154="",H154,J154)*44/28</f>
        <v>0.79140285714285719</v>
      </c>
      <c r="Q154" s="2997"/>
      <c r="R154" s="2947"/>
      <c r="S154" s="2947"/>
      <c r="T154" s="2947"/>
      <c r="U154" s="2947"/>
      <c r="V154" s="2947"/>
      <c r="W154" s="2947"/>
      <c r="X154" s="1709"/>
      <c r="Y154" s="1709"/>
      <c r="Z154" s="1709"/>
      <c r="AA154" s="1709"/>
      <c r="AB154" s="1709"/>
    </row>
    <row r="155" spans="2:28" s="1704" customFormat="1">
      <c r="B155" s="3286"/>
      <c r="C155" s="3273" t="str">
        <f t="shared" si="6"/>
        <v>Production system 3</v>
      </c>
      <c r="D155" s="3286"/>
      <c r="E155" s="3286"/>
      <c r="F155" s="3428"/>
      <c r="G155" s="3428"/>
      <c r="H155" s="3286">
        <v>1.6900000000000001E-3</v>
      </c>
      <c r="I155" s="3286"/>
      <c r="J155" s="3284"/>
      <c r="K155" s="3422"/>
      <c r="L155" s="2946"/>
      <c r="M155" s="2946"/>
      <c r="N155" s="2946"/>
      <c r="O155" s="2946"/>
      <c r="P155" s="2997">
        <f>Nitrous*IF(J155="",H155,J155)*44/28</f>
        <v>0.79140285714285719</v>
      </c>
      <c r="Q155" s="2997"/>
      <c r="R155" s="2947"/>
      <c r="S155" s="2947"/>
      <c r="T155" s="2947"/>
      <c r="U155" s="2947"/>
      <c r="V155" s="2947"/>
      <c r="W155" s="2947"/>
      <c r="X155" s="1709"/>
      <c r="Y155" s="1709"/>
      <c r="Z155" s="1709"/>
      <c r="AA155" s="1709"/>
      <c r="AB155" s="1709"/>
    </row>
    <row r="156" spans="2:28" s="1704" customFormat="1">
      <c r="B156" s="3286"/>
      <c r="C156" s="3273" t="str">
        <f t="shared" si="6"/>
        <v>Production system 4</v>
      </c>
      <c r="D156" s="3286"/>
      <c r="E156" s="3286"/>
      <c r="F156" s="3428"/>
      <c r="G156" s="3428"/>
      <c r="H156" s="3286">
        <v>1.6900000000000001E-3</v>
      </c>
      <c r="I156" s="3286"/>
      <c r="J156" s="3284"/>
      <c r="K156" s="3422"/>
      <c r="L156" s="2946"/>
      <c r="M156" s="2946"/>
      <c r="N156" s="2946"/>
      <c r="O156" s="2946"/>
      <c r="P156" s="2997">
        <f>Nitrous*IF(J156="",H156,J156)*44/28</f>
        <v>0.79140285714285719</v>
      </c>
      <c r="Q156" s="2997"/>
      <c r="R156" s="2947"/>
      <c r="S156" s="2947"/>
      <c r="T156" s="2947"/>
      <c r="U156" s="2947"/>
      <c r="V156" s="2947"/>
      <c r="W156" s="2947"/>
      <c r="X156" s="1709"/>
      <c r="Y156" s="1709"/>
      <c r="Z156" s="1709"/>
      <c r="AA156" s="1709"/>
      <c r="AB156" s="1709"/>
    </row>
    <row r="157" spans="2:28" s="1704" customFormat="1">
      <c r="B157" s="3286"/>
      <c r="C157" s="3273" t="str">
        <f t="shared" si="6"/>
        <v>Production system 5</v>
      </c>
      <c r="D157" s="3286"/>
      <c r="E157" s="3286"/>
      <c r="F157" s="3428"/>
      <c r="G157" s="3428"/>
      <c r="H157" s="3286">
        <v>1.6900000000000001E-3</v>
      </c>
      <c r="I157" s="3286"/>
      <c r="J157" s="3284"/>
      <c r="K157" s="3422"/>
      <c r="L157" s="2946"/>
      <c r="M157" s="2946"/>
      <c r="N157" s="2946"/>
      <c r="O157" s="2946"/>
      <c r="P157" s="2997">
        <f>Nitrous*IF(J157="",H157,J157)*44/28</f>
        <v>0.79140285714285719</v>
      </c>
      <c r="Q157" s="2997"/>
      <c r="R157" s="2947"/>
      <c r="S157" s="2947"/>
      <c r="T157" s="2947"/>
      <c r="U157" s="2947"/>
      <c r="V157" s="2947"/>
      <c r="W157" s="2947"/>
      <c r="X157" s="1709"/>
      <c r="Y157" s="1709"/>
      <c r="Z157" s="1709"/>
      <c r="AA157" s="1709"/>
      <c r="AB157" s="1709"/>
    </row>
    <row r="158" spans="2:28" s="1704" customFormat="1">
      <c r="B158" s="3286"/>
      <c r="C158" s="3286"/>
      <c r="D158" s="3286"/>
      <c r="E158" s="3286"/>
      <c r="F158" s="3428"/>
      <c r="G158" s="3428"/>
      <c r="H158" s="3286"/>
      <c r="I158" s="3286"/>
      <c r="J158" s="3286"/>
      <c r="K158" s="3428"/>
      <c r="L158" s="3286"/>
      <c r="M158" s="3286"/>
      <c r="N158" s="3286"/>
      <c r="O158" s="2946"/>
      <c r="P158" s="3286"/>
      <c r="Q158" s="3428"/>
      <c r="R158" s="3286"/>
      <c r="S158" s="3286"/>
      <c r="T158" s="3286"/>
      <c r="U158" s="3286"/>
      <c r="V158" s="3286"/>
      <c r="W158" s="3298"/>
      <c r="X158" s="1709"/>
      <c r="Y158" s="1709"/>
      <c r="Z158" s="1709"/>
      <c r="AA158" s="1709"/>
      <c r="AB158" s="1709"/>
    </row>
    <row r="159" spans="2:28" s="1704" customFormat="1">
      <c r="B159" s="2947"/>
      <c r="C159" s="3312" t="str">
        <f>HLOOKUP(select,translations!$A$582:$H$625,32,)</f>
        <v>Emissions factor for feed (tCO2-eq / t feed)</v>
      </c>
      <c r="D159" s="2947"/>
      <c r="E159" s="3286"/>
      <c r="F159" s="3428"/>
      <c r="G159" s="3428"/>
      <c r="H159" s="3286"/>
      <c r="I159" s="2947"/>
      <c r="J159" s="2947"/>
      <c r="K159" s="2947"/>
      <c r="L159" s="3286"/>
      <c r="M159" s="3286"/>
      <c r="N159" s="3286"/>
      <c r="O159" s="3286"/>
      <c r="P159" s="3286"/>
      <c r="Q159" s="3428"/>
      <c r="R159" s="3286"/>
      <c r="S159" s="3286"/>
      <c r="T159" s="3286"/>
      <c r="U159" s="3286"/>
      <c r="V159" s="3286"/>
      <c r="W159" s="3298"/>
      <c r="X159" s="1709"/>
      <c r="Y159" s="1709"/>
      <c r="Z159" s="1709"/>
      <c r="AA159" s="1709"/>
      <c r="AB159" s="1709"/>
    </row>
    <row r="160" spans="2:28" s="1704" customFormat="1">
      <c r="B160" s="2947"/>
      <c r="C160" s="2947"/>
      <c r="D160" s="2947"/>
      <c r="E160" s="3286"/>
      <c r="F160" s="3428"/>
      <c r="G160" s="3428"/>
      <c r="H160" s="3286" t="str">
        <f>H151</f>
        <v>Default</v>
      </c>
      <c r="I160" s="2947"/>
      <c r="J160" s="2947" t="str">
        <f>J151</f>
        <v>Tier 2</v>
      </c>
      <c r="K160" s="2947"/>
      <c r="L160" s="3286"/>
      <c r="M160" s="3286"/>
      <c r="N160" s="3286"/>
      <c r="O160" s="3286"/>
      <c r="P160" s="3286"/>
      <c r="Q160" s="3428"/>
      <c r="R160" s="3286"/>
      <c r="S160" s="3286"/>
      <c r="T160" s="3286"/>
      <c r="U160" s="3286"/>
      <c r="V160" s="3286"/>
      <c r="W160" s="3298"/>
      <c r="X160" s="1709"/>
      <c r="Y160" s="1709"/>
      <c r="Z160" s="1709"/>
      <c r="AA160" s="1709"/>
      <c r="AB160" s="1709"/>
    </row>
    <row r="161" spans="2:28" s="1704" customFormat="1">
      <c r="B161" s="2947"/>
      <c r="C161" s="2947" t="str">
        <f>C48</f>
        <v>Feed n°1</v>
      </c>
      <c r="D161" s="2947"/>
      <c r="E161" s="3286"/>
      <c r="F161" s="3428"/>
      <c r="G161" s="3428"/>
      <c r="H161" s="3286">
        <v>0</v>
      </c>
      <c r="I161" s="2947"/>
      <c r="J161" s="3284"/>
      <c r="K161" s="3422"/>
      <c r="L161" s="3286"/>
      <c r="M161" s="3286"/>
      <c r="N161" s="3286"/>
      <c r="O161" s="3286"/>
      <c r="P161" s="3286"/>
      <c r="Q161" s="3428"/>
      <c r="R161" s="3286"/>
      <c r="S161" s="3286"/>
      <c r="T161" s="3286"/>
      <c r="U161" s="3286"/>
      <c r="V161" s="3286"/>
      <c r="W161" s="3298"/>
      <c r="X161" s="1709"/>
      <c r="Y161" s="1709"/>
      <c r="Z161" s="1709"/>
      <c r="AA161" s="1709"/>
      <c r="AB161" s="1709"/>
    </row>
    <row r="162" spans="2:28" s="1704" customFormat="1">
      <c r="B162" s="2947"/>
      <c r="C162" s="2947" t="str">
        <f t="shared" ref="C162:C165" si="7">C49</f>
        <v>Feed n°2</v>
      </c>
      <c r="D162" s="2947"/>
      <c r="E162" s="3286"/>
      <c r="F162" s="3428"/>
      <c r="G162" s="3428"/>
      <c r="H162" s="3286">
        <v>0</v>
      </c>
      <c r="I162" s="2947"/>
      <c r="J162" s="3284"/>
      <c r="K162" s="3422"/>
      <c r="L162" s="3286"/>
      <c r="M162" s="3286"/>
      <c r="N162" s="3286"/>
      <c r="O162" s="3286"/>
      <c r="P162" s="3286"/>
      <c r="Q162" s="3428"/>
      <c r="R162" s="3286"/>
      <c r="S162" s="3286"/>
      <c r="T162" s="3286"/>
      <c r="U162" s="3286"/>
      <c r="V162" s="3286"/>
      <c r="W162" s="3298"/>
      <c r="X162" s="1709"/>
      <c r="Y162" s="1709"/>
      <c r="Z162" s="1709"/>
      <c r="AA162" s="1709"/>
      <c r="AB162" s="1709"/>
    </row>
    <row r="163" spans="2:28" s="1704" customFormat="1">
      <c r="B163" s="2947"/>
      <c r="C163" s="2947" t="str">
        <f t="shared" si="7"/>
        <v>Feed n°3</v>
      </c>
      <c r="D163" s="2947"/>
      <c r="E163" s="3286"/>
      <c r="F163" s="3428"/>
      <c r="G163" s="3428"/>
      <c r="H163" s="3286">
        <v>0</v>
      </c>
      <c r="I163" s="2947"/>
      <c r="J163" s="3284"/>
      <c r="K163" s="3422"/>
      <c r="L163" s="3286"/>
      <c r="M163" s="3286"/>
      <c r="N163" s="3286"/>
      <c r="O163" s="3286"/>
      <c r="P163" s="3286"/>
      <c r="Q163" s="3428"/>
      <c r="R163" s="3286"/>
      <c r="S163" s="3286"/>
      <c r="T163" s="3286"/>
      <c r="U163" s="3286"/>
      <c r="V163" s="3286"/>
      <c r="W163" s="3298"/>
      <c r="X163" s="1709"/>
      <c r="Y163" s="1709"/>
      <c r="Z163" s="1709"/>
      <c r="AA163" s="1709"/>
      <c r="AB163" s="1709"/>
    </row>
    <row r="164" spans="2:28" s="1704" customFormat="1">
      <c r="B164" s="2947"/>
      <c r="C164" s="2947" t="str">
        <f t="shared" si="7"/>
        <v>Feed n°4</v>
      </c>
      <c r="D164" s="2947"/>
      <c r="E164" s="3286"/>
      <c r="F164" s="3428"/>
      <c r="G164" s="3428"/>
      <c r="H164" s="3286">
        <v>0</v>
      </c>
      <c r="I164" s="2947"/>
      <c r="J164" s="3284"/>
      <c r="K164" s="3422"/>
      <c r="L164" s="3286"/>
      <c r="M164" s="3286"/>
      <c r="N164" s="3286"/>
      <c r="O164" s="3286"/>
      <c r="P164" s="3286"/>
      <c r="Q164" s="3428"/>
      <c r="R164" s="3286"/>
      <c r="S164" s="3286"/>
      <c r="T164" s="3286"/>
      <c r="U164" s="3286"/>
      <c r="V164" s="3286"/>
      <c r="W164" s="3298"/>
      <c r="X164" s="1709"/>
      <c r="Y164" s="1709"/>
      <c r="Z164" s="1709"/>
      <c r="AA164" s="1709"/>
      <c r="AB164" s="1709"/>
    </row>
    <row r="165" spans="2:28" s="1704" customFormat="1">
      <c r="B165" s="2947"/>
      <c r="C165" s="2947" t="str">
        <f t="shared" si="7"/>
        <v>Feed n°5</v>
      </c>
      <c r="D165" s="2947"/>
      <c r="E165" s="3286"/>
      <c r="F165" s="3428"/>
      <c r="G165" s="3428"/>
      <c r="H165" s="3286">
        <v>0</v>
      </c>
      <c r="I165" s="2947"/>
      <c r="J165" s="3284"/>
      <c r="K165" s="3422"/>
      <c r="L165" s="3286"/>
      <c r="M165" s="3286"/>
      <c r="N165" s="3286"/>
      <c r="O165" s="3286"/>
      <c r="P165" s="3286"/>
      <c r="Q165" s="3428"/>
      <c r="R165" s="3286"/>
      <c r="S165" s="3286"/>
      <c r="T165" s="3286"/>
      <c r="U165" s="3286"/>
      <c r="V165" s="3286"/>
      <c r="W165" s="3298"/>
      <c r="X165" s="1709"/>
      <c r="Y165" s="1709"/>
      <c r="Z165" s="1709"/>
      <c r="AA165" s="1709"/>
      <c r="AB165" s="1709"/>
    </row>
    <row r="166" spans="2:28" s="1704" customFormat="1">
      <c r="B166" s="2947"/>
      <c r="C166" s="2947"/>
      <c r="D166" s="2947"/>
      <c r="E166" s="3286"/>
      <c r="F166" s="3428"/>
      <c r="G166" s="3428"/>
      <c r="H166" s="3286"/>
      <c r="I166" s="2947"/>
      <c r="J166" s="2947"/>
      <c r="K166" s="2947"/>
      <c r="L166" s="3286"/>
      <c r="M166" s="3286"/>
      <c r="N166" s="3286"/>
      <c r="O166" s="3286"/>
      <c r="P166" s="3286"/>
      <c r="Q166" s="3428"/>
      <c r="R166" s="3286"/>
      <c r="S166" s="3286"/>
      <c r="T166" s="3286"/>
      <c r="U166" s="3286"/>
      <c r="V166" s="3286"/>
      <c r="W166" s="3298"/>
      <c r="X166" s="1709"/>
      <c r="Y166" s="1709"/>
      <c r="Z166" s="1709"/>
      <c r="AA166" s="1709"/>
      <c r="AB166" s="1709"/>
    </row>
    <row r="167" spans="2:28" s="1704" customFormat="1">
      <c r="E167" s="1709"/>
      <c r="F167" s="3424"/>
      <c r="G167" s="3424"/>
      <c r="H167" s="1709"/>
      <c r="L167" s="1709"/>
      <c r="M167" s="1709"/>
      <c r="N167" s="1709"/>
      <c r="O167" s="1709"/>
      <c r="P167" s="1709"/>
      <c r="Q167" s="3424"/>
      <c r="R167" s="1709"/>
      <c r="S167" s="1709"/>
      <c r="T167" s="1709"/>
      <c r="U167" s="1709"/>
      <c r="V167" s="1709"/>
      <c r="W167" s="1709"/>
      <c r="X167" s="1709"/>
      <c r="Y167" s="1709"/>
      <c r="Z167" s="1709"/>
      <c r="AA167" s="1709"/>
      <c r="AB167" s="1709"/>
    </row>
    <row r="168" spans="2:28" s="1704" customFormat="1">
      <c r="E168" s="1709"/>
      <c r="F168" s="3424"/>
      <c r="G168" s="3424"/>
      <c r="H168" s="1709"/>
      <c r="L168" s="1709"/>
      <c r="M168" s="1709"/>
      <c r="N168" s="1709"/>
      <c r="O168" s="1709"/>
      <c r="P168" s="1709"/>
      <c r="Q168" s="3424"/>
      <c r="R168" s="1709"/>
      <c r="S168" s="1709"/>
      <c r="T168" s="1709"/>
      <c r="U168" s="1709"/>
      <c r="V168" s="1709"/>
      <c r="W168" s="1709"/>
      <c r="X168" s="1709"/>
      <c r="Y168" s="1709"/>
      <c r="Z168" s="1709"/>
      <c r="AA168" s="1709"/>
      <c r="AB168" s="1709"/>
    </row>
    <row r="169" spans="2:28" s="1704" customFormat="1">
      <c r="E169" s="1709"/>
      <c r="F169" s="3424"/>
      <c r="G169" s="3424"/>
      <c r="H169" s="1709"/>
      <c r="L169" s="1709"/>
      <c r="M169" s="1709"/>
      <c r="N169" s="1709"/>
      <c r="O169" s="1709"/>
      <c r="P169" s="1709"/>
      <c r="Q169" s="3424"/>
      <c r="R169" s="1709"/>
      <c r="S169" s="1709"/>
      <c r="T169" s="1709"/>
      <c r="U169" s="1709"/>
      <c r="V169" s="1709"/>
      <c r="W169" s="1709"/>
      <c r="X169" s="1709"/>
      <c r="Y169" s="1709"/>
      <c r="Z169" s="1709"/>
      <c r="AA169" s="1709"/>
      <c r="AB169" s="1709"/>
    </row>
    <row r="170" spans="2:28" s="1704" customFormat="1">
      <c r="E170" s="1709"/>
      <c r="F170" s="3424"/>
      <c r="G170" s="3424"/>
      <c r="H170" s="1709"/>
      <c r="L170" s="1709"/>
      <c r="M170" s="1709"/>
      <c r="N170" s="1709"/>
      <c r="O170" s="1709"/>
      <c r="P170" s="1709"/>
      <c r="Q170" s="3424"/>
      <c r="R170" s="1709"/>
      <c r="S170" s="1709"/>
      <c r="T170" s="1709"/>
      <c r="U170" s="1709"/>
      <c r="V170" s="1709"/>
      <c r="W170" s="1709"/>
      <c r="X170" s="1709"/>
      <c r="Y170" s="1709"/>
      <c r="Z170" s="1709"/>
      <c r="AA170" s="1709"/>
      <c r="AB170" s="1709"/>
    </row>
    <row r="171" spans="2:28" s="1704" customFormat="1">
      <c r="E171" s="1709"/>
      <c r="F171" s="3424"/>
      <c r="G171" s="3424"/>
      <c r="H171" s="1709"/>
      <c r="L171" s="1709"/>
      <c r="M171" s="1709"/>
      <c r="N171" s="1709"/>
      <c r="O171" s="1709"/>
      <c r="P171" s="1709"/>
      <c r="Q171" s="3424"/>
      <c r="R171" s="1709"/>
      <c r="S171" s="1709"/>
      <c r="T171" s="1709"/>
      <c r="U171" s="1709"/>
      <c r="V171" s="1709"/>
      <c r="W171" s="1709"/>
      <c r="X171" s="1709"/>
      <c r="Y171" s="1709"/>
      <c r="Z171" s="1709"/>
      <c r="AA171" s="1709"/>
      <c r="AB171" s="1709"/>
    </row>
    <row r="172" spans="2:28" s="1704" customFormat="1">
      <c r="E172" s="1709"/>
      <c r="F172" s="3424"/>
      <c r="G172" s="3424"/>
      <c r="H172" s="1709"/>
      <c r="L172" s="1709"/>
      <c r="M172" s="1709"/>
      <c r="N172" s="1709"/>
      <c r="O172" s="1709"/>
      <c r="P172" s="1709"/>
      <c r="Q172" s="3424"/>
      <c r="R172" s="1709"/>
      <c r="S172" s="1709"/>
      <c r="T172" s="1709"/>
      <c r="U172" s="1709"/>
      <c r="V172" s="1709"/>
      <c r="W172" s="1709"/>
      <c r="X172" s="1709"/>
      <c r="Y172" s="1709"/>
      <c r="Z172" s="1709"/>
      <c r="AA172" s="1709"/>
      <c r="AB172" s="1709"/>
    </row>
    <row r="173" spans="2:28" s="1704" customFormat="1">
      <c r="E173" s="1709"/>
      <c r="F173" s="3424"/>
      <c r="G173" s="3424"/>
      <c r="H173" s="1709"/>
      <c r="L173" s="1709"/>
      <c r="M173" s="1709"/>
      <c r="N173" s="1709"/>
      <c r="O173" s="1709"/>
      <c r="P173" s="1709"/>
      <c r="Q173" s="3424"/>
      <c r="R173" s="1709"/>
      <c r="S173" s="1709"/>
      <c r="T173" s="1709"/>
      <c r="U173" s="1709"/>
      <c r="V173" s="1709"/>
      <c r="W173" s="1709"/>
      <c r="X173" s="1709"/>
      <c r="Y173" s="1709"/>
      <c r="Z173" s="1709"/>
      <c r="AA173" s="1709"/>
      <c r="AB173" s="1709"/>
    </row>
    <row r="174" spans="2:28" s="1704" customFormat="1">
      <c r="E174" s="1709"/>
      <c r="F174" s="3424"/>
      <c r="G174" s="3424"/>
      <c r="H174" s="1709"/>
      <c r="L174" s="1709"/>
      <c r="M174" s="1709"/>
      <c r="N174" s="1709"/>
      <c r="O174" s="1709"/>
      <c r="P174" s="1709"/>
      <c r="Q174" s="3424"/>
      <c r="R174" s="1709"/>
      <c r="S174" s="1709"/>
      <c r="T174" s="1709"/>
      <c r="U174" s="1709"/>
      <c r="V174" s="1709"/>
      <c r="W174" s="1709"/>
      <c r="X174" s="1709"/>
      <c r="Y174" s="1709"/>
      <c r="Z174" s="1709"/>
      <c r="AA174" s="1709"/>
      <c r="AB174" s="1709"/>
    </row>
    <row r="175" spans="2:28" s="1704" customFormat="1">
      <c r="E175" s="1709"/>
      <c r="F175" s="3424"/>
      <c r="G175" s="3424"/>
      <c r="H175" s="1709"/>
      <c r="L175" s="1709"/>
      <c r="M175" s="1709"/>
      <c r="N175" s="1709"/>
      <c r="O175" s="1709"/>
      <c r="P175" s="1709"/>
      <c r="Q175" s="3424"/>
      <c r="R175" s="1709"/>
      <c r="S175" s="1709"/>
      <c r="T175" s="1709"/>
      <c r="U175" s="1709"/>
      <c r="V175" s="1709"/>
      <c r="W175" s="1709"/>
      <c r="X175" s="1709"/>
      <c r="Y175" s="1709"/>
      <c r="Z175" s="1709"/>
      <c r="AA175" s="1709"/>
      <c r="AB175" s="1709"/>
    </row>
    <row r="176" spans="2:28" s="1704" customFormat="1">
      <c r="E176" s="1709"/>
      <c r="F176" s="3424"/>
      <c r="G176" s="3424"/>
      <c r="H176" s="1709"/>
      <c r="L176" s="1709"/>
      <c r="M176" s="1709"/>
      <c r="N176" s="1709"/>
      <c r="O176" s="1709"/>
      <c r="P176" s="1709"/>
      <c r="Q176" s="3424"/>
      <c r="R176" s="1709"/>
      <c r="S176" s="1709"/>
      <c r="T176" s="1709"/>
      <c r="U176" s="1709"/>
      <c r="V176" s="1709"/>
      <c r="W176" s="1709"/>
      <c r="X176" s="1709"/>
      <c r="Y176" s="1709"/>
      <c r="Z176" s="1709"/>
      <c r="AA176" s="1709"/>
      <c r="AB176" s="1709"/>
    </row>
    <row r="177" spans="5:28" s="1704" customFormat="1">
      <c r="E177" s="1709"/>
      <c r="F177" s="3424"/>
      <c r="G177" s="3424"/>
      <c r="H177" s="1709"/>
      <c r="L177" s="1709"/>
      <c r="M177" s="1709"/>
      <c r="N177" s="1709"/>
      <c r="O177" s="1709"/>
      <c r="P177" s="1709"/>
      <c r="Q177" s="3424"/>
      <c r="R177" s="1709"/>
      <c r="S177" s="1709"/>
      <c r="T177" s="1709"/>
      <c r="U177" s="1709"/>
      <c r="V177" s="1709"/>
      <c r="W177" s="1709"/>
      <c r="X177" s="1709"/>
      <c r="Y177" s="1709"/>
      <c r="Z177" s="1709"/>
      <c r="AA177" s="1709"/>
      <c r="AB177" s="1709"/>
    </row>
    <row r="178" spans="5:28" s="1704" customFormat="1">
      <c r="E178" s="1709"/>
      <c r="F178" s="3424"/>
      <c r="G178" s="3424"/>
      <c r="H178" s="1709"/>
      <c r="L178" s="1709"/>
      <c r="M178" s="1709"/>
      <c r="N178" s="1709"/>
      <c r="O178" s="1709"/>
      <c r="P178" s="1709"/>
      <c r="Q178" s="3424"/>
      <c r="R178" s="1709"/>
      <c r="S178" s="1709"/>
      <c r="T178" s="1709"/>
      <c r="U178" s="1709"/>
      <c r="V178" s="1709"/>
      <c r="W178" s="1709"/>
      <c r="X178" s="1709"/>
      <c r="Y178" s="1709"/>
      <c r="Z178" s="1709"/>
      <c r="AA178" s="1709"/>
      <c r="AB178" s="1709"/>
    </row>
    <row r="179" spans="5:28" s="1704" customFormat="1">
      <c r="E179" s="1709"/>
      <c r="F179" s="3424"/>
      <c r="G179" s="3424"/>
      <c r="H179" s="1709"/>
      <c r="L179" s="1709"/>
      <c r="M179" s="1709"/>
      <c r="N179" s="1709"/>
      <c r="O179" s="1709"/>
      <c r="P179" s="1709"/>
      <c r="Q179" s="3424"/>
      <c r="R179" s="1709"/>
      <c r="S179" s="1709"/>
      <c r="T179" s="1709"/>
      <c r="U179" s="1709"/>
      <c r="V179" s="1709"/>
      <c r="W179" s="1709"/>
      <c r="X179" s="1709"/>
      <c r="Y179" s="1709"/>
      <c r="Z179" s="1709"/>
      <c r="AA179" s="1709"/>
      <c r="AB179" s="1709"/>
    </row>
    <row r="180" spans="5:28" s="1704" customFormat="1">
      <c r="E180" s="1709"/>
      <c r="F180" s="3424"/>
      <c r="G180" s="3424"/>
      <c r="H180" s="1709"/>
      <c r="L180" s="1709"/>
      <c r="M180" s="1709"/>
      <c r="N180" s="1709"/>
      <c r="O180" s="1709"/>
      <c r="P180" s="1709"/>
      <c r="Q180" s="3424"/>
      <c r="R180" s="1709"/>
      <c r="S180" s="1709"/>
      <c r="T180" s="1709"/>
      <c r="U180" s="1709"/>
      <c r="V180" s="1709"/>
      <c r="W180" s="1709"/>
      <c r="X180" s="1709"/>
      <c r="Y180" s="1709"/>
      <c r="Z180" s="1709"/>
      <c r="AA180" s="1709"/>
      <c r="AB180" s="1709"/>
    </row>
    <row r="181" spans="5:28" s="1704" customFormat="1">
      <c r="E181" s="1709"/>
      <c r="F181" s="3424"/>
      <c r="G181" s="3424"/>
      <c r="H181" s="1709"/>
      <c r="L181" s="1709"/>
      <c r="M181" s="1709"/>
      <c r="N181" s="1709"/>
      <c r="O181" s="1709"/>
      <c r="P181" s="1709"/>
      <c r="Q181" s="3424"/>
      <c r="R181" s="1709"/>
      <c r="S181" s="1709"/>
      <c r="T181" s="1709"/>
      <c r="U181" s="1709"/>
      <c r="V181" s="1709"/>
      <c r="W181" s="1709"/>
      <c r="X181" s="1709"/>
      <c r="Y181" s="1709"/>
      <c r="Z181" s="1709"/>
      <c r="AA181" s="1709"/>
      <c r="AB181" s="1709"/>
    </row>
    <row r="182" spans="5:28" s="1704" customFormat="1">
      <c r="E182" s="1709"/>
      <c r="F182" s="3424"/>
      <c r="G182" s="3424"/>
      <c r="H182" s="1709"/>
      <c r="L182" s="1709"/>
      <c r="M182" s="1709"/>
      <c r="N182" s="1709"/>
      <c r="O182" s="1709"/>
      <c r="P182" s="1709"/>
      <c r="Q182" s="3424"/>
      <c r="R182" s="1709"/>
      <c r="S182" s="1709"/>
      <c r="T182" s="1709"/>
      <c r="U182" s="1709"/>
      <c r="V182" s="1709"/>
      <c r="W182" s="1709"/>
      <c r="X182" s="1709"/>
      <c r="Y182" s="1709"/>
      <c r="Z182" s="1709"/>
      <c r="AA182" s="1709"/>
      <c r="AB182" s="1709"/>
    </row>
    <row r="183" spans="5:28" s="1704" customFormat="1">
      <c r="E183" s="1709"/>
      <c r="F183" s="3424"/>
      <c r="G183" s="3424"/>
      <c r="H183" s="1709"/>
      <c r="L183" s="1709"/>
      <c r="M183" s="1709"/>
      <c r="N183" s="1709"/>
      <c r="O183" s="1709"/>
      <c r="P183" s="1709"/>
      <c r="Q183" s="3424"/>
      <c r="R183" s="1709"/>
      <c r="S183" s="1709"/>
      <c r="T183" s="1709"/>
      <c r="U183" s="1709"/>
      <c r="V183" s="1709"/>
      <c r="W183" s="1709"/>
      <c r="X183" s="1709"/>
      <c r="Y183" s="1709"/>
      <c r="Z183" s="1709"/>
      <c r="AA183" s="1709"/>
      <c r="AB183" s="1709"/>
    </row>
    <row r="184" spans="5:28" s="1704" customFormat="1">
      <c r="E184" s="1709"/>
      <c r="F184" s="3424"/>
      <c r="G184" s="3424"/>
      <c r="H184" s="1709"/>
      <c r="L184" s="1709"/>
      <c r="M184" s="1709"/>
      <c r="N184" s="1709"/>
      <c r="O184" s="1709"/>
      <c r="P184" s="1709"/>
      <c r="Q184" s="3424"/>
      <c r="R184" s="1709"/>
      <c r="S184" s="1709"/>
      <c r="T184" s="1709"/>
      <c r="U184" s="1709"/>
      <c r="V184" s="1709"/>
      <c r="W184" s="1709"/>
      <c r="X184" s="1709"/>
      <c r="Y184" s="1709"/>
      <c r="Z184" s="1709"/>
      <c r="AA184" s="1709"/>
      <c r="AB184" s="1709"/>
    </row>
    <row r="185" spans="5:28" s="1704" customFormat="1">
      <c r="E185" s="1709"/>
      <c r="F185" s="3424"/>
      <c r="G185" s="3424"/>
      <c r="H185" s="1709"/>
      <c r="L185" s="1709"/>
      <c r="M185" s="1709"/>
      <c r="N185" s="1709"/>
      <c r="O185" s="1709"/>
      <c r="P185" s="1709"/>
      <c r="Q185" s="3424"/>
      <c r="R185" s="1709"/>
      <c r="S185" s="1709"/>
      <c r="T185" s="1709"/>
      <c r="U185" s="1709"/>
      <c r="V185" s="1709"/>
      <c r="W185" s="1709"/>
      <c r="X185" s="1709"/>
      <c r="Y185" s="1709"/>
      <c r="Z185" s="1709"/>
      <c r="AA185" s="1709"/>
      <c r="AB185" s="1709"/>
    </row>
    <row r="186" spans="5:28" s="1704" customFormat="1">
      <c r="E186" s="1709"/>
      <c r="F186" s="3424"/>
      <c r="G186" s="3424"/>
      <c r="H186" s="1709"/>
      <c r="L186" s="1709"/>
      <c r="M186" s="1709"/>
      <c r="N186" s="1709"/>
      <c r="O186" s="1709"/>
      <c r="P186" s="1709"/>
      <c r="Q186" s="3424"/>
      <c r="R186" s="1709"/>
      <c r="S186" s="1709"/>
      <c r="T186" s="1709"/>
      <c r="U186" s="1709"/>
      <c r="V186" s="1709"/>
      <c r="W186" s="1709"/>
      <c r="X186" s="1709"/>
      <c r="Y186" s="1709"/>
      <c r="Z186" s="1709"/>
      <c r="AA186" s="1709"/>
      <c r="AB186" s="1709"/>
    </row>
    <row r="187" spans="5:28" s="1704" customFormat="1">
      <c r="E187" s="1709"/>
      <c r="F187" s="3424"/>
      <c r="G187" s="3424"/>
      <c r="H187" s="1709"/>
      <c r="L187" s="1709"/>
      <c r="M187" s="1709"/>
      <c r="N187" s="1709"/>
      <c r="O187" s="1709"/>
      <c r="P187" s="1709"/>
      <c r="Q187" s="3424"/>
      <c r="R187" s="1709"/>
      <c r="S187" s="1709"/>
      <c r="T187" s="1709"/>
      <c r="U187" s="1709"/>
      <c r="V187" s="1709"/>
      <c r="W187" s="1709"/>
      <c r="X187" s="1709"/>
      <c r="Y187" s="1709"/>
      <c r="Z187" s="1709"/>
      <c r="AA187" s="1709"/>
      <c r="AB187" s="1709"/>
    </row>
    <row r="188" spans="5:28" s="1704" customFormat="1">
      <c r="E188" s="1709"/>
      <c r="F188" s="3424"/>
      <c r="G188" s="3424"/>
      <c r="H188" s="1709"/>
      <c r="L188" s="1709"/>
      <c r="M188" s="1709"/>
      <c r="N188" s="1709"/>
      <c r="O188" s="1709"/>
      <c r="P188" s="1709"/>
      <c r="Q188" s="3424"/>
      <c r="R188" s="1709"/>
      <c r="S188" s="1709"/>
      <c r="T188" s="1709"/>
      <c r="U188" s="1709"/>
      <c r="V188" s="1709"/>
      <c r="W188" s="1709"/>
      <c r="X188" s="1709"/>
      <c r="Y188" s="1709"/>
      <c r="Z188" s="1709"/>
      <c r="AA188" s="1709"/>
      <c r="AB188" s="1709"/>
    </row>
    <row r="189" spans="5:28" s="1704" customFormat="1">
      <c r="E189" s="1709"/>
      <c r="F189" s="3424"/>
      <c r="G189" s="3424"/>
      <c r="H189" s="1709"/>
      <c r="L189" s="1709"/>
      <c r="M189" s="1709"/>
      <c r="N189" s="1709"/>
      <c r="O189" s="1709"/>
      <c r="P189" s="1709"/>
      <c r="Q189" s="3424"/>
      <c r="R189" s="1709"/>
      <c r="S189" s="1709"/>
      <c r="T189" s="1709"/>
      <c r="U189" s="1709"/>
      <c r="V189" s="1709"/>
      <c r="W189" s="1709"/>
      <c r="X189" s="1709"/>
      <c r="Y189" s="1709"/>
      <c r="Z189" s="1709"/>
      <c r="AA189" s="1709"/>
      <c r="AB189" s="1709"/>
    </row>
    <row r="190" spans="5:28" s="1704" customFormat="1">
      <c r="E190" s="1709"/>
      <c r="F190" s="3424"/>
      <c r="G190" s="3424"/>
      <c r="H190" s="1709"/>
      <c r="L190" s="1709"/>
      <c r="M190" s="1709"/>
      <c r="N190" s="1709"/>
      <c r="O190" s="1709"/>
      <c r="P190" s="1709"/>
      <c r="Q190" s="3424"/>
      <c r="R190" s="1709"/>
      <c r="S190" s="1709"/>
      <c r="T190" s="1709"/>
      <c r="U190" s="1709"/>
      <c r="V190" s="1709"/>
      <c r="W190" s="1709"/>
      <c r="X190" s="1709"/>
      <c r="Y190" s="1709"/>
      <c r="Z190" s="1709"/>
      <c r="AA190" s="1709"/>
      <c r="AB190" s="1709"/>
    </row>
    <row r="191" spans="5:28" s="1704" customFormat="1">
      <c r="E191" s="1709"/>
      <c r="F191" s="3424"/>
      <c r="G191" s="3424"/>
      <c r="H191" s="1709"/>
      <c r="L191" s="1709"/>
      <c r="M191" s="1709"/>
      <c r="N191" s="1709"/>
      <c r="O191" s="1709"/>
      <c r="P191" s="1709"/>
      <c r="Q191" s="3424"/>
      <c r="R191" s="1709"/>
      <c r="S191" s="1709"/>
      <c r="T191" s="1709"/>
      <c r="U191" s="1709"/>
      <c r="V191" s="1709"/>
      <c r="W191" s="1709"/>
      <c r="X191" s="1709"/>
      <c r="Y191" s="1709"/>
      <c r="Z191" s="1709"/>
      <c r="AA191" s="1709"/>
      <c r="AB191" s="1709"/>
    </row>
    <row r="192" spans="5:28" s="1704" customFormat="1">
      <c r="E192" s="1709"/>
      <c r="F192" s="3424"/>
      <c r="G192" s="3424"/>
      <c r="H192" s="1709"/>
      <c r="L192" s="1709"/>
      <c r="M192" s="1709"/>
      <c r="N192" s="1709"/>
      <c r="O192" s="1709"/>
      <c r="P192" s="1709"/>
      <c r="Q192" s="3424"/>
      <c r="R192" s="1709"/>
      <c r="S192" s="1709"/>
      <c r="T192" s="1709"/>
      <c r="U192" s="1709"/>
      <c r="V192" s="1709"/>
      <c r="W192" s="1709"/>
      <c r="X192" s="1709"/>
      <c r="Y192" s="1709"/>
      <c r="Z192" s="1709"/>
      <c r="AA192" s="1709"/>
      <c r="AB192" s="1709"/>
    </row>
    <row r="193" spans="5:28" s="1704" customFormat="1">
      <c r="E193" s="1709"/>
      <c r="F193" s="3424"/>
      <c r="G193" s="3424"/>
      <c r="H193" s="1709"/>
      <c r="L193" s="1709"/>
      <c r="M193" s="1709"/>
      <c r="N193" s="1709"/>
      <c r="O193" s="1709"/>
      <c r="P193" s="1709"/>
      <c r="Q193" s="3424"/>
      <c r="R193" s="1709"/>
      <c r="S193" s="1709"/>
      <c r="T193" s="1709"/>
      <c r="U193" s="1709"/>
      <c r="V193" s="1709"/>
      <c r="W193" s="1709"/>
      <c r="X193" s="1709"/>
      <c r="Y193" s="1709"/>
      <c r="Z193" s="1709"/>
      <c r="AA193" s="1709"/>
      <c r="AB193" s="1709"/>
    </row>
    <row r="194" spans="5:28" s="1704" customFormat="1">
      <c r="E194" s="1709"/>
      <c r="F194" s="3424"/>
      <c r="G194" s="3424"/>
      <c r="H194" s="1709"/>
      <c r="L194" s="1709"/>
      <c r="M194" s="1709"/>
      <c r="N194" s="1709"/>
      <c r="O194" s="1709"/>
      <c r="P194" s="1709"/>
      <c r="Q194" s="3424"/>
      <c r="R194" s="1709"/>
      <c r="S194" s="1709"/>
      <c r="T194" s="1709"/>
      <c r="U194" s="1709"/>
      <c r="V194" s="1709"/>
      <c r="W194" s="1709"/>
      <c r="X194" s="1709"/>
      <c r="Y194" s="1709"/>
      <c r="Z194" s="1709"/>
      <c r="AA194" s="1709"/>
      <c r="AB194" s="1709"/>
    </row>
    <row r="195" spans="5:28" s="1704" customFormat="1">
      <c r="E195" s="1709"/>
      <c r="F195" s="3424"/>
      <c r="G195" s="3424"/>
      <c r="H195" s="1709"/>
      <c r="L195" s="1709"/>
      <c r="M195" s="1709"/>
      <c r="N195" s="1709"/>
      <c r="O195" s="1709"/>
      <c r="P195" s="1709"/>
      <c r="Q195" s="3424"/>
      <c r="R195" s="1709"/>
      <c r="S195" s="1709"/>
      <c r="T195" s="1709"/>
      <c r="U195" s="1709"/>
      <c r="V195" s="1709"/>
      <c r="W195" s="1709"/>
      <c r="X195" s="1709"/>
      <c r="Y195" s="1709"/>
      <c r="Z195" s="1709"/>
      <c r="AA195" s="1709"/>
      <c r="AB195" s="1709"/>
    </row>
    <row r="196" spans="5:28" s="1704" customFormat="1">
      <c r="E196" s="1709"/>
      <c r="F196" s="3424"/>
      <c r="G196" s="3424"/>
      <c r="H196" s="1709"/>
      <c r="L196" s="1709"/>
      <c r="M196" s="1709"/>
      <c r="N196" s="1709"/>
      <c r="O196" s="1709"/>
      <c r="P196" s="1709"/>
      <c r="Q196" s="3424"/>
      <c r="R196" s="1709"/>
      <c r="S196" s="1709"/>
      <c r="T196" s="1709"/>
      <c r="U196" s="1709"/>
      <c r="V196" s="1709"/>
      <c r="W196" s="1709"/>
      <c r="X196" s="1709"/>
      <c r="Y196" s="1709"/>
      <c r="Z196" s="1709"/>
      <c r="AA196" s="1709"/>
      <c r="AB196" s="1709"/>
    </row>
    <row r="197" spans="5:28" s="1704" customFormat="1">
      <c r="E197" s="1709"/>
      <c r="F197" s="3424"/>
      <c r="G197" s="3424"/>
      <c r="H197" s="1709"/>
      <c r="L197" s="1709"/>
      <c r="M197" s="1709"/>
      <c r="N197" s="1709"/>
      <c r="O197" s="1709"/>
      <c r="P197" s="1709"/>
      <c r="Q197" s="3424"/>
      <c r="R197" s="1709"/>
      <c r="S197" s="1709"/>
      <c r="T197" s="1709"/>
      <c r="U197" s="1709"/>
      <c r="V197" s="1709"/>
      <c r="W197" s="1709"/>
      <c r="X197" s="1709"/>
      <c r="Y197" s="1709"/>
      <c r="Z197" s="1709"/>
      <c r="AA197" s="1709"/>
      <c r="AB197" s="1709"/>
    </row>
    <row r="198" spans="5:28" s="1704" customFormat="1">
      <c r="E198" s="1709"/>
      <c r="F198" s="3424"/>
      <c r="G198" s="3424"/>
      <c r="H198" s="1709"/>
      <c r="L198" s="1709"/>
      <c r="M198" s="1709"/>
      <c r="N198" s="1709"/>
      <c r="O198" s="1709"/>
      <c r="P198" s="1709"/>
      <c r="Q198" s="3424"/>
      <c r="R198" s="1709"/>
      <c r="S198" s="1709"/>
      <c r="T198" s="1709"/>
      <c r="U198" s="1709"/>
      <c r="V198" s="1709"/>
      <c r="W198" s="1709"/>
      <c r="X198" s="1709"/>
      <c r="Y198" s="1709"/>
      <c r="Z198" s="1709"/>
      <c r="AA198" s="1709"/>
      <c r="AB198" s="1709"/>
    </row>
    <row r="199" spans="5:28" s="1704" customFormat="1">
      <c r="E199" s="1709"/>
      <c r="F199" s="3424"/>
      <c r="G199" s="3424"/>
      <c r="H199" s="1709"/>
      <c r="L199" s="1709"/>
      <c r="M199" s="1709"/>
      <c r="N199" s="1709"/>
      <c r="O199" s="1709"/>
      <c r="P199" s="1709"/>
      <c r="Q199" s="3424"/>
      <c r="R199" s="1709"/>
      <c r="S199" s="1709"/>
      <c r="T199" s="1709"/>
      <c r="U199" s="1709"/>
      <c r="V199" s="1709"/>
      <c r="W199" s="1709"/>
      <c r="X199" s="1709"/>
      <c r="Y199" s="1709"/>
      <c r="Z199" s="1709"/>
      <c r="AA199" s="1709"/>
      <c r="AB199" s="1709"/>
    </row>
    <row r="200" spans="5:28" s="1704" customFormat="1">
      <c r="E200" s="1709"/>
      <c r="F200" s="3424"/>
      <c r="G200" s="3424"/>
      <c r="H200" s="1709"/>
      <c r="L200" s="1709"/>
      <c r="M200" s="1709"/>
      <c r="N200" s="1709"/>
      <c r="O200" s="1709"/>
      <c r="P200" s="1709"/>
      <c r="Q200" s="3424"/>
      <c r="R200" s="1709"/>
      <c r="S200" s="1709"/>
      <c r="T200" s="1709"/>
      <c r="U200" s="1709"/>
      <c r="V200" s="1709"/>
      <c r="W200" s="1709"/>
      <c r="X200" s="1709"/>
      <c r="Y200" s="1709"/>
      <c r="Z200" s="1709"/>
      <c r="AA200" s="1709"/>
      <c r="AB200" s="1709"/>
    </row>
    <row r="201" spans="5:28" s="1704" customFormat="1">
      <c r="E201" s="1709"/>
      <c r="F201" s="3424"/>
      <c r="G201" s="3424"/>
      <c r="H201" s="1709"/>
      <c r="L201" s="1709"/>
      <c r="M201" s="1709"/>
      <c r="N201" s="1709"/>
      <c r="O201" s="1709"/>
      <c r="P201" s="1709"/>
      <c r="Q201" s="3424"/>
      <c r="R201" s="1709"/>
      <c r="S201" s="1709"/>
      <c r="T201" s="1709"/>
      <c r="U201" s="1709"/>
      <c r="V201" s="1709"/>
      <c r="W201" s="1709"/>
      <c r="X201" s="1709"/>
      <c r="Y201" s="1709"/>
      <c r="Z201" s="1709"/>
      <c r="AA201" s="1709"/>
      <c r="AB201" s="1709"/>
    </row>
    <row r="202" spans="5:28" s="1704" customFormat="1">
      <c r="E202" s="1709"/>
      <c r="F202" s="3424"/>
      <c r="G202" s="3424"/>
      <c r="H202" s="1709"/>
      <c r="L202" s="1709"/>
      <c r="M202" s="1709"/>
      <c r="N202" s="1709"/>
      <c r="O202" s="1709"/>
      <c r="P202" s="1709"/>
      <c r="Q202" s="3424"/>
      <c r="R202" s="1709"/>
      <c r="S202" s="1709"/>
      <c r="T202" s="1709"/>
      <c r="U202" s="1709"/>
      <c r="V202" s="1709"/>
      <c r="W202" s="1709"/>
      <c r="X202" s="1709"/>
      <c r="Y202" s="1709"/>
      <c r="Z202" s="1709"/>
      <c r="AA202" s="1709"/>
      <c r="AB202" s="1709"/>
    </row>
    <row r="203" spans="5:28" s="1704" customFormat="1">
      <c r="E203" s="1709"/>
      <c r="F203" s="3424"/>
      <c r="G203" s="3424"/>
      <c r="H203" s="1709"/>
      <c r="L203" s="1709"/>
      <c r="M203" s="1709"/>
      <c r="N203" s="1709"/>
      <c r="O203" s="1709"/>
      <c r="P203" s="1709"/>
      <c r="Q203" s="3424"/>
      <c r="R203" s="1709"/>
      <c r="S203" s="1709"/>
      <c r="T203" s="1709"/>
      <c r="U203" s="1709"/>
      <c r="V203" s="1709"/>
      <c r="W203" s="1709"/>
      <c r="X203" s="1709"/>
      <c r="Y203" s="1709"/>
      <c r="Z203" s="1709"/>
      <c r="AA203" s="1709"/>
      <c r="AB203" s="1709"/>
    </row>
    <row r="204" spans="5:28" s="1704" customFormat="1">
      <c r="E204" s="1709"/>
      <c r="F204" s="3424"/>
      <c r="G204" s="3424"/>
      <c r="H204" s="1709"/>
      <c r="L204" s="1709"/>
      <c r="M204" s="1709"/>
      <c r="N204" s="1709"/>
      <c r="O204" s="1709"/>
      <c r="P204" s="1709"/>
      <c r="Q204" s="3424"/>
      <c r="R204" s="1709"/>
      <c r="S204" s="1709"/>
      <c r="T204" s="1709"/>
      <c r="U204" s="1709"/>
      <c r="V204" s="1709"/>
      <c r="W204" s="1709"/>
      <c r="X204" s="1709"/>
      <c r="Y204" s="1709"/>
      <c r="Z204" s="1709"/>
      <c r="AA204" s="1709"/>
      <c r="AB204" s="1709"/>
    </row>
    <row r="205" spans="5:28" s="1704" customFormat="1">
      <c r="E205" s="1709"/>
      <c r="F205" s="3424"/>
      <c r="G205" s="3424"/>
      <c r="H205" s="1709"/>
      <c r="L205" s="1709"/>
      <c r="M205" s="1709"/>
      <c r="N205" s="1709"/>
      <c r="O205" s="1709"/>
      <c r="P205" s="1709"/>
      <c r="Q205" s="3424"/>
      <c r="R205" s="1709"/>
      <c r="S205" s="1709"/>
      <c r="T205" s="1709"/>
      <c r="U205" s="1709"/>
      <c r="V205" s="1709"/>
      <c r="W205" s="1709"/>
      <c r="X205" s="1709"/>
      <c r="Y205" s="1709"/>
      <c r="Z205" s="1709"/>
      <c r="AA205" s="1709"/>
      <c r="AB205" s="1709"/>
    </row>
    <row r="206" spans="5:28" s="1704" customFormat="1">
      <c r="E206" s="1709"/>
      <c r="F206" s="3424"/>
      <c r="G206" s="3424"/>
      <c r="H206" s="1709"/>
      <c r="L206" s="1709"/>
      <c r="M206" s="1709"/>
      <c r="N206" s="1709"/>
      <c r="O206" s="1709"/>
      <c r="P206" s="1709"/>
      <c r="Q206" s="3424"/>
      <c r="R206" s="1709"/>
      <c r="S206" s="1709"/>
      <c r="T206" s="1709"/>
      <c r="U206" s="1709"/>
      <c r="V206" s="1709"/>
      <c r="W206" s="1709"/>
      <c r="X206" s="1709"/>
      <c r="Y206" s="1709"/>
      <c r="Z206" s="1709"/>
      <c r="AA206" s="1709"/>
      <c r="AB206" s="1709"/>
    </row>
    <row r="207" spans="5:28" s="1704" customFormat="1">
      <c r="E207" s="1709"/>
      <c r="F207" s="3424"/>
      <c r="G207" s="3424"/>
      <c r="H207" s="1709"/>
      <c r="L207" s="1709"/>
      <c r="M207" s="1709"/>
      <c r="N207" s="1709"/>
      <c r="O207" s="1709"/>
      <c r="P207" s="1709"/>
      <c r="Q207" s="3424"/>
      <c r="R207" s="1709"/>
      <c r="S207" s="1709"/>
      <c r="T207" s="1709"/>
      <c r="U207" s="1709"/>
      <c r="V207" s="1709"/>
      <c r="W207" s="1709"/>
      <c r="X207" s="1709"/>
      <c r="Y207" s="1709"/>
      <c r="Z207" s="1709"/>
      <c r="AA207" s="1709"/>
      <c r="AB207" s="1709"/>
    </row>
    <row r="208" spans="5:28" s="1704" customFormat="1">
      <c r="E208" s="1709"/>
      <c r="F208" s="3424"/>
      <c r="G208" s="3424"/>
      <c r="H208" s="1709"/>
      <c r="L208" s="1709"/>
      <c r="M208" s="1709"/>
      <c r="N208" s="1709"/>
      <c r="O208" s="1709"/>
      <c r="P208" s="1709"/>
      <c r="Q208" s="3424"/>
      <c r="R208" s="1709"/>
      <c r="S208" s="1709"/>
      <c r="T208" s="1709"/>
      <c r="U208" s="1709"/>
      <c r="V208" s="1709"/>
      <c r="W208" s="1709"/>
      <c r="X208" s="1709"/>
      <c r="Y208" s="1709"/>
      <c r="Z208" s="1709"/>
      <c r="AA208" s="1709"/>
      <c r="AB208" s="1709"/>
    </row>
    <row r="209" spans="5:28" s="1704" customFormat="1">
      <c r="E209" s="1709"/>
      <c r="F209" s="3424"/>
      <c r="G209" s="3424"/>
      <c r="H209" s="1709"/>
      <c r="L209" s="1709"/>
      <c r="M209" s="1709"/>
      <c r="N209" s="1709"/>
      <c r="O209" s="1709"/>
      <c r="P209" s="1709"/>
      <c r="Q209" s="3424"/>
      <c r="R209" s="1709"/>
      <c r="S209" s="1709"/>
      <c r="T209" s="1709"/>
      <c r="U209" s="1709"/>
      <c r="V209" s="1709"/>
      <c r="W209" s="1709"/>
      <c r="X209" s="1709"/>
      <c r="Y209" s="1709"/>
      <c r="Z209" s="1709"/>
      <c r="AA209" s="1709"/>
      <c r="AB209" s="1709"/>
    </row>
    <row r="210" spans="5:28" s="1704" customFormat="1">
      <c r="E210" s="1709"/>
      <c r="F210" s="3424"/>
      <c r="G210" s="3424"/>
      <c r="H210" s="1709"/>
      <c r="L210" s="1709"/>
      <c r="M210" s="1709"/>
      <c r="N210" s="1709"/>
      <c r="O210" s="1709"/>
      <c r="P210" s="1709"/>
      <c r="Q210" s="3424"/>
      <c r="R210" s="1709"/>
      <c r="S210" s="1709"/>
      <c r="T210" s="1709"/>
      <c r="U210" s="1709"/>
      <c r="V210" s="1709"/>
      <c r="W210" s="1709"/>
      <c r="X210" s="1709"/>
      <c r="Y210" s="1709"/>
      <c r="Z210" s="1709"/>
      <c r="AA210" s="1709"/>
      <c r="AB210" s="1709"/>
    </row>
    <row r="211" spans="5:28" s="1704" customFormat="1">
      <c r="E211" s="1709"/>
      <c r="F211" s="3424"/>
      <c r="G211" s="3424"/>
      <c r="H211" s="1709"/>
      <c r="L211" s="1709"/>
      <c r="M211" s="1709"/>
      <c r="N211" s="1709"/>
      <c r="O211" s="1709"/>
      <c r="P211" s="1709"/>
      <c r="Q211" s="3424"/>
      <c r="R211" s="1709"/>
      <c r="S211" s="1709"/>
      <c r="T211" s="1709"/>
      <c r="U211" s="1709"/>
      <c r="V211" s="1709"/>
      <c r="W211" s="1709"/>
      <c r="X211" s="1709"/>
      <c r="Y211" s="1709"/>
      <c r="Z211" s="1709"/>
      <c r="AA211" s="1709"/>
      <c r="AB211" s="1709"/>
    </row>
    <row r="212" spans="5:28" s="1704" customFormat="1">
      <c r="E212" s="1709"/>
      <c r="F212" s="3424"/>
      <c r="G212" s="3424"/>
      <c r="H212" s="1709"/>
      <c r="L212" s="1709"/>
      <c r="M212" s="1709"/>
      <c r="N212" s="1709"/>
      <c r="O212" s="1709"/>
      <c r="P212" s="1709"/>
      <c r="Q212" s="3424"/>
      <c r="R212" s="1709"/>
      <c r="S212" s="1709"/>
      <c r="T212" s="1709"/>
      <c r="U212" s="1709"/>
      <c r="V212" s="1709"/>
      <c r="W212" s="1709"/>
      <c r="X212" s="1709"/>
      <c r="Y212" s="1709"/>
      <c r="Z212" s="1709"/>
      <c r="AA212" s="1709"/>
      <c r="AB212" s="1709"/>
    </row>
    <row r="213" spans="5:28" s="1704" customFormat="1">
      <c r="E213" s="1709"/>
      <c r="F213" s="3424"/>
      <c r="G213" s="3424"/>
      <c r="H213" s="1709"/>
      <c r="L213" s="1709"/>
      <c r="M213" s="1709"/>
      <c r="N213" s="1709"/>
      <c r="O213" s="1709"/>
      <c r="P213" s="1709"/>
      <c r="Q213" s="3424"/>
      <c r="R213" s="1709"/>
      <c r="S213" s="1709"/>
      <c r="T213" s="1709"/>
      <c r="U213" s="1709"/>
      <c r="V213" s="1709"/>
      <c r="W213" s="1709"/>
      <c r="X213" s="1709"/>
      <c r="Y213" s="1709"/>
      <c r="Z213" s="1709"/>
      <c r="AA213" s="1709"/>
      <c r="AB213" s="1709"/>
    </row>
    <row r="214" spans="5:28" s="1704" customFormat="1">
      <c r="E214" s="1709"/>
      <c r="F214" s="3424"/>
      <c r="G214" s="3424"/>
      <c r="H214" s="1709"/>
      <c r="L214" s="1709"/>
      <c r="M214" s="1709"/>
      <c r="N214" s="1709"/>
      <c r="O214" s="1709"/>
      <c r="P214" s="1709"/>
      <c r="Q214" s="3424"/>
      <c r="R214" s="1709"/>
      <c r="S214" s="1709"/>
      <c r="T214" s="1709"/>
      <c r="U214" s="1709"/>
      <c r="V214" s="1709"/>
      <c r="W214" s="1709"/>
      <c r="X214" s="1709"/>
      <c r="Y214" s="1709"/>
      <c r="Z214" s="1709"/>
      <c r="AA214" s="1709"/>
      <c r="AB214" s="1709"/>
    </row>
    <row r="215" spans="5:28" s="1704" customFormat="1">
      <c r="E215" s="1709"/>
      <c r="F215" s="3424"/>
      <c r="G215" s="3424"/>
      <c r="H215" s="1709"/>
      <c r="L215" s="1709"/>
      <c r="M215" s="1709"/>
      <c r="N215" s="1709"/>
      <c r="O215" s="1709"/>
      <c r="P215" s="1709"/>
      <c r="Q215" s="3424"/>
      <c r="R215" s="1709"/>
      <c r="S215" s="1709"/>
      <c r="T215" s="1709"/>
      <c r="U215" s="1709"/>
      <c r="V215" s="1709"/>
      <c r="W215" s="1709"/>
      <c r="X215" s="1709"/>
      <c r="Y215" s="1709"/>
      <c r="Z215" s="1709"/>
      <c r="AA215" s="1709"/>
      <c r="AB215" s="1709"/>
    </row>
    <row r="216" spans="5:28" s="1704" customFormat="1">
      <c r="E216" s="1709"/>
      <c r="F216" s="3424"/>
      <c r="G216" s="3424"/>
      <c r="H216" s="1709"/>
      <c r="L216" s="1709"/>
      <c r="M216" s="1709"/>
      <c r="N216" s="1709"/>
      <c r="O216" s="1709"/>
      <c r="P216" s="1709"/>
      <c r="Q216" s="3424"/>
      <c r="R216" s="1709"/>
      <c r="S216" s="1709"/>
      <c r="T216" s="1709"/>
      <c r="U216" s="1709"/>
      <c r="V216" s="1709"/>
      <c r="W216" s="1709"/>
      <c r="X216" s="1709"/>
      <c r="Y216" s="1709"/>
      <c r="Z216" s="1709"/>
      <c r="AA216" s="1709"/>
      <c r="AB216" s="1709"/>
    </row>
    <row r="217" spans="5:28" s="1704" customFormat="1">
      <c r="E217" s="1709"/>
      <c r="F217" s="3424"/>
      <c r="G217" s="3424"/>
      <c r="H217" s="1709"/>
      <c r="L217" s="1709"/>
      <c r="M217" s="1709"/>
      <c r="N217" s="1709"/>
      <c r="O217" s="1709"/>
      <c r="P217" s="1709"/>
      <c r="Q217" s="3424"/>
      <c r="R217" s="1709"/>
      <c r="S217" s="1709"/>
      <c r="T217" s="1709"/>
      <c r="U217" s="1709"/>
      <c r="V217" s="1709"/>
      <c r="W217" s="1709"/>
      <c r="X217" s="1709"/>
      <c r="Y217" s="1709"/>
      <c r="Z217" s="1709"/>
      <c r="AA217" s="1709"/>
      <c r="AB217" s="1709"/>
    </row>
    <row r="218" spans="5:28" s="1704" customFormat="1">
      <c r="E218" s="1709"/>
      <c r="F218" s="3424"/>
      <c r="G218" s="3424"/>
      <c r="H218" s="1709"/>
      <c r="L218" s="1709"/>
      <c r="M218" s="1709"/>
      <c r="N218" s="1709"/>
      <c r="O218" s="1709"/>
      <c r="P218" s="1709"/>
      <c r="Q218" s="3424"/>
      <c r="R218" s="1709"/>
      <c r="S218" s="1709"/>
      <c r="T218" s="1709"/>
      <c r="U218" s="1709"/>
      <c r="V218" s="1709"/>
      <c r="W218" s="1709"/>
      <c r="X218" s="1709"/>
      <c r="Y218" s="1709"/>
      <c r="Z218" s="1709"/>
      <c r="AA218" s="1709"/>
      <c r="AB218" s="1709"/>
    </row>
    <row r="219" spans="5:28" s="1704" customFormat="1">
      <c r="E219" s="1709"/>
      <c r="F219" s="3424"/>
      <c r="G219" s="3424"/>
      <c r="H219" s="1709"/>
      <c r="L219" s="1709"/>
      <c r="M219" s="1709"/>
      <c r="N219" s="1709"/>
      <c r="O219" s="1709"/>
      <c r="P219" s="1709"/>
      <c r="Q219" s="3424"/>
      <c r="R219" s="1709"/>
      <c r="S219" s="1709"/>
      <c r="T219" s="1709"/>
      <c r="U219" s="1709"/>
      <c r="V219" s="1709"/>
      <c r="W219" s="1709"/>
      <c r="X219" s="1709"/>
      <c r="Y219" s="1709"/>
      <c r="Z219" s="1709"/>
      <c r="AA219" s="1709"/>
      <c r="AB219" s="1709"/>
    </row>
    <row r="220" spans="5:28" s="1704" customFormat="1">
      <c r="E220" s="1709"/>
      <c r="F220" s="3424"/>
      <c r="G220" s="3424"/>
      <c r="H220" s="1709"/>
      <c r="L220" s="1709"/>
      <c r="M220" s="1709"/>
      <c r="N220" s="1709"/>
      <c r="O220" s="1709"/>
      <c r="P220" s="1709"/>
      <c r="Q220" s="3424"/>
      <c r="R220" s="1709"/>
      <c r="S220" s="1709"/>
      <c r="T220" s="1709"/>
      <c r="U220" s="1709"/>
      <c r="V220" s="1709"/>
      <c r="W220" s="1709"/>
      <c r="X220" s="1709"/>
      <c r="Y220" s="1709"/>
      <c r="Z220" s="1709"/>
      <c r="AA220" s="1709"/>
      <c r="AB220" s="1709"/>
    </row>
    <row r="221" spans="5:28" s="1704" customFormat="1">
      <c r="E221" s="1709"/>
      <c r="F221" s="3424"/>
      <c r="G221" s="3424"/>
      <c r="H221" s="1709"/>
      <c r="L221" s="1709"/>
      <c r="M221" s="1709"/>
      <c r="N221" s="1709"/>
      <c r="O221" s="1709"/>
      <c r="P221" s="1709"/>
      <c r="Q221" s="3424"/>
      <c r="R221" s="1709"/>
      <c r="S221" s="1709"/>
      <c r="T221" s="1709"/>
      <c r="U221" s="1709"/>
      <c r="V221" s="1709"/>
      <c r="W221" s="1709"/>
      <c r="X221" s="1709"/>
      <c r="Y221" s="1709"/>
      <c r="Z221" s="1709"/>
      <c r="AA221" s="1709"/>
      <c r="AB221" s="1709"/>
    </row>
    <row r="222" spans="5:28" s="1704" customFormat="1">
      <c r="E222" s="1709"/>
      <c r="F222" s="3424"/>
      <c r="G222" s="3424"/>
      <c r="H222" s="1709"/>
      <c r="L222" s="1709"/>
      <c r="M222" s="1709"/>
      <c r="N222" s="1709"/>
      <c r="O222" s="1709"/>
      <c r="P222" s="1709"/>
      <c r="Q222" s="3424"/>
      <c r="R222" s="1709"/>
      <c r="S222" s="1709"/>
      <c r="T222" s="1709"/>
      <c r="U222" s="1709"/>
      <c r="V222" s="1709"/>
      <c r="W222" s="1709"/>
      <c r="X222" s="1709"/>
      <c r="Y222" s="1709"/>
      <c r="Z222" s="1709"/>
      <c r="AA222" s="1709"/>
      <c r="AB222" s="1709"/>
    </row>
    <row r="223" spans="5:28" s="1704" customFormat="1">
      <c r="E223" s="1709"/>
      <c r="F223" s="3424"/>
      <c r="G223" s="3424"/>
      <c r="H223" s="1709"/>
      <c r="L223" s="1709"/>
      <c r="M223" s="1709"/>
      <c r="N223" s="1709"/>
      <c r="O223" s="1709"/>
      <c r="P223" s="1709"/>
      <c r="Q223" s="3424"/>
      <c r="R223" s="1709"/>
      <c r="S223" s="1709"/>
      <c r="T223" s="1709"/>
      <c r="U223" s="1709"/>
      <c r="V223" s="1709"/>
      <c r="W223" s="1709"/>
      <c r="X223" s="1709"/>
      <c r="Y223" s="1709"/>
      <c r="Z223" s="1709"/>
      <c r="AA223" s="1709"/>
      <c r="AB223" s="1709"/>
    </row>
    <row r="224" spans="5:28" s="1704" customFormat="1">
      <c r="E224" s="1709"/>
      <c r="F224" s="3424"/>
      <c r="G224" s="3424"/>
      <c r="H224" s="1709"/>
      <c r="L224" s="1709"/>
      <c r="M224" s="1709"/>
      <c r="N224" s="1709"/>
      <c r="O224" s="1709"/>
      <c r="P224" s="1709"/>
      <c r="Q224" s="3424"/>
      <c r="R224" s="1709"/>
      <c r="S224" s="1709"/>
      <c r="T224" s="1709"/>
      <c r="U224" s="1709"/>
      <c r="V224" s="1709"/>
      <c r="W224" s="1709"/>
      <c r="X224" s="1709"/>
      <c r="Y224" s="1709"/>
      <c r="Z224" s="1709"/>
      <c r="AA224" s="1709"/>
      <c r="AB224" s="1709"/>
    </row>
    <row r="225" spans="5:28" s="1704" customFormat="1">
      <c r="E225" s="1709"/>
      <c r="F225" s="3424"/>
      <c r="G225" s="3424"/>
      <c r="H225" s="1709"/>
      <c r="L225" s="1709"/>
      <c r="M225" s="1709"/>
      <c r="N225" s="1709"/>
      <c r="O225" s="1709"/>
      <c r="P225" s="1709"/>
      <c r="Q225" s="3424"/>
      <c r="R225" s="1709"/>
      <c r="S225" s="1709"/>
      <c r="T225" s="1709"/>
      <c r="U225" s="1709"/>
      <c r="V225" s="1709"/>
      <c r="W225" s="1709"/>
      <c r="X225" s="1709"/>
      <c r="Y225" s="1709"/>
      <c r="Z225" s="1709"/>
      <c r="AA225" s="1709"/>
      <c r="AB225" s="1709"/>
    </row>
    <row r="226" spans="5:28" s="1704" customFormat="1">
      <c r="E226" s="1709"/>
      <c r="F226" s="3424"/>
      <c r="G226" s="3424"/>
      <c r="H226" s="1709"/>
      <c r="L226" s="1709"/>
      <c r="M226" s="1709"/>
      <c r="N226" s="1709"/>
      <c r="O226" s="1709"/>
      <c r="P226" s="1709"/>
      <c r="Q226" s="3424"/>
      <c r="R226" s="1709"/>
      <c r="S226" s="1709"/>
      <c r="T226" s="1709"/>
      <c r="U226" s="1709"/>
      <c r="V226" s="1709"/>
      <c r="W226" s="1709"/>
      <c r="X226" s="1709"/>
      <c r="Y226" s="1709"/>
      <c r="Z226" s="1709"/>
      <c r="AA226" s="1709"/>
      <c r="AB226" s="1709"/>
    </row>
    <row r="227" spans="5:28" s="1704" customFormat="1">
      <c r="E227" s="1709"/>
      <c r="F227" s="3424"/>
      <c r="G227" s="3424"/>
      <c r="H227" s="1709"/>
      <c r="L227" s="1709"/>
      <c r="M227" s="1709"/>
      <c r="N227" s="1709"/>
      <c r="O227" s="1709"/>
      <c r="P227" s="1709"/>
      <c r="Q227" s="3424"/>
      <c r="R227" s="1709"/>
      <c r="S227" s="1709"/>
      <c r="T227" s="1709"/>
      <c r="U227" s="1709"/>
      <c r="V227" s="1709"/>
      <c r="W227" s="1709"/>
      <c r="X227" s="1709"/>
      <c r="Y227" s="1709"/>
      <c r="Z227" s="1709"/>
      <c r="AA227" s="1709"/>
      <c r="AB227" s="1709"/>
    </row>
    <row r="228" spans="5:28" s="1704" customFormat="1">
      <c r="E228" s="1709"/>
      <c r="F228" s="3424"/>
      <c r="G228" s="3424"/>
      <c r="H228" s="1709"/>
      <c r="L228" s="1709"/>
      <c r="M228" s="1709"/>
      <c r="N228" s="1709"/>
      <c r="O228" s="1709"/>
      <c r="P228" s="1709"/>
      <c r="Q228" s="3424"/>
      <c r="R228" s="1709"/>
      <c r="S228" s="1709"/>
      <c r="T228" s="1709"/>
      <c r="U228" s="1709"/>
      <c r="V228" s="1709"/>
      <c r="W228" s="1709"/>
      <c r="X228" s="1709"/>
      <c r="Y228" s="1709"/>
      <c r="Z228" s="1709"/>
      <c r="AA228" s="1709"/>
      <c r="AB228" s="1709"/>
    </row>
    <row r="229" spans="5:28" s="1704" customFormat="1">
      <c r="E229" s="1709"/>
      <c r="F229" s="3424"/>
      <c r="G229" s="3424"/>
      <c r="H229" s="1709"/>
      <c r="L229" s="1709"/>
      <c r="M229" s="1709"/>
      <c r="N229" s="1709"/>
      <c r="O229" s="1709"/>
      <c r="P229" s="1709"/>
      <c r="Q229" s="3424"/>
      <c r="R229" s="1709"/>
      <c r="S229" s="1709"/>
      <c r="T229" s="1709"/>
      <c r="U229" s="1709"/>
      <c r="V229" s="1709"/>
      <c r="W229" s="1709"/>
      <c r="X229" s="1709"/>
      <c r="Y229" s="1709"/>
      <c r="Z229" s="1709"/>
      <c r="AA229" s="1709"/>
      <c r="AB229" s="1709"/>
    </row>
    <row r="230" spans="5:28" s="1704" customFormat="1">
      <c r="E230" s="1709"/>
      <c r="F230" s="3424"/>
      <c r="G230" s="3424"/>
      <c r="H230" s="1709"/>
      <c r="L230" s="1709"/>
      <c r="M230" s="1709"/>
      <c r="N230" s="1709"/>
      <c r="O230" s="1709"/>
      <c r="P230" s="1709"/>
      <c r="Q230" s="3424"/>
      <c r="R230" s="1709"/>
      <c r="S230" s="1709"/>
      <c r="T230" s="1709"/>
      <c r="U230" s="1709"/>
      <c r="V230" s="1709"/>
      <c r="W230" s="1709"/>
      <c r="X230" s="1709"/>
      <c r="Y230" s="1709"/>
      <c r="Z230" s="1709"/>
      <c r="AA230" s="1709"/>
      <c r="AB230" s="1709"/>
    </row>
    <row r="231" spans="5:28" s="1704" customFormat="1">
      <c r="E231" s="1709"/>
      <c r="F231" s="3424"/>
      <c r="G231" s="3424"/>
      <c r="H231" s="1709"/>
      <c r="L231" s="1709"/>
      <c r="M231" s="1709"/>
      <c r="N231" s="1709"/>
      <c r="O231" s="1709"/>
      <c r="P231" s="1709"/>
      <c r="Q231" s="3424"/>
      <c r="R231" s="1709"/>
      <c r="S231" s="1709"/>
      <c r="T231" s="1709"/>
      <c r="U231" s="1709"/>
      <c r="V231" s="1709"/>
      <c r="W231" s="1709"/>
      <c r="X231" s="1709"/>
      <c r="Y231" s="1709"/>
      <c r="Z231" s="1709"/>
      <c r="AA231" s="1709"/>
      <c r="AB231" s="1709"/>
    </row>
    <row r="232" spans="5:28" s="1704" customFormat="1">
      <c r="E232" s="1709"/>
      <c r="F232" s="3424"/>
      <c r="G232" s="3424"/>
      <c r="H232" s="1709"/>
      <c r="L232" s="1709"/>
      <c r="M232" s="1709"/>
      <c r="N232" s="1709"/>
      <c r="O232" s="1709"/>
      <c r="P232" s="1709"/>
      <c r="Q232" s="3424"/>
      <c r="R232" s="1709"/>
      <c r="S232" s="1709"/>
      <c r="T232" s="1709"/>
      <c r="U232" s="1709"/>
      <c r="V232" s="1709"/>
      <c r="W232" s="1709"/>
      <c r="X232" s="1709"/>
      <c r="Y232" s="1709"/>
      <c r="Z232" s="1709"/>
      <c r="AA232" s="1709"/>
      <c r="AB232" s="1709"/>
    </row>
    <row r="233" spans="5:28" s="1704" customFormat="1">
      <c r="E233" s="1709"/>
      <c r="F233" s="3424"/>
      <c r="G233" s="3424"/>
      <c r="H233" s="1709"/>
      <c r="L233" s="1709"/>
      <c r="M233" s="1709"/>
      <c r="N233" s="1709"/>
      <c r="O233" s="1709"/>
      <c r="P233" s="1709"/>
      <c r="Q233" s="3424"/>
      <c r="R233" s="1709"/>
      <c r="S233" s="1709"/>
      <c r="T233" s="1709"/>
      <c r="U233" s="1709"/>
      <c r="V233" s="1709"/>
      <c r="W233" s="1709"/>
      <c r="X233" s="1709"/>
      <c r="Y233" s="1709"/>
      <c r="Z233" s="1709"/>
      <c r="AA233" s="1709"/>
      <c r="AB233" s="1709"/>
    </row>
    <row r="234" spans="5:28" s="1704" customFormat="1">
      <c r="E234" s="1709"/>
      <c r="F234" s="3424"/>
      <c r="G234" s="3424"/>
      <c r="H234" s="1709"/>
      <c r="L234" s="1709"/>
      <c r="M234" s="1709"/>
      <c r="N234" s="1709"/>
      <c r="O234" s="1709"/>
      <c r="P234" s="1709"/>
      <c r="Q234" s="3424"/>
      <c r="R234" s="1709"/>
      <c r="S234" s="1709"/>
      <c r="T234" s="1709"/>
      <c r="U234" s="1709"/>
      <c r="V234" s="1709"/>
      <c r="W234" s="1709"/>
      <c r="X234" s="1709"/>
      <c r="Y234" s="1709"/>
      <c r="Z234" s="1709"/>
      <c r="AA234" s="1709"/>
      <c r="AB234" s="1709"/>
    </row>
    <row r="235" spans="5:28" s="1704" customFormat="1">
      <c r="E235" s="1709"/>
      <c r="F235" s="3424"/>
      <c r="G235" s="3424"/>
      <c r="H235" s="1709"/>
      <c r="L235" s="1709"/>
      <c r="M235" s="1709"/>
      <c r="N235" s="1709"/>
      <c r="O235" s="1709"/>
      <c r="P235" s="1709"/>
      <c r="Q235" s="3424"/>
      <c r="R235" s="1709"/>
      <c r="S235" s="1709"/>
      <c r="T235" s="1709"/>
      <c r="U235" s="1709"/>
      <c r="V235" s="1709"/>
      <c r="W235" s="1709"/>
      <c r="X235" s="1709"/>
      <c r="Y235" s="1709"/>
      <c r="Z235" s="1709"/>
      <c r="AA235" s="1709"/>
      <c r="AB235" s="1709"/>
    </row>
    <row r="236" spans="5:28" s="1704" customFormat="1">
      <c r="E236" s="1709"/>
      <c r="F236" s="3424"/>
      <c r="G236" s="3424"/>
      <c r="H236" s="1709"/>
      <c r="L236" s="1709"/>
      <c r="M236" s="1709"/>
      <c r="N236" s="1709"/>
      <c r="O236" s="1709"/>
      <c r="P236" s="1709"/>
      <c r="Q236" s="3424"/>
      <c r="R236" s="1709"/>
      <c r="S236" s="1709"/>
      <c r="T236" s="1709"/>
      <c r="U236" s="1709"/>
      <c r="V236" s="1709"/>
      <c r="W236" s="1709"/>
      <c r="X236" s="1709"/>
      <c r="Y236" s="1709"/>
      <c r="Z236" s="1709"/>
      <c r="AA236" s="1709"/>
      <c r="AB236" s="1709"/>
    </row>
    <row r="237" spans="5:28" s="1704" customFormat="1">
      <c r="E237" s="1709"/>
      <c r="F237" s="3424"/>
      <c r="G237" s="3424"/>
      <c r="H237" s="1709"/>
      <c r="L237" s="1709"/>
      <c r="M237" s="1709"/>
      <c r="N237" s="1709"/>
      <c r="O237" s="1709"/>
      <c r="P237" s="1709"/>
      <c r="Q237" s="3424"/>
      <c r="R237" s="1709"/>
      <c r="S237" s="1709"/>
      <c r="T237" s="1709"/>
      <c r="U237" s="1709"/>
      <c r="V237" s="1709"/>
      <c r="W237" s="1709"/>
      <c r="X237" s="1709"/>
      <c r="Y237" s="1709"/>
      <c r="Z237" s="1709"/>
      <c r="AA237" s="1709"/>
      <c r="AB237" s="1709"/>
    </row>
    <row r="238" spans="5:28" s="1704" customFormat="1">
      <c r="E238" s="1709"/>
      <c r="F238" s="3424"/>
      <c r="G238" s="3424"/>
      <c r="H238" s="1709"/>
      <c r="L238" s="1709"/>
      <c r="M238" s="1709"/>
      <c r="N238" s="1709"/>
      <c r="O238" s="1709"/>
      <c r="P238" s="1709"/>
      <c r="Q238" s="3424"/>
      <c r="R238" s="1709"/>
      <c r="S238" s="1709"/>
      <c r="T238" s="1709"/>
      <c r="U238" s="1709"/>
      <c r="V238" s="1709"/>
      <c r="W238" s="1709"/>
      <c r="X238" s="1709"/>
      <c r="Y238" s="1709"/>
      <c r="Z238" s="1709"/>
      <c r="AA238" s="1709"/>
      <c r="AB238" s="1709"/>
    </row>
    <row r="239" spans="5:28" s="1704" customFormat="1">
      <c r="E239" s="1709"/>
      <c r="F239" s="3424"/>
      <c r="G239" s="3424"/>
      <c r="H239" s="1709"/>
      <c r="L239" s="1709"/>
      <c r="M239" s="1709"/>
      <c r="N239" s="1709"/>
      <c r="O239" s="1709"/>
      <c r="P239" s="1709"/>
      <c r="Q239" s="3424"/>
      <c r="R239" s="1709"/>
      <c r="S239" s="1709"/>
      <c r="T239" s="1709"/>
      <c r="U239" s="1709"/>
      <c r="V239" s="1709"/>
      <c r="W239" s="1709"/>
      <c r="X239" s="1709"/>
      <c r="Y239" s="1709"/>
      <c r="Z239" s="1709"/>
      <c r="AA239" s="1709"/>
      <c r="AB239" s="1709"/>
    </row>
    <row r="240" spans="5:28" s="1704" customFormat="1">
      <c r="E240" s="1709"/>
      <c r="F240" s="3424"/>
      <c r="G240" s="3424"/>
      <c r="H240" s="1709"/>
      <c r="L240" s="1709"/>
      <c r="M240" s="1709"/>
      <c r="N240" s="1709"/>
      <c r="O240" s="1709"/>
      <c r="P240" s="1709"/>
      <c r="Q240" s="3424"/>
      <c r="R240" s="1709"/>
      <c r="S240" s="1709"/>
      <c r="T240" s="1709"/>
      <c r="U240" s="1709"/>
      <c r="V240" s="1709"/>
      <c r="W240" s="1709"/>
      <c r="X240" s="1709"/>
      <c r="Y240" s="1709"/>
      <c r="Z240" s="1709"/>
      <c r="AA240" s="1709"/>
      <c r="AB240" s="1709"/>
    </row>
    <row r="241" spans="5:28" s="1704" customFormat="1">
      <c r="E241" s="1709"/>
      <c r="F241" s="3424"/>
      <c r="G241" s="3424"/>
      <c r="H241" s="1709"/>
      <c r="L241" s="1709"/>
      <c r="M241" s="1709"/>
      <c r="N241" s="1709"/>
      <c r="O241" s="1709"/>
      <c r="P241" s="1709"/>
      <c r="Q241" s="3424"/>
      <c r="R241" s="1709"/>
      <c r="S241" s="1709"/>
      <c r="T241" s="1709"/>
      <c r="U241" s="1709"/>
      <c r="V241" s="1709"/>
      <c r="W241" s="1709"/>
      <c r="X241" s="1709"/>
      <c r="Y241" s="1709"/>
      <c r="Z241" s="1709"/>
      <c r="AA241" s="1709"/>
      <c r="AB241" s="1709"/>
    </row>
    <row r="242" spans="5:28" s="1704" customFormat="1">
      <c r="E242" s="1709"/>
      <c r="F242" s="3424"/>
      <c r="G242" s="3424"/>
      <c r="H242" s="1709"/>
      <c r="L242" s="1709"/>
      <c r="M242" s="1709"/>
      <c r="N242" s="1709"/>
      <c r="O242" s="1709"/>
      <c r="P242" s="1709"/>
      <c r="Q242" s="3424"/>
      <c r="R242" s="1709"/>
      <c r="S242" s="1709"/>
      <c r="T242" s="1709"/>
      <c r="U242" s="1709"/>
      <c r="V242" s="1709"/>
      <c r="W242" s="1709"/>
      <c r="X242" s="1709"/>
      <c r="Y242" s="1709"/>
      <c r="Z242" s="1709"/>
      <c r="AA242" s="1709"/>
      <c r="AB242" s="1709"/>
    </row>
    <row r="243" spans="5:28" s="1704" customFormat="1">
      <c r="E243" s="1709"/>
      <c r="F243" s="3424"/>
      <c r="G243" s="3424"/>
      <c r="H243" s="1709"/>
      <c r="L243" s="1709"/>
      <c r="M243" s="1709"/>
      <c r="N243" s="1709"/>
      <c r="O243" s="1709"/>
      <c r="P243" s="1709"/>
      <c r="Q243" s="3424"/>
      <c r="R243" s="1709"/>
      <c r="S243" s="1709"/>
      <c r="T243" s="1709"/>
      <c r="U243" s="1709"/>
      <c r="V243" s="1709"/>
      <c r="W243" s="1709"/>
      <c r="X243" s="1709"/>
      <c r="Y243" s="1709"/>
      <c r="Z243" s="1709"/>
      <c r="AA243" s="1709"/>
      <c r="AB243" s="1709"/>
    </row>
    <row r="244" spans="5:28" s="1704" customFormat="1">
      <c r="E244" s="1709"/>
      <c r="F244" s="3424"/>
      <c r="G244" s="3424"/>
      <c r="H244" s="1709"/>
      <c r="L244" s="1709"/>
      <c r="M244" s="1709"/>
      <c r="N244" s="1709"/>
      <c r="O244" s="1709"/>
      <c r="P244" s="1709"/>
      <c r="Q244" s="3424"/>
      <c r="R244" s="1709"/>
      <c r="S244" s="1709"/>
      <c r="T244" s="1709"/>
      <c r="U244" s="1709"/>
      <c r="V244" s="1709"/>
      <c r="W244" s="1709"/>
      <c r="X244" s="1709"/>
      <c r="Y244" s="1709"/>
      <c r="Z244" s="1709"/>
      <c r="AA244" s="1709"/>
      <c r="AB244" s="1709"/>
    </row>
    <row r="245" spans="5:28" s="1704" customFormat="1">
      <c r="E245" s="1709"/>
      <c r="F245" s="3424"/>
      <c r="G245" s="3424"/>
      <c r="H245" s="1709"/>
      <c r="L245" s="1709"/>
      <c r="M245" s="1709"/>
      <c r="N245" s="1709"/>
      <c r="O245" s="1709"/>
      <c r="P245" s="1709"/>
      <c r="Q245" s="3424"/>
      <c r="R245" s="1709"/>
      <c r="S245" s="1709"/>
      <c r="T245" s="1709"/>
      <c r="U245" s="1709"/>
      <c r="V245" s="1709"/>
      <c r="W245" s="1709"/>
      <c r="X245" s="1709"/>
      <c r="Y245" s="1709"/>
      <c r="Z245" s="1709"/>
      <c r="AA245" s="1709"/>
      <c r="AB245" s="1709"/>
    </row>
    <row r="246" spans="5:28" s="1704" customFormat="1">
      <c r="E246" s="1709"/>
      <c r="F246" s="3424"/>
      <c r="G246" s="3424"/>
      <c r="H246" s="1709"/>
      <c r="L246" s="1709"/>
      <c r="M246" s="1709"/>
      <c r="N246" s="1709"/>
      <c r="O246" s="1709"/>
      <c r="P246" s="1709"/>
      <c r="Q246" s="3424"/>
      <c r="R246" s="1709"/>
      <c r="S246" s="1709"/>
      <c r="T246" s="1709"/>
      <c r="U246" s="1709"/>
      <c r="V246" s="1709"/>
      <c r="W246" s="1709"/>
      <c r="X246" s="1709"/>
      <c r="Y246" s="1709"/>
      <c r="Z246" s="1709"/>
      <c r="AA246" s="1709"/>
      <c r="AB246" s="1709"/>
    </row>
    <row r="247" spans="5:28" s="1704" customFormat="1">
      <c r="E247" s="1709"/>
      <c r="F247" s="3424"/>
      <c r="G247" s="3424"/>
      <c r="H247" s="1709"/>
      <c r="L247" s="1709"/>
      <c r="M247" s="1709"/>
      <c r="N247" s="1709"/>
      <c r="O247" s="1709"/>
      <c r="P247" s="1709"/>
      <c r="Q247" s="3424"/>
      <c r="R247" s="1709"/>
      <c r="S247" s="1709"/>
      <c r="T247" s="1709"/>
      <c r="U247" s="1709"/>
      <c r="V247" s="1709"/>
      <c r="W247" s="1709"/>
      <c r="X247" s="1709"/>
      <c r="Y247" s="1709"/>
      <c r="Z247" s="1709"/>
      <c r="AA247" s="1709"/>
      <c r="AB247" s="1709"/>
    </row>
    <row r="248" spans="5:28" s="1704" customFormat="1">
      <c r="E248" s="1709"/>
      <c r="F248" s="3424"/>
      <c r="G248" s="3424"/>
      <c r="H248" s="1709"/>
      <c r="L248" s="1709"/>
      <c r="M248" s="1709"/>
      <c r="N248" s="1709"/>
      <c r="O248" s="1709"/>
      <c r="P248" s="1709"/>
      <c r="Q248" s="3424"/>
      <c r="R248" s="1709"/>
      <c r="S248" s="1709"/>
      <c r="T248" s="1709"/>
      <c r="U248" s="1709"/>
      <c r="V248" s="1709"/>
      <c r="W248" s="1709"/>
      <c r="X248" s="1709"/>
      <c r="Y248" s="1709"/>
      <c r="Z248" s="1709"/>
      <c r="AA248" s="1709"/>
      <c r="AB248" s="1709"/>
    </row>
    <row r="249" spans="5:28" s="1704" customFormat="1">
      <c r="E249" s="1709"/>
      <c r="F249" s="3424"/>
      <c r="G249" s="3424"/>
      <c r="H249" s="1709"/>
      <c r="L249" s="1709"/>
      <c r="M249" s="1709"/>
      <c r="N249" s="1709"/>
      <c r="O249" s="1709"/>
      <c r="P249" s="1709"/>
      <c r="Q249" s="3424"/>
      <c r="R249" s="1709"/>
      <c r="S249" s="1709"/>
      <c r="T249" s="1709"/>
      <c r="U249" s="1709"/>
      <c r="V249" s="1709"/>
      <c r="W249" s="1709"/>
      <c r="X249" s="1709"/>
      <c r="Y249" s="1709"/>
      <c r="Z249" s="1709"/>
      <c r="AA249" s="1709"/>
      <c r="AB249" s="1709"/>
    </row>
    <row r="250" spans="5:28" s="1704" customFormat="1">
      <c r="E250" s="1709"/>
      <c r="F250" s="3424"/>
      <c r="G250" s="3424"/>
      <c r="H250" s="1709"/>
      <c r="L250" s="1709"/>
      <c r="M250" s="1709"/>
      <c r="N250" s="1709"/>
      <c r="O250" s="1709"/>
      <c r="P250" s="1709"/>
      <c r="Q250" s="3424"/>
      <c r="R250" s="1709"/>
      <c r="S250" s="1709"/>
      <c r="T250" s="1709"/>
      <c r="U250" s="1709"/>
      <c r="V250" s="1709"/>
      <c r="W250" s="1709"/>
      <c r="X250" s="1709"/>
      <c r="Y250" s="1709"/>
      <c r="Z250" s="1709"/>
      <c r="AA250" s="1709"/>
      <c r="AB250" s="1709"/>
    </row>
    <row r="251" spans="5:28" s="1704" customFormat="1">
      <c r="E251" s="1709"/>
      <c r="F251" s="3424"/>
      <c r="G251" s="3424"/>
      <c r="H251" s="1709"/>
      <c r="L251" s="1709"/>
      <c r="M251" s="1709"/>
      <c r="N251" s="1709"/>
      <c r="O251" s="1709"/>
      <c r="P251" s="1709"/>
      <c r="Q251" s="3424"/>
      <c r="R251" s="1709"/>
      <c r="S251" s="1709"/>
      <c r="T251" s="1709"/>
      <c r="U251" s="1709"/>
      <c r="V251" s="1709"/>
      <c r="W251" s="1709"/>
      <c r="X251" s="1709"/>
      <c r="Y251" s="1709"/>
      <c r="Z251" s="1709"/>
      <c r="AA251" s="1709"/>
      <c r="AB251" s="1709"/>
    </row>
    <row r="252" spans="5:28" s="1704" customFormat="1">
      <c r="E252" s="1709"/>
      <c r="F252" s="3424"/>
      <c r="G252" s="3424"/>
      <c r="H252" s="1709"/>
      <c r="L252" s="1709"/>
      <c r="M252" s="1709"/>
      <c r="N252" s="1709"/>
      <c r="O252" s="1709"/>
      <c r="P252" s="1709"/>
      <c r="Q252" s="3424"/>
      <c r="R252" s="1709"/>
      <c r="S252" s="1709"/>
      <c r="T252" s="1709"/>
      <c r="U252" s="1709"/>
      <c r="V252" s="1709"/>
      <c r="W252" s="1709"/>
      <c r="X252" s="1709"/>
      <c r="Y252" s="1709"/>
      <c r="Z252" s="1709"/>
      <c r="AA252" s="1709"/>
      <c r="AB252" s="1709"/>
    </row>
    <row r="253" spans="5:28" s="1704" customFormat="1">
      <c r="E253" s="1709"/>
      <c r="F253" s="3424"/>
      <c r="G253" s="3424"/>
      <c r="H253" s="1709"/>
      <c r="L253" s="1709"/>
      <c r="M253" s="1709"/>
      <c r="N253" s="1709"/>
      <c r="O253" s="1709"/>
      <c r="P253" s="1709"/>
      <c r="Q253" s="3424"/>
      <c r="R253" s="1709"/>
      <c r="S253" s="1709"/>
      <c r="T253" s="1709"/>
      <c r="U253" s="1709"/>
      <c r="V253" s="1709"/>
      <c r="W253" s="1709"/>
      <c r="X253" s="1709"/>
      <c r="Y253" s="1709"/>
      <c r="Z253" s="1709"/>
      <c r="AA253" s="1709"/>
      <c r="AB253" s="1709"/>
    </row>
    <row r="254" spans="5:28" s="1704" customFormat="1">
      <c r="E254" s="1709"/>
      <c r="F254" s="3424"/>
      <c r="G254" s="3424"/>
      <c r="H254" s="1709"/>
      <c r="L254" s="1709"/>
      <c r="M254" s="1709"/>
      <c r="N254" s="1709"/>
      <c r="O254" s="1709"/>
      <c r="P254" s="1709"/>
      <c r="Q254" s="3424"/>
      <c r="R254" s="1709"/>
      <c r="S254" s="1709"/>
      <c r="T254" s="1709"/>
      <c r="U254" s="1709"/>
      <c r="V254" s="1709"/>
      <c r="W254" s="1709"/>
      <c r="X254" s="1709"/>
      <c r="Y254" s="1709"/>
      <c r="Z254" s="1709"/>
      <c r="AA254" s="1709"/>
      <c r="AB254" s="1709"/>
    </row>
    <row r="255" spans="5:28" s="1704" customFormat="1">
      <c r="E255" s="1709"/>
      <c r="F255" s="3424"/>
      <c r="G255" s="3424"/>
      <c r="H255" s="1709"/>
      <c r="L255" s="1709"/>
      <c r="M255" s="1709"/>
      <c r="N255" s="1709"/>
      <c r="O255" s="1709"/>
      <c r="P255" s="1709"/>
      <c r="Q255" s="3424"/>
      <c r="R255" s="1709"/>
      <c r="S255" s="1709"/>
      <c r="T255" s="1709"/>
      <c r="U255" s="1709"/>
      <c r="V255" s="1709"/>
      <c r="W255" s="1709"/>
      <c r="X255" s="1709"/>
      <c r="Y255" s="1709"/>
      <c r="Z255" s="1709"/>
      <c r="AA255" s="1709"/>
      <c r="AB255" s="1709"/>
    </row>
    <row r="256" spans="5:28" s="1704" customFormat="1">
      <c r="E256" s="1709"/>
      <c r="F256" s="3424"/>
      <c r="G256" s="3424"/>
      <c r="H256" s="1709"/>
      <c r="L256" s="1709"/>
      <c r="M256" s="1709"/>
      <c r="N256" s="1709"/>
      <c r="O256" s="1709"/>
      <c r="P256" s="1709"/>
      <c r="Q256" s="3424"/>
      <c r="R256" s="1709"/>
      <c r="S256" s="1709"/>
      <c r="T256" s="1709"/>
      <c r="U256" s="1709"/>
      <c r="V256" s="1709"/>
      <c r="W256" s="1709"/>
      <c r="X256" s="1709"/>
      <c r="Y256" s="1709"/>
      <c r="Z256" s="1709"/>
      <c r="AA256" s="1709"/>
      <c r="AB256" s="1709"/>
    </row>
    <row r="257" spans="5:28" s="1704" customFormat="1">
      <c r="E257" s="1709"/>
      <c r="F257" s="3424"/>
      <c r="G257" s="3424"/>
      <c r="H257" s="1709"/>
      <c r="L257" s="1709"/>
      <c r="M257" s="1709"/>
      <c r="N257" s="1709"/>
      <c r="O257" s="1709"/>
      <c r="P257" s="1709"/>
      <c r="Q257" s="3424"/>
      <c r="R257" s="1709"/>
      <c r="S257" s="1709"/>
      <c r="T257" s="1709"/>
      <c r="U257" s="1709"/>
      <c r="V257" s="1709"/>
      <c r="W257" s="1709"/>
      <c r="X257" s="1709"/>
      <c r="Y257" s="1709"/>
      <c r="Z257" s="1709"/>
      <c r="AA257" s="1709"/>
      <c r="AB257" s="1709"/>
    </row>
    <row r="258" spans="5:28" s="1704" customFormat="1">
      <c r="E258" s="1709"/>
      <c r="F258" s="3424"/>
      <c r="G258" s="3424"/>
      <c r="H258" s="1709"/>
      <c r="L258" s="1709"/>
      <c r="M258" s="1709"/>
      <c r="N258" s="1709"/>
      <c r="O258" s="1709"/>
      <c r="P258" s="1709"/>
      <c r="Q258" s="3424"/>
      <c r="R258" s="1709"/>
      <c r="S258" s="1709"/>
      <c r="T258" s="1709"/>
      <c r="U258" s="1709"/>
      <c r="V258" s="1709"/>
      <c r="W258" s="1709"/>
      <c r="X258" s="1709"/>
      <c r="Y258" s="1709"/>
      <c r="Z258" s="1709"/>
      <c r="AA258" s="1709"/>
      <c r="AB258" s="1709"/>
    </row>
    <row r="259" spans="5:28" s="1704" customFormat="1">
      <c r="E259" s="1709"/>
      <c r="F259" s="3424"/>
      <c r="G259" s="3424"/>
      <c r="H259" s="1709"/>
      <c r="L259" s="1709"/>
      <c r="M259" s="1709"/>
      <c r="N259" s="1709"/>
      <c r="O259" s="1709"/>
      <c r="P259" s="1709"/>
      <c r="Q259" s="3424"/>
      <c r="R259" s="1709"/>
      <c r="S259" s="1709"/>
      <c r="T259" s="1709"/>
      <c r="U259" s="1709"/>
      <c r="V259" s="1709"/>
      <c r="W259" s="1709"/>
      <c r="X259" s="1709"/>
      <c r="Y259" s="1709"/>
      <c r="Z259" s="1709"/>
      <c r="AA259" s="1709"/>
      <c r="AB259" s="1709"/>
    </row>
    <row r="260" spans="5:28" s="1704" customFormat="1">
      <c r="E260" s="1709"/>
      <c r="F260" s="3424"/>
      <c r="G260" s="3424"/>
      <c r="H260" s="1709"/>
      <c r="L260" s="1709"/>
      <c r="M260" s="1709"/>
      <c r="N260" s="1709"/>
      <c r="O260" s="1709"/>
      <c r="P260" s="1709"/>
      <c r="Q260" s="3424"/>
      <c r="R260" s="1709"/>
      <c r="S260" s="1709"/>
      <c r="T260" s="1709"/>
      <c r="U260" s="1709"/>
      <c r="V260" s="1709"/>
      <c r="W260" s="1709"/>
      <c r="X260" s="1709"/>
      <c r="Y260" s="1709"/>
      <c r="Z260" s="1709"/>
      <c r="AA260" s="1709"/>
      <c r="AB260" s="1709"/>
    </row>
    <row r="261" spans="5:28" s="1704" customFormat="1">
      <c r="E261" s="1709"/>
      <c r="F261" s="3424"/>
      <c r="G261" s="3424"/>
      <c r="H261" s="1709"/>
      <c r="L261" s="1709"/>
      <c r="M261" s="1709"/>
      <c r="N261" s="1709"/>
      <c r="O261" s="1709"/>
      <c r="P261" s="1709"/>
      <c r="Q261" s="3424"/>
      <c r="R261" s="1709"/>
      <c r="S261" s="1709"/>
      <c r="T261" s="1709"/>
      <c r="U261" s="1709"/>
      <c r="V261" s="1709"/>
      <c r="W261" s="1709"/>
      <c r="X261" s="1709"/>
      <c r="Y261" s="1709"/>
      <c r="Z261" s="1709"/>
      <c r="AA261" s="1709"/>
      <c r="AB261" s="1709"/>
    </row>
    <row r="262" spans="5:28" s="1704" customFormat="1">
      <c r="E262" s="1709"/>
      <c r="F262" s="3424"/>
      <c r="G262" s="3424"/>
      <c r="H262" s="1709"/>
      <c r="L262" s="1709"/>
      <c r="M262" s="1709"/>
      <c r="N262" s="1709"/>
      <c r="O262" s="1709"/>
      <c r="P262" s="1709"/>
      <c r="Q262" s="3424"/>
      <c r="R262" s="1709"/>
      <c r="S262" s="1709"/>
      <c r="T262" s="1709"/>
      <c r="U262" s="1709"/>
      <c r="V262" s="1709"/>
      <c r="W262" s="1709"/>
      <c r="X262" s="1709"/>
      <c r="Y262" s="1709"/>
      <c r="Z262" s="1709"/>
      <c r="AA262" s="1709"/>
      <c r="AB262" s="1709"/>
    </row>
    <row r="263" spans="5:28" s="1704" customFormat="1">
      <c r="E263" s="1709"/>
      <c r="F263" s="3424"/>
      <c r="G263" s="3424"/>
      <c r="H263" s="1709"/>
      <c r="L263" s="1709"/>
      <c r="M263" s="1709"/>
      <c r="N263" s="1709"/>
      <c r="O263" s="1709"/>
      <c r="P263" s="1709"/>
      <c r="Q263" s="3424"/>
      <c r="R263" s="1709"/>
      <c r="S263" s="1709"/>
      <c r="T263" s="1709"/>
      <c r="U263" s="1709"/>
      <c r="V263" s="1709"/>
      <c r="W263" s="1709"/>
      <c r="X263" s="1709"/>
      <c r="Y263" s="1709"/>
      <c r="Z263" s="1709"/>
      <c r="AA263" s="1709"/>
      <c r="AB263" s="1709"/>
    </row>
    <row r="264" spans="5:28" s="1704" customFormat="1">
      <c r="E264" s="1709"/>
      <c r="F264" s="3424"/>
      <c r="G264" s="3424"/>
      <c r="H264" s="1709"/>
      <c r="L264" s="1709"/>
      <c r="M264" s="1709"/>
      <c r="N264" s="1709"/>
      <c r="O264" s="1709"/>
      <c r="P264" s="1709"/>
      <c r="Q264" s="3424"/>
      <c r="R264" s="1709"/>
      <c r="S264" s="1709"/>
      <c r="T264" s="1709"/>
      <c r="U264" s="1709"/>
      <c r="V264" s="1709"/>
      <c r="W264" s="1709"/>
      <c r="X264" s="1709"/>
      <c r="Y264" s="1709"/>
      <c r="Z264" s="1709"/>
      <c r="AA264" s="1709"/>
      <c r="AB264" s="1709"/>
    </row>
    <row r="265" spans="5:28" s="1704" customFormat="1">
      <c r="E265" s="1709"/>
      <c r="F265" s="3424"/>
      <c r="G265" s="3424"/>
      <c r="H265" s="1709"/>
      <c r="L265" s="1709"/>
      <c r="M265" s="1709"/>
      <c r="N265" s="1709"/>
      <c r="O265" s="1709"/>
      <c r="P265" s="1709"/>
      <c r="Q265" s="3424"/>
      <c r="R265" s="1709"/>
      <c r="S265" s="1709"/>
      <c r="T265" s="1709"/>
      <c r="U265" s="1709"/>
      <c r="V265" s="1709"/>
      <c r="W265" s="1709"/>
      <c r="X265" s="1709"/>
      <c r="Y265" s="1709"/>
      <c r="Z265" s="1709"/>
      <c r="AA265" s="1709"/>
      <c r="AB265" s="1709"/>
    </row>
    <row r="266" spans="5:28" s="1704" customFormat="1">
      <c r="E266" s="1709"/>
      <c r="F266" s="3424"/>
      <c r="G266" s="3424"/>
      <c r="H266" s="1709"/>
      <c r="L266" s="1709"/>
      <c r="M266" s="1709"/>
      <c r="N266" s="1709"/>
      <c r="O266" s="1709"/>
      <c r="P266" s="1709"/>
      <c r="Q266" s="3424"/>
      <c r="R266" s="1709"/>
      <c r="S266" s="1709"/>
      <c r="T266" s="1709"/>
      <c r="U266" s="1709"/>
      <c r="V266" s="1709"/>
      <c r="W266" s="1709"/>
      <c r="X266" s="1709"/>
      <c r="Y266" s="1709"/>
      <c r="Z266" s="1709"/>
      <c r="AA266" s="1709"/>
      <c r="AB266" s="1709"/>
    </row>
    <row r="267" spans="5:28" s="1704" customFormat="1">
      <c r="E267" s="1709"/>
      <c r="F267" s="3424"/>
      <c r="G267" s="3424"/>
      <c r="H267" s="1709"/>
      <c r="L267" s="1709"/>
      <c r="M267" s="1709"/>
      <c r="N267" s="1709"/>
      <c r="O267" s="1709"/>
      <c r="P267" s="1709"/>
      <c r="Q267" s="3424"/>
      <c r="R267" s="1709"/>
      <c r="S267" s="1709"/>
      <c r="T267" s="1709"/>
      <c r="U267" s="1709"/>
      <c r="V267" s="1709"/>
      <c r="W267" s="1709"/>
      <c r="X267" s="1709"/>
      <c r="Y267" s="1709"/>
      <c r="Z267" s="1709"/>
      <c r="AA267" s="1709"/>
      <c r="AB267" s="1709"/>
    </row>
    <row r="268" spans="5:28" s="1704" customFormat="1">
      <c r="E268" s="1709"/>
      <c r="F268" s="3424"/>
      <c r="G268" s="3424"/>
      <c r="H268" s="1709"/>
      <c r="L268" s="1709"/>
      <c r="M268" s="1709"/>
      <c r="N268" s="1709"/>
      <c r="O268" s="1709"/>
      <c r="P268" s="1709"/>
      <c r="Q268" s="3424"/>
      <c r="R268" s="1709"/>
      <c r="S268" s="1709"/>
      <c r="T268" s="1709"/>
      <c r="U268" s="1709"/>
      <c r="V268" s="1709"/>
      <c r="W268" s="1709"/>
      <c r="X268" s="1709"/>
      <c r="Y268" s="1709"/>
      <c r="Z268" s="1709"/>
      <c r="AA268" s="1709"/>
      <c r="AB268" s="1709"/>
    </row>
    <row r="269" spans="5:28" s="1704" customFormat="1">
      <c r="E269" s="1709"/>
      <c r="F269" s="3424"/>
      <c r="G269" s="3424"/>
      <c r="H269" s="1709"/>
      <c r="L269" s="1709"/>
      <c r="M269" s="1709"/>
      <c r="N269" s="1709"/>
      <c r="O269" s="1709"/>
      <c r="P269" s="1709"/>
      <c r="Q269" s="3424"/>
      <c r="R269" s="1709"/>
      <c r="S269" s="1709"/>
      <c r="T269" s="1709"/>
      <c r="U269" s="1709"/>
      <c r="V269" s="1709"/>
      <c r="W269" s="1709"/>
      <c r="X269" s="1709"/>
      <c r="Y269" s="1709"/>
      <c r="Z269" s="1709"/>
      <c r="AA269" s="1709"/>
      <c r="AB269" s="1709"/>
    </row>
    <row r="270" spans="5:28" s="1704" customFormat="1">
      <c r="E270" s="1709"/>
      <c r="F270" s="3424"/>
      <c r="G270" s="3424"/>
      <c r="H270" s="1709"/>
      <c r="L270" s="1709"/>
      <c r="M270" s="1709"/>
      <c r="N270" s="1709"/>
      <c r="O270" s="1709"/>
      <c r="P270" s="1709"/>
      <c r="Q270" s="3424"/>
      <c r="R270" s="1709"/>
      <c r="S270" s="1709"/>
      <c r="T270" s="1709"/>
      <c r="U270" s="1709"/>
      <c r="V270" s="1709"/>
      <c r="W270" s="1709"/>
      <c r="X270" s="1709"/>
      <c r="Y270" s="1709"/>
      <c r="Z270" s="1709"/>
      <c r="AA270" s="1709"/>
      <c r="AB270" s="1709"/>
    </row>
    <row r="271" spans="5:28" s="1704" customFormat="1">
      <c r="E271" s="1709"/>
      <c r="F271" s="3424"/>
      <c r="G271" s="3424"/>
      <c r="H271" s="1709"/>
      <c r="L271" s="1709"/>
      <c r="M271" s="1709"/>
      <c r="N271" s="1709"/>
      <c r="O271" s="1709"/>
      <c r="P271" s="1709"/>
      <c r="Q271" s="3424"/>
      <c r="R271" s="1709"/>
      <c r="S271" s="1709"/>
      <c r="T271" s="1709"/>
      <c r="U271" s="1709"/>
      <c r="V271" s="1709"/>
      <c r="W271" s="1709"/>
      <c r="X271" s="1709"/>
      <c r="Y271" s="1709"/>
      <c r="Z271" s="1709"/>
      <c r="AA271" s="1709"/>
      <c r="AB271" s="1709"/>
    </row>
    <row r="272" spans="5:28" s="1704" customFormat="1">
      <c r="E272" s="1709"/>
      <c r="F272" s="3424"/>
      <c r="G272" s="3424"/>
      <c r="H272" s="1709"/>
      <c r="L272" s="1709"/>
      <c r="M272" s="1709"/>
      <c r="N272" s="1709"/>
      <c r="O272" s="1709"/>
      <c r="P272" s="1709"/>
      <c r="Q272" s="3424"/>
      <c r="R272" s="1709"/>
      <c r="S272" s="1709"/>
      <c r="T272" s="1709"/>
      <c r="U272" s="1709"/>
      <c r="V272" s="1709"/>
      <c r="W272" s="1709"/>
      <c r="X272" s="1709"/>
      <c r="Y272" s="1709"/>
      <c r="Z272" s="1709"/>
      <c r="AA272" s="1709"/>
      <c r="AB272" s="1709"/>
    </row>
    <row r="273" spans="5:28" s="1704" customFormat="1">
      <c r="E273" s="1709"/>
      <c r="F273" s="3424"/>
      <c r="G273" s="3424"/>
      <c r="H273" s="1709"/>
      <c r="L273" s="1709"/>
      <c r="M273" s="1709"/>
      <c r="N273" s="1709"/>
      <c r="O273" s="1709"/>
      <c r="P273" s="1709"/>
      <c r="Q273" s="3424"/>
      <c r="R273" s="1709"/>
      <c r="S273" s="1709"/>
      <c r="T273" s="1709"/>
      <c r="U273" s="1709"/>
      <c r="V273" s="1709"/>
      <c r="W273" s="1709"/>
      <c r="X273" s="1709"/>
      <c r="Y273" s="1709"/>
      <c r="Z273" s="1709"/>
      <c r="AA273" s="1709"/>
      <c r="AB273" s="1709"/>
    </row>
    <row r="274" spans="5:28" s="1704" customFormat="1">
      <c r="E274" s="1709"/>
      <c r="F274" s="3424"/>
      <c r="G274" s="3424"/>
      <c r="H274" s="1709"/>
      <c r="L274" s="1709"/>
      <c r="M274" s="1709"/>
      <c r="N274" s="1709"/>
      <c r="O274" s="1709"/>
      <c r="P274" s="1709"/>
      <c r="Q274" s="3424"/>
      <c r="R274" s="1709"/>
      <c r="S274" s="1709"/>
      <c r="T274" s="1709"/>
      <c r="U274" s="1709"/>
      <c r="V274" s="1709"/>
      <c r="W274" s="1709"/>
      <c r="X274" s="1709"/>
      <c r="Y274" s="1709"/>
      <c r="Z274" s="1709"/>
      <c r="AA274" s="1709"/>
      <c r="AB274" s="1709"/>
    </row>
    <row r="275" spans="5:28" s="1704" customFormat="1">
      <c r="E275" s="1709"/>
      <c r="F275" s="3424"/>
      <c r="G275" s="3424"/>
      <c r="H275" s="1709"/>
      <c r="L275" s="1709"/>
      <c r="M275" s="1709"/>
      <c r="N275" s="1709"/>
      <c r="O275" s="1709"/>
      <c r="P275" s="1709"/>
      <c r="Q275" s="3424"/>
      <c r="R275" s="1709"/>
      <c r="S275" s="1709"/>
      <c r="T275" s="1709"/>
      <c r="U275" s="1709"/>
      <c r="V275" s="1709"/>
      <c r="W275" s="1709"/>
      <c r="X275" s="1709"/>
      <c r="Y275" s="1709"/>
      <c r="Z275" s="1709"/>
      <c r="AA275" s="1709"/>
      <c r="AB275" s="1709"/>
    </row>
    <row r="276" spans="5:28" s="1704" customFormat="1">
      <c r="E276" s="1709"/>
      <c r="F276" s="3424"/>
      <c r="G276" s="3424"/>
      <c r="H276" s="1709"/>
      <c r="L276" s="1709"/>
      <c r="M276" s="1709"/>
      <c r="N276" s="1709"/>
      <c r="O276" s="1709"/>
      <c r="P276" s="1709"/>
      <c r="Q276" s="3424"/>
      <c r="R276" s="1709"/>
      <c r="S276" s="1709"/>
      <c r="T276" s="1709"/>
      <c r="U276" s="1709"/>
      <c r="V276" s="1709"/>
      <c r="W276" s="1709"/>
      <c r="X276" s="1709"/>
      <c r="Y276" s="1709"/>
      <c r="Z276" s="1709"/>
      <c r="AA276" s="1709"/>
      <c r="AB276" s="1709"/>
    </row>
    <row r="277" spans="5:28" s="1704" customFormat="1">
      <c r="E277" s="1709"/>
      <c r="F277" s="3424"/>
      <c r="G277" s="3424"/>
      <c r="H277" s="1709"/>
      <c r="L277" s="1709"/>
      <c r="M277" s="1709"/>
      <c r="N277" s="1709"/>
      <c r="O277" s="1709"/>
      <c r="P277" s="1709"/>
      <c r="Q277" s="3424"/>
      <c r="R277" s="1709"/>
      <c r="S277" s="1709"/>
      <c r="T277" s="1709"/>
      <c r="U277" s="1709"/>
      <c r="V277" s="1709"/>
      <c r="W277" s="1709"/>
      <c r="X277" s="1709"/>
      <c r="Y277" s="1709"/>
      <c r="Z277" s="1709"/>
      <c r="AA277" s="1709"/>
      <c r="AB277" s="1709"/>
    </row>
    <row r="278" spans="5:28" s="1704" customFormat="1">
      <c r="E278" s="1709"/>
      <c r="F278" s="3424"/>
      <c r="G278" s="3424"/>
      <c r="H278" s="1709"/>
      <c r="L278" s="1709"/>
      <c r="M278" s="1709"/>
      <c r="N278" s="1709"/>
      <c r="O278" s="1709"/>
      <c r="P278" s="1709"/>
      <c r="Q278" s="3424"/>
      <c r="R278" s="1709"/>
      <c r="S278" s="1709"/>
      <c r="T278" s="1709"/>
      <c r="U278" s="1709"/>
      <c r="V278" s="1709"/>
      <c r="W278" s="1709"/>
      <c r="X278" s="1709"/>
      <c r="Y278" s="1709"/>
      <c r="Z278" s="1709"/>
      <c r="AA278" s="1709"/>
      <c r="AB278" s="1709"/>
    </row>
    <row r="279" spans="5:28" s="1704" customFormat="1">
      <c r="E279" s="1709"/>
      <c r="F279" s="3424"/>
      <c r="G279" s="3424"/>
      <c r="H279" s="1709"/>
      <c r="L279" s="1709"/>
      <c r="M279" s="1709"/>
      <c r="N279" s="1709"/>
      <c r="O279" s="1709"/>
      <c r="P279" s="1709"/>
      <c r="Q279" s="3424"/>
      <c r="R279" s="1709"/>
      <c r="S279" s="1709"/>
      <c r="T279" s="1709"/>
      <c r="U279" s="1709"/>
      <c r="V279" s="1709"/>
      <c r="W279" s="1709"/>
      <c r="X279" s="1709"/>
      <c r="Y279" s="1709"/>
      <c r="Z279" s="1709"/>
      <c r="AA279" s="1709"/>
      <c r="AB279" s="1709"/>
    </row>
    <row r="280" spans="5:28" s="1704" customFormat="1">
      <c r="E280" s="1709"/>
      <c r="F280" s="3424"/>
      <c r="G280" s="3424"/>
      <c r="H280" s="1709"/>
      <c r="L280" s="1709"/>
      <c r="M280" s="1709"/>
      <c r="N280" s="1709"/>
      <c r="O280" s="1709"/>
      <c r="P280" s="1709"/>
      <c r="Q280" s="3424"/>
      <c r="R280" s="1709"/>
      <c r="S280" s="1709"/>
      <c r="T280" s="1709"/>
      <c r="U280" s="1709"/>
      <c r="V280" s="1709"/>
      <c r="W280" s="1709"/>
      <c r="X280" s="1709"/>
      <c r="Y280" s="1709"/>
      <c r="Z280" s="1709"/>
      <c r="AA280" s="1709"/>
      <c r="AB280" s="1709"/>
    </row>
    <row r="281" spans="5:28" s="1704" customFormat="1">
      <c r="E281" s="1709"/>
      <c r="F281" s="3424"/>
      <c r="G281" s="3424"/>
      <c r="H281" s="1709"/>
      <c r="L281" s="1709"/>
      <c r="M281" s="1709"/>
      <c r="N281" s="1709"/>
      <c r="O281" s="1709"/>
      <c r="P281" s="1709"/>
      <c r="Q281" s="3424"/>
      <c r="R281" s="1709"/>
      <c r="S281" s="1709"/>
      <c r="T281" s="1709"/>
      <c r="U281" s="1709"/>
      <c r="V281" s="1709"/>
      <c r="W281" s="1709"/>
      <c r="X281" s="1709"/>
      <c r="Y281" s="1709"/>
      <c r="Z281" s="1709"/>
      <c r="AA281" s="1709"/>
      <c r="AB281" s="1709"/>
    </row>
    <row r="282" spans="5:28" s="1704" customFormat="1">
      <c r="E282" s="1709"/>
      <c r="F282" s="3424"/>
      <c r="G282" s="3424"/>
      <c r="H282" s="1709"/>
      <c r="L282" s="1709"/>
      <c r="M282" s="1709"/>
      <c r="N282" s="1709"/>
      <c r="O282" s="1709"/>
      <c r="P282" s="1709"/>
      <c r="Q282" s="3424"/>
      <c r="R282" s="1709"/>
      <c r="S282" s="1709"/>
      <c r="T282" s="1709"/>
      <c r="U282" s="1709"/>
      <c r="V282" s="1709"/>
      <c r="W282" s="1709"/>
      <c r="X282" s="1709"/>
      <c r="Y282" s="1709"/>
      <c r="Z282" s="1709"/>
      <c r="AA282" s="1709"/>
      <c r="AB282" s="1709"/>
    </row>
    <row r="283" spans="5:28" s="1704" customFormat="1">
      <c r="E283" s="1709"/>
      <c r="F283" s="3424"/>
      <c r="G283" s="3424"/>
      <c r="H283" s="1709"/>
      <c r="L283" s="1709"/>
      <c r="M283" s="1709"/>
      <c r="N283" s="1709"/>
      <c r="O283" s="1709"/>
      <c r="P283" s="1709"/>
      <c r="Q283" s="3424"/>
      <c r="R283" s="1709"/>
      <c r="S283" s="1709"/>
      <c r="T283" s="1709"/>
      <c r="U283" s="1709"/>
      <c r="V283" s="1709"/>
      <c r="W283" s="1709"/>
      <c r="X283" s="1709"/>
      <c r="Y283" s="1709"/>
      <c r="Z283" s="1709"/>
      <c r="AA283" s="1709"/>
      <c r="AB283" s="1709"/>
    </row>
    <row r="284" spans="5:28" s="1704" customFormat="1">
      <c r="E284" s="1709"/>
      <c r="F284" s="3424"/>
      <c r="G284" s="3424"/>
      <c r="H284" s="1709"/>
      <c r="L284" s="1709"/>
      <c r="M284" s="1709"/>
      <c r="N284" s="1709"/>
      <c r="O284" s="1709"/>
      <c r="P284" s="1709"/>
      <c r="Q284" s="3424"/>
      <c r="R284" s="1709"/>
      <c r="S284" s="1709"/>
      <c r="T284" s="1709"/>
      <c r="U284" s="1709"/>
      <c r="V284" s="1709"/>
      <c r="W284" s="1709"/>
      <c r="X284" s="1709"/>
      <c r="Y284" s="1709"/>
      <c r="Z284" s="1709"/>
      <c r="AA284" s="1709"/>
      <c r="AB284" s="1709"/>
    </row>
    <row r="285" spans="5:28" s="1704" customFormat="1">
      <c r="E285" s="1709"/>
      <c r="F285" s="3424"/>
      <c r="G285" s="3424"/>
      <c r="H285" s="1709"/>
      <c r="L285" s="1709"/>
      <c r="M285" s="1709"/>
      <c r="N285" s="1709"/>
      <c r="O285" s="1709"/>
      <c r="P285" s="1709"/>
      <c r="Q285" s="3424"/>
      <c r="R285" s="1709"/>
      <c r="S285" s="1709"/>
      <c r="T285" s="1709"/>
      <c r="U285" s="1709"/>
      <c r="V285" s="1709"/>
      <c r="W285" s="1709"/>
      <c r="X285" s="1709"/>
      <c r="Y285" s="1709"/>
      <c r="Z285" s="1709"/>
      <c r="AA285" s="1709"/>
      <c r="AB285" s="1709"/>
    </row>
    <row r="286" spans="5:28" s="1704" customFormat="1">
      <c r="E286" s="1709"/>
      <c r="F286" s="3424"/>
      <c r="G286" s="3424"/>
      <c r="H286" s="1709"/>
      <c r="L286" s="1709"/>
      <c r="M286" s="1709"/>
      <c r="N286" s="1709"/>
      <c r="O286" s="1709"/>
      <c r="P286" s="1709"/>
      <c r="Q286" s="3424"/>
      <c r="R286" s="1709"/>
      <c r="S286" s="1709"/>
      <c r="T286" s="1709"/>
      <c r="U286" s="1709"/>
      <c r="V286" s="1709"/>
      <c r="W286" s="1709"/>
      <c r="X286" s="1709"/>
      <c r="Y286" s="1709"/>
      <c r="Z286" s="1709"/>
      <c r="AA286" s="1709"/>
      <c r="AB286" s="1709"/>
    </row>
    <row r="287" spans="5:28" s="1704" customFormat="1">
      <c r="E287" s="1709"/>
      <c r="F287" s="3424"/>
      <c r="G287" s="3424"/>
      <c r="H287" s="1709"/>
      <c r="L287" s="1709"/>
      <c r="M287" s="1709"/>
      <c r="N287" s="1709"/>
      <c r="O287" s="1709"/>
      <c r="P287" s="1709"/>
      <c r="Q287" s="3424"/>
      <c r="R287" s="1709"/>
      <c r="S287" s="1709"/>
      <c r="T287" s="1709"/>
      <c r="U287" s="1709"/>
      <c r="V287" s="1709"/>
      <c r="W287" s="1709"/>
      <c r="X287" s="1709"/>
      <c r="Y287" s="1709"/>
      <c r="Z287" s="1709"/>
      <c r="AA287" s="1709"/>
      <c r="AB287" s="1709"/>
    </row>
    <row r="288" spans="5:28" s="1704" customFormat="1">
      <c r="E288" s="1709"/>
      <c r="F288" s="3424"/>
      <c r="G288" s="3424"/>
      <c r="H288" s="1709"/>
      <c r="L288" s="1709"/>
      <c r="M288" s="1709"/>
      <c r="N288" s="1709"/>
      <c r="O288" s="1709"/>
      <c r="P288" s="1709"/>
      <c r="Q288" s="3424"/>
      <c r="R288" s="1709"/>
      <c r="S288" s="1709"/>
      <c r="T288" s="1709"/>
      <c r="U288" s="1709"/>
      <c r="V288" s="1709"/>
      <c r="W288" s="1709"/>
      <c r="X288" s="1709"/>
      <c r="Y288" s="1709"/>
      <c r="Z288" s="1709"/>
      <c r="AA288" s="1709"/>
      <c r="AB288" s="1709"/>
    </row>
    <row r="289" spans="5:28" s="1704" customFormat="1">
      <c r="E289" s="1709"/>
      <c r="F289" s="3424"/>
      <c r="G289" s="3424"/>
      <c r="H289" s="1709"/>
      <c r="L289" s="1709"/>
      <c r="M289" s="1709"/>
      <c r="N289" s="1709"/>
      <c r="O289" s="1709"/>
      <c r="P289" s="1709"/>
      <c r="Q289" s="3424"/>
      <c r="R289" s="1709"/>
      <c r="S289" s="1709"/>
      <c r="T289" s="1709"/>
      <c r="U289" s="1709"/>
      <c r="V289" s="1709"/>
      <c r="W289" s="1709"/>
      <c r="X289" s="1709"/>
      <c r="Y289" s="1709"/>
      <c r="Z289" s="1709"/>
      <c r="AA289" s="1709"/>
      <c r="AB289" s="1709"/>
    </row>
    <row r="290" spans="5:28" s="1704" customFormat="1">
      <c r="E290" s="1709"/>
      <c r="F290" s="3424"/>
      <c r="G290" s="3424"/>
      <c r="H290" s="1709"/>
      <c r="L290" s="1709"/>
      <c r="M290" s="1709"/>
      <c r="N290" s="1709"/>
      <c r="O290" s="1709"/>
      <c r="P290" s="1709"/>
      <c r="Q290" s="3424"/>
      <c r="R290" s="1709"/>
      <c r="S290" s="1709"/>
      <c r="T290" s="1709"/>
      <c r="U290" s="1709"/>
      <c r="V290" s="1709"/>
      <c r="W290" s="1709"/>
      <c r="X290" s="1709"/>
      <c r="Y290" s="1709"/>
      <c r="Z290" s="1709"/>
      <c r="AA290" s="1709"/>
      <c r="AB290" s="1709"/>
    </row>
    <row r="291" spans="5:28" s="1704" customFormat="1">
      <c r="E291" s="1709"/>
      <c r="F291" s="3424"/>
      <c r="G291" s="3424"/>
      <c r="H291" s="1709"/>
      <c r="L291" s="1709"/>
      <c r="M291" s="1709"/>
      <c r="N291" s="1709"/>
      <c r="O291" s="1709"/>
      <c r="P291" s="1709"/>
      <c r="Q291" s="3424"/>
      <c r="R291" s="1709"/>
      <c r="S291" s="1709"/>
      <c r="T291" s="1709"/>
      <c r="U291" s="1709"/>
      <c r="V291" s="1709"/>
      <c r="W291" s="1709"/>
      <c r="X291" s="1709"/>
      <c r="Y291" s="1709"/>
      <c r="Z291" s="1709"/>
      <c r="AA291" s="1709"/>
      <c r="AB291" s="1709"/>
    </row>
    <row r="292" spans="5:28" s="1704" customFormat="1">
      <c r="E292" s="1709"/>
      <c r="F292" s="3424"/>
      <c r="G292" s="3424"/>
      <c r="H292" s="1709"/>
      <c r="L292" s="1709"/>
      <c r="M292" s="1709"/>
      <c r="N292" s="1709"/>
      <c r="O292" s="1709"/>
      <c r="P292" s="1709"/>
      <c r="Q292" s="3424"/>
      <c r="R292" s="1709"/>
      <c r="S292" s="1709"/>
      <c r="T292" s="1709"/>
      <c r="U292" s="1709"/>
      <c r="V292" s="1709"/>
      <c r="W292" s="1709"/>
      <c r="X292" s="1709"/>
      <c r="Y292" s="1709"/>
      <c r="Z292" s="1709"/>
      <c r="AA292" s="1709"/>
      <c r="AB292" s="1709"/>
    </row>
    <row r="293" spans="5:28" s="1704" customFormat="1">
      <c r="E293" s="1709"/>
      <c r="F293" s="3424"/>
      <c r="G293" s="3424"/>
      <c r="H293" s="1709"/>
      <c r="L293" s="1709"/>
      <c r="M293" s="1709"/>
      <c r="N293" s="1709"/>
      <c r="O293" s="1709"/>
      <c r="P293" s="1709"/>
      <c r="Q293" s="3424"/>
      <c r="R293" s="1709"/>
      <c r="S293" s="1709"/>
      <c r="T293" s="1709"/>
      <c r="U293" s="1709"/>
      <c r="V293" s="1709"/>
      <c r="W293" s="1709"/>
      <c r="X293" s="1709"/>
      <c r="Y293" s="1709"/>
      <c r="Z293" s="1709"/>
      <c r="AA293" s="1709"/>
      <c r="AB293" s="1709"/>
    </row>
    <row r="294" spans="5:28" s="1704" customFormat="1">
      <c r="E294" s="1709"/>
      <c r="F294" s="3424"/>
      <c r="G294" s="3424"/>
      <c r="H294" s="1709"/>
      <c r="L294" s="1709"/>
      <c r="M294" s="1709"/>
      <c r="N294" s="1709"/>
      <c r="O294" s="1709"/>
      <c r="P294" s="1709"/>
      <c r="Q294" s="3424"/>
      <c r="R294" s="1709"/>
      <c r="S294" s="1709"/>
      <c r="T294" s="1709"/>
      <c r="U294" s="1709"/>
      <c r="V294" s="1709"/>
      <c r="W294" s="1709"/>
      <c r="X294" s="1709"/>
      <c r="Y294" s="1709"/>
      <c r="Z294" s="1709"/>
      <c r="AA294" s="1709"/>
      <c r="AB294" s="1709"/>
    </row>
    <row r="295" spans="5:28" s="1704" customFormat="1">
      <c r="E295" s="1709"/>
      <c r="F295" s="3424"/>
      <c r="G295" s="3424"/>
      <c r="H295" s="1709"/>
      <c r="L295" s="1709"/>
      <c r="M295" s="1709"/>
      <c r="N295" s="1709"/>
      <c r="O295" s="1709"/>
      <c r="P295" s="1709"/>
      <c r="Q295" s="3424"/>
      <c r="R295" s="1709"/>
      <c r="S295" s="1709"/>
      <c r="T295" s="1709"/>
      <c r="U295" s="1709"/>
      <c r="V295" s="1709"/>
      <c r="W295" s="1709"/>
      <c r="X295" s="1709"/>
      <c r="Y295" s="1709"/>
      <c r="Z295" s="1709"/>
      <c r="AA295" s="1709"/>
      <c r="AB295" s="1709"/>
    </row>
    <row r="296" spans="5:28" s="1704" customFormat="1">
      <c r="E296" s="1709"/>
      <c r="F296" s="3424"/>
      <c r="G296" s="3424"/>
      <c r="H296" s="1709"/>
      <c r="L296" s="1709"/>
      <c r="M296" s="1709"/>
      <c r="N296" s="1709"/>
      <c r="O296" s="1709"/>
      <c r="P296" s="1709"/>
      <c r="Q296" s="3424"/>
      <c r="R296" s="1709"/>
      <c r="S296" s="1709"/>
      <c r="T296" s="1709"/>
      <c r="U296" s="1709"/>
      <c r="V296" s="1709"/>
      <c r="W296" s="1709"/>
      <c r="X296" s="1709"/>
      <c r="Y296" s="1709"/>
      <c r="Z296" s="1709"/>
      <c r="AA296" s="1709"/>
      <c r="AB296" s="1709"/>
    </row>
    <row r="297" spans="5:28" s="1704" customFormat="1">
      <c r="E297" s="1709"/>
      <c r="F297" s="3424"/>
      <c r="G297" s="3424"/>
      <c r="H297" s="1709"/>
      <c r="L297" s="1709"/>
      <c r="M297" s="1709"/>
      <c r="N297" s="1709"/>
      <c r="O297" s="1709"/>
      <c r="P297" s="1709"/>
      <c r="Q297" s="3424"/>
      <c r="R297" s="1709"/>
      <c r="S297" s="1709"/>
      <c r="T297" s="1709"/>
      <c r="U297" s="1709"/>
      <c r="V297" s="1709"/>
      <c r="W297" s="1709"/>
      <c r="X297" s="1709"/>
      <c r="Y297" s="1709"/>
      <c r="Z297" s="1709"/>
      <c r="AA297" s="1709"/>
      <c r="AB297" s="1709"/>
    </row>
    <row r="298" spans="5:28" s="1704" customFormat="1">
      <c r="E298" s="1709"/>
      <c r="F298" s="3424"/>
      <c r="G298" s="3424"/>
      <c r="H298" s="1709"/>
      <c r="L298" s="1709"/>
      <c r="M298" s="1709"/>
      <c r="N298" s="1709"/>
      <c r="O298" s="1709"/>
      <c r="P298" s="1709"/>
      <c r="Q298" s="3424"/>
      <c r="R298" s="1709"/>
      <c r="S298" s="1709"/>
      <c r="T298" s="1709"/>
      <c r="U298" s="1709"/>
      <c r="V298" s="1709"/>
      <c r="W298" s="1709"/>
      <c r="X298" s="1709"/>
      <c r="Y298" s="1709"/>
      <c r="Z298" s="1709"/>
      <c r="AA298" s="1709"/>
      <c r="AB298" s="1709"/>
    </row>
    <row r="299" spans="5:28" s="1704" customFormat="1">
      <c r="E299" s="1709"/>
      <c r="F299" s="3424"/>
      <c r="G299" s="3424"/>
      <c r="H299" s="1709"/>
      <c r="L299" s="1709"/>
      <c r="M299" s="1709"/>
      <c r="N299" s="1709"/>
      <c r="O299" s="1709"/>
      <c r="P299" s="1709"/>
      <c r="Q299" s="3424"/>
      <c r="R299" s="1709"/>
      <c r="S299" s="1709"/>
      <c r="T299" s="1709"/>
      <c r="U299" s="1709"/>
      <c r="V299" s="1709"/>
      <c r="W299" s="1709"/>
      <c r="X299" s="1709"/>
      <c r="Y299" s="1709"/>
      <c r="Z299" s="1709"/>
      <c r="AA299" s="1709"/>
      <c r="AB299" s="1709"/>
    </row>
    <row r="300" spans="5:28" s="1704" customFormat="1">
      <c r="E300" s="1709"/>
      <c r="F300" s="3424"/>
      <c r="G300" s="3424"/>
      <c r="H300" s="1709"/>
      <c r="L300" s="1709"/>
      <c r="M300" s="1709"/>
      <c r="N300" s="1709"/>
      <c r="O300" s="1709"/>
      <c r="P300" s="1709"/>
      <c r="Q300" s="3424"/>
      <c r="R300" s="1709"/>
      <c r="S300" s="1709"/>
      <c r="T300" s="1709"/>
      <c r="U300" s="1709"/>
      <c r="V300" s="1709"/>
      <c r="W300" s="1709"/>
      <c r="X300" s="1709"/>
      <c r="Y300" s="1709"/>
      <c r="Z300" s="1709"/>
      <c r="AA300" s="1709"/>
      <c r="AB300" s="1709"/>
    </row>
    <row r="301" spans="5:28" s="1704" customFormat="1">
      <c r="E301" s="1709"/>
      <c r="F301" s="3424"/>
      <c r="G301" s="3424"/>
      <c r="H301" s="1709"/>
      <c r="L301" s="1709"/>
      <c r="M301" s="1709"/>
      <c r="N301" s="1709"/>
      <c r="O301" s="1709"/>
      <c r="P301" s="1709"/>
      <c r="Q301" s="3424"/>
      <c r="R301" s="1709"/>
      <c r="S301" s="1709"/>
      <c r="T301" s="1709"/>
      <c r="U301" s="1709"/>
      <c r="V301" s="1709"/>
      <c r="W301" s="1709"/>
      <c r="X301" s="1709"/>
      <c r="Y301" s="1709"/>
      <c r="Z301" s="1709"/>
      <c r="AA301" s="1709"/>
      <c r="AB301" s="1709"/>
    </row>
    <row r="302" spans="5:28" s="1704" customFormat="1">
      <c r="E302" s="1709"/>
      <c r="F302" s="3424"/>
      <c r="G302" s="3424"/>
      <c r="H302" s="1709"/>
      <c r="L302" s="1709"/>
      <c r="M302" s="1709"/>
      <c r="N302" s="1709"/>
      <c r="O302" s="1709"/>
      <c r="P302" s="1709"/>
      <c r="Q302" s="3424"/>
      <c r="R302" s="1709"/>
      <c r="S302" s="1709"/>
      <c r="T302" s="1709"/>
      <c r="U302" s="1709"/>
      <c r="V302" s="1709"/>
      <c r="W302" s="1709"/>
      <c r="X302" s="1709"/>
      <c r="Y302" s="1709"/>
      <c r="Z302" s="1709"/>
      <c r="AA302" s="1709"/>
      <c r="AB302" s="1709"/>
    </row>
    <row r="303" spans="5:28" s="1704" customFormat="1">
      <c r="E303" s="1709"/>
      <c r="F303" s="3424"/>
      <c r="G303" s="3424"/>
      <c r="H303" s="1709"/>
      <c r="L303" s="1709"/>
      <c r="M303" s="1709"/>
      <c r="N303" s="1709"/>
      <c r="O303" s="1709"/>
      <c r="P303" s="1709"/>
      <c r="Q303" s="3424"/>
      <c r="R303" s="1709"/>
      <c r="S303" s="1709"/>
      <c r="T303" s="1709"/>
      <c r="U303" s="1709"/>
      <c r="V303" s="1709"/>
      <c r="W303" s="1709"/>
      <c r="X303" s="1709"/>
      <c r="Y303" s="1709"/>
      <c r="Z303" s="1709"/>
      <c r="AA303" s="1709"/>
      <c r="AB303" s="1709"/>
    </row>
    <row r="304" spans="5:28" s="1704" customFormat="1">
      <c r="E304" s="1709"/>
      <c r="F304" s="3424"/>
      <c r="G304" s="3424"/>
      <c r="H304" s="1709"/>
      <c r="L304" s="1709"/>
      <c r="M304" s="1709"/>
      <c r="N304" s="1709"/>
      <c r="O304" s="1709"/>
      <c r="P304" s="1709"/>
      <c r="Q304" s="3424"/>
      <c r="R304" s="1709"/>
      <c r="S304" s="1709"/>
      <c r="T304" s="1709"/>
      <c r="U304" s="1709"/>
      <c r="V304" s="1709"/>
      <c r="W304" s="1709"/>
      <c r="X304" s="1709"/>
      <c r="Y304" s="1709"/>
      <c r="Z304" s="1709"/>
      <c r="AA304" s="1709"/>
      <c r="AB304" s="1709"/>
    </row>
    <row r="305" spans="5:28" s="1704" customFormat="1">
      <c r="E305" s="1709"/>
      <c r="F305" s="3424"/>
      <c r="G305" s="3424"/>
      <c r="H305" s="1709"/>
      <c r="L305" s="1709"/>
      <c r="M305" s="1709"/>
      <c r="N305" s="1709"/>
      <c r="O305" s="1709"/>
      <c r="P305" s="1709"/>
      <c r="Q305" s="3424"/>
      <c r="R305" s="1709"/>
      <c r="S305" s="1709"/>
      <c r="T305" s="1709"/>
      <c r="U305" s="1709"/>
      <c r="V305" s="1709"/>
      <c r="W305" s="1709"/>
      <c r="X305" s="1709"/>
      <c r="Y305" s="1709"/>
      <c r="Z305" s="1709"/>
      <c r="AA305" s="1709"/>
      <c r="AB305" s="1709"/>
    </row>
    <row r="306" spans="5:28" s="1704" customFormat="1">
      <c r="E306" s="1709"/>
      <c r="F306" s="3424"/>
      <c r="G306" s="3424"/>
      <c r="H306" s="1709"/>
      <c r="L306" s="1709"/>
      <c r="M306" s="1709"/>
      <c r="N306" s="1709"/>
      <c r="O306" s="1709"/>
      <c r="P306" s="1709"/>
      <c r="Q306" s="3424"/>
      <c r="R306" s="1709"/>
      <c r="S306" s="1709"/>
      <c r="T306" s="1709"/>
      <c r="U306" s="1709"/>
      <c r="V306" s="1709"/>
      <c r="W306" s="1709"/>
      <c r="X306" s="1709"/>
      <c r="Y306" s="1709"/>
      <c r="Z306" s="1709"/>
      <c r="AA306" s="1709"/>
      <c r="AB306" s="1709"/>
    </row>
    <row r="307" spans="5:28" s="1704" customFormat="1">
      <c r="E307" s="1709"/>
      <c r="F307" s="3424"/>
      <c r="G307" s="3424"/>
      <c r="H307" s="1709"/>
      <c r="L307" s="1709"/>
      <c r="M307" s="1709"/>
      <c r="N307" s="1709"/>
      <c r="O307" s="1709"/>
      <c r="P307" s="1709"/>
      <c r="Q307" s="3424"/>
      <c r="R307" s="1709"/>
      <c r="S307" s="1709"/>
      <c r="T307" s="1709"/>
      <c r="U307" s="1709"/>
      <c r="V307" s="1709"/>
      <c r="W307" s="1709"/>
      <c r="X307" s="1709"/>
      <c r="Y307" s="1709"/>
      <c r="Z307" s="1709"/>
      <c r="AA307" s="1709"/>
      <c r="AB307" s="1709"/>
    </row>
    <row r="308" spans="5:28" s="1704" customFormat="1">
      <c r="E308" s="1709"/>
      <c r="F308" s="3424"/>
      <c r="G308" s="3424"/>
      <c r="H308" s="1709"/>
      <c r="L308" s="1709"/>
      <c r="M308" s="1709"/>
      <c r="N308" s="1709"/>
      <c r="O308" s="1709"/>
      <c r="P308" s="1709"/>
      <c r="Q308" s="3424"/>
      <c r="R308" s="1709"/>
      <c r="S308" s="1709"/>
      <c r="T308" s="1709"/>
      <c r="U308" s="1709"/>
      <c r="V308" s="1709"/>
      <c r="W308" s="1709"/>
      <c r="X308" s="1709"/>
      <c r="Y308" s="1709"/>
      <c r="Z308" s="1709"/>
      <c r="AA308" s="1709"/>
      <c r="AB308" s="1709"/>
    </row>
    <row r="309" spans="5:28" s="1704" customFormat="1">
      <c r="E309" s="1709"/>
      <c r="F309" s="3424"/>
      <c r="G309" s="3424"/>
      <c r="H309" s="1709"/>
      <c r="L309" s="1709"/>
      <c r="M309" s="1709"/>
      <c r="N309" s="1709"/>
      <c r="O309" s="1709"/>
      <c r="P309" s="1709"/>
      <c r="Q309" s="3424"/>
      <c r="R309" s="1709"/>
      <c r="S309" s="1709"/>
      <c r="T309" s="1709"/>
      <c r="U309" s="1709"/>
      <c r="V309" s="1709"/>
      <c r="W309" s="1709"/>
      <c r="X309" s="1709"/>
      <c r="Y309" s="1709"/>
      <c r="Z309" s="1709"/>
      <c r="AA309" s="1709"/>
      <c r="AB309" s="1709"/>
    </row>
    <row r="310" spans="5:28" s="1704" customFormat="1">
      <c r="E310" s="1709"/>
      <c r="F310" s="3424"/>
      <c r="G310" s="3424"/>
      <c r="H310" s="1709"/>
      <c r="L310" s="1709"/>
      <c r="M310" s="1709"/>
      <c r="N310" s="1709"/>
      <c r="O310" s="1709"/>
      <c r="P310" s="1709"/>
      <c r="Q310" s="3424"/>
      <c r="R310" s="1709"/>
      <c r="S310" s="1709"/>
      <c r="T310" s="1709"/>
      <c r="U310" s="1709"/>
      <c r="V310" s="1709"/>
      <c r="W310" s="1709"/>
      <c r="X310" s="1709"/>
      <c r="Y310" s="1709"/>
      <c r="Z310" s="1709"/>
      <c r="AA310" s="1709"/>
      <c r="AB310" s="1709"/>
    </row>
    <row r="311" spans="5:28" s="1704" customFormat="1">
      <c r="E311" s="1709"/>
      <c r="F311" s="3424"/>
      <c r="G311" s="3424"/>
      <c r="H311" s="1709"/>
      <c r="L311" s="1709"/>
      <c r="M311" s="1709"/>
      <c r="N311" s="1709"/>
      <c r="O311" s="1709"/>
      <c r="P311" s="1709"/>
      <c r="Q311" s="3424"/>
      <c r="R311" s="1709"/>
      <c r="S311" s="1709"/>
      <c r="T311" s="1709"/>
      <c r="U311" s="1709"/>
      <c r="V311" s="1709"/>
      <c r="W311" s="1709"/>
      <c r="X311" s="1709"/>
      <c r="Y311" s="1709"/>
      <c r="Z311" s="1709"/>
      <c r="AA311" s="1709"/>
      <c r="AB311" s="1709"/>
    </row>
    <row r="312" spans="5:28" s="1704" customFormat="1">
      <c r="E312" s="1709"/>
      <c r="F312" s="3424"/>
      <c r="G312" s="3424"/>
      <c r="H312" s="1709"/>
      <c r="L312" s="1709"/>
      <c r="M312" s="1709"/>
      <c r="N312" s="1709"/>
      <c r="O312" s="1709"/>
      <c r="P312" s="1709"/>
      <c r="Q312" s="3424"/>
      <c r="R312" s="1709"/>
      <c r="S312" s="1709"/>
      <c r="T312" s="1709"/>
      <c r="U312" s="1709"/>
      <c r="V312" s="1709"/>
      <c r="W312" s="1709"/>
      <c r="X312" s="1709"/>
      <c r="Y312" s="1709"/>
      <c r="Z312" s="1709"/>
      <c r="AA312" s="1709"/>
      <c r="AB312" s="1709"/>
    </row>
    <row r="313" spans="5:28" s="1704" customFormat="1">
      <c r="E313" s="1709"/>
      <c r="F313" s="3424"/>
      <c r="G313" s="3424"/>
      <c r="H313" s="1709"/>
      <c r="L313" s="1709"/>
      <c r="M313" s="1709"/>
      <c r="N313" s="1709"/>
      <c r="O313" s="1709"/>
      <c r="P313" s="1709"/>
      <c r="Q313" s="3424"/>
      <c r="R313" s="1709"/>
      <c r="S313" s="1709"/>
      <c r="T313" s="1709"/>
      <c r="U313" s="1709"/>
      <c r="V313" s="1709"/>
      <c r="W313" s="1709"/>
      <c r="X313" s="1709"/>
      <c r="Y313" s="1709"/>
      <c r="Z313" s="1709"/>
      <c r="AA313" s="1709"/>
      <c r="AB313" s="1709"/>
    </row>
    <row r="314" spans="5:28" s="1704" customFormat="1">
      <c r="E314" s="1709"/>
      <c r="F314" s="3424"/>
      <c r="G314" s="3424"/>
      <c r="H314" s="1709"/>
      <c r="L314" s="1709"/>
      <c r="M314" s="1709"/>
      <c r="N314" s="1709"/>
      <c r="O314" s="1709"/>
      <c r="P314" s="1709"/>
      <c r="Q314" s="3424"/>
      <c r="R314" s="1709"/>
      <c r="S314" s="1709"/>
      <c r="T314" s="1709"/>
      <c r="U314" s="1709"/>
      <c r="V314" s="1709"/>
      <c r="W314" s="1709"/>
      <c r="X314" s="1709"/>
      <c r="Y314" s="1709"/>
      <c r="Z314" s="1709"/>
      <c r="AA314" s="1709"/>
      <c r="AB314" s="1709"/>
    </row>
    <row r="315" spans="5:28" s="1704" customFormat="1">
      <c r="E315" s="1709"/>
      <c r="F315" s="3424"/>
      <c r="G315" s="3424"/>
      <c r="H315" s="1709"/>
      <c r="L315" s="1709"/>
      <c r="M315" s="1709"/>
      <c r="N315" s="1709"/>
      <c r="O315" s="1709"/>
      <c r="P315" s="1709"/>
      <c r="Q315" s="3424"/>
      <c r="R315" s="1709"/>
      <c r="S315" s="1709"/>
      <c r="T315" s="1709"/>
      <c r="U315" s="1709"/>
      <c r="V315" s="1709"/>
      <c r="W315" s="1709"/>
      <c r="X315" s="1709"/>
      <c r="Y315" s="1709"/>
      <c r="Z315" s="1709"/>
      <c r="AA315" s="1709"/>
      <c r="AB315" s="1709"/>
    </row>
    <row r="316" spans="5:28" s="1704" customFormat="1">
      <c r="E316" s="1709"/>
      <c r="F316" s="3424"/>
      <c r="G316" s="3424"/>
      <c r="H316" s="1709"/>
      <c r="L316" s="1709"/>
      <c r="M316" s="1709"/>
      <c r="N316" s="1709"/>
      <c r="O316" s="1709"/>
      <c r="P316" s="1709"/>
      <c r="Q316" s="3424"/>
      <c r="R316" s="1709"/>
      <c r="S316" s="1709"/>
      <c r="T316" s="1709"/>
      <c r="U316" s="1709"/>
      <c r="V316" s="1709"/>
      <c r="W316" s="1709"/>
      <c r="X316" s="1709"/>
      <c r="Y316" s="1709"/>
      <c r="Z316" s="1709"/>
      <c r="AA316" s="1709"/>
      <c r="AB316" s="1709"/>
    </row>
    <row r="317" spans="5:28" s="1704" customFormat="1">
      <c r="E317" s="1709"/>
      <c r="F317" s="3424"/>
      <c r="G317" s="3424"/>
      <c r="H317" s="1709"/>
      <c r="L317" s="1709"/>
      <c r="M317" s="1709"/>
      <c r="N317" s="1709"/>
      <c r="O317" s="1709"/>
      <c r="P317" s="1709"/>
      <c r="Q317" s="3424"/>
      <c r="R317" s="1709"/>
      <c r="S317" s="1709"/>
      <c r="T317" s="1709"/>
      <c r="U317" s="1709"/>
      <c r="V317" s="1709"/>
      <c r="W317" s="1709"/>
      <c r="X317" s="1709"/>
      <c r="Y317" s="1709"/>
      <c r="Z317" s="1709"/>
      <c r="AA317" s="1709"/>
      <c r="AB317" s="1709"/>
    </row>
    <row r="318" spans="5:28" s="1704" customFormat="1">
      <c r="E318" s="1709"/>
      <c r="F318" s="3424"/>
      <c r="G318" s="3424"/>
      <c r="H318" s="1709"/>
      <c r="L318" s="1709"/>
      <c r="M318" s="1709"/>
      <c r="N318" s="1709"/>
      <c r="O318" s="1709"/>
      <c r="P318" s="1709"/>
      <c r="Q318" s="3424"/>
      <c r="R318" s="1709"/>
      <c r="S318" s="1709"/>
      <c r="T318" s="1709"/>
      <c r="U318" s="1709"/>
      <c r="V318" s="1709"/>
      <c r="W318" s="1709"/>
      <c r="X318" s="1709"/>
      <c r="Y318" s="1709"/>
      <c r="Z318" s="1709"/>
      <c r="AA318" s="1709"/>
      <c r="AB318" s="1709"/>
    </row>
    <row r="319" spans="5:28" s="1704" customFormat="1">
      <c r="E319" s="1709"/>
      <c r="F319" s="3424"/>
      <c r="G319" s="3424"/>
      <c r="H319" s="1709"/>
      <c r="L319" s="1709"/>
      <c r="M319" s="1709"/>
      <c r="N319" s="1709"/>
      <c r="O319" s="1709"/>
      <c r="P319" s="1709"/>
      <c r="Q319" s="3424"/>
      <c r="R319" s="1709"/>
      <c r="S319" s="1709"/>
      <c r="T319" s="1709"/>
      <c r="U319" s="1709"/>
      <c r="V319" s="1709"/>
      <c r="W319" s="1709"/>
      <c r="X319" s="1709"/>
      <c r="Y319" s="1709"/>
      <c r="Z319" s="1709"/>
      <c r="AA319" s="1709"/>
      <c r="AB319" s="1709"/>
    </row>
    <row r="320" spans="5:28" s="1704" customFormat="1">
      <c r="E320" s="1709"/>
      <c r="F320" s="3424"/>
      <c r="G320" s="3424"/>
      <c r="H320" s="1709"/>
      <c r="L320" s="1709"/>
      <c r="M320" s="1709"/>
      <c r="N320" s="1709"/>
      <c r="O320" s="1709"/>
      <c r="P320" s="1709"/>
      <c r="Q320" s="3424"/>
      <c r="R320" s="1709"/>
      <c r="S320" s="1709"/>
      <c r="T320" s="1709"/>
      <c r="U320" s="1709"/>
      <c r="V320" s="1709"/>
      <c r="W320" s="1709"/>
      <c r="X320" s="1709"/>
      <c r="Y320" s="1709"/>
      <c r="Z320" s="1709"/>
      <c r="AA320" s="1709"/>
      <c r="AB320" s="1709"/>
    </row>
    <row r="321" spans="5:28" s="1704" customFormat="1">
      <c r="E321" s="1709"/>
      <c r="F321" s="3424"/>
      <c r="G321" s="3424"/>
      <c r="H321" s="1709"/>
      <c r="L321" s="1709"/>
      <c r="M321" s="1709"/>
      <c r="N321" s="1709"/>
      <c r="O321" s="1709"/>
      <c r="P321" s="1709"/>
      <c r="Q321" s="3424"/>
      <c r="R321" s="1709"/>
      <c r="S321" s="1709"/>
      <c r="T321" s="1709"/>
      <c r="U321" s="1709"/>
      <c r="V321" s="1709"/>
      <c r="W321" s="1709"/>
      <c r="X321" s="1709"/>
      <c r="Y321" s="1709"/>
      <c r="Z321" s="1709"/>
      <c r="AA321" s="1709"/>
      <c r="AB321" s="1709"/>
    </row>
    <row r="322" spans="5:28" s="1704" customFormat="1">
      <c r="E322" s="1709"/>
      <c r="F322" s="3424"/>
      <c r="G322" s="3424"/>
      <c r="H322" s="1709"/>
      <c r="L322" s="1709"/>
      <c r="M322" s="1709"/>
      <c r="N322" s="1709"/>
      <c r="O322" s="1709"/>
      <c r="P322" s="1709"/>
      <c r="Q322" s="3424"/>
      <c r="R322" s="1709"/>
      <c r="S322" s="1709"/>
      <c r="T322" s="1709"/>
      <c r="U322" s="1709"/>
      <c r="V322" s="1709"/>
      <c r="W322" s="1709"/>
      <c r="X322" s="1709"/>
      <c r="Y322" s="1709"/>
      <c r="Z322" s="1709"/>
      <c r="AA322" s="1709"/>
      <c r="AB322" s="1709"/>
    </row>
    <row r="323" spans="5:28" s="1704" customFormat="1">
      <c r="E323" s="1709"/>
      <c r="F323" s="3424"/>
      <c r="G323" s="3424"/>
      <c r="H323" s="1709"/>
      <c r="L323" s="1709"/>
      <c r="M323" s="1709"/>
      <c r="N323" s="1709"/>
      <c r="O323" s="1709"/>
      <c r="P323" s="1709"/>
      <c r="Q323" s="3424"/>
      <c r="R323" s="1709"/>
      <c r="S323" s="1709"/>
      <c r="T323" s="1709"/>
      <c r="U323" s="1709"/>
      <c r="V323" s="1709"/>
      <c r="W323" s="1709"/>
      <c r="X323" s="1709"/>
      <c r="Y323" s="1709"/>
      <c r="Z323" s="1709"/>
      <c r="AA323" s="1709"/>
      <c r="AB323" s="1709"/>
    </row>
    <row r="324" spans="5:28" s="1704" customFormat="1">
      <c r="E324" s="1709"/>
      <c r="F324" s="3424"/>
      <c r="G324" s="3424"/>
      <c r="H324" s="1709"/>
      <c r="L324" s="1709"/>
      <c r="M324" s="1709"/>
      <c r="N324" s="1709"/>
      <c r="O324" s="1709"/>
      <c r="P324" s="1709"/>
      <c r="Q324" s="3424"/>
      <c r="R324" s="1709"/>
      <c r="S324" s="1709"/>
      <c r="T324" s="1709"/>
      <c r="U324" s="1709"/>
      <c r="V324" s="1709"/>
      <c r="W324" s="1709"/>
      <c r="X324" s="1709"/>
      <c r="Y324" s="1709"/>
      <c r="Z324" s="1709"/>
      <c r="AA324" s="1709"/>
      <c r="AB324" s="1709"/>
    </row>
    <row r="325" spans="5:28" s="1704" customFormat="1">
      <c r="E325" s="1709"/>
      <c r="F325" s="3424"/>
      <c r="G325" s="3424"/>
      <c r="H325" s="1709"/>
      <c r="L325" s="1709"/>
      <c r="M325" s="1709"/>
      <c r="N325" s="1709"/>
      <c r="O325" s="1709"/>
      <c r="P325" s="1709"/>
      <c r="Q325" s="3424"/>
      <c r="R325" s="1709"/>
      <c r="S325" s="1709"/>
      <c r="T325" s="1709"/>
      <c r="U325" s="1709"/>
      <c r="V325" s="1709"/>
      <c r="W325" s="1709"/>
      <c r="X325" s="1709"/>
      <c r="Y325" s="1709"/>
      <c r="Z325" s="1709"/>
      <c r="AA325" s="1709"/>
      <c r="AB325" s="1709"/>
    </row>
    <row r="326" spans="5:28" s="1704" customFormat="1">
      <c r="E326" s="1709"/>
      <c r="F326" s="3424"/>
      <c r="G326" s="3424"/>
      <c r="H326" s="1709"/>
      <c r="L326" s="1709"/>
      <c r="M326" s="1709"/>
      <c r="N326" s="1709"/>
      <c r="O326" s="1709"/>
      <c r="P326" s="1709"/>
      <c r="Q326" s="3424"/>
      <c r="R326" s="1709"/>
      <c r="S326" s="1709"/>
      <c r="T326" s="1709"/>
      <c r="U326" s="1709"/>
      <c r="V326" s="1709"/>
      <c r="W326" s="1709"/>
      <c r="X326" s="1709"/>
      <c r="Y326" s="1709"/>
      <c r="Z326" s="1709"/>
      <c r="AA326" s="1709"/>
      <c r="AB326" s="1709"/>
    </row>
    <row r="327" spans="5:28" s="1704" customFormat="1">
      <c r="E327" s="1709"/>
      <c r="F327" s="3424"/>
      <c r="G327" s="3424"/>
      <c r="H327" s="1709"/>
      <c r="L327" s="1709"/>
      <c r="M327" s="1709"/>
      <c r="N327" s="1709"/>
      <c r="O327" s="1709"/>
      <c r="P327" s="1709"/>
      <c r="Q327" s="3424"/>
      <c r="R327" s="1709"/>
      <c r="S327" s="1709"/>
      <c r="T327" s="1709"/>
      <c r="U327" s="1709"/>
      <c r="V327" s="1709"/>
      <c r="W327" s="1709"/>
      <c r="X327" s="1709"/>
      <c r="Y327" s="1709"/>
      <c r="Z327" s="1709"/>
      <c r="AA327" s="1709"/>
      <c r="AB327" s="1709"/>
    </row>
    <row r="328" spans="5:28" s="1704" customFormat="1">
      <c r="E328" s="1709"/>
      <c r="F328" s="3424"/>
      <c r="G328" s="3424"/>
      <c r="H328" s="1709"/>
      <c r="L328" s="1709"/>
      <c r="M328" s="1709"/>
      <c r="N328" s="1709"/>
      <c r="O328" s="1709"/>
      <c r="P328" s="1709"/>
      <c r="Q328" s="3424"/>
      <c r="R328" s="1709"/>
      <c r="S328" s="1709"/>
      <c r="T328" s="1709"/>
      <c r="U328" s="1709"/>
      <c r="V328" s="1709"/>
      <c r="W328" s="1709"/>
      <c r="X328" s="1709"/>
      <c r="Y328" s="1709"/>
      <c r="Z328" s="1709"/>
      <c r="AA328" s="1709"/>
      <c r="AB328" s="1709"/>
    </row>
    <row r="329" spans="5:28" s="1704" customFormat="1">
      <c r="E329" s="1709"/>
      <c r="F329" s="3424"/>
      <c r="G329" s="3424"/>
      <c r="H329" s="1709"/>
      <c r="L329" s="1709"/>
      <c r="M329" s="1709"/>
      <c r="N329" s="1709"/>
      <c r="O329" s="1709"/>
      <c r="P329" s="1709"/>
      <c r="Q329" s="3424"/>
      <c r="R329" s="1709"/>
      <c r="S329" s="1709"/>
      <c r="T329" s="1709"/>
      <c r="U329" s="1709"/>
      <c r="V329" s="1709"/>
      <c r="W329" s="1709"/>
      <c r="X329" s="1709"/>
      <c r="Y329" s="1709"/>
      <c r="Z329" s="1709"/>
      <c r="AA329" s="1709"/>
      <c r="AB329" s="1709"/>
    </row>
    <row r="330" spans="5:28" s="1704" customFormat="1">
      <c r="E330" s="1709"/>
      <c r="F330" s="3424"/>
      <c r="G330" s="3424"/>
      <c r="H330" s="1709"/>
      <c r="L330" s="1709"/>
      <c r="M330" s="1709"/>
      <c r="N330" s="1709"/>
      <c r="O330" s="1709"/>
      <c r="P330" s="1709"/>
      <c r="Q330" s="3424"/>
      <c r="R330" s="1709"/>
      <c r="S330" s="1709"/>
      <c r="T330" s="1709"/>
      <c r="U330" s="1709"/>
      <c r="V330" s="1709"/>
      <c r="W330" s="1709"/>
      <c r="X330" s="1709"/>
      <c r="Y330" s="1709"/>
      <c r="Z330" s="1709"/>
      <c r="AA330" s="1709"/>
      <c r="AB330" s="1709"/>
    </row>
    <row r="331" spans="5:28" s="1704" customFormat="1">
      <c r="E331" s="1709"/>
      <c r="F331" s="3424"/>
      <c r="G331" s="3424"/>
      <c r="H331" s="1709"/>
      <c r="L331" s="1709"/>
      <c r="M331" s="1709"/>
      <c r="N331" s="1709"/>
      <c r="O331" s="1709"/>
      <c r="P331" s="1709"/>
      <c r="Q331" s="3424"/>
      <c r="R331" s="1709"/>
      <c r="S331" s="1709"/>
      <c r="T331" s="1709"/>
      <c r="U331" s="1709"/>
      <c r="V331" s="1709"/>
      <c r="W331" s="1709"/>
      <c r="X331" s="1709"/>
      <c r="Y331" s="1709"/>
      <c r="Z331" s="1709"/>
      <c r="AA331" s="1709"/>
      <c r="AB331" s="1709"/>
    </row>
    <row r="332" spans="5:28" s="1704" customFormat="1">
      <c r="E332" s="1709"/>
      <c r="F332" s="3424"/>
      <c r="G332" s="3424"/>
      <c r="H332" s="1709"/>
      <c r="L332" s="1709"/>
      <c r="M332" s="1709"/>
      <c r="N332" s="1709"/>
      <c r="O332" s="1709"/>
      <c r="P332" s="1709"/>
      <c r="Q332" s="3424"/>
      <c r="R332" s="1709"/>
      <c r="S332" s="1709"/>
      <c r="T332" s="1709"/>
      <c r="U332" s="1709"/>
      <c r="V332" s="1709"/>
      <c r="W332" s="1709"/>
      <c r="X332" s="1709"/>
      <c r="Y332" s="1709"/>
      <c r="Z332" s="1709"/>
      <c r="AA332" s="1709"/>
      <c r="AB332" s="1709"/>
    </row>
    <row r="333" spans="5:28" s="1704" customFormat="1">
      <c r="E333" s="1709"/>
      <c r="F333" s="3424"/>
      <c r="G333" s="3424"/>
      <c r="H333" s="1709"/>
      <c r="L333" s="1709"/>
      <c r="M333" s="1709"/>
      <c r="N333" s="1709"/>
      <c r="O333" s="1709"/>
      <c r="P333" s="1709"/>
      <c r="Q333" s="3424"/>
      <c r="R333" s="1709"/>
      <c r="S333" s="1709"/>
      <c r="T333" s="1709"/>
      <c r="U333" s="1709"/>
      <c r="V333" s="1709"/>
      <c r="W333" s="1709"/>
      <c r="X333" s="1709"/>
      <c r="Y333" s="1709"/>
      <c r="Z333" s="1709"/>
      <c r="AA333" s="1709"/>
      <c r="AB333" s="1709"/>
    </row>
    <row r="334" spans="5:28" s="1704" customFormat="1">
      <c r="E334" s="1709"/>
      <c r="F334" s="3424"/>
      <c r="G334" s="3424"/>
      <c r="H334" s="1709"/>
      <c r="L334" s="1709"/>
      <c r="M334" s="1709"/>
      <c r="N334" s="1709"/>
      <c r="O334" s="1709"/>
      <c r="P334" s="1709"/>
      <c r="Q334" s="3424"/>
      <c r="R334" s="1709"/>
      <c r="S334" s="1709"/>
      <c r="T334" s="1709"/>
      <c r="U334" s="1709"/>
      <c r="V334" s="1709"/>
      <c r="W334" s="1709"/>
      <c r="X334" s="1709"/>
      <c r="Y334" s="1709"/>
      <c r="Z334" s="1709"/>
      <c r="AA334" s="1709"/>
      <c r="AB334" s="1709"/>
    </row>
    <row r="335" spans="5:28" s="1704" customFormat="1">
      <c r="E335" s="1709"/>
      <c r="F335" s="3424"/>
      <c r="G335" s="3424"/>
      <c r="H335" s="1709"/>
      <c r="L335" s="1709"/>
      <c r="M335" s="1709"/>
      <c r="N335" s="1709"/>
      <c r="O335" s="1709"/>
      <c r="P335" s="1709"/>
      <c r="Q335" s="3424"/>
      <c r="R335" s="1709"/>
      <c r="S335" s="1709"/>
      <c r="T335" s="1709"/>
      <c r="U335" s="1709"/>
      <c r="V335" s="1709"/>
      <c r="W335" s="1709"/>
      <c r="X335" s="1709"/>
      <c r="Y335" s="1709"/>
      <c r="Z335" s="1709"/>
      <c r="AA335" s="1709"/>
      <c r="AB335" s="1709"/>
    </row>
    <row r="336" spans="5:28" s="1704" customFormat="1">
      <c r="E336" s="1709"/>
      <c r="F336" s="3424"/>
      <c r="G336" s="3424"/>
      <c r="H336" s="1709"/>
      <c r="L336" s="1709"/>
      <c r="M336" s="1709"/>
      <c r="N336" s="1709"/>
      <c r="O336" s="1709"/>
      <c r="P336" s="1709"/>
      <c r="Q336" s="3424"/>
      <c r="R336" s="1709"/>
      <c r="S336" s="1709"/>
      <c r="T336" s="1709"/>
      <c r="U336" s="1709"/>
      <c r="V336" s="1709"/>
      <c r="W336" s="1709"/>
      <c r="X336" s="1709"/>
      <c r="Y336" s="1709"/>
      <c r="Z336" s="1709"/>
      <c r="AA336" s="1709"/>
      <c r="AB336" s="1709"/>
    </row>
    <row r="337" spans="5:28" s="1704" customFormat="1">
      <c r="E337" s="1709"/>
      <c r="F337" s="3424"/>
      <c r="G337" s="3424"/>
      <c r="H337" s="1709"/>
      <c r="L337" s="1709"/>
      <c r="M337" s="1709"/>
      <c r="N337" s="1709"/>
      <c r="O337" s="1709"/>
      <c r="P337" s="1709"/>
      <c r="Q337" s="3424"/>
      <c r="R337" s="1709"/>
      <c r="S337" s="1709"/>
      <c r="T337" s="1709"/>
      <c r="U337" s="1709"/>
      <c r="V337" s="1709"/>
      <c r="W337" s="1709"/>
      <c r="X337" s="1709"/>
      <c r="Y337" s="1709"/>
      <c r="Z337" s="1709"/>
      <c r="AA337" s="1709"/>
      <c r="AB337" s="1709"/>
    </row>
    <row r="338" spans="5:28" s="1704" customFormat="1">
      <c r="E338" s="1709"/>
      <c r="F338" s="3424"/>
      <c r="G338" s="3424"/>
      <c r="H338" s="1709"/>
      <c r="L338" s="1709"/>
      <c r="M338" s="1709"/>
      <c r="N338" s="1709"/>
      <c r="O338" s="1709"/>
      <c r="P338" s="1709"/>
      <c r="Q338" s="3424"/>
      <c r="R338" s="1709"/>
      <c r="S338" s="1709"/>
      <c r="T338" s="1709"/>
      <c r="U338" s="1709"/>
      <c r="V338" s="1709"/>
      <c r="W338" s="1709"/>
      <c r="X338" s="1709"/>
      <c r="Y338" s="1709"/>
      <c r="Z338" s="1709"/>
      <c r="AA338" s="1709"/>
      <c r="AB338" s="1709"/>
    </row>
    <row r="339" spans="5:28" s="1704" customFormat="1">
      <c r="E339" s="1709"/>
      <c r="F339" s="3424"/>
      <c r="G339" s="3424"/>
      <c r="H339" s="1709"/>
      <c r="L339" s="1709"/>
      <c r="M339" s="1709"/>
      <c r="N339" s="1709"/>
      <c r="O339" s="1709"/>
      <c r="P339" s="1709"/>
      <c r="Q339" s="3424"/>
      <c r="R339" s="1709"/>
      <c r="S339" s="1709"/>
      <c r="T339" s="1709"/>
      <c r="U339" s="1709"/>
      <c r="V339" s="1709"/>
      <c r="W339" s="1709"/>
      <c r="X339" s="1709"/>
      <c r="Y339" s="1709"/>
      <c r="Z339" s="1709"/>
      <c r="AA339" s="1709"/>
      <c r="AB339" s="1709"/>
    </row>
    <row r="340" spans="5:28" s="1704" customFormat="1">
      <c r="E340" s="1709"/>
      <c r="F340" s="3424"/>
      <c r="G340" s="3424"/>
      <c r="H340" s="1709"/>
      <c r="L340" s="1709"/>
      <c r="M340" s="1709"/>
      <c r="N340" s="1709"/>
      <c r="O340" s="1709"/>
      <c r="P340" s="1709"/>
      <c r="Q340" s="3424"/>
      <c r="R340" s="1709"/>
      <c r="S340" s="1709"/>
      <c r="T340" s="1709"/>
      <c r="U340" s="1709"/>
      <c r="V340" s="1709"/>
      <c r="W340" s="1709"/>
      <c r="X340" s="1709"/>
      <c r="Y340" s="1709"/>
      <c r="Z340" s="1709"/>
      <c r="AA340" s="1709"/>
      <c r="AB340" s="1709"/>
    </row>
    <row r="341" spans="5:28" s="1704" customFormat="1">
      <c r="E341" s="1709"/>
      <c r="F341" s="3424"/>
      <c r="G341" s="3424"/>
      <c r="H341" s="1709"/>
      <c r="L341" s="1709"/>
      <c r="M341" s="1709"/>
      <c r="N341" s="1709"/>
      <c r="O341" s="1709"/>
      <c r="P341" s="1709"/>
      <c r="Q341" s="3424"/>
      <c r="R341" s="1709"/>
      <c r="S341" s="1709"/>
      <c r="T341" s="1709"/>
      <c r="U341" s="1709"/>
      <c r="V341" s="1709"/>
      <c r="W341" s="1709"/>
      <c r="X341" s="1709"/>
      <c r="Y341" s="1709"/>
      <c r="Z341" s="1709"/>
      <c r="AA341" s="1709"/>
      <c r="AB341" s="1709"/>
    </row>
    <row r="342" spans="5:28" s="1704" customFormat="1">
      <c r="E342" s="1709"/>
      <c r="F342" s="3424"/>
      <c r="G342" s="3424"/>
      <c r="H342" s="1709"/>
      <c r="L342" s="1709"/>
      <c r="M342" s="1709"/>
      <c r="N342" s="1709"/>
      <c r="O342" s="1709"/>
      <c r="P342" s="1709"/>
      <c r="Q342" s="3424"/>
      <c r="R342" s="1709"/>
      <c r="S342" s="1709"/>
      <c r="T342" s="1709"/>
      <c r="U342" s="1709"/>
      <c r="V342" s="1709"/>
      <c r="W342" s="1709"/>
      <c r="X342" s="1709"/>
      <c r="Y342" s="1709"/>
      <c r="Z342" s="1709"/>
      <c r="AA342" s="1709"/>
      <c r="AB342" s="1709"/>
    </row>
    <row r="343" spans="5:28" s="1704" customFormat="1">
      <c r="E343" s="1709"/>
      <c r="F343" s="3424"/>
      <c r="G343" s="3424"/>
      <c r="H343" s="1709"/>
      <c r="L343" s="1709"/>
      <c r="M343" s="1709"/>
      <c r="N343" s="1709"/>
      <c r="O343" s="1709"/>
      <c r="P343" s="1709"/>
      <c r="Q343" s="3424"/>
      <c r="R343" s="1709"/>
      <c r="S343" s="1709"/>
      <c r="T343" s="1709"/>
      <c r="U343" s="1709"/>
      <c r="V343" s="1709"/>
      <c r="W343" s="1709"/>
      <c r="X343" s="1709"/>
      <c r="Y343" s="1709"/>
      <c r="Z343" s="1709"/>
      <c r="AA343" s="1709"/>
      <c r="AB343" s="1709"/>
    </row>
    <row r="344" spans="5:28" s="1704" customFormat="1">
      <c r="E344" s="1709"/>
      <c r="F344" s="3424"/>
      <c r="G344" s="3424"/>
      <c r="H344" s="1709"/>
      <c r="L344" s="1709"/>
      <c r="M344" s="1709"/>
      <c r="N344" s="1709"/>
      <c r="O344" s="1709"/>
      <c r="P344" s="1709"/>
      <c r="Q344" s="3424"/>
      <c r="R344" s="1709"/>
      <c r="S344" s="1709"/>
      <c r="T344" s="1709"/>
      <c r="U344" s="1709"/>
      <c r="V344" s="1709"/>
      <c r="W344" s="1709"/>
      <c r="X344" s="1709"/>
      <c r="Y344" s="1709"/>
      <c r="Z344" s="1709"/>
      <c r="AA344" s="1709"/>
      <c r="AB344" s="1709"/>
    </row>
    <row r="345" spans="5:28" s="1704" customFormat="1">
      <c r="E345" s="1709"/>
      <c r="F345" s="3424"/>
      <c r="G345" s="3424"/>
      <c r="H345" s="1709"/>
      <c r="L345" s="1709"/>
      <c r="M345" s="1709"/>
      <c r="N345" s="1709"/>
      <c r="O345" s="1709"/>
      <c r="P345" s="1709"/>
      <c r="Q345" s="3424"/>
      <c r="R345" s="1709"/>
      <c r="S345" s="1709"/>
      <c r="T345" s="1709"/>
      <c r="U345" s="1709"/>
      <c r="V345" s="1709"/>
      <c r="W345" s="1709"/>
      <c r="X345" s="1709"/>
      <c r="Y345" s="1709"/>
      <c r="Z345" s="1709"/>
      <c r="AA345" s="1709"/>
      <c r="AB345" s="1709"/>
    </row>
    <row r="346" spans="5:28" s="1704" customFormat="1">
      <c r="E346" s="1709"/>
      <c r="F346" s="3424"/>
      <c r="G346" s="3424"/>
      <c r="H346" s="1709"/>
      <c r="L346" s="1709"/>
      <c r="M346" s="1709"/>
      <c r="N346" s="1709"/>
      <c r="O346" s="1709"/>
      <c r="P346" s="1709"/>
      <c r="Q346" s="3424"/>
      <c r="R346" s="1709"/>
      <c r="S346" s="1709"/>
      <c r="T346" s="1709"/>
      <c r="U346" s="1709"/>
      <c r="V346" s="1709"/>
      <c r="W346" s="1709"/>
      <c r="X346" s="1709"/>
      <c r="Y346" s="1709"/>
      <c r="Z346" s="1709"/>
      <c r="AA346" s="1709"/>
      <c r="AB346" s="1709"/>
    </row>
    <row r="347" spans="5:28" s="1704" customFormat="1">
      <c r="E347" s="1709"/>
      <c r="F347" s="3424"/>
      <c r="G347" s="3424"/>
      <c r="H347" s="1709"/>
      <c r="L347" s="1709"/>
      <c r="M347" s="1709"/>
      <c r="N347" s="1709"/>
      <c r="O347" s="1709"/>
      <c r="P347" s="1709"/>
      <c r="Q347" s="3424"/>
      <c r="R347" s="1709"/>
      <c r="S347" s="1709"/>
      <c r="T347" s="1709"/>
      <c r="U347" s="1709"/>
      <c r="V347" s="1709"/>
      <c r="W347" s="1709"/>
      <c r="X347" s="1709"/>
      <c r="Y347" s="1709"/>
      <c r="Z347" s="1709"/>
      <c r="AA347" s="1709"/>
      <c r="AB347" s="1709"/>
    </row>
    <row r="348" spans="5:28" s="1704" customFormat="1">
      <c r="E348" s="1709"/>
      <c r="F348" s="3424"/>
      <c r="G348" s="3424"/>
      <c r="H348" s="1709"/>
      <c r="L348" s="1709"/>
      <c r="M348" s="1709"/>
      <c r="N348" s="1709"/>
      <c r="O348" s="1709"/>
      <c r="P348" s="1709"/>
      <c r="Q348" s="3424"/>
      <c r="R348" s="1709"/>
      <c r="S348" s="1709"/>
      <c r="T348" s="1709"/>
      <c r="U348" s="1709"/>
      <c r="V348" s="1709"/>
      <c r="W348" s="1709"/>
      <c r="X348" s="1709"/>
      <c r="Y348" s="1709"/>
      <c r="Z348" s="1709"/>
      <c r="AA348" s="1709"/>
      <c r="AB348" s="1709"/>
    </row>
    <row r="349" spans="5:28" s="1704" customFormat="1">
      <c r="E349" s="1709"/>
      <c r="F349" s="3424"/>
      <c r="G349" s="3424"/>
      <c r="H349" s="1709"/>
      <c r="L349" s="1709"/>
      <c r="M349" s="1709"/>
      <c r="N349" s="1709"/>
      <c r="O349" s="1709"/>
      <c r="P349" s="1709"/>
      <c r="Q349" s="3424"/>
      <c r="R349" s="1709"/>
      <c r="S349" s="1709"/>
      <c r="T349" s="1709"/>
      <c r="U349" s="1709"/>
      <c r="V349" s="1709"/>
      <c r="W349" s="1709"/>
      <c r="X349" s="1709"/>
      <c r="Y349" s="1709"/>
      <c r="Z349" s="1709"/>
      <c r="AA349" s="1709"/>
      <c r="AB349" s="1709"/>
    </row>
    <row r="350" spans="5:28" s="1704" customFormat="1">
      <c r="E350" s="1709"/>
      <c r="F350" s="3424"/>
      <c r="G350" s="3424"/>
      <c r="H350" s="1709"/>
      <c r="L350" s="1709"/>
      <c r="M350" s="1709"/>
      <c r="N350" s="1709"/>
      <c r="O350" s="1709"/>
      <c r="P350" s="1709"/>
      <c r="Q350" s="3424"/>
      <c r="R350" s="1709"/>
      <c r="S350" s="1709"/>
      <c r="T350" s="1709"/>
      <c r="U350" s="1709"/>
      <c r="V350" s="1709"/>
      <c r="W350" s="1709"/>
      <c r="X350" s="1709"/>
      <c r="Y350" s="1709"/>
      <c r="Z350" s="1709"/>
      <c r="AA350" s="1709"/>
      <c r="AB350" s="1709"/>
    </row>
    <row r="351" spans="5:28" s="1704" customFormat="1">
      <c r="E351" s="1709"/>
      <c r="F351" s="3424"/>
      <c r="G351" s="3424"/>
      <c r="H351" s="1709"/>
      <c r="L351" s="1709"/>
      <c r="M351" s="1709"/>
      <c r="N351" s="1709"/>
      <c r="O351" s="1709"/>
      <c r="P351" s="1709"/>
      <c r="Q351" s="3424"/>
      <c r="R351" s="1709"/>
      <c r="S351" s="1709"/>
      <c r="T351" s="1709"/>
      <c r="U351" s="1709"/>
      <c r="V351" s="1709"/>
      <c r="W351" s="1709"/>
      <c r="X351" s="1709"/>
      <c r="Y351" s="1709"/>
      <c r="Z351" s="1709"/>
      <c r="AA351" s="1709"/>
      <c r="AB351" s="1709"/>
    </row>
    <row r="352" spans="5:28" s="1704" customFormat="1">
      <c r="E352" s="1709"/>
      <c r="F352" s="3424"/>
      <c r="G352" s="3424"/>
      <c r="H352" s="1709"/>
      <c r="L352" s="1709"/>
      <c r="M352" s="1709"/>
      <c r="N352" s="1709"/>
      <c r="O352" s="1709"/>
      <c r="P352" s="1709"/>
      <c r="Q352" s="3424"/>
      <c r="R352" s="1709"/>
      <c r="S352" s="1709"/>
      <c r="T352" s="1709"/>
      <c r="U352" s="1709"/>
      <c r="V352" s="1709"/>
      <c r="W352" s="1709"/>
      <c r="X352" s="1709"/>
      <c r="Y352" s="1709"/>
      <c r="Z352" s="1709"/>
      <c r="AA352" s="1709"/>
      <c r="AB352" s="1709"/>
    </row>
    <row r="353" spans="5:28" s="1704" customFormat="1">
      <c r="E353" s="1709"/>
      <c r="F353" s="3424"/>
      <c r="G353" s="3424"/>
      <c r="H353" s="1709"/>
      <c r="L353" s="1709"/>
      <c r="M353" s="1709"/>
      <c r="N353" s="1709"/>
      <c r="O353" s="1709"/>
      <c r="P353" s="1709"/>
      <c r="Q353" s="3424"/>
      <c r="R353" s="1709"/>
      <c r="S353" s="1709"/>
      <c r="T353" s="1709"/>
      <c r="U353" s="1709"/>
      <c r="V353" s="1709"/>
      <c r="W353" s="1709"/>
      <c r="X353" s="1709"/>
      <c r="Y353" s="1709"/>
      <c r="Z353" s="1709"/>
      <c r="AA353" s="1709"/>
      <c r="AB353" s="1709"/>
    </row>
    <row r="354" spans="5:28" s="1704" customFormat="1">
      <c r="E354" s="1709"/>
      <c r="F354" s="3424"/>
      <c r="G354" s="3424"/>
      <c r="H354" s="1709"/>
      <c r="L354" s="1709"/>
      <c r="M354" s="1709"/>
      <c r="N354" s="1709"/>
      <c r="O354" s="1709"/>
      <c r="P354" s="1709"/>
      <c r="Q354" s="3424"/>
      <c r="R354" s="1709"/>
      <c r="S354" s="1709"/>
      <c r="T354" s="1709"/>
      <c r="U354" s="1709"/>
      <c r="V354" s="1709"/>
      <c r="W354" s="1709"/>
      <c r="X354" s="1709"/>
      <c r="Y354" s="1709"/>
      <c r="Z354" s="1709"/>
      <c r="AA354" s="1709"/>
      <c r="AB354" s="1709"/>
    </row>
    <row r="355" spans="5:28" s="1704" customFormat="1">
      <c r="E355" s="1709"/>
      <c r="F355" s="3424"/>
      <c r="G355" s="3424"/>
      <c r="H355" s="1709"/>
      <c r="L355" s="1709"/>
      <c r="M355" s="1709"/>
      <c r="N355" s="1709"/>
      <c r="O355" s="1709"/>
      <c r="P355" s="1709"/>
      <c r="Q355" s="3424"/>
      <c r="R355" s="1709"/>
      <c r="S355" s="1709"/>
      <c r="T355" s="1709"/>
      <c r="U355" s="1709"/>
      <c r="V355" s="1709"/>
      <c r="W355" s="1709"/>
      <c r="X355" s="1709"/>
      <c r="Y355" s="1709"/>
      <c r="Z355" s="1709"/>
      <c r="AA355" s="1709"/>
      <c r="AB355" s="1709"/>
    </row>
    <row r="356" spans="5:28" s="1704" customFormat="1">
      <c r="E356" s="1709"/>
      <c r="F356" s="3424"/>
      <c r="G356" s="3424"/>
      <c r="H356" s="1709"/>
      <c r="L356" s="1709"/>
      <c r="M356" s="1709"/>
      <c r="N356" s="1709"/>
      <c r="O356" s="1709"/>
      <c r="P356" s="1709"/>
      <c r="Q356" s="3424"/>
      <c r="R356" s="1709"/>
      <c r="S356" s="1709"/>
      <c r="T356" s="1709"/>
      <c r="U356" s="1709"/>
      <c r="V356" s="1709"/>
      <c r="W356" s="1709"/>
      <c r="X356" s="1709"/>
      <c r="Y356" s="1709"/>
      <c r="Z356" s="1709"/>
      <c r="AA356" s="1709"/>
      <c r="AB356" s="1709"/>
    </row>
    <row r="357" spans="5:28" s="1704" customFormat="1">
      <c r="E357" s="1709"/>
      <c r="F357" s="3424"/>
      <c r="G357" s="3424"/>
      <c r="H357" s="1709"/>
      <c r="L357" s="1709"/>
      <c r="M357" s="1709"/>
      <c r="N357" s="1709"/>
      <c r="O357" s="1709"/>
      <c r="P357" s="1709"/>
      <c r="Q357" s="3424"/>
      <c r="R357" s="1709"/>
      <c r="S357" s="1709"/>
      <c r="T357" s="1709"/>
      <c r="U357" s="1709"/>
      <c r="V357" s="1709"/>
      <c r="W357" s="1709"/>
      <c r="X357" s="1709"/>
      <c r="Y357" s="1709"/>
      <c r="Z357" s="1709"/>
      <c r="AA357" s="1709"/>
      <c r="AB357" s="1709"/>
    </row>
    <row r="358" spans="5:28" s="1704" customFormat="1">
      <c r="E358" s="1709"/>
      <c r="F358" s="3424"/>
      <c r="G358" s="3424"/>
      <c r="H358" s="1709"/>
      <c r="L358" s="1709"/>
      <c r="M358" s="1709"/>
      <c r="N358" s="1709"/>
      <c r="O358" s="1709"/>
      <c r="P358" s="1709"/>
      <c r="Q358" s="3424"/>
      <c r="R358" s="1709"/>
      <c r="S358" s="1709"/>
      <c r="T358" s="1709"/>
      <c r="U358" s="1709"/>
      <c r="V358" s="1709"/>
      <c r="W358" s="1709"/>
      <c r="X358" s="1709"/>
      <c r="Y358" s="1709"/>
      <c r="Z358" s="1709"/>
      <c r="AA358" s="1709"/>
      <c r="AB358" s="1709"/>
    </row>
    <row r="359" spans="5:28" s="1704" customFormat="1">
      <c r="E359" s="1709"/>
      <c r="F359" s="3424"/>
      <c r="G359" s="3424"/>
      <c r="H359" s="1709"/>
      <c r="L359" s="1709"/>
      <c r="M359" s="1709"/>
      <c r="N359" s="1709"/>
      <c r="O359" s="1709"/>
      <c r="P359" s="1709"/>
      <c r="Q359" s="3424"/>
      <c r="R359" s="1709"/>
      <c r="S359" s="1709"/>
      <c r="T359" s="1709"/>
      <c r="U359" s="1709"/>
      <c r="V359" s="1709"/>
      <c r="W359" s="1709"/>
      <c r="X359" s="1709"/>
      <c r="Y359" s="1709"/>
      <c r="Z359" s="1709"/>
      <c r="AA359" s="1709"/>
      <c r="AB359" s="1709"/>
    </row>
    <row r="360" spans="5:28" s="1704" customFormat="1">
      <c r="E360" s="1709"/>
      <c r="F360" s="3424"/>
      <c r="G360" s="3424"/>
      <c r="H360" s="1709"/>
      <c r="L360" s="1709"/>
      <c r="M360" s="1709"/>
      <c r="N360" s="1709"/>
      <c r="O360" s="1709"/>
      <c r="P360" s="1709"/>
      <c r="Q360" s="3424"/>
      <c r="R360" s="1709"/>
      <c r="S360" s="1709"/>
      <c r="T360" s="1709"/>
      <c r="U360" s="1709"/>
      <c r="V360" s="1709"/>
      <c r="W360" s="1709"/>
      <c r="X360" s="1709"/>
      <c r="Y360" s="1709"/>
      <c r="Z360" s="1709"/>
      <c r="AA360" s="1709"/>
      <c r="AB360" s="1709"/>
    </row>
    <row r="361" spans="5:28" s="1704" customFormat="1">
      <c r="E361" s="1709"/>
      <c r="F361" s="3424"/>
      <c r="G361" s="3424"/>
      <c r="H361" s="1709"/>
      <c r="L361" s="1709"/>
      <c r="M361" s="1709"/>
      <c r="N361" s="1709"/>
      <c r="O361" s="1709"/>
      <c r="P361" s="1709"/>
      <c r="Q361" s="3424"/>
      <c r="R361" s="1709"/>
      <c r="S361" s="1709"/>
      <c r="T361" s="1709"/>
      <c r="U361" s="1709"/>
      <c r="V361" s="1709"/>
      <c r="W361" s="1709"/>
      <c r="X361" s="1709"/>
      <c r="Y361" s="1709"/>
      <c r="Z361" s="1709"/>
      <c r="AA361" s="1709"/>
      <c r="AB361" s="1709"/>
    </row>
    <row r="362" spans="5:28" s="1704" customFormat="1">
      <c r="E362" s="1709"/>
      <c r="F362" s="3424"/>
      <c r="G362" s="3424"/>
      <c r="H362" s="1709"/>
      <c r="L362" s="1709"/>
      <c r="M362" s="1709"/>
      <c r="N362" s="1709"/>
      <c r="O362" s="1709"/>
      <c r="P362" s="1709"/>
      <c r="Q362" s="3424"/>
      <c r="R362" s="1709"/>
      <c r="S362" s="1709"/>
      <c r="T362" s="1709"/>
      <c r="U362" s="1709"/>
      <c r="V362" s="1709"/>
      <c r="W362" s="1709"/>
      <c r="X362" s="1709"/>
      <c r="Y362" s="1709"/>
      <c r="Z362" s="1709"/>
      <c r="AA362" s="1709"/>
      <c r="AB362" s="1709"/>
    </row>
    <row r="363" spans="5:28" s="1704" customFormat="1">
      <c r="E363" s="1709"/>
      <c r="F363" s="3424"/>
      <c r="G363" s="3424"/>
      <c r="H363" s="1709"/>
      <c r="L363" s="1709"/>
      <c r="M363" s="1709"/>
      <c r="N363" s="1709"/>
      <c r="O363" s="1709"/>
      <c r="P363" s="1709"/>
      <c r="Q363" s="3424"/>
      <c r="R363" s="1709"/>
      <c r="S363" s="1709"/>
      <c r="T363" s="1709"/>
      <c r="U363" s="1709"/>
      <c r="V363" s="1709"/>
      <c r="W363" s="1709"/>
      <c r="X363" s="1709"/>
      <c r="Y363" s="1709"/>
      <c r="Z363" s="1709"/>
      <c r="AA363" s="1709"/>
      <c r="AB363" s="1709"/>
    </row>
    <row r="364" spans="5:28" s="1704" customFormat="1">
      <c r="E364" s="1709"/>
      <c r="F364" s="3424"/>
      <c r="G364" s="3424"/>
      <c r="H364" s="1709"/>
      <c r="L364" s="1709"/>
      <c r="M364" s="1709"/>
      <c r="N364" s="1709"/>
      <c r="O364" s="1709"/>
      <c r="P364" s="1709"/>
      <c r="Q364" s="3424"/>
      <c r="R364" s="1709"/>
      <c r="S364" s="1709"/>
      <c r="T364" s="1709"/>
      <c r="U364" s="1709"/>
      <c r="V364" s="1709"/>
      <c r="W364" s="1709"/>
      <c r="X364" s="1709"/>
      <c r="Y364" s="1709"/>
      <c r="Z364" s="1709"/>
      <c r="AA364" s="1709"/>
      <c r="AB364" s="1709"/>
    </row>
    <row r="365" spans="5:28" s="1704" customFormat="1">
      <c r="E365" s="1709"/>
      <c r="F365" s="3424"/>
      <c r="G365" s="3424"/>
      <c r="H365" s="1709"/>
      <c r="L365" s="1709"/>
      <c r="M365" s="1709"/>
      <c r="N365" s="1709"/>
      <c r="O365" s="1709"/>
      <c r="P365" s="1709"/>
      <c r="Q365" s="3424"/>
      <c r="R365" s="1709"/>
      <c r="S365" s="1709"/>
      <c r="T365" s="1709"/>
      <c r="U365" s="1709"/>
      <c r="V365" s="1709"/>
      <c r="W365" s="1709"/>
      <c r="X365" s="1709"/>
      <c r="Y365" s="1709"/>
      <c r="Z365" s="1709"/>
      <c r="AA365" s="1709"/>
      <c r="AB365" s="1709"/>
    </row>
    <row r="366" spans="5:28" s="1704" customFormat="1">
      <c r="E366" s="1709"/>
      <c r="F366" s="3424"/>
      <c r="G366" s="3424"/>
      <c r="H366" s="1709"/>
      <c r="L366" s="1709"/>
      <c r="M366" s="1709"/>
      <c r="N366" s="1709"/>
      <c r="O366" s="1709"/>
      <c r="P366" s="1709"/>
      <c r="Q366" s="3424"/>
      <c r="R366" s="1709"/>
      <c r="S366" s="1709"/>
      <c r="T366" s="1709"/>
      <c r="U366" s="1709"/>
      <c r="V366" s="1709"/>
      <c r="W366" s="1709"/>
      <c r="X366" s="1709"/>
      <c r="Y366" s="1709"/>
      <c r="Z366" s="1709"/>
      <c r="AA366" s="1709"/>
      <c r="AB366" s="1709"/>
    </row>
    <row r="367" spans="5:28" s="1704" customFormat="1">
      <c r="E367" s="1709"/>
      <c r="F367" s="3424"/>
      <c r="G367" s="3424"/>
      <c r="H367" s="1709"/>
      <c r="L367" s="1709"/>
      <c r="M367" s="1709"/>
      <c r="N367" s="1709"/>
      <c r="O367" s="1709"/>
      <c r="P367" s="1709"/>
      <c r="Q367" s="3424"/>
      <c r="R367" s="1709"/>
      <c r="S367" s="1709"/>
      <c r="T367" s="1709"/>
      <c r="U367" s="1709"/>
      <c r="V367" s="1709"/>
      <c r="W367" s="1709"/>
      <c r="X367" s="1709"/>
      <c r="Y367" s="1709"/>
      <c r="Z367" s="1709"/>
      <c r="AA367" s="1709"/>
      <c r="AB367" s="1709"/>
    </row>
    <row r="368" spans="5:28" s="1704" customFormat="1">
      <c r="E368" s="1709"/>
      <c r="F368" s="3424"/>
      <c r="G368" s="3424"/>
      <c r="H368" s="1709"/>
      <c r="L368" s="1709"/>
      <c r="M368" s="1709"/>
      <c r="N368" s="1709"/>
      <c r="O368" s="1709"/>
      <c r="P368" s="1709"/>
      <c r="Q368" s="3424"/>
      <c r="R368" s="1709"/>
      <c r="S368" s="1709"/>
      <c r="T368" s="1709"/>
      <c r="U368" s="1709"/>
      <c r="V368" s="1709"/>
      <c r="W368" s="1709"/>
      <c r="X368" s="1709"/>
      <c r="Y368" s="1709"/>
      <c r="Z368" s="1709"/>
      <c r="AA368" s="1709"/>
      <c r="AB368" s="1709"/>
    </row>
    <row r="369" spans="5:28" s="1704" customFormat="1">
      <c r="E369" s="1709"/>
      <c r="F369" s="3424"/>
      <c r="G369" s="3424"/>
      <c r="H369" s="1709"/>
      <c r="L369" s="1709"/>
      <c r="M369" s="1709"/>
      <c r="N369" s="1709"/>
      <c r="O369" s="1709"/>
      <c r="P369" s="1709"/>
      <c r="Q369" s="3424"/>
      <c r="R369" s="1709"/>
      <c r="S369" s="1709"/>
      <c r="T369" s="1709"/>
      <c r="U369" s="1709"/>
      <c r="V369" s="1709"/>
      <c r="W369" s="1709"/>
      <c r="X369" s="1709"/>
      <c r="Y369" s="1709"/>
      <c r="Z369" s="1709"/>
      <c r="AA369" s="1709"/>
      <c r="AB369" s="1709"/>
    </row>
    <row r="370" spans="5:28" s="1704" customFormat="1">
      <c r="E370" s="1709"/>
      <c r="F370" s="3424"/>
      <c r="G370" s="3424"/>
      <c r="H370" s="1709"/>
      <c r="L370" s="1709"/>
      <c r="M370" s="1709"/>
      <c r="N370" s="1709"/>
      <c r="O370" s="1709"/>
      <c r="P370" s="1709"/>
      <c r="Q370" s="3424"/>
      <c r="R370" s="1709"/>
      <c r="S370" s="1709"/>
      <c r="T370" s="1709"/>
      <c r="U370" s="1709"/>
      <c r="V370" s="1709"/>
      <c r="W370" s="1709"/>
      <c r="X370" s="1709"/>
      <c r="Y370" s="1709"/>
      <c r="Z370" s="1709"/>
      <c r="AA370" s="1709"/>
      <c r="AB370" s="1709"/>
    </row>
    <row r="371" spans="5:28" s="1704" customFormat="1">
      <c r="E371" s="1709"/>
      <c r="F371" s="3424"/>
      <c r="G371" s="3424"/>
      <c r="H371" s="1709"/>
      <c r="L371" s="1709"/>
      <c r="M371" s="1709"/>
      <c r="N371" s="1709"/>
      <c r="O371" s="1709"/>
      <c r="P371" s="1709"/>
      <c r="Q371" s="3424"/>
      <c r="R371" s="1709"/>
      <c r="S371" s="1709"/>
      <c r="T371" s="1709"/>
      <c r="U371" s="1709"/>
      <c r="V371" s="1709"/>
      <c r="W371" s="1709"/>
      <c r="X371" s="1709"/>
      <c r="Y371" s="1709"/>
      <c r="Z371" s="1709"/>
      <c r="AA371" s="1709"/>
      <c r="AB371" s="1709"/>
    </row>
    <row r="372" spans="5:28" s="1704" customFormat="1">
      <c r="E372" s="1709"/>
      <c r="F372" s="3424"/>
      <c r="G372" s="3424"/>
      <c r="H372" s="1709"/>
      <c r="L372" s="1709"/>
      <c r="M372" s="1709"/>
      <c r="N372" s="1709"/>
      <c r="O372" s="1709"/>
      <c r="P372" s="1709"/>
      <c r="Q372" s="3424"/>
      <c r="R372" s="1709"/>
      <c r="S372" s="1709"/>
      <c r="T372" s="1709"/>
      <c r="U372" s="1709"/>
      <c r="V372" s="1709"/>
      <c r="W372" s="1709"/>
      <c r="X372" s="1709"/>
      <c r="Y372" s="1709"/>
      <c r="Z372" s="1709"/>
      <c r="AA372" s="1709"/>
      <c r="AB372" s="1709"/>
    </row>
    <row r="373" spans="5:28" s="1704" customFormat="1">
      <c r="E373" s="1709"/>
      <c r="F373" s="3424"/>
      <c r="G373" s="3424"/>
      <c r="H373" s="1709"/>
      <c r="L373" s="1709"/>
      <c r="M373" s="1709"/>
      <c r="N373" s="1709"/>
      <c r="O373" s="1709"/>
      <c r="P373" s="1709"/>
      <c r="Q373" s="3424"/>
      <c r="R373" s="1709"/>
      <c r="S373" s="1709"/>
      <c r="T373" s="1709"/>
      <c r="U373" s="1709"/>
      <c r="V373" s="1709"/>
      <c r="W373" s="1709"/>
      <c r="X373" s="1709"/>
      <c r="Y373" s="1709"/>
      <c r="Z373" s="1709"/>
      <c r="AA373" s="1709"/>
      <c r="AB373" s="1709"/>
    </row>
    <row r="374" spans="5:28" s="1704" customFormat="1">
      <c r="E374" s="1709"/>
      <c r="F374" s="3424"/>
      <c r="G374" s="3424"/>
      <c r="H374" s="1709"/>
      <c r="L374" s="1709"/>
      <c r="M374" s="1709"/>
      <c r="N374" s="1709"/>
      <c r="O374" s="1709"/>
      <c r="P374" s="1709"/>
      <c r="Q374" s="3424"/>
      <c r="R374" s="1709"/>
      <c r="S374" s="1709"/>
      <c r="T374" s="1709"/>
      <c r="U374" s="1709"/>
      <c r="V374" s="1709"/>
      <c r="W374" s="1709"/>
      <c r="X374" s="1709"/>
      <c r="Y374" s="1709"/>
      <c r="Z374" s="1709"/>
      <c r="AA374" s="1709"/>
      <c r="AB374" s="1709"/>
    </row>
    <row r="375" spans="5:28" s="1704" customFormat="1">
      <c r="E375" s="1709"/>
      <c r="F375" s="3424"/>
      <c r="G375" s="3424"/>
      <c r="H375" s="1709"/>
      <c r="L375" s="1709"/>
      <c r="M375" s="1709"/>
      <c r="N375" s="1709"/>
      <c r="O375" s="1709"/>
      <c r="P375" s="1709"/>
      <c r="Q375" s="3424"/>
      <c r="R375" s="1709"/>
      <c r="S375" s="1709"/>
      <c r="T375" s="1709"/>
      <c r="U375" s="1709"/>
      <c r="V375" s="1709"/>
      <c r="W375" s="1709"/>
      <c r="X375" s="1709"/>
      <c r="Y375" s="1709"/>
      <c r="Z375" s="1709"/>
      <c r="AA375" s="1709"/>
      <c r="AB375" s="1709"/>
    </row>
    <row r="376" spans="5:28" s="1704" customFormat="1">
      <c r="E376" s="1709"/>
      <c r="F376" s="3424"/>
      <c r="G376" s="3424"/>
      <c r="H376" s="1709"/>
      <c r="L376" s="1709"/>
      <c r="M376" s="1709"/>
      <c r="N376" s="1709"/>
      <c r="O376" s="1709"/>
      <c r="P376" s="1709"/>
      <c r="Q376" s="3424"/>
      <c r="R376" s="1709"/>
      <c r="S376" s="1709"/>
      <c r="T376" s="1709"/>
      <c r="U376" s="1709"/>
      <c r="V376" s="1709"/>
      <c r="W376" s="1709"/>
      <c r="X376" s="1709"/>
      <c r="Y376" s="1709"/>
      <c r="Z376" s="1709"/>
      <c r="AA376" s="1709"/>
      <c r="AB376" s="1709"/>
    </row>
    <row r="377" spans="5:28" s="1704" customFormat="1">
      <c r="E377" s="1709"/>
      <c r="F377" s="3424"/>
      <c r="G377" s="3424"/>
      <c r="H377" s="1709"/>
      <c r="L377" s="1709"/>
      <c r="M377" s="1709"/>
      <c r="N377" s="1709"/>
      <c r="O377" s="1709"/>
      <c r="P377" s="1709"/>
      <c r="Q377" s="3424"/>
      <c r="R377" s="1709"/>
      <c r="S377" s="1709"/>
      <c r="T377" s="1709"/>
      <c r="U377" s="1709"/>
      <c r="V377" s="1709"/>
      <c r="W377" s="1709"/>
      <c r="X377" s="1709"/>
      <c r="Y377" s="1709"/>
      <c r="Z377" s="1709"/>
      <c r="AA377" s="1709"/>
      <c r="AB377" s="1709"/>
    </row>
    <row r="378" spans="5:28" s="1704" customFormat="1">
      <c r="E378" s="1709"/>
      <c r="F378" s="3424"/>
      <c r="G378" s="3424"/>
      <c r="H378" s="1709"/>
      <c r="L378" s="1709"/>
      <c r="M378" s="1709"/>
      <c r="N378" s="1709"/>
      <c r="O378" s="1709"/>
      <c r="P378" s="1709"/>
      <c r="Q378" s="3424"/>
      <c r="R378" s="1709"/>
      <c r="S378" s="1709"/>
      <c r="T378" s="1709"/>
      <c r="U378" s="1709"/>
      <c r="V378" s="1709"/>
      <c r="W378" s="1709"/>
      <c r="X378" s="1709"/>
      <c r="Y378" s="1709"/>
      <c r="Z378" s="1709"/>
      <c r="AA378" s="1709"/>
      <c r="AB378" s="1709"/>
    </row>
    <row r="379" spans="5:28" s="1704" customFormat="1">
      <c r="E379" s="1709"/>
      <c r="F379" s="3424"/>
      <c r="G379" s="3424"/>
      <c r="H379" s="1709"/>
      <c r="L379" s="1709"/>
      <c r="M379" s="1709"/>
      <c r="N379" s="1709"/>
      <c r="O379" s="1709"/>
      <c r="P379" s="1709"/>
      <c r="Q379" s="3424"/>
      <c r="R379" s="1709"/>
      <c r="S379" s="1709"/>
      <c r="T379" s="1709"/>
      <c r="U379" s="1709"/>
      <c r="V379" s="1709"/>
      <c r="W379" s="1709"/>
      <c r="X379" s="1709"/>
      <c r="Y379" s="1709"/>
      <c r="Z379" s="1709"/>
      <c r="AA379" s="1709"/>
      <c r="AB379" s="1709"/>
    </row>
    <row r="380" spans="5:28" s="1704" customFormat="1">
      <c r="E380" s="1709"/>
      <c r="F380" s="3424"/>
      <c r="G380" s="3424"/>
      <c r="H380" s="1709"/>
      <c r="L380" s="1709"/>
      <c r="M380" s="1709"/>
      <c r="N380" s="1709"/>
      <c r="O380" s="1709"/>
      <c r="P380" s="1709"/>
      <c r="Q380" s="3424"/>
      <c r="R380" s="1709"/>
      <c r="S380" s="1709"/>
      <c r="T380" s="1709"/>
      <c r="U380" s="1709"/>
      <c r="V380" s="1709"/>
      <c r="W380" s="1709"/>
      <c r="X380" s="1709"/>
      <c r="Y380" s="1709"/>
      <c r="Z380" s="1709"/>
      <c r="AA380" s="1709"/>
      <c r="AB380" s="1709"/>
    </row>
    <row r="381" spans="5:28" s="1704" customFormat="1">
      <c r="E381" s="1709"/>
      <c r="F381" s="3424"/>
      <c r="G381" s="3424"/>
      <c r="H381" s="1709"/>
      <c r="L381" s="1709"/>
      <c r="M381" s="1709"/>
      <c r="N381" s="1709"/>
      <c r="O381" s="1709"/>
      <c r="P381" s="1709"/>
      <c r="Q381" s="3424"/>
      <c r="R381" s="1709"/>
      <c r="S381" s="1709"/>
      <c r="T381" s="1709"/>
      <c r="U381" s="1709"/>
      <c r="V381" s="1709"/>
      <c r="W381" s="1709"/>
      <c r="X381" s="1709"/>
      <c r="Y381" s="1709"/>
      <c r="Z381" s="1709"/>
      <c r="AA381" s="1709"/>
      <c r="AB381" s="1709"/>
    </row>
    <row r="382" spans="5:28" s="1704" customFormat="1">
      <c r="E382" s="1709"/>
      <c r="F382" s="3424"/>
      <c r="G382" s="3424"/>
      <c r="H382" s="1709"/>
      <c r="L382" s="1709"/>
      <c r="M382" s="1709"/>
      <c r="N382" s="1709"/>
      <c r="O382" s="1709"/>
      <c r="P382" s="1709"/>
      <c r="Q382" s="3424"/>
      <c r="R382" s="1709"/>
      <c r="S382" s="1709"/>
      <c r="T382" s="1709"/>
      <c r="U382" s="1709"/>
      <c r="V382" s="1709"/>
      <c r="W382" s="1709"/>
      <c r="X382" s="1709"/>
      <c r="Y382" s="1709"/>
      <c r="Z382" s="1709"/>
      <c r="AA382" s="1709"/>
      <c r="AB382" s="1709"/>
    </row>
    <row r="383" spans="5:28" s="1704" customFormat="1">
      <c r="E383" s="1709"/>
      <c r="F383" s="3424"/>
      <c r="G383" s="3424"/>
      <c r="H383" s="1709"/>
      <c r="L383" s="1709"/>
      <c r="M383" s="1709"/>
      <c r="N383" s="1709"/>
      <c r="O383" s="1709"/>
      <c r="P383" s="1709"/>
      <c r="Q383" s="3424"/>
      <c r="R383" s="1709"/>
      <c r="S383" s="1709"/>
      <c r="T383" s="1709"/>
      <c r="U383" s="1709"/>
      <c r="V383" s="1709"/>
      <c r="W383" s="1709"/>
      <c r="X383" s="1709"/>
      <c r="Y383" s="1709"/>
      <c r="Z383" s="1709"/>
      <c r="AA383" s="1709"/>
      <c r="AB383" s="1709"/>
    </row>
    <row r="384" spans="5:28" s="1704" customFormat="1">
      <c r="E384" s="1709"/>
      <c r="F384" s="3424"/>
      <c r="G384" s="3424"/>
      <c r="H384" s="1709"/>
      <c r="L384" s="1709"/>
      <c r="M384" s="1709"/>
      <c r="N384" s="1709"/>
      <c r="O384" s="1709"/>
      <c r="P384" s="1709"/>
      <c r="Q384" s="3424"/>
      <c r="R384" s="1709"/>
      <c r="S384" s="1709"/>
      <c r="T384" s="1709"/>
      <c r="U384" s="1709"/>
      <c r="V384" s="1709"/>
      <c r="W384" s="1709"/>
      <c r="X384" s="1709"/>
      <c r="Y384" s="1709"/>
      <c r="Z384" s="1709"/>
      <c r="AA384" s="1709"/>
      <c r="AB384" s="1709"/>
    </row>
    <row r="385" spans="5:28" s="1704" customFormat="1">
      <c r="E385" s="1709"/>
      <c r="F385" s="3424"/>
      <c r="G385" s="3424"/>
      <c r="H385" s="1709"/>
      <c r="L385" s="1709"/>
      <c r="M385" s="1709"/>
      <c r="N385" s="1709"/>
      <c r="O385" s="1709"/>
      <c r="P385" s="1709"/>
      <c r="Q385" s="3424"/>
      <c r="R385" s="1709"/>
      <c r="S385" s="1709"/>
      <c r="T385" s="1709"/>
      <c r="U385" s="1709"/>
      <c r="V385" s="1709"/>
      <c r="W385" s="1709"/>
      <c r="X385" s="1709"/>
      <c r="Y385" s="1709"/>
      <c r="Z385" s="1709"/>
      <c r="AA385" s="1709"/>
      <c r="AB385" s="1709"/>
    </row>
    <row r="386" spans="5:28" s="1704" customFormat="1">
      <c r="E386" s="1709"/>
      <c r="F386" s="3424"/>
      <c r="G386" s="3424"/>
      <c r="H386" s="1709"/>
      <c r="L386" s="1709"/>
      <c r="M386" s="1709"/>
      <c r="N386" s="1709"/>
      <c r="O386" s="1709"/>
      <c r="P386" s="1709"/>
      <c r="Q386" s="3424"/>
      <c r="R386" s="1709"/>
      <c r="S386" s="1709"/>
      <c r="T386" s="1709"/>
      <c r="U386" s="1709"/>
      <c r="V386" s="1709"/>
      <c r="W386" s="1709"/>
      <c r="X386" s="1709"/>
      <c r="Y386" s="1709"/>
      <c r="Z386" s="1709"/>
      <c r="AA386" s="1709"/>
      <c r="AB386" s="1709"/>
    </row>
    <row r="387" spans="5:28" s="1704" customFormat="1">
      <c r="E387" s="1709"/>
      <c r="F387" s="3424"/>
      <c r="G387" s="3424"/>
      <c r="H387" s="1709"/>
      <c r="L387" s="1709"/>
      <c r="M387" s="1709"/>
      <c r="N387" s="1709"/>
      <c r="O387" s="1709"/>
      <c r="P387" s="1709"/>
      <c r="Q387" s="3424"/>
      <c r="R387" s="1709"/>
      <c r="S387" s="1709"/>
      <c r="T387" s="1709"/>
      <c r="U387" s="1709"/>
      <c r="V387" s="1709"/>
      <c r="W387" s="1709"/>
      <c r="X387" s="1709"/>
      <c r="Y387" s="1709"/>
      <c r="Z387" s="1709"/>
      <c r="AA387" s="1709"/>
      <c r="AB387" s="1709"/>
    </row>
    <row r="388" spans="5:28" s="1704" customFormat="1">
      <c r="E388" s="1709"/>
      <c r="F388" s="3424"/>
      <c r="G388" s="3424"/>
      <c r="H388" s="1709"/>
      <c r="L388" s="1709"/>
      <c r="M388" s="1709"/>
      <c r="N388" s="1709"/>
      <c r="O388" s="1709"/>
      <c r="P388" s="1709"/>
      <c r="Q388" s="3424"/>
      <c r="R388" s="1709"/>
      <c r="S388" s="1709"/>
      <c r="T388" s="1709"/>
      <c r="U388" s="1709"/>
      <c r="V388" s="1709"/>
      <c r="W388" s="1709"/>
      <c r="X388" s="1709"/>
      <c r="Y388" s="1709"/>
      <c r="Z388" s="1709"/>
      <c r="AA388" s="1709"/>
      <c r="AB388" s="1709"/>
    </row>
    <row r="389" spans="5:28" s="1704" customFormat="1">
      <c r="E389" s="1709"/>
      <c r="F389" s="3424"/>
      <c r="G389" s="3424"/>
      <c r="H389" s="1709"/>
      <c r="L389" s="1709"/>
      <c r="M389" s="1709"/>
      <c r="N389" s="1709"/>
      <c r="O389" s="1709"/>
      <c r="P389" s="1709"/>
      <c r="Q389" s="3424"/>
      <c r="R389" s="1709"/>
      <c r="S389" s="1709"/>
      <c r="T389" s="1709"/>
      <c r="U389" s="1709"/>
      <c r="V389" s="1709"/>
      <c r="W389" s="1709"/>
      <c r="X389" s="1709"/>
      <c r="Y389" s="1709"/>
      <c r="Z389" s="1709"/>
      <c r="AA389" s="1709"/>
      <c r="AB389" s="1709"/>
    </row>
    <row r="390" spans="5:28" s="1704" customFormat="1">
      <c r="E390" s="1709"/>
      <c r="F390" s="3424"/>
      <c r="G390" s="3424"/>
      <c r="H390" s="1709"/>
      <c r="L390" s="1709"/>
      <c r="M390" s="1709"/>
      <c r="N390" s="1709"/>
      <c r="O390" s="1709"/>
      <c r="P390" s="1709"/>
      <c r="Q390" s="3424"/>
      <c r="R390" s="1709"/>
      <c r="S390" s="1709"/>
      <c r="T390" s="1709"/>
      <c r="U390" s="1709"/>
      <c r="V390" s="1709"/>
      <c r="W390" s="1709"/>
      <c r="X390" s="1709"/>
      <c r="Y390" s="1709"/>
      <c r="Z390" s="1709"/>
      <c r="AA390" s="1709"/>
      <c r="AB390" s="1709"/>
    </row>
    <row r="391" spans="5:28" s="1704" customFormat="1">
      <c r="E391" s="1709"/>
      <c r="F391" s="3424"/>
      <c r="G391" s="3424"/>
      <c r="H391" s="1709"/>
      <c r="L391" s="1709"/>
      <c r="M391" s="1709"/>
      <c r="N391" s="1709"/>
      <c r="O391" s="1709"/>
      <c r="P391" s="1709"/>
      <c r="Q391" s="3424"/>
      <c r="R391" s="1709"/>
      <c r="S391" s="1709"/>
      <c r="T391" s="1709"/>
      <c r="U391" s="1709"/>
      <c r="V391" s="1709"/>
      <c r="W391" s="1709"/>
      <c r="X391" s="1709"/>
      <c r="Y391" s="1709"/>
      <c r="Z391" s="1709"/>
      <c r="AA391" s="1709"/>
      <c r="AB391" s="1709"/>
    </row>
    <row r="392" spans="5:28" s="1704" customFormat="1">
      <c r="E392" s="1709"/>
      <c r="F392" s="3424"/>
      <c r="G392" s="3424"/>
      <c r="H392" s="1709"/>
      <c r="L392" s="1709"/>
      <c r="M392" s="1709"/>
      <c r="N392" s="1709"/>
      <c r="O392" s="1709"/>
      <c r="P392" s="1709"/>
      <c r="Q392" s="3424"/>
      <c r="R392" s="1709"/>
      <c r="S392" s="1709"/>
      <c r="T392" s="1709"/>
      <c r="U392" s="1709"/>
      <c r="V392" s="1709"/>
      <c r="W392" s="1709"/>
      <c r="X392" s="1709"/>
      <c r="Y392" s="1709"/>
      <c r="Z392" s="1709"/>
      <c r="AA392" s="1709"/>
      <c r="AB392" s="1709"/>
    </row>
  </sheetData>
  <sheetProtection password="E8A2" sheet="1" objects="1" scenarios="1" formatCells="0" formatColumns="0" formatRows="0"/>
  <mergeCells count="25">
    <mergeCell ref="X106:AA106"/>
    <mergeCell ref="X105:AA105"/>
    <mergeCell ref="X100:AA100"/>
    <mergeCell ref="X101:AA101"/>
    <mergeCell ref="F15:H15"/>
    <mergeCell ref="F16:H16"/>
    <mergeCell ref="F17:H17"/>
    <mergeCell ref="F18:H18"/>
    <mergeCell ref="C18:D18"/>
    <mergeCell ref="E110:J110"/>
    <mergeCell ref="E109:J109"/>
    <mergeCell ref="P38:U38"/>
    <mergeCell ref="P46:U46"/>
    <mergeCell ref="E90:N90"/>
    <mergeCell ref="E93:G93"/>
    <mergeCell ref="E94:G94"/>
    <mergeCell ref="E95:G95"/>
    <mergeCell ref="E96:G96"/>
    <mergeCell ref="E97:G97"/>
    <mergeCell ref="N91:R91"/>
    <mergeCell ref="F14:H14"/>
    <mergeCell ref="C14:D14"/>
    <mergeCell ref="C15:D15"/>
    <mergeCell ref="C16:D16"/>
    <mergeCell ref="C17:D17"/>
  </mergeCells>
  <conditionalFormatting sqref="AF14:AF18 AI14:AI18">
    <cfRule type="expression" dxfId="1" priority="2">
      <formula>Nlang&gt;1</formula>
    </cfRule>
  </conditionalFormatting>
  <conditionalFormatting sqref="AG14:AG18">
    <cfRule type="expression" dxfId="0" priority="1">
      <formula>Nlang&gt;1</formula>
    </cfRule>
  </conditionalFormatting>
  <dataValidations count="6">
    <dataValidation type="decimal" allowBlank="1" showInputMessage="1" showErrorMessage="1" sqref="N26 L14:L18 R26 N14:N18 J14:J18 P26">
      <formula1>0</formula1>
      <formula2>1</formula2>
    </dataValidation>
    <dataValidation type="decimal" operator="greaterThanOrEqual" allowBlank="1" showInputMessage="1" showErrorMessage="1" sqref="R93:R97 P93:P97 W102 L102 L107:L108 J153:K157 J161:K165 N93:N97 AF91">
      <formula1>0</formula1>
    </dataValidation>
    <dataValidation type="list" allowBlank="1" showInputMessage="1" showErrorMessage="1" sqref="X14:X18 V40:V44 Z14:Z18 S48:S52 V48:V52 S40:S44">
      <formula1>dyn_simple</formula1>
    </dataValidation>
    <dataValidation type="list" allowBlank="1" showInputMessage="1" showErrorMessage="1" sqref="E109:G109">
      <formula1>country</formula1>
    </dataValidation>
    <dataValidation type="list" allowBlank="1" showInputMessage="1" showErrorMessage="1" sqref="C14:D18">
      <formula1>fishCategory</formula1>
    </dataValidation>
    <dataValidation type="list" allowBlank="1" showInputMessage="1" showErrorMessage="1" sqref="F14:H18">
      <formula1>gearlist</formula1>
    </dataValidation>
  </dataValidations>
  <pageMargins left="0.78740157499999996" right="0.57999999999999996" top="0.76" bottom="0.75" header="0.4921259845" footer="0.4921259845"/>
  <pageSetup paperSize="9" scale="10" orientation="landscape" horizontalDpi="1200" verticalDpi="1200" r:id="rId1"/>
  <headerFooter alignWithMargins="0">
    <oddHeader>&amp;A&amp;RPage &amp;P</oddHeader>
    <oddFooter>&amp;F</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Fishery!$F$4:$F$11</xm:f>
          </x14:formula1>
          <xm:sqref>C14:C18</xm:sqref>
        </x14:dataValidation>
        <x14:dataValidation type="list" allowBlank="1" showInputMessage="1" showErrorMessage="1">
          <x14:formula1>
            <xm:f>Fishery!$A$93:$A$100</xm:f>
          </x14:formula1>
          <xm:sqref>F14:F18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00"/>
  <sheetViews>
    <sheetView topLeftCell="A88" zoomScale="120" zoomScaleNormal="120" workbookViewId="0">
      <selection activeCell="A93" sqref="A93:A100"/>
    </sheetView>
  </sheetViews>
  <sheetFormatPr defaultColWidth="11.42578125" defaultRowHeight="12.75"/>
  <cols>
    <col min="1" max="1" width="23.28515625" customWidth="1"/>
    <col min="2" max="3" width="16.28515625" customWidth="1"/>
    <col min="4" max="4" width="11.7109375" customWidth="1"/>
    <col min="5" max="5" width="16.28515625" customWidth="1"/>
    <col min="6" max="6" width="11.28515625" customWidth="1"/>
    <col min="7" max="7" width="16.28515625" customWidth="1"/>
    <col min="8" max="8" width="12.140625" customWidth="1"/>
    <col min="9" max="9" width="9.7109375" customWidth="1"/>
    <col min="10" max="10" width="9" customWidth="1"/>
    <col min="14" max="14" width="5.7109375" customWidth="1"/>
  </cols>
  <sheetData>
    <row r="1" spans="1:10" s="2941" customFormat="1">
      <c r="A1" s="2940" t="s">
        <v>5517</v>
      </c>
    </row>
    <row r="2" spans="1:10" s="2941" customFormat="1"/>
    <row r="3" spans="1:10" s="2941" customFormat="1">
      <c r="A3" s="2942" t="s">
        <v>4</v>
      </c>
      <c r="B3" s="2942" t="s">
        <v>4</v>
      </c>
      <c r="C3" s="2942"/>
      <c r="F3" s="2940" t="s">
        <v>5492</v>
      </c>
      <c r="G3" s="2940" t="s">
        <v>5494</v>
      </c>
      <c r="I3" s="2940"/>
      <c r="J3" s="2940"/>
    </row>
    <row r="4" spans="1:10" s="2939" customFormat="1">
      <c r="A4" s="2943" t="str">
        <f>List!A7</f>
        <v>Africa</v>
      </c>
      <c r="B4" s="2943" t="s">
        <v>297</v>
      </c>
      <c r="C4" s="2943"/>
      <c r="F4" s="2939" t="s">
        <v>5493</v>
      </c>
      <c r="I4" s="2938"/>
    </row>
    <row r="5" spans="1:10" s="2939" customFormat="1">
      <c r="A5" s="2943" t="str">
        <f>List!A8</f>
        <v>Asia (Continental)</v>
      </c>
      <c r="B5" s="2943" t="s">
        <v>424</v>
      </c>
      <c r="C5" s="2943"/>
      <c r="F5" s="2938" t="s">
        <v>5495</v>
      </c>
      <c r="I5" s="2938"/>
    </row>
    <row r="6" spans="1:10" s="2939" customFormat="1">
      <c r="A6" s="2943" t="str">
        <f>List!A9</f>
        <v>Asia (Indian subcontinent)</v>
      </c>
      <c r="B6" s="2943" t="s">
        <v>424</v>
      </c>
      <c r="C6" s="2943"/>
      <c r="F6" s="2938" t="s">
        <v>5496</v>
      </c>
      <c r="I6" s="2938"/>
    </row>
    <row r="7" spans="1:10" s="2939" customFormat="1">
      <c r="A7" s="2943" t="str">
        <f>List!A10</f>
        <v>Asia (Insular)</v>
      </c>
      <c r="B7" s="2943" t="s">
        <v>424</v>
      </c>
      <c r="C7" s="2943"/>
      <c r="F7" s="2938" t="s">
        <v>5497</v>
      </c>
      <c r="I7" s="2938"/>
    </row>
    <row r="8" spans="1:10" s="2939" customFormat="1">
      <c r="A8" s="2943" t="str">
        <f>List!A11</f>
        <v>Middle East</v>
      </c>
      <c r="B8" s="2943" t="s">
        <v>388</v>
      </c>
      <c r="C8" s="2943"/>
      <c r="F8" s="2938" t="s">
        <v>5498</v>
      </c>
      <c r="I8" s="2938"/>
    </row>
    <row r="9" spans="1:10" s="2939" customFormat="1">
      <c r="A9" s="2943" t="str">
        <f>List!A12</f>
        <v>Western Europe</v>
      </c>
      <c r="B9" s="2943" t="s">
        <v>1386</v>
      </c>
      <c r="C9" s="2943"/>
      <c r="F9" s="2938" t="s">
        <v>5499</v>
      </c>
      <c r="I9" s="2938"/>
    </row>
    <row r="10" spans="1:10" s="2939" customFormat="1">
      <c r="A10" s="2943" t="str">
        <f>List!A13</f>
        <v>Eastern Europe</v>
      </c>
      <c r="B10" s="2943" t="s">
        <v>1386</v>
      </c>
      <c r="C10" s="2943"/>
      <c r="F10" s="2938" t="s">
        <v>5500</v>
      </c>
      <c r="I10" s="2938"/>
    </row>
    <row r="11" spans="1:10" s="2939" customFormat="1">
      <c r="A11" s="2943" t="str">
        <f>List!A14</f>
        <v>Oceania</v>
      </c>
      <c r="B11" s="2943" t="s">
        <v>303</v>
      </c>
      <c r="C11" s="2943"/>
      <c r="F11" s="2938" t="s">
        <v>5501</v>
      </c>
      <c r="I11" s="2938"/>
    </row>
    <row r="12" spans="1:10" s="2939" customFormat="1">
      <c r="A12" s="2943" t="str">
        <f>List!A15</f>
        <v>North America</v>
      </c>
      <c r="B12" s="2943" t="s">
        <v>304</v>
      </c>
      <c r="C12" s="2943"/>
    </row>
    <row r="13" spans="1:10" s="2939" customFormat="1">
      <c r="A13" s="2943" t="str">
        <f>List!A16</f>
        <v>Central America</v>
      </c>
      <c r="B13" s="2943" t="s">
        <v>5505</v>
      </c>
      <c r="C13" s="2943"/>
    </row>
    <row r="14" spans="1:10" s="2939" customFormat="1">
      <c r="A14" s="2943" t="str">
        <f>List!A17</f>
        <v>South America</v>
      </c>
      <c r="B14" s="2943" t="s">
        <v>5505</v>
      </c>
      <c r="C14" s="2943"/>
    </row>
    <row r="15" spans="1:10" s="2028" customFormat="1">
      <c r="A15" s="2944"/>
      <c r="B15" s="2944"/>
      <c r="C15" s="2944"/>
      <c r="G15" s="2579" t="s">
        <v>5515</v>
      </c>
      <c r="H15" s="2579" t="s">
        <v>5514</v>
      </c>
    </row>
    <row r="16" spans="1:10" s="2028" customFormat="1">
      <c r="A16" s="2944" t="str">
        <f>region</f>
        <v>Please select</v>
      </c>
      <c r="B16" s="2944" t="str">
        <f>VLOOKUP(A16,A3:B14,2,)</f>
        <v>Please select</v>
      </c>
      <c r="C16" t="e">
        <f>MATCH(cont_fish,B20:P20,)</f>
        <v>#N/A</v>
      </c>
      <c r="G16" s="2579" t="s">
        <v>5513</v>
      </c>
      <c r="H16" s="2579" t="s">
        <v>5513</v>
      </c>
    </row>
    <row r="17" spans="1:17" s="2028" customFormat="1">
      <c r="G17" s="2579" t="s">
        <v>292</v>
      </c>
      <c r="H17" s="2579" t="s">
        <v>292</v>
      </c>
    </row>
    <row r="18" spans="1:17">
      <c r="A18" s="2953" t="s">
        <v>6488</v>
      </c>
      <c r="B18" s="2937"/>
      <c r="C18" s="2937"/>
      <c r="D18" s="2954" t="s">
        <v>6487</v>
      </c>
      <c r="E18" s="2937"/>
      <c r="F18" s="2937"/>
      <c r="G18" s="2937"/>
      <c r="H18" s="2937"/>
      <c r="I18" s="2937"/>
      <c r="J18" s="2937"/>
      <c r="K18" s="2937"/>
      <c r="L18" s="2937"/>
      <c r="M18" s="2937"/>
      <c r="N18" s="2937"/>
      <c r="O18" s="2937"/>
      <c r="P18" s="2937"/>
      <c r="Q18" s="2937"/>
    </row>
    <row r="19" spans="1:17">
      <c r="A19" s="2953" t="s">
        <v>7189</v>
      </c>
      <c r="B19" s="2937"/>
      <c r="C19" s="2937"/>
      <c r="D19" s="2937"/>
      <c r="E19" s="2937"/>
      <c r="F19" s="2937"/>
      <c r="G19" s="2937"/>
      <c r="H19" s="2937"/>
      <c r="I19" s="2937"/>
      <c r="J19" s="2937"/>
      <c r="K19" s="2937"/>
      <c r="L19" s="2937"/>
      <c r="M19" s="2937"/>
      <c r="N19" s="2937"/>
      <c r="O19" s="2937"/>
      <c r="P19" s="2937"/>
      <c r="Q19" s="2937"/>
    </row>
    <row r="20" spans="1:17">
      <c r="A20" s="2937"/>
      <c r="B20" s="2955"/>
      <c r="C20" s="2956" t="s">
        <v>5502</v>
      </c>
      <c r="D20" s="2957"/>
      <c r="E20" s="2956" t="s">
        <v>5503</v>
      </c>
      <c r="F20" s="2957"/>
      <c r="G20" s="2956" t="s">
        <v>5504</v>
      </c>
      <c r="H20" s="2957"/>
      <c r="I20" s="2956" t="s">
        <v>5505</v>
      </c>
      <c r="J20" s="2957"/>
      <c r="K20" s="2956" t="s">
        <v>5506</v>
      </c>
      <c r="L20" s="2957"/>
      <c r="M20" s="2956" t="s">
        <v>5507</v>
      </c>
      <c r="N20" s="2937"/>
      <c r="O20" s="2955"/>
      <c r="P20" s="2958" t="str">
        <f>B8</f>
        <v>Other</v>
      </c>
      <c r="Q20" s="2937"/>
    </row>
    <row r="21" spans="1:17">
      <c r="A21" s="2937"/>
      <c r="B21" s="2959" t="s">
        <v>5508</v>
      </c>
      <c r="C21" s="2960" t="s">
        <v>5509</v>
      </c>
      <c r="D21" s="2959" t="s">
        <v>5508</v>
      </c>
      <c r="E21" s="2960" t="s">
        <v>5509</v>
      </c>
      <c r="F21" s="2959" t="s">
        <v>5508</v>
      </c>
      <c r="G21" s="2960" t="s">
        <v>5509</v>
      </c>
      <c r="H21" s="2959" t="s">
        <v>5508</v>
      </c>
      <c r="I21" s="2960" t="s">
        <v>5509</v>
      </c>
      <c r="J21" s="2959" t="s">
        <v>5508</v>
      </c>
      <c r="K21" s="2960" t="s">
        <v>5509</v>
      </c>
      <c r="L21" s="2959" t="s">
        <v>5508</v>
      </c>
      <c r="M21" s="2960" t="s">
        <v>5509</v>
      </c>
      <c r="N21" s="2937"/>
      <c r="O21" s="2961" t="s">
        <v>5510</v>
      </c>
      <c r="P21" s="2962" t="s">
        <v>5511</v>
      </c>
      <c r="Q21" s="2937"/>
    </row>
    <row r="22" spans="1:17" ht="15">
      <c r="A22" s="2937" t="str">
        <f>F4</f>
        <v>Crustaceans</v>
      </c>
      <c r="B22" s="2963">
        <v>2</v>
      </c>
      <c r="C22" s="2964">
        <v>1615</v>
      </c>
      <c r="D22" s="2963">
        <v>1</v>
      </c>
      <c r="E22" s="2965">
        <v>2028</v>
      </c>
      <c r="F22" s="2963">
        <v>129</v>
      </c>
      <c r="G22" s="2965">
        <v>1395.5</v>
      </c>
      <c r="H22" s="2963"/>
      <c r="I22" s="2965"/>
      <c r="J22" s="2963">
        <v>16</v>
      </c>
      <c r="K22" s="2965">
        <v>715.33333333333337</v>
      </c>
      <c r="L22" s="2963">
        <v>141</v>
      </c>
      <c r="M22" s="2965">
        <v>3964</v>
      </c>
      <c r="N22" s="2966"/>
      <c r="O22" s="2967">
        <v>289</v>
      </c>
      <c r="P22" s="2968">
        <f>((B22*C22)+(D22*E22)+(F22*G22)+(H22*I22)+(J22*K22)+(L22*M22))/O22</f>
        <v>2614.6949250288353</v>
      </c>
      <c r="Q22" s="2937"/>
    </row>
    <row r="23" spans="1:17">
      <c r="A23" s="2937" t="str">
        <f>F5</f>
        <v>Finfish</v>
      </c>
      <c r="B23" s="2963"/>
      <c r="C23" s="2965"/>
      <c r="D23" s="2963">
        <v>4</v>
      </c>
      <c r="E23" s="2965">
        <v>464</v>
      </c>
      <c r="F23" s="2963">
        <v>112</v>
      </c>
      <c r="G23" s="2965">
        <v>898.25</v>
      </c>
      <c r="H23" s="2963"/>
      <c r="I23" s="2965"/>
      <c r="J23" s="2963">
        <v>77</v>
      </c>
      <c r="K23" s="2965">
        <v>423.28571428571428</v>
      </c>
      <c r="L23" s="2963">
        <v>62</v>
      </c>
      <c r="M23" s="2965">
        <v>527</v>
      </c>
      <c r="N23" s="2966"/>
      <c r="O23" s="2967">
        <v>255</v>
      </c>
      <c r="P23" s="2968">
        <f>((B23*C23)+(D23*E23)+(F23*G23)+(H23*I23)+(J23*K23)+(L23*M23))/O23</f>
        <v>657.75294117647059</v>
      </c>
      <c r="Q23" s="2937"/>
    </row>
    <row r="24" spans="1:17">
      <c r="A24" s="2937" t="str">
        <f t="shared" ref="A24:A29" si="0">F6</f>
        <v>Flatfish</v>
      </c>
      <c r="B24" s="2963"/>
      <c r="C24" s="2965"/>
      <c r="D24" s="2963">
        <v>1</v>
      </c>
      <c r="E24" s="2965">
        <v>549</v>
      </c>
      <c r="F24" s="2963">
        <v>33</v>
      </c>
      <c r="G24" s="2965">
        <v>1724.5</v>
      </c>
      <c r="H24" s="2963"/>
      <c r="I24" s="2965"/>
      <c r="J24" s="2963">
        <v>8</v>
      </c>
      <c r="K24" s="2965">
        <v>637.75</v>
      </c>
      <c r="L24" s="2963">
        <v>4</v>
      </c>
      <c r="M24" s="2965">
        <v>1086</v>
      </c>
      <c r="N24" s="2966"/>
      <c r="O24" s="2967">
        <v>46</v>
      </c>
      <c r="P24" s="2968">
        <f t="shared" ref="P24:P28" si="1">((B24*C24)+(D24*E24)+(F24*G24)+(H24*I24)+(J24*K24)+(L24*M24))/O24</f>
        <v>1454.4239130434783</v>
      </c>
      <c r="Q24" s="2937"/>
    </row>
    <row r="25" spans="1:17">
      <c r="A25" s="2937" t="str">
        <f t="shared" si="0"/>
        <v>Large pelagics</v>
      </c>
      <c r="B25" s="2963"/>
      <c r="C25" s="2965"/>
      <c r="D25" s="2963">
        <v>6</v>
      </c>
      <c r="E25" s="2965">
        <v>921.33333333333337</v>
      </c>
      <c r="F25" s="2963">
        <v>15</v>
      </c>
      <c r="G25" s="2965">
        <v>1096</v>
      </c>
      <c r="H25" s="2963"/>
      <c r="I25" s="2965"/>
      <c r="J25" s="2963">
        <v>6</v>
      </c>
      <c r="K25" s="2965">
        <v>839.33333333333337</v>
      </c>
      <c r="L25" s="2963">
        <v>36</v>
      </c>
      <c r="M25" s="2965">
        <v>812.25</v>
      </c>
      <c r="N25" s="2966"/>
      <c r="O25" s="2967">
        <v>63</v>
      </c>
      <c r="P25" s="2968">
        <f t="shared" si="1"/>
        <v>892.77777777777783</v>
      </c>
      <c r="Q25" s="2937"/>
    </row>
    <row r="26" spans="1:17">
      <c r="A26" s="2937" t="str">
        <f t="shared" si="0"/>
        <v>Molluscs</v>
      </c>
      <c r="B26" s="2963"/>
      <c r="C26" s="2965"/>
      <c r="D26" s="2963"/>
      <c r="E26" s="2965"/>
      <c r="F26" s="2963">
        <v>59</v>
      </c>
      <c r="G26" s="2965">
        <v>1454.5</v>
      </c>
      <c r="H26" s="2963"/>
      <c r="I26" s="2965"/>
      <c r="J26" s="2963">
        <v>7</v>
      </c>
      <c r="K26" s="2965">
        <v>577</v>
      </c>
      <c r="L26" s="2963">
        <v>19</v>
      </c>
      <c r="M26" s="2965">
        <v>860.33333333333337</v>
      </c>
      <c r="N26" s="2966"/>
      <c r="O26" s="2967">
        <v>85</v>
      </c>
      <c r="P26" s="2968">
        <f t="shared" si="1"/>
        <v>1249.4215686274508</v>
      </c>
      <c r="Q26" s="2937"/>
    </row>
    <row r="27" spans="1:17">
      <c r="A27" s="2937" t="str">
        <f t="shared" si="0"/>
        <v>Salmonids</v>
      </c>
      <c r="B27" s="2963"/>
      <c r="C27" s="2965"/>
      <c r="D27" s="2963"/>
      <c r="E27" s="2965"/>
      <c r="F27" s="2963"/>
      <c r="G27" s="2965"/>
      <c r="H27" s="2963"/>
      <c r="I27" s="2965"/>
      <c r="J27" s="2963">
        <v>7</v>
      </c>
      <c r="K27" s="2965">
        <v>670.66666666666663</v>
      </c>
      <c r="L27" s="2963"/>
      <c r="M27" s="2965"/>
      <c r="N27" s="2966"/>
      <c r="O27" s="2967">
        <v>7</v>
      </c>
      <c r="P27" s="2968">
        <f t="shared" si="1"/>
        <v>670.66666666666663</v>
      </c>
      <c r="Q27" s="2937"/>
    </row>
    <row r="28" spans="1:17" ht="15">
      <c r="A28" s="2937" t="str">
        <f t="shared" si="0"/>
        <v>Small pelagics</v>
      </c>
      <c r="B28" s="2963">
        <v>6</v>
      </c>
      <c r="C28" s="2964">
        <v>31</v>
      </c>
      <c r="D28" s="2963">
        <v>3</v>
      </c>
      <c r="E28" s="2965">
        <v>537</v>
      </c>
      <c r="F28" s="2963">
        <v>70</v>
      </c>
      <c r="G28" s="2965">
        <v>252</v>
      </c>
      <c r="H28" s="2963">
        <v>2</v>
      </c>
      <c r="I28" s="2965">
        <v>10</v>
      </c>
      <c r="J28" s="2963">
        <v>28</v>
      </c>
      <c r="K28" s="2965">
        <v>191.33333333333334</v>
      </c>
      <c r="L28" s="2963">
        <v>24</v>
      </c>
      <c r="M28" s="2965">
        <v>161.5</v>
      </c>
      <c r="N28" s="2966"/>
      <c r="O28" s="2967">
        <v>133</v>
      </c>
      <c r="P28" s="2968">
        <f t="shared" si="1"/>
        <v>215.7167919799499</v>
      </c>
      <c r="Q28" s="2937"/>
    </row>
    <row r="29" spans="1:17">
      <c r="A29" s="2937" t="str">
        <f t="shared" si="0"/>
        <v>Not Specified</v>
      </c>
      <c r="B29" s="2969">
        <v>8</v>
      </c>
      <c r="C29" s="2970">
        <f>((B22*C22)+(B23*C23)+(B24*C24)+(B25*C25)+(B26*C26)+(B27*C27)+(B28*C28))/B29</f>
        <v>427</v>
      </c>
      <c r="D29" s="2969">
        <v>15</v>
      </c>
      <c r="E29" s="2970">
        <f>((D22*E22)+(D23*E23)+(D24*E24)+(D25*E25)+(D26*E26)+(D27*E27)+(D28*E28))/D29</f>
        <v>771.4666666666667</v>
      </c>
      <c r="F29" s="2969">
        <v>418</v>
      </c>
      <c r="G29" s="2970">
        <f>((F22*G22)+(F23*G23)+(F24*G24)+(F25*G25)+(F26*G26)+(F27*G27)+(F28*G28))/F29</f>
        <v>1094.3241626794259</v>
      </c>
      <c r="H29" s="2969"/>
      <c r="I29" s="2970"/>
      <c r="J29" s="2969">
        <v>149</v>
      </c>
      <c r="K29" s="2970">
        <f>((J22*K22)+(J23*K23)+(J24*K24)+(J25*K25)+(J26*K26)+(J27*K27)+(J28*K28))/J29</f>
        <v>458.17002237136461</v>
      </c>
      <c r="L29" s="2969">
        <v>286</v>
      </c>
      <c r="M29" s="2970">
        <f>((L22*M22)+(L23*M23)+(L24*M24)+(L25*M25)+(L26*M26)+(L27*M27)+(L28*M28))/L29</f>
        <v>2256.6620046620046</v>
      </c>
      <c r="N29" s="2966"/>
      <c r="O29" s="2971">
        <v>878</v>
      </c>
      <c r="P29" s="2972">
        <f>((O22*P22)+(O23*P23)+(O24*P24)+(O25*P25)+(O26*P26)+(O27*P27)+(O28*P28))/O29</f>
        <v>1350.9204631738801</v>
      </c>
      <c r="Q29" s="2937"/>
    </row>
    <row r="30" spans="1:17">
      <c r="A30" s="2937"/>
      <c r="B30" s="2937"/>
      <c r="C30" s="2937"/>
      <c r="D30" s="2937"/>
      <c r="E30" s="2937"/>
      <c r="F30" s="2937"/>
      <c r="G30" s="2937"/>
      <c r="H30" s="2937"/>
      <c r="I30" s="2954"/>
      <c r="J30" s="2937"/>
      <c r="K30" s="2937"/>
      <c r="L30" s="2937"/>
      <c r="M30" s="2937"/>
      <c r="N30" s="2937"/>
      <c r="O30" s="2937"/>
      <c r="P30" s="2966"/>
      <c r="Q30" s="2937"/>
    </row>
    <row r="31" spans="1:17" s="2028" customFormat="1">
      <c r="A31" s="2937"/>
      <c r="B31" s="2937"/>
      <c r="C31" s="2937"/>
      <c r="D31" s="2937"/>
      <c r="E31" s="2937"/>
      <c r="F31" s="2937"/>
      <c r="G31" s="2937"/>
      <c r="H31" s="2937"/>
      <c r="I31" s="2954"/>
      <c r="J31" s="2937"/>
      <c r="K31" s="2937"/>
      <c r="L31" s="2937"/>
      <c r="M31" s="2937"/>
      <c r="N31" s="2937"/>
      <c r="O31" s="2937"/>
      <c r="P31" s="2937"/>
      <c r="Q31" s="2937"/>
    </row>
    <row r="33" spans="1:13">
      <c r="A33" s="2579"/>
    </row>
    <row r="34" spans="1:13">
      <c r="A34" s="2980" t="s">
        <v>5523</v>
      </c>
      <c r="B34" s="270"/>
      <c r="C34" s="2975" t="s">
        <v>5518</v>
      </c>
      <c r="D34" s="814"/>
      <c r="E34" s="815"/>
      <c r="F34" s="815"/>
      <c r="G34" s="816"/>
      <c r="H34" s="781" t="s">
        <v>895</v>
      </c>
      <c r="I34" s="782"/>
      <c r="K34" s="2982"/>
      <c r="L34" s="2983" t="s">
        <v>844</v>
      </c>
      <c r="M34" s="2984"/>
    </row>
    <row r="35" spans="1:13">
      <c r="A35" s="2974" t="s">
        <v>5492</v>
      </c>
      <c r="B35" s="2919"/>
      <c r="C35" s="630" t="s">
        <v>340</v>
      </c>
      <c r="D35" s="2989" t="s">
        <v>673</v>
      </c>
      <c r="E35" s="2989"/>
      <c r="F35" s="2990" t="s">
        <v>672</v>
      </c>
      <c r="G35" s="2991"/>
      <c r="H35" s="3894" t="s">
        <v>342</v>
      </c>
      <c r="I35" s="3797"/>
      <c r="K35" s="2982"/>
      <c r="L35" s="2985" t="s">
        <v>674</v>
      </c>
      <c r="M35" s="2985" t="s">
        <v>675</v>
      </c>
    </row>
    <row r="36" spans="1:13" ht="13.5" thickBot="1">
      <c r="A36" s="2920"/>
      <c r="B36" s="2918"/>
      <c r="C36" s="630" t="s">
        <v>347</v>
      </c>
      <c r="D36" s="631" t="s">
        <v>341</v>
      </c>
      <c r="E36" s="747" t="s">
        <v>348</v>
      </c>
      <c r="F36" s="748" t="s">
        <v>341</v>
      </c>
      <c r="G36" s="817" t="s">
        <v>348</v>
      </c>
      <c r="H36" s="787" t="s">
        <v>674</v>
      </c>
      <c r="I36" s="788" t="s">
        <v>675</v>
      </c>
      <c r="K36" s="2982"/>
      <c r="L36" s="2984"/>
      <c r="M36" s="2986"/>
    </row>
    <row r="37" spans="1:13" ht="13.5" thickBot="1">
      <c r="A37" s="2973" t="str">
        <f>'8. Fish'!C14</f>
        <v>Not Specified</v>
      </c>
      <c r="B37" s="2918"/>
      <c r="C37" s="2976">
        <f>'8. Fish'!U14*'8. Fish'!U93</f>
        <v>0</v>
      </c>
      <c r="D37" s="2976">
        <f>'8. Fish'!W14*'8. Fish'!W93</f>
        <v>0</v>
      </c>
      <c r="E37" s="2393" t="str">
        <f>VLOOKUP('8. Fish'!X14,List!$D$35:$E$37,2,)</f>
        <v>Linear</v>
      </c>
      <c r="F37" s="2977">
        <f>'8. Fish'!Y14*'8. Fish'!Y93</f>
        <v>0</v>
      </c>
      <c r="G37" s="2393" t="str">
        <f>VLOOKUP('8. Fish'!Z14,List!$D$35:$E$37,2,)</f>
        <v>Linear</v>
      </c>
      <c r="H37" s="2979">
        <f>MIN(C37,D37)*time_tot+ABS(D37-C37)*IF(D37&gt;C37,time2+time*(VLOOKUP(E37,List!$E$35:$F$37,2,)),time*(1-(VLOOKUP(E37,List!$E$35:$F$37,2,))))</f>
        <v>0</v>
      </c>
      <c r="I37" s="2979">
        <f>MIN(C37,F37)*time_tot+ABS(F37-C37)*IF(F37&gt;C37,time2+time*(VLOOKUP(G37,List!$E$35:$F$37,2,)),time*(1-(VLOOKUP(G37,List!$E$35:$F$37,2,))))</f>
        <v>0</v>
      </c>
      <c r="K37" s="2982"/>
      <c r="L37" s="2987">
        <f>MIN(C37,D37)*time+ABS(D37-C37)*IF(D37&gt;C37,time*(VLOOKUP(E37,List!$E$35:$F$37,2,)),time*(1-(VLOOKUP(E37,List!$E$35:$F$37,2,))))</f>
        <v>0</v>
      </c>
      <c r="M37" s="2987">
        <f>MIN(C37,F37)*time+ABS(F37-C37)*IF(F37&gt;C37,time*(VLOOKUP(G37,List!$E$35:$F$37,2,)),time*(1-(VLOOKUP(G37,List!$E$35:$F$37,2,))))</f>
        <v>0</v>
      </c>
    </row>
    <row r="38" spans="1:13" ht="13.5" thickBot="1">
      <c r="A38" s="2973" t="str">
        <f>'8. Fish'!C15</f>
        <v>Not Specified</v>
      </c>
      <c r="B38" s="2918"/>
      <c r="C38" s="2976">
        <f>'8. Fish'!U15*'8. Fish'!U94</f>
        <v>0</v>
      </c>
      <c r="D38" s="2976">
        <f>'8. Fish'!W15*'8. Fish'!W94</f>
        <v>0</v>
      </c>
      <c r="E38" s="2393" t="str">
        <f>VLOOKUP('8. Fish'!X15,List!$D$35:$E$37,2,)</f>
        <v>Linear</v>
      </c>
      <c r="F38" s="2977">
        <f>'8. Fish'!Y15*'8. Fish'!Y94</f>
        <v>0</v>
      </c>
      <c r="G38" s="2393" t="str">
        <f>VLOOKUP('8. Fish'!Z15,List!$D$35:$E$37,2,)</f>
        <v>Linear</v>
      </c>
      <c r="H38" s="2979">
        <f>MIN(C38,D38)*time_tot+ABS(D38-C38)*IF(D38&gt;C38,time2+time*(VLOOKUP(E38,List!$E$35:$F$37,2,)),time*(1-(VLOOKUP(E38,List!$E$35:$F$37,2,))))</f>
        <v>0</v>
      </c>
      <c r="I38" s="2979">
        <f>MIN(C38,F38)*time_tot+ABS(F38-C38)*IF(F38&gt;C38,time2+time*(VLOOKUP(G38,List!$E$35:$F$37,2,)),time*(1-(VLOOKUP(G38,List!$E$35:$F$37,2,))))</f>
        <v>0</v>
      </c>
      <c r="K38" s="2982"/>
      <c r="L38" s="2987">
        <f>MIN(C38,D38)*time+ABS(D38-C38)*IF(D38&gt;C38,time*(VLOOKUP(E38,List!$E$35:$F$37,2,)),time*(1-(VLOOKUP(E38,List!$E$35:$F$37,2,))))</f>
        <v>0</v>
      </c>
      <c r="M38" s="2987">
        <f>MIN(C38,F38)*time+ABS(F38-C38)*IF(F38&gt;C38,time*(VLOOKUP(G38,List!$E$35:$F$37,2,)),time*(1-(VLOOKUP(G38,List!$E$35:$F$37,2,))))</f>
        <v>0</v>
      </c>
    </row>
    <row r="39" spans="1:13" ht="13.5" thickBot="1">
      <c r="A39" s="2973" t="str">
        <f>'8. Fish'!C16</f>
        <v>Not Specified</v>
      </c>
      <c r="B39" s="2918"/>
      <c r="C39" s="2976">
        <f>'8. Fish'!U16*'8. Fish'!U95</f>
        <v>0</v>
      </c>
      <c r="D39" s="2976">
        <f>'8. Fish'!W16*'8. Fish'!W95</f>
        <v>0</v>
      </c>
      <c r="E39" s="2393" t="str">
        <f>VLOOKUP('8. Fish'!X16,List!$D$35:$E$37,2,)</f>
        <v>Linear</v>
      </c>
      <c r="F39" s="2977">
        <f>'8. Fish'!Y16*'8. Fish'!Y95</f>
        <v>0</v>
      </c>
      <c r="G39" s="2393" t="str">
        <f>VLOOKUP('8. Fish'!Z16,List!$D$35:$E$37,2,)</f>
        <v>Linear</v>
      </c>
      <c r="H39" s="2979">
        <f>MIN(C39,D39)*time_tot+ABS(D39-C39)*IF(D39&gt;C39,time2+time*(VLOOKUP(E39,List!$E$35:$F$37,2,)),time*(1-(VLOOKUP(E39,List!$E$35:$F$37,2,))))</f>
        <v>0</v>
      </c>
      <c r="I39" s="2979">
        <f>MIN(C39,F39)*time_tot+ABS(F39-C39)*IF(F39&gt;C39,time2+time*(VLOOKUP(G39,List!$E$35:$F$37,2,)),time*(1-(VLOOKUP(G39,List!$E$35:$F$37,2,))))</f>
        <v>0</v>
      </c>
      <c r="K39" s="2982"/>
      <c r="L39" s="2987">
        <f>MIN(C39,D39)*time+ABS(D39-C39)*IF(D39&gt;C39,time*(VLOOKUP(E39,List!$E$35:$F$37,2,)),time*(1-(VLOOKUP(E39,List!$E$35:$F$37,2,))))</f>
        <v>0</v>
      </c>
      <c r="M39" s="2987">
        <f>MIN(C39,F39)*time+ABS(F39-C39)*IF(F39&gt;C39,time*(VLOOKUP(G39,List!$E$35:$F$37,2,)),time*(1-(VLOOKUP(G39,List!$E$35:$F$37,2,))))</f>
        <v>0</v>
      </c>
    </row>
    <row r="40" spans="1:13" ht="13.5" thickBot="1">
      <c r="A40" s="2973" t="str">
        <f>'8. Fish'!C17</f>
        <v>Not Specified</v>
      </c>
      <c r="B40" s="2918"/>
      <c r="C40" s="2976">
        <f>'8. Fish'!U17*'8. Fish'!U96</f>
        <v>0</v>
      </c>
      <c r="D40" s="2976">
        <f>'8. Fish'!W17*'8. Fish'!W96</f>
        <v>0</v>
      </c>
      <c r="E40" s="2393" t="str">
        <f>VLOOKUP('8. Fish'!X17,List!$D$35:$E$37,2,)</f>
        <v>Linear</v>
      </c>
      <c r="F40" s="2977">
        <f>'8. Fish'!Y17*'8. Fish'!Y96</f>
        <v>0</v>
      </c>
      <c r="G40" s="2393" t="str">
        <f>VLOOKUP('8. Fish'!Z17,List!$D$35:$E$37,2,)</f>
        <v>Linear</v>
      </c>
      <c r="H40" s="2979">
        <f>MIN(C40,D40)*time_tot+ABS(D40-C40)*IF(D40&gt;C40,time2+time*(VLOOKUP(E40,List!$E$35:$F$37,2,)),time*(1-(VLOOKUP(E40,List!$E$35:$F$37,2,))))</f>
        <v>0</v>
      </c>
      <c r="I40" s="2979">
        <f>MIN(C40,F40)*time_tot+ABS(F40-C40)*IF(F40&gt;C40,time2+time*(VLOOKUP(G40,List!$E$35:$F$37,2,)),time*(1-(VLOOKUP(G40,List!$E$35:$F$37,2,))))</f>
        <v>0</v>
      </c>
      <c r="K40" s="2982"/>
      <c r="L40" s="2987">
        <f>MIN(C40,D40)*time+ABS(D40-C40)*IF(D40&gt;C40,time*(VLOOKUP(E40,List!$E$35:$F$37,2,)),time*(1-(VLOOKUP(E40,List!$E$35:$F$37,2,))))</f>
        <v>0</v>
      </c>
      <c r="M40" s="2987">
        <f>MIN(C40,F40)*time+ABS(F40-C40)*IF(F40&gt;C40,time*(VLOOKUP(G40,List!$E$35:$F$37,2,)),time*(1-(VLOOKUP(G40,List!$E$35:$F$37,2,))))</f>
        <v>0</v>
      </c>
    </row>
    <row r="41" spans="1:13">
      <c r="A41" s="2973" t="str">
        <f>'8. Fish'!C18</f>
        <v>Not Specified</v>
      </c>
      <c r="B41" s="2918"/>
      <c r="C41" s="2976">
        <f>'8. Fish'!U18*'8. Fish'!U97</f>
        <v>0</v>
      </c>
      <c r="D41" s="2976">
        <f>'8. Fish'!W18*'8. Fish'!W97</f>
        <v>0</v>
      </c>
      <c r="E41" s="2393" t="str">
        <f>VLOOKUP('8. Fish'!X18,List!$D$35:$E$37,2,)</f>
        <v>Linear</v>
      </c>
      <c r="F41" s="2977">
        <f>'8. Fish'!Y18*'8. Fish'!Y97</f>
        <v>0</v>
      </c>
      <c r="G41" s="2393" t="str">
        <f>VLOOKUP('8. Fish'!Z18,List!$D$35:$E$37,2,)</f>
        <v>Linear</v>
      </c>
      <c r="H41" s="2979">
        <f>MIN(C41,D41)*time_tot+ABS(D41-C41)*IF(D41&gt;C41,time2+time*(VLOOKUP(E41,List!$E$35:$F$37,2,)),time*(1-(VLOOKUP(E41,List!$E$35:$F$37,2,))))</f>
        <v>0</v>
      </c>
      <c r="I41" s="2979">
        <f>MIN(C41,F41)*time_tot+ABS(F41-C41)*IF(F41&gt;C41,time2+time*(VLOOKUP(G41,List!$E$35:$F$37,2,)),time*(1-(VLOOKUP(G41,List!$E$35:$F$37,2,))))</f>
        <v>0</v>
      </c>
      <c r="K41" s="2982"/>
      <c r="L41" s="2987">
        <f>MIN(C41,D41)*time+ABS(D41-C41)*IF(D41&gt;C41,time*(VLOOKUP(E41,List!$E$35:$F$37,2,)),time*(1-(VLOOKUP(E41,List!$E$35:$F$37,2,))))</f>
        <v>0</v>
      </c>
      <c r="M41" s="2987">
        <f>MIN(C41,F41)*time+ABS(F41-C41)*IF(F41&gt;C41,time*(VLOOKUP(G41,List!$E$35:$F$37,2,)),time*(1-(VLOOKUP(G41,List!$E$35:$F$37,2,))))</f>
        <v>0</v>
      </c>
    </row>
    <row r="42" spans="1:13">
      <c r="A42" s="719"/>
      <c r="B42" s="719"/>
      <c r="C42" s="3310">
        <f>SUM(C37:C41)</f>
        <v>0</v>
      </c>
      <c r="D42" s="3310">
        <f t="shared" ref="D42:F42" si="2">SUM(D37:D41)</f>
        <v>0</v>
      </c>
      <c r="E42" s="3310"/>
      <c r="F42" s="3310">
        <f t="shared" si="2"/>
        <v>0</v>
      </c>
      <c r="G42" s="2980" t="s">
        <v>6509</v>
      </c>
      <c r="H42" s="2981">
        <f>SUM(H37:H41)</f>
        <v>0</v>
      </c>
      <c r="I42" s="2981">
        <f>SUM(I37:I41)</f>
        <v>0</v>
      </c>
      <c r="K42" s="2982"/>
      <c r="L42" s="2988">
        <f>SUM(L37:L41)</f>
        <v>0</v>
      </c>
      <c r="M42" s="2988">
        <f>SUM(M37:M41)</f>
        <v>0</v>
      </c>
    </row>
    <row r="44" spans="1:13">
      <c r="A44" s="2980" t="s">
        <v>5525</v>
      </c>
      <c r="B44" s="270"/>
      <c r="C44" s="2975" t="s">
        <v>5518</v>
      </c>
      <c r="D44" s="814"/>
      <c r="E44" s="815"/>
      <c r="F44" s="815"/>
      <c r="G44" s="816"/>
      <c r="H44" s="781" t="s">
        <v>895</v>
      </c>
      <c r="I44" s="782"/>
      <c r="K44" s="2982"/>
      <c r="L44" s="2983" t="s">
        <v>844</v>
      </c>
      <c r="M44" s="2984"/>
    </row>
    <row r="45" spans="1:13">
      <c r="A45" s="2974"/>
      <c r="B45" s="2919"/>
      <c r="C45" s="630" t="s">
        <v>340</v>
      </c>
      <c r="D45" s="2989" t="s">
        <v>673</v>
      </c>
      <c r="E45" s="2992"/>
      <c r="F45" s="2990" t="s">
        <v>672</v>
      </c>
      <c r="G45" s="2992"/>
      <c r="H45" s="3894" t="s">
        <v>342</v>
      </c>
      <c r="I45" s="3797"/>
      <c r="K45" s="2982"/>
      <c r="L45" s="2985" t="s">
        <v>674</v>
      </c>
      <c r="M45" s="2985" t="s">
        <v>675</v>
      </c>
    </row>
    <row r="46" spans="1:13">
      <c r="A46" s="2919" t="s">
        <v>5524</v>
      </c>
      <c r="B46" s="2919"/>
      <c r="C46" s="2996">
        <f>'8. Fish'!U22*'8. Fish'!$Y$102</f>
        <v>0</v>
      </c>
      <c r="D46" s="2996">
        <f>'8. Fish'!W22*'8. Fish'!$Y$102</f>
        <v>0</v>
      </c>
      <c r="E46" s="2995" t="str">
        <f>E37</f>
        <v>Linear</v>
      </c>
      <c r="F46" s="2996">
        <f>'8. Fish'!Y22*'8. Fish'!$Y$102</f>
        <v>0</v>
      </c>
      <c r="G46" s="2579" t="str">
        <f>G37</f>
        <v>Linear</v>
      </c>
      <c r="H46" s="2979">
        <f>MIN(C46,D46)*time_tot+ABS(D46-C46)*IF(D46&gt;C46,time2+time*(VLOOKUP(E46,List!$E$35:$F$37,2,)),time*(1-(VLOOKUP(E46,List!$E$35:$F$37,2,))))</f>
        <v>0</v>
      </c>
      <c r="I46" s="2979">
        <f>MIN(C46,F46)*time_tot+ABS(F46-C46)*IF(F46&gt;C46,time2+time*(VLOOKUP(G46,List!$E$35:$F$37,2,)),time*(1-(VLOOKUP(G46,List!$E$35:$F$37,2,))))</f>
        <v>0</v>
      </c>
      <c r="K46" s="2982"/>
      <c r="L46" s="2987">
        <f>MIN(C46,D46)*time+ABS(D46-C46)*IF(D46&gt;C46,time*(VLOOKUP(E46,List!$E$35:$F$37,2,)),time*(1-(VLOOKUP(E46,List!$E$35:$F$37,2,))))</f>
        <v>0</v>
      </c>
      <c r="M46" s="2987">
        <f>MIN(C46,F46)*time+ABS(F46-C46)*IF(F46&gt;C46,time*(VLOOKUP(G46,List!$E$35:$F$37,2,)),time*(1-(VLOOKUP(G46,List!$E$35:$F$37,2,))))</f>
        <v>0</v>
      </c>
    </row>
    <row r="47" spans="1:13">
      <c r="A47" s="2919"/>
      <c r="B47" s="2919"/>
      <c r="C47" s="2919"/>
      <c r="D47" s="2919"/>
      <c r="E47" s="2919"/>
      <c r="F47" s="2919"/>
      <c r="G47" s="2919"/>
      <c r="H47" s="2919"/>
      <c r="I47" s="2919"/>
      <c r="K47" s="2982"/>
      <c r="L47" s="2982"/>
      <c r="M47" s="2982"/>
    </row>
    <row r="49" spans="1:13">
      <c r="A49" s="2980" t="s">
        <v>5529</v>
      </c>
      <c r="B49" s="270"/>
      <c r="C49" s="2975" t="s">
        <v>5518</v>
      </c>
      <c r="D49" s="814"/>
      <c r="E49" s="815"/>
      <c r="F49" s="815"/>
      <c r="G49" s="816"/>
      <c r="H49" s="781" t="s">
        <v>895</v>
      </c>
      <c r="I49" s="782"/>
      <c r="J49" s="2028"/>
      <c r="K49" s="2982"/>
      <c r="L49" s="2983" t="s">
        <v>844</v>
      </c>
      <c r="M49" s="2984"/>
    </row>
    <row r="50" spans="1:13">
      <c r="A50" s="2974"/>
      <c r="B50" s="2919"/>
      <c r="C50" s="630" t="s">
        <v>340</v>
      </c>
      <c r="D50" s="2989" t="s">
        <v>673</v>
      </c>
      <c r="E50" s="2992"/>
      <c r="F50" s="2990" t="s">
        <v>672</v>
      </c>
      <c r="G50" s="2992"/>
      <c r="H50" s="3894" t="s">
        <v>342</v>
      </c>
      <c r="I50" s="3797"/>
      <c r="J50" s="2028"/>
      <c r="K50" s="2982"/>
      <c r="L50" s="2985" t="s">
        <v>674</v>
      </c>
      <c r="M50" s="2985" t="s">
        <v>675</v>
      </c>
    </row>
    <row r="51" spans="1:13">
      <c r="A51" s="2919" t="s">
        <v>5524</v>
      </c>
      <c r="B51" s="2919"/>
      <c r="C51" s="2999">
        <f>'8. Fish'!U26*'8. Fish'!$Y$107</f>
        <v>0</v>
      </c>
      <c r="D51" s="2999">
        <f>'8. Fish'!W26*'8. Fish'!$Y$107</f>
        <v>0</v>
      </c>
      <c r="E51" s="3331" t="str">
        <f>E46</f>
        <v>Linear</v>
      </c>
      <c r="F51" s="2999">
        <f>'8. Fish'!Y26*'8. Fish'!$Y$107</f>
        <v>0</v>
      </c>
      <c r="G51" s="3330" t="str">
        <f>G46</f>
        <v>Linear</v>
      </c>
      <c r="H51" s="2978">
        <f>MIN(C51,D51)*time_tot+ABS(D51-C51)*IF(D51&gt;C51,time2+time*(VLOOKUP(E51,List!$E$35:$F$37,2,)),time*(1-(VLOOKUP(E51,List!$E$35:$F$37,2,))))</f>
        <v>0</v>
      </c>
      <c r="I51" s="2978">
        <f>MIN(C51,F51)*time_tot+ABS(F51-C51)*IF(F51&gt;C51,time2+time*(VLOOKUP(G51,List!$E$35:$F$37,2,)),time*(1-(VLOOKUP(G51,List!$E$35:$F$37,2,))))</f>
        <v>0</v>
      </c>
      <c r="J51" s="2028"/>
      <c r="K51" s="2982"/>
      <c r="L51" s="3000">
        <f>MIN(C51,D51)*time+ABS(D51-C51)*IF(D51&gt;C51,time*(VLOOKUP(E51,List!$E$35:$F$37,2,)),time*(1-(VLOOKUP(E51,List!$E$35:$F$37,2,))))</f>
        <v>0</v>
      </c>
      <c r="M51" s="3000">
        <f>MIN(C51,F51)*time+ABS(F51-C51)*IF(F51&gt;C51,time*(VLOOKUP(G51,List!$E$35:$F$37,2,)),time*(1-(VLOOKUP(G51,List!$E$35:$F$37,2,))))</f>
        <v>0</v>
      </c>
    </row>
    <row r="52" spans="1:13">
      <c r="A52" s="2919"/>
      <c r="B52" s="2919"/>
      <c r="C52" s="2919"/>
      <c r="D52" s="2919"/>
      <c r="E52" s="2919"/>
      <c r="F52" s="2919"/>
      <c r="G52" s="2919"/>
      <c r="H52" s="2919"/>
      <c r="I52" s="2919"/>
      <c r="J52" s="2028"/>
      <c r="K52" s="2982"/>
      <c r="L52" s="2982"/>
      <c r="M52" s="2982"/>
    </row>
    <row r="54" spans="1:13">
      <c r="A54" s="3945" t="s">
        <v>5530</v>
      </c>
      <c r="B54" s="3946"/>
      <c r="C54" s="2975" t="s">
        <v>5518</v>
      </c>
      <c r="D54" s="814"/>
      <c r="E54" s="815"/>
      <c r="F54" s="815"/>
      <c r="G54" s="816"/>
      <c r="H54" s="781" t="s">
        <v>895</v>
      </c>
      <c r="I54" s="782"/>
      <c r="J54" s="2028"/>
      <c r="K54" s="2982"/>
      <c r="L54" s="2983" t="s">
        <v>844</v>
      </c>
      <c r="M54" s="2984"/>
    </row>
    <row r="55" spans="1:13">
      <c r="A55" s="3947"/>
      <c r="B55" s="3948"/>
      <c r="C55" s="630" t="s">
        <v>340</v>
      </c>
      <c r="D55" s="2989" t="s">
        <v>673</v>
      </c>
      <c r="E55" s="2992"/>
      <c r="F55" s="2990" t="s">
        <v>672</v>
      </c>
      <c r="G55" s="2992"/>
      <c r="H55" s="3894" t="s">
        <v>342</v>
      </c>
      <c r="I55" s="3797"/>
      <c r="J55" s="2028"/>
      <c r="K55" s="2982"/>
      <c r="L55" s="2985" t="s">
        <v>674</v>
      </c>
      <c r="M55" s="2985" t="s">
        <v>675</v>
      </c>
    </row>
    <row r="56" spans="1:13">
      <c r="A56" s="3002" t="str">
        <f>'8. Fish'!C153</f>
        <v>Production system 1</v>
      </c>
      <c r="B56" s="2919"/>
      <c r="C56" s="3003">
        <f>'8. Fish'!P40*'8. Fish'!$P153</f>
        <v>0</v>
      </c>
      <c r="D56" s="3003">
        <f>'8. Fish'!R40*'8. Fish'!$P153</f>
        <v>0</v>
      </c>
      <c r="E56" s="3001" t="str">
        <f>VLOOKUP('8. Fish'!S40,List!$D$35:$E$37,2,)</f>
        <v>Linear</v>
      </c>
      <c r="F56" s="3003">
        <f>'8. Fish'!U40*'8. Fish'!$P153</f>
        <v>0</v>
      </c>
      <c r="G56" s="2393" t="str">
        <f>VLOOKUP('8. Fish'!V40,List!$D$35:$E$37,2,)</f>
        <v>Linear</v>
      </c>
      <c r="H56" s="3004">
        <f>MIN(C56,D56)*time_tot+ABS(D56-C56)*IF(D56&gt;C56,time2+time*(VLOOKUP(E56,List!$E$35:$F$37,2,)),time*(1-(VLOOKUP(E56,List!$E$35:$F$37,2,))))</f>
        <v>0</v>
      </c>
      <c r="I56" s="3004">
        <f>MIN(C56,F56)*time_tot+ABS(F56-C56)*IF(F56&gt;C56,time2+time*(VLOOKUP(G56,List!$E$35:$F$37,2,)),time*(1-(VLOOKUP(G56,List!$E$35:$F$37,2,))))</f>
        <v>0</v>
      </c>
      <c r="J56" s="2028"/>
      <c r="K56" s="2982"/>
      <c r="L56" s="2987">
        <f>MIN(C56,D56)*time+ABS(D56-C56)*IF(D56&gt;C56,time*(VLOOKUP(E56,List!$E$35:$F$37,2,)),time*(1-(VLOOKUP(E56,List!$E$35:$F$37,2,))))</f>
        <v>0</v>
      </c>
      <c r="M56" s="2987">
        <f>MIN(C56,F56)*time+ABS(F56-C56)*IF(F56&gt;C56,time*(VLOOKUP(G56,List!$E$35:$F$37,2,)),time*(1-(VLOOKUP(G56,List!$E$35:$F$37,2,))))</f>
        <v>0</v>
      </c>
    </row>
    <row r="57" spans="1:13">
      <c r="A57" s="3002" t="str">
        <f>'8. Fish'!C154</f>
        <v>Production system 2</v>
      </c>
      <c r="B57" s="2919"/>
      <c r="C57" s="3003">
        <f>'8. Fish'!P41*'8. Fish'!$P154</f>
        <v>0</v>
      </c>
      <c r="D57" s="3003">
        <f>'8. Fish'!R41*'8. Fish'!$P154</f>
        <v>0</v>
      </c>
      <c r="E57" s="3001" t="str">
        <f>VLOOKUP('8. Fish'!S41,List!$D$35:$E$37,2,)</f>
        <v>Linear</v>
      </c>
      <c r="F57" s="3003">
        <f>'8. Fish'!U41*'8. Fish'!$P154</f>
        <v>0</v>
      </c>
      <c r="G57" s="2393" t="str">
        <f>VLOOKUP('8. Fish'!V41,List!$D$35:$E$37,2,)</f>
        <v>Linear</v>
      </c>
      <c r="H57" s="3004">
        <f>MIN(C57,D57)*time_tot+ABS(D57-C57)*IF(D57&gt;C57,time2+time*(VLOOKUP(E57,List!$E$35:$F$37,2,)),time*(1-(VLOOKUP(E57,List!$E$35:$F$37,2,))))</f>
        <v>0</v>
      </c>
      <c r="I57" s="3004">
        <f>MIN(C57,F57)*time_tot+ABS(F57-C57)*IF(F57&gt;C57,time2+time*(VLOOKUP(G57,List!$E$35:$F$37,2,)),time*(1-(VLOOKUP(G57,List!$E$35:$F$37,2,))))</f>
        <v>0</v>
      </c>
      <c r="J57" s="2028"/>
      <c r="K57" s="2982"/>
      <c r="L57" s="2987">
        <f>MIN(C57,D57)*time+ABS(D57-C57)*IF(D57&gt;C57,time*(VLOOKUP(E57,List!$E$35:$F$37,2,)),time*(1-(VLOOKUP(E57,List!$E$35:$F$37,2,))))</f>
        <v>0</v>
      </c>
      <c r="M57" s="2987">
        <f>MIN(C57,F57)*time+ABS(F57-C57)*IF(F57&gt;C57,time*(VLOOKUP(G57,List!$E$35:$F$37,2,)),time*(1-(VLOOKUP(G57,List!$E$35:$F$37,2,))))</f>
        <v>0</v>
      </c>
    </row>
    <row r="58" spans="1:13" s="2028" customFormat="1">
      <c r="A58" s="3002" t="str">
        <f>'8. Fish'!C155</f>
        <v>Production system 3</v>
      </c>
      <c r="B58" s="3281"/>
      <c r="C58" s="3003">
        <f>'8. Fish'!P42*'8. Fish'!$P155</f>
        <v>0</v>
      </c>
      <c r="D58" s="3003">
        <f>'8. Fish'!R42*'8. Fish'!$P155</f>
        <v>0</v>
      </c>
      <c r="E58" s="3001" t="str">
        <f>VLOOKUP('8. Fish'!S42,List!$D$35:$E$37,2,)</f>
        <v>Linear</v>
      </c>
      <c r="F58" s="3003">
        <f>'8. Fish'!U42*'8. Fish'!$P155</f>
        <v>0</v>
      </c>
      <c r="G58" s="2393" t="str">
        <f>VLOOKUP('8. Fish'!V42,List!$D$35:$E$37,2,)</f>
        <v>Linear</v>
      </c>
      <c r="H58" s="3004">
        <f>MIN(C58,D58)*time_tot+ABS(D58-C58)*IF(D58&gt;C58,time2+time*(VLOOKUP(E58,List!$E$35:$F$37,2,)),time*(1-(VLOOKUP(E58,List!$E$35:$F$37,2,))))</f>
        <v>0</v>
      </c>
      <c r="I58" s="3004">
        <f>MIN(C58,F58)*time_tot+ABS(F58-C58)*IF(F58&gt;C58,time2+time*(VLOOKUP(G58,List!$E$35:$F$37,2,)),time*(1-(VLOOKUP(G58,List!$E$35:$F$37,2,))))</f>
        <v>0</v>
      </c>
      <c r="K58" s="2982"/>
      <c r="L58" s="2987">
        <f>MIN(C58,D58)*time+ABS(D58-C58)*IF(D58&gt;C58,time*(VLOOKUP(E58,List!$E$35:$F$37,2,)),time*(1-(VLOOKUP(E58,List!$E$35:$F$37,2,))))</f>
        <v>0</v>
      </c>
      <c r="M58" s="2987">
        <f>MIN(C58,F58)*time+ABS(F58-C58)*IF(F58&gt;C58,time*(VLOOKUP(G58,List!$E$35:$F$37,2,)),time*(1-(VLOOKUP(G58,List!$E$35:$F$37,2,))))</f>
        <v>0</v>
      </c>
    </row>
    <row r="59" spans="1:13" s="2028" customFormat="1">
      <c r="A59" s="3002" t="str">
        <f>'8. Fish'!C156</f>
        <v>Production system 4</v>
      </c>
      <c r="B59" s="3281"/>
      <c r="C59" s="3003">
        <f>'8. Fish'!P43*'8. Fish'!$P156</f>
        <v>0</v>
      </c>
      <c r="D59" s="3003">
        <f>'8. Fish'!R43*'8. Fish'!$P156</f>
        <v>0</v>
      </c>
      <c r="E59" s="3001" t="str">
        <f>VLOOKUP('8. Fish'!S43,List!$D$35:$E$37,2,)</f>
        <v>Linear</v>
      </c>
      <c r="F59" s="3003">
        <f>'8. Fish'!U43*'8. Fish'!$P156</f>
        <v>0</v>
      </c>
      <c r="G59" s="2393" t="str">
        <f>VLOOKUP('8. Fish'!V43,List!$D$35:$E$37,2,)</f>
        <v>Linear</v>
      </c>
      <c r="H59" s="3004">
        <f>MIN(C59,D59)*time_tot+ABS(D59-C59)*IF(D59&gt;C59,time2+time*(VLOOKUP(E59,List!$E$35:$F$37,2,)),time*(1-(VLOOKUP(E59,List!$E$35:$F$37,2,))))</f>
        <v>0</v>
      </c>
      <c r="I59" s="3004">
        <f>MIN(C59,F59)*time_tot+ABS(F59-C59)*IF(F59&gt;C59,time2+time*(VLOOKUP(G59,List!$E$35:$F$37,2,)),time*(1-(VLOOKUP(G59,List!$E$35:$F$37,2,))))</f>
        <v>0</v>
      </c>
      <c r="K59" s="2982"/>
      <c r="L59" s="2987">
        <f>MIN(C59,D59)*time+ABS(D59-C59)*IF(D59&gt;C59,time*(VLOOKUP(E59,List!$E$35:$F$37,2,)),time*(1-(VLOOKUP(E59,List!$E$35:$F$37,2,))))</f>
        <v>0</v>
      </c>
      <c r="M59" s="2987">
        <f>MIN(C59,F59)*time+ABS(F59-C59)*IF(F59&gt;C59,time*(VLOOKUP(G59,List!$E$35:$F$37,2,)),time*(1-(VLOOKUP(G59,List!$E$35:$F$37,2,))))</f>
        <v>0</v>
      </c>
    </row>
    <row r="60" spans="1:13" s="2028" customFormat="1">
      <c r="A60" s="3002" t="str">
        <f>'8. Fish'!C157</f>
        <v>Production system 5</v>
      </c>
      <c r="B60" s="3281"/>
      <c r="C60" s="3003">
        <f>'8. Fish'!P44*'8. Fish'!$P157</f>
        <v>0</v>
      </c>
      <c r="D60" s="3003">
        <f>'8. Fish'!R44*'8. Fish'!$P157</f>
        <v>0</v>
      </c>
      <c r="E60" s="3001" t="str">
        <f>VLOOKUP('8. Fish'!S44,List!$D$35:$E$37,2,)</f>
        <v>Linear</v>
      </c>
      <c r="F60" s="3003">
        <f>'8. Fish'!U44*'8. Fish'!$P157</f>
        <v>0</v>
      </c>
      <c r="G60" s="2393" t="str">
        <f>VLOOKUP('8. Fish'!V44,List!$D$35:$E$37,2,)</f>
        <v>Linear</v>
      </c>
      <c r="H60" s="3004">
        <f>MIN(C60,D60)*time_tot+ABS(D60-C60)*IF(D60&gt;C60,time2+time*(VLOOKUP(E60,List!$E$35:$F$37,2,)),time*(1-(VLOOKUP(E60,List!$E$35:$F$37,2,))))</f>
        <v>0</v>
      </c>
      <c r="I60" s="3004">
        <f>MIN(C60,F60)*time_tot+ABS(F60-C60)*IF(F60&gt;C60,time2+time*(VLOOKUP(G60,List!$E$35:$F$37,2,)),time*(1-(VLOOKUP(G60,List!$E$35:$F$37,2,))))</f>
        <v>0</v>
      </c>
      <c r="K60" s="2982"/>
      <c r="L60" s="2987">
        <f>MIN(C60,D60)*time+ABS(D60-C60)*IF(D60&gt;C60,time*(VLOOKUP(E60,List!$E$35:$F$37,2,)),time*(1-(VLOOKUP(E60,List!$E$35:$F$37,2,))))</f>
        <v>0</v>
      </c>
      <c r="M60" s="2987">
        <f>MIN(C60,F60)*time+ABS(F60-C60)*IF(F60&gt;C60,time*(VLOOKUP(G60,List!$E$35:$F$37,2,)),time*(1-(VLOOKUP(G60,List!$E$35:$F$37,2,))))</f>
        <v>0</v>
      </c>
    </row>
    <row r="61" spans="1:13" s="2028" customFormat="1">
      <c r="A61" s="3002"/>
      <c r="B61" s="3281"/>
      <c r="C61" s="3281"/>
      <c r="D61" s="3281"/>
      <c r="E61" s="3281"/>
      <c r="F61" s="3281"/>
      <c r="G61" s="3281"/>
      <c r="H61" s="3281"/>
      <c r="I61" s="3281"/>
      <c r="K61" s="2982"/>
      <c r="L61" s="2982"/>
      <c r="M61" s="2982"/>
    </row>
    <row r="62" spans="1:13" s="2028" customFormat="1">
      <c r="A62" s="3281"/>
      <c r="B62" s="3281"/>
      <c r="C62" s="2975" t="s">
        <v>5518</v>
      </c>
      <c r="D62" s="3281"/>
      <c r="E62" s="3281"/>
      <c r="F62" s="3281"/>
      <c r="G62" s="3281"/>
      <c r="H62" s="781" t="s">
        <v>895</v>
      </c>
      <c r="I62" s="3281"/>
      <c r="K62" s="2982"/>
      <c r="L62" s="2983" t="s">
        <v>844</v>
      </c>
      <c r="M62" s="2984"/>
    </row>
    <row r="63" spans="1:13" s="2028" customFormat="1">
      <c r="A63" s="3002" t="s">
        <v>6484</v>
      </c>
      <c r="B63" s="3281"/>
      <c r="C63" s="630" t="s">
        <v>340</v>
      </c>
      <c r="D63" s="2989" t="s">
        <v>673</v>
      </c>
      <c r="E63" s="2992"/>
      <c r="F63" s="2990" t="s">
        <v>672</v>
      </c>
      <c r="G63" s="2992"/>
      <c r="H63" s="3894" t="s">
        <v>342</v>
      </c>
      <c r="I63" s="3797"/>
      <c r="K63" s="2982"/>
      <c r="L63" s="2985" t="s">
        <v>674</v>
      </c>
      <c r="M63" s="2985" t="s">
        <v>675</v>
      </c>
    </row>
    <row r="64" spans="1:13" s="2028" customFormat="1">
      <c r="A64" s="3281" t="str">
        <f>A56</f>
        <v>Production system 1</v>
      </c>
      <c r="B64" s="3281"/>
      <c r="C64" s="3281">
        <f>IF('8. Fish'!$J161&lt;&gt;"",'8. Fish'!$J161,'8. Fish'!$H161)*'8. Fish'!P48</f>
        <v>0</v>
      </c>
      <c r="D64" s="3285">
        <f>IF('8. Fish'!$J161&lt;&gt;"",'8. Fish'!$J161,'8. Fish'!$H161)*'8. Fish'!R48</f>
        <v>0</v>
      </c>
      <c r="E64" s="3001" t="str">
        <f>VLOOKUP('8. Fish'!S48,List!$D$35:$E$37,2,)</f>
        <v>Linear</v>
      </c>
      <c r="F64" s="3285">
        <f>IF('8. Fish'!$J161&lt;&gt;"",'8. Fish'!$J161,'8. Fish'!$H161)*'8. Fish'!U48</f>
        <v>0</v>
      </c>
      <c r="G64" s="2393" t="str">
        <f>VLOOKUP('8. Fish'!V48,List!$D$35:$E$37,2,)</f>
        <v>Linear</v>
      </c>
      <c r="H64" s="3004">
        <f>MIN(C64,D64)*time_tot+ABS(D64-C64)*IF(D64&gt;C64,time2+time*(VLOOKUP(E64,List!$E$35:$F$37,2,)),time*(1-(VLOOKUP(E64,List!$E$35:$F$37,2,))))</f>
        <v>0</v>
      </c>
      <c r="I64" s="3004">
        <f>MIN(C64,F64)*time_tot+ABS(F64-C64)*IF(F64&gt;C64,time2+time*(VLOOKUP(G64,List!$E$35:$F$37,2,)),time*(1-(VLOOKUP(G64,List!$E$35:$F$37,2,))))</f>
        <v>0</v>
      </c>
      <c r="K64" s="2982"/>
      <c r="L64" s="2987">
        <f>MIN(C64,D64)*time+ABS(D64-C64)*IF(D64&gt;C64,time*(VLOOKUP(E64,List!$E$35:$F$37,2,)),time*(1-(VLOOKUP(E64,List!$E$35:$F$37,2,))))</f>
        <v>0</v>
      </c>
      <c r="M64" s="2987">
        <f>MIN(C64,F64)*time+ABS(F64-C64)*IF(F64&gt;C64,time*(VLOOKUP(G64,List!$E$35:$F$37,2,)),time*(1-(VLOOKUP(G64,List!$E$35:$F$37,2,))))</f>
        <v>0</v>
      </c>
    </row>
    <row r="65" spans="1:17" s="2028" customFormat="1">
      <c r="A65" s="3285" t="str">
        <f t="shared" ref="A65:A68" si="3">A57</f>
        <v>Production system 2</v>
      </c>
      <c r="B65" s="3281"/>
      <c r="C65" s="3285">
        <f>IF('8. Fish'!$J162&lt;&gt;"",'8. Fish'!$J162,'8. Fish'!$H162)*'8. Fish'!P49</f>
        <v>0</v>
      </c>
      <c r="D65" s="3285">
        <f>IF('8. Fish'!$J162&lt;&gt;"",'8. Fish'!$J162,'8. Fish'!$H162)*'8. Fish'!R49</f>
        <v>0</v>
      </c>
      <c r="E65" s="3001" t="str">
        <f>VLOOKUP('8. Fish'!S49,List!$D$35:$E$37,2,)</f>
        <v>Linear</v>
      </c>
      <c r="F65" s="3285">
        <f>IF('8. Fish'!$J162&lt;&gt;"",'8. Fish'!$J162,'8. Fish'!$H162)*'8. Fish'!U49</f>
        <v>0</v>
      </c>
      <c r="G65" s="2393" t="str">
        <f>VLOOKUP('8. Fish'!V49,List!$D$35:$E$37,2,)</f>
        <v>Linear</v>
      </c>
      <c r="H65" s="3004">
        <f>MIN(C65,D65)*time_tot+ABS(D65-C65)*IF(D65&gt;C65,time2+time*(VLOOKUP(E65,List!$E$35:$F$37,2,)),time*(1-(VLOOKUP(E65,List!$E$35:$F$37,2,))))</f>
        <v>0</v>
      </c>
      <c r="I65" s="3004">
        <f>MIN(C65,F65)*time_tot+ABS(F65-C65)*IF(F65&gt;C65,time2+time*(VLOOKUP(G65,List!$E$35:$F$37,2,)),time*(1-(VLOOKUP(G65,List!$E$35:$F$37,2,))))</f>
        <v>0</v>
      </c>
      <c r="K65" s="2982"/>
      <c r="L65" s="2987" t="s">
        <v>6486</v>
      </c>
      <c r="M65" s="2987">
        <f>MIN(C65,F65)*time+ABS(F65-C65)*IF(F65&gt;C65,time*(VLOOKUP(G65,List!$E$35:$F$37,2,)),time*(1-(VLOOKUP(G65,List!$E$35:$F$37,2,))))</f>
        <v>0</v>
      </c>
    </row>
    <row r="66" spans="1:17" s="2028" customFormat="1">
      <c r="A66" s="3285" t="str">
        <f t="shared" si="3"/>
        <v>Production system 3</v>
      </c>
      <c r="B66" s="3281"/>
      <c r="C66" s="3285">
        <f>IF('8. Fish'!$J163&lt;&gt;"",'8. Fish'!$J163,'8. Fish'!$H163)*'8. Fish'!P50</f>
        <v>0</v>
      </c>
      <c r="D66" s="3285">
        <f>IF('8. Fish'!$J163&lt;&gt;"",'8. Fish'!$J163,'8. Fish'!$H163)*'8. Fish'!R50</f>
        <v>0</v>
      </c>
      <c r="E66" s="3001" t="str">
        <f>VLOOKUP('8. Fish'!S50,List!$D$35:$E$37,2,)</f>
        <v>Linear</v>
      </c>
      <c r="F66" s="3285">
        <f>IF('8. Fish'!$J163&lt;&gt;"",'8. Fish'!$J163,'8. Fish'!$H163)*'8. Fish'!U50</f>
        <v>0</v>
      </c>
      <c r="G66" s="2393" t="str">
        <f>VLOOKUP('8. Fish'!V50,List!$D$35:$E$37,2,)</f>
        <v>Linear</v>
      </c>
      <c r="H66" s="3004">
        <f>MIN(C66,D66)*time_tot+ABS(D66-C66)*IF(D66&gt;C66,time2+time*(VLOOKUP(E66,List!$E$35:$F$37,2,)),time*(1-(VLOOKUP(E66,List!$E$35:$F$37,2,))))</f>
        <v>0</v>
      </c>
      <c r="I66" s="3004">
        <f>MIN(C66,F66)*time_tot+ABS(F66-C66)*IF(F66&gt;C66,time2+time*(VLOOKUP(G66,List!$E$35:$F$37,2,)),time*(1-(VLOOKUP(G66,List!$E$35:$F$37,2,))))</f>
        <v>0</v>
      </c>
      <c r="K66" s="2982"/>
      <c r="L66" s="2987">
        <f>MIN(C66,D66)*time+ABS(D66-C66)*IF(D66&gt;C66,time*(VLOOKUP(E66,List!$E$35:$F$37,2,)),time*(1-(VLOOKUP(E66,List!$E$35:$F$37,2,))))</f>
        <v>0</v>
      </c>
      <c r="M66" s="2987">
        <f>MIN(C66,F66)*time+ABS(F66-C66)*IF(F66&gt;C66,time*(VLOOKUP(G66,List!$E$35:$F$37,2,)),time*(1-(VLOOKUP(G66,List!$E$35:$F$37,2,))))</f>
        <v>0</v>
      </c>
    </row>
    <row r="67" spans="1:17" s="2028" customFormat="1">
      <c r="A67" s="3285" t="str">
        <f t="shared" si="3"/>
        <v>Production system 4</v>
      </c>
      <c r="B67" s="3281"/>
      <c r="C67" s="3285">
        <f>IF('8. Fish'!$J164&lt;&gt;"",'8. Fish'!$J164,'8. Fish'!$H164)*'8. Fish'!P51</f>
        <v>0</v>
      </c>
      <c r="D67" s="3285">
        <f>IF('8. Fish'!$J164&lt;&gt;"",'8. Fish'!$J164,'8. Fish'!$H164)*'8. Fish'!R51</f>
        <v>0</v>
      </c>
      <c r="E67" s="3001" t="str">
        <f>VLOOKUP('8. Fish'!S51,List!$D$35:$E$37,2,)</f>
        <v>Linear</v>
      </c>
      <c r="F67" s="3285">
        <f>IF('8. Fish'!$J164&lt;&gt;"",'8. Fish'!$J164,'8. Fish'!$H164)*'8. Fish'!U51</f>
        <v>0</v>
      </c>
      <c r="G67" s="2393" t="str">
        <f>VLOOKUP('8. Fish'!V51,List!$D$35:$E$37,2,)</f>
        <v>Linear</v>
      </c>
      <c r="H67" s="3004">
        <f>MIN(C67,D67)*time_tot+ABS(D67-C67)*IF(D67&gt;C67,time2+time*(VLOOKUP(E67,List!$E$35:$F$37,2,)),time*(1-(VLOOKUP(E67,List!$E$35:$F$37,2,))))</f>
        <v>0</v>
      </c>
      <c r="I67" s="3004">
        <f>MIN(C67,F67)*time_tot+ABS(F67-C67)*IF(F67&gt;C67,time2+time*(VLOOKUP(G67,List!$E$35:$F$37,2,)),time*(1-(VLOOKUP(G67,List!$E$35:$F$37,2,))))</f>
        <v>0</v>
      </c>
      <c r="K67" s="2982"/>
      <c r="L67" s="2987">
        <f>MIN(C67,D67)*time+ABS(D67-C67)*IF(D67&gt;C67,time*(VLOOKUP(E67,List!$E$35:$F$37,2,)),time*(1-(VLOOKUP(E67,List!$E$35:$F$37,2,))))</f>
        <v>0</v>
      </c>
      <c r="M67" s="2987">
        <f>MIN(C67,F67)*time+ABS(F67-C67)*IF(F67&gt;C67,time*(VLOOKUP(G67,List!$E$35:$F$37,2,)),time*(1-(VLOOKUP(G67,List!$E$35:$F$37,2,))))</f>
        <v>0</v>
      </c>
    </row>
    <row r="68" spans="1:17" s="2028" customFormat="1">
      <c r="A68" s="3285" t="str">
        <f t="shared" si="3"/>
        <v>Production system 5</v>
      </c>
      <c r="B68" s="3281"/>
      <c r="C68" s="3285">
        <f>IF('8. Fish'!$J165&lt;&gt;"",'8. Fish'!$J165,'8. Fish'!$H165)*'8. Fish'!P52</f>
        <v>0</v>
      </c>
      <c r="D68" s="3285">
        <f>IF('8. Fish'!$J165&lt;&gt;"",'8. Fish'!$J165,'8. Fish'!$H165)*'8. Fish'!R52</f>
        <v>0</v>
      </c>
      <c r="E68" s="3001" t="str">
        <f>VLOOKUP('8. Fish'!S52,List!$D$35:$E$37,2,)</f>
        <v>Linear</v>
      </c>
      <c r="F68" s="3285">
        <f>IF('8. Fish'!$J165&lt;&gt;"",'8. Fish'!$J165,'8. Fish'!$H165)*'8. Fish'!U52</f>
        <v>0</v>
      </c>
      <c r="G68" s="2393" t="str">
        <f>VLOOKUP('8. Fish'!V52,List!$D$35:$E$37,2,)</f>
        <v>Linear</v>
      </c>
      <c r="H68" s="3004">
        <f>MIN(C68,D68)*time_tot+ABS(D68-C68)*IF(D68&gt;C68,time2+time*(VLOOKUP(E68,List!$E$35:$F$37,2,)),time*(1-(VLOOKUP(E68,List!$E$35:$F$37,2,))))</f>
        <v>0</v>
      </c>
      <c r="I68" s="3004">
        <f>MIN(C68,F68)*time_tot+ABS(F68-C68)*IF(F68&gt;C68,time2+time*(VLOOKUP(G68,List!$E$35:$F$37,2,)),time*(1-(VLOOKUP(G68,List!$E$35:$F$37,2,))))</f>
        <v>0</v>
      </c>
      <c r="K68" s="2982"/>
      <c r="L68" s="2987">
        <f>MIN(C68,D68)*time+ABS(D68-C68)*IF(D68&gt;C68,time*(VLOOKUP(E68,List!$E$35:$F$37,2,)),time*(1-(VLOOKUP(E68,List!$E$35:$F$37,2,))))</f>
        <v>0</v>
      </c>
      <c r="M68" s="2987">
        <f>MIN(C68,F68)*time+ABS(F68-C68)*IF(F68&gt;C68,time*(VLOOKUP(G68,List!$E$35:$F$37,2,)),time*(1-(VLOOKUP(G68,List!$E$35:$F$37,2,))))</f>
        <v>0</v>
      </c>
    </row>
    <row r="69" spans="1:17" s="2028" customFormat="1">
      <c r="A69" s="3281"/>
      <c r="B69" s="3281"/>
      <c r="C69" s="3281"/>
      <c r="D69" s="3281"/>
      <c r="E69" s="3281"/>
      <c r="F69" s="3281"/>
      <c r="G69" s="3281"/>
      <c r="H69" s="3281"/>
      <c r="I69" s="3281"/>
      <c r="K69" s="2982"/>
      <c r="L69" s="2982"/>
      <c r="M69" s="2982"/>
    </row>
    <row r="70" spans="1:17" s="2028" customFormat="1">
      <c r="A70" s="3281"/>
      <c r="B70" s="3281"/>
      <c r="C70" s="3281"/>
      <c r="D70" s="3281"/>
      <c r="E70" s="3281"/>
      <c r="F70" s="3281"/>
      <c r="G70" s="3281"/>
      <c r="H70" s="3281"/>
      <c r="I70" s="3281"/>
      <c r="K70" s="2982"/>
      <c r="L70" s="2982"/>
      <c r="M70" s="2982"/>
    </row>
    <row r="71" spans="1:17">
      <c r="L71" s="2983" t="s">
        <v>844</v>
      </c>
      <c r="M71" s="2984"/>
    </row>
    <row r="72" spans="1:17">
      <c r="H72" s="2579" t="s">
        <v>2517</v>
      </c>
      <c r="I72" s="2579" t="s">
        <v>675</v>
      </c>
      <c r="J72" s="2579" t="s">
        <v>1294</v>
      </c>
      <c r="L72" s="2985" t="s">
        <v>674</v>
      </c>
      <c r="M72" s="2985" t="s">
        <v>675</v>
      </c>
      <c r="O72" s="2579" t="s">
        <v>1294</v>
      </c>
    </row>
    <row r="73" spans="1:17">
      <c r="G73" s="2579" t="s">
        <v>331</v>
      </c>
      <c r="H73" s="2994">
        <f>H42+H46+H51+SUM(H64:H68)</f>
        <v>0</v>
      </c>
      <c r="I73" s="2994">
        <f>I42+I46+I51+SUM(I64:I68)</f>
        <v>0</v>
      </c>
      <c r="J73" s="2994">
        <f>I73-H73</f>
        <v>0</v>
      </c>
      <c r="L73" s="2994">
        <f>L42+L46+L51+SUM(L64:L68)</f>
        <v>0</v>
      </c>
      <c r="M73" s="2994">
        <f>M42+M46+M51+SUM(M64:M68)</f>
        <v>0</v>
      </c>
      <c r="O73" s="2994">
        <f>M73-L73</f>
        <v>0</v>
      </c>
    </row>
    <row r="74" spans="1:17">
      <c r="G74" s="2579" t="s">
        <v>333</v>
      </c>
      <c r="H74" s="2945">
        <f>SUM(H56:H60)</f>
        <v>0</v>
      </c>
      <c r="I74" s="2945">
        <f>SUM(I56:I60)</f>
        <v>0</v>
      </c>
      <c r="J74" s="2994">
        <f>I74-H74</f>
        <v>0</v>
      </c>
      <c r="L74" s="2945">
        <f>SUM(L56:L60)</f>
        <v>0</v>
      </c>
      <c r="M74" s="2945">
        <f>SUM(M56:M60)</f>
        <v>0</v>
      </c>
      <c r="O74" s="2994">
        <f>M74-L74</f>
        <v>0</v>
      </c>
    </row>
    <row r="78" spans="1:17" s="2007" customFormat="1">
      <c r="A78" s="2049" t="s">
        <v>6488</v>
      </c>
      <c r="D78" s="3431" t="s">
        <v>6487</v>
      </c>
    </row>
    <row r="79" spans="1:17" s="2007" customFormat="1">
      <c r="A79" s="2049" t="s">
        <v>8904</v>
      </c>
      <c r="P79" s="3949" t="s">
        <v>7190</v>
      </c>
      <c r="Q79" s="3949"/>
    </row>
    <row r="80" spans="1:17" s="2007" customFormat="1">
      <c r="A80" s="2771"/>
      <c r="B80" s="3949" t="s">
        <v>7193</v>
      </c>
      <c r="C80" s="3949"/>
      <c r="D80" s="3949" t="s">
        <v>7194</v>
      </c>
      <c r="E80" s="3949"/>
      <c r="F80" s="3949" t="s">
        <v>7205</v>
      </c>
      <c r="G80" s="3949"/>
      <c r="H80" s="3949" t="s">
        <v>7195</v>
      </c>
      <c r="I80" s="3949"/>
      <c r="J80" s="3949" t="s">
        <v>7196</v>
      </c>
      <c r="K80" s="3949"/>
      <c r="L80" s="3949" t="s">
        <v>7197</v>
      </c>
      <c r="M80" s="3949"/>
      <c r="N80" s="3949" t="s">
        <v>7198</v>
      </c>
      <c r="O80" s="3949"/>
      <c r="P80" s="3949" t="s">
        <v>6</v>
      </c>
      <c r="Q80" s="3949"/>
    </row>
    <row r="81" spans="1:17" s="2007" customFormat="1">
      <c r="A81" s="2771"/>
      <c r="B81" s="2051" t="s">
        <v>5508</v>
      </c>
      <c r="C81" s="2051" t="s">
        <v>1648</v>
      </c>
      <c r="D81" s="2051" t="s">
        <v>5508</v>
      </c>
      <c r="E81" s="2051" t="s">
        <v>1648</v>
      </c>
      <c r="F81" s="2051" t="s">
        <v>5508</v>
      </c>
      <c r="G81" s="2051" t="s">
        <v>1648</v>
      </c>
      <c r="H81" s="2051" t="s">
        <v>5508</v>
      </c>
      <c r="I81" s="2051" t="s">
        <v>1648</v>
      </c>
      <c r="J81" s="2051" t="s">
        <v>5508</v>
      </c>
      <c r="K81" s="2051" t="s">
        <v>1648</v>
      </c>
      <c r="L81" s="2051" t="s">
        <v>5508</v>
      </c>
      <c r="M81" s="2051" t="s">
        <v>1648</v>
      </c>
      <c r="N81" s="2051" t="s">
        <v>5508</v>
      </c>
      <c r="O81" s="2051" t="s">
        <v>1648</v>
      </c>
      <c r="P81" s="2051" t="s">
        <v>5508</v>
      </c>
      <c r="Q81" s="2051" t="s">
        <v>1648</v>
      </c>
    </row>
    <row r="82" spans="1:17" s="2007" customFormat="1">
      <c r="A82" s="2051" t="str">
        <f>A22</f>
        <v>Crustaceans</v>
      </c>
      <c r="B82" s="2771">
        <v>218</v>
      </c>
      <c r="C82" s="3432">
        <v>3399.4633027522937</v>
      </c>
      <c r="D82" s="2771">
        <v>1</v>
      </c>
      <c r="E82" s="3432">
        <v>630</v>
      </c>
      <c r="F82" s="2771">
        <v>2</v>
      </c>
      <c r="G82" s="3432">
        <v>1031</v>
      </c>
      <c r="H82" s="2771">
        <v>4</v>
      </c>
      <c r="I82" s="3432">
        <v>857</v>
      </c>
      <c r="J82" s="2771">
        <v>64</v>
      </c>
      <c r="K82" s="3432">
        <v>3290.3125</v>
      </c>
      <c r="L82" s="2771"/>
      <c r="M82" s="3432"/>
      <c r="N82" s="2771"/>
      <c r="O82" s="3432"/>
      <c r="P82" s="2051">
        <f t="shared" ref="P82:P89" si="4">N82+L82+J82+H82+F82+D82+B82</f>
        <v>289</v>
      </c>
      <c r="Q82" s="3433">
        <f t="shared" ref="Q82:Q89" si="5">(C82*B82+E82*D82+G82*F82+I82*H82+K82*J82+M82*L82+O82*N82)/P82</f>
        <v>3314.128027681661</v>
      </c>
    </row>
    <row r="83" spans="1:17" s="2007" customFormat="1">
      <c r="A83" s="2051" t="str">
        <f t="shared" ref="A83:A88" si="6">A23</f>
        <v>Finfish</v>
      </c>
      <c r="B83" s="2771">
        <v>76</v>
      </c>
      <c r="C83" s="3432">
        <v>733.18421052631584</v>
      </c>
      <c r="D83" s="2771">
        <v>45</v>
      </c>
      <c r="E83" s="3432">
        <v>642.79999999999995</v>
      </c>
      <c r="F83" s="2771">
        <v>50</v>
      </c>
      <c r="G83" s="3432">
        <v>847.2</v>
      </c>
      <c r="H83" s="2771">
        <v>50</v>
      </c>
      <c r="I83" s="3432">
        <v>608.32000000000005</v>
      </c>
      <c r="J83" s="2771"/>
      <c r="K83" s="3432"/>
      <c r="L83" s="3432">
        <v>33</v>
      </c>
      <c r="M83" s="3432">
        <v>384.18181818181819</v>
      </c>
      <c r="N83" s="2771">
        <v>1</v>
      </c>
      <c r="O83" s="3432">
        <v>445</v>
      </c>
      <c r="P83" s="2051">
        <f t="shared" si="4"/>
        <v>255</v>
      </c>
      <c r="Q83" s="3433">
        <f t="shared" si="5"/>
        <v>668.8117647058823</v>
      </c>
    </row>
    <row r="84" spans="1:17" s="2007" customFormat="1">
      <c r="A84" s="2051" t="str">
        <f t="shared" si="6"/>
        <v>Flatfish</v>
      </c>
      <c r="B84" s="2771">
        <v>36</v>
      </c>
      <c r="C84" s="3432">
        <v>2639.8055555555557</v>
      </c>
      <c r="D84" s="2771">
        <v>4</v>
      </c>
      <c r="E84" s="3432">
        <v>537.25</v>
      </c>
      <c r="F84" s="2771">
        <v>1</v>
      </c>
      <c r="G84" s="3432">
        <v>570</v>
      </c>
      <c r="H84" s="2771">
        <v>4</v>
      </c>
      <c r="I84" s="3432">
        <v>1086</v>
      </c>
      <c r="J84" s="2771"/>
      <c r="K84" s="3432"/>
      <c r="L84" s="3432">
        <v>1</v>
      </c>
      <c r="M84" s="3432">
        <v>380</v>
      </c>
      <c r="N84" s="2771"/>
      <c r="O84" s="3432"/>
      <c r="P84" s="2051">
        <f t="shared" si="4"/>
        <v>46</v>
      </c>
      <c r="Q84" s="3433">
        <f t="shared" si="5"/>
        <v>2227.7391304347825</v>
      </c>
    </row>
    <row r="85" spans="1:17" s="2007" customFormat="1">
      <c r="A85" s="2051" t="str">
        <f t="shared" si="6"/>
        <v>Large pelagics</v>
      </c>
      <c r="B85" s="2771">
        <v>1</v>
      </c>
      <c r="C85" s="3432">
        <v>824</v>
      </c>
      <c r="D85" s="2771">
        <v>11</v>
      </c>
      <c r="E85" s="3432">
        <v>694.63636363636363</v>
      </c>
      <c r="F85" s="2771">
        <v>39</v>
      </c>
      <c r="G85" s="3432">
        <v>1697.8205128205129</v>
      </c>
      <c r="H85" s="2771">
        <v>6</v>
      </c>
      <c r="I85" s="3432">
        <v>627</v>
      </c>
      <c r="J85" s="2771"/>
      <c r="K85" s="3432"/>
      <c r="L85" s="3432">
        <v>6</v>
      </c>
      <c r="M85" s="3432">
        <v>308</v>
      </c>
      <c r="N85" s="2771"/>
      <c r="O85" s="3432"/>
      <c r="P85" s="2051">
        <f t="shared" si="4"/>
        <v>63</v>
      </c>
      <c r="Q85" s="3433">
        <f t="shared" si="5"/>
        <v>1274.4444444444443</v>
      </c>
    </row>
    <row r="86" spans="1:17" s="2007" customFormat="1">
      <c r="A86" s="2051" t="str">
        <f t="shared" si="6"/>
        <v>Molluscs</v>
      </c>
      <c r="B86" s="2771">
        <v>10</v>
      </c>
      <c r="C86" s="3432">
        <v>2057.6999999999998</v>
      </c>
      <c r="D86" s="2771">
        <v>1</v>
      </c>
      <c r="E86" s="3432">
        <v>2162</v>
      </c>
      <c r="F86" s="2771"/>
      <c r="G86" s="3432"/>
      <c r="H86" s="2771">
        <v>2</v>
      </c>
      <c r="I86" s="3432">
        <v>1097</v>
      </c>
      <c r="J86" s="2771">
        <v>7</v>
      </c>
      <c r="K86" s="3432">
        <v>513</v>
      </c>
      <c r="L86" s="2771"/>
      <c r="M86" s="3432"/>
      <c r="N86" s="2771">
        <v>49</v>
      </c>
      <c r="O86" s="3432">
        <v>501.53061224489795</v>
      </c>
      <c r="P86" s="2051">
        <f t="shared" si="4"/>
        <v>69</v>
      </c>
      <c r="Q86" s="3433">
        <f t="shared" si="5"/>
        <v>769.55072463768113</v>
      </c>
    </row>
    <row r="87" spans="1:17" s="2007" customFormat="1">
      <c r="A87" s="2051" t="str">
        <f>A27</f>
        <v>Salmonids</v>
      </c>
      <c r="B87" s="2771"/>
      <c r="C87" s="3432"/>
      <c r="D87" s="2771">
        <v>2</v>
      </c>
      <c r="E87" s="3432">
        <v>886</v>
      </c>
      <c r="F87" s="2771">
        <v>2</v>
      </c>
      <c r="G87" s="3432">
        <v>835</v>
      </c>
      <c r="H87" s="2771"/>
      <c r="I87" s="3432"/>
      <c r="J87" s="2771"/>
      <c r="K87" s="3432"/>
      <c r="L87" s="3432">
        <v>3</v>
      </c>
      <c r="M87" s="3432">
        <v>291</v>
      </c>
      <c r="N87" s="2771"/>
      <c r="O87" s="3432"/>
      <c r="P87" s="2051">
        <f t="shared" si="4"/>
        <v>7</v>
      </c>
      <c r="Q87" s="3433">
        <f t="shared" si="5"/>
        <v>616.42857142857144</v>
      </c>
    </row>
    <row r="88" spans="1:17" s="2007" customFormat="1">
      <c r="A88" s="2051" t="str">
        <f t="shared" si="6"/>
        <v>Small pelagics</v>
      </c>
      <c r="B88" s="2771">
        <v>6</v>
      </c>
      <c r="C88" s="3432">
        <v>338.83333333333331</v>
      </c>
      <c r="D88" s="2771">
        <v>1</v>
      </c>
      <c r="E88" s="3432">
        <v>602</v>
      </c>
      <c r="F88" s="2771">
        <v>2</v>
      </c>
      <c r="G88" s="3432">
        <v>323</v>
      </c>
      <c r="H88" s="2771">
        <v>41</v>
      </c>
      <c r="I88" s="3432">
        <v>169.46341463414635</v>
      </c>
      <c r="J88" s="2771"/>
      <c r="K88" s="3432"/>
      <c r="L88" s="3432">
        <v>83</v>
      </c>
      <c r="M88" s="3432">
        <v>70.92771084337349</v>
      </c>
      <c r="N88" s="2771"/>
      <c r="O88" s="3432"/>
      <c r="P88" s="2051">
        <f t="shared" si="4"/>
        <v>133</v>
      </c>
      <c r="Q88" s="3433">
        <f t="shared" si="5"/>
        <v>121.17293233082707</v>
      </c>
    </row>
    <row r="89" spans="1:17" s="2007" customFormat="1">
      <c r="A89" s="2051" t="str">
        <f>A29</f>
        <v>Not Specified</v>
      </c>
      <c r="B89" s="3433">
        <f>SUM(B82:B88)</f>
        <v>347</v>
      </c>
      <c r="C89" s="3433">
        <f>(C82*B82+C83*B83+C84*B84+C85*B85+C86*B86+C87*B87+C88*B88)/B89</f>
        <v>2637.6714697406342</v>
      </c>
      <c r="D89" s="3433">
        <f>SUM(D82:D88)</f>
        <v>65</v>
      </c>
      <c r="E89" s="3433">
        <f>(E82*D82+E83*D83+E84*D84+E85*D85+E86*D86+E87*D87+E88*D88)/D89</f>
        <v>675.10769230769233</v>
      </c>
      <c r="F89" s="3433">
        <f>SUM(F82:F88)</f>
        <v>96</v>
      </c>
      <c r="G89" s="3433">
        <f>(G82*F82+G83*F83+G84*F84+G85*F85+G86*F86+G87*F87+G88*F88)/F89</f>
        <v>1182.53125</v>
      </c>
      <c r="H89" s="3433">
        <f>SUM(H82:H88)</f>
        <v>107</v>
      </c>
      <c r="I89" s="3433">
        <f>(I82*H82+I83*H83+I84*H84+I85*H85+I86*H86+I87*H87+I88*H88)/H89</f>
        <v>477.49532710280374</v>
      </c>
      <c r="J89" s="3433">
        <f>SUM(J82:J88)</f>
        <v>71</v>
      </c>
      <c r="K89" s="3433">
        <f>(K82*J82+K83*J83+K84*J84+K85*J85+K86*J86+K87*J87+K88*J88)/J89</f>
        <v>3016.4929577464791</v>
      </c>
      <c r="L89" s="3433">
        <f>SUM(L82:L88)</f>
        <v>126</v>
      </c>
      <c r="M89" s="3433">
        <f>(M82*L82+M83*L83+M84*L84+M85*L85+M86*L86+M87*L87+M88*L88)/L89</f>
        <v>171.95238095238096</v>
      </c>
      <c r="N89" s="3433">
        <f>SUM(N82:N88)</f>
        <v>50</v>
      </c>
      <c r="O89" s="3433">
        <f>(O82*N82+O83*N83+O84*N84+O85*N85+O86*N86+O87*N87+O88*N88)/N89</f>
        <v>500.4</v>
      </c>
      <c r="P89" s="2051">
        <f t="shared" si="4"/>
        <v>862</v>
      </c>
      <c r="Q89" s="3433">
        <f t="shared" si="5"/>
        <v>1606.2946635730859</v>
      </c>
    </row>
    <row r="92" spans="1:17">
      <c r="A92" s="2051" t="s">
        <v>7192</v>
      </c>
      <c r="D92" t="s">
        <v>5515</v>
      </c>
    </row>
    <row r="93" spans="1:17">
      <c r="A93" t="str">
        <f>B80</f>
        <v>Bottom trawls</v>
      </c>
      <c r="B93">
        <v>3</v>
      </c>
      <c r="D93" t="s">
        <v>7200</v>
      </c>
    </row>
    <row r="94" spans="1:17">
      <c r="A94" t="str">
        <f>D80</f>
        <v>Gillnets</v>
      </c>
      <c r="B94">
        <v>5</v>
      </c>
      <c r="D94" t="s">
        <v>7201</v>
      </c>
    </row>
    <row r="95" spans="1:17">
      <c r="A95" t="str">
        <f>F80</f>
        <v>Hooks and lines</v>
      </c>
      <c r="B95">
        <v>7</v>
      </c>
    </row>
    <row r="96" spans="1:17">
      <c r="A96" t="str">
        <f>H80</f>
        <v>Pelagic trawls</v>
      </c>
      <c r="B96">
        <v>9</v>
      </c>
    </row>
    <row r="97" spans="1:2">
      <c r="A97" t="str">
        <f>J80</f>
        <v>Pots and traps</v>
      </c>
      <c r="B97">
        <v>11</v>
      </c>
    </row>
    <row r="98" spans="1:2">
      <c r="A98" t="str">
        <f>L80</f>
        <v>Surrounding nets</v>
      </c>
      <c r="B98">
        <v>13</v>
      </c>
    </row>
    <row r="99" spans="1:2">
      <c r="A99" t="str">
        <f>N80</f>
        <v>Dredges</v>
      </c>
      <c r="B99">
        <v>15</v>
      </c>
    </row>
    <row r="100" spans="1:2">
      <c r="A100" t="str">
        <f>P80</f>
        <v>Not specified</v>
      </c>
      <c r="B100">
        <v>17</v>
      </c>
    </row>
  </sheetData>
  <mergeCells count="15">
    <mergeCell ref="L80:M80"/>
    <mergeCell ref="N80:O80"/>
    <mergeCell ref="P80:Q80"/>
    <mergeCell ref="P79:Q79"/>
    <mergeCell ref="B80:C80"/>
    <mergeCell ref="D80:E80"/>
    <mergeCell ref="F80:G80"/>
    <mergeCell ref="H80:I80"/>
    <mergeCell ref="J80:K80"/>
    <mergeCell ref="A54:B55"/>
    <mergeCell ref="H35:I35"/>
    <mergeCell ref="H63:I63"/>
    <mergeCell ref="H45:I45"/>
    <mergeCell ref="H50:I50"/>
    <mergeCell ref="H55:I55"/>
  </mergeCells>
  <dataValidations count="2">
    <dataValidation type="decimal" operator="greaterThanOrEqual" allowBlank="1" showInputMessage="1" showErrorMessage="1" sqref="C37:D41 F37:F41">
      <formula1>0</formula1>
    </dataValidation>
    <dataValidation type="list" allowBlank="1" showInputMessage="1" showErrorMessage="1" sqref="E37:E41 G56:G60 G51 G37:G41 G64:G68">
      <formula1>Rate</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Z267"/>
  <sheetViews>
    <sheetView zoomScale="90" zoomScaleNormal="90" workbookViewId="0">
      <pane ySplit="5" topLeftCell="A6" activePane="bottomLeft" state="frozen"/>
      <selection activeCell="O43" sqref="O43"/>
      <selection pane="bottomLeft" activeCell="A6" sqref="A6"/>
    </sheetView>
  </sheetViews>
  <sheetFormatPr defaultColWidth="11.5703125" defaultRowHeight="12.75"/>
  <cols>
    <col min="1" max="1" width="5.140625" style="1631" customWidth="1"/>
    <col min="2" max="2" width="26.140625" style="1631" customWidth="1"/>
    <col min="3" max="3" width="3.28515625" style="1631" customWidth="1"/>
    <col min="4" max="4" width="12.7109375" style="1631" customWidth="1"/>
    <col min="5" max="5" width="13" style="1631" customWidth="1"/>
    <col min="6" max="6" width="12.28515625" style="1631" customWidth="1"/>
    <col min="7" max="7" width="2.7109375" style="1631" customWidth="1"/>
    <col min="8" max="8" width="10.85546875" style="1631" customWidth="1"/>
    <col min="9" max="9" width="16.42578125" style="1631" customWidth="1"/>
    <col min="10" max="10" width="9" style="1631" customWidth="1"/>
    <col min="11" max="11" width="12.85546875" style="1631" customWidth="1"/>
    <col min="12" max="12" width="12.5703125" style="1631" customWidth="1"/>
    <col min="13" max="13" width="2.28515625" style="1631" customWidth="1"/>
    <col min="14" max="15" width="10" style="1631" customWidth="1"/>
    <col min="16" max="16" width="2.28515625" style="1631" customWidth="1"/>
    <col min="17" max="17" width="10.7109375" style="1631" customWidth="1"/>
    <col min="18" max="18" width="2.140625" style="1631" customWidth="1"/>
    <col min="19" max="20" width="9.7109375" style="1631" customWidth="1"/>
    <col min="21" max="21" width="1" style="1631" customWidth="1"/>
    <col min="22" max="22" width="8.42578125" style="1631" customWidth="1"/>
    <col min="23" max="23" width="7.28515625" style="1631" customWidth="1"/>
    <col min="24" max="24" width="11.5703125" style="1631"/>
    <col min="25" max="26" width="12.5703125" style="1631" customWidth="1"/>
    <col min="27" max="16384" width="11.5703125" style="1631"/>
  </cols>
  <sheetData>
    <row r="1" spans="1:25" s="2228" customFormat="1" ht="22.9" customHeight="1">
      <c r="U1" s="2240"/>
      <c r="V1" s="2773" t="str">
        <f>HLOOKUP(select,translations!$A$341:$H$435,92,)</f>
        <v>Select GWP for calculation</v>
      </c>
      <c r="W1" s="2242"/>
    </row>
    <row r="2" spans="1:25" s="2228" customFormat="1" ht="22.9" customHeight="1">
      <c r="U2" s="3968" t="s">
        <v>1615</v>
      </c>
      <c r="V2" s="3968"/>
      <c r="W2" s="3968"/>
      <c r="X2" s="3968"/>
      <c r="Y2" s="3968"/>
    </row>
    <row r="3" spans="1:25" s="2228" customFormat="1" ht="22.9" customHeight="1">
      <c r="U3" s="2240"/>
      <c r="V3" s="2243" t="s">
        <v>1533</v>
      </c>
      <c r="W3" s="2241">
        <f>HLOOKUP($U$2,List!$A$40:$D$43,2,)</f>
        <v>1</v>
      </c>
    </row>
    <row r="4" spans="1:25" s="2228" customFormat="1" ht="22.9" customHeight="1">
      <c r="U4" s="2240"/>
      <c r="V4" s="2243" t="s">
        <v>1534</v>
      </c>
      <c r="W4" s="2241">
        <f>HLOOKUP($U$2,List!$A$40:$D$43,3,)</f>
        <v>25</v>
      </c>
    </row>
    <row r="5" spans="1:25" s="2228" customFormat="1" ht="22.9" customHeight="1">
      <c r="A5" s="2704" t="str">
        <f>HLOOKUP(select,translations!$B$436:$H$450,2,)</f>
        <v xml:space="preserve"> </v>
      </c>
      <c r="U5" s="2240"/>
      <c r="V5" s="2243" t="s">
        <v>1535</v>
      </c>
      <c r="W5" s="2241">
        <f>HLOOKUP($U$2,List!$A$40:$D$43,4,)</f>
        <v>298</v>
      </c>
    </row>
    <row r="7" spans="1:25" ht="15.75">
      <c r="B7" s="2678" t="str">
        <f>'1.Description'!B7</f>
        <v>Project Name</v>
      </c>
      <c r="C7" s="2679"/>
      <c r="D7" s="2680">
        <f>title</f>
        <v>0</v>
      </c>
      <c r="E7" s="2679"/>
      <c r="F7" s="2678" t="str">
        <f>'1.Description'!B11</f>
        <v>Climate</v>
      </c>
      <c r="G7" s="2540"/>
      <c r="H7" s="2681" t="str">
        <f>IF('1.Description'!I11&lt;&gt;"",CONCATENATE('1.Description'!I11," (",'1.Description'!I12,")"),CONCATENATE(climate," (",moist_type,")"))</f>
        <v>Please select (Please select)</v>
      </c>
      <c r="I7" s="2540"/>
      <c r="J7" s="2540"/>
      <c r="K7" s="2540"/>
      <c r="L7" s="2679"/>
      <c r="M7" s="2541"/>
      <c r="N7" s="2678" t="str">
        <f>'1.Description'!B18</f>
        <v>Duration of the Project (Years)</v>
      </c>
      <c r="O7" s="2681">
        <f>time_tot</f>
        <v>0</v>
      </c>
      <c r="P7" s="2681"/>
      <c r="Q7" s="2540"/>
    </row>
    <row r="8" spans="1:25" ht="15.75">
      <c r="B8" s="2678" t="str">
        <f>'1.Description'!B9</f>
        <v>Continent</v>
      </c>
      <c r="C8" s="2679"/>
      <c r="D8" s="2681" t="str">
        <f>IF('1.Description'!I9&lt;&gt;"",'1.Description'!I9,region)</f>
        <v>Please select</v>
      </c>
      <c r="E8" s="2679"/>
      <c r="F8" s="2765" t="str">
        <f>'1.Description'!B15</f>
        <v>Dominant Regional Soil Type</v>
      </c>
      <c r="G8" s="2540"/>
      <c r="H8" s="2681" t="str">
        <f>IF('1.Description'!I15&lt;&gt;"",'1.Description'!I15,soil)</f>
        <v>Please select</v>
      </c>
      <c r="I8" s="2540"/>
      <c r="J8" s="2540"/>
      <c r="K8" s="2540"/>
      <c r="L8" s="2540"/>
      <c r="M8" s="2541"/>
      <c r="N8" s="2539" t="str">
        <f>HLOOKUP(select,translations!$A$341:$H$435,2,)</f>
        <v>Total area (ha)</v>
      </c>
      <c r="O8" s="2681">
        <f>'Gross Results'!O14</f>
        <v>0</v>
      </c>
      <c r="P8" s="2681"/>
      <c r="Q8" s="2540"/>
    </row>
    <row r="9" spans="1:25">
      <c r="S9" s="2026"/>
      <c r="T9" s="2026"/>
      <c r="U9" s="2026"/>
      <c r="V9" s="2026"/>
      <c r="W9" s="2026"/>
      <c r="X9" s="2696"/>
    </row>
    <row r="10" spans="1:25">
      <c r="B10" s="3952" t="str">
        <f>HLOOKUP(select,translations!$A$341:$H$435,3,)</f>
        <v>Components of the project</v>
      </c>
      <c r="D10" s="2047" t="str">
        <f>HLOOKUP(select,translations!$A$341:$H$435,4,)</f>
        <v>Gross fluxes</v>
      </c>
      <c r="E10" s="2047"/>
      <c r="F10" s="2048"/>
      <c r="G10" s="1634"/>
      <c r="H10" s="2772" t="str">
        <f>HLOOKUP(select,translations!$A$341:$H$435,7,)</f>
        <v>Share per GHG of the Balance</v>
      </c>
      <c r="I10" s="2049"/>
      <c r="J10" s="2049"/>
      <c r="K10" s="2049"/>
      <c r="L10" s="2049"/>
      <c r="M10" s="1634"/>
      <c r="N10" s="2022" t="str">
        <f>HLOOKUP(select,translations!$A$341:$H$435,11,)</f>
        <v>Result per year</v>
      </c>
      <c r="O10" s="2022"/>
      <c r="P10" s="2022"/>
      <c r="Q10" s="2049"/>
      <c r="S10" s="3287" t="s">
        <v>1488</v>
      </c>
      <c r="T10" s="3287"/>
      <c r="U10" s="2026"/>
      <c r="V10" s="3967" t="s">
        <v>1575</v>
      </c>
      <c r="W10" s="3967"/>
      <c r="X10" s="2696"/>
    </row>
    <row r="11" spans="1:25" ht="14.25">
      <c r="B11" s="3952"/>
      <c r="D11" s="2683" t="str">
        <f>'7. Inputs'!I11</f>
        <v>Without</v>
      </c>
      <c r="E11" s="2683" t="str">
        <f>'7. Inputs'!K11</f>
        <v>With</v>
      </c>
      <c r="F11" s="2048" t="str">
        <f>'7. Inputs'!Y9</f>
        <v>Balance</v>
      </c>
      <c r="G11" s="1634"/>
      <c r="H11" s="2049" t="str">
        <f>D12</f>
        <v>All GHG in tCO2eq</v>
      </c>
      <c r="I11" s="2049"/>
      <c r="J11" s="2049"/>
      <c r="K11" s="2049"/>
      <c r="L11" s="2049"/>
      <c r="M11" s="1634"/>
      <c r="N11" s="2690" t="str">
        <f>D11</f>
        <v>Without</v>
      </c>
      <c r="O11" s="2690" t="str">
        <f>E11</f>
        <v>With</v>
      </c>
      <c r="P11" s="2050"/>
      <c r="Q11" s="2051" t="str">
        <f>F11</f>
        <v>Balance</v>
      </c>
      <c r="S11" s="3967" t="s">
        <v>1489</v>
      </c>
      <c r="T11" s="3967"/>
      <c r="U11" s="2026"/>
      <c r="V11" s="3967" t="s">
        <v>1602</v>
      </c>
      <c r="W11" s="3967"/>
      <c r="X11" s="2696"/>
    </row>
    <row r="12" spans="1:25" ht="14.25">
      <c r="B12" s="2021"/>
      <c r="D12" s="1757" t="str">
        <f>HLOOKUP(select,translations!$A$341:$H$435,5,)</f>
        <v>All GHG in tCO2eq</v>
      </c>
      <c r="E12" s="2047"/>
      <c r="F12" s="2048"/>
      <c r="H12" s="2024" t="s">
        <v>1477</v>
      </c>
      <c r="I12" s="2024"/>
      <c r="J12" s="2024"/>
      <c r="K12" s="2018" t="s">
        <v>1478</v>
      </c>
      <c r="L12" s="2018" t="s">
        <v>1479</v>
      </c>
      <c r="N12" s="2015"/>
      <c r="O12" s="2015"/>
      <c r="P12" s="2015"/>
      <c r="Q12" s="2007"/>
      <c r="S12" s="3325" t="s">
        <v>674</v>
      </c>
      <c r="T12" s="3325" t="s">
        <v>675</v>
      </c>
      <c r="U12" s="2026"/>
      <c r="V12" s="3325" t="s">
        <v>674</v>
      </c>
      <c r="W12" s="3325" t="s">
        <v>675</v>
      </c>
      <c r="X12" s="2696"/>
    </row>
    <row r="13" spans="1:25">
      <c r="B13" s="2021"/>
      <c r="D13" s="1757" t="str">
        <f>HLOOKUP(select,translations!$A$341:$H$435,6,)</f>
        <v>Positive = source / negative = sink</v>
      </c>
      <c r="E13" s="2052"/>
      <c r="F13" s="2053"/>
      <c r="H13" s="2018" t="str">
        <f>HLOOKUP(select,translations!$A$341:$H$435,8,)</f>
        <v>Biomass</v>
      </c>
      <c r="I13" s="2018" t="str">
        <f>HLOOKUP(select,translations!$A$341:$H$435,9,)</f>
        <v>Soil</v>
      </c>
      <c r="J13" s="2018" t="str">
        <f>HLOOKUP(select,translations!$A$341:$H$435,10,)</f>
        <v>Other</v>
      </c>
      <c r="K13" s="2018"/>
      <c r="L13" s="2018"/>
      <c r="N13" s="2015"/>
      <c r="O13" s="2015"/>
      <c r="P13" s="2015"/>
      <c r="Q13" s="2007"/>
      <c r="S13" s="2026"/>
      <c r="T13" s="2026"/>
      <c r="U13" s="2026"/>
      <c r="V13" s="2026"/>
      <c r="W13" s="2026"/>
      <c r="X13" s="2696"/>
    </row>
    <row r="14" spans="1:25" ht="15.75">
      <c r="B14" s="2021" t="str">
        <f>HLOOKUP(select,translations!$A$341:$H$435,12,)</f>
        <v>Land use changes</v>
      </c>
      <c r="H14" s="2026" t="str">
        <f>HLOOKUP(select,translations!$A$341:$H$435,28,)</f>
        <v>CO2-Biomass</v>
      </c>
      <c r="I14" s="2026" t="str">
        <f>HLOOKUP(select,translations!$A$341:$H$435,29,)</f>
        <v>CO2-Soil</v>
      </c>
      <c r="J14" s="2026" t="str">
        <f>HLOOKUP(select,translations!$A$341:$H$435,30,)</f>
        <v>CO2-Other</v>
      </c>
      <c r="K14" s="2026" t="s">
        <v>333</v>
      </c>
      <c r="L14" s="2026" t="s">
        <v>1280</v>
      </c>
      <c r="R14" s="2012"/>
      <c r="S14" s="2026"/>
      <c r="T14" s="2026"/>
      <c r="U14" s="2026"/>
      <c r="V14" s="2026"/>
      <c r="W14" s="2026"/>
      <c r="X14" s="2696"/>
    </row>
    <row r="15" spans="1:25">
      <c r="B15" s="2008" t="str">
        <f>HLOOKUP(select,translations!$A$341:$H$435,13,)</f>
        <v>Deforestation</v>
      </c>
      <c r="D15" s="2013">
        <f>'Gross Results'!E18</f>
        <v>0</v>
      </c>
      <c r="E15" s="2013">
        <f>'Gross Results'!I18</f>
        <v>0</v>
      </c>
      <c r="F15" s="2017">
        <f>E15-D15</f>
        <v>0</v>
      </c>
      <c r="H15" s="2017">
        <f>BALANCE!I18</f>
        <v>0</v>
      </c>
      <c r="I15" s="2017">
        <f>BALANCE!J18</f>
        <v>0</v>
      </c>
      <c r="J15" s="2017"/>
      <c r="K15" s="2017">
        <f>BALANCE!K18</f>
        <v>0</v>
      </c>
      <c r="L15" s="2017">
        <f>BALANCE!L18</f>
        <v>0</v>
      </c>
      <c r="N15" s="2016">
        <f>'Gross Results'!N18</f>
        <v>0</v>
      </c>
      <c r="O15" s="2016">
        <f>'Gross Results'!O18</f>
        <v>0</v>
      </c>
      <c r="P15" s="2016"/>
      <c r="Q15" s="2017">
        <f>O15-N15</f>
        <v>0</v>
      </c>
      <c r="R15" s="2012"/>
      <c r="S15" s="2026"/>
      <c r="T15" s="2502"/>
      <c r="U15" s="2026"/>
      <c r="V15" s="2026"/>
      <c r="W15" s="2026"/>
      <c r="X15" s="2696"/>
    </row>
    <row r="16" spans="1:25">
      <c r="B16" s="2008" t="str">
        <f>HLOOKUP(select,translations!$A$341:$H$435,14,)</f>
        <v>Afforestation</v>
      </c>
      <c r="D16" s="2013">
        <f>'Gross Results'!E20</f>
        <v>0</v>
      </c>
      <c r="E16" s="2013">
        <f>'Gross Results'!I20</f>
        <v>0</v>
      </c>
      <c r="F16" s="2017">
        <f t="shared" ref="F16:F28" si="0">E16-D16</f>
        <v>0</v>
      </c>
      <c r="H16" s="2017">
        <f>BALANCE!I20</f>
        <v>0</v>
      </c>
      <c r="I16" s="2017">
        <f>BALANCE!J20</f>
        <v>0</v>
      </c>
      <c r="J16" s="2017"/>
      <c r="K16" s="2017">
        <f>BALANCE!K20</f>
        <v>0</v>
      </c>
      <c r="L16" s="2017">
        <f>BALANCE!L20</f>
        <v>0</v>
      </c>
      <c r="N16" s="2016">
        <f>'Gross Results'!N20</f>
        <v>0</v>
      </c>
      <c r="O16" s="2016">
        <f>'Gross Results'!O20</f>
        <v>0</v>
      </c>
      <c r="P16" s="2016"/>
      <c r="Q16" s="2017">
        <f t="shared" ref="Q16:Q30" si="1">O16-N16</f>
        <v>0</v>
      </c>
      <c r="R16" s="2012"/>
      <c r="S16" s="2026"/>
      <c r="T16" s="2502"/>
      <c r="U16" s="2026"/>
      <c r="V16" s="2026"/>
      <c r="W16" s="2026"/>
      <c r="X16" s="2696"/>
    </row>
    <row r="17" spans="2:24">
      <c r="B17" s="2008" t="str">
        <f>HLOOKUP(select,translations!$A$341:$H$435,15,)</f>
        <v>Other LUC</v>
      </c>
      <c r="D17" s="2013">
        <f>'Gross Results'!E21</f>
        <v>0</v>
      </c>
      <c r="E17" s="2013">
        <f>'Gross Results'!I21</f>
        <v>0</v>
      </c>
      <c r="F17" s="2017">
        <f t="shared" si="0"/>
        <v>0</v>
      </c>
      <c r="H17" s="2017">
        <f>BALANCE!I21</f>
        <v>0</v>
      </c>
      <c r="I17" s="2017">
        <f>BALANCE!J21</f>
        <v>0</v>
      </c>
      <c r="J17" s="2017"/>
      <c r="K17" s="2017">
        <f>BALANCE!K21</f>
        <v>0</v>
      </c>
      <c r="L17" s="2017">
        <f>BALANCE!L21</f>
        <v>0</v>
      </c>
      <c r="N17" s="2016">
        <f>'Gross Results'!N21</f>
        <v>0</v>
      </c>
      <c r="O17" s="2016">
        <f>'Gross Results'!O21</f>
        <v>0</v>
      </c>
      <c r="P17" s="2016"/>
      <c r="Q17" s="2017">
        <f t="shared" si="1"/>
        <v>0</v>
      </c>
      <c r="R17" s="2012"/>
      <c r="S17" s="2026"/>
      <c r="T17" s="2502"/>
      <c r="U17" s="2026"/>
      <c r="V17" s="2026"/>
      <c r="W17" s="2026"/>
      <c r="X17" s="2696"/>
    </row>
    <row r="18" spans="2:24">
      <c r="B18" s="2021" t="str">
        <f>HLOOKUP(select,translations!$A$341:$H$435,16,)</f>
        <v>Agriculture</v>
      </c>
      <c r="D18" s="2013"/>
      <c r="E18" s="2013"/>
      <c r="F18" s="2017"/>
      <c r="H18" s="2017"/>
      <c r="I18" s="2017"/>
      <c r="J18" s="2017"/>
      <c r="K18" s="2017"/>
      <c r="L18" s="2017"/>
      <c r="N18" s="2016"/>
      <c r="O18" s="2016"/>
      <c r="P18" s="2016"/>
      <c r="Q18" s="2017"/>
      <c r="R18" s="2012"/>
      <c r="S18" s="2026"/>
      <c r="T18" s="2502"/>
      <c r="U18" s="2026"/>
      <c r="V18" s="2026"/>
      <c r="W18" s="2026"/>
      <c r="X18" s="2696"/>
    </row>
    <row r="19" spans="2:24">
      <c r="B19" s="2008" t="str">
        <f>HLOOKUP(select,translations!$A$341:$H$435,17,)</f>
        <v>Annual</v>
      </c>
      <c r="D19" s="2013">
        <f>'Gross Results'!E23</f>
        <v>0</v>
      </c>
      <c r="E19" s="2013">
        <f>'Gross Results'!I23</f>
        <v>0</v>
      </c>
      <c r="F19" s="2017">
        <f t="shared" si="0"/>
        <v>0</v>
      </c>
      <c r="H19" s="2017">
        <f>BALANCE!I23</f>
        <v>0</v>
      </c>
      <c r="I19" s="2017">
        <f>BALANCE!J23</f>
        <v>0</v>
      </c>
      <c r="J19" s="2017"/>
      <c r="K19" s="2017">
        <f>BALANCE!K23</f>
        <v>0</v>
      </c>
      <c r="L19" s="2017">
        <f>BALANCE!L23</f>
        <v>0</v>
      </c>
      <c r="N19" s="2016">
        <f>'Gross Results'!N23</f>
        <v>0</v>
      </c>
      <c r="O19" s="2016">
        <f>'Gross Results'!O23</f>
        <v>0</v>
      </c>
      <c r="P19" s="2016"/>
      <c r="Q19" s="2017">
        <f t="shared" si="1"/>
        <v>0</v>
      </c>
      <c r="R19" s="2012"/>
      <c r="S19" s="2026"/>
      <c r="T19" s="2502">
        <f>Annual!Q49</f>
        <v>0</v>
      </c>
      <c r="U19" s="2026"/>
      <c r="V19" s="2503">
        <f t="shared" ref="V19:W21" si="2">IF(S19&gt;0,D19/S19,0)</f>
        <v>0</v>
      </c>
      <c r="W19" s="2503">
        <f t="shared" si="2"/>
        <v>0</v>
      </c>
      <c r="X19" s="2696"/>
    </row>
    <row r="20" spans="2:24">
      <c r="B20" s="2008" t="str">
        <f>HLOOKUP(select,translations!$A$341:$H$435,18,)</f>
        <v>Perennial</v>
      </c>
      <c r="D20" s="2013">
        <f>'Gross Results'!E24</f>
        <v>0</v>
      </c>
      <c r="E20" s="2013">
        <f>'Gross Results'!I24</f>
        <v>0</v>
      </c>
      <c r="F20" s="2017">
        <f t="shared" si="0"/>
        <v>0</v>
      </c>
      <c r="H20" s="2017">
        <f>BALANCE!I24</f>
        <v>0</v>
      </c>
      <c r="I20" s="2017">
        <f>BALANCE!J24</f>
        <v>0</v>
      </c>
      <c r="J20" s="2017"/>
      <c r="K20" s="2017">
        <f>BALANCE!K24</f>
        <v>0</v>
      </c>
      <c r="L20" s="2017">
        <f>BALANCE!L24</f>
        <v>0</v>
      </c>
      <c r="N20" s="2016">
        <f>'Gross Results'!N24</f>
        <v>0</v>
      </c>
      <c r="O20" s="2016">
        <f>'Gross Results'!O24</f>
        <v>0</v>
      </c>
      <c r="P20" s="2016"/>
      <c r="Q20" s="2017">
        <f t="shared" si="1"/>
        <v>0</v>
      </c>
      <c r="R20" s="2012"/>
      <c r="S20" s="2026"/>
      <c r="T20" s="2502">
        <f>Perennial!S47</f>
        <v>0</v>
      </c>
      <c r="U20" s="2026"/>
      <c r="V20" s="2503">
        <f t="shared" si="2"/>
        <v>0</v>
      </c>
      <c r="W20" s="2503">
        <f t="shared" si="2"/>
        <v>0</v>
      </c>
      <c r="X20" s="2696"/>
    </row>
    <row r="21" spans="2:24">
      <c r="B21" s="2008" t="str">
        <f>HLOOKUP(select,translations!$A$341:$H$435,19,)</f>
        <v>Rice</v>
      </c>
      <c r="D21" s="2013">
        <f>'Gross Results'!E25</f>
        <v>0</v>
      </c>
      <c r="E21" s="2013">
        <f>'Gross Results'!I25</f>
        <v>0</v>
      </c>
      <c r="F21" s="2017">
        <f t="shared" si="0"/>
        <v>0</v>
      </c>
      <c r="H21" s="2017">
        <f>BALANCE!I25</f>
        <v>0</v>
      </c>
      <c r="I21" s="2017">
        <f>BALANCE!J25</f>
        <v>0</v>
      </c>
      <c r="J21" s="2017"/>
      <c r="K21" s="2017">
        <f>BALANCE!K25</f>
        <v>0</v>
      </c>
      <c r="L21" s="2017">
        <f>BALANCE!L25</f>
        <v>0</v>
      </c>
      <c r="N21" s="2016">
        <f>'Gross Results'!N25</f>
        <v>0</v>
      </c>
      <c r="O21" s="2016">
        <f>'Gross Results'!O25</f>
        <v>0</v>
      </c>
      <c r="P21" s="2016"/>
      <c r="Q21" s="2017">
        <f t="shared" si="1"/>
        <v>0</v>
      </c>
      <c r="R21" s="2012"/>
      <c r="S21" s="2026"/>
      <c r="T21" s="2502">
        <f>'Irrigated Rice'!S47</f>
        <v>0</v>
      </c>
      <c r="U21" s="2026"/>
      <c r="V21" s="2503">
        <f t="shared" si="2"/>
        <v>0</v>
      </c>
      <c r="W21" s="2503">
        <f t="shared" si="2"/>
        <v>0</v>
      </c>
      <c r="X21" s="2696"/>
    </row>
    <row r="22" spans="2:24">
      <c r="B22" s="2021" t="str">
        <f>HLOOKUP(select,translations!$A$341:$H$435,20,)</f>
        <v>Grassland &amp; Livestocks</v>
      </c>
      <c r="D22" s="2013"/>
      <c r="E22" s="2013"/>
      <c r="F22" s="2017"/>
      <c r="H22" s="2017"/>
      <c r="I22" s="2017"/>
      <c r="J22" s="2017"/>
      <c r="K22" s="2017"/>
      <c r="L22" s="2017"/>
      <c r="N22" s="2016"/>
      <c r="O22" s="2016"/>
      <c r="P22" s="2016"/>
      <c r="Q22" s="2017"/>
      <c r="R22" s="2012"/>
      <c r="S22" s="2026"/>
      <c r="T22" s="2502"/>
      <c r="U22" s="2026"/>
      <c r="V22" s="2503"/>
      <c r="W22" s="2503"/>
      <c r="X22" s="2696"/>
    </row>
    <row r="23" spans="2:24">
      <c r="B23" s="2008" t="str">
        <f>HLOOKUP(select,translations!$A$341:$H$435,21,)</f>
        <v>Grassland</v>
      </c>
      <c r="D23" s="2013">
        <f>'Gross Results'!E26</f>
        <v>0</v>
      </c>
      <c r="E23" s="2013">
        <f>'Gross Results'!I26</f>
        <v>0</v>
      </c>
      <c r="F23" s="2017">
        <f t="shared" si="0"/>
        <v>0</v>
      </c>
      <c r="H23" s="2017">
        <f>BALANCE!I26</f>
        <v>0</v>
      </c>
      <c r="I23" s="2017">
        <f>BALANCE!J26</f>
        <v>0</v>
      </c>
      <c r="J23" s="2017"/>
      <c r="K23" s="2017">
        <f>BALANCE!K26</f>
        <v>0</v>
      </c>
      <c r="L23" s="2017">
        <f>BALANCE!L26</f>
        <v>0</v>
      </c>
      <c r="N23" s="2016">
        <f>'Gross Results'!N26</f>
        <v>0</v>
      </c>
      <c r="O23" s="2016">
        <f>'Gross Results'!O26</f>
        <v>0</v>
      </c>
      <c r="P23" s="2016"/>
      <c r="Q23" s="2017">
        <f t="shared" si="1"/>
        <v>0</v>
      </c>
      <c r="R23" s="2012"/>
      <c r="S23" s="2026"/>
      <c r="T23" s="2502">
        <f>Grass!V44</f>
        <v>0</v>
      </c>
      <c r="U23" s="2026"/>
      <c r="V23" s="2503">
        <f>IF(S23&gt;0,D23/S23,0)</f>
        <v>0</v>
      </c>
      <c r="W23" s="2503">
        <f>IF(T23&gt;0,E23/T23,0)</f>
        <v>0</v>
      </c>
      <c r="X23" s="2696"/>
    </row>
    <row r="24" spans="2:24">
      <c r="B24" s="2008" t="str">
        <f>HLOOKUP(select,translations!$A$341:$H$435,22,)</f>
        <v>Livestocks</v>
      </c>
      <c r="D24" s="2013">
        <f>'Gross Results'!E29</f>
        <v>0</v>
      </c>
      <c r="E24" s="2013">
        <f>'Gross Results'!I29</f>
        <v>0</v>
      </c>
      <c r="F24" s="2017">
        <f t="shared" si="0"/>
        <v>0</v>
      </c>
      <c r="H24" s="2017"/>
      <c r="I24" s="2017"/>
      <c r="J24" s="2017"/>
      <c r="K24" s="2017">
        <f>BALANCE!K29</f>
        <v>0</v>
      </c>
      <c r="L24" s="2017">
        <f>BALANCE!L29</f>
        <v>0</v>
      </c>
      <c r="N24" s="2016">
        <f>'Gross Results'!N29</f>
        <v>0</v>
      </c>
      <c r="O24" s="2016">
        <f>'Gross Results'!O29</f>
        <v>0</v>
      </c>
      <c r="P24" s="2016"/>
      <c r="Q24" s="2017">
        <f t="shared" si="1"/>
        <v>0</v>
      </c>
      <c r="S24" s="2026"/>
      <c r="T24" s="2502">
        <f>Livestock!AE23</f>
        <v>0</v>
      </c>
      <c r="U24" s="2026"/>
      <c r="V24" s="2503">
        <f>IF(S24&gt;0,D24/S24,0)</f>
        <v>0</v>
      </c>
      <c r="W24" s="2503">
        <f>IF(T24&gt;0,E24/T24,0)</f>
        <v>0</v>
      </c>
      <c r="X24" s="2696"/>
    </row>
    <row r="25" spans="2:24">
      <c r="B25" s="2021" t="str">
        <f>HLOOKUP(select,translations!$A$341:$H$435,23,)</f>
        <v>Degradation &amp; Management</v>
      </c>
      <c r="D25" s="2013">
        <f>'Gross Results'!E19+'Gross Results'!E27</f>
        <v>0</v>
      </c>
      <c r="E25" s="2013">
        <f>'Gross Results'!I19+'Gross Results'!I27</f>
        <v>0</v>
      </c>
      <c r="F25" s="2017">
        <f>E25-D25</f>
        <v>0</v>
      </c>
      <c r="H25" s="2017">
        <f>BALANCE!I19+BALANCE!I27</f>
        <v>0</v>
      </c>
      <c r="I25" s="2017">
        <f>BALANCE!J19+BALANCE!J27</f>
        <v>0</v>
      </c>
      <c r="J25" s="2017"/>
      <c r="K25" s="2017">
        <f>BALANCE!K19+BALANCE!K27</f>
        <v>0</v>
      </c>
      <c r="L25" s="2017">
        <f>BALANCE!L19+BALANCE!L27</f>
        <v>0</v>
      </c>
      <c r="N25" s="2016">
        <f>'Gross Results'!N19+'Gross Results'!N27</f>
        <v>0</v>
      </c>
      <c r="O25" s="2016">
        <f>'Gross Results'!O19+'Gross Results'!O27</f>
        <v>0</v>
      </c>
      <c r="P25" s="2016"/>
      <c r="Q25" s="2017">
        <f t="shared" si="1"/>
        <v>0</v>
      </c>
      <c r="R25" s="2012"/>
      <c r="S25" s="2026"/>
      <c r="T25" s="2502"/>
      <c r="U25" s="2026"/>
      <c r="V25" s="2503"/>
      <c r="W25" s="2503"/>
      <c r="X25" s="2696"/>
    </row>
    <row r="26" spans="2:24">
      <c r="B26" s="2021" t="s">
        <v>7174</v>
      </c>
      <c r="D26" s="2013">
        <f>'Gross Results'!E32</f>
        <v>0</v>
      </c>
      <c r="E26" s="2013">
        <f>'Gross Results'!I32</f>
        <v>0</v>
      </c>
      <c r="F26" s="2017">
        <f>E26-D26</f>
        <v>0</v>
      </c>
      <c r="H26" s="2017">
        <f>BALANCE!I32</f>
        <v>0</v>
      </c>
      <c r="I26" s="2017">
        <f>BALANCE!J32</f>
        <v>0</v>
      </c>
      <c r="J26" s="2017"/>
      <c r="K26" s="2017">
        <v>0</v>
      </c>
      <c r="L26" s="2017">
        <f>BALANCE!L32</f>
        <v>0</v>
      </c>
      <c r="N26" s="2016">
        <f>'Gross Results'!N32</f>
        <v>0</v>
      </c>
      <c r="O26" s="2016">
        <f>'Gross Results'!O32</f>
        <v>0</v>
      </c>
      <c r="P26" s="2016"/>
      <c r="Q26" s="2017">
        <f t="shared" si="1"/>
        <v>0</v>
      </c>
      <c r="R26" s="2012"/>
      <c r="S26" s="2026"/>
      <c r="T26" s="2502"/>
      <c r="U26" s="2026"/>
      <c r="V26" s="2503"/>
      <c r="W26" s="2503"/>
      <c r="X26" s="2696"/>
    </row>
    <row r="27" spans="2:24">
      <c r="B27" s="2021" t="str">
        <f>HLOOKUP(select,translations!$A$341:$H$435,24,)</f>
        <v>Inputs &amp; Investments</v>
      </c>
      <c r="D27" s="2013">
        <f>'Gross Results'!E30+'Gross Results'!E31</f>
        <v>0</v>
      </c>
      <c r="E27" s="2013">
        <f>'Gross Results'!I30+'Gross Results'!I31</f>
        <v>0</v>
      </c>
      <c r="F27" s="2017">
        <f t="shared" si="0"/>
        <v>0</v>
      </c>
      <c r="H27" s="2020"/>
      <c r="I27" s="2020"/>
      <c r="J27" s="2017">
        <f>BALANCE!I30+BALANCE!I31-IF('7. Inputs'!X153="YES",('7. Inputs'!N16-'7. Inputs'!M16),0)</f>
        <v>0</v>
      </c>
      <c r="K27" s="3655">
        <f>BALANCE!K30+BALANCE!K31</f>
        <v>0</v>
      </c>
      <c r="L27" s="2017">
        <v>0</v>
      </c>
      <c r="N27" s="2016">
        <f>'Gross Results'!N30+'Gross Results'!N31</f>
        <v>0</v>
      </c>
      <c r="O27" s="2016">
        <f>'Gross Results'!O30+'Gross Results'!O31</f>
        <v>0</v>
      </c>
      <c r="P27" s="2016"/>
      <c r="Q27" s="2017">
        <f>O27-N27</f>
        <v>0</v>
      </c>
      <c r="R27" s="2012"/>
      <c r="S27" s="2026"/>
      <c r="T27" s="2502"/>
      <c r="U27" s="2026"/>
      <c r="V27" s="2503"/>
      <c r="W27" s="2503"/>
      <c r="X27" s="2696"/>
    </row>
    <row r="28" spans="2:24">
      <c r="B28" s="2021" t="s">
        <v>6485</v>
      </c>
      <c r="D28" s="2013">
        <f>'Gross Results'!E33</f>
        <v>0</v>
      </c>
      <c r="E28" s="2013">
        <f>'Gross Results'!I33</f>
        <v>0</v>
      </c>
      <c r="F28" s="2017">
        <f t="shared" si="0"/>
        <v>0</v>
      </c>
      <c r="H28" s="2020"/>
      <c r="I28" s="2020"/>
      <c r="J28" s="2017">
        <f>BALANCE!I33</f>
        <v>0</v>
      </c>
      <c r="K28" s="2080">
        <f>BALANCE!K33</f>
        <v>0</v>
      </c>
      <c r="L28" s="2017">
        <v>0</v>
      </c>
      <c r="N28" s="2016">
        <f>'Gross Results'!N33</f>
        <v>0</v>
      </c>
      <c r="O28" s="2016">
        <f>'Gross Results'!O33</f>
        <v>0</v>
      </c>
      <c r="P28" s="2016"/>
      <c r="Q28" s="2017">
        <f>O28-N28</f>
        <v>0</v>
      </c>
      <c r="R28" s="2012"/>
      <c r="S28" s="2026"/>
      <c r="T28" s="2502">
        <f>SUM('8. Fish'!Y14:Y18,'8. Fish'!U40:U44,'8. Fish'!U48:U52)</f>
        <v>0</v>
      </c>
      <c r="U28" s="2026"/>
      <c r="V28" s="2503">
        <f t="shared" ref="V28" si="3">IF(S28&gt;0,D28/S28,0)</f>
        <v>0</v>
      </c>
      <c r="W28" s="2503">
        <f t="shared" ref="W28" si="4">IF(T28&gt;0,E28/T28,0)</f>
        <v>0</v>
      </c>
      <c r="X28" s="2696"/>
    </row>
    <row r="29" spans="2:24">
      <c r="D29" s="2010"/>
      <c r="E29" s="2010"/>
      <c r="F29" s="2010"/>
      <c r="N29" s="2009"/>
      <c r="O29" s="2009"/>
      <c r="P29" s="2009"/>
      <c r="Q29" s="2009"/>
      <c r="S29" s="2502"/>
      <c r="T29" s="2502"/>
      <c r="U29" s="2026"/>
      <c r="V29" s="2026"/>
      <c r="W29" s="2026"/>
      <c r="X29" s="2696"/>
    </row>
    <row r="30" spans="2:24">
      <c r="B30" s="2021" t="str">
        <f>HLOOKUP(select,translations!$A$341:$H$435,25,)</f>
        <v>Total</v>
      </c>
      <c r="C30" s="2044"/>
      <c r="D30" s="2013">
        <f>SUM(D15:D28)</f>
        <v>0</v>
      </c>
      <c r="E30" s="2013">
        <f>SUM(E15:E28)</f>
        <v>0</v>
      </c>
      <c r="F30" s="2025">
        <f>SUM(F15:F28)</f>
        <v>0</v>
      </c>
      <c r="H30" s="2017">
        <f>SUM(H15:H28)</f>
        <v>0</v>
      </c>
      <c r="I30" s="2017">
        <f>SUM(I15:I28)</f>
        <v>0</v>
      </c>
      <c r="J30" s="2017">
        <f>SUM(J15:J28)</f>
        <v>0</v>
      </c>
      <c r="K30" s="2017">
        <f>SUM(K15:K28)</f>
        <v>0</v>
      </c>
      <c r="L30" s="2017">
        <f>SUM(L15:L28)</f>
        <v>0</v>
      </c>
      <c r="N30" s="2016">
        <f>'Gross Results'!N35</f>
        <v>0</v>
      </c>
      <c r="O30" s="2016">
        <f>'Gross Results'!O35</f>
        <v>0</v>
      </c>
      <c r="P30" s="2016"/>
      <c r="Q30" s="2017">
        <f t="shared" si="1"/>
        <v>0</v>
      </c>
      <c r="S30" s="2502"/>
      <c r="T30" s="2502">
        <f>SUM(T15:T27)</f>
        <v>0</v>
      </c>
      <c r="U30" s="2026"/>
      <c r="V30" s="2503">
        <f>IF(S30&gt;0,D30/S30,0)</f>
        <v>0</v>
      </c>
      <c r="W30" s="2503">
        <f>IF(T30&gt;0,E30/T30,0)</f>
        <v>0</v>
      </c>
      <c r="X30" s="2696"/>
    </row>
    <row r="31" spans="2:24">
      <c r="S31" s="2026"/>
      <c r="T31" s="2026"/>
      <c r="U31" s="2026"/>
      <c r="V31" s="3969" t="str">
        <f>HLOOKUP(select,translations!$A$341:$H$435,31,)</f>
        <v>Use in a Simple Value Chain Assessment</v>
      </c>
      <c r="W31" s="3969"/>
    </row>
    <row r="32" spans="2:24">
      <c r="B32" s="2021" t="str">
        <f>HLOOKUP(select,translations!$A$341:$H$435,26,)</f>
        <v>Per hectare</v>
      </c>
      <c r="C32" s="2044"/>
      <c r="D32" s="2014">
        <f>'Gross Results'!E37</f>
        <v>0</v>
      </c>
      <c r="E32" s="2014">
        <f>'Gross Results'!I37</f>
        <v>0</v>
      </c>
      <c r="F32" s="2013">
        <f>E32-D32</f>
        <v>0</v>
      </c>
      <c r="H32" s="2019">
        <f>BALANCE!I37</f>
        <v>0</v>
      </c>
      <c r="I32" s="2019">
        <f>BALANCE!J37</f>
        <v>0</v>
      </c>
      <c r="J32" s="2019">
        <f>IF(O8=0,0,J30/O8)</f>
        <v>0</v>
      </c>
      <c r="K32" s="2019">
        <f>BALANCE!K37</f>
        <v>0</v>
      </c>
      <c r="L32" s="2019">
        <f>BALANCE!L37</f>
        <v>0</v>
      </c>
      <c r="R32" s="2011"/>
      <c r="S32" s="2504">
        <f>IF($O$8=0,0,S30/$O$8)</f>
        <v>0</v>
      </c>
      <c r="T32" s="2504">
        <f>IF($O$8=0,0,T30/$O$8)</f>
        <v>0</v>
      </c>
      <c r="U32" s="2026"/>
      <c r="V32" s="3969"/>
      <c r="W32" s="3969"/>
    </row>
    <row r="33" spans="2:23">
      <c r="S33" s="2026"/>
      <c r="T33" s="2026"/>
      <c r="U33" s="2026"/>
      <c r="V33" s="3969"/>
      <c r="W33" s="3969"/>
    </row>
    <row r="34" spans="2:23">
      <c r="B34" s="2022" t="str">
        <f>HLOOKUP(select,translations!$A$341:$H$435,27,)</f>
        <v>Per hectare per year</v>
      </c>
      <c r="C34" s="2015"/>
      <c r="D34" s="2023">
        <f>IF($O$7=0,0,D32/$O$7)</f>
        <v>0</v>
      </c>
      <c r="E34" s="2023">
        <f t="shared" ref="E34:K34" si="5">IF($O$7=0,0,E32/$O$7)</f>
        <v>0</v>
      </c>
      <c r="F34" s="2023">
        <f t="shared" si="5"/>
        <v>0</v>
      </c>
      <c r="H34" s="2023">
        <f t="shared" si="5"/>
        <v>0</v>
      </c>
      <c r="I34" s="2023">
        <f t="shared" si="5"/>
        <v>0</v>
      </c>
      <c r="J34" s="2023">
        <f t="shared" si="5"/>
        <v>0</v>
      </c>
      <c r="K34" s="2023">
        <f t="shared" si="5"/>
        <v>0</v>
      </c>
      <c r="L34" s="2023">
        <f>IF($O$7=0,0,L32/$O$7)</f>
        <v>0</v>
      </c>
      <c r="N34" s="2023">
        <f>'Gross Results'!N37</f>
        <v>0</v>
      </c>
      <c r="O34" s="2023">
        <f>'Gross Results'!O37</f>
        <v>0</v>
      </c>
      <c r="P34" s="2023"/>
      <c r="Q34" s="2019">
        <f>O34-N34</f>
        <v>0</v>
      </c>
      <c r="S34" s="2504">
        <f>IF($O$7=0,0,S32/$O$7)</f>
        <v>0</v>
      </c>
      <c r="T34" s="2504">
        <f>IF($O$7=0,0,T32/$O$7)</f>
        <v>0</v>
      </c>
      <c r="U34" s="2026"/>
      <c r="V34" s="3969"/>
      <c r="W34" s="3969"/>
    </row>
    <row r="35" spans="2:23">
      <c r="S35" s="2026"/>
      <c r="T35" s="2026"/>
      <c r="U35" s="2026"/>
      <c r="V35" s="2026"/>
      <c r="W35" s="2026"/>
    </row>
    <row r="36" spans="2:23">
      <c r="B36" s="2691" t="str">
        <f>HLOOKUP(select,translations!$A$341:$H$435,32,)</f>
        <v>Fluxes per component</v>
      </c>
      <c r="I36" s="2691" t="str">
        <f>HLOOKUP(select,translations!$A$341:$H$435,33,)</f>
        <v>Balance per component</v>
      </c>
    </row>
    <row r="56" spans="2:23">
      <c r="B56" s="2691" t="str">
        <f>HLOOKUP(select,translations!$A$341:$H$435,34,)</f>
        <v>Total without and with project and balance</v>
      </c>
      <c r="I56" s="2851" t="str">
        <f>HLOOKUP(select,translations!$A$341:$H$435,35,)</f>
        <v>Share of the balance per GHG (plus origin for CO2)</v>
      </c>
    </row>
    <row r="57" spans="2:23">
      <c r="I57" s="2006"/>
    </row>
    <row r="64" spans="2:23">
      <c r="S64" s="2021" t="str">
        <f>H10</f>
        <v>Share per GHG of the Balance</v>
      </c>
      <c r="T64" s="2021"/>
      <c r="U64" s="2021"/>
      <c r="V64" s="2021"/>
      <c r="W64" s="2044"/>
    </row>
    <row r="65" spans="2:23">
      <c r="S65" s="2044"/>
      <c r="T65" s="2044"/>
      <c r="U65" s="2044"/>
      <c r="V65" s="2044"/>
      <c r="W65" s="2044"/>
    </row>
    <row r="66" spans="2:23">
      <c r="S66" s="2021" t="str">
        <f>H12</f>
        <v>CO2</v>
      </c>
      <c r="T66" s="2499">
        <f>SUM(H30:J30)</f>
        <v>0</v>
      </c>
      <c r="U66" s="2044"/>
      <c r="V66" s="2044" t="s">
        <v>541</v>
      </c>
      <c r="W66" s="2044"/>
    </row>
    <row r="67" spans="2:23">
      <c r="S67" s="2021" t="str">
        <f>K12</f>
        <v>N2O</v>
      </c>
      <c r="T67" s="2044">
        <f>K30/Nitrous</f>
        <v>0</v>
      </c>
      <c r="U67" s="2044"/>
      <c r="V67" s="2044" t="s">
        <v>6489</v>
      </c>
      <c r="W67" s="2044"/>
    </row>
    <row r="68" spans="2:23">
      <c r="S68" s="2021" t="str">
        <f>L12</f>
        <v>CH4</v>
      </c>
      <c r="T68" s="2044">
        <f>L30/methane</f>
        <v>0</v>
      </c>
      <c r="U68" s="2044"/>
      <c r="V68" s="2044" t="s">
        <v>6490</v>
      </c>
      <c r="W68" s="2044"/>
    </row>
    <row r="75" spans="2:23">
      <c r="B75" s="2843" t="str">
        <f>HLOOKUP(select,translations!$A$341:$H$435,36,)</f>
        <v>Evolutions of land use / category (hectares - ha)</v>
      </c>
      <c r="C75" s="1636"/>
      <c r="D75" s="1636"/>
      <c r="E75" s="1636"/>
      <c r="F75" s="1636"/>
      <c r="G75" s="1636"/>
      <c r="H75" s="1636"/>
      <c r="I75" s="1636"/>
      <c r="J75" s="1636"/>
      <c r="K75" s="1636"/>
      <c r="M75" s="2843" t="str">
        <f>HLOOKUP(select,translations!$A$341:$H$435,42,)</f>
        <v>Uncertainty level</v>
      </c>
      <c r="N75" s="1636"/>
      <c r="O75" s="1636"/>
      <c r="P75" s="1636"/>
      <c r="Q75" s="1636"/>
      <c r="R75" s="1636"/>
    </row>
    <row r="76" spans="2:23">
      <c r="B76" s="1636"/>
      <c r="C76" s="1636"/>
      <c r="D76" s="1636"/>
      <c r="E76" s="1640" t="str">
        <f>'4.Grassland'!D10</f>
        <v>Initial State</v>
      </c>
      <c r="F76" s="1636"/>
      <c r="G76" s="1636"/>
      <c r="H76" s="1640" t="str">
        <f>'4.Grassland'!J20</f>
        <v>Without project</v>
      </c>
      <c r="I76" s="1636"/>
      <c r="J76" s="1640" t="str">
        <f>'4.Grassland'!N11</f>
        <v>With project</v>
      </c>
      <c r="K76" s="1636"/>
      <c r="M76" s="1636"/>
      <c r="N76" s="1636"/>
      <c r="O76" s="1636"/>
      <c r="P76" s="1636"/>
      <c r="Q76" s="1684" t="str">
        <f>HLOOKUP(select,translations!$A$341:$H$435,45,)</f>
        <v>% of uncertainty</v>
      </c>
      <c r="R76" s="1636"/>
    </row>
    <row r="77" spans="2:23">
      <c r="B77" s="2044" t="str">
        <f>HLOOKUP(select,translations!$A$341:$H$435,37,)</f>
        <v>Forest/Plantation</v>
      </c>
      <c r="C77" s="2044"/>
      <c r="D77" s="2044"/>
      <c r="E77" s="2499">
        <f>Matrix!M10</f>
        <v>0</v>
      </c>
      <c r="F77" s="2499"/>
      <c r="G77" s="2499"/>
      <c r="H77" s="2499">
        <f>Matrix!E18</f>
        <v>0</v>
      </c>
      <c r="I77" s="2499"/>
      <c r="J77" s="2499">
        <f>Matrix!E35</f>
        <v>0</v>
      </c>
      <c r="K77" s="2499"/>
      <c r="M77" s="3957" t="str">
        <f>D10</f>
        <v>Gross fluxes</v>
      </c>
      <c r="N77" s="3957"/>
      <c r="O77" s="3957"/>
      <c r="P77" s="3957"/>
      <c r="Q77" s="2021"/>
      <c r="R77" s="2044"/>
    </row>
    <row r="78" spans="2:23">
      <c r="B78" s="2046"/>
      <c r="C78" s="2046" t="str">
        <f>B19</f>
        <v>Annual</v>
      </c>
      <c r="D78" s="2046"/>
      <c r="E78" s="2497">
        <f>Matrix!M11</f>
        <v>0</v>
      </c>
      <c r="F78" s="2497"/>
      <c r="G78" s="2497"/>
      <c r="H78" s="2497">
        <f>Matrix!F18</f>
        <v>0</v>
      </c>
      <c r="I78" s="2497"/>
      <c r="J78" s="2497">
        <f>Matrix!F35</f>
        <v>0</v>
      </c>
      <c r="K78" s="2497"/>
      <c r="M78" s="2499"/>
      <c r="N78" s="2070" t="str">
        <f>D11</f>
        <v>Without</v>
      </c>
      <c r="O78" s="2013">
        <f>D30</f>
        <v>0</v>
      </c>
      <c r="P78" s="2044"/>
      <c r="Q78" s="2825" t="str">
        <f>BALANCE!Y107</f>
        <v/>
      </c>
      <c r="R78" s="2824"/>
    </row>
    <row r="79" spans="2:23">
      <c r="B79" s="2046" t="str">
        <f>B18</f>
        <v>Agriculture</v>
      </c>
      <c r="C79" s="2046" t="str">
        <f>B20</f>
        <v>Perennial</v>
      </c>
      <c r="D79" s="2046"/>
      <c r="E79" s="2497">
        <f>Matrix!M12</f>
        <v>0</v>
      </c>
      <c r="F79" s="2497"/>
      <c r="G79" s="2497"/>
      <c r="H79" s="2497">
        <f>Matrix!G18</f>
        <v>0</v>
      </c>
      <c r="I79" s="2497"/>
      <c r="J79" s="2497">
        <f>Matrix!G35</f>
        <v>0</v>
      </c>
      <c r="K79" s="2497"/>
      <c r="M79" s="2499"/>
      <c r="N79" s="2070" t="str">
        <f>E11</f>
        <v>With</v>
      </c>
      <c r="O79" s="2013">
        <f>E30</f>
        <v>0</v>
      </c>
      <c r="P79" s="2044"/>
      <c r="Q79" s="2825" t="str">
        <f>BALANCE!Y127</f>
        <v/>
      </c>
      <c r="R79" s="2824"/>
    </row>
    <row r="80" spans="2:23">
      <c r="B80" s="2046"/>
      <c r="C80" s="2046" t="str">
        <f>B21</f>
        <v>Rice</v>
      </c>
      <c r="D80" s="2046"/>
      <c r="E80" s="2497">
        <f>Matrix!M13</f>
        <v>0</v>
      </c>
      <c r="F80" s="2497"/>
      <c r="G80" s="2497"/>
      <c r="H80" s="2497">
        <f>Matrix!H18</f>
        <v>0</v>
      </c>
      <c r="I80" s="2497"/>
      <c r="J80" s="2497">
        <f>Matrix!H35</f>
        <v>0</v>
      </c>
      <c r="K80" s="2497"/>
      <c r="M80" s="2044"/>
      <c r="N80" s="2044"/>
      <c r="O80" s="2824"/>
      <c r="P80" s="2044"/>
      <c r="Q80" s="2021"/>
      <c r="R80" s="2044"/>
    </row>
    <row r="81" spans="2:18">
      <c r="B81" s="2044" t="str">
        <f>B23</f>
        <v>Grassland</v>
      </c>
      <c r="C81" s="2044"/>
      <c r="D81" s="2044"/>
      <c r="E81" s="2499">
        <f>Matrix!M14</f>
        <v>0</v>
      </c>
      <c r="F81" s="2499"/>
      <c r="G81" s="2499"/>
      <c r="H81" s="2499">
        <f>Matrix!I18</f>
        <v>0</v>
      </c>
      <c r="I81" s="2499"/>
      <c r="J81" s="2499">
        <f>Matrix!I35</f>
        <v>0</v>
      </c>
      <c r="K81" s="2499"/>
      <c r="M81" s="2842" t="str">
        <f>HLOOKUP(select,translations!$A$341:$H$435,43,)</f>
        <v>Net balance</v>
      </c>
      <c r="N81" s="2044"/>
      <c r="O81" s="2013">
        <f>F30</f>
        <v>0</v>
      </c>
      <c r="P81" s="2070"/>
      <c r="Q81" s="2825" t="str">
        <f>BALANCE!Y85</f>
        <v/>
      </c>
      <c r="R81" s="2044"/>
    </row>
    <row r="82" spans="2:18">
      <c r="B82" s="2046" t="str">
        <f>HLOOKUP(select,translations!$A$341:$H$435,38,)</f>
        <v>Other lands</v>
      </c>
      <c r="C82" s="2046" t="str">
        <f>HLOOKUP(select,translations!$A$341:$H$435,39,)</f>
        <v>Degraded</v>
      </c>
      <c r="D82" s="2046"/>
      <c r="E82" s="2497">
        <f>Matrix!M15</f>
        <v>0</v>
      </c>
      <c r="F82" s="2497"/>
      <c r="G82" s="2497"/>
      <c r="H82" s="2497">
        <f>Matrix!J18</f>
        <v>0</v>
      </c>
      <c r="I82" s="2497"/>
      <c r="J82" s="2497">
        <f>Matrix!J35</f>
        <v>0</v>
      </c>
      <c r="K82" s="2497"/>
    </row>
    <row r="83" spans="2:18">
      <c r="B83" s="2046"/>
      <c r="C83" s="2046" t="str">
        <f>HLOOKUP(select,translations!$A$341:$H$435,40,)</f>
        <v>Other</v>
      </c>
      <c r="D83" s="2046"/>
      <c r="E83" s="2497">
        <f>Matrix!M16</f>
        <v>0</v>
      </c>
      <c r="F83" s="2497"/>
      <c r="G83" s="2497"/>
      <c r="H83" s="2497">
        <f>Matrix!K18</f>
        <v>0</v>
      </c>
      <c r="I83" s="2497"/>
      <c r="J83" s="2497">
        <f>Matrix!K35</f>
        <v>0</v>
      </c>
      <c r="K83" s="2497"/>
    </row>
    <row r="84" spans="2:18">
      <c r="B84" s="2045" t="str">
        <f>CONCATENATE(HLOOKUP(select,translations!$A$341:$H$435,41,),IF('8. Fish'!J46&gt;0,"+",""),IF('8. Fish'!J46&gt;0,HLOOKUP(select,translations!$A$341:$H$622,282,),""))</f>
        <v>Wetlands</v>
      </c>
      <c r="C84" s="2044"/>
      <c r="D84" s="2044"/>
      <c r="E84" s="2499">
        <f>Matrix!M20+'8. Fish'!J46</f>
        <v>0</v>
      </c>
      <c r="F84" s="2499"/>
      <c r="G84" s="2499"/>
      <c r="H84" s="2499">
        <f>E84</f>
        <v>0</v>
      </c>
      <c r="I84" s="2499"/>
      <c r="J84" s="2499">
        <f>H84</f>
        <v>0</v>
      </c>
      <c r="K84" s="2499"/>
      <c r="N84" s="2067"/>
      <c r="O84" s="2067"/>
    </row>
    <row r="85" spans="2:18" ht="13.15" customHeight="1">
      <c r="B85" s="1640"/>
      <c r="C85" s="1636"/>
      <c r="D85" s="1636"/>
      <c r="E85" s="2500"/>
      <c r="F85" s="2500"/>
      <c r="G85" s="2500"/>
      <c r="H85" s="2500"/>
      <c r="I85" s="2500"/>
      <c r="J85" s="2500"/>
      <c r="K85" s="2500"/>
      <c r="L85" s="2695"/>
      <c r="N85" s="3958" t="str">
        <f>HLOOKUP(select,translations!$A$341:$H$435,46,)</f>
        <v>Detailed matrices of changes</v>
      </c>
      <c r="O85" s="3958"/>
    </row>
    <row r="86" spans="2:18">
      <c r="B86" s="1683" t="str">
        <f>N8</f>
        <v>Total area (ha)</v>
      </c>
      <c r="C86" s="1683"/>
      <c r="D86" s="1636"/>
      <c r="E86" s="2500">
        <f>SUM(E77:E84)</f>
        <v>0</v>
      </c>
      <c r="F86" s="2500"/>
      <c r="G86" s="2500"/>
      <c r="H86" s="2500">
        <f>SUM(H77:H84)</f>
        <v>0</v>
      </c>
      <c r="I86" s="2500"/>
      <c r="J86" s="2500">
        <f>SUM(J77:J84)</f>
        <v>0</v>
      </c>
      <c r="K86" s="2500"/>
      <c r="L86" s="2695"/>
      <c r="M86" s="2695"/>
      <c r="N86" s="3958"/>
      <c r="O86" s="3958"/>
    </row>
    <row r="87" spans="2:18">
      <c r="B87" s="2054" t="str">
        <f>IF((2*E86-H86-J86)=0,"",HLOOKUP(select,translations!$A$341:$H$435,47,))</f>
        <v/>
      </c>
      <c r="C87" s="1636"/>
      <c r="D87" s="1636"/>
      <c r="E87" s="2500"/>
      <c r="F87" s="2500"/>
      <c r="G87" s="2500"/>
      <c r="H87" s="2500"/>
      <c r="I87" s="2500"/>
      <c r="J87" s="2500"/>
      <c r="K87" s="2500"/>
      <c r="L87" s="2695"/>
      <c r="M87" s="2695"/>
      <c r="N87" s="3958"/>
      <c r="O87" s="3958"/>
    </row>
    <row r="90" spans="2:18">
      <c r="B90" s="1683" t="str">
        <f>HLOOKUP(select,translations!$A$341:$H$435,48,)</f>
        <v>Other indicators</v>
      </c>
      <c r="C90" s="1636"/>
      <c r="D90" s="1636"/>
      <c r="E90" s="1636"/>
      <c r="F90" s="1636"/>
      <c r="G90" s="1636"/>
      <c r="H90" s="1636"/>
      <c r="I90" s="1636"/>
      <c r="J90" s="1636"/>
      <c r="K90" s="1636"/>
    </row>
    <row r="91" spans="2:18">
      <c r="B91" s="2697" t="str">
        <f>HLOOKUP(select,translations!$A$341:$H$435,49,)</f>
        <v>Area Irrigated - ha</v>
      </c>
      <c r="C91" s="2044"/>
      <c r="D91" s="2044"/>
      <c r="E91" s="2045" t="str">
        <f>E76</f>
        <v>Initial State</v>
      </c>
      <c r="F91" s="2044"/>
      <c r="G91" s="2044"/>
      <c r="H91" s="2045" t="str">
        <f>H76</f>
        <v>Without project</v>
      </c>
      <c r="I91" s="2044"/>
      <c r="J91" s="2045" t="str">
        <f>J76</f>
        <v>With project</v>
      </c>
      <c r="K91" s="2044"/>
      <c r="O91" s="2696"/>
    </row>
    <row r="92" spans="2:18">
      <c r="B92" s="2046"/>
      <c r="C92" s="2399" t="str">
        <f>HLOOKUP(select,translations!$A$341:$H$435,50,)</f>
        <v>Irrigated rice</v>
      </c>
      <c r="D92" s="2400"/>
      <c r="E92" s="2497">
        <f>E80</f>
        <v>0</v>
      </c>
      <c r="F92" s="2497"/>
      <c r="G92" s="2497"/>
      <c r="H92" s="2497">
        <f>H80</f>
        <v>0</v>
      </c>
      <c r="I92" s="2497"/>
      <c r="J92" s="2497">
        <f>J80</f>
        <v>0</v>
      </c>
      <c r="K92" s="2046"/>
    </row>
    <row r="93" spans="2:18">
      <c r="B93" s="2046"/>
      <c r="C93" s="2399" t="str">
        <f>HLOOKUP(select,translations!$A$341:$H$435,51,)</f>
        <v>Annual Crops</v>
      </c>
      <c r="D93" s="2400"/>
      <c r="E93" s="2497">
        <f>Annual!AI49</f>
        <v>0</v>
      </c>
      <c r="F93" s="2497"/>
      <c r="G93" s="2497"/>
      <c r="H93" s="2497">
        <f>Annual!AO49</f>
        <v>0</v>
      </c>
      <c r="I93" s="2497"/>
      <c r="J93" s="2497">
        <f>Annual!AU49</f>
        <v>0</v>
      </c>
      <c r="K93" s="2046"/>
    </row>
    <row r="94" spans="2:18">
      <c r="B94" s="2424"/>
      <c r="C94" s="2424"/>
      <c r="D94" s="2425" t="str">
        <f>B30</f>
        <v>Total</v>
      </c>
      <c r="E94" s="2498">
        <f>E93+E92</f>
        <v>0</v>
      </c>
      <c r="F94" s="2498"/>
      <c r="G94" s="2498"/>
      <c r="H94" s="2498">
        <f>H93+H92</f>
        <v>0</v>
      </c>
      <c r="I94" s="2498"/>
      <c r="J94" s="2498">
        <f>J93+J92</f>
        <v>0</v>
      </c>
      <c r="K94" s="2424"/>
    </row>
    <row r="95" spans="2:18">
      <c r="B95" s="2697" t="str">
        <f>HLOOKUP(select,translations!$A$341:$H$435,52,)</f>
        <v>Cumulated areas burnt - ha</v>
      </c>
      <c r="C95" s="2044"/>
      <c r="D95" s="2044"/>
      <c r="E95" s="2045"/>
      <c r="F95" s="2044"/>
      <c r="G95" s="2044"/>
      <c r="H95" s="2045" t="str">
        <f>H91</f>
        <v>Without project</v>
      </c>
      <c r="I95" s="2044"/>
      <c r="J95" s="2045" t="str">
        <f>J91</f>
        <v>With project</v>
      </c>
      <c r="K95" s="2044"/>
    </row>
    <row r="96" spans="2:18">
      <c r="B96" s="2046"/>
      <c r="C96" s="2046" t="str">
        <f>HLOOKUP(select,translations!$A$341:$H$435,53,)</f>
        <v>From deforestation</v>
      </c>
      <c r="D96" s="2046"/>
      <c r="E96" s="2046"/>
      <c r="F96" s="2046"/>
      <c r="G96" s="2046"/>
      <c r="H96" s="2497">
        <f>Deforestation!AG54</f>
        <v>0</v>
      </c>
      <c r="I96" s="2497"/>
      <c r="J96" s="2497">
        <f>Deforestation!AH54</f>
        <v>0</v>
      </c>
      <c r="K96" s="2046"/>
    </row>
    <row r="97" spans="2:11">
      <c r="B97" s="2046"/>
      <c r="C97" s="2046" t="str">
        <f>HLOOKUP(select,translations!$A$341:$H$435,54,)</f>
        <v>From degradation</v>
      </c>
      <c r="D97" s="2046"/>
      <c r="E97" s="2046"/>
      <c r="F97" s="2046"/>
      <c r="G97" s="2046"/>
      <c r="H97" s="2497">
        <f>'Forest Degradation'!BA55+'Organic Soils NEW'!M188</f>
        <v>0</v>
      </c>
      <c r="I97" s="2497"/>
      <c r="J97" s="2497">
        <f>'Forest Degradation'!BB55+'Organic Soils NEW'!N188</f>
        <v>0</v>
      </c>
      <c r="K97" s="2046"/>
    </row>
    <row r="98" spans="2:11">
      <c r="B98" s="2046"/>
      <c r="C98" s="2046" t="str">
        <f>B16</f>
        <v>Afforestation</v>
      </c>
      <c r="D98" s="2046"/>
      <c r="E98" s="2046"/>
      <c r="F98" s="2046"/>
      <c r="G98" s="2046"/>
      <c r="H98" s="2497">
        <f>'A-R'!AA54</f>
        <v>0</v>
      </c>
      <c r="I98" s="2497"/>
      <c r="J98" s="2497">
        <f>'A-R'!AB54</f>
        <v>0</v>
      </c>
      <c r="K98" s="2046"/>
    </row>
    <row r="99" spans="2:11">
      <c r="B99" s="2046"/>
      <c r="C99" s="2046" t="str">
        <f>B17</f>
        <v>Other LUC</v>
      </c>
      <c r="D99" s="2046"/>
      <c r="E99" s="2046"/>
      <c r="F99" s="2046"/>
      <c r="G99" s="2046"/>
      <c r="H99" s="2497">
        <f>'non Forest LUC'!U48</f>
        <v>0</v>
      </c>
      <c r="I99" s="2497"/>
      <c r="J99" s="2497">
        <f>'non Forest LUC'!V48</f>
        <v>0</v>
      </c>
      <c r="K99" s="2046"/>
    </row>
    <row r="100" spans="2:11">
      <c r="B100" s="2046"/>
      <c r="C100" s="2046" t="str">
        <f>B19</f>
        <v>Annual</v>
      </c>
      <c r="D100" s="2046"/>
      <c r="E100" s="2046"/>
      <c r="F100" s="2046"/>
      <c r="G100" s="2046"/>
      <c r="H100" s="2497">
        <f>Annual!AY49</f>
        <v>0</v>
      </c>
      <c r="I100" s="2497"/>
      <c r="J100" s="2497">
        <f>Annual!AZ49</f>
        <v>0</v>
      </c>
      <c r="K100" s="2046"/>
    </row>
    <row r="101" spans="2:11">
      <c r="B101" s="2046"/>
      <c r="C101" s="2046" t="str">
        <f>B20</f>
        <v>Perennial</v>
      </c>
      <c r="D101" s="2046"/>
      <c r="E101" s="2046"/>
      <c r="F101" s="2046"/>
      <c r="G101" s="2046"/>
      <c r="H101" s="2497">
        <f>Perennial!AA47</f>
        <v>0</v>
      </c>
      <c r="I101" s="2497"/>
      <c r="J101" s="2497">
        <f>Perennial!AB47</f>
        <v>0</v>
      </c>
      <c r="K101" s="2046"/>
    </row>
    <row r="102" spans="2:11">
      <c r="B102" s="2046"/>
      <c r="C102" s="2046" t="str">
        <f>C92</f>
        <v>Irrigated rice</v>
      </c>
      <c r="D102" s="2046"/>
      <c r="E102" s="2046"/>
      <c r="F102" s="2046"/>
      <c r="G102" s="2046"/>
      <c r="H102" s="2497">
        <f>'Irrigated Rice'!AI47</f>
        <v>0</v>
      </c>
      <c r="I102" s="2497"/>
      <c r="J102" s="2497">
        <f>'Irrigated Rice'!AJ47</f>
        <v>0</v>
      </c>
      <c r="K102" s="2046"/>
    </row>
    <row r="103" spans="2:11">
      <c r="B103" s="2046"/>
      <c r="C103" s="2418" t="str">
        <f>B23</f>
        <v>Grassland</v>
      </c>
      <c r="D103" s="2046"/>
      <c r="E103" s="2046"/>
      <c r="F103" s="2046"/>
      <c r="G103" s="2046"/>
      <c r="H103" s="2497">
        <f>Grass!AE44</f>
        <v>0</v>
      </c>
      <c r="I103" s="2497"/>
      <c r="J103" s="2497">
        <f>Grass!AF44</f>
        <v>0</v>
      </c>
      <c r="K103" s="2046"/>
    </row>
    <row r="104" spans="2:11">
      <c r="B104" s="2424"/>
      <c r="C104" s="2424"/>
      <c r="D104" s="2426" t="str">
        <f>D94</f>
        <v>Total</v>
      </c>
      <c r="E104" s="2424"/>
      <c r="F104" s="2424"/>
      <c r="G104" s="2424"/>
      <c r="H104" s="2498">
        <f>SUM(H96:H103)</f>
        <v>0</v>
      </c>
      <c r="I104" s="2498"/>
      <c r="J104" s="2498">
        <f>SUM(J96:J103)</f>
        <v>0</v>
      </c>
      <c r="K104" s="2424"/>
    </row>
    <row r="150" spans="2:19" ht="13.15" customHeight="1">
      <c r="B150" s="3950" t="str">
        <f>HLOOKUP(select,translations!$A$341:$H$435,55,)</f>
        <v>Back to main results</v>
      </c>
      <c r="C150" s="3950"/>
      <c r="D150" s="3950"/>
      <c r="E150" s="3950"/>
    </row>
    <row r="151" spans="2:19" ht="13.15" customHeight="1">
      <c r="B151" s="3950"/>
      <c r="C151" s="3950"/>
      <c r="D151" s="3950"/>
      <c r="E151" s="3950"/>
    </row>
    <row r="152" spans="2:19" ht="15.75">
      <c r="B152" s="2678" t="str">
        <f>B7</f>
        <v>Project Name</v>
      </c>
      <c r="C152" s="2540"/>
      <c r="D152" s="2692">
        <f>D7</f>
        <v>0</v>
      </c>
      <c r="E152" s="2540"/>
      <c r="F152" s="2678" t="str">
        <f>F7</f>
        <v>Climate</v>
      </c>
      <c r="G152" s="2540"/>
      <c r="H152" s="2681" t="str">
        <f>H7</f>
        <v>Please select (Please select)</v>
      </c>
      <c r="I152" s="2540"/>
      <c r="J152" s="2540"/>
      <c r="K152" s="2540"/>
      <c r="L152" s="2540"/>
      <c r="M152" s="2541"/>
      <c r="N152" s="2678" t="str">
        <f>N7</f>
        <v>Duration of the Project (Years)</v>
      </c>
      <c r="O152" s="2681">
        <f>O7</f>
        <v>0</v>
      </c>
      <c r="P152" s="2540"/>
      <c r="Q152" s="2540"/>
      <c r="R152" s="2540"/>
      <c r="S152" s="2540"/>
    </row>
    <row r="153" spans="2:19" ht="15.75">
      <c r="B153" s="2678" t="str">
        <f>B8</f>
        <v>Continent</v>
      </c>
      <c r="C153" s="2540"/>
      <c r="D153" s="2693" t="str">
        <f>D8</f>
        <v>Please select</v>
      </c>
      <c r="E153" s="2540"/>
      <c r="F153" s="2678" t="str">
        <f>F8</f>
        <v>Dominant Regional Soil Type</v>
      </c>
      <c r="G153" s="2540"/>
      <c r="H153" s="2681" t="str">
        <f>H8</f>
        <v>Please select</v>
      </c>
      <c r="I153" s="2540"/>
      <c r="J153" s="2540"/>
      <c r="K153" s="2540"/>
      <c r="L153" s="2540"/>
      <c r="M153" s="2541"/>
      <c r="N153" s="2678" t="str">
        <f>N8</f>
        <v>Total area (ha)</v>
      </c>
      <c r="O153" s="2681">
        <f>O8</f>
        <v>0</v>
      </c>
      <c r="P153" s="2540"/>
      <c r="Q153" s="2540"/>
      <c r="R153" s="2540"/>
      <c r="S153" s="2540"/>
    </row>
    <row r="155" spans="2:19">
      <c r="B155" s="3954" t="str">
        <f>B10</f>
        <v>Components of the project</v>
      </c>
      <c r="D155" s="2047" t="str">
        <f>D10</f>
        <v>Gross fluxes</v>
      </c>
      <c r="E155" s="2047"/>
      <c r="F155" s="2048"/>
      <c r="H155" s="3959" t="str">
        <f>HLOOKUP(select,translations!$A$341:$H$435,56,)</f>
        <v>Production</v>
      </c>
      <c r="I155" s="3959"/>
      <c r="K155" s="3960" t="str">
        <f>HLOOKUP(select,translations!$A$341:$H$435,58,)</f>
        <v>Gross emission intensity</v>
      </c>
      <c r="L155" s="3960"/>
      <c r="N155" s="3961" t="str">
        <f>HLOOKUP(select,translations!$A$341:$H$435,60,)</f>
        <v>Percentage of human use</v>
      </c>
      <c r="O155" s="3961"/>
      <c r="Q155" s="3961" t="str">
        <f>HLOOKUP(select,translations!$A$341:$H$435,61,)</f>
        <v>Corresponding quantity used</v>
      </c>
      <c r="R155" s="3961"/>
      <c r="S155" s="3961"/>
    </row>
    <row r="156" spans="2:19">
      <c r="B156" s="3954"/>
      <c r="D156" s="2047" t="str">
        <f>D11</f>
        <v>Without</v>
      </c>
      <c r="E156" s="2047" t="str">
        <f>E11</f>
        <v>With</v>
      </c>
      <c r="F156" s="2048" t="str">
        <f>F11</f>
        <v>Balance</v>
      </c>
      <c r="H156" s="3959" t="str">
        <f>HLOOKUP(select,translations!$A$341:$H$435,57,)</f>
        <v>t of product</v>
      </c>
      <c r="I156" s="3959"/>
      <c r="K156" s="3959" t="str">
        <f>HLOOKUP(select,translations!$A$341:$H$435,59,)</f>
        <v>tCO2eq per t of product</v>
      </c>
      <c r="L156" s="3959"/>
      <c r="N156" s="3961"/>
      <c r="O156" s="3961"/>
      <c r="Q156" s="3961"/>
      <c r="R156" s="3961"/>
      <c r="S156" s="3961"/>
    </row>
    <row r="157" spans="2:19">
      <c r="B157" s="2021"/>
      <c r="D157" s="2047" t="str">
        <f>D12</f>
        <v>All GHG in tCO2eq</v>
      </c>
      <c r="E157" s="2047"/>
      <c r="F157" s="2048"/>
      <c r="H157" s="2386" t="str">
        <f>D156</f>
        <v>Without</v>
      </c>
      <c r="I157" s="2386" t="str">
        <f>E156</f>
        <v>With</v>
      </c>
      <c r="K157" s="2386" t="str">
        <f>H157</f>
        <v>Without</v>
      </c>
      <c r="L157" s="2386" t="str">
        <f>I157</f>
        <v>With</v>
      </c>
      <c r="N157" s="2429" t="str">
        <f>K157</f>
        <v>Without</v>
      </c>
      <c r="O157" s="2429" t="str">
        <f>L157</f>
        <v>With</v>
      </c>
      <c r="Q157" s="2429" t="str">
        <f>N157</f>
        <v>Without</v>
      </c>
      <c r="R157" s="2427"/>
      <c r="S157" s="2429" t="str">
        <f>O157</f>
        <v>With</v>
      </c>
    </row>
    <row r="159" spans="2:19">
      <c r="B159" s="2699" t="str">
        <f>HLOOKUP(select,translations!$A$341:$H$435,62,)</f>
        <v>All Land Use Changes</v>
      </c>
      <c r="D159" s="2013">
        <f>SUM(D15:D17)</f>
        <v>0</v>
      </c>
      <c r="E159" s="2013">
        <f>SUM(E15:E17)</f>
        <v>0</v>
      </c>
      <c r="F159" s="2017">
        <f t="shared" ref="F159:F166" si="6">E159-D159</f>
        <v>0</v>
      </c>
      <c r="H159" s="2068"/>
      <c r="I159" s="2068"/>
      <c r="K159" s="2067"/>
      <c r="L159" s="2067"/>
      <c r="N159" s="2427"/>
      <c r="O159" s="2427"/>
      <c r="Q159" s="2427"/>
      <c r="R159" s="2427"/>
      <c r="S159" s="2427"/>
    </row>
    <row r="160" spans="2:19">
      <c r="B160" s="2463" t="str">
        <f>C100</f>
        <v>Annual</v>
      </c>
      <c r="D160" s="2013">
        <f t="shared" ref="D160:E162" si="7">D19</f>
        <v>0</v>
      </c>
      <c r="E160" s="2013">
        <f t="shared" si="7"/>
        <v>0</v>
      </c>
      <c r="F160" s="2017">
        <f t="shared" si="6"/>
        <v>0</v>
      </c>
      <c r="H160" s="2068">
        <f t="shared" ref="H160:I162" si="8">S19</f>
        <v>0</v>
      </c>
      <c r="I160" s="2068">
        <f t="shared" si="8"/>
        <v>0</v>
      </c>
      <c r="K160" s="2069">
        <f t="shared" ref="K160:L162" si="9">V19</f>
        <v>0</v>
      </c>
      <c r="L160" s="2069">
        <f t="shared" si="9"/>
        <v>0</v>
      </c>
      <c r="N160" s="2316">
        <v>100</v>
      </c>
      <c r="O160" s="2316">
        <v>100</v>
      </c>
      <c r="Q160" s="2430">
        <f>H160*N160/100</f>
        <v>0</v>
      </c>
      <c r="R160" s="2427"/>
      <c r="S160" s="2430">
        <f>I160*O160/100</f>
        <v>0</v>
      </c>
    </row>
    <row r="161" spans="2:19">
      <c r="B161" s="2463" t="str">
        <f t="shared" ref="B161:B163" si="10">C101</f>
        <v>Perennial</v>
      </c>
      <c r="D161" s="2013">
        <f t="shared" si="7"/>
        <v>0</v>
      </c>
      <c r="E161" s="2013">
        <f t="shared" si="7"/>
        <v>0</v>
      </c>
      <c r="F161" s="2017">
        <f t="shared" si="6"/>
        <v>0</v>
      </c>
      <c r="H161" s="2068">
        <f t="shared" si="8"/>
        <v>0</v>
      </c>
      <c r="I161" s="2068">
        <f t="shared" si="8"/>
        <v>0</v>
      </c>
      <c r="K161" s="2069">
        <f t="shared" si="9"/>
        <v>0</v>
      </c>
      <c r="L161" s="2069">
        <f t="shared" si="9"/>
        <v>0</v>
      </c>
      <c r="N161" s="2316">
        <v>100</v>
      </c>
      <c r="O161" s="2316">
        <v>100</v>
      </c>
      <c r="Q161" s="2430">
        <f>H161*N161/100</f>
        <v>0</v>
      </c>
      <c r="R161" s="2427"/>
      <c r="S161" s="2430">
        <f>I161*O161/100</f>
        <v>0</v>
      </c>
    </row>
    <row r="162" spans="2:19">
      <c r="B162" s="2463" t="str">
        <f t="shared" si="10"/>
        <v>Irrigated rice</v>
      </c>
      <c r="D162" s="2013">
        <f t="shared" si="7"/>
        <v>0</v>
      </c>
      <c r="E162" s="2013">
        <f t="shared" si="7"/>
        <v>0</v>
      </c>
      <c r="F162" s="2017">
        <f t="shared" si="6"/>
        <v>0</v>
      </c>
      <c r="H162" s="2068">
        <f t="shared" si="8"/>
        <v>0</v>
      </c>
      <c r="I162" s="2068">
        <f t="shared" si="8"/>
        <v>0</v>
      </c>
      <c r="K162" s="2069">
        <f t="shared" si="9"/>
        <v>0</v>
      </c>
      <c r="L162" s="2069">
        <f t="shared" si="9"/>
        <v>0</v>
      </c>
      <c r="N162" s="2316">
        <v>100</v>
      </c>
      <c r="O162" s="2316">
        <v>100</v>
      </c>
      <c r="Q162" s="2430">
        <f>H162*N162/100</f>
        <v>0</v>
      </c>
      <c r="R162" s="2427"/>
      <c r="S162" s="2430">
        <f>I162*O162/100</f>
        <v>0</v>
      </c>
    </row>
    <row r="163" spans="2:19">
      <c r="B163" s="2463" t="str">
        <f t="shared" si="10"/>
        <v>Grassland</v>
      </c>
      <c r="D163" s="2013">
        <f t="shared" ref="D163:E165" si="11">D23</f>
        <v>0</v>
      </c>
      <c r="E163" s="2013">
        <f t="shared" si="11"/>
        <v>0</v>
      </c>
      <c r="F163" s="2017">
        <f t="shared" si="6"/>
        <v>0</v>
      </c>
      <c r="H163" s="2068">
        <f>S23</f>
        <v>0</v>
      </c>
      <c r="I163" s="2068">
        <f>T23</f>
        <v>0</v>
      </c>
      <c r="K163" s="2069">
        <f>V23</f>
        <v>0</v>
      </c>
      <c r="L163" s="2069">
        <f>W23</f>
        <v>0</v>
      </c>
      <c r="N163" s="2316">
        <v>100</v>
      </c>
      <c r="O163" s="2316">
        <v>100</v>
      </c>
      <c r="Q163" s="2430">
        <f>H163*N163/100</f>
        <v>0</v>
      </c>
      <c r="R163" s="2427"/>
      <c r="S163" s="2430">
        <f>I163*O163/100</f>
        <v>0</v>
      </c>
    </row>
    <row r="164" spans="2:19">
      <c r="B164" s="2463" t="str">
        <f>B24</f>
        <v>Livestocks</v>
      </c>
      <c r="D164" s="2013">
        <f t="shared" si="11"/>
        <v>0</v>
      </c>
      <c r="E164" s="2013">
        <f t="shared" si="11"/>
        <v>0</v>
      </c>
      <c r="F164" s="2017">
        <f t="shared" si="6"/>
        <v>0</v>
      </c>
      <c r="H164" s="2068">
        <f>S24</f>
        <v>0</v>
      </c>
      <c r="I164" s="2068">
        <f>T24</f>
        <v>0</v>
      </c>
      <c r="K164" s="2069">
        <f>V24</f>
        <v>0</v>
      </c>
      <c r="L164" s="2069">
        <f>W24</f>
        <v>0</v>
      </c>
      <c r="N164" s="2316">
        <v>100</v>
      </c>
      <c r="O164" s="2316">
        <v>100</v>
      </c>
      <c r="Q164" s="2430">
        <f>H164*N164/100</f>
        <v>0</v>
      </c>
      <c r="R164" s="2427"/>
      <c r="S164" s="2430">
        <f>I164*O164/100</f>
        <v>0</v>
      </c>
    </row>
    <row r="165" spans="2:19">
      <c r="B165" s="2045" t="str">
        <f>B25</f>
        <v>Degradation &amp; Management</v>
      </c>
      <c r="D165" s="2013">
        <f t="shared" si="11"/>
        <v>0</v>
      </c>
      <c r="E165" s="2013">
        <f t="shared" si="11"/>
        <v>0</v>
      </c>
      <c r="F165" s="2017">
        <f t="shared" si="6"/>
        <v>0</v>
      </c>
      <c r="H165" s="2068"/>
      <c r="I165" s="2068"/>
      <c r="K165" s="2069"/>
      <c r="L165" s="2069"/>
      <c r="N165" s="2427"/>
      <c r="O165" s="2427"/>
      <c r="Q165" s="2427"/>
      <c r="R165" s="2427"/>
      <c r="S165" s="2427"/>
    </row>
    <row r="166" spans="2:19">
      <c r="B166" s="2045" t="str">
        <f>B27</f>
        <v>Inputs &amp; Investments</v>
      </c>
      <c r="D166" s="2013">
        <f>D27</f>
        <v>0</v>
      </c>
      <c r="E166" s="2013">
        <f>E27</f>
        <v>0</v>
      </c>
      <c r="F166" s="2017">
        <f t="shared" si="6"/>
        <v>0</v>
      </c>
      <c r="H166" s="2068"/>
      <c r="I166" s="2068"/>
      <c r="K166" s="2069"/>
      <c r="L166" s="2069"/>
      <c r="N166" s="2427"/>
      <c r="O166" s="2427"/>
      <c r="Q166" s="2427"/>
      <c r="R166" s="2427"/>
      <c r="S166" s="2427"/>
    </row>
    <row r="167" spans="2:19">
      <c r="B167" s="2045" t="str">
        <f>B28</f>
        <v>Fishery &amp; Aquaculture</v>
      </c>
      <c r="D167" s="2013">
        <f t="shared" ref="D167:E167" si="12">D28</f>
        <v>0</v>
      </c>
      <c r="E167" s="2013">
        <f t="shared" si="12"/>
        <v>0</v>
      </c>
      <c r="F167" s="2017">
        <f t="shared" ref="F167" si="13">E167-D167</f>
        <v>0</v>
      </c>
      <c r="H167" s="2068">
        <f>S28</f>
        <v>0</v>
      </c>
      <c r="I167" s="2068">
        <f>T28</f>
        <v>0</v>
      </c>
      <c r="K167" s="2069">
        <f t="shared" ref="K167" si="14">V28</f>
        <v>0</v>
      </c>
      <c r="L167" s="2069">
        <f t="shared" ref="L167" si="15">W28</f>
        <v>0</v>
      </c>
      <c r="N167" s="2316">
        <v>100</v>
      </c>
      <c r="O167" s="2316">
        <v>100</v>
      </c>
      <c r="Q167" s="2430">
        <f>H167*N167/100</f>
        <v>0</v>
      </c>
      <c r="R167" s="2427"/>
      <c r="S167" s="2430">
        <f>I167*O167/100</f>
        <v>0</v>
      </c>
    </row>
    <row r="168" spans="2:19">
      <c r="D168" s="2010"/>
      <c r="E168" s="2010"/>
      <c r="F168" s="2010"/>
      <c r="H168" s="2009"/>
      <c r="I168" s="2009"/>
    </row>
    <row r="169" spans="2:19">
      <c r="B169" s="2021" t="str">
        <f>D104</f>
        <v>Total</v>
      </c>
      <c r="C169" s="2044"/>
      <c r="D169" s="2013">
        <f>SUM(D159:D166)</f>
        <v>0</v>
      </c>
      <c r="E169" s="2013">
        <f>SUM(E159:E166)</f>
        <v>0</v>
      </c>
      <c r="F169" s="2025">
        <f>SUM(F159:F166)</f>
        <v>0</v>
      </c>
      <c r="H169" s="2068">
        <f>SUM(H159:H166)</f>
        <v>0</v>
      </c>
      <c r="I169" s="2068">
        <f>SUM(I159:I166)</f>
        <v>0</v>
      </c>
      <c r="K169" s="2069">
        <f>V30</f>
        <v>0</v>
      </c>
      <c r="L169" s="2069">
        <f>W30</f>
        <v>0</v>
      </c>
      <c r="Q169" s="2430">
        <f>SUM(Q160:Q167)</f>
        <v>0</v>
      </c>
      <c r="R169" s="2427"/>
      <c r="S169" s="2430">
        <f>SUM(S160:S167)</f>
        <v>0</v>
      </c>
    </row>
    <row r="171" spans="2:19">
      <c r="B171" s="2844" t="str">
        <f>HLOOKUP(select,translations!$A$341:$H$435,63,)</f>
        <v>Detailled Emissions in t CO2-eq for the different phases of the Value Chain</v>
      </c>
      <c r="C171" s="2431"/>
      <c r="D171" s="2431"/>
      <c r="E171" s="2431"/>
      <c r="F171" s="2431"/>
      <c r="G171" s="2431"/>
      <c r="H171" s="2431"/>
      <c r="I171" s="2431"/>
      <c r="J171" s="2431"/>
      <c r="K171" s="2444" t="str">
        <f>HLOOKUP(select,translations!$A$341:$H$435,64,)</f>
        <v>Emissions (tCO2/t product)</v>
      </c>
      <c r="L171" s="2444"/>
      <c r="M171" s="2431"/>
      <c r="O171" s="2006"/>
    </row>
    <row r="172" spans="2:19">
      <c r="B172" s="2845"/>
      <c r="C172" s="2431"/>
      <c r="D172" s="2431"/>
      <c r="E172" s="2431"/>
      <c r="F172" s="2431"/>
      <c r="G172" s="2431"/>
      <c r="H172" s="2431"/>
      <c r="I172" s="2431"/>
      <c r="J172" s="2431"/>
      <c r="K172" s="2445" t="str">
        <f>N157</f>
        <v>Without</v>
      </c>
      <c r="L172" s="2445" t="str">
        <f>O157</f>
        <v>With</v>
      </c>
      <c r="M172" s="2431"/>
    </row>
    <row r="173" spans="2:19">
      <c r="B173" s="2846" t="str">
        <f>HLOOKUP(select,translations!$A$341:$H$435,65,)</f>
        <v>PRODUCTION Level (corresponding emissions calculated as a percentage of total quantity used)</v>
      </c>
      <c r="C173" s="2447"/>
      <c r="D173" s="2447"/>
      <c r="E173" s="2447"/>
      <c r="F173" s="2447"/>
      <c r="G173" s="2447"/>
      <c r="H173" s="2447"/>
      <c r="I173" s="2447"/>
      <c r="J173" s="2447"/>
      <c r="K173" s="2448"/>
      <c r="L173" s="2448"/>
      <c r="M173" s="2447"/>
    </row>
    <row r="174" spans="2:19">
      <c r="B174" s="2847" t="str">
        <f>HLOOKUP(select,translations!$A$341:$H$435,66,)</f>
        <v>Direct and indirect (induced LUC, degradation, Inputs &amp; Investments) emissions</v>
      </c>
      <c r="C174" s="2431"/>
      <c r="D174" s="2431"/>
      <c r="E174" s="2431"/>
      <c r="F174" s="2431"/>
      <c r="G174" s="2431"/>
      <c r="H174" s="2431"/>
      <c r="I174" s="2431"/>
      <c r="J174" s="2431"/>
      <c r="K174" s="2453">
        <f>K169</f>
        <v>0</v>
      </c>
      <c r="L174" s="2453">
        <f>L169</f>
        <v>0</v>
      </c>
      <c r="M174" s="2431"/>
    </row>
    <row r="175" spans="2:19">
      <c r="B175" s="2845"/>
      <c r="C175" s="2431"/>
      <c r="D175" s="2431"/>
      <c r="E175" s="2431"/>
      <c r="F175" s="2431"/>
      <c r="G175" s="2431"/>
      <c r="H175" s="2431"/>
      <c r="I175" s="2431"/>
      <c r="J175" s="2431"/>
      <c r="K175" s="2454"/>
      <c r="L175" s="2454"/>
      <c r="M175" s="2431"/>
    </row>
    <row r="176" spans="2:19">
      <c r="B176" s="2846" t="str">
        <f>HLOOKUP(select,translations!$A$341:$H$435,67,)</f>
        <v>PROCESSING Level (list inputs or processes necessary)</v>
      </c>
      <c r="C176" s="2447"/>
      <c r="D176" s="2447"/>
      <c r="E176" s="2447"/>
      <c r="F176" s="2447"/>
      <c r="G176" s="2447"/>
      <c r="H176" s="2447"/>
      <c r="I176" s="2447"/>
      <c r="J176" s="2447"/>
      <c r="K176" s="2455"/>
      <c r="L176" s="2455"/>
      <c r="M176" s="2447"/>
    </row>
    <row r="177" spans="2:13" ht="24.6" customHeight="1">
      <c r="B177" s="2434" t="str">
        <f>HLOOKUP(select,translations!$A$341:$H$435,68,)</f>
        <v>Name of input/process</v>
      </c>
      <c r="C177" s="2434"/>
      <c r="D177" s="2435"/>
      <c r="E177" s="3970" t="str">
        <f>HLOOKUP(select,translations!$A$341:$H$435,69,)</f>
        <v>Emission per input</v>
      </c>
      <c r="F177" s="3970"/>
      <c r="G177" s="2435"/>
      <c r="H177" s="3970" t="str">
        <f>HLOOKUP(select,translations!$A$341:$H$435,70,)</f>
        <v>Input per t product</v>
      </c>
      <c r="I177" s="3970"/>
      <c r="J177" s="2435"/>
      <c r="K177" s="2456"/>
      <c r="L177" s="2456"/>
      <c r="M177" s="2435"/>
    </row>
    <row r="178" spans="2:13">
      <c r="B178" s="2700" t="str">
        <f>HLOOKUP(select,translations!$A$341:$H$435,74,)</f>
        <v>Insert name below</v>
      </c>
      <c r="C178" s="2435"/>
      <c r="D178" s="2435"/>
      <c r="E178" s="2436" t="str">
        <f>H157</f>
        <v>Without</v>
      </c>
      <c r="F178" s="2436" t="str">
        <f>I157</f>
        <v>With</v>
      </c>
      <c r="G178" s="2435"/>
      <c r="H178" s="2436" t="str">
        <f>E178</f>
        <v>Without</v>
      </c>
      <c r="I178" s="2436" t="str">
        <f>F178</f>
        <v>With</v>
      </c>
      <c r="J178" s="2435"/>
      <c r="K178" s="2451"/>
      <c r="L178" s="2451"/>
      <c r="M178" s="2435"/>
    </row>
    <row r="179" spans="2:13">
      <c r="B179" s="3953"/>
      <c r="C179" s="3953"/>
      <c r="D179" s="2435"/>
      <c r="E179" s="2438"/>
      <c r="F179" s="2438"/>
      <c r="G179" s="2432"/>
      <c r="H179" s="2438"/>
      <c r="I179" s="2438"/>
      <c r="J179" s="2432"/>
      <c r="K179" s="2451">
        <f>$E179*$H179</f>
        <v>0</v>
      </c>
      <c r="L179" s="2451">
        <f>$F179*$I179</f>
        <v>0</v>
      </c>
      <c r="M179" s="2435"/>
    </row>
    <row r="180" spans="2:13">
      <c r="B180" s="3953"/>
      <c r="C180" s="3953"/>
      <c r="D180" s="2435"/>
      <c r="E180" s="2438"/>
      <c r="F180" s="2438"/>
      <c r="G180" s="2432"/>
      <c r="H180" s="2438"/>
      <c r="I180" s="2438"/>
      <c r="J180" s="2432"/>
      <c r="K180" s="2451">
        <f>$E180*$H180</f>
        <v>0</v>
      </c>
      <c r="L180" s="2451">
        <f>$F180*$I180</f>
        <v>0</v>
      </c>
      <c r="M180" s="2435"/>
    </row>
    <row r="181" spans="2:13">
      <c r="B181" s="3953"/>
      <c r="C181" s="3953"/>
      <c r="D181" s="2435"/>
      <c r="E181" s="2438"/>
      <c r="F181" s="2438"/>
      <c r="G181" s="2432"/>
      <c r="H181" s="2438"/>
      <c r="I181" s="2438"/>
      <c r="J181" s="2432"/>
      <c r="K181" s="2451">
        <f>$E181*$H181</f>
        <v>0</v>
      </c>
      <c r="L181" s="2451">
        <f>$F181*$I181</f>
        <v>0</v>
      </c>
      <c r="M181" s="2435"/>
    </row>
    <row r="182" spans="2:13">
      <c r="B182" s="3953"/>
      <c r="C182" s="3953"/>
      <c r="D182" s="2435"/>
      <c r="E182" s="2438"/>
      <c r="F182" s="2438"/>
      <c r="G182" s="2432"/>
      <c r="H182" s="2438"/>
      <c r="I182" s="2438"/>
      <c r="J182" s="2432"/>
      <c r="K182" s="2451">
        <f>$E182*$H182</f>
        <v>0</v>
      </c>
      <c r="L182" s="2451">
        <f>$F182*$I182</f>
        <v>0</v>
      </c>
      <c r="M182" s="2435"/>
    </row>
    <row r="183" spans="2:13">
      <c r="B183" s="2435"/>
      <c r="C183" s="2435"/>
      <c r="D183" s="2435"/>
      <c r="E183" s="2435"/>
      <c r="F183" s="2435"/>
      <c r="G183" s="2435"/>
      <c r="H183" s="2435"/>
      <c r="I183" s="2434"/>
      <c r="J183" s="2449" t="str">
        <f>HLOOKUP(select,translations!$A$341:$H$435,71,)</f>
        <v>Total for PROCESSING</v>
      </c>
      <c r="K183" s="2452">
        <f>SUM(K179:K182)</f>
        <v>0</v>
      </c>
      <c r="L183" s="2452">
        <f>SUM(L179:L182)</f>
        <v>0</v>
      </c>
      <c r="M183" s="2435"/>
    </row>
    <row r="184" spans="2:13">
      <c r="B184" s="2848" t="str">
        <f>HLOOKUP(select,translations!$A$341:$H$435,72,)</f>
        <v>TRANSPORT level (list the differents inputs or processes necessary)</v>
      </c>
      <c r="C184" s="2441"/>
      <c r="D184" s="2441"/>
      <c r="E184" s="2441"/>
      <c r="F184" s="2441"/>
      <c r="G184" s="2441"/>
      <c r="H184" s="2441"/>
      <c r="I184" s="2441"/>
      <c r="J184" s="2441"/>
      <c r="K184" s="2457"/>
      <c r="L184" s="2457"/>
      <c r="M184" s="2441"/>
    </row>
    <row r="185" spans="2:13" ht="24.6" customHeight="1">
      <c r="B185" s="2434" t="str">
        <f>B177</f>
        <v>Name of input/process</v>
      </c>
      <c r="C185" s="2434"/>
      <c r="D185" s="2435"/>
      <c r="E185" s="3956" t="str">
        <f>E177</f>
        <v>Emission per input</v>
      </c>
      <c r="F185" s="3956"/>
      <c r="G185" s="2435"/>
      <c r="H185" s="3956" t="str">
        <f>H177</f>
        <v>Input per t product</v>
      </c>
      <c r="I185" s="3956"/>
      <c r="J185" s="2435"/>
      <c r="K185" s="2458"/>
      <c r="L185" s="2458"/>
      <c r="M185" s="2435"/>
    </row>
    <row r="186" spans="2:13">
      <c r="B186" s="2700" t="str">
        <f>B178</f>
        <v>Insert name below</v>
      </c>
      <c r="C186" s="2435"/>
      <c r="D186" s="2435"/>
      <c r="E186" s="2436" t="str">
        <f>E178</f>
        <v>Without</v>
      </c>
      <c r="F186" s="2436" t="str">
        <f>F178</f>
        <v>With</v>
      </c>
      <c r="G186" s="2435"/>
      <c r="H186" s="2436" t="str">
        <f>H178</f>
        <v>Without</v>
      </c>
      <c r="I186" s="2436" t="str">
        <f>I178</f>
        <v>With</v>
      </c>
      <c r="J186" s="2435"/>
      <c r="K186" s="2451"/>
      <c r="L186" s="2451"/>
      <c r="M186" s="2435"/>
    </row>
    <row r="187" spans="2:13">
      <c r="B187" s="3953"/>
      <c r="C187" s="3953"/>
      <c r="D187" s="2435"/>
      <c r="E187" s="2438"/>
      <c r="F187" s="2438"/>
      <c r="G187" s="2432"/>
      <c r="H187" s="2438"/>
      <c r="I187" s="2438"/>
      <c r="J187" s="2435"/>
      <c r="K187" s="2451">
        <f>$E187*$H187</f>
        <v>0</v>
      </c>
      <c r="L187" s="2451">
        <f>$F187*$I187</f>
        <v>0</v>
      </c>
      <c r="M187" s="2435"/>
    </row>
    <row r="188" spans="2:13">
      <c r="B188" s="3953"/>
      <c r="C188" s="3953"/>
      <c r="D188" s="2435"/>
      <c r="E188" s="2438"/>
      <c r="F188" s="2438"/>
      <c r="G188" s="2432"/>
      <c r="H188" s="2438"/>
      <c r="I188" s="2438"/>
      <c r="J188" s="2435"/>
      <c r="K188" s="2451">
        <f>$E188*$H188</f>
        <v>0</v>
      </c>
      <c r="L188" s="2451">
        <f>$F188*$I188</f>
        <v>0</v>
      </c>
      <c r="M188" s="2435"/>
    </row>
    <row r="189" spans="2:13">
      <c r="B189" s="3953"/>
      <c r="C189" s="3953"/>
      <c r="D189" s="2435"/>
      <c r="E189" s="2438"/>
      <c r="F189" s="2438"/>
      <c r="G189" s="2432"/>
      <c r="H189" s="2438"/>
      <c r="I189" s="2438"/>
      <c r="J189" s="2435"/>
      <c r="K189" s="2451">
        <f>$E189*$H189</f>
        <v>0</v>
      </c>
      <c r="L189" s="2451">
        <f>$F189*$I189</f>
        <v>0</v>
      </c>
      <c r="M189" s="2435"/>
    </row>
    <row r="190" spans="2:13">
      <c r="B190" s="2435"/>
      <c r="C190" s="2435"/>
      <c r="D190" s="2435"/>
      <c r="E190" s="2435"/>
      <c r="F190" s="2435"/>
      <c r="G190" s="2435"/>
      <c r="H190" s="2435"/>
      <c r="I190" s="2439"/>
      <c r="J190" s="2449" t="str">
        <f>HLOOKUP(select,translations!$A$341:$H$435,73,)</f>
        <v>Total TRANSPORT</v>
      </c>
      <c r="K190" s="2452">
        <f>SUM(K187:K189)</f>
        <v>0</v>
      </c>
      <c r="L190" s="2452">
        <f>SUM(L187:L189)</f>
        <v>0</v>
      </c>
      <c r="M190" s="2435"/>
    </row>
    <row r="191" spans="2:13">
      <c r="B191" s="2848" t="str">
        <f>HLOOKUP(select,translations!$A$341:$H$435,75,)</f>
        <v>USE level (list the differents inputs or steps necessary)</v>
      </c>
      <c r="C191" s="2441"/>
      <c r="D191" s="2441"/>
      <c r="E191" s="2441"/>
      <c r="F191" s="2441"/>
      <c r="G191" s="2441"/>
      <c r="H191" s="2441"/>
      <c r="I191" s="2442"/>
      <c r="J191" s="2441"/>
      <c r="K191" s="2457"/>
      <c r="L191" s="2457"/>
      <c r="M191" s="2441"/>
    </row>
    <row r="192" spans="2:13" ht="26.45" customHeight="1">
      <c r="B192" s="2434" t="str">
        <f>B185</f>
        <v>Name of input/process</v>
      </c>
      <c r="C192" s="2434"/>
      <c r="D192" s="2435"/>
      <c r="E192" s="3956" t="str">
        <f>E185</f>
        <v>Emission per input</v>
      </c>
      <c r="F192" s="3956"/>
      <c r="G192" s="2435"/>
      <c r="H192" s="3956" t="str">
        <f>H185</f>
        <v>Input per t product</v>
      </c>
      <c r="I192" s="3956"/>
      <c r="J192" s="2435"/>
      <c r="K192" s="2458"/>
      <c r="L192" s="2458"/>
      <c r="M192" s="2435"/>
    </row>
    <row r="193" spans="2:26">
      <c r="B193" s="2700" t="str">
        <f>B186</f>
        <v>Insert name below</v>
      </c>
      <c r="C193" s="2435"/>
      <c r="D193" s="2435"/>
      <c r="E193" s="2436" t="str">
        <f>E186</f>
        <v>Without</v>
      </c>
      <c r="F193" s="2436" t="str">
        <f t="shared" ref="F193:I193" si="16">F186</f>
        <v>With</v>
      </c>
      <c r="G193" s="2436"/>
      <c r="H193" s="2436" t="str">
        <f t="shared" si="16"/>
        <v>Without</v>
      </c>
      <c r="I193" s="2436" t="str">
        <f t="shared" si="16"/>
        <v>With</v>
      </c>
      <c r="J193" s="2435"/>
      <c r="K193" s="2451"/>
      <c r="L193" s="2451"/>
      <c r="M193" s="2435"/>
    </row>
    <row r="194" spans="2:26">
      <c r="B194" s="3953"/>
      <c r="C194" s="3953"/>
      <c r="D194" s="2435"/>
      <c r="E194" s="2438"/>
      <c r="F194" s="2438"/>
      <c r="G194" s="2432"/>
      <c r="H194" s="2438"/>
      <c r="I194" s="2438"/>
      <c r="J194" s="2435"/>
      <c r="K194" s="2451">
        <f>$E194*$H194</f>
        <v>0</v>
      </c>
      <c r="L194" s="2451">
        <f>$F194*$I194</f>
        <v>0</v>
      </c>
      <c r="M194" s="2435"/>
    </row>
    <row r="195" spans="2:26">
      <c r="B195" s="3953"/>
      <c r="C195" s="3953"/>
      <c r="D195" s="2431"/>
      <c r="E195" s="2438"/>
      <c r="F195" s="2438"/>
      <c r="G195" s="2431"/>
      <c r="H195" s="2438"/>
      <c r="I195" s="2438"/>
      <c r="J195" s="2431"/>
      <c r="K195" s="2451">
        <f>$E195*$H195</f>
        <v>0</v>
      </c>
      <c r="L195" s="2451">
        <f>$F195*$I195</f>
        <v>0</v>
      </c>
      <c r="M195" s="2431"/>
    </row>
    <row r="196" spans="2:26">
      <c r="B196" s="2443"/>
      <c r="C196" s="2443"/>
      <c r="D196" s="2431"/>
      <c r="E196" s="2438"/>
      <c r="F196" s="2438"/>
      <c r="G196" s="2431"/>
      <c r="H196" s="2438"/>
      <c r="I196" s="2438"/>
      <c r="J196" s="2431"/>
      <c r="K196" s="2451">
        <f>$E196*$H196</f>
        <v>0</v>
      </c>
      <c r="L196" s="2451">
        <f>$F196*$I196</f>
        <v>0</v>
      </c>
      <c r="M196" s="2431"/>
    </row>
    <row r="197" spans="2:26">
      <c r="B197" s="2431"/>
      <c r="C197" s="2431"/>
      <c r="D197" s="2431"/>
      <c r="E197" s="2431"/>
      <c r="F197" s="2431"/>
      <c r="G197" s="2431"/>
      <c r="H197" s="2431"/>
      <c r="I197" s="2440"/>
      <c r="J197" s="2450" t="str">
        <f>HLOOKUP(select,translations!$A$341:$H$435,76,)</f>
        <v>Total for USE</v>
      </c>
      <c r="K197" s="2452">
        <f>SUM(K194:K195)</f>
        <v>0</v>
      </c>
      <c r="L197" s="2452">
        <f>SUM(L194:L195)</f>
        <v>0</v>
      </c>
      <c r="M197" s="2431"/>
      <c r="O197" s="2850" t="str">
        <f>K207</f>
        <v>Emissions (tCO2/t product)</v>
      </c>
      <c r="P197" s="2701"/>
      <c r="Q197" s="2701"/>
      <c r="R197" s="2701"/>
      <c r="S197" s="2701"/>
      <c r="T197" s="2701"/>
      <c r="U197" s="2701"/>
      <c r="V197" s="2701"/>
      <c r="W197" s="2701"/>
      <c r="X197" s="2701"/>
      <c r="Y197" s="2701"/>
      <c r="Z197" s="2701"/>
    </row>
    <row r="198" spans="2:26">
      <c r="B198" s="2848" t="str">
        <f>HLOOKUP(select,translations!$A$341:$H$435,77,)</f>
        <v>WASTE level (list the differents inputs or steps necessary)</v>
      </c>
      <c r="C198" s="2441"/>
      <c r="D198" s="2441"/>
      <c r="E198" s="2441"/>
      <c r="F198" s="2441"/>
      <c r="G198" s="2441"/>
      <c r="H198" s="2441"/>
      <c r="I198" s="2442"/>
      <c r="J198" s="2441"/>
      <c r="K198" s="2441"/>
      <c r="L198" s="2441"/>
      <c r="M198" s="2441"/>
      <c r="O198" s="2701"/>
      <c r="P198" s="2701"/>
      <c r="Q198" s="2701"/>
      <c r="R198" s="2701"/>
      <c r="S198" s="2701"/>
      <c r="T198" s="2701"/>
      <c r="U198" s="2701"/>
      <c r="V198" s="2701"/>
      <c r="W198" s="2701"/>
      <c r="X198" s="2701"/>
      <c r="Y198" s="2701"/>
      <c r="Z198" s="2701"/>
    </row>
    <row r="199" spans="2:26" ht="25.15" customHeight="1">
      <c r="B199" s="2434" t="str">
        <f>B192</f>
        <v>Name of input/process</v>
      </c>
      <c r="C199" s="2434"/>
      <c r="D199" s="2435"/>
      <c r="E199" s="3956" t="str">
        <f>E192</f>
        <v>Emission per input</v>
      </c>
      <c r="F199" s="3956"/>
      <c r="G199" s="2435"/>
      <c r="H199" s="3956" t="str">
        <f>H192</f>
        <v>Input per t product</v>
      </c>
      <c r="I199" s="3956"/>
      <c r="J199" s="2435"/>
      <c r="K199" s="2436"/>
      <c r="L199" s="2436"/>
      <c r="M199" s="2435"/>
      <c r="O199" s="2701"/>
      <c r="P199" s="2701"/>
      <c r="Q199" s="2701"/>
      <c r="R199" s="2701"/>
      <c r="S199" s="2701"/>
      <c r="T199" s="2701"/>
      <c r="U199" s="2701"/>
      <c r="V199" s="2701"/>
      <c r="W199" s="2701"/>
      <c r="X199" s="2701"/>
      <c r="Y199" s="2701"/>
      <c r="Z199" s="2701"/>
    </row>
    <row r="200" spans="2:26">
      <c r="B200" s="2435" t="str">
        <f>B193</f>
        <v>Insert name below</v>
      </c>
      <c r="C200" s="2435"/>
      <c r="D200" s="2435"/>
      <c r="E200" s="2436" t="str">
        <f>E193</f>
        <v>Without</v>
      </c>
      <c r="F200" s="2436" t="str">
        <f t="shared" ref="F200:I200" si="17">F193</f>
        <v>With</v>
      </c>
      <c r="G200" s="2436"/>
      <c r="H200" s="2436" t="str">
        <f t="shared" si="17"/>
        <v>Without</v>
      </c>
      <c r="I200" s="2436" t="str">
        <f t="shared" si="17"/>
        <v>With</v>
      </c>
      <c r="J200" s="2435"/>
      <c r="K200" s="2437"/>
      <c r="L200" s="2437"/>
      <c r="M200" s="2435"/>
      <c r="O200" s="2701"/>
      <c r="P200" s="2701"/>
      <c r="Q200" s="2701"/>
      <c r="R200" s="2701"/>
      <c r="S200" s="2701"/>
      <c r="T200" s="2701"/>
      <c r="U200" s="2701"/>
      <c r="V200" s="2701"/>
      <c r="W200" s="2701"/>
      <c r="X200" s="2701"/>
      <c r="Y200" s="2701"/>
      <c r="Z200" s="2701"/>
    </row>
    <row r="201" spans="2:26">
      <c r="B201" s="3955"/>
      <c r="C201" s="3955"/>
      <c r="D201" s="2435"/>
      <c r="E201" s="2438"/>
      <c r="F201" s="2438"/>
      <c r="G201" s="2432"/>
      <c r="H201" s="2438"/>
      <c r="I201" s="2438"/>
      <c r="J201" s="2435"/>
      <c r="K201" s="2451">
        <f>$E201*$H201</f>
        <v>0</v>
      </c>
      <c r="L201" s="2451">
        <f>$F201*$I201</f>
        <v>0</v>
      </c>
      <c r="M201" s="2435"/>
      <c r="O201" s="2701"/>
      <c r="P201" s="2701"/>
      <c r="Q201" s="2701"/>
      <c r="R201" s="2701"/>
      <c r="S201" s="2701"/>
      <c r="T201" s="2701"/>
      <c r="U201" s="2701"/>
      <c r="V201" s="2701"/>
      <c r="W201" s="2701"/>
      <c r="X201" s="2701"/>
      <c r="Y201" s="2701"/>
      <c r="Z201" s="2701"/>
    </row>
    <row r="202" spans="2:26">
      <c r="B202" s="3953"/>
      <c r="C202" s="3953"/>
      <c r="D202" s="2431"/>
      <c r="E202" s="2438"/>
      <c r="F202" s="2438"/>
      <c r="G202" s="2431"/>
      <c r="H202" s="2438"/>
      <c r="I202" s="2438"/>
      <c r="J202" s="2435"/>
      <c r="K202" s="2451">
        <f>$E202*$H202</f>
        <v>0</v>
      </c>
      <c r="L202" s="2451">
        <f>$F202*$I202</f>
        <v>0</v>
      </c>
      <c r="M202" s="2435"/>
      <c r="O202" s="2701"/>
      <c r="P202" s="2701"/>
      <c r="Q202" s="2701"/>
      <c r="R202" s="2701"/>
      <c r="S202" s="2701"/>
      <c r="T202" s="2701"/>
      <c r="U202" s="2701"/>
      <c r="V202" s="2701"/>
      <c r="W202" s="2701"/>
      <c r="X202" s="2701"/>
      <c r="Y202" s="2701"/>
      <c r="Z202" s="2701"/>
    </row>
    <row r="203" spans="2:26">
      <c r="B203" s="2443"/>
      <c r="C203" s="2443"/>
      <c r="D203" s="2431"/>
      <c r="E203" s="2438"/>
      <c r="F203" s="2438"/>
      <c r="G203" s="2431"/>
      <c r="H203" s="2438"/>
      <c r="I203" s="2438"/>
      <c r="J203" s="2435"/>
      <c r="K203" s="2451">
        <f>$E203*$H203</f>
        <v>0</v>
      </c>
      <c r="L203" s="2451">
        <f>$F203*$I203</f>
        <v>0</v>
      </c>
      <c r="M203" s="2435"/>
      <c r="O203" s="2701"/>
      <c r="P203" s="2701"/>
      <c r="Q203" s="2701"/>
      <c r="R203" s="2701"/>
      <c r="S203" s="2701"/>
      <c r="T203" s="2701"/>
      <c r="U203" s="2701"/>
      <c r="V203" s="2701"/>
      <c r="W203" s="2701"/>
      <c r="X203" s="2701"/>
      <c r="Y203" s="2701"/>
      <c r="Z203" s="2701"/>
    </row>
    <row r="204" spans="2:26">
      <c r="B204" s="2431"/>
      <c r="C204" s="2431"/>
      <c r="D204" s="2431"/>
      <c r="E204" s="2431"/>
      <c r="F204" s="2431"/>
      <c r="G204" s="2431"/>
      <c r="H204" s="2431"/>
      <c r="I204" s="2440"/>
      <c r="J204" s="2450" t="str">
        <f>HLOOKUP(select,translations!$A$341:$H$435,78,)</f>
        <v>Total for WASTE</v>
      </c>
      <c r="K204" s="2452">
        <f>SUM(K201:K203)</f>
        <v>0</v>
      </c>
      <c r="L204" s="2452">
        <f>SUM(L201:L202)</f>
        <v>0</v>
      </c>
      <c r="M204" s="2431"/>
      <c r="O204" s="2701"/>
      <c r="P204" s="2701"/>
      <c r="Q204" s="2701"/>
      <c r="R204" s="2701"/>
      <c r="S204" s="2701"/>
      <c r="T204" s="2701"/>
      <c r="U204" s="2701"/>
      <c r="V204" s="2701"/>
      <c r="W204" s="2701"/>
      <c r="X204" s="2701"/>
      <c r="Y204" s="2701"/>
      <c r="Z204" s="2701"/>
    </row>
    <row r="205" spans="2:26">
      <c r="O205" s="2701"/>
      <c r="P205" s="2701"/>
      <c r="Q205" s="2701"/>
      <c r="R205" s="2701"/>
      <c r="S205" s="2701"/>
      <c r="T205" s="2701"/>
      <c r="U205" s="2701"/>
      <c r="V205" s="2701"/>
      <c r="W205" s="2701"/>
      <c r="X205" s="2701"/>
      <c r="Y205" s="2701"/>
      <c r="Z205" s="2701"/>
    </row>
    <row r="206" spans="2:26">
      <c r="O206" s="2701"/>
      <c r="P206" s="2701"/>
      <c r="Q206" s="2701"/>
      <c r="R206" s="2701"/>
      <c r="S206" s="2701"/>
      <c r="T206" s="2701"/>
      <c r="U206" s="2701"/>
      <c r="V206" s="2701"/>
      <c r="W206" s="2701"/>
      <c r="X206" s="2701"/>
      <c r="Y206" s="2701"/>
      <c r="Z206" s="2701"/>
    </row>
    <row r="207" spans="2:26">
      <c r="B207" s="2849" t="str">
        <f>HLOOKUP(select,translations!$A$341:$H$435,79,)</f>
        <v>Total Emissions in t CO2-eq for the different phases of the Value Chain</v>
      </c>
      <c r="C207" s="2459"/>
      <c r="D207" s="2459"/>
      <c r="E207" s="2459"/>
      <c r="F207" s="2459"/>
      <c r="G207" s="2459"/>
      <c r="H207" s="2459"/>
      <c r="I207" s="2459"/>
      <c r="J207" s="2459"/>
      <c r="K207" s="3972" t="str">
        <f>K171</f>
        <v>Emissions (tCO2/t product)</v>
      </c>
      <c r="L207" s="3972"/>
      <c r="M207" s="3972"/>
      <c r="O207" s="2701"/>
      <c r="P207" s="2701"/>
      <c r="Q207" s="2701"/>
      <c r="R207" s="2701"/>
      <c r="S207" s="2701"/>
      <c r="T207" s="2701"/>
      <c r="U207" s="2701"/>
      <c r="V207" s="2701"/>
      <c r="W207" s="2701"/>
      <c r="X207" s="2701"/>
      <c r="Y207" s="2701"/>
      <c r="Z207" s="2701"/>
    </row>
    <row r="208" spans="2:26">
      <c r="B208" s="2459"/>
      <c r="C208" s="2459"/>
      <c r="D208" s="2459"/>
      <c r="E208" s="2459"/>
      <c r="F208" s="2459"/>
      <c r="G208" s="2459"/>
      <c r="H208" s="2459"/>
      <c r="I208" s="2459"/>
      <c r="J208" s="2459"/>
      <c r="K208" s="2460" t="str">
        <f>E200</f>
        <v>Without</v>
      </c>
      <c r="L208" s="2460" t="str">
        <f>F200</f>
        <v>With</v>
      </c>
      <c r="M208" s="2459"/>
      <c r="O208" s="2701"/>
      <c r="P208" s="2701"/>
      <c r="Q208" s="2701"/>
      <c r="R208" s="2701"/>
      <c r="S208" s="2701"/>
      <c r="T208" s="2701"/>
      <c r="U208" s="2701"/>
      <c r="V208" s="2701"/>
      <c r="W208" s="2701"/>
      <c r="X208" s="2701"/>
      <c r="Y208" s="2701"/>
      <c r="Z208" s="2701"/>
    </row>
    <row r="209" spans="2:26">
      <c r="B209" s="2446" t="str">
        <f>HLOOKUP(select,translations!$A$341:$H$435,80,)</f>
        <v>PRODUCTION</v>
      </c>
      <c r="C209" s="2447"/>
      <c r="D209" s="2447"/>
      <c r="E209" s="2447"/>
      <c r="F209" s="2447"/>
      <c r="G209" s="2447"/>
      <c r="H209" s="2447"/>
      <c r="I209" s="2447"/>
      <c r="J209" s="2447"/>
      <c r="K209" s="2461">
        <f>K174</f>
        <v>0</v>
      </c>
      <c r="L209" s="2461">
        <f>L174</f>
        <v>0</v>
      </c>
      <c r="M209" s="2447"/>
      <c r="O209" s="2701"/>
      <c r="P209" s="2701"/>
      <c r="Q209" s="2701"/>
      <c r="R209" s="2701"/>
      <c r="S209" s="2701"/>
      <c r="T209" s="2701"/>
      <c r="U209" s="2701"/>
      <c r="V209" s="2701"/>
      <c r="W209" s="2701"/>
      <c r="X209" s="2701"/>
      <c r="Y209" s="2701"/>
      <c r="Z209" s="2701"/>
    </row>
    <row r="210" spans="2:26">
      <c r="B210" s="2446" t="str">
        <f>HLOOKUP(select,translations!$A$341:$H$435,81,)</f>
        <v>PROCESSING</v>
      </c>
      <c r="C210" s="2447"/>
      <c r="D210" s="2447"/>
      <c r="E210" s="2447"/>
      <c r="F210" s="2447"/>
      <c r="G210" s="2447"/>
      <c r="H210" s="2447"/>
      <c r="I210" s="2447"/>
      <c r="J210" s="2447"/>
      <c r="K210" s="2461">
        <f>K183</f>
        <v>0</v>
      </c>
      <c r="L210" s="2461">
        <f>L183</f>
        <v>0</v>
      </c>
      <c r="M210" s="2447"/>
      <c r="O210" s="2701"/>
      <c r="P210" s="2701"/>
      <c r="Q210" s="2701"/>
      <c r="R210" s="2701"/>
      <c r="S210" s="2701"/>
      <c r="T210" s="2701"/>
      <c r="U210" s="2701"/>
      <c r="V210" s="2701"/>
      <c r="W210" s="2701"/>
      <c r="X210" s="2701"/>
      <c r="Y210" s="2701"/>
      <c r="Z210" s="2701"/>
    </row>
    <row r="211" spans="2:26">
      <c r="B211" s="2446" t="str">
        <f>HLOOKUP(select,translations!$A$341:$H$435,82,)</f>
        <v>TRANSPORT</v>
      </c>
      <c r="C211" s="2447"/>
      <c r="D211" s="2447"/>
      <c r="E211" s="2447"/>
      <c r="F211" s="2447"/>
      <c r="G211" s="2447"/>
      <c r="H211" s="2447"/>
      <c r="I211" s="2447"/>
      <c r="J211" s="2447"/>
      <c r="K211" s="2461">
        <f>K190</f>
        <v>0</v>
      </c>
      <c r="L211" s="2461">
        <f>L190</f>
        <v>0</v>
      </c>
      <c r="M211" s="2447"/>
      <c r="O211" s="2701"/>
      <c r="P211" s="2701"/>
      <c r="Q211" s="2701"/>
      <c r="R211" s="2701"/>
      <c r="S211" s="2701"/>
      <c r="T211" s="2701"/>
      <c r="U211" s="2701"/>
      <c r="V211" s="2701"/>
      <c r="W211" s="2701"/>
      <c r="X211" s="2701"/>
      <c r="Y211" s="2701"/>
      <c r="Z211" s="2701"/>
    </row>
    <row r="212" spans="2:26">
      <c r="B212" s="2446" t="str">
        <f>HLOOKUP(select,translations!$A$341:$H$435,83,)</f>
        <v>USE</v>
      </c>
      <c r="C212" s="2447"/>
      <c r="D212" s="2447"/>
      <c r="E212" s="2447"/>
      <c r="F212" s="2447"/>
      <c r="G212" s="2447"/>
      <c r="H212" s="2447"/>
      <c r="I212" s="2447"/>
      <c r="J212" s="2447"/>
      <c r="K212" s="2461">
        <f>K197</f>
        <v>0</v>
      </c>
      <c r="L212" s="2461">
        <f>L197</f>
        <v>0</v>
      </c>
      <c r="M212" s="2447"/>
      <c r="O212" s="2701"/>
      <c r="P212" s="2701"/>
      <c r="Q212" s="2701"/>
      <c r="R212" s="2701"/>
      <c r="S212" s="2701"/>
      <c r="T212" s="2701"/>
      <c r="U212" s="2701"/>
      <c r="V212" s="2701"/>
      <c r="W212" s="2701"/>
      <c r="X212" s="2701"/>
      <c r="Y212" s="2701"/>
      <c r="Z212" s="2701"/>
    </row>
    <row r="213" spans="2:26">
      <c r="B213" s="2446" t="str">
        <f>HLOOKUP(select,translations!$A$341:$H$435,84,)</f>
        <v>WASTE</v>
      </c>
      <c r="C213" s="2447"/>
      <c r="D213" s="2447"/>
      <c r="E213" s="2447"/>
      <c r="F213" s="2447"/>
      <c r="G213" s="2447"/>
      <c r="H213" s="2447"/>
      <c r="I213" s="2447"/>
      <c r="J213" s="2447"/>
      <c r="K213" s="2461">
        <f>K204</f>
        <v>0</v>
      </c>
      <c r="L213" s="2461">
        <f>L204</f>
        <v>0</v>
      </c>
      <c r="M213" s="2447"/>
      <c r="O213" s="2701"/>
      <c r="P213" s="2701"/>
      <c r="Q213" s="2701"/>
      <c r="R213" s="2701"/>
      <c r="S213" s="2701"/>
      <c r="T213" s="2701"/>
      <c r="U213" s="2701"/>
      <c r="V213" s="2701"/>
      <c r="W213" s="2701"/>
      <c r="X213" s="2701"/>
      <c r="Y213" s="2701"/>
      <c r="Z213" s="2701"/>
    </row>
    <row r="214" spans="2:26">
      <c r="B214" s="2433"/>
      <c r="C214" s="2433"/>
      <c r="D214" s="2433"/>
      <c r="E214" s="2433"/>
      <c r="F214" s="2433"/>
      <c r="G214" s="2433"/>
      <c r="H214" s="2433"/>
      <c r="I214" s="2433"/>
      <c r="J214" s="2433" t="str">
        <f>B169</f>
        <v>Total</v>
      </c>
      <c r="K214" s="2462">
        <f>SUM(K209:K213)</f>
        <v>0</v>
      </c>
      <c r="L214" s="2462">
        <f>SUM(L209:L213)</f>
        <v>0</v>
      </c>
      <c r="M214" s="2433"/>
      <c r="O214" s="2701"/>
      <c r="P214" s="2701"/>
      <c r="Q214" s="2701"/>
      <c r="R214" s="2701"/>
      <c r="S214" s="2701"/>
      <c r="T214" s="2701"/>
      <c r="U214" s="2701"/>
      <c r="V214" s="2701"/>
      <c r="W214" s="2701"/>
      <c r="X214" s="2701"/>
      <c r="Y214" s="2701"/>
      <c r="Z214" s="2701"/>
    </row>
    <row r="216" spans="2:26">
      <c r="B216" s="3951" t="str">
        <f>B150</f>
        <v>Back to main results</v>
      </c>
      <c r="C216" s="3951"/>
      <c r="D216" s="3951"/>
    </row>
    <row r="217" spans="2:26">
      <c r="B217" s="3951"/>
      <c r="C217" s="3951"/>
      <c r="D217" s="3951"/>
    </row>
    <row r="242" spans="2:22">
      <c r="B242" s="2489" t="str">
        <f>HLOOKUP(select,translations!$A$341:$H$435,85,)</f>
        <v>Matrix of changes</v>
      </c>
      <c r="D242" s="2480" t="str">
        <f>HLOOKUP(select,translations!$A$341:$H$435,86,)</f>
        <v>Mineral soils (ha)</v>
      </c>
      <c r="E242" s="2480"/>
      <c r="F242" s="2480"/>
      <c r="G242" s="2046"/>
      <c r="H242" s="3966" t="str">
        <f>HLOOKUP(select,translations!$A$341:$H$435,89,)</f>
        <v>FINAL</v>
      </c>
      <c r="I242" s="3966"/>
      <c r="J242" s="3966"/>
      <c r="K242" s="3966"/>
      <c r="L242" s="3966"/>
      <c r="M242" s="3966"/>
      <c r="N242" s="3966"/>
      <c r="O242" s="3966"/>
      <c r="P242" s="2046"/>
      <c r="Q242" s="2479"/>
      <c r="S242" s="2483"/>
      <c r="T242" s="2484" t="str">
        <f>HLOOKUP(select,translations!$A$341:$H$435,87,)</f>
        <v>Organic Soils (ha)</v>
      </c>
      <c r="V242" s="2485">
        <f>Matrix!M20</f>
        <v>0</v>
      </c>
    </row>
    <row r="243" spans="2:22" ht="15">
      <c r="B243" s="2489" t="str">
        <f>H91</f>
        <v>Without project</v>
      </c>
      <c r="D243" s="2480"/>
      <c r="E243" s="2481"/>
      <c r="F243" s="2480"/>
      <c r="G243" s="2046"/>
      <c r="H243" s="3974" t="str">
        <f>E245</f>
        <v>Forest/Plantation</v>
      </c>
      <c r="I243" s="3964" t="str">
        <f>E247</f>
        <v>Agriculture</v>
      </c>
      <c r="J243" s="3964"/>
      <c r="K243" s="3964"/>
      <c r="L243" s="3965" t="str">
        <f>E249</f>
        <v>Grassland</v>
      </c>
      <c r="M243" s="3965"/>
      <c r="N243" s="3964" t="str">
        <f>E250</f>
        <v>Other lands</v>
      </c>
      <c r="O243" s="3964"/>
      <c r="P243" s="2046"/>
      <c r="Q243" s="3971" t="str">
        <f>HLOOKUP(select,translations!$A$341:$H$435,90,)</f>
        <v>Total Initial</v>
      </c>
    </row>
    <row r="244" spans="2:22">
      <c r="D244" s="2480"/>
      <c r="E244" s="2480"/>
      <c r="F244" s="2480"/>
      <c r="G244" s="2046"/>
      <c r="H244" s="3975"/>
      <c r="I244" s="2477" t="str">
        <f>F246</f>
        <v>Annual</v>
      </c>
      <c r="J244" s="2477" t="str">
        <f>F247</f>
        <v>Perennial</v>
      </c>
      <c r="K244" s="2477" t="str">
        <f>F248</f>
        <v>Rice</v>
      </c>
      <c r="L244" s="2478"/>
      <c r="M244" s="2046"/>
      <c r="N244" s="2478" t="str">
        <f>F250</f>
        <v>Degraded</v>
      </c>
      <c r="O244" s="2477" t="str">
        <f>F251</f>
        <v>Other</v>
      </c>
      <c r="P244" s="2046"/>
      <c r="Q244" s="3971"/>
    </row>
    <row r="245" spans="2:22">
      <c r="B245" s="3973" t="str">
        <f>B216</f>
        <v>Back to main results</v>
      </c>
      <c r="D245" s="3962" t="str">
        <f>HLOOKUP(select,translations!$A$341:$H$435,88,)</f>
        <v>INITIAL</v>
      </c>
      <c r="E245" s="2475" t="str">
        <f>B77</f>
        <v>Forest/Plantation</v>
      </c>
      <c r="F245" s="2476"/>
      <c r="G245" s="2046"/>
      <c r="H245" s="2464">
        <f>Matrix!E10</f>
        <v>0</v>
      </c>
      <c r="I245" s="2466">
        <f>Matrix!F10</f>
        <v>0</v>
      </c>
      <c r="J245" s="2466">
        <f>Matrix!G10</f>
        <v>0</v>
      </c>
      <c r="K245" s="2466">
        <f>Matrix!H10</f>
        <v>0</v>
      </c>
      <c r="L245" s="2466">
        <f>Matrix!I10</f>
        <v>0</v>
      </c>
      <c r="M245" s="2467"/>
      <c r="N245" s="2466">
        <f>Matrix!J10</f>
        <v>0</v>
      </c>
      <c r="O245" s="2466">
        <f>Matrix!K10</f>
        <v>0</v>
      </c>
      <c r="P245" s="2046"/>
      <c r="Q245" s="2474">
        <f t="shared" ref="Q245:Q251" si="18">SUM(H245:O245)</f>
        <v>0</v>
      </c>
    </row>
    <row r="246" spans="2:22">
      <c r="B246" s="3973"/>
      <c r="D246" s="3962"/>
      <c r="E246" s="2475"/>
      <c r="F246" s="2476" t="str">
        <f>C78</f>
        <v>Annual</v>
      </c>
      <c r="G246" s="2046"/>
      <c r="H246" s="2465">
        <f>Matrix!E11</f>
        <v>0</v>
      </c>
      <c r="I246" s="2468">
        <f>Matrix!F11</f>
        <v>0</v>
      </c>
      <c r="J246" s="2473">
        <f>Matrix!G11</f>
        <v>0</v>
      </c>
      <c r="K246" s="2473">
        <f>Matrix!H11</f>
        <v>0</v>
      </c>
      <c r="L246" s="2473">
        <f>Matrix!I11</f>
        <v>0</v>
      </c>
      <c r="M246" s="2472"/>
      <c r="N246" s="2473">
        <f>Matrix!J11</f>
        <v>0</v>
      </c>
      <c r="O246" s="2473">
        <f>Matrix!K11</f>
        <v>0</v>
      </c>
      <c r="P246" s="2046"/>
      <c r="Q246" s="2470">
        <f t="shared" si="18"/>
        <v>0</v>
      </c>
    </row>
    <row r="247" spans="2:22">
      <c r="D247" s="3962"/>
      <c r="E247" s="2475" t="str">
        <f t="shared" ref="E247" si="19">B79</f>
        <v>Agriculture</v>
      </c>
      <c r="F247" s="2476" t="str">
        <f>C79</f>
        <v>Perennial</v>
      </c>
      <c r="G247" s="2046"/>
      <c r="H247" s="2465">
        <f>Matrix!E12</f>
        <v>0</v>
      </c>
      <c r="I247" s="2473">
        <f>Matrix!F12</f>
        <v>0</v>
      </c>
      <c r="J247" s="2468">
        <f>Matrix!G12</f>
        <v>0</v>
      </c>
      <c r="K247" s="2473">
        <f>Matrix!H12</f>
        <v>0</v>
      </c>
      <c r="L247" s="2473">
        <f>Matrix!I12</f>
        <v>0</v>
      </c>
      <c r="M247" s="2472"/>
      <c r="N247" s="2473">
        <f>Matrix!J12</f>
        <v>0</v>
      </c>
      <c r="O247" s="2473">
        <f>Matrix!K12</f>
        <v>0</v>
      </c>
      <c r="P247" s="2046"/>
      <c r="Q247" s="2470">
        <f t="shared" si="18"/>
        <v>0</v>
      </c>
    </row>
    <row r="248" spans="2:22">
      <c r="D248" s="3962"/>
      <c r="E248" s="2475"/>
      <c r="F248" s="2476" t="str">
        <f>C80</f>
        <v>Rice</v>
      </c>
      <c r="G248" s="2046"/>
      <c r="H248" s="2465">
        <f>Matrix!E13</f>
        <v>0</v>
      </c>
      <c r="I248" s="2473">
        <f>Matrix!F13</f>
        <v>0</v>
      </c>
      <c r="J248" s="2473">
        <f>Matrix!G13</f>
        <v>0</v>
      </c>
      <c r="K248" s="2468">
        <f>Matrix!H13</f>
        <v>0</v>
      </c>
      <c r="L248" s="2473">
        <f>Matrix!I13</f>
        <v>0</v>
      </c>
      <c r="M248" s="2472"/>
      <c r="N248" s="2473">
        <f>Matrix!J13</f>
        <v>0</v>
      </c>
      <c r="O248" s="2473">
        <f>Matrix!K13</f>
        <v>0</v>
      </c>
      <c r="P248" s="2046"/>
      <c r="Q248" s="2470">
        <f t="shared" si="18"/>
        <v>0</v>
      </c>
    </row>
    <row r="249" spans="2:22">
      <c r="D249" s="3962"/>
      <c r="E249" s="2475" t="str">
        <f>B163</f>
        <v>Grassland</v>
      </c>
      <c r="F249" s="2476"/>
      <c r="G249" s="2046"/>
      <c r="H249" s="2465">
        <f>Matrix!E14</f>
        <v>0</v>
      </c>
      <c r="I249" s="2473">
        <f>Matrix!F14</f>
        <v>0</v>
      </c>
      <c r="J249" s="2473">
        <f>Matrix!G14</f>
        <v>0</v>
      </c>
      <c r="K249" s="2473">
        <f>Matrix!H14</f>
        <v>0</v>
      </c>
      <c r="L249" s="2482">
        <f>Matrix!I14</f>
        <v>0</v>
      </c>
      <c r="M249" s="2427"/>
      <c r="N249" s="2473">
        <f>Matrix!J14</f>
        <v>0</v>
      </c>
      <c r="O249" s="2473">
        <f>Matrix!K14</f>
        <v>0</v>
      </c>
      <c r="P249" s="2046"/>
      <c r="Q249" s="2470">
        <f t="shared" si="18"/>
        <v>0</v>
      </c>
    </row>
    <row r="250" spans="2:22">
      <c r="D250" s="3962"/>
      <c r="E250" s="3963" t="str">
        <f>B82</f>
        <v>Other lands</v>
      </c>
      <c r="F250" s="2702" t="str">
        <f>C82</f>
        <v>Degraded</v>
      </c>
      <c r="G250" s="2046"/>
      <c r="H250" s="2465">
        <f>Matrix!E15</f>
        <v>0</v>
      </c>
      <c r="I250" s="2473">
        <f>Matrix!F15</f>
        <v>0</v>
      </c>
      <c r="J250" s="2473">
        <f>Matrix!G15</f>
        <v>0</v>
      </c>
      <c r="K250" s="2473">
        <f>Matrix!H15</f>
        <v>0</v>
      </c>
      <c r="L250" s="2473">
        <f>Matrix!I15</f>
        <v>0</v>
      </c>
      <c r="M250" s="2472"/>
      <c r="N250" s="2486">
        <f>Matrix!J15</f>
        <v>0</v>
      </c>
      <c r="O250" s="2473">
        <f>Matrix!K15</f>
        <v>0</v>
      </c>
      <c r="P250" s="2046"/>
      <c r="Q250" s="2470">
        <f t="shared" si="18"/>
        <v>0</v>
      </c>
    </row>
    <row r="251" spans="2:22">
      <c r="D251" s="3962"/>
      <c r="E251" s="3963"/>
      <c r="F251" s="2702" t="str">
        <f>C83</f>
        <v>Other</v>
      </c>
      <c r="G251" s="2046"/>
      <c r="H251" s="2465">
        <f>Matrix!E16</f>
        <v>0</v>
      </c>
      <c r="I251" s="2473">
        <f>Matrix!F16</f>
        <v>0</v>
      </c>
      <c r="J251" s="2473">
        <f>Matrix!G16</f>
        <v>0</v>
      </c>
      <c r="K251" s="2473">
        <f>Matrix!H16</f>
        <v>0</v>
      </c>
      <c r="L251" s="2473">
        <f>Matrix!I16</f>
        <v>0</v>
      </c>
      <c r="M251" s="2472"/>
      <c r="N251" s="2473">
        <f>Matrix!J16</f>
        <v>0</v>
      </c>
      <c r="O251" s="2486">
        <f>Matrix!K16</f>
        <v>0</v>
      </c>
      <c r="P251" s="2046"/>
      <c r="Q251" s="2470">
        <f t="shared" si="18"/>
        <v>0</v>
      </c>
    </row>
    <row r="252" spans="2:22">
      <c r="D252" s="3962"/>
      <c r="E252" s="2476"/>
      <c r="F252" s="2476"/>
      <c r="G252" s="2046"/>
      <c r="H252" s="2478"/>
      <c r="I252" s="2478"/>
      <c r="J252" s="2478"/>
      <c r="K252" s="2478"/>
      <c r="L252" s="2478"/>
      <c r="M252" s="2046"/>
      <c r="N252" s="2478"/>
      <c r="O252" s="2478"/>
      <c r="P252" s="2046"/>
      <c r="Q252" s="2477"/>
    </row>
    <row r="253" spans="2:22">
      <c r="D253" s="2441"/>
      <c r="E253" s="2441"/>
      <c r="F253" s="2703" t="str">
        <f>HLOOKUP(select,translations!$A$341:$H$435,91,)</f>
        <v>Total Final</v>
      </c>
      <c r="G253" s="2471"/>
      <c r="H253" s="2469">
        <f>SUM(H245:H251)</f>
        <v>0</v>
      </c>
      <c r="I253" s="2469">
        <f>SUM(I245:I251)</f>
        <v>0</v>
      </c>
      <c r="J253" s="2469">
        <f>SUM(J245:J251)</f>
        <v>0</v>
      </c>
      <c r="K253" s="2469">
        <f>SUM(K245:K251)</f>
        <v>0</v>
      </c>
      <c r="L253" s="2469">
        <f>SUM(L245:L251)</f>
        <v>0</v>
      </c>
      <c r="M253" s="2471"/>
      <c r="N253" s="2469">
        <f>SUM(N245:N251)</f>
        <v>0</v>
      </c>
      <c r="O253" s="2469">
        <f>SUM(O245:O251)</f>
        <v>0</v>
      </c>
      <c r="P253" s="2046"/>
      <c r="Q253" s="2469">
        <f>SUM(Q245:Q251)</f>
        <v>0</v>
      </c>
    </row>
    <row r="256" spans="2:22">
      <c r="B256" s="2489" t="str">
        <f>B242</f>
        <v>Matrix of changes</v>
      </c>
      <c r="D256" s="2487" t="s">
        <v>1592</v>
      </c>
      <c r="E256" s="2487"/>
      <c r="F256" s="2487"/>
      <c r="G256" s="2046"/>
      <c r="H256" s="3966" t="str">
        <f>H242</f>
        <v>FINAL</v>
      </c>
      <c r="I256" s="3966"/>
      <c r="J256" s="3966"/>
      <c r="K256" s="3966"/>
      <c r="L256" s="3966"/>
      <c r="M256" s="3966"/>
      <c r="N256" s="3966"/>
      <c r="O256" s="3966"/>
      <c r="P256" s="2046"/>
      <c r="Q256" s="2479"/>
      <c r="S256" s="2483"/>
      <c r="T256" s="2484" t="str">
        <f>T242</f>
        <v>Organic Soils (ha)</v>
      </c>
      <c r="V256" s="2485">
        <f>Matrix!M37</f>
        <v>0</v>
      </c>
    </row>
    <row r="257" spans="2:17" ht="15">
      <c r="B257" s="2489" t="str">
        <f>J91</f>
        <v>With project</v>
      </c>
      <c r="D257" s="2487"/>
      <c r="E257" s="2488"/>
      <c r="F257" s="2487"/>
      <c r="G257" s="2046"/>
      <c r="H257" s="3974" t="str">
        <f>H243</f>
        <v>Forest/Plantation</v>
      </c>
      <c r="I257" s="3964" t="str">
        <f>I243</f>
        <v>Agriculture</v>
      </c>
      <c r="J257" s="3964"/>
      <c r="K257" s="3964"/>
      <c r="L257" s="3965" t="str">
        <f>L243</f>
        <v>Grassland</v>
      </c>
      <c r="M257" s="3965"/>
      <c r="N257" s="3964" t="s">
        <v>1088</v>
      </c>
      <c r="O257" s="3964"/>
      <c r="P257" s="2046"/>
      <c r="Q257" s="3971" t="str">
        <f>Q243</f>
        <v>Total Initial</v>
      </c>
    </row>
    <row r="258" spans="2:17">
      <c r="D258" s="2487"/>
      <c r="E258" s="2487"/>
      <c r="F258" s="2487"/>
      <c r="G258" s="2046"/>
      <c r="H258" s="3975"/>
      <c r="I258" s="2477" t="str">
        <f>I244</f>
        <v>Annual</v>
      </c>
      <c r="J258" s="2477" t="str">
        <f t="shared" ref="J258:K258" si="20">J244</f>
        <v>Perennial</v>
      </c>
      <c r="K258" s="2477" t="str">
        <f t="shared" si="20"/>
        <v>Rice</v>
      </c>
      <c r="L258" s="2478"/>
      <c r="M258" s="2046"/>
      <c r="N258" s="2478" t="str">
        <f>N244</f>
        <v>Degraded</v>
      </c>
      <c r="O258" s="2477" t="str">
        <f>O244</f>
        <v>Other</v>
      </c>
      <c r="P258" s="2046"/>
      <c r="Q258" s="3971"/>
    </row>
    <row r="259" spans="2:17">
      <c r="D259" s="3962" t="str">
        <f>D245</f>
        <v>INITIAL</v>
      </c>
      <c r="E259" s="2475" t="str">
        <f>E245</f>
        <v>Forest/Plantation</v>
      </c>
      <c r="F259" s="2476"/>
      <c r="G259" s="2046"/>
      <c r="H259" s="2464">
        <f>Matrix!E27</f>
        <v>0</v>
      </c>
      <c r="I259" s="2466">
        <f>Matrix!F27</f>
        <v>0</v>
      </c>
      <c r="J259" s="2466">
        <f>Matrix!G27</f>
        <v>0</v>
      </c>
      <c r="K259" s="2466">
        <f>Matrix!H27</f>
        <v>0</v>
      </c>
      <c r="L259" s="2466">
        <f>Matrix!I27</f>
        <v>0</v>
      </c>
      <c r="M259" s="2467"/>
      <c r="N259" s="2466">
        <f>Matrix!J27</f>
        <v>0</v>
      </c>
      <c r="O259" s="2466">
        <f>Matrix!K27</f>
        <v>0</v>
      </c>
      <c r="P259" s="2046"/>
      <c r="Q259" s="2474">
        <f t="shared" ref="Q259:Q265" si="21">SUM(H259:O259)</f>
        <v>0</v>
      </c>
    </row>
    <row r="260" spans="2:17">
      <c r="D260" s="3962"/>
      <c r="E260" s="2476"/>
      <c r="F260" s="2476" t="str">
        <f>F246</f>
        <v>Annual</v>
      </c>
      <c r="G260" s="2046"/>
      <c r="H260" s="2465">
        <f>Matrix!E28</f>
        <v>0</v>
      </c>
      <c r="I260" s="2468">
        <f>Matrix!F28</f>
        <v>0</v>
      </c>
      <c r="J260" s="2473">
        <f>Matrix!G28</f>
        <v>0</v>
      </c>
      <c r="K260" s="2473">
        <f>Matrix!H28</f>
        <v>0</v>
      </c>
      <c r="L260" s="2473">
        <f>Matrix!I28</f>
        <v>0</v>
      </c>
      <c r="M260" s="2472"/>
      <c r="N260" s="2473">
        <f>Matrix!J28</f>
        <v>0</v>
      </c>
      <c r="O260" s="2473">
        <f>Matrix!K28</f>
        <v>0</v>
      </c>
      <c r="P260" s="2046"/>
      <c r="Q260" s="2470">
        <f t="shared" si="21"/>
        <v>0</v>
      </c>
    </row>
    <row r="261" spans="2:17">
      <c r="D261" s="3962"/>
      <c r="E261" s="2475" t="str">
        <f>E247</f>
        <v>Agriculture</v>
      </c>
      <c r="F261" s="2476" t="str">
        <f>F247</f>
        <v>Perennial</v>
      </c>
      <c r="G261" s="2046"/>
      <c r="H261" s="2465">
        <f>Matrix!E29</f>
        <v>0</v>
      </c>
      <c r="I261" s="2473">
        <f>Matrix!F29</f>
        <v>0</v>
      </c>
      <c r="J261" s="2468">
        <f>Matrix!G29</f>
        <v>0</v>
      </c>
      <c r="K261" s="2473">
        <f>Matrix!H29</f>
        <v>0</v>
      </c>
      <c r="L261" s="2473">
        <f>Matrix!I29</f>
        <v>0</v>
      </c>
      <c r="M261" s="2472"/>
      <c r="N261" s="2473">
        <f>Matrix!J29</f>
        <v>0</v>
      </c>
      <c r="O261" s="2473">
        <f>Matrix!K29</f>
        <v>0</v>
      </c>
      <c r="P261" s="2046"/>
      <c r="Q261" s="2470">
        <f t="shared" si="21"/>
        <v>0</v>
      </c>
    </row>
    <row r="262" spans="2:17">
      <c r="D262" s="3962"/>
      <c r="E262" s="2475"/>
      <c r="F262" s="2476" t="str">
        <f>F248</f>
        <v>Rice</v>
      </c>
      <c r="G262" s="2046"/>
      <c r="H262" s="2465">
        <f>Matrix!E30</f>
        <v>0</v>
      </c>
      <c r="I262" s="2473">
        <f>Matrix!F30</f>
        <v>0</v>
      </c>
      <c r="J262" s="2473">
        <f>Matrix!G30</f>
        <v>0</v>
      </c>
      <c r="K262" s="2468">
        <f>Matrix!H30</f>
        <v>0</v>
      </c>
      <c r="L262" s="2473">
        <f>Matrix!I30</f>
        <v>0</v>
      </c>
      <c r="M262" s="2472"/>
      <c r="N262" s="2473">
        <f>Matrix!J30</f>
        <v>0</v>
      </c>
      <c r="O262" s="2473">
        <f>Matrix!K30</f>
        <v>0</v>
      </c>
      <c r="P262" s="2046"/>
      <c r="Q262" s="2470">
        <f t="shared" si="21"/>
        <v>0</v>
      </c>
    </row>
    <row r="263" spans="2:17">
      <c r="D263" s="3962"/>
      <c r="E263" s="2475" t="str">
        <f>E249</f>
        <v>Grassland</v>
      </c>
      <c r="F263" s="2476"/>
      <c r="G263" s="2046"/>
      <c r="H263" s="2465">
        <f>Matrix!E31</f>
        <v>0</v>
      </c>
      <c r="I263" s="2473">
        <f>Matrix!F31</f>
        <v>0</v>
      </c>
      <c r="J263" s="2473">
        <f>Matrix!G31</f>
        <v>0</v>
      </c>
      <c r="K263" s="2473">
        <f>Matrix!H31</f>
        <v>0</v>
      </c>
      <c r="L263" s="2482">
        <f>Matrix!I31</f>
        <v>0</v>
      </c>
      <c r="M263" s="2427"/>
      <c r="N263" s="2473">
        <f>Matrix!J31</f>
        <v>0</v>
      </c>
      <c r="O263" s="2473">
        <f>Matrix!K31</f>
        <v>0</v>
      </c>
      <c r="P263" s="2046"/>
      <c r="Q263" s="2470">
        <f t="shared" si="21"/>
        <v>0</v>
      </c>
    </row>
    <row r="264" spans="2:17">
      <c r="D264" s="3962"/>
      <c r="E264" s="3963" t="str">
        <f>E250</f>
        <v>Other lands</v>
      </c>
      <c r="F264" s="2702" t="str">
        <f>F250</f>
        <v>Degraded</v>
      </c>
      <c r="G264" s="2046"/>
      <c r="H264" s="2465">
        <f>Matrix!E32</f>
        <v>0</v>
      </c>
      <c r="I264" s="2473">
        <f>Matrix!F32</f>
        <v>0</v>
      </c>
      <c r="J264" s="2473">
        <f>Matrix!G32</f>
        <v>0</v>
      </c>
      <c r="K264" s="2473">
        <f>Matrix!H32</f>
        <v>0</v>
      </c>
      <c r="L264" s="2473">
        <f>Matrix!I32</f>
        <v>0</v>
      </c>
      <c r="M264" s="2472"/>
      <c r="N264" s="2486">
        <f>Matrix!J32</f>
        <v>0</v>
      </c>
      <c r="O264" s="2473">
        <f>Matrix!K32</f>
        <v>0</v>
      </c>
      <c r="P264" s="2046"/>
      <c r="Q264" s="2470">
        <f t="shared" si="21"/>
        <v>0</v>
      </c>
    </row>
    <row r="265" spans="2:17">
      <c r="D265" s="3962"/>
      <c r="E265" s="3963"/>
      <c r="F265" s="2702" t="str">
        <f>F251</f>
        <v>Other</v>
      </c>
      <c r="G265" s="2046"/>
      <c r="H265" s="2465">
        <f>Matrix!E33</f>
        <v>0</v>
      </c>
      <c r="I265" s="2473">
        <f>Matrix!F33</f>
        <v>0</v>
      </c>
      <c r="J265" s="2473">
        <f>Matrix!G33</f>
        <v>0</v>
      </c>
      <c r="K265" s="2473">
        <f>Matrix!H33</f>
        <v>0</v>
      </c>
      <c r="L265" s="2473">
        <f>Matrix!I33</f>
        <v>0</v>
      </c>
      <c r="M265" s="2472"/>
      <c r="N265" s="2473">
        <f>Matrix!J33</f>
        <v>0</v>
      </c>
      <c r="O265" s="2486">
        <f>Matrix!K33</f>
        <v>0</v>
      </c>
      <c r="P265" s="2046"/>
      <c r="Q265" s="2470">
        <f t="shared" si="21"/>
        <v>0</v>
      </c>
    </row>
    <row r="266" spans="2:17">
      <c r="D266" s="3962"/>
      <c r="E266" s="2476"/>
      <c r="F266" s="2476"/>
      <c r="G266" s="2046"/>
      <c r="H266" s="2478"/>
      <c r="I266" s="2478"/>
      <c r="J266" s="2478"/>
      <c r="K266" s="2478"/>
      <c r="L266" s="2478"/>
      <c r="M266" s="2046"/>
      <c r="N266" s="2478"/>
      <c r="O266" s="2478"/>
      <c r="P266" s="2046"/>
      <c r="Q266" s="2477"/>
    </row>
    <row r="267" spans="2:17">
      <c r="D267" s="2441"/>
      <c r="E267" s="2441"/>
      <c r="F267" s="2703" t="str">
        <f>F253</f>
        <v>Total Final</v>
      </c>
      <c r="G267" s="2471"/>
      <c r="H267" s="2469">
        <f>SUM(H259:H265)</f>
        <v>0</v>
      </c>
      <c r="I267" s="2469">
        <f>SUM(I259:I265)</f>
        <v>0</v>
      </c>
      <c r="J267" s="2469">
        <f>SUM(J259:J265)</f>
        <v>0</v>
      </c>
      <c r="K267" s="2469">
        <f>SUM(K259:K265)</f>
        <v>0</v>
      </c>
      <c r="L267" s="2469">
        <f>SUM(L259:L265)</f>
        <v>0</v>
      </c>
      <c r="M267" s="2471"/>
      <c r="N267" s="2469">
        <f>SUM(N259:N265)</f>
        <v>0</v>
      </c>
      <c r="O267" s="2469">
        <f>SUM(O259:O265)</f>
        <v>0</v>
      </c>
      <c r="P267" s="2046"/>
      <c r="Q267" s="2469">
        <f>SUM(Q259:Q265)</f>
        <v>0</v>
      </c>
    </row>
  </sheetData>
  <sheetProtection algorithmName="SHA-512" hashValue="PIJ9XUs+HuuFNZgXcjv6yAFyHIGIKVE7CsGq/329uV6p22BYVYkKSo3VgULe8sYRyVjk8uWHq4sNmHoDSG16lQ==" saltValue="YeD7GNcXYdAAdoCsRcUPlQ==" spinCount="100000" sheet="1" objects="1" scenarios="1" formatCells="0" formatColumns="0" formatRows="0"/>
  <protectedRanges>
    <protectedRange password="E8A2" sqref="B187:C189 E187:F189 H187:I189 B194:C196 E194:F196 H194:I196 B201:C203 E201:F203 H201:I203 H179:I182 E179:F182 B179:C182" name="Plage1" securityDescriptor="O:WDG:WDD:(A;;CC;;;WD)"/>
  </protectedRanges>
  <mergeCells count="54">
    <mergeCell ref="Q257:Q258"/>
    <mergeCell ref="Q243:Q244"/>
    <mergeCell ref="H199:I199"/>
    <mergeCell ref="K207:M207"/>
    <mergeCell ref="B245:B246"/>
    <mergeCell ref="H243:H244"/>
    <mergeCell ref="H257:H258"/>
    <mergeCell ref="N257:O257"/>
    <mergeCell ref="N243:O243"/>
    <mergeCell ref="H242:O242"/>
    <mergeCell ref="Q155:S156"/>
    <mergeCell ref="E177:F177"/>
    <mergeCell ref="B189:C189"/>
    <mergeCell ref="E185:F185"/>
    <mergeCell ref="E192:F192"/>
    <mergeCell ref="B182:C182"/>
    <mergeCell ref="B187:C187"/>
    <mergeCell ref="B188:C188"/>
    <mergeCell ref="B179:C179"/>
    <mergeCell ref="B180:C180"/>
    <mergeCell ref="H177:I177"/>
    <mergeCell ref="H185:I185"/>
    <mergeCell ref="H192:I192"/>
    <mergeCell ref="S11:T11"/>
    <mergeCell ref="V10:W10"/>
    <mergeCell ref="V11:W11"/>
    <mergeCell ref="U2:Y2"/>
    <mergeCell ref="V31:W34"/>
    <mergeCell ref="D259:D266"/>
    <mergeCell ref="E264:E265"/>
    <mergeCell ref="I243:K243"/>
    <mergeCell ref="I257:K257"/>
    <mergeCell ref="L257:M257"/>
    <mergeCell ref="L243:M243"/>
    <mergeCell ref="D245:D252"/>
    <mergeCell ref="E250:E251"/>
    <mergeCell ref="H256:O256"/>
    <mergeCell ref="M77:P77"/>
    <mergeCell ref="N85:O87"/>
    <mergeCell ref="H155:I155"/>
    <mergeCell ref="K155:L155"/>
    <mergeCell ref="H156:I156"/>
    <mergeCell ref="K156:L156"/>
    <mergeCell ref="N155:O156"/>
    <mergeCell ref="B150:E151"/>
    <mergeCell ref="B216:D217"/>
    <mergeCell ref="B10:B11"/>
    <mergeCell ref="B181:C181"/>
    <mergeCell ref="B155:B156"/>
    <mergeCell ref="B202:C202"/>
    <mergeCell ref="B201:C201"/>
    <mergeCell ref="E199:F199"/>
    <mergeCell ref="B194:C194"/>
    <mergeCell ref="B195:C195"/>
  </mergeCells>
  <dataValidations count="2">
    <dataValidation type="list" allowBlank="1" showInputMessage="1" showErrorMessage="1" sqref="U2">
      <formula1>GWP</formula1>
    </dataValidation>
    <dataValidation type="decimal" allowBlank="1" showInputMessage="1" showErrorMessage="1" sqref="N160:O164 N167:O167">
      <formula1>0</formula1>
      <formula2>100</formula2>
    </dataValidation>
  </dataValidations>
  <hyperlinks>
    <hyperlink ref="V31:W34" location="'9. Results'!A160" display="'9. Results'!A160"/>
    <hyperlink ref="N85:O87" location="'9. Results'!A268" display="'9. Results'!A268"/>
    <hyperlink ref="B245:B246" location="'9. Results'!A72" display="'9. Results'!A72"/>
    <hyperlink ref="B216:D217" location="'7. Results'!A6" display="'7. Results'!A6"/>
    <hyperlink ref="B150:E151" location="'7. Results'!A6" display="'7. Results'!A6"/>
  </hyperlinks>
  <pageMargins left="0.7" right="0.7" top="0.75" bottom="0.75" header="0.3" footer="0.3"/>
  <pageSetup paperSize="9"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X52"/>
  <sheetViews>
    <sheetView zoomScaleNormal="100" workbookViewId="0">
      <selection activeCell="O31" sqref="O31"/>
    </sheetView>
  </sheetViews>
  <sheetFormatPr defaultColWidth="11.42578125" defaultRowHeight="12.75"/>
  <cols>
    <col min="1" max="1" width="0.85546875" style="233" customWidth="1"/>
    <col min="2" max="2" width="15" style="233" customWidth="1"/>
    <col min="3" max="3" width="13.140625" style="233" customWidth="1"/>
    <col min="4" max="4" width="1.28515625" style="233" customWidth="1"/>
    <col min="5" max="5" width="10" style="233" customWidth="1"/>
    <col min="6" max="7" width="8.7109375" style="233" customWidth="1"/>
    <col min="8" max="8" width="4.140625" style="233" customWidth="1"/>
    <col min="9" max="9" width="12" style="233" customWidth="1"/>
    <col min="10" max="11" width="9" style="233" customWidth="1"/>
    <col min="12" max="12" width="6.28515625" style="233" customWidth="1"/>
    <col min="13" max="13" width="1.28515625" style="233" customWidth="1"/>
    <col min="14" max="14" width="13.42578125" style="233" customWidth="1"/>
    <col min="15" max="15" width="10.28515625" style="233" customWidth="1"/>
    <col min="16" max="16" width="1.28515625" style="233" customWidth="1"/>
    <col min="17" max="17" width="10" style="2004" customWidth="1"/>
    <col min="18" max="18" width="10.28515625" style="2004" customWidth="1"/>
    <col min="19" max="19" width="8.85546875" style="2004" customWidth="1"/>
    <col min="20" max="24" width="11.42578125" style="2004"/>
    <col min="25" max="16384" width="11.42578125" style="233"/>
  </cols>
  <sheetData>
    <row r="1" spans="2:24" s="1644" customFormat="1" ht="22.9" customHeight="1">
      <c r="Q1" s="1754"/>
      <c r="R1" s="1754"/>
      <c r="S1" s="1754"/>
      <c r="T1" s="1754"/>
      <c r="U1" s="1754"/>
      <c r="V1" s="1754"/>
      <c r="W1" s="1754"/>
      <c r="X1" s="1754"/>
    </row>
    <row r="2" spans="2:24" s="1644" customFormat="1" ht="22.9" customHeight="1">
      <c r="Q2" s="1754"/>
      <c r="R2" s="1754"/>
      <c r="S2" s="1754"/>
      <c r="T2" s="1754"/>
      <c r="U2" s="1754"/>
      <c r="V2" s="1754"/>
      <c r="W2" s="1754"/>
      <c r="X2" s="1754"/>
    </row>
    <row r="3" spans="2:24" s="1644" customFormat="1" ht="22.9" customHeight="1">
      <c r="Q3" s="1754"/>
      <c r="R3" s="1754"/>
      <c r="S3" s="1754"/>
      <c r="T3" s="1754"/>
      <c r="U3" s="1754"/>
      <c r="V3" s="1754"/>
      <c r="W3" s="1754"/>
      <c r="X3" s="1754"/>
    </row>
    <row r="4" spans="2:24" s="1644" customFormat="1" ht="22.9" customHeight="1">
      <c r="Q4" s="1754"/>
      <c r="R4" s="1754"/>
      <c r="S4" s="1754"/>
      <c r="T4" s="1754"/>
      <c r="U4" s="1754"/>
      <c r="V4" s="1754"/>
      <c r="W4" s="1754"/>
      <c r="X4" s="1754"/>
    </row>
    <row r="5" spans="2:24" s="1644" customFormat="1" ht="22.9" customHeight="1" thickBot="1">
      <c r="Q5" s="1754"/>
      <c r="R5" s="1754"/>
      <c r="S5" s="1754"/>
      <c r="T5" s="1754"/>
      <c r="U5" s="1754"/>
      <c r="V5" s="1754"/>
      <c r="W5" s="1754"/>
      <c r="X5" s="1754"/>
    </row>
    <row r="6" spans="2:24" ht="13.5" thickBot="1">
      <c r="B6" s="1567" t="s">
        <v>34</v>
      </c>
      <c r="C6" s="1568"/>
      <c r="D6" s="1568"/>
      <c r="E6" s="1568"/>
      <c r="F6" s="1568"/>
      <c r="G6" s="1569"/>
      <c r="I6" s="1503" t="s">
        <v>58</v>
      </c>
      <c r="J6" s="1504"/>
      <c r="K6" s="1505"/>
      <c r="N6" s="3984" t="s">
        <v>56</v>
      </c>
      <c r="O6" s="3985"/>
    </row>
    <row r="7" spans="2:24" ht="13.5" thickBot="1">
      <c r="B7" s="1075" t="s">
        <v>1124</v>
      </c>
      <c r="C7" s="1506" t="str">
        <f>IF(title="","",title)</f>
        <v/>
      </c>
      <c r="D7" s="1506"/>
      <c r="E7" s="1506"/>
      <c r="F7" s="1506"/>
      <c r="G7" s="1507"/>
      <c r="I7" s="1043" t="s">
        <v>1095</v>
      </c>
      <c r="J7" s="1044"/>
      <c r="K7" s="1508">
        <f>Matrix!M10</f>
        <v>0</v>
      </c>
      <c r="N7" s="3986" t="s">
        <v>57</v>
      </c>
      <c r="O7" s="3987"/>
    </row>
    <row r="8" spans="2:24">
      <c r="B8" s="1509"/>
      <c r="C8" s="526"/>
      <c r="D8" s="526"/>
      <c r="E8" s="526"/>
      <c r="F8" s="526"/>
      <c r="G8" s="1510"/>
      <c r="I8" s="1032"/>
      <c r="J8" s="1033" t="s">
        <v>1091</v>
      </c>
      <c r="K8" s="1511">
        <f>Matrix!M11</f>
        <v>0</v>
      </c>
      <c r="N8" s="1509" t="s">
        <v>35</v>
      </c>
      <c r="O8" s="1510">
        <f>time</f>
        <v>0</v>
      </c>
    </row>
    <row r="9" spans="2:24">
      <c r="B9" s="1078" t="s">
        <v>292</v>
      </c>
      <c r="C9" s="555" t="str">
        <f>IF(region=List!A6,"",region)</f>
        <v/>
      </c>
      <c r="D9" s="555"/>
      <c r="E9" s="555"/>
      <c r="F9" s="555"/>
      <c r="G9" s="1512"/>
      <c r="I9" s="1034" t="s">
        <v>1087</v>
      </c>
      <c r="J9" s="1033" t="s">
        <v>1092</v>
      </c>
      <c r="K9" s="1511">
        <f>Matrix!M12</f>
        <v>0</v>
      </c>
      <c r="N9" s="1509" t="s">
        <v>45</v>
      </c>
      <c r="O9" s="1510">
        <f>time2</f>
        <v>0</v>
      </c>
    </row>
    <row r="10" spans="2:24" ht="13.5" thickBot="1">
      <c r="B10" s="1509"/>
      <c r="C10" s="526"/>
      <c r="D10" s="526"/>
      <c r="E10" s="526"/>
      <c r="F10" s="526"/>
      <c r="G10" s="1510"/>
      <c r="I10" s="1034"/>
      <c r="J10" s="1033" t="s">
        <v>1093</v>
      </c>
      <c r="K10" s="1511">
        <f>Matrix!M13</f>
        <v>0</v>
      </c>
      <c r="N10" s="1513" t="s">
        <v>516</v>
      </c>
      <c r="O10" s="1514">
        <f>time_tot</f>
        <v>0</v>
      </c>
    </row>
    <row r="11" spans="2:24" ht="13.5" thickBot="1">
      <c r="B11" s="1078" t="s">
        <v>293</v>
      </c>
      <c r="C11" s="555" t="str">
        <f>IF(clim_simple=Help!N79,"",clim_full)</f>
        <v/>
      </c>
      <c r="D11" s="555"/>
      <c r="E11" s="555"/>
      <c r="F11" s="555"/>
      <c r="G11" s="1512"/>
      <c r="I11" s="1035" t="s">
        <v>329</v>
      </c>
      <c r="J11" s="1036"/>
      <c r="K11" s="1511">
        <f>Matrix!M14</f>
        <v>0</v>
      </c>
      <c r="N11" s="3996" t="s">
        <v>46</v>
      </c>
      <c r="O11" s="3997"/>
    </row>
    <row r="12" spans="2:24">
      <c r="B12" s="1509"/>
      <c r="C12" s="526"/>
      <c r="D12" s="526"/>
      <c r="E12" s="526"/>
      <c r="F12" s="526"/>
      <c r="G12" s="1510"/>
      <c r="I12" s="481" t="s">
        <v>1088</v>
      </c>
      <c r="J12" s="486" t="s">
        <v>1187</v>
      </c>
      <c r="K12" s="1511">
        <f>Matrix!M15</f>
        <v>0</v>
      </c>
      <c r="N12" s="1562" t="s">
        <v>266</v>
      </c>
      <c r="O12" s="1564">
        <f>SUM(K7:K13)</f>
        <v>0</v>
      </c>
    </row>
    <row r="13" spans="2:24" ht="13.5" thickBot="1">
      <c r="B13" s="1078" t="s">
        <v>33</v>
      </c>
      <c r="C13" s="555" t="str">
        <f>IF(soil=List!A20,"",soil)</f>
        <v/>
      </c>
      <c r="D13" s="555"/>
      <c r="E13" s="555"/>
      <c r="F13" s="555"/>
      <c r="G13" s="1512"/>
      <c r="I13" s="450"/>
      <c r="J13" s="490" t="s">
        <v>388</v>
      </c>
      <c r="K13" s="1515">
        <f>Matrix!M16</f>
        <v>0</v>
      </c>
      <c r="N13" s="1513" t="s">
        <v>267</v>
      </c>
      <c r="O13" s="1563">
        <f>'5. Management'!T35+'5. Management'!T36+'5. Management'!T37+'5. Management'!T38+'5. Management'!T39+'5. Management'!T60+'5. Management'!T61+MAX('5. Management'!F73,'5. Management'!H73,'5. Management'!J73)++MAX('5. Management'!F49,'5. Management'!H49,'5. Management'!J49)+MAX('5. Management'!F50,'5. Management'!H50,'5. Management'!J50)+Wetlands!H31+Wetlands!M51+Wetlands!M64</f>
        <v>0</v>
      </c>
      <c r="Q13" s="2004" t="s">
        <v>8757</v>
      </c>
      <c r="S13" s="2004">
        <f>'8. Fish'!J46</f>
        <v>0</v>
      </c>
    </row>
    <row r="14" spans="2:24" ht="13.5" thickBot="1">
      <c r="B14" s="1513"/>
      <c r="C14" s="1570"/>
      <c r="D14" s="1570"/>
      <c r="E14" s="1570"/>
      <c r="F14" s="1570"/>
      <c r="G14" s="1514"/>
      <c r="I14" s="1566" t="s">
        <v>269</v>
      </c>
      <c r="J14" s="1565"/>
      <c r="K14" s="1573">
        <f>O13</f>
        <v>0</v>
      </c>
      <c r="N14" s="1057" t="s">
        <v>46</v>
      </c>
      <c r="O14" s="1058">
        <f>SUM(O12:O13)+S13</f>
        <v>0</v>
      </c>
    </row>
    <row r="15" spans="2:24" ht="7.5" customHeight="1" thickBot="1"/>
    <row r="16" spans="2:24">
      <c r="B16" s="4012" t="s">
        <v>326</v>
      </c>
      <c r="C16" s="4013"/>
      <c r="E16" s="4001" t="s">
        <v>211</v>
      </c>
      <c r="F16" s="4002"/>
      <c r="G16" s="4003"/>
      <c r="I16" s="3988" t="s">
        <v>212</v>
      </c>
      <c r="J16" s="3989"/>
      <c r="K16" s="3990"/>
      <c r="N16" s="3994" t="s">
        <v>210</v>
      </c>
      <c r="O16" s="3995"/>
    </row>
    <row r="17" spans="2:15" ht="16.5" thickBot="1">
      <c r="B17" s="1060"/>
      <c r="C17" s="1061"/>
      <c r="D17" s="232"/>
      <c r="E17" s="3998" t="s">
        <v>437</v>
      </c>
      <c r="F17" s="3999"/>
      <c r="G17" s="4000"/>
      <c r="H17" s="232"/>
      <c r="I17" s="3991" t="s">
        <v>437</v>
      </c>
      <c r="J17" s="3992"/>
      <c r="K17" s="3993"/>
      <c r="N17" s="1342" t="s">
        <v>674</v>
      </c>
      <c r="O17" s="1516" t="s">
        <v>675</v>
      </c>
    </row>
    <row r="18" spans="2:15">
      <c r="B18" s="4010" t="s">
        <v>327</v>
      </c>
      <c r="C18" s="4011"/>
      <c r="D18" s="232"/>
      <c r="E18" s="3389">
        <f>Deforestation!R54</f>
        <v>0</v>
      </c>
      <c r="F18" s="3390" t="str">
        <f t="shared" ref="F18:F31" si="0">IF(E18=0,"",IF(E18&lt;0, "this is a sink","this is a source"))</f>
        <v/>
      </c>
      <c r="G18" s="1491"/>
      <c r="H18" s="238" t="str">
        <f>IF(E18&gt;I18,"&gt;","&lt;")</f>
        <v>&lt;</v>
      </c>
      <c r="I18" s="3389">
        <f>Deforestation!S54</f>
        <v>0</v>
      </c>
      <c r="J18" s="3390" t="str">
        <f t="shared" ref="J18:J31" si="1">IF(I18=0,"",IF(I18&lt;0, "this is a sink","this is a source"))</f>
        <v/>
      </c>
      <c r="K18" s="1491"/>
      <c r="N18" s="1095">
        <f>IF(time_tot=0,0,E18/time_tot)</f>
        <v>0</v>
      </c>
      <c r="O18" s="1605">
        <f>IF(time_tot=0,0,I18/time_tot)</f>
        <v>0</v>
      </c>
    </row>
    <row r="19" spans="2:15">
      <c r="B19" s="1518" t="s">
        <v>196</v>
      </c>
      <c r="C19" s="1519"/>
      <c r="D19" s="232"/>
      <c r="E19" s="523">
        <f>'Forest Degradation'!N55</f>
        <v>0</v>
      </c>
      <c r="F19" s="251" t="str">
        <f t="shared" si="0"/>
        <v/>
      </c>
      <c r="G19" s="245"/>
      <c r="H19" s="238" t="str">
        <f t="shared" ref="H19:H37" si="2">IF(E19&gt;I19,"&gt;","&lt;")</f>
        <v>&lt;</v>
      </c>
      <c r="I19" s="523">
        <f>'Forest Degradation'!O55</f>
        <v>0</v>
      </c>
      <c r="J19" s="251" t="str">
        <f t="shared" si="1"/>
        <v/>
      </c>
      <c r="K19" s="245"/>
      <c r="N19" s="1096">
        <f>IF(time_tot=0,0,E19/time_tot)</f>
        <v>0</v>
      </c>
      <c r="O19" s="1517">
        <f>IF(time_tot=0,0,I19/time_tot)</f>
        <v>0</v>
      </c>
    </row>
    <row r="20" spans="2:15">
      <c r="B20" s="4004" t="s">
        <v>469</v>
      </c>
      <c r="C20" s="4005"/>
      <c r="D20" s="232"/>
      <c r="E20" s="523">
        <f>'A-R'!Q54</f>
        <v>0</v>
      </c>
      <c r="F20" s="251" t="str">
        <f t="shared" si="0"/>
        <v/>
      </c>
      <c r="G20" s="245"/>
      <c r="H20" s="238" t="str">
        <f t="shared" si="2"/>
        <v>&lt;</v>
      </c>
      <c r="I20" s="523">
        <f>'A-R'!R54</f>
        <v>0</v>
      </c>
      <c r="J20" s="251" t="str">
        <f t="shared" si="1"/>
        <v/>
      </c>
      <c r="K20" s="245"/>
      <c r="N20" s="1096">
        <f>IF(time_tot=0,0,E20/time_tot)</f>
        <v>0</v>
      </c>
      <c r="O20" s="1517">
        <f>IF(time_tot=0,0,I20/time_tot)</f>
        <v>0</v>
      </c>
    </row>
    <row r="21" spans="2:15">
      <c r="B21" s="4006" t="s">
        <v>132</v>
      </c>
      <c r="C21" s="4007"/>
      <c r="D21" s="232"/>
      <c r="E21" s="523">
        <f>'non Forest LUC'!N48</f>
        <v>0</v>
      </c>
      <c r="F21" s="251" t="str">
        <f t="shared" si="0"/>
        <v/>
      </c>
      <c r="G21" s="245"/>
      <c r="H21" s="238" t="str">
        <f t="shared" si="2"/>
        <v>&lt;</v>
      </c>
      <c r="I21" s="523">
        <f>'non Forest LUC'!O48</f>
        <v>0</v>
      </c>
      <c r="J21" s="251" t="str">
        <f t="shared" si="1"/>
        <v/>
      </c>
      <c r="K21" s="245"/>
      <c r="N21" s="1096">
        <f>IF(time_tot=0,0,E21/time_tot)</f>
        <v>0</v>
      </c>
      <c r="O21" s="1517">
        <f>IF(time_tot=0,0,I21/time_tot)</f>
        <v>0</v>
      </c>
    </row>
    <row r="22" spans="2:15">
      <c r="B22" s="4014" t="s">
        <v>328</v>
      </c>
      <c r="C22" s="4015"/>
      <c r="D22" s="232"/>
      <c r="E22" s="524"/>
      <c r="F22" s="252" t="str">
        <f t="shared" si="0"/>
        <v/>
      </c>
      <c r="G22" s="246"/>
      <c r="H22" s="238"/>
      <c r="I22" s="524"/>
      <c r="J22" s="252" t="str">
        <f t="shared" si="1"/>
        <v/>
      </c>
      <c r="K22" s="246"/>
      <c r="N22" s="1520"/>
      <c r="O22" s="1521"/>
    </row>
    <row r="23" spans="2:15">
      <c r="B23" s="3978" t="s">
        <v>575</v>
      </c>
      <c r="C23" s="3979"/>
      <c r="D23" s="232"/>
      <c r="E23" s="523">
        <f>Annual!L49</f>
        <v>0</v>
      </c>
      <c r="F23" s="251" t="str">
        <f t="shared" si="0"/>
        <v/>
      </c>
      <c r="G23" s="245"/>
      <c r="H23" s="238" t="str">
        <f t="shared" si="2"/>
        <v>&lt;</v>
      </c>
      <c r="I23" s="523">
        <f>Annual!M49</f>
        <v>0</v>
      </c>
      <c r="J23" s="251" t="str">
        <f t="shared" si="1"/>
        <v/>
      </c>
      <c r="K23" s="245"/>
      <c r="N23" s="1096">
        <f>IF(time_tot=0,0,E23/time_tot)</f>
        <v>0</v>
      </c>
      <c r="O23" s="1517">
        <f>IF(time_tot=0,0,I23/time_tot)</f>
        <v>0</v>
      </c>
    </row>
    <row r="24" spans="2:15">
      <c r="B24" s="3978" t="s">
        <v>576</v>
      </c>
      <c r="C24" s="3979"/>
      <c r="D24" s="232"/>
      <c r="E24" s="523">
        <f>Perennial!N47</f>
        <v>0</v>
      </c>
      <c r="F24" s="251" t="str">
        <f t="shared" si="0"/>
        <v/>
      </c>
      <c r="G24" s="245"/>
      <c r="H24" s="238" t="str">
        <f t="shared" si="2"/>
        <v>&lt;</v>
      </c>
      <c r="I24" s="523">
        <f>Perennial!O47</f>
        <v>0</v>
      </c>
      <c r="J24" s="251" t="str">
        <f t="shared" si="1"/>
        <v/>
      </c>
      <c r="K24" s="245"/>
      <c r="N24" s="1096">
        <f>IF(time_tot=0,0,E24/time_tot)</f>
        <v>0</v>
      </c>
      <c r="O24" s="1517">
        <f>IF(time_tot=0,0,I24/time_tot)</f>
        <v>0</v>
      </c>
    </row>
    <row r="25" spans="2:15">
      <c r="B25" s="3978" t="s">
        <v>139</v>
      </c>
      <c r="C25" s="3979"/>
      <c r="D25" s="232"/>
      <c r="E25" s="523">
        <f>'Irrigated Rice'!N47</f>
        <v>0</v>
      </c>
      <c r="F25" s="251" t="str">
        <f t="shared" si="0"/>
        <v/>
      </c>
      <c r="G25" s="245"/>
      <c r="H25" s="238" t="str">
        <f t="shared" si="2"/>
        <v>&lt;</v>
      </c>
      <c r="I25" s="523">
        <f>'Irrigated Rice'!O47</f>
        <v>0</v>
      </c>
      <c r="J25" s="251" t="str">
        <f t="shared" si="1"/>
        <v/>
      </c>
      <c r="K25" s="245"/>
      <c r="N25" s="1096">
        <f>IF(time_tot=0,0,E25/time_tot)</f>
        <v>0</v>
      </c>
      <c r="O25" s="1517">
        <f>IF(time_tot=0,0,I25/time_tot)</f>
        <v>0</v>
      </c>
    </row>
    <row r="26" spans="2:15">
      <c r="B26" s="3980" t="s">
        <v>329</v>
      </c>
      <c r="C26" s="3981"/>
      <c r="D26" s="232"/>
      <c r="E26" s="523">
        <f>Grass!M44</f>
        <v>0</v>
      </c>
      <c r="F26" s="251" t="str">
        <f t="shared" si="0"/>
        <v/>
      </c>
      <c r="G26" s="245"/>
      <c r="H26" s="238" t="str">
        <f t="shared" si="2"/>
        <v>&lt;</v>
      </c>
      <c r="I26" s="523">
        <f>Grass!N44</f>
        <v>0</v>
      </c>
      <c r="J26" s="251" t="str">
        <f t="shared" si="1"/>
        <v/>
      </c>
      <c r="K26" s="245"/>
      <c r="N26" s="1096">
        <f>IF(time_tot=0,0,E26/time_tot)</f>
        <v>0</v>
      </c>
      <c r="O26" s="1517">
        <f>IF(time_tot=0,0,I26/time_tot)</f>
        <v>0</v>
      </c>
    </row>
    <row r="27" spans="2:15">
      <c r="B27" s="1561" t="s">
        <v>265</v>
      </c>
      <c r="C27" s="1560"/>
      <c r="D27" s="232"/>
      <c r="E27" s="523">
        <f>'Organic Soils NEW'!P44</f>
        <v>0</v>
      </c>
      <c r="F27" s="251" t="str">
        <f t="shared" si="0"/>
        <v/>
      </c>
      <c r="G27" s="245"/>
      <c r="H27" s="238" t="str">
        <f t="shared" si="2"/>
        <v>&lt;</v>
      </c>
      <c r="I27" s="523">
        <f>'Organic Soils NEW'!Q44</f>
        <v>0</v>
      </c>
      <c r="J27" s="251" t="str">
        <f t="shared" si="1"/>
        <v/>
      </c>
      <c r="K27" s="245"/>
      <c r="N27" s="1096">
        <f>IF(time_tot=0,0,E27/time_tot)</f>
        <v>0</v>
      </c>
      <c r="O27" s="1517">
        <f>IF(time_tot=0,0,I27/time_tot)</f>
        <v>0</v>
      </c>
    </row>
    <row r="28" spans="2:15">
      <c r="B28" s="4008" t="s">
        <v>468</v>
      </c>
      <c r="C28" s="4009"/>
      <c r="D28" s="232"/>
      <c r="E28" s="524"/>
      <c r="F28" s="252" t="str">
        <f t="shared" si="0"/>
        <v/>
      </c>
      <c r="G28" s="246"/>
      <c r="H28" s="238"/>
      <c r="I28" s="524"/>
      <c r="J28" s="252" t="str">
        <f t="shared" si="1"/>
        <v/>
      </c>
      <c r="K28" s="246"/>
      <c r="N28" s="1520"/>
      <c r="O28" s="1521"/>
    </row>
    <row r="29" spans="2:15">
      <c r="B29" s="3976" t="s">
        <v>665</v>
      </c>
      <c r="C29" s="3977"/>
      <c r="D29" s="232"/>
      <c r="E29" s="523">
        <f>Livestock!Q102</f>
        <v>0</v>
      </c>
      <c r="F29" s="251" t="str">
        <f t="shared" si="0"/>
        <v/>
      </c>
      <c r="G29" s="245"/>
      <c r="H29" s="238"/>
      <c r="I29" s="523">
        <f>Livestock!R102</f>
        <v>0</v>
      </c>
      <c r="J29" s="251" t="str">
        <f t="shared" si="1"/>
        <v/>
      </c>
      <c r="K29" s="245"/>
      <c r="N29" s="1096">
        <f>IF(time_tot=0,0,E29/time_tot)</f>
        <v>0</v>
      </c>
      <c r="O29" s="1517">
        <f>IF(time_tot=0,0,I29/time_tot)</f>
        <v>0</v>
      </c>
    </row>
    <row r="30" spans="2:15" ht="12.75" customHeight="1">
      <c r="B30" s="3976" t="s">
        <v>666</v>
      </c>
      <c r="C30" s="3977"/>
      <c r="D30" s="1110"/>
      <c r="E30" s="523">
        <f>Inputs!Q52</f>
        <v>0</v>
      </c>
      <c r="F30" s="251" t="str">
        <f t="shared" si="0"/>
        <v/>
      </c>
      <c r="G30" s="245"/>
      <c r="H30" s="433" t="str">
        <f t="shared" si="2"/>
        <v>&lt;</v>
      </c>
      <c r="I30" s="523">
        <f>Inputs!R52</f>
        <v>0</v>
      </c>
      <c r="J30" s="251" t="str">
        <f t="shared" si="1"/>
        <v/>
      </c>
      <c r="K30" s="245"/>
      <c r="L30" s="240"/>
      <c r="M30" s="240"/>
      <c r="N30" s="1096">
        <f>IF(time_tot=0,0,E30/time_tot)</f>
        <v>0</v>
      </c>
      <c r="O30" s="1517">
        <f>IF(time_tot=0,0,I30/time_tot)</f>
        <v>0</v>
      </c>
    </row>
    <row r="31" spans="2:15" ht="12.75" customHeight="1">
      <c r="B31" s="3976" t="s">
        <v>131</v>
      </c>
      <c r="C31" s="3977"/>
      <c r="D31" s="1110"/>
      <c r="E31" s="523">
        <f>'Other investments'!F86</f>
        <v>0</v>
      </c>
      <c r="F31" s="251" t="str">
        <f t="shared" si="0"/>
        <v/>
      </c>
      <c r="G31" s="245"/>
      <c r="H31" s="433" t="str">
        <f t="shared" si="2"/>
        <v>&lt;</v>
      </c>
      <c r="I31" s="523">
        <f>'Other investments'!H86</f>
        <v>0</v>
      </c>
      <c r="J31" s="251" t="str">
        <f t="shared" si="1"/>
        <v/>
      </c>
      <c r="K31" s="245"/>
      <c r="L31" s="240"/>
      <c r="M31" s="240"/>
      <c r="N31" s="1096">
        <f>IF(time_tot=0,0,E31/time_tot)</f>
        <v>0</v>
      </c>
      <c r="O31" s="1517">
        <f>IF(time_tot=0,0,I31/time_tot)</f>
        <v>0</v>
      </c>
    </row>
    <row r="32" spans="2:15" ht="12.75" customHeight="1">
      <c r="B32" s="3411" t="str">
        <f>BALANCE!C32</f>
        <v>Coastal Wetlands</v>
      </c>
      <c r="C32" s="3345"/>
      <c r="D32" s="1110"/>
      <c r="E32" s="523">
        <f>+Wetlands!P31+Wetlands!Q51+Wetlands!S63+Wetlands!S73+Wetlands!P41+Wetlands!S90</f>
        <v>0</v>
      </c>
      <c r="F32" s="251" t="str">
        <f t="shared" ref="F32:F33" si="3">IF(E32=0,"",IF(E32&lt;0, "this is a sink","this is a source"))</f>
        <v/>
      </c>
      <c r="G32" s="245"/>
      <c r="H32" s="433" t="str">
        <f t="shared" si="2"/>
        <v>&lt;</v>
      </c>
      <c r="I32" s="523">
        <f>+Wetlands!Q31+Wetlands!R51+Wetlands!U63+Wetlands!U73+Wetlands!Q41+Wetlands!U90</f>
        <v>0</v>
      </c>
      <c r="J32" s="251" t="str">
        <f t="shared" ref="J32:J33" si="4">IF(I32=0,"",IF(I32&lt;0, "this is a sink","this is a source"))</f>
        <v/>
      </c>
      <c r="K32" s="245"/>
      <c r="L32" s="240"/>
      <c r="M32" s="240"/>
      <c r="N32" s="1096">
        <f>IF(time_tot=0,0,E32/time_tot)</f>
        <v>0</v>
      </c>
      <c r="O32" s="1517">
        <f>IF(time_tot=0,0,I32/time_tot)</f>
        <v>0</v>
      </c>
    </row>
    <row r="33" spans="2:18" ht="12.75" customHeight="1" thickBot="1">
      <c r="B33" s="3982" t="s">
        <v>6465</v>
      </c>
      <c r="C33" s="3983"/>
      <c r="D33" s="1110"/>
      <c r="E33" s="525">
        <f>SUM(Fishery!H73:H74)</f>
        <v>0</v>
      </c>
      <c r="F33" s="253" t="str">
        <f t="shared" si="3"/>
        <v/>
      </c>
      <c r="G33" s="247"/>
      <c r="H33" s="433" t="str">
        <f t="shared" si="2"/>
        <v>&lt;</v>
      </c>
      <c r="I33" s="525">
        <f>SUM(Fishery!I73:I74)</f>
        <v>0</v>
      </c>
      <c r="J33" s="253" t="str">
        <f t="shared" si="4"/>
        <v/>
      </c>
      <c r="K33" s="247"/>
      <c r="L33" s="240"/>
      <c r="M33" s="240"/>
      <c r="N33" s="1097">
        <f>IF(time_tot=0,0,E33/time_tot)</f>
        <v>0</v>
      </c>
      <c r="O33" s="1522">
        <f>IF(time_tot=0,0,I33/time_tot)</f>
        <v>0</v>
      </c>
      <c r="Q33" s="2005"/>
      <c r="R33" s="2005"/>
    </row>
    <row r="34" spans="2:18" ht="12.75" customHeight="1" thickBot="1">
      <c r="B34" s="1236"/>
      <c r="C34" s="1236"/>
      <c r="D34" s="1236"/>
      <c r="E34" s="1236"/>
      <c r="F34" s="1236"/>
      <c r="G34" s="1236"/>
      <c r="H34" s="1236"/>
      <c r="I34" s="1236"/>
      <c r="J34" s="1236"/>
      <c r="K34" s="1236"/>
      <c r="L34" s="1236"/>
      <c r="M34" s="1236"/>
      <c r="N34" s="1236"/>
      <c r="O34" s="1236"/>
      <c r="P34" s="1236"/>
      <c r="Q34" s="1236"/>
      <c r="R34" s="2005"/>
    </row>
    <row r="35" spans="2:18" ht="12.75" customHeight="1" thickBot="1">
      <c r="C35" s="1098" t="s">
        <v>1151</v>
      </c>
      <c r="D35" s="232"/>
      <c r="E35" s="1054">
        <f>SUM(E18:E33)</f>
        <v>0</v>
      </c>
      <c r="F35" s="1114" t="str">
        <f>IF(E35=0,"",IF(E35&lt;0,"It is a sink","It is a source"))</f>
        <v/>
      </c>
      <c r="G35" s="1059"/>
      <c r="H35" s="238" t="str">
        <f t="shared" si="2"/>
        <v>&lt;</v>
      </c>
      <c r="I35" s="1054">
        <f>SUM(I18:I33)</f>
        <v>0</v>
      </c>
      <c r="J35" s="1114" t="str">
        <f>IF(I35=0,"",IF(I35&lt;0,"It is a sink","It is a source"))</f>
        <v/>
      </c>
      <c r="K35" s="909"/>
      <c r="N35" s="1054">
        <f>IF(time_tot=0,0,E35/time_tot)</f>
        <v>0</v>
      </c>
      <c r="O35" s="909">
        <f>IF(time_tot=0,0,I35/time_tot)</f>
        <v>0</v>
      </c>
      <c r="Q35" s="2005"/>
      <c r="R35" s="2005"/>
    </row>
    <row r="36" spans="2:18" ht="12.75" customHeight="1" thickBot="1">
      <c r="C36" s="232"/>
      <c r="D36" s="232"/>
      <c r="Q36" s="2005"/>
      <c r="R36" s="2005"/>
    </row>
    <row r="37" spans="2:18" ht="13.5" thickBot="1">
      <c r="C37" s="1523" t="s">
        <v>68</v>
      </c>
      <c r="E37" s="1100">
        <f>IF($O$14=0,0,E35/$O$14)</f>
        <v>0</v>
      </c>
      <c r="F37" s="1101"/>
      <c r="G37" s="1102"/>
      <c r="H37" s="1103" t="str">
        <f t="shared" si="2"/>
        <v>&lt;</v>
      </c>
      <c r="I37" s="1100">
        <f>IF($O$14=0,0,I35/$O$14)</f>
        <v>0</v>
      </c>
      <c r="J37" s="1101"/>
      <c r="K37" s="1102"/>
      <c r="L37" s="1529"/>
      <c r="M37" s="1529"/>
      <c r="N37" s="1100">
        <f>IF($O$14=0,0,N35/$O$14)</f>
        <v>0</v>
      </c>
      <c r="O37" s="1102">
        <f>IF($O$14=0,0,O35/$O$14)</f>
        <v>0</v>
      </c>
      <c r="Q37" s="2005"/>
      <c r="R37" s="2005"/>
    </row>
    <row r="38" spans="2:18">
      <c r="K38" s="232"/>
      <c r="L38" s="244"/>
    </row>
    <row r="39" spans="2:18">
      <c r="K39" s="232"/>
      <c r="L39" s="244"/>
      <c r="N39" s="1334"/>
    </row>
    <row r="40" spans="2:18">
      <c r="K40" s="232"/>
      <c r="L40" s="244"/>
    </row>
    <row r="52" spans="5:6">
      <c r="E52" s="232"/>
      <c r="F52" s="232"/>
    </row>
  </sheetData>
  <sheetProtection formatCells="0" formatColumns="0" formatRows="0"/>
  <mergeCells count="22">
    <mergeCell ref="B33:C33"/>
    <mergeCell ref="N6:O6"/>
    <mergeCell ref="N7:O7"/>
    <mergeCell ref="I16:K16"/>
    <mergeCell ref="I17:K17"/>
    <mergeCell ref="N16:O16"/>
    <mergeCell ref="N11:O11"/>
    <mergeCell ref="E17:G17"/>
    <mergeCell ref="E16:G16"/>
    <mergeCell ref="B20:C20"/>
    <mergeCell ref="B21:C21"/>
    <mergeCell ref="B28:C28"/>
    <mergeCell ref="B18:C18"/>
    <mergeCell ref="B16:C16"/>
    <mergeCell ref="B22:C22"/>
    <mergeCell ref="B31:C31"/>
    <mergeCell ref="B30:C30"/>
    <mergeCell ref="B23:C23"/>
    <mergeCell ref="B24:C24"/>
    <mergeCell ref="B25:C25"/>
    <mergeCell ref="B26:C26"/>
    <mergeCell ref="B29:C29"/>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31:C31" location="'Other investments'!A1" display="Other Investment"/>
    <hyperlink ref="B21:C21" location="'non Forest LUC'!A1" display="Other Land Use Change"/>
    <hyperlink ref="B25:C25" location="'Irrigated Rice'!A1" display="Irrigated Rice "/>
    <hyperlink ref="B19" location="'Forest Degradation'!A1" display="Forest Degradation"/>
  </hyperlinks>
  <pageMargins left="0.28000000000000003" right="0.27" top="0.4" bottom="0.52" header="0.24" footer="0.33"/>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D132"/>
  <sheetViews>
    <sheetView zoomScaleNormal="100" workbookViewId="0">
      <selection activeCell="I32" sqref="I32"/>
    </sheetView>
  </sheetViews>
  <sheetFormatPr defaultColWidth="11.42578125" defaultRowHeight="12.75"/>
  <cols>
    <col min="1" max="1" width="0.85546875" style="1" customWidth="1"/>
    <col min="2" max="2" width="15" style="1" customWidth="1"/>
    <col min="3" max="3" width="13.140625" style="1" customWidth="1"/>
    <col min="4" max="4" width="1.28515625" style="1" customWidth="1"/>
    <col min="5" max="5" width="12.28515625" style="1" customWidth="1"/>
    <col min="6" max="6" width="8.7109375" style="1" customWidth="1"/>
    <col min="7" max="7" width="9.5703125" style="1" customWidth="1"/>
    <col min="8" max="8" width="1.42578125" style="1" customWidth="1"/>
    <col min="9" max="9" width="12" style="1" customWidth="1"/>
    <col min="10" max="10" width="11" style="1" customWidth="1"/>
    <col min="11" max="11" width="9" style="1" customWidth="1"/>
    <col min="12" max="12" width="10.85546875" style="1" customWidth="1"/>
    <col min="13" max="13" width="1.28515625" style="1" customWidth="1"/>
    <col min="14" max="14" width="12" style="1" customWidth="1"/>
    <col min="15" max="15" width="10.28515625" style="1" customWidth="1"/>
    <col min="16" max="16" width="1.28515625" style="1" customWidth="1"/>
    <col min="17" max="17" width="10" style="1" customWidth="1"/>
    <col min="18" max="18" width="11.5703125" style="1" customWidth="1"/>
    <col min="19" max="19" width="8.85546875" style="1" customWidth="1"/>
    <col min="20" max="20" width="1.5703125" style="1" customWidth="1"/>
    <col min="21" max="21" width="11.42578125" style="1"/>
    <col min="22" max="22" width="9.42578125" style="1" customWidth="1"/>
    <col min="23" max="23" width="3.28515625" style="1" customWidth="1"/>
    <col min="24" max="24" width="11.5703125" style="1" customWidth="1"/>
    <col min="25" max="16384" width="11.42578125" style="1"/>
  </cols>
  <sheetData>
    <row r="1" spans="1:19" s="1636" customFormat="1" ht="22.9" customHeight="1"/>
    <row r="2" spans="1:19" s="1636" customFormat="1" ht="22.9" customHeight="1"/>
    <row r="3" spans="1:19" s="1636" customFormat="1" ht="22.9" customHeight="1"/>
    <row r="4" spans="1:19" s="1636" customFormat="1" ht="22.9" customHeight="1"/>
    <row r="5" spans="1:19" s="1636" customFormat="1" ht="22.9" customHeight="1" thickBot="1">
      <c r="A5" s="1636" t="s">
        <v>222</v>
      </c>
    </row>
    <row r="6" spans="1:19" ht="13.5" thickBot="1">
      <c r="B6" s="1571" t="s">
        <v>34</v>
      </c>
      <c r="C6" s="1572"/>
      <c r="D6" s="1572"/>
      <c r="E6" s="1572"/>
      <c r="F6" s="1572"/>
      <c r="G6" s="1063"/>
      <c r="I6" s="1040" t="s">
        <v>58</v>
      </c>
      <c r="J6" s="1041"/>
      <c r="K6" s="1042"/>
      <c r="N6" s="4062" t="s">
        <v>56</v>
      </c>
      <c r="O6" s="4063"/>
    </row>
    <row r="7" spans="1:19" ht="13.5" thickBot="1">
      <c r="B7" s="1075" t="s">
        <v>1124</v>
      </c>
      <c r="C7" s="1076" t="str">
        <f>IF(title="","",title)</f>
        <v/>
      </c>
      <c r="D7" s="1076"/>
      <c r="E7" s="1076"/>
      <c r="F7" s="1076"/>
      <c r="G7" s="1077"/>
      <c r="I7" s="1043" t="s">
        <v>1095</v>
      </c>
      <c r="J7" s="1044"/>
      <c r="K7" s="1037">
        <f>Matrix!M10</f>
        <v>0</v>
      </c>
      <c r="N7" s="4064" t="s">
        <v>57</v>
      </c>
      <c r="O7" s="4065"/>
    </row>
    <row r="8" spans="1:19">
      <c r="B8" s="1072"/>
      <c r="C8" s="21"/>
      <c r="D8" s="21"/>
      <c r="E8" s="21"/>
      <c r="F8" s="21"/>
      <c r="G8" s="1073"/>
      <c r="I8" s="1032"/>
      <c r="J8" s="1033" t="s">
        <v>1091</v>
      </c>
      <c r="K8" s="1038">
        <f>Matrix!M11</f>
        <v>0</v>
      </c>
      <c r="N8" s="1072" t="s">
        <v>35</v>
      </c>
      <c r="O8" s="1583">
        <f>time</f>
        <v>0</v>
      </c>
    </row>
    <row r="9" spans="1:19">
      <c r="B9" s="1078" t="s">
        <v>292</v>
      </c>
      <c r="C9" s="89" t="str">
        <f>IF(region=List!A6,"",region)</f>
        <v/>
      </c>
      <c r="D9" s="89"/>
      <c r="E9" s="89"/>
      <c r="F9" s="89"/>
      <c r="G9" s="1079"/>
      <c r="I9" s="1034" t="s">
        <v>1087</v>
      </c>
      <c r="J9" s="1033" t="s">
        <v>1092</v>
      </c>
      <c r="K9" s="1038">
        <f>Matrix!M12</f>
        <v>0</v>
      </c>
      <c r="N9" s="1072" t="s">
        <v>45</v>
      </c>
      <c r="O9" s="1583">
        <f>time2</f>
        <v>0</v>
      </c>
    </row>
    <row r="10" spans="1:19" ht="13.5" thickBot="1">
      <c r="B10" s="1072"/>
      <c r="C10" s="21"/>
      <c r="D10" s="21"/>
      <c r="E10" s="21"/>
      <c r="F10" s="21"/>
      <c r="G10" s="1073"/>
      <c r="I10" s="1034"/>
      <c r="J10" s="1033" t="s">
        <v>1093</v>
      </c>
      <c r="K10" s="1038">
        <f>Matrix!M13</f>
        <v>0</v>
      </c>
      <c r="N10" s="1074" t="s">
        <v>516</v>
      </c>
      <c r="O10" s="1584">
        <f>time_tot</f>
        <v>0</v>
      </c>
    </row>
    <row r="11" spans="1:19" ht="13.5" thickBot="1">
      <c r="B11" s="1078" t="s">
        <v>293</v>
      </c>
      <c r="C11" s="89" t="str">
        <f>IF(clim_simple=Help!N79,"",clim_full)</f>
        <v/>
      </c>
      <c r="D11" s="89"/>
      <c r="E11" s="89"/>
      <c r="F11" s="89"/>
      <c r="G11" s="1079"/>
      <c r="I11" s="1035" t="s">
        <v>329</v>
      </c>
      <c r="J11" s="1036"/>
      <c r="K11" s="1038">
        <f>Matrix!M14</f>
        <v>0</v>
      </c>
      <c r="N11" s="3996" t="s">
        <v>46</v>
      </c>
      <c r="O11" s="3997"/>
    </row>
    <row r="12" spans="1:19">
      <c r="B12" s="1072"/>
      <c r="C12" s="21"/>
      <c r="D12" s="21"/>
      <c r="E12" s="21"/>
      <c r="F12" s="21"/>
      <c r="G12" s="1073"/>
      <c r="I12" s="481" t="s">
        <v>1088</v>
      </c>
      <c r="J12" s="486" t="s">
        <v>1187</v>
      </c>
      <c r="K12" s="1038">
        <f>Matrix!M15</f>
        <v>0</v>
      </c>
      <c r="N12" s="1562" t="s">
        <v>266</v>
      </c>
      <c r="O12" s="1564">
        <f>SUM(K7:K13)</f>
        <v>0</v>
      </c>
    </row>
    <row r="13" spans="1:19" ht="12" customHeight="1" thickBot="1">
      <c r="B13" s="1078" t="s">
        <v>33</v>
      </c>
      <c r="C13" s="89" t="str">
        <f>IF(soil=List!A20,"",soil)</f>
        <v/>
      </c>
      <c r="D13" s="89"/>
      <c r="E13" s="89"/>
      <c r="F13" s="89"/>
      <c r="G13" s="1079"/>
      <c r="I13" s="450"/>
      <c r="J13" s="490" t="s">
        <v>388</v>
      </c>
      <c r="K13" s="1039">
        <f>Matrix!M16</f>
        <v>0</v>
      </c>
      <c r="N13" s="1513" t="s">
        <v>267</v>
      </c>
      <c r="O13" s="1563">
        <f>'Gross Results'!O13</f>
        <v>0</v>
      </c>
      <c r="Q13" s="1" t="str">
        <f>'Gross Results'!Q13</f>
        <v>Aquaculture area</v>
      </c>
      <c r="S13" s="1">
        <f>'Gross Results'!S13</f>
        <v>0</v>
      </c>
    </row>
    <row r="14" spans="1:19" ht="13.5" thickBot="1">
      <c r="B14" s="1080"/>
      <c r="C14" s="1081"/>
      <c r="D14" s="1081"/>
      <c r="E14" s="1081"/>
      <c r="F14" s="1081"/>
      <c r="G14" s="1082"/>
      <c r="I14" s="1566" t="s">
        <v>269</v>
      </c>
      <c r="J14" s="1565"/>
      <c r="K14" s="1573">
        <f>O13</f>
        <v>0</v>
      </c>
      <c r="N14" s="1057" t="s">
        <v>46</v>
      </c>
      <c r="O14" s="1058">
        <f>O12+O13+S13</f>
        <v>0</v>
      </c>
    </row>
    <row r="15" spans="1:19" ht="7.5" customHeight="1" thickBot="1"/>
    <row r="16" spans="1:19">
      <c r="B16" s="4012" t="s">
        <v>326</v>
      </c>
      <c r="C16" s="4013"/>
      <c r="E16" s="3994" t="s">
        <v>47</v>
      </c>
      <c r="F16" s="4074"/>
      <c r="G16" s="3995"/>
      <c r="I16" s="4058" t="s">
        <v>331</v>
      </c>
      <c r="J16" s="4059"/>
      <c r="K16" s="1045" t="s">
        <v>333</v>
      </c>
      <c r="L16" s="1046" t="s">
        <v>332</v>
      </c>
      <c r="N16" s="1062" t="s">
        <v>60</v>
      </c>
      <c r="O16" s="1063"/>
      <c r="Q16" s="3994" t="s">
        <v>67</v>
      </c>
      <c r="R16" s="4074"/>
      <c r="S16" s="3995"/>
    </row>
    <row r="17" spans="2:25" ht="13.5" thickBot="1">
      <c r="B17" s="1060"/>
      <c r="C17" s="1061"/>
      <c r="D17" s="232"/>
      <c r="E17" s="4079" t="s">
        <v>59</v>
      </c>
      <c r="F17" s="4080"/>
      <c r="G17" s="4081"/>
      <c r="H17" s="232"/>
      <c r="I17" s="1047" t="s">
        <v>535</v>
      </c>
      <c r="J17" s="1048" t="s">
        <v>540</v>
      </c>
      <c r="K17" s="1048"/>
      <c r="L17" s="1049"/>
      <c r="N17" s="1585" t="s">
        <v>61</v>
      </c>
      <c r="O17" s="1586" t="s">
        <v>62</v>
      </c>
      <c r="Q17" s="1092" t="s">
        <v>516</v>
      </c>
      <c r="R17" s="1093" t="s">
        <v>61</v>
      </c>
      <c r="S17" s="1094" t="s">
        <v>62</v>
      </c>
    </row>
    <row r="18" spans="2:25">
      <c r="B18" s="4082" t="s">
        <v>327</v>
      </c>
      <c r="C18" s="4083"/>
      <c r="D18" s="232"/>
      <c r="E18" s="3389">
        <f>Deforestation!T54</f>
        <v>0</v>
      </c>
      <c r="F18" s="3390" t="str">
        <f t="shared" ref="F18:F33" si="0">IF(E18=0,"",IF(E18&lt;0, "this is a sink","this is a source"))</f>
        <v/>
      </c>
      <c r="G18" s="1491"/>
      <c r="H18" s="232"/>
      <c r="I18" s="1050">
        <f>Deforestation!AG25</f>
        <v>0</v>
      </c>
      <c r="J18" s="1051">
        <f>Deforestation!AG26</f>
        <v>0</v>
      </c>
      <c r="K18" s="1051">
        <f>Deforestation!AG28</f>
        <v>0</v>
      </c>
      <c r="L18" s="1052">
        <f>Deforestation!AG27</f>
        <v>0</v>
      </c>
      <c r="N18" s="1050">
        <f>Deforestation!AH29</f>
        <v>0</v>
      </c>
      <c r="O18" s="1052">
        <f>Deforestation!AI29</f>
        <v>0</v>
      </c>
      <c r="Q18" s="1095">
        <f>IF(time_tot=0,0,E18/time_tot)</f>
        <v>0</v>
      </c>
      <c r="R18" s="1051">
        <f>IF(time=0,0,N18/time)</f>
        <v>0</v>
      </c>
      <c r="S18" s="1052">
        <f>IF(time2=0,0,O18/time2)</f>
        <v>0</v>
      </c>
      <c r="X18" s="80"/>
      <c r="Y18" s="914"/>
    </row>
    <row r="19" spans="2:25">
      <c r="B19" s="1273" t="s">
        <v>196</v>
      </c>
      <c r="C19" s="1274"/>
      <c r="D19" s="232"/>
      <c r="E19" s="523">
        <f>'Forest Degradation'!P55</f>
        <v>0</v>
      </c>
      <c r="F19" s="251" t="str">
        <f t="shared" si="0"/>
        <v/>
      </c>
      <c r="G19" s="245"/>
      <c r="H19" s="232"/>
      <c r="I19" s="3359">
        <f>'Forest Degradation'!AG25</f>
        <v>0</v>
      </c>
      <c r="J19" s="3360">
        <f>'Forest Degradation'!AG26</f>
        <v>0</v>
      </c>
      <c r="K19" s="3360">
        <f>'Forest Degradation'!AG27</f>
        <v>0</v>
      </c>
      <c r="L19" s="1053">
        <f>'Forest Degradation'!AG28</f>
        <v>0</v>
      </c>
      <c r="N19" s="3359">
        <f>'Forest Degradation'!AH29</f>
        <v>0</v>
      </c>
      <c r="O19" s="1053">
        <f>'Forest Degradation'!AI29</f>
        <v>0</v>
      </c>
      <c r="Q19" s="1096">
        <f>IF(time_tot=0,0,E19/time_tot)</f>
        <v>0</v>
      </c>
      <c r="R19" s="3360">
        <f>IF(time=0,0,N19/time)</f>
        <v>0</v>
      </c>
      <c r="S19" s="1053">
        <f>IF(time2=0,0,O19/time2)</f>
        <v>0</v>
      </c>
      <c r="X19" s="80"/>
      <c r="Y19" s="914"/>
    </row>
    <row r="20" spans="2:25">
      <c r="B20" s="4084" t="s">
        <v>469</v>
      </c>
      <c r="C20" s="4085"/>
      <c r="D20" s="232"/>
      <c r="E20" s="523">
        <f>'A-R'!S54</f>
        <v>0</v>
      </c>
      <c r="F20" s="251" t="str">
        <f t="shared" si="0"/>
        <v/>
      </c>
      <c r="G20" s="245"/>
      <c r="H20" s="232"/>
      <c r="I20" s="3359">
        <f>'A-R'!AB27</f>
        <v>0</v>
      </c>
      <c r="J20" s="3360">
        <f>'A-R'!AB28</f>
        <v>0</v>
      </c>
      <c r="K20" s="3360">
        <f>'A-R'!AB30</f>
        <v>0</v>
      </c>
      <c r="L20" s="1053">
        <f>'A-R'!AB29</f>
        <v>0</v>
      </c>
      <c r="N20" s="3359">
        <f>'A-R'!AC31</f>
        <v>0</v>
      </c>
      <c r="O20" s="1053">
        <f>'A-R'!AD31</f>
        <v>0</v>
      </c>
      <c r="Q20" s="1096">
        <f>IF(time_tot=0,0,E20/time_tot)</f>
        <v>0</v>
      </c>
      <c r="R20" s="3360">
        <f>IF(time=0,0,N20/time)</f>
        <v>0</v>
      </c>
      <c r="S20" s="1053">
        <f>IF(time2=0,0,O20/time2)</f>
        <v>0</v>
      </c>
      <c r="X20" s="80"/>
      <c r="Y20" s="914"/>
    </row>
    <row r="21" spans="2:25">
      <c r="B21" s="4086" t="s">
        <v>132</v>
      </c>
      <c r="C21" s="4087"/>
      <c r="D21" s="232"/>
      <c r="E21" s="523">
        <f>'non Forest LUC'!P48</f>
        <v>0</v>
      </c>
      <c r="F21" s="251" t="str">
        <f t="shared" si="0"/>
        <v/>
      </c>
      <c r="G21" s="245"/>
      <c r="H21" s="232"/>
      <c r="I21" s="3359">
        <f>'non Forest LUC'!AD12</f>
        <v>0</v>
      </c>
      <c r="J21" s="3360">
        <f>'non Forest LUC'!AD13</f>
        <v>0</v>
      </c>
      <c r="K21" s="3360">
        <f>'non Forest LUC'!AD15</f>
        <v>0</v>
      </c>
      <c r="L21" s="1053">
        <f>'non Forest LUC'!AD14</f>
        <v>0</v>
      </c>
      <c r="N21" s="3359">
        <f>'non Forest LUC'!AE16</f>
        <v>0</v>
      </c>
      <c r="O21" s="1053">
        <f>'non Forest LUC'!AF16</f>
        <v>0</v>
      </c>
      <c r="Q21" s="1096">
        <f>IF(time_tot=0,0,E21/time_tot)</f>
        <v>0</v>
      </c>
      <c r="R21" s="3360">
        <f>IF(time=0,0,N21/time)</f>
        <v>0</v>
      </c>
      <c r="S21" s="1053">
        <f>IF(time2=0,0,O21/time2)</f>
        <v>0</v>
      </c>
      <c r="X21" s="80"/>
      <c r="Y21" s="914"/>
    </row>
    <row r="22" spans="2:25">
      <c r="B22" s="4014" t="s">
        <v>328</v>
      </c>
      <c r="C22" s="4015"/>
      <c r="D22" s="232"/>
      <c r="E22" s="524"/>
      <c r="F22" s="252" t="str">
        <f t="shared" si="0"/>
        <v/>
      </c>
      <c r="G22" s="246"/>
      <c r="H22" s="232"/>
      <c r="I22" s="3349"/>
      <c r="J22" s="3350"/>
      <c r="K22" s="3350"/>
      <c r="L22" s="1055"/>
      <c r="N22" s="3349"/>
      <c r="O22" s="1055"/>
      <c r="Q22" s="3349"/>
      <c r="R22" s="3350"/>
      <c r="S22" s="1055"/>
      <c r="X22" s="80"/>
      <c r="Y22" s="914"/>
    </row>
    <row r="23" spans="2:25">
      <c r="B23" s="4042" t="s">
        <v>575</v>
      </c>
      <c r="C23" s="4043"/>
      <c r="D23" s="232"/>
      <c r="E23" s="523">
        <f>Annual!N49</f>
        <v>0</v>
      </c>
      <c r="F23" s="251" t="str">
        <f t="shared" si="0"/>
        <v/>
      </c>
      <c r="G23" s="245"/>
      <c r="H23" s="232"/>
      <c r="I23" s="3359">
        <f>Annual!AR12</f>
        <v>0</v>
      </c>
      <c r="J23" s="3360">
        <f>Annual!AR13</f>
        <v>0</v>
      </c>
      <c r="K23" s="3360">
        <f>Annual!AR15</f>
        <v>0</v>
      </c>
      <c r="L23" s="1053">
        <f>Annual!AR14</f>
        <v>0</v>
      </c>
      <c r="N23" s="3359">
        <f>Annual!AS16</f>
        <v>0</v>
      </c>
      <c r="O23" s="1053">
        <f>Annual!AT16</f>
        <v>0</v>
      </c>
      <c r="Q23" s="1096">
        <f>IF(time_tot=0,0,E23/time_tot)</f>
        <v>0</v>
      </c>
      <c r="R23" s="3360">
        <f>IF(time=0,0,N23/time)</f>
        <v>0</v>
      </c>
      <c r="S23" s="1053">
        <f>IF(time2=0,0,O23/time2)</f>
        <v>0</v>
      </c>
      <c r="X23" s="80"/>
      <c r="Y23" s="914"/>
    </row>
    <row r="24" spans="2:25">
      <c r="B24" s="4042" t="s">
        <v>576</v>
      </c>
      <c r="C24" s="4043"/>
      <c r="D24" s="232"/>
      <c r="E24" s="523">
        <f>Perennial!P47</f>
        <v>0</v>
      </c>
      <c r="F24" s="251" t="str">
        <f t="shared" si="0"/>
        <v/>
      </c>
      <c r="G24" s="245"/>
      <c r="H24" s="232"/>
      <c r="I24" s="3359">
        <f>Perennial!AM11</f>
        <v>0</v>
      </c>
      <c r="J24" s="3360">
        <f>Perennial!AM12</f>
        <v>0</v>
      </c>
      <c r="K24" s="3360">
        <f>Perennial!AM14</f>
        <v>0</v>
      </c>
      <c r="L24" s="1053">
        <f>Perennial!AM13</f>
        <v>0</v>
      </c>
      <c r="N24" s="3359">
        <f>Perennial!AN15</f>
        <v>0</v>
      </c>
      <c r="O24" s="1053">
        <f>Perennial!AO15</f>
        <v>0</v>
      </c>
      <c r="Q24" s="1096">
        <f>IF(time_tot=0,0,E24/time_tot)</f>
        <v>0</v>
      </c>
      <c r="R24" s="3360">
        <f>IF(time=0,0,N24/time)</f>
        <v>0</v>
      </c>
      <c r="S24" s="1053">
        <f>IF(time2=0,0,O24/time2)</f>
        <v>0</v>
      </c>
      <c r="X24" s="80"/>
      <c r="Y24" s="914"/>
    </row>
    <row r="25" spans="2:25">
      <c r="B25" s="4042" t="s">
        <v>139</v>
      </c>
      <c r="C25" s="4043"/>
      <c r="D25" s="232"/>
      <c r="E25" s="523">
        <f>'Irrigated Rice'!P47</f>
        <v>0</v>
      </c>
      <c r="F25" s="251" t="str">
        <f t="shared" si="0"/>
        <v/>
      </c>
      <c r="G25" s="245"/>
      <c r="H25" s="232"/>
      <c r="I25" s="3359">
        <v>0</v>
      </c>
      <c r="J25" s="3360">
        <f>'Irrigated Rice'!AR15</f>
        <v>0</v>
      </c>
      <c r="K25" s="3360">
        <f>'Irrigated Rice'!AR17</f>
        <v>0</v>
      </c>
      <c r="L25" s="1053">
        <f>'Irrigated Rice'!AR16</f>
        <v>0</v>
      </c>
      <c r="N25" s="3359">
        <f>'Irrigated Rice'!AS18</f>
        <v>0</v>
      </c>
      <c r="O25" s="1053">
        <f>'Irrigated Rice'!AT18</f>
        <v>0</v>
      </c>
      <c r="Q25" s="1096">
        <f>IF(time_tot=0,0,E25/time_tot)</f>
        <v>0</v>
      </c>
      <c r="R25" s="3360">
        <f>IF(time=0,0,N25/time)</f>
        <v>0</v>
      </c>
      <c r="S25" s="1053">
        <f>IF(time2=0,0,O25/time2)</f>
        <v>0</v>
      </c>
      <c r="X25" s="80"/>
      <c r="Y25" s="914"/>
    </row>
    <row r="26" spans="2:25">
      <c r="B26" s="4088" t="s">
        <v>329</v>
      </c>
      <c r="C26" s="4089"/>
      <c r="D26" s="232"/>
      <c r="E26" s="523">
        <f>Grass!O44</f>
        <v>0</v>
      </c>
      <c r="F26" s="251" t="str">
        <f t="shared" si="0"/>
        <v/>
      </c>
      <c r="G26" s="245"/>
      <c r="H26" s="232"/>
      <c r="I26" s="3359">
        <v>0</v>
      </c>
      <c r="J26" s="3360">
        <f>Grass!AR12</f>
        <v>0</v>
      </c>
      <c r="K26" s="3360">
        <f>Grass!AR14</f>
        <v>0</v>
      </c>
      <c r="L26" s="1053">
        <f>Grass!AR13</f>
        <v>0</v>
      </c>
      <c r="N26" s="3359">
        <f>Grass!AS15</f>
        <v>0</v>
      </c>
      <c r="O26" s="1053">
        <f>Grass!AT15</f>
        <v>0</v>
      </c>
      <c r="Q26" s="1096">
        <f>IF(time_tot=0,0,E26/time_tot)</f>
        <v>0</v>
      </c>
      <c r="R26" s="3360">
        <f>IF(time=0,0,N26/time)</f>
        <v>0</v>
      </c>
      <c r="S26" s="1053">
        <f>IF(time2=0,0,O26/time2)</f>
        <v>0</v>
      </c>
      <c r="X26" s="80"/>
      <c r="Y26" s="914"/>
    </row>
    <row r="27" spans="2:25">
      <c r="B27" s="1561" t="s">
        <v>265</v>
      </c>
      <c r="C27" s="1560"/>
      <c r="D27" s="232"/>
      <c r="E27" s="523">
        <f>'Organic Soils NEW'!S44</f>
        <v>0</v>
      </c>
      <c r="F27" s="251" t="str">
        <f t="shared" si="0"/>
        <v/>
      </c>
      <c r="G27" s="245"/>
      <c r="H27" s="232"/>
      <c r="I27" s="1574">
        <f>0</f>
        <v>0</v>
      </c>
      <c r="J27" s="3360">
        <f>'Organic Soils NEW'!U44</f>
        <v>0</v>
      </c>
      <c r="K27" s="3360">
        <f>'Organic Soils NEW'!W44</f>
        <v>0</v>
      </c>
      <c r="L27" s="1053">
        <f>'Organic Soils NEW'!V44</f>
        <v>0</v>
      </c>
      <c r="N27" s="3359">
        <f>'Organic Soils NEW'!AC44</f>
        <v>0</v>
      </c>
      <c r="O27" s="1053">
        <f>'Organic Soils NEW'!AC46</f>
        <v>0</v>
      </c>
      <c r="Q27" s="1096">
        <f>IF(time_tot=0,0,E27/time_tot)</f>
        <v>0</v>
      </c>
      <c r="R27" s="3360">
        <f>IF(time=0,0,N27/time)</f>
        <v>0</v>
      </c>
      <c r="S27" s="1053">
        <f>IF(time2=0,0,O27/time2)</f>
        <v>0</v>
      </c>
      <c r="U27" s="80"/>
      <c r="X27" s="80"/>
      <c r="Y27" s="914"/>
    </row>
    <row r="28" spans="2:25">
      <c r="B28" s="4008" t="s">
        <v>468</v>
      </c>
      <c r="C28" s="4009"/>
      <c r="D28" s="232"/>
      <c r="E28" s="524"/>
      <c r="F28" s="252" t="str">
        <f t="shared" si="0"/>
        <v/>
      </c>
      <c r="G28" s="246"/>
      <c r="H28" s="232"/>
      <c r="I28" s="4050" t="s">
        <v>51</v>
      </c>
      <c r="J28" s="4051"/>
      <c r="K28" s="3350"/>
      <c r="L28" s="1055"/>
      <c r="N28" s="3349"/>
      <c r="O28" s="1055"/>
      <c r="Q28" s="3349"/>
      <c r="R28" s="3350"/>
      <c r="S28" s="1055"/>
      <c r="U28" s="80"/>
      <c r="X28" s="80"/>
      <c r="Y28" s="914"/>
    </row>
    <row r="29" spans="2:25">
      <c r="B29" s="4036" t="s">
        <v>665</v>
      </c>
      <c r="C29" s="4037"/>
      <c r="D29" s="232"/>
      <c r="E29" s="523">
        <f>Livestock!T102</f>
        <v>0</v>
      </c>
      <c r="F29" s="251" t="str">
        <f t="shared" si="0"/>
        <v/>
      </c>
      <c r="G29" s="245"/>
      <c r="H29" s="1110"/>
      <c r="I29" s="4075" t="s">
        <v>52</v>
      </c>
      <c r="J29" s="4076"/>
      <c r="K29" s="3360">
        <f>Livestock!T74</f>
        <v>0</v>
      </c>
      <c r="L29" s="1053">
        <f>Livestock!T23+Livestock!T51+Livestock!T100</f>
        <v>0</v>
      </c>
      <c r="M29" s="6"/>
      <c r="N29" s="3359">
        <f>Livestock!AI102</f>
        <v>0</v>
      </c>
      <c r="O29" s="1053">
        <f>Livestock!AJ102</f>
        <v>0</v>
      </c>
      <c r="P29" s="6"/>
      <c r="Q29" s="1096">
        <f t="shared" ref="Q29:Q34" si="1">IF(time_tot=0,0,E29/time_tot)</f>
        <v>0</v>
      </c>
      <c r="R29" s="3360">
        <f t="shared" ref="R29:R34" si="2">IF(time=0,0,N29/time)</f>
        <v>0</v>
      </c>
      <c r="S29" s="1053">
        <f t="shared" ref="S29:S34" si="3">IF(time2=0,0,O29/time2)</f>
        <v>0</v>
      </c>
      <c r="X29" s="80"/>
      <c r="Y29" s="914"/>
    </row>
    <row r="30" spans="2:25">
      <c r="B30" s="4036" t="s">
        <v>666</v>
      </c>
      <c r="C30" s="4037"/>
      <c r="D30" s="232"/>
      <c r="E30" s="523">
        <f>Inputs!T52</f>
        <v>0</v>
      </c>
      <c r="F30" s="251" t="str">
        <f t="shared" si="0"/>
        <v/>
      </c>
      <c r="G30" s="245"/>
      <c r="H30" s="1110"/>
      <c r="I30" s="4077">
        <f>Inputs!T15+Inputs!T22+Inputs!T50</f>
        <v>0</v>
      </c>
      <c r="J30" s="4078"/>
      <c r="K30" s="3360">
        <f>Inputs!T33</f>
        <v>0</v>
      </c>
      <c r="L30" s="1056" t="s">
        <v>52</v>
      </c>
      <c r="M30" s="6"/>
      <c r="N30" s="3359">
        <f>Inputs!AA52</f>
        <v>0</v>
      </c>
      <c r="O30" s="1053">
        <f>Inputs!AB52</f>
        <v>0</v>
      </c>
      <c r="P30" s="6"/>
      <c r="Q30" s="1096">
        <f t="shared" si="1"/>
        <v>0</v>
      </c>
      <c r="R30" s="3360">
        <f t="shared" si="2"/>
        <v>0</v>
      </c>
      <c r="S30" s="1053">
        <f t="shared" si="3"/>
        <v>0</v>
      </c>
      <c r="X30" s="80"/>
      <c r="Y30" s="914"/>
    </row>
    <row r="31" spans="2:25" ht="12.75" customHeight="1">
      <c r="B31" s="4036" t="s">
        <v>131</v>
      </c>
      <c r="C31" s="4037"/>
      <c r="D31" s="232"/>
      <c r="E31" s="523">
        <f>'Other investments'!J86</f>
        <v>0</v>
      </c>
      <c r="F31" s="251" t="str">
        <f t="shared" si="0"/>
        <v/>
      </c>
      <c r="G31" s="245"/>
      <c r="H31" s="1110"/>
      <c r="I31" s="4068">
        <f>'Other investments'!J86</f>
        <v>0</v>
      </c>
      <c r="J31" s="4069"/>
      <c r="K31" s="3412">
        <v>0</v>
      </c>
      <c r="L31" s="1056" t="s">
        <v>52</v>
      </c>
      <c r="M31" s="6"/>
      <c r="N31" s="3359">
        <f>'Other investments'!S86</f>
        <v>0</v>
      </c>
      <c r="O31" s="1053">
        <f>'Other investments'!T86+E31-N31</f>
        <v>0</v>
      </c>
      <c r="P31" s="6"/>
      <c r="Q31" s="1096">
        <f t="shared" si="1"/>
        <v>0</v>
      </c>
      <c r="R31" s="3360">
        <f t="shared" si="2"/>
        <v>0</v>
      </c>
      <c r="S31" s="1053">
        <f t="shared" si="3"/>
        <v>0</v>
      </c>
    </row>
    <row r="32" spans="2:25" s="1876" customFormat="1" ht="12.75" customHeight="1">
      <c r="B32" s="3351"/>
      <c r="C32" s="3352" t="s">
        <v>7173</v>
      </c>
      <c r="D32" s="232"/>
      <c r="E32" s="523">
        <f>Wetlands!R31+Wetlands!S51+Wetlands!V63+Wetlands!V73+Wetlands!R41+Wetlands!V90</f>
        <v>0</v>
      </c>
      <c r="F32" s="251" t="str">
        <f t="shared" si="0"/>
        <v/>
      </c>
      <c r="G32" s="245"/>
      <c r="H32" s="1110"/>
      <c r="I32" s="3359">
        <f>Wetlands!N29-Wetlands!M29+Wetlands!X41+Wetlands!V90</f>
        <v>0</v>
      </c>
      <c r="J32" s="3360">
        <f>(Wetlands!Q29-Wetlands!P29)+(Wetlands!R51-Wetlands!Q51)+(Wetlands!U63-Wetlands!S63)</f>
        <v>0</v>
      </c>
      <c r="K32" s="3395" t="s">
        <v>52</v>
      </c>
      <c r="L32" s="1056">
        <f>Wetlands!V73</f>
        <v>0</v>
      </c>
      <c r="M32" s="6"/>
      <c r="N32" s="3359">
        <f>Wetlands!R33+Wetlands!X51+Wetlands!Y62+Wetlands!Y72+Wetlands!X41+Wetlands!Y89</f>
        <v>0</v>
      </c>
      <c r="O32" s="1053">
        <f>Wetlands!U33+Wetlands!AA45+Wetlands!AA62+Wetlands!AA72</f>
        <v>0</v>
      </c>
      <c r="P32" s="6"/>
      <c r="Q32" s="1096">
        <f t="shared" si="1"/>
        <v>0</v>
      </c>
      <c r="R32" s="3360">
        <f t="shared" si="2"/>
        <v>0</v>
      </c>
      <c r="S32" s="1053">
        <f t="shared" si="3"/>
        <v>0</v>
      </c>
    </row>
    <row r="33" spans="2:22" ht="13.5" thickBot="1">
      <c r="B33" s="3377" t="str">
        <f>'Gross Results'!B33:C33</f>
        <v>Fishery&amp;Aquaculture</v>
      </c>
      <c r="C33" s="3346"/>
      <c r="D33" s="232"/>
      <c r="E33" s="525">
        <f>+SUM(Fishery!J73:J74)</f>
        <v>0</v>
      </c>
      <c r="F33" s="3391" t="str">
        <f t="shared" si="0"/>
        <v/>
      </c>
      <c r="G33" s="3388"/>
      <c r="H33" s="1110"/>
      <c r="I33" s="3393">
        <f>Fishery!J73</f>
        <v>0</v>
      </c>
      <c r="J33" s="3387"/>
      <c r="K33" s="3392">
        <f>Fishery!J74</f>
        <v>0</v>
      </c>
      <c r="L33" s="3388"/>
      <c r="M33" s="6"/>
      <c r="N33" s="3394">
        <f>SUM(Fishery!O73:O74)</f>
        <v>0</v>
      </c>
      <c r="O33" s="3386"/>
      <c r="P33" s="6"/>
      <c r="Q33" s="1097">
        <f t="shared" si="1"/>
        <v>0</v>
      </c>
      <c r="R33" s="3358">
        <f t="shared" si="2"/>
        <v>0</v>
      </c>
      <c r="S33" s="1064">
        <f t="shared" si="3"/>
        <v>0</v>
      </c>
    </row>
    <row r="34" spans="2:22" ht="13.5" thickBot="1">
      <c r="C34" s="3376" t="s">
        <v>1151</v>
      </c>
      <c r="D34" s="1494"/>
      <c r="E34" s="3378">
        <f>SUM(E18:E33)</f>
        <v>0</v>
      </c>
      <c r="F34" s="3379" t="str">
        <f>IF(E34=0,"",IF(E34&lt;0,"It is a sink","It is a source"))</f>
        <v/>
      </c>
      <c r="G34" s="245"/>
      <c r="H34" s="232"/>
      <c r="I34" s="3380">
        <f>SUM(I18:I33)</f>
        <v>0</v>
      </c>
      <c r="J34" s="3381">
        <f>SUM(J18:J33)</f>
        <v>0</v>
      </c>
      <c r="K34" s="3381">
        <f>SUM(K18:K33)</f>
        <v>0</v>
      </c>
      <c r="L34" s="3382">
        <f>SUM(L18:L31)</f>
        <v>0</v>
      </c>
      <c r="N34" s="3380">
        <f>SUM(N18:N31)</f>
        <v>0</v>
      </c>
      <c r="O34" s="3382">
        <f>SUM(O18:O31)</f>
        <v>0</v>
      </c>
      <c r="Q34" s="3383">
        <f t="shared" si="1"/>
        <v>0</v>
      </c>
      <c r="R34" s="3384">
        <f t="shared" si="2"/>
        <v>0</v>
      </c>
      <c r="S34" s="3385">
        <f t="shared" si="3"/>
        <v>0</v>
      </c>
      <c r="U34" s="80"/>
      <c r="V34" s="80"/>
    </row>
    <row r="35" spans="2:22" ht="12.75" customHeight="1" thickBot="1">
      <c r="C35" s="1492" t="s">
        <v>221</v>
      </c>
      <c r="D35" s="1495"/>
      <c r="E35" s="1166"/>
      <c r="F35" s="1493"/>
      <c r="G35" s="1496">
        <f>IF('Gross Results'!E35=0,0,E34/'Gross Results'!E35)</f>
        <v>0</v>
      </c>
      <c r="H35" s="232"/>
      <c r="I35" s="232"/>
      <c r="J35" s="232"/>
      <c r="K35" s="232"/>
      <c r="L35" s="232"/>
      <c r="M35" s="232"/>
      <c r="N35" s="232"/>
      <c r="O35" s="232"/>
      <c r="P35" s="232"/>
      <c r="Q35" s="232"/>
      <c r="R35" s="232"/>
      <c r="S35" s="232"/>
      <c r="T35" s="232"/>
      <c r="U35" s="232"/>
    </row>
    <row r="36" spans="2:22" ht="6" customHeight="1" thickBot="1">
      <c r="C36" s="232"/>
      <c r="D36" s="232"/>
    </row>
    <row r="37" spans="2:22" ht="13.5" thickBot="1">
      <c r="C37" s="1099" t="s">
        <v>68</v>
      </c>
      <c r="E37" s="1100">
        <f>IF($O$14=0,0,E34/$O$14)</f>
        <v>0</v>
      </c>
      <c r="F37" s="1101"/>
      <c r="G37" s="1102"/>
      <c r="H37" s="1103"/>
      <c r="I37" s="1100">
        <f>IF($O$14=0,0,I34/$O$14)</f>
        <v>0</v>
      </c>
      <c r="J37" s="1101">
        <f>IF($O$14=0,0,J34/$O$14)</f>
        <v>0</v>
      </c>
      <c r="K37" s="1101">
        <f>IF($O$14=0,0,K34/$O$14)</f>
        <v>0</v>
      </c>
      <c r="L37" s="1102">
        <f>IF($O$14=0,0,L34/$O$14)</f>
        <v>0</v>
      </c>
      <c r="M37" s="1103"/>
      <c r="N37" s="1100">
        <f>IF($O$14=0,0,N34/$O$14)</f>
        <v>0</v>
      </c>
      <c r="O37" s="1102">
        <f>IF($O$14=0,0,O34/$O$14)</f>
        <v>0</v>
      </c>
      <c r="P37" s="1103"/>
      <c r="Q37" s="1100">
        <f>IF($O$14=0,0,Q34/$O$14)</f>
        <v>0</v>
      </c>
      <c r="R37" s="1101">
        <f>IF($O$14=0,0,R34/$O$14)</f>
        <v>0</v>
      </c>
      <c r="S37" s="1102">
        <f>IF($O$14=0,0,S34/$O$14)</f>
        <v>0</v>
      </c>
    </row>
    <row r="38" spans="2:22">
      <c r="K38" s="232"/>
      <c r="L38" s="244"/>
    </row>
    <row r="39" spans="2:22">
      <c r="K39" s="232"/>
      <c r="L39" s="244"/>
      <c r="N39" s="80"/>
    </row>
    <row r="40" spans="2:22">
      <c r="K40" s="232"/>
      <c r="L40" s="244"/>
    </row>
    <row r="52" spans="2:18">
      <c r="E52" s="232"/>
      <c r="F52" s="232"/>
    </row>
    <row r="54" spans="2:18" ht="12.75" customHeight="1"/>
    <row r="55" spans="2:18" ht="12.75" customHeight="1">
      <c r="B55" s="1131" t="s">
        <v>87</v>
      </c>
      <c r="E55" s="4090" t="s">
        <v>106</v>
      </c>
      <c r="F55" s="4090"/>
      <c r="G55" s="4090"/>
      <c r="H55" s="4090"/>
      <c r="I55" s="4090"/>
      <c r="J55" s="4090"/>
      <c r="K55" s="4090"/>
      <c r="L55" s="4090"/>
      <c r="M55" s="4090"/>
      <c r="N55" s="4090"/>
      <c r="O55" s="4090"/>
      <c r="P55" s="4090"/>
      <c r="Q55" s="4090"/>
      <c r="R55" s="4090"/>
    </row>
    <row r="56" spans="2:18" ht="12.75" customHeight="1">
      <c r="B56" s="1131"/>
      <c r="E56" s="4090"/>
      <c r="F56" s="4090"/>
      <c r="G56" s="4090"/>
      <c r="H56" s="4090"/>
      <c r="I56" s="4090"/>
      <c r="J56" s="4090"/>
      <c r="K56" s="4090"/>
      <c r="L56" s="4090"/>
      <c r="M56" s="4090"/>
      <c r="N56" s="4090"/>
      <c r="O56" s="4090"/>
      <c r="P56" s="4090"/>
      <c r="Q56" s="4090"/>
      <c r="R56" s="4090"/>
    </row>
    <row r="57" spans="2:18" ht="12.75" customHeight="1">
      <c r="B57" s="1131"/>
      <c r="E57" s="4090"/>
      <c r="F57" s="4090"/>
      <c r="G57" s="4090"/>
      <c r="H57" s="4090"/>
      <c r="I57" s="4090"/>
      <c r="J57" s="4090"/>
      <c r="K57" s="4090"/>
      <c r="L57" s="4090"/>
      <c r="M57" s="4090"/>
      <c r="N57" s="4090"/>
      <c r="O57" s="4090"/>
      <c r="P57" s="4090"/>
      <c r="Q57" s="4090"/>
      <c r="R57" s="4090"/>
    </row>
    <row r="58" spans="2:18">
      <c r="C58" s="1133"/>
      <c r="D58" s="1133"/>
      <c r="E58" s="4090"/>
      <c r="F58" s="4090"/>
      <c r="G58" s="4090"/>
      <c r="H58" s="4090"/>
      <c r="I58" s="4090"/>
      <c r="J58" s="4090"/>
      <c r="K58" s="4090"/>
      <c r="L58" s="4090"/>
      <c r="M58" s="4090"/>
      <c r="N58" s="4090"/>
      <c r="O58" s="4090"/>
      <c r="P58" s="4090"/>
      <c r="Q58" s="4090"/>
      <c r="R58" s="4090"/>
    </row>
    <row r="59" spans="2:18">
      <c r="C59" s="1133"/>
      <c r="D59" s="1133"/>
      <c r="E59" s="4090"/>
      <c r="F59" s="4090"/>
      <c r="G59" s="4090"/>
      <c r="H59" s="4090"/>
      <c r="I59" s="4090"/>
      <c r="J59" s="4090"/>
      <c r="K59" s="4090"/>
      <c r="L59" s="4090"/>
      <c r="M59" s="4090"/>
      <c r="N59" s="4090"/>
      <c r="O59" s="4090"/>
      <c r="P59" s="4090"/>
      <c r="Q59" s="4090"/>
      <c r="R59" s="4090"/>
    </row>
    <row r="60" spans="2:18" ht="13.5" customHeight="1">
      <c r="C60" s="1133"/>
      <c r="D60" s="1133"/>
      <c r="E60" s="1132"/>
      <c r="F60" s="1132"/>
      <c r="G60" s="1132"/>
      <c r="H60" s="1132"/>
      <c r="I60" s="1132"/>
      <c r="J60" s="1132"/>
      <c r="K60" s="1132"/>
      <c r="L60" s="1132"/>
      <c r="M60" s="1132"/>
      <c r="N60" s="1173" t="s">
        <v>93</v>
      </c>
      <c r="O60" s="1132"/>
      <c r="P60" s="1132"/>
      <c r="Q60" s="1132"/>
      <c r="R60" s="1132"/>
    </row>
    <row r="61" spans="2:18" ht="13.5" customHeight="1">
      <c r="C61" s="1133"/>
      <c r="D61" s="1133"/>
      <c r="E61" s="1132"/>
      <c r="F61" s="1132"/>
      <c r="G61" s="1132"/>
      <c r="H61" s="1132"/>
      <c r="I61" s="1151" t="s">
        <v>91</v>
      </c>
      <c r="J61" s="1137" t="s">
        <v>94</v>
      </c>
      <c r="K61" s="1150"/>
      <c r="L61" s="1132"/>
      <c r="M61" s="1132"/>
      <c r="N61" s="1174">
        <v>10</v>
      </c>
      <c r="O61" s="1132"/>
      <c r="P61" s="1132"/>
      <c r="Q61" s="1132"/>
      <c r="R61" s="1132"/>
    </row>
    <row r="62" spans="2:18" ht="13.5" customHeight="1">
      <c r="C62" s="1133"/>
      <c r="D62" s="1133"/>
      <c r="E62" s="1132"/>
      <c r="F62" s="1132"/>
      <c r="G62" s="1132"/>
      <c r="H62" s="1132"/>
      <c r="I62" s="1151" t="s">
        <v>90</v>
      </c>
      <c r="J62" s="1137" t="s">
        <v>95</v>
      </c>
      <c r="K62" s="1150"/>
      <c r="L62" s="1132"/>
      <c r="M62" s="1132"/>
      <c r="N62" s="1174">
        <v>20</v>
      </c>
      <c r="O62" s="1132"/>
      <c r="P62" s="1132"/>
      <c r="Q62" s="1132"/>
      <c r="R62" s="1132"/>
    </row>
    <row r="63" spans="2:18" ht="13.5" customHeight="1">
      <c r="C63" s="1133"/>
      <c r="D63" s="1133"/>
      <c r="E63" s="1132"/>
      <c r="F63" s="1132"/>
      <c r="G63" s="1132"/>
      <c r="H63" s="1132"/>
      <c r="I63" s="1151" t="s">
        <v>88</v>
      </c>
      <c r="J63" s="1137" t="s">
        <v>96</v>
      </c>
      <c r="K63" s="1150"/>
      <c r="L63" s="1132"/>
      <c r="M63" s="1132"/>
      <c r="N63" s="1174">
        <v>33</v>
      </c>
      <c r="O63" s="1132"/>
      <c r="P63" s="1132"/>
      <c r="Q63" s="1132"/>
      <c r="R63" s="1132"/>
    </row>
    <row r="64" spans="2:18" ht="18">
      <c r="C64" s="1133"/>
      <c r="D64" s="1133"/>
      <c r="E64" s="1132"/>
      <c r="F64" s="1132"/>
      <c r="G64" s="1132"/>
      <c r="H64" s="1132"/>
      <c r="I64" s="1151" t="s">
        <v>89</v>
      </c>
      <c r="J64" s="1137" t="s">
        <v>98</v>
      </c>
      <c r="K64" s="1150"/>
      <c r="L64" s="1132"/>
      <c r="M64" s="1132"/>
      <c r="N64" s="1174">
        <v>50</v>
      </c>
      <c r="O64" s="1132"/>
      <c r="P64" s="1132"/>
      <c r="Q64" s="1132"/>
      <c r="R64" s="1132"/>
    </row>
    <row r="65" spans="2:25">
      <c r="C65" s="1133"/>
      <c r="D65" s="1133"/>
      <c r="E65" s="1132"/>
      <c r="F65" s="1132"/>
      <c r="G65" s="1132"/>
      <c r="H65" s="1132"/>
      <c r="I65" s="1132"/>
      <c r="J65" s="1137"/>
      <c r="K65" s="1150"/>
      <c r="L65" s="1132"/>
      <c r="M65" s="1132"/>
      <c r="N65" s="1132"/>
      <c r="O65" s="1132"/>
      <c r="P65" s="1132"/>
      <c r="Q65" s="1132"/>
      <c r="R65" s="1132"/>
    </row>
    <row r="66" spans="2:25" ht="13.5" thickBot="1">
      <c r="C66" s="1133"/>
      <c r="D66" s="1133"/>
      <c r="E66" s="1138"/>
      <c r="F66" s="1138"/>
      <c r="G66" s="1138"/>
      <c r="H66" s="1138"/>
      <c r="I66" s="1" t="s">
        <v>92</v>
      </c>
      <c r="J66" s="1138"/>
      <c r="K66" s="1138"/>
      <c r="L66" s="1138"/>
      <c r="M66" s="1138"/>
      <c r="N66" s="1138"/>
      <c r="O66" s="1138"/>
      <c r="P66" s="1138"/>
      <c r="Q66" s="1138"/>
      <c r="R66" s="1138"/>
    </row>
    <row r="67" spans="2:25">
      <c r="B67" s="1116" t="s">
        <v>326</v>
      </c>
      <c r="C67" s="1117"/>
      <c r="D67" s="1133"/>
      <c r="E67" s="1171" t="s">
        <v>104</v>
      </c>
      <c r="F67" s="1168"/>
      <c r="H67" s="1133"/>
      <c r="I67" s="1118" t="s">
        <v>331</v>
      </c>
      <c r="J67" s="1119"/>
      <c r="K67" s="1045" t="s">
        <v>333</v>
      </c>
      <c r="L67" s="1046" t="s">
        <v>332</v>
      </c>
      <c r="M67" s="1133"/>
      <c r="N67" s="1118" t="s">
        <v>331</v>
      </c>
      <c r="O67" s="1119"/>
      <c r="P67" s="1163"/>
      <c r="Q67" s="1045" t="s">
        <v>333</v>
      </c>
      <c r="R67" s="1046" t="s">
        <v>332</v>
      </c>
      <c r="U67" s="2782" t="s">
        <v>331</v>
      </c>
      <c r="V67" s="2783"/>
      <c r="W67" s="1163"/>
      <c r="X67" s="1045" t="s">
        <v>333</v>
      </c>
      <c r="Y67" s="1046" t="s">
        <v>332</v>
      </c>
    </row>
    <row r="68" spans="2:25" ht="13.5" thickBot="1">
      <c r="B68" s="1060"/>
      <c r="C68" s="1061"/>
      <c r="D68" s="1133"/>
      <c r="E68" s="1277"/>
      <c r="F68" s="1169"/>
      <c r="H68" s="1133"/>
      <c r="I68" s="1134" t="s">
        <v>535</v>
      </c>
      <c r="J68" s="1135" t="s">
        <v>540</v>
      </c>
      <c r="K68" s="1135"/>
      <c r="L68" s="1136"/>
      <c r="M68" s="1133"/>
      <c r="N68" s="1134" t="s">
        <v>535</v>
      </c>
      <c r="O68" s="1135" t="s">
        <v>540</v>
      </c>
      <c r="P68" s="1175"/>
      <c r="Q68" s="1135"/>
      <c r="R68" s="1136"/>
      <c r="U68" s="1134" t="s">
        <v>535</v>
      </c>
      <c r="V68" s="1135" t="s">
        <v>540</v>
      </c>
      <c r="W68" s="1175"/>
      <c r="X68" s="1135"/>
      <c r="Y68" s="1136"/>
    </row>
    <row r="69" spans="2:25" ht="14.25">
      <c r="B69" s="1139" t="s">
        <v>327</v>
      </c>
      <c r="C69" s="1140"/>
      <c r="D69" s="1133"/>
      <c r="E69" s="4070" t="str">
        <f>IF(Deforestation!D59&gt;0,"Tier 2","Tier 1")</f>
        <v>Tier 1</v>
      </c>
      <c r="F69" s="4071"/>
      <c r="H69" s="1133"/>
      <c r="I69" s="1191" t="str">
        <f>IF($E69="Tier 1","***","**")</f>
        <v>***</v>
      </c>
      <c r="J69" s="1192" t="str">
        <f>IF($E69="Tier 1","****","**")</f>
        <v>****</v>
      </c>
      <c r="K69" s="1154" t="str">
        <f>IF($E69="Tier 1","**","*")</f>
        <v>**</v>
      </c>
      <c r="L69" s="1155" t="str">
        <f>IF($E69="Tier 1","**","*")</f>
        <v>**</v>
      </c>
      <c r="M69" s="1133"/>
      <c r="N69" s="1161">
        <f t="shared" ref="N69:O72" si="4">ABS(IF(I69="*",$N$61,IF(I69="**",$N$62,IF(I69="***",$N$63,$N$64)))*I18/100)</f>
        <v>0</v>
      </c>
      <c r="O69" s="1162">
        <f t="shared" si="4"/>
        <v>0</v>
      </c>
      <c r="P69" s="1164"/>
      <c r="Q69" s="1154">
        <f t="shared" ref="Q69:R72" si="5">ABS(IF(K69="*",$N$61,IF(K69="**",$N$62,IF(K69="***",$N$63,$N$64)))*K18/100)</f>
        <v>0</v>
      </c>
      <c r="R69" s="1155">
        <f t="shared" si="5"/>
        <v>0</v>
      </c>
      <c r="U69" s="1161">
        <f t="shared" ref="U69:V72" si="6">IF(I18=0,0,100*ABS(N69/I18))</f>
        <v>0</v>
      </c>
      <c r="V69" s="1162">
        <f t="shared" si="6"/>
        <v>0</v>
      </c>
      <c r="W69" s="1164"/>
      <c r="X69" s="1154">
        <f t="shared" ref="X69:Y72" si="7">IF(K18=0,0,100*ABS(Q69/K18))</f>
        <v>0</v>
      </c>
      <c r="Y69" s="1155">
        <f t="shared" si="7"/>
        <v>0</v>
      </c>
    </row>
    <row r="70" spans="2:25" ht="14.25">
      <c r="B70" s="1275" t="s">
        <v>196</v>
      </c>
      <c r="C70" s="1276"/>
      <c r="D70" s="1133"/>
      <c r="E70" s="4066" t="str">
        <f>IF('Forest Degradation'!E59&gt;0,"Tier 2","Tier 1")</f>
        <v>Tier 1</v>
      </c>
      <c r="F70" s="4067"/>
      <c r="H70" s="1133"/>
      <c r="I70" s="3356" t="str">
        <f>IF($E70="Tier 1","***","**")</f>
        <v>***</v>
      </c>
      <c r="J70" s="3357" t="str">
        <f t="shared" ref="J70:J77" si="8">IF($E70="Tier 1","****","**")</f>
        <v>****</v>
      </c>
      <c r="K70" s="1152" t="str">
        <f t="shared" ref="K70:L77" si="9">IF($E70="Tier 1","**","*")</f>
        <v>**</v>
      </c>
      <c r="L70" s="1156" t="str">
        <f t="shared" si="9"/>
        <v>**</v>
      </c>
      <c r="M70" s="1133"/>
      <c r="N70" s="3347">
        <f t="shared" si="4"/>
        <v>0</v>
      </c>
      <c r="O70" s="3348">
        <f t="shared" si="4"/>
        <v>0</v>
      </c>
      <c r="P70" s="1165"/>
      <c r="Q70" s="1152">
        <f t="shared" si="5"/>
        <v>0</v>
      </c>
      <c r="R70" s="1156">
        <f t="shared" si="5"/>
        <v>0</v>
      </c>
      <c r="U70" s="3347">
        <f t="shared" si="6"/>
        <v>0</v>
      </c>
      <c r="V70" s="3348">
        <f t="shared" si="6"/>
        <v>0</v>
      </c>
      <c r="W70" s="1165"/>
      <c r="X70" s="1152">
        <f t="shared" si="7"/>
        <v>0</v>
      </c>
      <c r="Y70" s="1156">
        <f t="shared" si="7"/>
        <v>0</v>
      </c>
    </row>
    <row r="71" spans="2:25" ht="14.25">
      <c r="B71" s="1141" t="s">
        <v>469</v>
      </c>
      <c r="C71" s="1142"/>
      <c r="D71" s="1133"/>
      <c r="E71" s="4066" t="str">
        <f>IF('A-R'!E58&gt;0,"Tier 2","Tier 1")</f>
        <v>Tier 1</v>
      </c>
      <c r="F71" s="4067"/>
      <c r="H71" s="1133"/>
      <c r="I71" s="3356" t="str">
        <f>IF($E71="Tier 1","***","**")</f>
        <v>***</v>
      </c>
      <c r="J71" s="3357" t="str">
        <f t="shared" si="8"/>
        <v>****</v>
      </c>
      <c r="K71" s="1152" t="str">
        <f t="shared" si="9"/>
        <v>**</v>
      </c>
      <c r="L71" s="1156" t="str">
        <f t="shared" si="9"/>
        <v>**</v>
      </c>
      <c r="M71" s="1133"/>
      <c r="N71" s="3347">
        <f t="shared" si="4"/>
        <v>0</v>
      </c>
      <c r="O71" s="3348">
        <f t="shared" si="4"/>
        <v>0</v>
      </c>
      <c r="P71" s="1165"/>
      <c r="Q71" s="1152">
        <f t="shared" si="5"/>
        <v>0</v>
      </c>
      <c r="R71" s="1156">
        <f t="shared" si="5"/>
        <v>0</v>
      </c>
      <c r="U71" s="3347">
        <f t="shared" si="6"/>
        <v>0</v>
      </c>
      <c r="V71" s="3348">
        <f t="shared" si="6"/>
        <v>0</v>
      </c>
      <c r="W71" s="1165"/>
      <c r="X71" s="1152">
        <f t="shared" si="7"/>
        <v>0</v>
      </c>
      <c r="Y71" s="1156">
        <f t="shared" si="7"/>
        <v>0</v>
      </c>
    </row>
    <row r="72" spans="2:25" ht="14.25">
      <c r="B72" s="1212" t="s">
        <v>132</v>
      </c>
      <c r="C72" s="1143"/>
      <c r="D72" s="1133"/>
      <c r="E72" s="4022" t="str">
        <f>IF(SUM('2.LUC'!H201:H210,'2.LUC'!J201:J210,'2.LUC'!R201:R210,'2.LUC'!T201:T210)&gt;0,"Tier 2","Tier 1")</f>
        <v>Tier 1</v>
      </c>
      <c r="F72" s="4023"/>
      <c r="H72" s="1133"/>
      <c r="I72" s="3356" t="str">
        <f>IF($E72="Tier 1","***","**")</f>
        <v>***</v>
      </c>
      <c r="J72" s="3357" t="str">
        <f t="shared" si="8"/>
        <v>****</v>
      </c>
      <c r="K72" s="1152" t="str">
        <f t="shared" si="9"/>
        <v>**</v>
      </c>
      <c r="L72" s="1156" t="str">
        <f t="shared" si="9"/>
        <v>**</v>
      </c>
      <c r="M72" s="1133"/>
      <c r="N72" s="3347">
        <f t="shared" si="4"/>
        <v>0</v>
      </c>
      <c r="O72" s="3348">
        <f t="shared" si="4"/>
        <v>0</v>
      </c>
      <c r="P72" s="1165"/>
      <c r="Q72" s="1152">
        <f t="shared" si="5"/>
        <v>0</v>
      </c>
      <c r="R72" s="1156">
        <f t="shared" si="5"/>
        <v>0</v>
      </c>
      <c r="U72" s="3347">
        <f t="shared" si="6"/>
        <v>0</v>
      </c>
      <c r="V72" s="3348">
        <f t="shared" si="6"/>
        <v>0</v>
      </c>
      <c r="W72" s="1165"/>
      <c r="X72" s="1152">
        <f t="shared" si="7"/>
        <v>0</v>
      </c>
      <c r="Y72" s="1156">
        <f t="shared" si="7"/>
        <v>0</v>
      </c>
    </row>
    <row r="73" spans="2:25" ht="14.25">
      <c r="B73" s="1144" t="s">
        <v>328</v>
      </c>
      <c r="C73" s="1145"/>
      <c r="D73" s="1133"/>
      <c r="E73" s="4018"/>
      <c r="F73" s="4019"/>
      <c r="H73" s="1133"/>
      <c r="I73" s="1157"/>
      <c r="J73" s="1153"/>
      <c r="K73" s="1153"/>
      <c r="L73" s="1158"/>
      <c r="M73" s="1133"/>
      <c r="N73" s="1157"/>
      <c r="O73" s="1153"/>
      <c r="P73" s="1167"/>
      <c r="Q73" s="1153"/>
      <c r="R73" s="1158"/>
      <c r="U73" s="1157"/>
      <c r="V73" s="1153"/>
      <c r="W73" s="1167"/>
      <c r="X73" s="1153"/>
      <c r="Y73" s="1158"/>
    </row>
    <row r="74" spans="2:25" ht="14.25">
      <c r="B74" s="4042" t="s">
        <v>575</v>
      </c>
      <c r="C74" s="4043"/>
      <c r="D74" s="1133"/>
      <c r="E74" s="4022" t="str">
        <f>IF(SUM('3.Cropland'!G129:G143,'3.Cropland'!R129:T143)&gt;0,"Tier 2","Tier 1")</f>
        <v>Tier 1</v>
      </c>
      <c r="F74" s="4023"/>
      <c r="H74" s="1133"/>
      <c r="I74" s="3356" t="str">
        <f>IF($E74="Tier 1","**","*")</f>
        <v>**</v>
      </c>
      <c r="J74" s="3357" t="str">
        <f t="shared" si="8"/>
        <v>****</v>
      </c>
      <c r="K74" s="1152" t="str">
        <f t="shared" si="9"/>
        <v>**</v>
      </c>
      <c r="L74" s="1156" t="str">
        <f t="shared" si="9"/>
        <v>**</v>
      </c>
      <c r="M74" s="1133"/>
      <c r="N74" s="3347">
        <f t="shared" ref="N74:O78" si="10">ABS(IF(I74="*",$N$61,IF(I74="**",$N$62,IF(I74="***",$N$63,$N$64)))*I23/100)</f>
        <v>0</v>
      </c>
      <c r="O74" s="3348">
        <f t="shared" si="10"/>
        <v>0</v>
      </c>
      <c r="P74" s="1165"/>
      <c r="Q74" s="1152">
        <f t="shared" ref="Q74:R78" si="11">ABS(IF(K74="*",$N$61,IF(K74="**",$N$62,IF(K74="***",$N$63,$N$64)))*K23/100)</f>
        <v>0</v>
      </c>
      <c r="R74" s="1156">
        <f t="shared" si="11"/>
        <v>0</v>
      </c>
      <c r="U74" s="3347">
        <f t="shared" ref="U74:V77" si="12">IF(I23=0,0,100*ABS(N74/I23))</f>
        <v>0</v>
      </c>
      <c r="V74" s="3348">
        <f t="shared" si="12"/>
        <v>0</v>
      </c>
      <c r="W74" s="1165"/>
      <c r="X74" s="1152">
        <f t="shared" ref="X74:Y80" si="13">IF(K23=0,0,100*ABS(Q74/K23))</f>
        <v>0</v>
      </c>
      <c r="Y74" s="1156">
        <f t="shared" si="13"/>
        <v>0</v>
      </c>
    </row>
    <row r="75" spans="2:25" ht="14.25">
      <c r="B75" s="4042" t="s">
        <v>576</v>
      </c>
      <c r="C75" s="4043"/>
      <c r="D75" s="1133"/>
      <c r="E75" s="4022" t="str">
        <f>IF(SUM('3.Cropland'!G173:G187,'3.Cropland'!J173:J187,'3.Cropland'!O173:O187,'3.Cropland'!Q173:Q187,'3.Cropland'!U173:V187)&gt;0,"Tier 2","Tier 1")</f>
        <v>Tier 1</v>
      </c>
      <c r="F75" s="4023"/>
      <c r="H75" s="1133"/>
      <c r="I75" s="3356" t="str">
        <f>IF($E75="Tier 1","****","**")</f>
        <v>****</v>
      </c>
      <c r="J75" s="3357" t="str">
        <f t="shared" si="8"/>
        <v>****</v>
      </c>
      <c r="K75" s="1152" t="str">
        <f t="shared" si="9"/>
        <v>**</v>
      </c>
      <c r="L75" s="1156" t="str">
        <f t="shared" si="9"/>
        <v>**</v>
      </c>
      <c r="M75" s="1133"/>
      <c r="N75" s="3347">
        <f t="shared" si="10"/>
        <v>0</v>
      </c>
      <c r="O75" s="3348">
        <f t="shared" si="10"/>
        <v>0</v>
      </c>
      <c r="P75" s="1165"/>
      <c r="Q75" s="1152">
        <f t="shared" si="11"/>
        <v>0</v>
      </c>
      <c r="R75" s="1156">
        <f t="shared" si="11"/>
        <v>0</v>
      </c>
      <c r="U75" s="3347">
        <f t="shared" si="12"/>
        <v>0</v>
      </c>
      <c r="V75" s="3348">
        <f t="shared" si="12"/>
        <v>0</v>
      </c>
      <c r="W75" s="1165"/>
      <c r="X75" s="1152">
        <f t="shared" si="13"/>
        <v>0</v>
      </c>
      <c r="Y75" s="1156">
        <f t="shared" si="13"/>
        <v>0</v>
      </c>
    </row>
    <row r="76" spans="2:25" ht="14.25">
      <c r="B76" s="4042" t="s">
        <v>577</v>
      </c>
      <c r="C76" s="4043"/>
      <c r="D76" s="1133"/>
      <c r="E76" s="4022" t="str">
        <f>IF(SUM('3.Cropland'!G234:G248,'3.Cropland'!K234:M248,'3.Cropland'!F254:F268,'3.Cropland'!I254:I268,'3.Cropland'!K254:M268,'3.Cropland'!P254:P268)&gt;0,"Tier 2","Tier 1")</f>
        <v>Tier 1</v>
      </c>
      <c r="F76" s="4023"/>
      <c r="I76" s="3356" t="str">
        <f>IF($E76="Tier 1","**","*")</f>
        <v>**</v>
      </c>
      <c r="J76" s="3357" t="s">
        <v>89</v>
      </c>
      <c r="K76" s="1152" t="str">
        <f t="shared" si="9"/>
        <v>**</v>
      </c>
      <c r="L76" s="1156" t="str">
        <f t="shared" si="9"/>
        <v>**</v>
      </c>
      <c r="N76" s="3347">
        <f t="shared" si="10"/>
        <v>0</v>
      </c>
      <c r="O76" s="3348">
        <f t="shared" si="10"/>
        <v>0</v>
      </c>
      <c r="P76" s="1165"/>
      <c r="Q76" s="1152">
        <f t="shared" si="11"/>
        <v>0</v>
      </c>
      <c r="R76" s="1156">
        <f t="shared" si="11"/>
        <v>0</v>
      </c>
      <c r="U76" s="3347">
        <f t="shared" si="12"/>
        <v>0</v>
      </c>
      <c r="V76" s="3348">
        <f t="shared" si="12"/>
        <v>0</v>
      </c>
      <c r="W76" s="1165"/>
      <c r="X76" s="1152">
        <f t="shared" si="13"/>
        <v>0</v>
      </c>
      <c r="Y76" s="1156">
        <f t="shared" si="13"/>
        <v>0</v>
      </c>
    </row>
    <row r="77" spans="2:25" ht="14.25">
      <c r="B77" s="1146" t="s">
        <v>329</v>
      </c>
      <c r="C77" s="1147"/>
      <c r="D77" s="1133"/>
      <c r="E77" s="4022" t="str">
        <f>IF(SUM('4.Grassland'!G92:G96,'4.Grassland'!O92,'4.Grassland'!O96)&gt;0,"Tier 2","Tier 1")</f>
        <v>Tier 1</v>
      </c>
      <c r="F77" s="4023"/>
      <c r="I77" s="3356" t="str">
        <f>IF($E77="Tier 1","**","*")</f>
        <v>**</v>
      </c>
      <c r="J77" s="3357" t="str">
        <f t="shared" si="8"/>
        <v>****</v>
      </c>
      <c r="K77" s="1152" t="str">
        <f t="shared" si="9"/>
        <v>**</v>
      </c>
      <c r="L77" s="1156" t="str">
        <f t="shared" si="9"/>
        <v>**</v>
      </c>
      <c r="N77" s="3347">
        <f t="shared" si="10"/>
        <v>0</v>
      </c>
      <c r="O77" s="3348">
        <f t="shared" si="10"/>
        <v>0</v>
      </c>
      <c r="P77" s="1165"/>
      <c r="Q77" s="1152">
        <f t="shared" si="11"/>
        <v>0</v>
      </c>
      <c r="R77" s="1156">
        <f t="shared" si="11"/>
        <v>0</v>
      </c>
      <c r="U77" s="3347">
        <f t="shared" si="12"/>
        <v>0</v>
      </c>
      <c r="V77" s="3348">
        <f t="shared" si="12"/>
        <v>0</v>
      </c>
      <c r="W77" s="1165"/>
      <c r="X77" s="1152">
        <f t="shared" si="13"/>
        <v>0</v>
      </c>
      <c r="Y77" s="1156">
        <f t="shared" si="13"/>
        <v>0</v>
      </c>
    </row>
    <row r="78" spans="2:25" ht="14.25">
      <c r="B78" s="1561" t="s">
        <v>265</v>
      </c>
      <c r="C78" s="1560"/>
      <c r="D78" s="1133"/>
      <c r="E78" s="4072" t="str">
        <f>IF(SUM('5. Management'!H224:H228,'5. Management'!L224:L228,'5. Management'!P224:P228,'5. Management'!T224:T228,'5. Management'!H234:H235,'5. Management'!M234:M235,'5. Management'!T234:T235)&gt;0,"Tier 2","Tier 1")</f>
        <v>Tier 1</v>
      </c>
      <c r="F78" s="4073"/>
      <c r="I78" s="1575" t="s">
        <v>88</v>
      </c>
      <c r="J78" s="3357" t="str">
        <f>IF($E78="Tier 1","****","***")</f>
        <v>****</v>
      </c>
      <c r="K78" s="1152" t="str">
        <f>IF($E78="Tier 1","****","***")</f>
        <v>****</v>
      </c>
      <c r="L78" s="1156" t="str">
        <f>IF($E78="Tier 1","****","***")</f>
        <v>****</v>
      </c>
      <c r="N78" s="3347">
        <f t="shared" si="10"/>
        <v>0</v>
      </c>
      <c r="O78" s="3348">
        <f t="shared" si="10"/>
        <v>0</v>
      </c>
      <c r="P78" s="1165"/>
      <c r="Q78" s="1152">
        <f t="shared" si="11"/>
        <v>0</v>
      </c>
      <c r="R78" s="1156">
        <f t="shared" si="11"/>
        <v>0</v>
      </c>
      <c r="U78" s="1576" t="s">
        <v>270</v>
      </c>
      <c r="V78" s="3348">
        <f>IF(J27=0,0,100*ABS(O78/J27))</f>
        <v>0</v>
      </c>
      <c r="W78" s="1165"/>
      <c r="X78" s="1152">
        <f t="shared" si="13"/>
        <v>0</v>
      </c>
      <c r="Y78" s="1156">
        <f t="shared" si="13"/>
        <v>0</v>
      </c>
    </row>
    <row r="79" spans="2:25">
      <c r="B79" s="1148" t="s">
        <v>468</v>
      </c>
      <c r="C79" s="1149"/>
      <c r="D79" s="1133"/>
      <c r="E79" s="4018"/>
      <c r="F79" s="4019"/>
      <c r="I79" s="4050" t="s">
        <v>51</v>
      </c>
      <c r="J79" s="4051"/>
      <c r="K79" s="3350"/>
      <c r="L79" s="1055"/>
      <c r="N79" s="4050" t="s">
        <v>51</v>
      </c>
      <c r="O79" s="4051"/>
      <c r="P79" s="2029"/>
      <c r="Q79" s="3350"/>
      <c r="R79" s="1055"/>
      <c r="U79" s="4050" t="s">
        <v>51</v>
      </c>
      <c r="V79" s="4051"/>
      <c r="W79" s="2029"/>
      <c r="X79" s="3350">
        <f t="shared" si="13"/>
        <v>0</v>
      </c>
      <c r="Y79" s="1055">
        <f t="shared" si="13"/>
        <v>0</v>
      </c>
    </row>
    <row r="80" spans="2:25" ht="14.25">
      <c r="B80" s="4036" t="s">
        <v>665</v>
      </c>
      <c r="C80" s="4037"/>
      <c r="D80" s="1133"/>
      <c r="E80" s="4022" t="str">
        <f>IF(SUM('4.Grassland'!C124,'4.Grassland'!T123:T124,'4.Grassland'!E130:G138,'4.Grassland'!L130:N138,'4.Grassland'!R130:T138)&gt;0,"Tier 2","Tier 1")</f>
        <v>Tier 1</v>
      </c>
      <c r="F80" s="4023"/>
      <c r="G80" s="6"/>
      <c r="H80" s="6"/>
      <c r="I80" s="4054" t="s">
        <v>52</v>
      </c>
      <c r="J80" s="4055"/>
      <c r="K80" s="1152" t="str">
        <f>IF($E80="Tier 1","***","**")</f>
        <v>***</v>
      </c>
      <c r="L80" s="1156" t="str">
        <f>IF($E80="Tier 1","***","**")</f>
        <v>***</v>
      </c>
      <c r="M80" s="6"/>
      <c r="N80" s="4054" t="s">
        <v>52</v>
      </c>
      <c r="O80" s="4055"/>
      <c r="P80" s="21"/>
      <c r="Q80" s="1152">
        <f>ABS(IF(K80="*",$N$61,IF(K80="**",$N$62,IF(K80="***",$N$63,$N$64)))*K29/100)</f>
        <v>0</v>
      </c>
      <c r="R80" s="1156">
        <f>ABS(IF(L80="*",$N$61,IF(L80="**",$N$62,IF(L80="***",$N$63,$N$64)))*L29/100)</f>
        <v>0</v>
      </c>
      <c r="S80" s="6"/>
      <c r="T80" s="6"/>
      <c r="U80" s="4054" t="s">
        <v>52</v>
      </c>
      <c r="V80" s="4055"/>
      <c r="W80" s="21"/>
      <c r="X80" s="1152">
        <f t="shared" si="13"/>
        <v>0</v>
      </c>
      <c r="Y80" s="1156">
        <f t="shared" si="13"/>
        <v>0</v>
      </c>
    </row>
    <row r="81" spans="2:30" ht="14.25">
      <c r="B81" s="4036" t="s">
        <v>666</v>
      </c>
      <c r="C81" s="4037"/>
      <c r="D81" s="1133"/>
      <c r="E81" s="4022" t="str">
        <f>IF(SUM('7. Inputs'!K136:K140,'7. Inputs'!Q140:Q144,'7. Inputs'!X136:X150)&gt;0,"Tier 2","Tier 1")</f>
        <v>Tier 1</v>
      </c>
      <c r="F81" s="4023"/>
      <c r="G81" s="6"/>
      <c r="H81" s="6"/>
      <c r="I81" s="4020" t="str">
        <f>IF($E81="Tier 1","***","**")</f>
        <v>***</v>
      </c>
      <c r="J81" s="4021"/>
      <c r="K81" s="1152" t="str">
        <f>IF($E81="Tier 1","***","**")</f>
        <v>***</v>
      </c>
      <c r="L81" s="2791" t="s">
        <v>52</v>
      </c>
      <c r="M81" s="6"/>
      <c r="N81" s="4048">
        <f>ABS(IF(I81="*",$N$61,IF(I81="**",$N$62,IF(I81="***",$N$63,$N$64)))*I30/100)</f>
        <v>0</v>
      </c>
      <c r="O81" s="4049"/>
      <c r="P81" s="21"/>
      <c r="Q81" s="1152">
        <f>ABS(IF(K81="*",$N$61,IF(K81="**",$N$62,IF(K81="***",$N$63,$N$64)))*K30/100)</f>
        <v>0</v>
      </c>
      <c r="R81" s="1159" t="s">
        <v>52</v>
      </c>
      <c r="S81" s="6"/>
      <c r="T81" s="6"/>
      <c r="U81" s="4048">
        <f>IF(I30=0,0,100*ABS(N81/I30))</f>
        <v>0</v>
      </c>
      <c r="V81" s="4049"/>
      <c r="W81" s="21"/>
      <c r="X81" s="1152">
        <f>IF(K30=0,0,100*ABS(Q81/K30))</f>
        <v>0</v>
      </c>
      <c r="Y81" s="1159" t="s">
        <v>52</v>
      </c>
    </row>
    <row r="82" spans="2:30" ht="14.25">
      <c r="B82" s="4036" t="s">
        <v>130</v>
      </c>
      <c r="C82" s="4037"/>
      <c r="D82" s="1133"/>
      <c r="E82" s="4022" t="str">
        <f>IF(SUM('7. Inputs'!M204:M220,'7. Inputs'!K242:K253,)&gt;0,"Tier 2","Tier 1")</f>
        <v>Tier 1</v>
      </c>
      <c r="F82" s="4023"/>
      <c r="G82" s="6"/>
      <c r="H82" s="6"/>
      <c r="I82" s="4020" t="str">
        <f>IF($E82="Tier 1","***","**")</f>
        <v>***</v>
      </c>
      <c r="J82" s="4021"/>
      <c r="K82" s="1152" t="str">
        <f>IF($E82="Tier 1","****","***")</f>
        <v>****</v>
      </c>
      <c r="L82" s="2791" t="s">
        <v>52</v>
      </c>
      <c r="M82" s="6"/>
      <c r="N82" s="4048">
        <f>ABS(IF(I82="*",$N$61,IF(I82="**",$N$62,IF(I82="***",$N$63,$N$64)))*I31/100)</f>
        <v>0</v>
      </c>
      <c r="O82" s="4049"/>
      <c r="P82" s="21"/>
      <c r="Q82" s="1152">
        <f>ABS(IF(K82="*",$N$61,IF(K82="**",$N$62,IF(K82="***",$N$63,$N$64)))*K31/100)</f>
        <v>0</v>
      </c>
      <c r="R82" s="1159" t="s">
        <v>52</v>
      </c>
      <c r="S82" s="6"/>
      <c r="T82" s="6"/>
      <c r="U82" s="4048">
        <f>IF(I31=0,0,100*ABS(N82/I31))</f>
        <v>0</v>
      </c>
      <c r="V82" s="4049"/>
      <c r="W82" s="21"/>
      <c r="X82" s="1152">
        <f>IF(K31=0,0,100*ABS(Q82/K31))</f>
        <v>0</v>
      </c>
      <c r="Y82" s="1159" t="s">
        <v>52</v>
      </c>
    </row>
    <row r="83" spans="2:30" s="1876" customFormat="1" ht="14.25">
      <c r="B83" s="3351"/>
      <c r="C83" s="3352" t="str">
        <f>C32</f>
        <v>Coastal Wetlands</v>
      </c>
      <c r="D83" s="1133"/>
      <c r="E83" s="4022" t="str">
        <f>IF(SUM('6. Coastal'!H126:H128,'6. Coastal'!L126:L128,'6. Coastal'!P126:P128,'6. Coastal'!T126:T128,'6. Coastal'!P133:P135,'6. Coastal'!L133:L135,'6. Coastal'!L149:L151,'6. Coastal'!P149:P151,'6. Coastal'!H158:H160,'6. Coastal'!L158:L160,'6. Coastal'!P158:P160,'6. Coastal'!T158:T160,'6. Coastal'!M166:M168,'6. Coastal'!Q166:Q168)&gt;0,"Tier 2","Tier 1")</f>
        <v>Tier 1</v>
      </c>
      <c r="F83" s="4023"/>
      <c r="G83" s="6"/>
      <c r="H83" s="6"/>
      <c r="I83" s="4020" t="str">
        <f>IF($E83="Tier 1","***","**")</f>
        <v>***</v>
      </c>
      <c r="J83" s="4021"/>
      <c r="K83" s="3353" t="s">
        <v>52</v>
      </c>
      <c r="L83" s="1156" t="str">
        <f>IF($E83="Tier 1","***","**")</f>
        <v>***</v>
      </c>
      <c r="M83" s="6"/>
      <c r="N83" s="3347">
        <f>ABS(IF(I83="*",$N$61,IF(I83="**",$N$62,IF(I83="***",$N$63,$N$64)))*I32/100)</f>
        <v>0</v>
      </c>
      <c r="O83" s="3348">
        <f>ABS(IF(J83="*",$N$61,IF(J83="**",$N$62,IF(J83="***",$N$63,$N$64)))*J32/100)</f>
        <v>0</v>
      </c>
      <c r="P83" s="21"/>
      <c r="Q83" s="3396" t="s">
        <v>52</v>
      </c>
      <c r="R83" s="1156">
        <f>ABS(IF(L83="*",$N$61,IF(L83="**",$N$62,IF(L83="***",$N$63,$N$64)))*L32/100)</f>
        <v>0</v>
      </c>
      <c r="S83" s="6"/>
      <c r="T83" s="6"/>
      <c r="U83" s="3347">
        <f>IF(I32=0,0,100*ABS(N83/I32))</f>
        <v>0</v>
      </c>
      <c r="V83" s="3348">
        <f>IF(J32=0,0,100*ABS(O83/J32))</f>
        <v>0</v>
      </c>
      <c r="W83" s="21"/>
      <c r="X83" s="3396" t="s">
        <v>52</v>
      </c>
      <c r="Y83" s="1156">
        <f>IF(L32=0,0,100*ABS(R83/L32))</f>
        <v>0</v>
      </c>
    </row>
    <row r="84" spans="2:30" ht="15" thickBot="1">
      <c r="B84" s="3377" t="str">
        <f>B33</f>
        <v>Fishery&amp;Aquaculture</v>
      </c>
      <c r="C84" s="3398"/>
      <c r="D84" s="1133"/>
      <c r="E84" s="4052" t="str">
        <f>IF(SUM('8. Fish'!P93:P97,'8. Fish'!AF91,'8. Fish'!W102,'8. Fish'!L102,'8. Fish'!L107:L108,'8. Fish'!J153:J157,'8. Fish'!J161:J165)&gt;0,"Tier 2","Tier 1")</f>
        <v>Tier 1</v>
      </c>
      <c r="F84" s="4053"/>
      <c r="G84" s="6"/>
      <c r="H84" s="6"/>
      <c r="I84" s="4032" t="str">
        <f>IF($E84="Tier 1","***","**")</f>
        <v>***</v>
      </c>
      <c r="J84" s="4033"/>
      <c r="K84" s="3399" t="str">
        <f>IF($E84="Tier 1","****","***")</f>
        <v>****</v>
      </c>
      <c r="L84" s="2792" t="s">
        <v>52</v>
      </c>
      <c r="M84" s="6"/>
      <c r="N84" s="4030">
        <f>ABS(IF(I84="*",$N$61,IF(I84="**",$N$62,IF(I84="***",$N$63,$N$64)))*I33/100)</f>
        <v>0</v>
      </c>
      <c r="O84" s="4031"/>
      <c r="P84" s="1166"/>
      <c r="Q84" s="3399">
        <f>ABS(IF(K84="*",$N$61,IF(K84="**",$N$62,IF(K84="***",$N$63,$N$64)))*K33/100)</f>
        <v>0</v>
      </c>
      <c r="R84" s="1160" t="s">
        <v>52</v>
      </c>
      <c r="S84" s="6"/>
      <c r="T84" s="6"/>
      <c r="U84" s="4030">
        <f>IF(I33=0,0,100*ABS(N84/I33))</f>
        <v>0</v>
      </c>
      <c r="V84" s="4031"/>
      <c r="W84" s="1166"/>
      <c r="X84" s="3399">
        <f>IF(K33=0,0,100*ABS(Q84/K33))</f>
        <v>0</v>
      </c>
      <c r="Y84" s="1160" t="s">
        <v>52</v>
      </c>
    </row>
    <row r="85" spans="2:30" ht="15.75" thickBot="1">
      <c r="D85" s="396"/>
      <c r="E85" s="396"/>
      <c r="F85" s="1133"/>
      <c r="I85" s="1193" t="s">
        <v>137</v>
      </c>
      <c r="J85" s="1194"/>
      <c r="K85" s="1194"/>
      <c r="L85" s="1194"/>
      <c r="N85" s="1195" t="s">
        <v>107</v>
      </c>
      <c r="O85" s="1196"/>
      <c r="P85" s="1196"/>
      <c r="Q85" s="1196"/>
      <c r="R85" s="3397">
        <f>SUM(N69:R78,N80:R84)</f>
        <v>0</v>
      </c>
      <c r="U85" s="1195" t="s">
        <v>122</v>
      </c>
      <c r="V85" s="1196"/>
      <c r="W85" s="1196"/>
      <c r="X85" s="1196"/>
      <c r="Y85" s="2799" t="str">
        <f>IF(R85=0,"",SUMPRODUCT(N69:R84,U69:Y84)/R85)</f>
        <v/>
      </c>
    </row>
    <row r="88" spans="2:30" ht="13.5" thickBot="1">
      <c r="B88" s="2758" t="s">
        <v>2515</v>
      </c>
    </row>
    <row r="89" spans="2:30">
      <c r="B89" s="2754" t="s">
        <v>326</v>
      </c>
      <c r="C89" s="2755"/>
      <c r="E89" s="1171" t="s">
        <v>104</v>
      </c>
      <c r="F89" s="1168"/>
      <c r="I89" s="4058" t="s">
        <v>331</v>
      </c>
      <c r="J89" s="4059"/>
      <c r="K89" s="1045" t="s">
        <v>333</v>
      </c>
      <c r="L89" s="1046" t="s">
        <v>332</v>
      </c>
      <c r="N89" s="2756" t="s">
        <v>331</v>
      </c>
      <c r="O89" s="2757"/>
      <c r="P89" s="1163"/>
      <c r="Q89" s="1045" t="s">
        <v>333</v>
      </c>
      <c r="R89" s="1046" t="s">
        <v>332</v>
      </c>
      <c r="U89" s="2782" t="s">
        <v>331</v>
      </c>
      <c r="V89" s="2783"/>
      <c r="W89" s="1163"/>
      <c r="X89" s="1045" t="s">
        <v>333</v>
      </c>
      <c r="Y89" s="1046" t="s">
        <v>332</v>
      </c>
    </row>
    <row r="90" spans="2:30" ht="13.5" thickBot="1">
      <c r="B90" s="1060"/>
      <c r="C90" s="1061"/>
      <c r="E90" s="1277"/>
      <c r="F90" s="1169"/>
      <c r="I90" s="1047" t="s">
        <v>535</v>
      </c>
      <c r="J90" s="1048" t="s">
        <v>540</v>
      </c>
      <c r="K90" s="1048"/>
      <c r="L90" s="1049"/>
      <c r="N90" s="1134" t="s">
        <v>535</v>
      </c>
      <c r="O90" s="1135" t="s">
        <v>540</v>
      </c>
      <c r="P90" s="1175"/>
      <c r="Q90" s="1135"/>
      <c r="R90" s="1136"/>
      <c r="U90" s="1134" t="s">
        <v>535</v>
      </c>
      <c r="V90" s="1135" t="s">
        <v>540</v>
      </c>
      <c r="W90" s="1175"/>
      <c r="X90" s="1135"/>
      <c r="Y90" s="1136"/>
    </row>
    <row r="91" spans="2:30" ht="14.25">
      <c r="B91" s="1139" t="s">
        <v>327</v>
      </c>
      <c r="C91" s="1140"/>
      <c r="E91" s="4038" t="str">
        <f>E69</f>
        <v>Tier 1</v>
      </c>
      <c r="F91" s="4039"/>
      <c r="G91" s="914">
        <f>ABS(SUM(I91:L91))</f>
        <v>0</v>
      </c>
      <c r="I91" s="2759">
        <f>Deforestation!AB24</f>
        <v>0</v>
      </c>
      <c r="J91" s="2762">
        <f>Deforestation!AB25</f>
        <v>0</v>
      </c>
      <c r="K91" s="2762">
        <f>Deforestation!AB27</f>
        <v>0</v>
      </c>
      <c r="L91" s="2764">
        <f>Deforestation!AB26</f>
        <v>0</v>
      </c>
      <c r="N91" s="2760">
        <f t="shared" ref="N91:O94" si="14">ABS(IF(I69="*",$N$61,IF(I69="**",$N$62,IF(I69="***",$N$63,$N$64)))*I91/100)</f>
        <v>0</v>
      </c>
      <c r="O91" s="2763">
        <f t="shared" si="14"/>
        <v>0</v>
      </c>
      <c r="P91" s="1164"/>
      <c r="Q91" s="2767">
        <f t="shared" ref="Q91:R93" si="15">ABS(IF(K69="*",$N$61,IF(K69="**",$N$62,IF(K69="***",$N$63,$N$64)))*K91/100)</f>
        <v>0</v>
      </c>
      <c r="R91" s="2797">
        <f t="shared" si="15"/>
        <v>0</v>
      </c>
      <c r="S91" s="55">
        <f>100*IF(G91=0,0,ABS(SUM(N91:R91)/G91))</f>
        <v>0</v>
      </c>
      <c r="U91" s="2760">
        <f>IF(I91=0,0,100*ABS(N91/I91))</f>
        <v>0</v>
      </c>
      <c r="V91" s="2763">
        <f>IF(J91=0,0,100*ABS(O91/J91))</f>
        <v>0</v>
      </c>
      <c r="W91" s="1164"/>
      <c r="X91" s="2767">
        <f>IF(K91=0,0,100*ABS(Q91/K91))</f>
        <v>0</v>
      </c>
      <c r="Y91" s="2797">
        <f>IF(L91=0,0,100*ABS(R91/L91))</f>
        <v>0</v>
      </c>
      <c r="Z91" s="1876"/>
      <c r="AC91" s="80"/>
    </row>
    <row r="92" spans="2:30" ht="14.25">
      <c r="B92" s="1275" t="s">
        <v>196</v>
      </c>
      <c r="C92" s="1276"/>
      <c r="E92" s="4034" t="str">
        <f>E70</f>
        <v>Tier 1</v>
      </c>
      <c r="F92" s="4035"/>
      <c r="G92" s="914">
        <f t="shared" ref="G92:G106" si="16">ABS(SUM(I92:L92))</f>
        <v>0</v>
      </c>
      <c r="I92" s="3354">
        <f>'Forest Degradation'!AB44</f>
        <v>0</v>
      </c>
      <c r="J92" s="3355">
        <f>'Forest Degradation'!AB45</f>
        <v>0</v>
      </c>
      <c r="K92" s="3355">
        <f>'Forest Degradation'!AB46</f>
        <v>0</v>
      </c>
      <c r="L92" s="2768">
        <f>'Forest Degradation'!AB47</f>
        <v>0</v>
      </c>
      <c r="N92" s="2786">
        <f t="shared" si="14"/>
        <v>0</v>
      </c>
      <c r="O92" s="2787">
        <f t="shared" si="14"/>
        <v>0</v>
      </c>
      <c r="P92" s="1165"/>
      <c r="Q92" s="2788">
        <f t="shared" si="15"/>
        <v>0</v>
      </c>
      <c r="R92" s="2789">
        <f t="shared" si="15"/>
        <v>0</v>
      </c>
      <c r="S92" s="55">
        <f t="shared" ref="S92:S106" si="17">100*IF(G92=0,0,ABS(SUM(N92:R92)/G92))</f>
        <v>0</v>
      </c>
      <c r="U92" s="2786">
        <f t="shared" ref="U92:U94" si="18">IF(I92=0,0,100*ABS(N92/I92))</f>
        <v>0</v>
      </c>
      <c r="V92" s="2787">
        <f t="shared" ref="U92:V100" si="19">IF(J92=0,0,100*ABS(O92/J92))</f>
        <v>0</v>
      </c>
      <c r="W92" s="1165"/>
      <c r="X92" s="2788">
        <f t="shared" ref="X92:X100" si="20">IF(K92=0,0,100*ABS(Q92/K92))</f>
        <v>0</v>
      </c>
      <c r="Y92" s="2789">
        <f t="shared" ref="Y92:Y100" si="21">IF(L92=0,0,100*ABS(R92/L92))</f>
        <v>0</v>
      </c>
      <c r="Z92" s="1876"/>
      <c r="AC92" s="80"/>
    </row>
    <row r="93" spans="2:30" ht="14.25">
      <c r="B93" s="1141" t="s">
        <v>469</v>
      </c>
      <c r="C93" s="1142"/>
      <c r="E93" s="4034" t="str">
        <f>E71</f>
        <v>Tier 1</v>
      </c>
      <c r="F93" s="4035"/>
      <c r="G93" s="914">
        <f t="shared" si="16"/>
        <v>0</v>
      </c>
      <c r="I93" s="3354">
        <f>'A-R'!U28</f>
        <v>0</v>
      </c>
      <c r="J93" s="3355">
        <f>'A-R'!U29</f>
        <v>0</v>
      </c>
      <c r="K93" s="3355">
        <f>'A-R'!U31</f>
        <v>0</v>
      </c>
      <c r="L93" s="2768">
        <f>'A-R'!U30</f>
        <v>0</v>
      </c>
      <c r="N93" s="2786">
        <f t="shared" si="14"/>
        <v>0</v>
      </c>
      <c r="O93" s="2787">
        <f t="shared" si="14"/>
        <v>0</v>
      </c>
      <c r="P93" s="1165"/>
      <c r="Q93" s="2788">
        <f t="shared" si="15"/>
        <v>0</v>
      </c>
      <c r="R93" s="2789">
        <f t="shared" si="15"/>
        <v>0</v>
      </c>
      <c r="S93" s="55">
        <f t="shared" si="17"/>
        <v>0</v>
      </c>
      <c r="U93" s="2786">
        <f t="shared" si="18"/>
        <v>0</v>
      </c>
      <c r="V93" s="2787">
        <f t="shared" si="19"/>
        <v>0</v>
      </c>
      <c r="W93" s="1165"/>
      <c r="X93" s="2788">
        <f t="shared" si="20"/>
        <v>0</v>
      </c>
      <c r="Y93" s="2789">
        <f t="shared" si="21"/>
        <v>0</v>
      </c>
      <c r="Z93" s="1876"/>
      <c r="AC93" s="80"/>
      <c r="AD93" s="1901"/>
    </row>
    <row r="94" spans="2:30" ht="14.25">
      <c r="B94" s="1212" t="s">
        <v>132</v>
      </c>
      <c r="C94" s="1143"/>
      <c r="E94" s="4034" t="str">
        <f>E72</f>
        <v>Tier 1</v>
      </c>
      <c r="F94" s="4035"/>
      <c r="G94" s="914">
        <f t="shared" si="16"/>
        <v>0</v>
      </c>
      <c r="I94" s="3354">
        <f>'non Forest LUC'!X12</f>
        <v>0</v>
      </c>
      <c r="J94" s="3355">
        <f>'non Forest LUC'!X13</f>
        <v>0</v>
      </c>
      <c r="K94" s="3355">
        <f>'non Forest LUC'!X15</f>
        <v>0</v>
      </c>
      <c r="L94" s="2768">
        <f>'non Forest LUC'!X14</f>
        <v>0</v>
      </c>
      <c r="N94" s="2786">
        <f t="shared" si="14"/>
        <v>0</v>
      </c>
      <c r="O94" s="2787">
        <f t="shared" si="14"/>
        <v>0</v>
      </c>
      <c r="P94" s="1165"/>
      <c r="Q94" s="2788">
        <f>ABS(IF(K71="*",$N$61,IF(K71="**",$N$62,IF(K71="***",$N$63,$N$64)))*K94/100)</f>
        <v>0</v>
      </c>
      <c r="R94" s="2789">
        <f>ABS(IF(L72="*",$N$61,IF(L72="**",$N$62,IF(L72="***",$N$63,$N$64)))*L94/100)</f>
        <v>0</v>
      </c>
      <c r="S94" s="55">
        <f t="shared" si="17"/>
        <v>0</v>
      </c>
      <c r="U94" s="2786">
        <f t="shared" si="18"/>
        <v>0</v>
      </c>
      <c r="V94" s="2787">
        <f t="shared" si="19"/>
        <v>0</v>
      </c>
      <c r="W94" s="1165"/>
      <c r="X94" s="2788">
        <f t="shared" si="20"/>
        <v>0</v>
      </c>
      <c r="Y94" s="2789">
        <f t="shared" si="21"/>
        <v>0</v>
      </c>
      <c r="Z94" s="1876"/>
      <c r="AC94" s="80"/>
    </row>
    <row r="95" spans="2:30" ht="14.25">
      <c r="B95" s="1144" t="s">
        <v>328</v>
      </c>
      <c r="C95" s="1145"/>
      <c r="E95" s="4034"/>
      <c r="F95" s="4035"/>
      <c r="G95" s="914"/>
      <c r="I95" s="3349"/>
      <c r="J95" s="3350"/>
      <c r="K95" s="3350"/>
      <c r="L95" s="1055"/>
      <c r="N95" s="1157"/>
      <c r="O95" s="1153"/>
      <c r="P95" s="1167"/>
      <c r="Q95" s="1153"/>
      <c r="R95" s="1158"/>
      <c r="S95" s="55"/>
      <c r="U95" s="1157"/>
      <c r="V95" s="1153"/>
      <c r="W95" s="1167"/>
      <c r="X95" s="1153"/>
      <c r="Y95" s="1158"/>
      <c r="Z95" s="1876"/>
      <c r="AC95" s="80"/>
    </row>
    <row r="96" spans="2:30" ht="14.25">
      <c r="B96" s="4042" t="s">
        <v>575</v>
      </c>
      <c r="C96" s="4043"/>
      <c r="E96" s="4034" t="str">
        <f>E74</f>
        <v>Tier 1</v>
      </c>
      <c r="F96" s="4035"/>
      <c r="G96" s="914">
        <f t="shared" si="16"/>
        <v>0</v>
      </c>
      <c r="I96" s="3354">
        <f>Annual!AR20</f>
        <v>0</v>
      </c>
      <c r="J96" s="3355">
        <f>Annual!AR21</f>
        <v>0</v>
      </c>
      <c r="K96" s="3355">
        <f>Annual!AR23</f>
        <v>0</v>
      </c>
      <c r="L96" s="2768">
        <f>Annual!AR22</f>
        <v>0</v>
      </c>
      <c r="N96" s="2786">
        <f>ABS(IF(I74="*",$N$61,IF(I74="**",$N$62,IF(I74="***",$N$63,$N$64)))*I96/100)</f>
        <v>0</v>
      </c>
      <c r="O96" s="2787">
        <f>ABS(IF(J74="*",$N$61,IF(J74="**",$N$62,IF(J74="***",$N$63,$N$64)))*J96/100)</f>
        <v>0</v>
      </c>
      <c r="P96" s="1165"/>
      <c r="Q96" s="2788">
        <f>ABS(IF(K73="*",$N$61,IF(K73="**",$N$62,IF(K73="***",$N$63,$N$64)))*K96/100)</f>
        <v>0</v>
      </c>
      <c r="R96" s="2789">
        <f>ABS(IF(L74="*",$N$61,IF(L74="**",$N$62,IF(L74="***",$N$63,$N$64)))*L96/100)</f>
        <v>0</v>
      </c>
      <c r="S96" s="55">
        <f t="shared" si="17"/>
        <v>0</v>
      </c>
      <c r="U96" s="2786">
        <f>IF(I96=0,0,100*ABS(N96/I96))</f>
        <v>0</v>
      </c>
      <c r="V96" s="2787">
        <f t="shared" si="19"/>
        <v>0</v>
      </c>
      <c r="W96" s="1165"/>
      <c r="X96" s="2788">
        <f t="shared" si="20"/>
        <v>0</v>
      </c>
      <c r="Y96" s="2789">
        <f t="shared" si="21"/>
        <v>0</v>
      </c>
      <c r="Z96" s="1876"/>
      <c r="AC96" s="80"/>
    </row>
    <row r="97" spans="2:29" ht="14.25">
      <c r="B97" s="4042" t="s">
        <v>576</v>
      </c>
      <c r="C97" s="4043"/>
      <c r="E97" s="4034" t="str">
        <f>E75</f>
        <v>Tier 1</v>
      </c>
      <c r="F97" s="4035"/>
      <c r="G97" s="914">
        <f t="shared" si="16"/>
        <v>0</v>
      </c>
      <c r="I97" s="3354">
        <f>Perennial!AM23</f>
        <v>0</v>
      </c>
      <c r="J97" s="3355">
        <f>Perennial!AM24</f>
        <v>0</v>
      </c>
      <c r="K97" s="3355">
        <f>Perennial!AM26</f>
        <v>0</v>
      </c>
      <c r="L97" s="2768">
        <f>Perennial!AM25</f>
        <v>0</v>
      </c>
      <c r="N97" s="2786">
        <f>ABS(IF(I75="*",$N$61,IF(I75="**",$N$62,IF(I75="***",$N$63,$N$64)))*I97/100)</f>
        <v>0</v>
      </c>
      <c r="O97" s="2787">
        <f t="shared" ref="O97" si="22">ABS(IF(J75="*",$N$61,IF(J75="**",$N$62,IF(J75="***",$N$63,$N$64)))*J97/100)</f>
        <v>0</v>
      </c>
      <c r="P97" s="1165"/>
      <c r="Q97" s="2788">
        <f>ABS(IF(K74="*",$N$61,IF(K74="**",$N$62,IF(K74="***",$N$63,$N$64)))*K97/100)</f>
        <v>0</v>
      </c>
      <c r="R97" s="2789">
        <f>ABS(IF(L75="*",$N$61,IF(L75="**",$N$62,IF(L75="***",$N$63,$N$64)))*L97/100)</f>
        <v>0</v>
      </c>
      <c r="S97" s="55">
        <f t="shared" si="17"/>
        <v>0</v>
      </c>
      <c r="U97" s="2786">
        <f t="shared" ref="U97:U99" si="23">IF(I97=0,0,100*ABS(N97/I97))</f>
        <v>0</v>
      </c>
      <c r="V97" s="2787">
        <f t="shared" si="19"/>
        <v>0</v>
      </c>
      <c r="W97" s="1165"/>
      <c r="X97" s="2788">
        <f t="shared" si="20"/>
        <v>0</v>
      </c>
      <c r="Y97" s="2789">
        <f t="shared" si="21"/>
        <v>0</v>
      </c>
      <c r="Z97" s="1876"/>
      <c r="AC97" s="80"/>
    </row>
    <row r="98" spans="2:29" ht="14.25">
      <c r="B98" s="4042" t="s">
        <v>577</v>
      </c>
      <c r="C98" s="4043"/>
      <c r="E98" s="4034" t="str">
        <f>E76</f>
        <v>Tier 1</v>
      </c>
      <c r="F98" s="4035"/>
      <c r="G98" s="914">
        <f t="shared" si="16"/>
        <v>0</v>
      </c>
      <c r="I98" s="3354">
        <f>'Irrigated Rice'!AR22</f>
        <v>0</v>
      </c>
      <c r="J98" s="3355">
        <f>'Irrigated Rice'!AR23</f>
        <v>0</v>
      </c>
      <c r="K98" s="3355">
        <f>'Irrigated Rice'!AR25</f>
        <v>0</v>
      </c>
      <c r="L98" s="2768">
        <f>'Irrigated Rice'!AR24</f>
        <v>0</v>
      </c>
      <c r="N98" s="2786">
        <f t="shared" ref="N98:O98" si="24">ABS(IF(I76="*",$N$61,IF(I76="**",$N$62,IF(I76="***",$N$63,$N$64)))*I98/100)</f>
        <v>0</v>
      </c>
      <c r="O98" s="2787">
        <f t="shared" si="24"/>
        <v>0</v>
      </c>
      <c r="P98" s="1165"/>
      <c r="Q98" s="2788">
        <f>ABS(IF(K75="*",$N$61,IF(K75="**",$N$62,IF(K75="***",$N$63,$N$64)))*K98/100)</f>
        <v>0</v>
      </c>
      <c r="R98" s="2789">
        <f>ABS(IF(L76="*",$N$61,IF(L76="**",$N$62,IF(L76="***",$N$63,$N$64)))*L98/100)</f>
        <v>0</v>
      </c>
      <c r="S98" s="55">
        <f t="shared" si="17"/>
        <v>0</v>
      </c>
      <c r="U98" s="2786">
        <f t="shared" si="23"/>
        <v>0</v>
      </c>
      <c r="V98" s="2787">
        <f t="shared" si="19"/>
        <v>0</v>
      </c>
      <c r="W98" s="1165"/>
      <c r="X98" s="2788">
        <f t="shared" si="20"/>
        <v>0</v>
      </c>
      <c r="Y98" s="2789">
        <f t="shared" si="21"/>
        <v>0</v>
      </c>
      <c r="Z98" s="1876"/>
    </row>
    <row r="99" spans="2:29" ht="14.25">
      <c r="B99" s="1146" t="s">
        <v>329</v>
      </c>
      <c r="C99" s="1147"/>
      <c r="E99" s="4034" t="str">
        <f>E77</f>
        <v>Tier 1</v>
      </c>
      <c r="F99" s="4035"/>
      <c r="G99" s="914">
        <f t="shared" si="16"/>
        <v>0</v>
      </c>
      <c r="I99" s="3354">
        <f>Grass!AR19</f>
        <v>0</v>
      </c>
      <c r="J99" s="3355">
        <f>Grass!AR20</f>
        <v>0</v>
      </c>
      <c r="K99" s="3355">
        <f>Grass!AR22</f>
        <v>0</v>
      </c>
      <c r="L99" s="2768">
        <f>Grass!AR21</f>
        <v>0</v>
      </c>
      <c r="N99" s="2786">
        <f t="shared" ref="N99:O99" si="25">ABS(IF(I77="*",$N$61,IF(I77="**",$N$62,IF(I77="***",$N$63,$N$64)))*I99/100)</f>
        <v>0</v>
      </c>
      <c r="O99" s="2787">
        <f t="shared" si="25"/>
        <v>0</v>
      </c>
      <c r="P99" s="1165"/>
      <c r="Q99" s="2788">
        <f>ABS(IF(K76="*",$N$61,IF(K76="**",$N$62,IF(K76="***",$N$63,$N$64)))*K99/100)</f>
        <v>0</v>
      </c>
      <c r="R99" s="2789">
        <f>ABS(IF(L77="*",$N$61,IF(L77="**",$N$62,IF(L77="***",$N$63,$N$64)))*L99/100)</f>
        <v>0</v>
      </c>
      <c r="S99" s="55">
        <f t="shared" si="17"/>
        <v>0</v>
      </c>
      <c r="U99" s="2786">
        <f t="shared" si="23"/>
        <v>0</v>
      </c>
      <c r="V99" s="2787">
        <f t="shared" si="19"/>
        <v>0</v>
      </c>
      <c r="W99" s="1165"/>
      <c r="X99" s="2788">
        <f t="shared" si="20"/>
        <v>0</v>
      </c>
      <c r="Y99" s="2789">
        <f t="shared" si="21"/>
        <v>0</v>
      </c>
      <c r="Z99" s="1876"/>
    </row>
    <row r="100" spans="2:29" ht="14.25">
      <c r="B100" s="3409" t="s">
        <v>265</v>
      </c>
      <c r="C100" s="1560"/>
      <c r="E100" s="4034" t="str">
        <f>E78</f>
        <v>Tier 1</v>
      </c>
      <c r="F100" s="4035"/>
      <c r="G100" s="914">
        <f>ABS(SUM(I100:L100))</f>
        <v>0</v>
      </c>
      <c r="I100" s="3354">
        <f>0</f>
        <v>0</v>
      </c>
      <c r="J100" s="3355">
        <f>'Organic Soils NEW'!U48</f>
        <v>0</v>
      </c>
      <c r="K100" s="3355">
        <f>'Organic Soils NEW'!W48</f>
        <v>0</v>
      </c>
      <c r="L100" s="2768">
        <f>'Organic Soils NEW'!V48</f>
        <v>0</v>
      </c>
      <c r="N100" s="2786">
        <f>ABS(IF(I78="*",$N$61,IF(I78="**",$N$62,IF(I78="***",$N$63,$N$64)))*I100/100)</f>
        <v>0</v>
      </c>
      <c r="O100" s="2787">
        <f t="shared" ref="O100" si="26">ABS(IF(J78="*",$N$61,IF(J78="**",$N$62,IF(J78="***",$N$63,$N$64)))*J100/100)</f>
        <v>0</v>
      </c>
      <c r="P100" s="1165"/>
      <c r="Q100" s="2788">
        <f t="shared" ref="Q100" si="27">ABS(IF(K77="*",$N$61,IF(K77="**",$N$62,IF(K77="***",$N$63,$N$64)))*K100/100)</f>
        <v>0</v>
      </c>
      <c r="R100" s="2789">
        <f t="shared" ref="R100" si="28">ABS(IF(L78="*",$N$61,IF(L78="**",$N$62,IF(L78="***",$N$63,$N$64)))*L100/100)</f>
        <v>0</v>
      </c>
      <c r="S100" s="55">
        <f t="shared" si="17"/>
        <v>0</v>
      </c>
      <c r="U100" s="2786">
        <f t="shared" si="19"/>
        <v>0</v>
      </c>
      <c r="V100" s="2787">
        <f t="shared" si="19"/>
        <v>0</v>
      </c>
      <c r="W100" s="1165"/>
      <c r="X100" s="2788">
        <f t="shared" si="20"/>
        <v>0</v>
      </c>
      <c r="Y100" s="2789">
        <f t="shared" si="21"/>
        <v>0</v>
      </c>
      <c r="Z100" s="1876"/>
    </row>
    <row r="101" spans="2:29">
      <c r="B101" s="1148" t="s">
        <v>468</v>
      </c>
      <c r="C101" s="1149"/>
      <c r="E101" s="4034"/>
      <c r="F101" s="4035"/>
      <c r="G101" s="914"/>
      <c r="I101" s="4050" t="s">
        <v>51</v>
      </c>
      <c r="J101" s="4051"/>
      <c r="K101" s="3350"/>
      <c r="L101" s="1055"/>
      <c r="N101" s="4050" t="s">
        <v>51</v>
      </c>
      <c r="O101" s="4051"/>
      <c r="P101" s="2029"/>
      <c r="Q101" s="3350"/>
      <c r="R101" s="1055"/>
      <c r="S101" s="55"/>
      <c r="U101" s="4050" t="s">
        <v>51</v>
      </c>
      <c r="V101" s="4051"/>
      <c r="W101" s="2029"/>
      <c r="X101" s="3350"/>
      <c r="Y101" s="1055"/>
      <c r="Z101" s="1876"/>
    </row>
    <row r="102" spans="2:29" ht="14.25">
      <c r="B102" s="4036" t="s">
        <v>665</v>
      </c>
      <c r="C102" s="4037"/>
      <c r="D102" s="6"/>
      <c r="E102" s="4034" t="str">
        <f>E80</f>
        <v>Tier 1</v>
      </c>
      <c r="F102" s="4035"/>
      <c r="G102" s="3403">
        <f t="shared" si="16"/>
        <v>0</v>
      </c>
      <c r="H102" s="6"/>
      <c r="I102" s="4060" t="s">
        <v>52</v>
      </c>
      <c r="J102" s="4061"/>
      <c r="K102" s="3355">
        <f>Livestock!AM98</f>
        <v>0</v>
      </c>
      <c r="L102" s="2768">
        <f>Livestock!AM97</f>
        <v>0</v>
      </c>
      <c r="M102" s="6"/>
      <c r="N102" s="4046" t="s">
        <v>270</v>
      </c>
      <c r="O102" s="4047"/>
      <c r="P102" s="1165"/>
      <c r="Q102" s="2788">
        <f>ABS(IF(K80="*",$N$61,IF(K80="**",$N$62,IF(K80="***",$N$63,$N$64)))*K102/100)</f>
        <v>0</v>
      </c>
      <c r="R102" s="2789">
        <f>ABS(IF(L80="*",$N$61,IF(L80="**",$N$62,IF(L80="***",$N$63,$N$64)))*L102/100)</f>
        <v>0</v>
      </c>
      <c r="S102" s="3404">
        <f t="shared" si="17"/>
        <v>0</v>
      </c>
      <c r="T102" s="6"/>
      <c r="U102" s="4046" t="s">
        <v>270</v>
      </c>
      <c r="V102" s="4047"/>
      <c r="W102" s="1165"/>
      <c r="X102" s="2788">
        <f t="shared" ref="X102" si="29">IF(K102=0,0,100*ABS(Q102/K102))</f>
        <v>0</v>
      </c>
      <c r="Y102" s="2789">
        <f t="shared" ref="Y102" si="30">IF(L102=0,0,100*ABS(R102/L102))</f>
        <v>0</v>
      </c>
      <c r="Z102" s="1876"/>
    </row>
    <row r="103" spans="2:29" ht="14.25">
      <c r="B103" s="4036" t="s">
        <v>666</v>
      </c>
      <c r="C103" s="4037"/>
      <c r="D103" s="6"/>
      <c r="E103" s="4034" t="str">
        <f>E81</f>
        <v>Tier 1</v>
      </c>
      <c r="F103" s="4035"/>
      <c r="G103" s="3403">
        <f t="shared" si="16"/>
        <v>0</v>
      </c>
      <c r="H103" s="6"/>
      <c r="I103" s="4056">
        <f>Inputs!Q15+Inputs!Q22+Inputs!Q50</f>
        <v>0</v>
      </c>
      <c r="J103" s="4057"/>
      <c r="K103" s="3355">
        <f>Inputs!Q33</f>
        <v>0</v>
      </c>
      <c r="L103" s="2793" t="s">
        <v>52</v>
      </c>
      <c r="M103" s="6"/>
      <c r="N103" s="4048">
        <f>ABS(IF(I81="*",$N$61,IF(I81="**",$N$62,IF(I81="***",$N$63,$N$64)))*I103/100)</f>
        <v>0</v>
      </c>
      <c r="O103" s="4049"/>
      <c r="P103" s="21"/>
      <c r="Q103" s="2788">
        <f>ABS(IF(K81="*",$N$61,IF(K81="**",$N$62,IF(K81="***",$N$63,$N$64)))*K103/100)</f>
        <v>0</v>
      </c>
      <c r="R103" s="2793" t="s">
        <v>52</v>
      </c>
      <c r="S103" s="3404">
        <f t="shared" si="17"/>
        <v>0</v>
      </c>
      <c r="T103" s="6"/>
      <c r="U103" s="4048">
        <f>IF(I103=0,0,100*ABS(N103/I103))</f>
        <v>0</v>
      </c>
      <c r="V103" s="4049"/>
      <c r="W103" s="21"/>
      <c r="X103" s="2788">
        <f>IF(K103=0,0,100*ABS(Q103/K103))</f>
        <v>0</v>
      </c>
      <c r="Y103" s="2793" t="s">
        <v>52</v>
      </c>
      <c r="Z103" s="1876"/>
    </row>
    <row r="104" spans="2:29" ht="14.25">
      <c r="B104" s="4036" t="s">
        <v>130</v>
      </c>
      <c r="C104" s="4037"/>
      <c r="D104" s="6"/>
      <c r="E104" s="4034" t="str">
        <f>E82</f>
        <v>Tier 1</v>
      </c>
      <c r="F104" s="4035"/>
      <c r="G104" s="3403">
        <f t="shared" si="16"/>
        <v>0</v>
      </c>
      <c r="H104" s="6"/>
      <c r="I104" s="4056">
        <f>'Other investments'!F86</f>
        <v>0</v>
      </c>
      <c r="J104" s="4057"/>
      <c r="K104" s="3405">
        <v>0</v>
      </c>
      <c r="L104" s="2793" t="s">
        <v>52</v>
      </c>
      <c r="M104" s="6"/>
      <c r="N104" s="4048">
        <f>ABS(IF(I82="*",$N$61,IF(I82="**",$N$62,IF(I82="***",$N$63,$N$64)))*I104/100)</f>
        <v>0</v>
      </c>
      <c r="O104" s="4049"/>
      <c r="P104" s="3406"/>
      <c r="Q104" s="2788">
        <f>ABS(IF(K82="*",$N$61,IF(K82="**",$N$62,IF(K82="***",$N$63,$N$64)))*K104/100)</f>
        <v>0</v>
      </c>
      <c r="R104" s="2793" t="s">
        <v>52</v>
      </c>
      <c r="S104" s="3404">
        <f t="shared" si="17"/>
        <v>0</v>
      </c>
      <c r="T104" s="6"/>
      <c r="U104" s="4048">
        <f>IF(I104=0,0,100*ABS(N104/I104))</f>
        <v>0</v>
      </c>
      <c r="V104" s="4049"/>
      <c r="W104" s="3406"/>
      <c r="X104" s="2788">
        <f>IF(K104=0,0,100*ABS(Q104/K104))</f>
        <v>0</v>
      </c>
      <c r="Y104" s="2793" t="s">
        <v>52</v>
      </c>
      <c r="Z104" s="1876"/>
    </row>
    <row r="105" spans="2:29" s="1876" customFormat="1" ht="14.25">
      <c r="B105" s="3351"/>
      <c r="C105" s="3352" t="str">
        <f>C83</f>
        <v>Coastal Wetlands</v>
      </c>
      <c r="D105" s="6"/>
      <c r="E105" s="4016" t="str">
        <f>E83</f>
        <v>Tier 1</v>
      </c>
      <c r="F105" s="4017"/>
      <c r="G105" s="3403">
        <f>ABS(SUM(I105:L105))</f>
        <v>0</v>
      </c>
      <c r="H105" s="6"/>
      <c r="I105" s="3354">
        <f>Wetlands!M29</f>
        <v>0</v>
      </c>
      <c r="J105" s="3355">
        <f>+Wetlands!P29+Wetlands!Q51+Wetlands!S63</f>
        <v>0</v>
      </c>
      <c r="K105" s="3405" t="str">
        <f>K83</f>
        <v>---</v>
      </c>
      <c r="L105" s="2793">
        <f>+Wetlands!S73</f>
        <v>0</v>
      </c>
      <c r="M105" s="6"/>
      <c r="N105" s="2786">
        <f>ABS(IF(I83="*",$N$61,IF(I83="**",$N$62,IF(I83="***",$N$63,$N$64)))*I105/100)</f>
        <v>0</v>
      </c>
      <c r="O105" s="2787">
        <f t="shared" ref="O105" si="31">ABS(IF(J83="*",$N$61,IF(J83="**",$N$62,IF(J83="***",$N$63,$N$64)))*J105/100)</f>
        <v>0</v>
      </c>
      <c r="P105" s="3406"/>
      <c r="Q105" s="3407" t="s">
        <v>52</v>
      </c>
      <c r="R105" s="2789">
        <f t="shared" ref="R105" si="32">ABS(IF(L83="*",$N$61,IF(L83="**",$N$62,IF(L83="***",$N$63,$N$64)))*L105/100)</f>
        <v>0</v>
      </c>
      <c r="S105" s="3404">
        <f t="shared" si="17"/>
        <v>0</v>
      </c>
      <c r="T105" s="6"/>
      <c r="U105" s="2786">
        <f t="shared" ref="U105" si="33">IF(I105=0,0,100*ABS(N105/I105))</f>
        <v>0</v>
      </c>
      <c r="V105" s="2787">
        <f t="shared" ref="V105" si="34">IF(J105=0,0,100*ABS(O105/J105))</f>
        <v>0</v>
      </c>
      <c r="W105" s="3406"/>
      <c r="X105" s="3407" t="s">
        <v>52</v>
      </c>
      <c r="Y105" s="2789">
        <f t="shared" ref="Y105" si="35">IF(L105=0,0,100*ABS(R105/L105))</f>
        <v>0</v>
      </c>
    </row>
    <row r="106" spans="2:29" s="1876" customFormat="1" ht="15" thickBot="1">
      <c r="B106" s="4028" t="str">
        <f>B84</f>
        <v>Fishery&amp;Aquaculture</v>
      </c>
      <c r="C106" s="4029"/>
      <c r="D106" s="6"/>
      <c r="E106" s="4040" t="str">
        <f t="shared" ref="E106" si="36">E84</f>
        <v>Tier 1</v>
      </c>
      <c r="F106" s="4041"/>
      <c r="G106" s="3403">
        <f t="shared" si="16"/>
        <v>0</v>
      </c>
      <c r="H106" s="6"/>
      <c r="I106" s="4044">
        <f>Fishery!H73</f>
        <v>0</v>
      </c>
      <c r="J106" s="4045"/>
      <c r="K106" s="2795">
        <f>Fishery!H74</f>
        <v>0</v>
      </c>
      <c r="L106" s="2794" t="s">
        <v>52</v>
      </c>
      <c r="M106" s="6"/>
      <c r="N106" s="4030">
        <f>ABS(IF(I84="*",$N$61,IF(I84="**",$N$62,IF(I84="***",$N$63,$N$64)))*I106/100)</f>
        <v>0</v>
      </c>
      <c r="O106" s="4031"/>
      <c r="P106" s="2796"/>
      <c r="Q106" s="3408">
        <f>ABS(IF(K84="*",$N$61,IF(K84="**",$N$62,IF(K84="***",$N$63,$N$64)))*K106/100)</f>
        <v>0</v>
      </c>
      <c r="R106" s="2794" t="s">
        <v>52</v>
      </c>
      <c r="S106" s="3404">
        <f t="shared" si="17"/>
        <v>0</v>
      </c>
      <c r="T106" s="6"/>
      <c r="U106" s="4030">
        <f>IF(I106=0,0,100*ABS(N106/I106))</f>
        <v>0</v>
      </c>
      <c r="V106" s="4031"/>
      <c r="W106" s="2796"/>
      <c r="X106" s="3408">
        <f>IF(K106=0,0,100*ABS(Q106/K106))</f>
        <v>0</v>
      </c>
      <c r="Y106" s="2794" t="s">
        <v>52</v>
      </c>
    </row>
    <row r="107" spans="2:29" ht="15.75" thickBot="1">
      <c r="G107" s="80"/>
      <c r="I107" s="3400" t="s">
        <v>273</v>
      </c>
      <c r="J107" s="3401"/>
      <c r="K107" s="3401"/>
      <c r="L107" s="3402">
        <f>SUM(I91:L106)</f>
        <v>0</v>
      </c>
      <c r="N107" s="1195" t="s">
        <v>107</v>
      </c>
      <c r="O107" s="1196"/>
      <c r="P107" s="1196"/>
      <c r="Q107" s="1196"/>
      <c r="R107" s="3397">
        <f>SUM(N91:R100,N102:R106)</f>
        <v>0</v>
      </c>
      <c r="S107" s="55" t="e">
        <f>SUMPRODUCT(G91:G104,S91:S104)/SUM(G91:G104)</f>
        <v>#DIV/0!</v>
      </c>
      <c r="U107" s="1195" t="s">
        <v>122</v>
      </c>
      <c r="V107" s="1196"/>
      <c r="W107" s="1196"/>
      <c r="X107" s="1196"/>
      <c r="Y107" s="2799" t="str">
        <f>IF(R107=0,"",SUMPRODUCT(N91:R106,U91:Y106)/R107)</f>
        <v/>
      </c>
      <c r="Z107" s="80"/>
    </row>
    <row r="108" spans="2:29" ht="13.5" thickBot="1">
      <c r="B108" s="2758" t="s">
        <v>2516</v>
      </c>
      <c r="C108" s="1876"/>
      <c r="D108" s="1876"/>
      <c r="E108" s="1876"/>
      <c r="F108" s="1876"/>
      <c r="G108" s="1876"/>
      <c r="H108" s="1876"/>
      <c r="I108" s="1876"/>
      <c r="J108" s="1876"/>
      <c r="K108" s="1876"/>
      <c r="L108" s="1876"/>
      <c r="M108" s="1876"/>
      <c r="N108" s="1876"/>
      <c r="O108" s="1876"/>
      <c r="P108" s="1876"/>
      <c r="Q108" s="1876"/>
      <c r="R108" s="1876"/>
    </row>
    <row r="109" spans="2:29">
      <c r="B109" s="2754" t="s">
        <v>326</v>
      </c>
      <c r="C109" s="2755"/>
      <c r="D109" s="1876"/>
      <c r="E109" s="1171" t="s">
        <v>104</v>
      </c>
      <c r="F109" s="1168"/>
      <c r="G109" s="1876"/>
      <c r="H109" s="1876"/>
      <c r="I109" s="4058" t="s">
        <v>331</v>
      </c>
      <c r="J109" s="4059"/>
      <c r="K109" s="1045" t="s">
        <v>333</v>
      </c>
      <c r="L109" s="1046" t="s">
        <v>332</v>
      </c>
      <c r="M109" s="1876"/>
      <c r="N109" s="2756" t="s">
        <v>331</v>
      </c>
      <c r="O109" s="2757"/>
      <c r="P109" s="1163"/>
      <c r="Q109" s="1045" t="s">
        <v>333</v>
      </c>
      <c r="R109" s="1046" t="s">
        <v>332</v>
      </c>
      <c r="U109" s="2782" t="s">
        <v>331</v>
      </c>
      <c r="V109" s="2783"/>
      <c r="W109" s="1163"/>
      <c r="X109" s="1045" t="s">
        <v>333</v>
      </c>
      <c r="Y109" s="1046" t="s">
        <v>332</v>
      </c>
    </row>
    <row r="110" spans="2:29" ht="13.5" thickBot="1">
      <c r="B110" s="1060"/>
      <c r="C110" s="1061"/>
      <c r="D110" s="1876"/>
      <c r="E110" s="1277"/>
      <c r="F110" s="1169"/>
      <c r="G110" s="1876"/>
      <c r="H110" s="1876"/>
      <c r="I110" s="1047" t="s">
        <v>535</v>
      </c>
      <c r="J110" s="1048" t="s">
        <v>540</v>
      </c>
      <c r="K110" s="1048"/>
      <c r="L110" s="1049"/>
      <c r="M110" s="1876"/>
      <c r="N110" s="1134" t="s">
        <v>535</v>
      </c>
      <c r="O110" s="1135" t="s">
        <v>540</v>
      </c>
      <c r="P110" s="1175"/>
      <c r="Q110" s="1135"/>
      <c r="R110" s="1136"/>
      <c r="U110" s="1134" t="s">
        <v>535</v>
      </c>
      <c r="V110" s="1135" t="s">
        <v>540</v>
      </c>
      <c r="W110" s="1175"/>
      <c r="X110" s="1135"/>
      <c r="Y110" s="1136"/>
    </row>
    <row r="111" spans="2:29" ht="14.25">
      <c r="B111" s="1139" t="s">
        <v>327</v>
      </c>
      <c r="C111" s="1140"/>
      <c r="D111" s="1876"/>
      <c r="E111" s="4038" t="str">
        <f>E91</f>
        <v>Tier 1</v>
      </c>
      <c r="F111" s="4039"/>
      <c r="G111" s="914">
        <f>ABS(SUM(I111:L111))</f>
        <v>0</v>
      </c>
      <c r="H111" s="1876"/>
      <c r="I111" s="2759">
        <f>Deforestation!AC24</f>
        <v>0</v>
      </c>
      <c r="J111" s="2762">
        <f>Deforestation!AC25</f>
        <v>0</v>
      </c>
      <c r="K111" s="2762">
        <f>Deforestation!AC27</f>
        <v>0</v>
      </c>
      <c r="L111" s="2764">
        <f>Deforestation!AC26</f>
        <v>0</v>
      </c>
      <c r="M111" s="1876"/>
      <c r="N111" s="2760">
        <f t="shared" ref="N111:O114" si="37">ABS(IF(I69="*",$N$61,IF(I69="**",$N$62,IF(I69="***",$N$63,$N$64)))*I111/100)</f>
        <v>0</v>
      </c>
      <c r="O111" s="2763">
        <f t="shared" si="37"/>
        <v>0</v>
      </c>
      <c r="P111" s="1164"/>
      <c r="Q111" s="2767">
        <f t="shared" ref="Q111:R114" si="38">ABS(IF(K69="*",$N$61,IF(K69="**",$N$62,IF(K69="***",$N$63,$N$64)))*K111/100)</f>
        <v>0</v>
      </c>
      <c r="R111" s="2797">
        <f t="shared" si="38"/>
        <v>0</v>
      </c>
      <c r="S111" s="55">
        <f>100*IF(G111=0,0,ABS(SUM(N111:R111)/G111))</f>
        <v>0</v>
      </c>
      <c r="U111" s="2760">
        <f>IF(I111=0,0,100*ABS(N111/I111))</f>
        <v>0</v>
      </c>
      <c r="V111" s="2763">
        <f>IF(J111=0,0,100*ABS(O111/J111))</f>
        <v>0</v>
      </c>
      <c r="W111" s="1164"/>
      <c r="X111" s="2767">
        <f>IF(K111=0,0,100*ABS(Q111/K111))</f>
        <v>0</v>
      </c>
      <c r="Y111" s="2797">
        <f>IF(L111=0,0,100*ABS(R111/L111))</f>
        <v>0</v>
      </c>
    </row>
    <row r="112" spans="2:29" ht="14.25">
      <c r="B112" s="1275" t="s">
        <v>196</v>
      </c>
      <c r="C112" s="1276"/>
      <c r="D112" s="1876"/>
      <c r="E112" s="4034" t="str">
        <f>E92</f>
        <v>Tier 1</v>
      </c>
      <c r="F112" s="4035"/>
      <c r="G112" s="914">
        <f t="shared" ref="G112:G126" si="39">ABS(SUM(I112:L112))</f>
        <v>0</v>
      </c>
      <c r="H112" s="1876"/>
      <c r="I112" s="3354">
        <f>'Forest Degradation'!AC44</f>
        <v>0</v>
      </c>
      <c r="J112" s="3355">
        <f>'Forest Degradation'!AC45</f>
        <v>0</v>
      </c>
      <c r="K112" s="3355">
        <f>'Forest Degradation'!AC46</f>
        <v>0</v>
      </c>
      <c r="L112" s="2768">
        <f>'Forest Degradation'!AC47</f>
        <v>0</v>
      </c>
      <c r="M112" s="1876"/>
      <c r="N112" s="2786">
        <f t="shared" si="37"/>
        <v>0</v>
      </c>
      <c r="O112" s="2787">
        <f t="shared" si="37"/>
        <v>0</v>
      </c>
      <c r="P112" s="1165"/>
      <c r="Q112" s="2788">
        <f t="shared" si="38"/>
        <v>0</v>
      </c>
      <c r="R112" s="2789">
        <f t="shared" si="38"/>
        <v>0</v>
      </c>
      <c r="S112" s="55">
        <f t="shared" ref="S112:S124" si="40">100*IF(G112=0,0,ABS(SUM(N112:R112)/G112))</f>
        <v>0</v>
      </c>
      <c r="U112" s="2786">
        <f t="shared" ref="U112:U114" si="41">IF(I112=0,0,100*ABS(N112/I112))</f>
        <v>0</v>
      </c>
      <c r="V112" s="2787">
        <f t="shared" ref="V112:V114" si="42">IF(J112=0,0,100*ABS(O112/J112))</f>
        <v>0</v>
      </c>
      <c r="W112" s="1165"/>
      <c r="X112" s="2788">
        <f t="shared" ref="X112:X114" si="43">IF(K112=0,0,100*ABS(Q112/K112))</f>
        <v>0</v>
      </c>
      <c r="Y112" s="2789">
        <f t="shared" ref="Y112:Y114" si="44">IF(L112=0,0,100*ABS(R112/L112))</f>
        <v>0</v>
      </c>
    </row>
    <row r="113" spans="2:25" ht="14.25">
      <c r="B113" s="1141" t="s">
        <v>469</v>
      </c>
      <c r="C113" s="1142"/>
      <c r="D113" s="1876"/>
      <c r="E113" s="4034" t="str">
        <f>E93</f>
        <v>Tier 1</v>
      </c>
      <c r="F113" s="4035"/>
      <c r="G113" s="914">
        <f t="shared" si="39"/>
        <v>0</v>
      </c>
      <c r="H113" s="1876"/>
      <c r="I113" s="3354">
        <f>'A-R'!V28</f>
        <v>0</v>
      </c>
      <c r="J113" s="3355">
        <f>'A-R'!V29</f>
        <v>0</v>
      </c>
      <c r="K113" s="3355">
        <f>'A-R'!V31</f>
        <v>0</v>
      </c>
      <c r="L113" s="2768">
        <f>'A-R'!V30</f>
        <v>0</v>
      </c>
      <c r="M113" s="1876"/>
      <c r="N113" s="2786">
        <f t="shared" si="37"/>
        <v>0</v>
      </c>
      <c r="O113" s="2787">
        <f t="shared" si="37"/>
        <v>0</v>
      </c>
      <c r="P113" s="1165"/>
      <c r="Q113" s="2788">
        <f t="shared" si="38"/>
        <v>0</v>
      </c>
      <c r="R113" s="2789">
        <f t="shared" si="38"/>
        <v>0</v>
      </c>
      <c r="S113" s="55">
        <f t="shared" si="40"/>
        <v>0</v>
      </c>
      <c r="U113" s="2786">
        <f t="shared" si="41"/>
        <v>0</v>
      </c>
      <c r="V113" s="2787">
        <f t="shared" si="42"/>
        <v>0</v>
      </c>
      <c r="W113" s="1165"/>
      <c r="X113" s="2788">
        <f t="shared" si="43"/>
        <v>0</v>
      </c>
      <c r="Y113" s="2789">
        <f t="shared" si="44"/>
        <v>0</v>
      </c>
    </row>
    <row r="114" spans="2:25" ht="14.25">
      <c r="B114" s="1212" t="s">
        <v>132</v>
      </c>
      <c r="C114" s="1143"/>
      <c r="D114" s="1876"/>
      <c r="E114" s="4034" t="str">
        <f>E94</f>
        <v>Tier 1</v>
      </c>
      <c r="F114" s="4035"/>
      <c r="G114" s="914">
        <f t="shared" si="39"/>
        <v>0</v>
      </c>
      <c r="H114" s="1876"/>
      <c r="I114" s="3354">
        <f>'non Forest LUC'!Y12</f>
        <v>0</v>
      </c>
      <c r="J114" s="3355">
        <f>'non Forest LUC'!Y13</f>
        <v>0</v>
      </c>
      <c r="K114" s="3355">
        <f>'non Forest LUC'!Y15</f>
        <v>0</v>
      </c>
      <c r="L114" s="2768">
        <f>'non Forest LUC'!Y14</f>
        <v>0</v>
      </c>
      <c r="M114" s="1876"/>
      <c r="N114" s="2786">
        <f t="shared" si="37"/>
        <v>0</v>
      </c>
      <c r="O114" s="2787">
        <f t="shared" si="37"/>
        <v>0</v>
      </c>
      <c r="P114" s="2798">
        <f t="shared" ref="P114" si="45">ABS(IF(K72="*",$N$61,IF(K72="**",$N$62,IF(K72="***",$N$63,$N$64)))*K114/100)</f>
        <v>0</v>
      </c>
      <c r="Q114" s="2788">
        <f t="shared" si="38"/>
        <v>0</v>
      </c>
      <c r="R114" s="2789">
        <f t="shared" si="38"/>
        <v>0</v>
      </c>
      <c r="S114" s="55">
        <f t="shared" si="40"/>
        <v>0</v>
      </c>
      <c r="U114" s="2786">
        <f t="shared" si="41"/>
        <v>0</v>
      </c>
      <c r="V114" s="2787">
        <f t="shared" si="42"/>
        <v>0</v>
      </c>
      <c r="W114" s="1165"/>
      <c r="X114" s="2788">
        <f t="shared" si="43"/>
        <v>0</v>
      </c>
      <c r="Y114" s="2789">
        <f t="shared" si="44"/>
        <v>0</v>
      </c>
    </row>
    <row r="115" spans="2:25" ht="14.25">
      <c r="B115" s="1144" t="s">
        <v>328</v>
      </c>
      <c r="C115" s="1145"/>
      <c r="D115" s="1876"/>
      <c r="E115" s="1170"/>
      <c r="F115" s="1169"/>
      <c r="G115" s="914"/>
      <c r="H115" s="1876"/>
      <c r="I115" s="3349"/>
      <c r="J115" s="3350"/>
      <c r="K115" s="3350"/>
      <c r="L115" s="1055"/>
      <c r="M115" s="1876"/>
      <c r="N115" s="1157"/>
      <c r="O115" s="1153"/>
      <c r="P115" s="1167"/>
      <c r="Q115" s="1153"/>
      <c r="R115" s="1158"/>
      <c r="S115" s="55"/>
      <c r="U115" s="1157"/>
      <c r="V115" s="1153"/>
      <c r="W115" s="1167"/>
      <c r="X115" s="1153"/>
      <c r="Y115" s="1158"/>
    </row>
    <row r="116" spans="2:25" ht="14.25">
      <c r="B116" s="4042" t="s">
        <v>575</v>
      </c>
      <c r="C116" s="4043"/>
      <c r="D116" s="1876"/>
      <c r="E116" s="4018" t="str">
        <f>E96</f>
        <v>Tier 1</v>
      </c>
      <c r="F116" s="4019"/>
      <c r="G116" s="914">
        <f t="shared" si="39"/>
        <v>0</v>
      </c>
      <c r="H116" s="1876"/>
      <c r="I116" s="3354">
        <f>Annual!AS20</f>
        <v>0</v>
      </c>
      <c r="J116" s="3355">
        <f>Annual!AS21</f>
        <v>0</v>
      </c>
      <c r="K116" s="3355">
        <f>Annual!AS23</f>
        <v>0</v>
      </c>
      <c r="L116" s="2768">
        <f>Annual!AS22</f>
        <v>0</v>
      </c>
      <c r="M116" s="1876"/>
      <c r="N116" s="2786">
        <f>ABS(IF(I74="*",$N$61,IF(I74="**",$N$62,IF(I74="***",$N$63,$N$64)))*I116/100)</f>
        <v>0</v>
      </c>
      <c r="O116" s="2787">
        <f>ABS(IF(J74="*",$N$61,IF(J74="**",$N$62,IF(J74="***",$N$63,$N$64)))*J116/100)</f>
        <v>0</v>
      </c>
      <c r="P116" s="1165"/>
      <c r="Q116" s="2788">
        <f>ABS(IF(K74="*",$N$61,IF(K74="**",$N$62,IF(K74="***",$N$63,$N$64)))*K116/100)</f>
        <v>0</v>
      </c>
      <c r="R116" s="2789">
        <f>ABS(IF(L74="*",$N$61,IF(L74="**",$N$62,IF(L74="***",$N$63,$N$64)))*L116/100)</f>
        <v>0</v>
      </c>
      <c r="S116" s="55">
        <f t="shared" si="40"/>
        <v>0</v>
      </c>
      <c r="U116" s="2786">
        <f>IF(I116=0,0,100*ABS(N116/I116))</f>
        <v>0</v>
      </c>
      <c r="V116" s="2787">
        <f t="shared" ref="U116:V120" si="46">IF(J116=0,0,100*ABS(O116/J116))</f>
        <v>0</v>
      </c>
      <c r="W116" s="1165"/>
      <c r="X116" s="2788">
        <f t="shared" ref="X116:X120" si="47">IF(K116=0,0,100*ABS(Q116/K116))</f>
        <v>0</v>
      </c>
      <c r="Y116" s="2789">
        <f t="shared" ref="Y116:Y120" si="48">IF(L116=0,0,100*ABS(R116/L116))</f>
        <v>0</v>
      </c>
    </row>
    <row r="117" spans="2:25" ht="14.25">
      <c r="B117" s="4042" t="s">
        <v>576</v>
      </c>
      <c r="C117" s="4043"/>
      <c r="D117" s="1876"/>
      <c r="E117" s="4018" t="str">
        <f>E97</f>
        <v>Tier 1</v>
      </c>
      <c r="F117" s="4019"/>
      <c r="G117" s="914">
        <f t="shared" si="39"/>
        <v>0</v>
      </c>
      <c r="H117" s="1876"/>
      <c r="I117" s="3354">
        <f>Perennial!AN23</f>
        <v>0</v>
      </c>
      <c r="J117" s="3355">
        <f>Perennial!AN24</f>
        <v>0</v>
      </c>
      <c r="K117" s="3355">
        <f>Perennial!AN26</f>
        <v>0</v>
      </c>
      <c r="L117" s="2768">
        <f>Perennial!AN25</f>
        <v>0</v>
      </c>
      <c r="M117" s="1876"/>
      <c r="N117" s="2786">
        <f t="shared" ref="N117:O117" si="49">ABS(IF(I75="*",$N$61,IF(I75="**",$N$62,IF(I75="***",$N$63,$N$64)))*I117/100)</f>
        <v>0</v>
      </c>
      <c r="O117" s="2787">
        <f t="shared" si="49"/>
        <v>0</v>
      </c>
      <c r="P117" s="1165"/>
      <c r="Q117" s="2788">
        <f t="shared" ref="Q117:R117" si="50">ABS(IF(K75="*",$N$61,IF(K75="**",$N$62,IF(K75="***",$N$63,$N$64)))*K117/100)</f>
        <v>0</v>
      </c>
      <c r="R117" s="2789">
        <f t="shared" si="50"/>
        <v>0</v>
      </c>
      <c r="S117" s="55">
        <f t="shared" si="40"/>
        <v>0</v>
      </c>
      <c r="U117" s="2786">
        <f t="shared" ref="U117:U119" si="51">IF(I117=0,0,100*ABS(N117/I117))</f>
        <v>0</v>
      </c>
      <c r="V117" s="2787">
        <f t="shared" si="46"/>
        <v>0</v>
      </c>
      <c r="W117" s="1165"/>
      <c r="X117" s="2788">
        <f t="shared" si="47"/>
        <v>0</v>
      </c>
      <c r="Y117" s="2789">
        <f t="shared" si="48"/>
        <v>0</v>
      </c>
    </row>
    <row r="118" spans="2:25" ht="14.25">
      <c r="B118" s="4042" t="s">
        <v>577</v>
      </c>
      <c r="C118" s="4043"/>
      <c r="D118" s="1876"/>
      <c r="E118" s="4018" t="str">
        <f>E98</f>
        <v>Tier 1</v>
      </c>
      <c r="F118" s="4019"/>
      <c r="G118" s="914">
        <f t="shared" si="39"/>
        <v>0</v>
      </c>
      <c r="H118" s="1876"/>
      <c r="I118" s="3354">
        <f>'Irrigated Rice'!AS22</f>
        <v>0</v>
      </c>
      <c r="J118" s="3355">
        <f>'Irrigated Rice'!AS23</f>
        <v>0</v>
      </c>
      <c r="K118" s="3355">
        <f>'Irrigated Rice'!AS25</f>
        <v>0</v>
      </c>
      <c r="L118" s="2768">
        <f>'Irrigated Rice'!AS24</f>
        <v>0</v>
      </c>
      <c r="M118" s="1876"/>
      <c r="N118" s="2786">
        <f t="shared" ref="N118:O118" si="52">ABS(IF(I76="*",$N$61,IF(I76="**",$N$62,IF(I76="***",$N$63,$N$64)))*I118/100)</f>
        <v>0</v>
      </c>
      <c r="O118" s="2787">
        <f t="shared" si="52"/>
        <v>0</v>
      </c>
      <c r="P118" s="1165"/>
      <c r="Q118" s="2788">
        <f t="shared" ref="Q118" si="53">ABS(IF(K76="*",$N$61,IF(K76="**",$N$62,IF(K76="***",$N$63,$N$64)))*K118/100)</f>
        <v>0</v>
      </c>
      <c r="R118" s="2789">
        <f>ABS(IF(L76="*",$N$61,IF(L76="**",$N$62,IF(L76="***",$N$63,$N$64)))*L118/100)</f>
        <v>0</v>
      </c>
      <c r="S118" s="55">
        <f t="shared" si="40"/>
        <v>0</v>
      </c>
      <c r="U118" s="2786">
        <f t="shared" si="51"/>
        <v>0</v>
      </c>
      <c r="V118" s="2787">
        <f t="shared" si="46"/>
        <v>0</v>
      </c>
      <c r="W118" s="1165"/>
      <c r="X118" s="2788">
        <f t="shared" si="47"/>
        <v>0</v>
      </c>
      <c r="Y118" s="2789">
        <f t="shared" si="48"/>
        <v>0</v>
      </c>
    </row>
    <row r="119" spans="2:25" ht="14.25">
      <c r="B119" s="1146" t="s">
        <v>329</v>
      </c>
      <c r="C119" s="1147"/>
      <c r="D119" s="1876"/>
      <c r="E119" s="4018" t="str">
        <f>E99</f>
        <v>Tier 1</v>
      </c>
      <c r="F119" s="4019"/>
      <c r="G119" s="914">
        <f t="shared" si="39"/>
        <v>0</v>
      </c>
      <c r="H119" s="1876"/>
      <c r="I119" s="3354">
        <f>Grass!AS19</f>
        <v>0</v>
      </c>
      <c r="J119" s="3355">
        <f>Grass!AS20</f>
        <v>0</v>
      </c>
      <c r="K119" s="3355">
        <f>Grass!AS22</f>
        <v>0</v>
      </c>
      <c r="L119" s="2768">
        <f>Grass!AS21</f>
        <v>0</v>
      </c>
      <c r="M119" s="1876"/>
      <c r="N119" s="2786">
        <f>ABS(IF(I77="*",$N$61,IF(I77="**",$N$62,IF(I77="***",$N$63,$N$64)))*I119/100)</f>
        <v>0</v>
      </c>
      <c r="O119" s="2787">
        <f t="shared" ref="O119" si="54">ABS(IF(J77="*",$N$61,IF(J77="**",$N$62,IF(J77="***",$N$63,$N$64)))*J119/100)</f>
        <v>0</v>
      </c>
      <c r="P119" s="1165"/>
      <c r="Q119" s="2788">
        <f t="shared" ref="Q119:R119" si="55">ABS(IF(K77="*",$N$61,IF(K77="**",$N$62,IF(K77="***",$N$63,$N$64)))*K119/100)</f>
        <v>0</v>
      </c>
      <c r="R119" s="2789">
        <f t="shared" si="55"/>
        <v>0</v>
      </c>
      <c r="S119" s="55">
        <f t="shared" si="40"/>
        <v>0</v>
      </c>
      <c r="U119" s="2786">
        <f t="shared" si="51"/>
        <v>0</v>
      </c>
      <c r="V119" s="2787">
        <f t="shared" si="46"/>
        <v>0</v>
      </c>
      <c r="W119" s="1165"/>
      <c r="X119" s="2788">
        <f t="shared" si="47"/>
        <v>0</v>
      </c>
      <c r="Y119" s="2789">
        <f t="shared" si="48"/>
        <v>0</v>
      </c>
    </row>
    <row r="120" spans="2:25" ht="14.25">
      <c r="B120" s="3409" t="s">
        <v>265</v>
      </c>
      <c r="C120" s="1560"/>
      <c r="D120" s="6"/>
      <c r="E120" s="4018" t="str">
        <f>E100</f>
        <v>Tier 1</v>
      </c>
      <c r="F120" s="4019"/>
      <c r="G120" s="3403">
        <f t="shared" si="39"/>
        <v>0</v>
      </c>
      <c r="H120" s="6"/>
      <c r="I120" s="1574">
        <f>0</f>
        <v>0</v>
      </c>
      <c r="J120" s="3355">
        <f>'Organic Soils NEW'!U53</f>
        <v>0</v>
      </c>
      <c r="K120" s="3355">
        <f>'Organic Soils NEW'!W53</f>
        <v>0</v>
      </c>
      <c r="L120" s="2768">
        <f>'Organic Soils NEW'!V53</f>
        <v>0</v>
      </c>
      <c r="M120" s="6"/>
      <c r="N120" s="2786">
        <f t="shared" ref="N120:O120" si="56">ABS(IF(I78="*",$N$61,IF(I78="**",$N$62,IF(I78="***",$N$63,$N$64)))*I120/100)</f>
        <v>0</v>
      </c>
      <c r="O120" s="2787">
        <f t="shared" si="56"/>
        <v>0</v>
      </c>
      <c r="P120" s="1165"/>
      <c r="Q120" s="2788">
        <f t="shared" ref="Q120:R120" si="57">ABS(IF(K78="*",$N$61,IF(K78="**",$N$62,IF(K78="***",$N$63,$N$64)))*K120/100)</f>
        <v>0</v>
      </c>
      <c r="R120" s="2789">
        <f t="shared" si="57"/>
        <v>0</v>
      </c>
      <c r="S120" s="3404">
        <f t="shared" si="40"/>
        <v>0</v>
      </c>
      <c r="T120" s="6"/>
      <c r="U120" s="2786">
        <f t="shared" si="46"/>
        <v>0</v>
      </c>
      <c r="V120" s="2787">
        <f t="shared" si="46"/>
        <v>0</v>
      </c>
      <c r="W120" s="1165"/>
      <c r="X120" s="2788">
        <f t="shared" si="47"/>
        <v>0</v>
      </c>
      <c r="Y120" s="2789">
        <f t="shared" si="48"/>
        <v>0</v>
      </c>
    </row>
    <row r="121" spans="2:25" ht="14.25">
      <c r="B121" s="1148" t="s">
        <v>468</v>
      </c>
      <c r="C121" s="1149"/>
      <c r="D121" s="6"/>
      <c r="E121" s="1170"/>
      <c r="F121" s="1169"/>
      <c r="G121" s="3403"/>
      <c r="H121" s="6"/>
      <c r="I121" s="4050" t="s">
        <v>51</v>
      </c>
      <c r="J121" s="4051"/>
      <c r="K121" s="3350"/>
      <c r="L121" s="1055"/>
      <c r="M121" s="6"/>
      <c r="N121" s="4050" t="s">
        <v>51</v>
      </c>
      <c r="O121" s="4051"/>
      <c r="P121" s="2029"/>
      <c r="Q121" s="2788">
        <f>ABS(IF(K79="*",$N$61,IF(K79="**",$N$62,IF(K79="***",$N$63,$N$64)))*K121/100)</f>
        <v>0</v>
      </c>
      <c r="R121" s="2789">
        <f t="shared" ref="R121" si="58">ABS(IF(L79="*",$N$61,IF(L79="**",$N$62,IF(L79="***",$N$63,$N$64)))*L121/100)</f>
        <v>0</v>
      </c>
      <c r="S121" s="3404"/>
      <c r="T121" s="6"/>
      <c r="U121" s="4050" t="s">
        <v>51</v>
      </c>
      <c r="V121" s="4051"/>
      <c r="W121" s="2029"/>
      <c r="X121" s="3350"/>
      <c r="Y121" s="1055"/>
    </row>
    <row r="122" spans="2:25" ht="14.25">
      <c r="B122" s="4036" t="s">
        <v>665</v>
      </c>
      <c r="C122" s="4037"/>
      <c r="D122" s="6"/>
      <c r="E122" s="4018" t="str">
        <f>E102</f>
        <v>Tier 1</v>
      </c>
      <c r="F122" s="4019"/>
      <c r="G122" s="3403">
        <f t="shared" si="39"/>
        <v>0</v>
      </c>
      <c r="H122" s="6"/>
      <c r="I122" s="4060" t="s">
        <v>52</v>
      </c>
      <c r="J122" s="4061"/>
      <c r="K122" s="3355">
        <f>Livestock!AN98</f>
        <v>0</v>
      </c>
      <c r="L122" s="2768">
        <f>Livestock!AN97</f>
        <v>0</v>
      </c>
      <c r="M122" s="6"/>
      <c r="N122" s="4046" t="s">
        <v>52</v>
      </c>
      <c r="O122" s="4047"/>
      <c r="P122" s="1165"/>
      <c r="Q122" s="2788">
        <f>ABS(IF(K80="*",$N$61,IF(K80="**",$N$62,IF(K80="***",$N$63,$N$64)))*K122/100)</f>
        <v>0</v>
      </c>
      <c r="R122" s="2789">
        <f>ABS(IF(L80="*",$N$61,IF(L80="**",$N$62,IF(L80="***",$N$63,$N$64)))*L122/100)</f>
        <v>0</v>
      </c>
      <c r="S122" s="3404">
        <f t="shared" si="40"/>
        <v>0</v>
      </c>
      <c r="T122" s="6"/>
      <c r="U122" s="4046" t="s">
        <v>270</v>
      </c>
      <c r="V122" s="4047"/>
      <c r="W122" s="1165"/>
      <c r="X122" s="2788">
        <f t="shared" ref="X122" si="59">IF(K122=0,0,100*ABS(Q122/K122))</f>
        <v>0</v>
      </c>
      <c r="Y122" s="2789">
        <f t="shared" ref="Y122" si="60">IF(L122=0,0,100*ABS(R122/L122))</f>
        <v>0</v>
      </c>
    </row>
    <row r="123" spans="2:25" ht="14.25">
      <c r="B123" s="4036" t="s">
        <v>666</v>
      </c>
      <c r="C123" s="4037"/>
      <c r="D123" s="6"/>
      <c r="E123" s="4018" t="str">
        <f t="shared" ref="E123" si="61">E103</f>
        <v>Tier 1</v>
      </c>
      <c r="F123" s="4019"/>
      <c r="G123" s="3403">
        <f t="shared" si="39"/>
        <v>0</v>
      </c>
      <c r="H123" s="6"/>
      <c r="I123" s="4056">
        <f>Inputs!R15+Inputs!R22+Inputs!R50</f>
        <v>0</v>
      </c>
      <c r="J123" s="4057"/>
      <c r="K123" s="3355">
        <f>Inputs!R33</f>
        <v>0</v>
      </c>
      <c r="L123" s="2793" t="s">
        <v>52</v>
      </c>
      <c r="M123" s="6"/>
      <c r="N123" s="4048">
        <f>ABS(IF(I81="*",$N$61,IF(I81="**",$N$62,IF(I81="***",$N$63,$N$64)))*I123/100)</f>
        <v>0</v>
      </c>
      <c r="O123" s="4049"/>
      <c r="P123" s="21"/>
      <c r="Q123" s="2788">
        <f>ABS(IF(K81="*",$N$61,IF(K81="**",$N$62,IF(K81="***",$N$63,$N$64)))*K123/100)</f>
        <v>0</v>
      </c>
      <c r="R123" s="2793" t="s">
        <v>52</v>
      </c>
      <c r="S123" s="3404">
        <f t="shared" si="40"/>
        <v>0</v>
      </c>
      <c r="T123" s="6"/>
      <c r="U123" s="4048">
        <f>IF(I123=0,0,100*ABS(N123/I123))</f>
        <v>0</v>
      </c>
      <c r="V123" s="4049"/>
      <c r="W123" s="21"/>
      <c r="X123" s="2788">
        <f>IF(K123=0,0,100*ABS(Q123/K123))</f>
        <v>0</v>
      </c>
      <c r="Y123" s="2793" t="s">
        <v>52</v>
      </c>
    </row>
    <row r="124" spans="2:25" ht="14.25">
      <c r="B124" s="4036" t="s">
        <v>130</v>
      </c>
      <c r="C124" s="4037"/>
      <c r="D124" s="6"/>
      <c r="E124" s="4018" t="str">
        <f>E104</f>
        <v>Tier 1</v>
      </c>
      <c r="F124" s="4019"/>
      <c r="G124" s="3403">
        <f t="shared" si="39"/>
        <v>0</v>
      </c>
      <c r="H124" s="6"/>
      <c r="I124" s="4056">
        <f>'Other investments'!H86</f>
        <v>0</v>
      </c>
      <c r="J124" s="4057"/>
      <c r="K124" s="3405">
        <v>0</v>
      </c>
      <c r="L124" s="2793" t="s">
        <v>52</v>
      </c>
      <c r="M124" s="6"/>
      <c r="N124" s="4048">
        <f>ABS(IF(I82="*",$N$61,IF(I82="**",$N$62,IF(I82="***",$N$63,$N$64)))*I124/100)</f>
        <v>0</v>
      </c>
      <c r="O124" s="4049"/>
      <c r="P124" s="3406"/>
      <c r="Q124" s="2788">
        <f>ABS(IF(K82="*",$N$61,IF(K82="**",$N$62,IF(K82="***",$N$63,$N$64)))*K124/100)</f>
        <v>0</v>
      </c>
      <c r="R124" s="2793" t="s">
        <v>52</v>
      </c>
      <c r="S124" s="3404">
        <f t="shared" si="40"/>
        <v>0</v>
      </c>
      <c r="T124" s="6"/>
      <c r="U124" s="4048">
        <f>IF(I124=0,0,100*ABS(N124/I124))</f>
        <v>0</v>
      </c>
      <c r="V124" s="4049"/>
      <c r="W124" s="3406"/>
      <c r="X124" s="2788">
        <f>IF(K124=0,0,100*ABS(Q124/K124))</f>
        <v>0</v>
      </c>
      <c r="Y124" s="2793" t="s">
        <v>52</v>
      </c>
    </row>
    <row r="125" spans="2:25" s="1876" customFormat="1" ht="14.25">
      <c r="B125" s="3351"/>
      <c r="C125" s="3352" t="str">
        <f>C105</f>
        <v>Coastal Wetlands</v>
      </c>
      <c r="D125" s="6"/>
      <c r="E125" s="4018" t="str">
        <f>E105</f>
        <v>Tier 1</v>
      </c>
      <c r="F125" s="4019"/>
      <c r="G125" s="3403">
        <f t="shared" si="39"/>
        <v>0</v>
      </c>
      <c r="H125" s="6"/>
      <c r="I125" s="3354">
        <f>Wetlands!N29</f>
        <v>0</v>
      </c>
      <c r="J125" s="3355">
        <f>+Wetlands!Q29+Wetlands!R51+Wetlands!U63</f>
        <v>0</v>
      </c>
      <c r="K125" s="3410" t="s">
        <v>52</v>
      </c>
      <c r="L125" s="2793">
        <f>+Wetlands!U73</f>
        <v>0</v>
      </c>
      <c r="M125" s="6"/>
      <c r="N125" s="2786">
        <f t="shared" ref="N125" si="62">ABS(IF(I83="*",$N$61,IF(I83="**",$N$62,IF(I83="***",$N$63,$N$64)))*I125/100)</f>
        <v>0</v>
      </c>
      <c r="O125" s="2787">
        <f t="shared" ref="O125" si="63">ABS(IF(J83="*",$N$61,IF(J83="**",$N$62,IF(J83="***",$N$63,$N$64)))*J125/100)</f>
        <v>0</v>
      </c>
      <c r="P125" s="3406"/>
      <c r="Q125" s="3407" t="s">
        <v>52</v>
      </c>
      <c r="R125" s="2789">
        <f t="shared" ref="R125" si="64">ABS(IF(L83="*",$N$61,IF(L83="**",$N$62,IF(L83="***",$N$63,$N$64)))*L125/100)</f>
        <v>0</v>
      </c>
      <c r="S125" s="3404"/>
      <c r="T125" s="6"/>
      <c r="U125" s="2786">
        <f t="shared" ref="U125" si="65">IF(I125=0,0,100*ABS(N125/I125))</f>
        <v>0</v>
      </c>
      <c r="V125" s="2787">
        <f t="shared" ref="V125" si="66">IF(J125=0,0,100*ABS(O125/J125))</f>
        <v>0</v>
      </c>
      <c r="W125" s="3406"/>
      <c r="X125" s="3407" t="s">
        <v>52</v>
      </c>
      <c r="Y125" s="2789">
        <f t="shared" ref="Y125" si="67">IF(L125=0,0,100*ABS(R125/L125))</f>
        <v>0</v>
      </c>
    </row>
    <row r="126" spans="2:25" s="1876" customFormat="1" ht="15" thickBot="1">
      <c r="B126" s="4026" t="str">
        <f>B84</f>
        <v>Fishery&amp;Aquaculture</v>
      </c>
      <c r="C126" s="4027"/>
      <c r="D126" s="6"/>
      <c r="E126" s="4024" t="str">
        <f>E106</f>
        <v>Tier 1</v>
      </c>
      <c r="F126" s="4025"/>
      <c r="G126" s="3403">
        <f t="shared" si="39"/>
        <v>0</v>
      </c>
      <c r="H126" s="6"/>
      <c r="I126" s="4044">
        <f>Fishery!I73</f>
        <v>0</v>
      </c>
      <c r="J126" s="4045"/>
      <c r="K126" s="2795">
        <f>Fishery!I74</f>
        <v>0</v>
      </c>
      <c r="L126" s="2794"/>
      <c r="M126" s="6"/>
      <c r="N126" s="4030">
        <f>ABS(IF(I84="*",$N$61,IF(I84="**",$N$62,IF(I84="***",$N$63,$N$64)))*I126/100)</f>
        <v>0</v>
      </c>
      <c r="O126" s="4031"/>
      <c r="P126" s="2796"/>
      <c r="Q126" s="3408">
        <f>ABS(IF(K84="*",$N$61,IF(K84="**",$N$62,IF(K84="***",$N$63,$N$64)))*K126/100)</f>
        <v>0</v>
      </c>
      <c r="R126" s="2794" t="s">
        <v>52</v>
      </c>
      <c r="S126" s="3404"/>
      <c r="T126" s="6"/>
      <c r="U126" s="4030">
        <f>IF(I126=0,0,100*ABS(N126/I126))</f>
        <v>0</v>
      </c>
      <c r="V126" s="4031"/>
      <c r="W126" s="2796"/>
      <c r="X126" s="3408">
        <f>IF(K126=0,0,100*ABS(Q126/K126))</f>
        <v>0</v>
      </c>
      <c r="Y126" s="2794" t="s">
        <v>52</v>
      </c>
    </row>
    <row r="127" spans="2:25" ht="15.75" thickBot="1">
      <c r="I127" s="3400" t="s">
        <v>3963</v>
      </c>
      <c r="J127" s="3401"/>
      <c r="K127" s="3401"/>
      <c r="L127" s="3402">
        <f>SUM(I111:M126)</f>
        <v>0</v>
      </c>
      <c r="N127" s="1195" t="s">
        <v>107</v>
      </c>
      <c r="O127" s="1196"/>
      <c r="P127" s="1196"/>
      <c r="Q127" s="1196"/>
      <c r="R127" s="3397">
        <f>SUM(N111:R120,N122:R126)</f>
        <v>0</v>
      </c>
      <c r="S127" s="55" t="e">
        <f>SUMPRODUCT(G111:G124,S111:S124)/SUM(G111:G124)</f>
        <v>#DIV/0!</v>
      </c>
      <c r="U127" s="1195" t="s">
        <v>122</v>
      </c>
      <c r="V127" s="1196"/>
      <c r="W127" s="1196"/>
      <c r="X127" s="1196"/>
      <c r="Y127" s="2799" t="str">
        <f>IF(R127=0,"",SUMPRODUCT(N111:R126,U111:Y126)/R127)</f>
        <v/>
      </c>
    </row>
    <row r="129" spans="10:12">
      <c r="L129" s="80"/>
    </row>
    <row r="132" spans="10:12">
      <c r="J132" s="80">
        <f>J120-J100-J27</f>
        <v>0</v>
      </c>
    </row>
  </sheetData>
  <sheetProtection formatCells="0" formatColumns="0" formatRows="0"/>
  <mergeCells count="139">
    <mergeCell ref="B31:C31"/>
    <mergeCell ref="E77:F77"/>
    <mergeCell ref="E80:F80"/>
    <mergeCell ref="E55:R59"/>
    <mergeCell ref="B124:C124"/>
    <mergeCell ref="E124:F124"/>
    <mergeCell ref="I124:J124"/>
    <mergeCell ref="N124:O124"/>
    <mergeCell ref="E119:F119"/>
    <mergeCell ref="E120:F120"/>
    <mergeCell ref="I121:J121"/>
    <mergeCell ref="N121:O121"/>
    <mergeCell ref="B122:C122"/>
    <mergeCell ref="E122:F122"/>
    <mergeCell ref="I122:J122"/>
    <mergeCell ref="N122:O122"/>
    <mergeCell ref="E118:F118"/>
    <mergeCell ref="I109:J109"/>
    <mergeCell ref="E95:F95"/>
    <mergeCell ref="E101:F101"/>
    <mergeCell ref="B123:C123"/>
    <mergeCell ref="E123:F123"/>
    <mergeCell ref="I123:J123"/>
    <mergeCell ref="N123:O123"/>
    <mergeCell ref="Q16:S16"/>
    <mergeCell ref="I28:J28"/>
    <mergeCell ref="I29:J29"/>
    <mergeCell ref="I30:J30"/>
    <mergeCell ref="I16:J16"/>
    <mergeCell ref="E17:G17"/>
    <mergeCell ref="E16:G16"/>
    <mergeCell ref="B16:C16"/>
    <mergeCell ref="B28:C28"/>
    <mergeCell ref="B29:C29"/>
    <mergeCell ref="B30:C30"/>
    <mergeCell ref="B18:C18"/>
    <mergeCell ref="B20:C20"/>
    <mergeCell ref="B23:C23"/>
    <mergeCell ref="B24:C24"/>
    <mergeCell ref="B25:C25"/>
    <mergeCell ref="B21:C21"/>
    <mergeCell ref="B22:C22"/>
    <mergeCell ref="B26:C26"/>
    <mergeCell ref="N6:O6"/>
    <mergeCell ref="N7:O7"/>
    <mergeCell ref="N11:O11"/>
    <mergeCell ref="I82:J82"/>
    <mergeCell ref="N79:O79"/>
    <mergeCell ref="N80:O80"/>
    <mergeCell ref="N81:O81"/>
    <mergeCell ref="E82:F82"/>
    <mergeCell ref="N82:O82"/>
    <mergeCell ref="I80:J80"/>
    <mergeCell ref="I81:J81"/>
    <mergeCell ref="E81:F81"/>
    <mergeCell ref="E76:F76"/>
    <mergeCell ref="E70:F70"/>
    <mergeCell ref="I79:J79"/>
    <mergeCell ref="I31:J31"/>
    <mergeCell ref="E69:F69"/>
    <mergeCell ref="E71:F71"/>
    <mergeCell ref="E72:F72"/>
    <mergeCell ref="E74:F74"/>
    <mergeCell ref="E75:F75"/>
    <mergeCell ref="E78:F78"/>
    <mergeCell ref="E73:F73"/>
    <mergeCell ref="U79:V79"/>
    <mergeCell ref="U80:V80"/>
    <mergeCell ref="U81:V81"/>
    <mergeCell ref="U82:V82"/>
    <mergeCell ref="U121:V121"/>
    <mergeCell ref="N103:O103"/>
    <mergeCell ref="N104:O104"/>
    <mergeCell ref="I103:J103"/>
    <mergeCell ref="I104:J104"/>
    <mergeCell ref="N101:O101"/>
    <mergeCell ref="N102:O102"/>
    <mergeCell ref="I89:J89"/>
    <mergeCell ref="I101:J101"/>
    <mergeCell ref="I102:J102"/>
    <mergeCell ref="U84:V84"/>
    <mergeCell ref="I106:J106"/>
    <mergeCell ref="N106:O106"/>
    <mergeCell ref="U106:V106"/>
    <mergeCell ref="E96:F96"/>
    <mergeCell ref="E97:F97"/>
    <mergeCell ref="E98:F98"/>
    <mergeCell ref="E99:F99"/>
    <mergeCell ref="E100:F100"/>
    <mergeCell ref="E102:F102"/>
    <mergeCell ref="B74:C74"/>
    <mergeCell ref="B75:C75"/>
    <mergeCell ref="B76:C76"/>
    <mergeCell ref="E79:F79"/>
    <mergeCell ref="E92:F92"/>
    <mergeCell ref="E93:F93"/>
    <mergeCell ref="E94:F94"/>
    <mergeCell ref="B82:C82"/>
    <mergeCell ref="B80:C80"/>
    <mergeCell ref="B81:C81"/>
    <mergeCell ref="B96:C96"/>
    <mergeCell ref="B97:C97"/>
    <mergeCell ref="B98:C98"/>
    <mergeCell ref="B102:C102"/>
    <mergeCell ref="E84:F84"/>
    <mergeCell ref="U126:V126"/>
    <mergeCell ref="N126:O126"/>
    <mergeCell ref="I126:J126"/>
    <mergeCell ref="U122:V122"/>
    <mergeCell ref="U123:V123"/>
    <mergeCell ref="U124:V124"/>
    <mergeCell ref="U101:V101"/>
    <mergeCell ref="U102:V102"/>
    <mergeCell ref="U103:V103"/>
    <mergeCell ref="U104:V104"/>
    <mergeCell ref="E105:F105"/>
    <mergeCell ref="E125:F125"/>
    <mergeCell ref="I83:J83"/>
    <mergeCell ref="E83:F83"/>
    <mergeCell ref="E126:F126"/>
    <mergeCell ref="B126:C126"/>
    <mergeCell ref="B106:C106"/>
    <mergeCell ref="N84:O84"/>
    <mergeCell ref="I84:J84"/>
    <mergeCell ref="E114:F114"/>
    <mergeCell ref="B104:C104"/>
    <mergeCell ref="E91:F91"/>
    <mergeCell ref="E111:F111"/>
    <mergeCell ref="E112:F112"/>
    <mergeCell ref="E113:F113"/>
    <mergeCell ref="E106:F106"/>
    <mergeCell ref="B103:C103"/>
    <mergeCell ref="B116:C116"/>
    <mergeCell ref="E116:F116"/>
    <mergeCell ref="B117:C117"/>
    <mergeCell ref="E117:F117"/>
    <mergeCell ref="B118:C118"/>
    <mergeCell ref="E103:F103"/>
    <mergeCell ref="E104:F104"/>
  </mergeCells>
  <phoneticPr fontId="11" type="noConversion"/>
  <hyperlinks>
    <hyperlink ref="B18" location="Deforestation!A1" display="Deforestation "/>
    <hyperlink ref="B20" location="'A-R'!A1" display="Afforestation and Reforestation"/>
    <hyperlink ref="B26" location="Grass!A1" display="Grassland"/>
    <hyperlink ref="B25" location="Rice!A1" display="Rice "/>
    <hyperlink ref="B24" location="Perennial!A1" display="Agroforestry/Perennial Crops"/>
    <hyperlink ref="B23" location="Annual!A1" display=" Annual Crops"/>
    <hyperlink ref="B29" location="Livestock!A1" display="From Livestock"/>
    <hyperlink ref="B30" location="Inputs!A1" display="From Inputs"/>
    <hyperlink ref="B31" location="Investment!A1" display="Project Investment"/>
    <hyperlink ref="B21" location="'Other LUC'!A1" display="Other Land Use Change"/>
    <hyperlink ref="B69" location="Deforestation!A1" display="Deforestation "/>
    <hyperlink ref="B71" location="'A-R'!A1" display="Afforestation and Reforestation"/>
    <hyperlink ref="B77" location="Grass!A1" display="Grassland"/>
    <hyperlink ref="B76" location="Rice!A1" display="Rice "/>
    <hyperlink ref="B75" location="Perennial!A1" display="Agroforestry/Perennial Crops"/>
    <hyperlink ref="B74" location="Annual!A1" display=" Annual Crops"/>
    <hyperlink ref="B80" location="Livestock!A1" display="From Livestock"/>
    <hyperlink ref="B82" location="'Other investments'!A1" display="Other Investments"/>
    <hyperlink ref="B72" location="'non Forest LUC'!A1" display="Other Land Use Change"/>
    <hyperlink ref="B31:C31" location="'Other investments'!A1" display="Other Investment"/>
    <hyperlink ref="B81" location="Inputs!A1" display="From Inputs"/>
    <hyperlink ref="B21:C21" location="'non Forest LUC'!A1" display="Other Land Use Change"/>
    <hyperlink ref="B25:C25" location="'Irrigated Rice'!A1" display="Irrigated Rice "/>
    <hyperlink ref="B19" location="'Forest Degradation'!A1" display="Forest Degradation"/>
    <hyperlink ref="B70" location="'Forest Degradation'!A1" display="Forest Degradation"/>
    <hyperlink ref="B91" location="Deforestation!A1" display="Deforestation "/>
    <hyperlink ref="B93" location="'A-R'!A1" display="Afforestation and Reforestation"/>
    <hyperlink ref="B99" location="Grass!A1" display="Grassland"/>
    <hyperlink ref="B98" location="Rice!A1" display="Rice "/>
    <hyperlink ref="B97" location="Perennial!A1" display="Agroforestry/Perennial Crops"/>
    <hyperlink ref="B96" location="Annual!A1" display=" Annual Crops"/>
    <hyperlink ref="B102" location="Livestock!A1" display="From Livestock"/>
    <hyperlink ref="B104" location="'Other investments'!A1" display="Other Investments"/>
    <hyperlink ref="B94" location="'non Forest LUC'!A1" display="Other Land Use Change"/>
    <hyperlink ref="B103" location="Inputs!A1" display="From Inputs"/>
    <hyperlink ref="B92" location="'Forest Degradation'!A1" display="Forest Degradation"/>
    <hyperlink ref="B111" location="Deforestation!A1" display="Deforestation "/>
    <hyperlink ref="B113" location="'A-R'!A1" display="Afforestation and Reforestation"/>
    <hyperlink ref="B119" location="Grass!A1" display="Grassland"/>
    <hyperlink ref="B118" location="Rice!A1" display="Rice "/>
    <hyperlink ref="B117" location="Perennial!A1" display="Agroforestry/Perennial Crops"/>
    <hyperlink ref="B116" location="Annual!A1" display=" Annual Crops"/>
    <hyperlink ref="B122" location="Livestock!A1" display="From Livestock"/>
    <hyperlink ref="B124" location="'Other investments'!A1" display="Other Investments"/>
    <hyperlink ref="B114" location="'non Forest LUC'!A1" display="Other Land Use Change"/>
    <hyperlink ref="B123" location="Inputs!A1" display="From Inputs"/>
    <hyperlink ref="B112" location="'Forest Degradation'!A1" display="Forest Degradation"/>
    <hyperlink ref="B126" location="'Other investments'!A1" display="Other Investments"/>
  </hyperlinks>
  <pageMargins left="0.28000000000000003" right="0.27" top="0.4" bottom="0.52" header="0.24" footer="0.33"/>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pageSetUpPr fitToPage="1"/>
  </sheetPr>
  <dimension ref="A1:IU438"/>
  <sheetViews>
    <sheetView zoomScale="70" zoomScaleNormal="70" workbookViewId="0">
      <pane ySplit="5" topLeftCell="A6" activePane="bottomLeft" state="frozen"/>
      <selection activeCell="O43" sqref="O43"/>
      <selection pane="bottomLeft" activeCell="Q25" sqref="Q25"/>
    </sheetView>
  </sheetViews>
  <sheetFormatPr defaultColWidth="11.42578125" defaultRowHeight="12.75" customHeight="1"/>
  <cols>
    <col min="1" max="10" width="11.42578125" style="233"/>
    <col min="11" max="11" width="3.5703125" style="233" customWidth="1"/>
    <col min="12" max="12" width="19.85546875" style="233" customWidth="1"/>
    <col min="13" max="13" width="16.140625" style="233" customWidth="1"/>
    <col min="14" max="14" width="10.42578125" style="233" customWidth="1"/>
    <col min="15" max="15" width="19.42578125" style="233" customWidth="1"/>
    <col min="16" max="17" width="14.7109375" style="233" customWidth="1"/>
    <col min="18" max="16384" width="11.42578125" style="233"/>
  </cols>
  <sheetData>
    <row r="1" spans="1:255" s="2232" customFormat="1" ht="22.9" customHeight="1"/>
    <row r="2" spans="1:255" s="2232" customFormat="1" ht="22.9" customHeight="1"/>
    <row r="3" spans="1:255" s="2232" customFormat="1" ht="22.9" customHeight="1"/>
    <row r="4" spans="1:255" s="2232" customFormat="1" ht="22.9" customHeight="1"/>
    <row r="5" spans="1:255" s="2232" customFormat="1" ht="22.9" customHeight="1">
      <c r="A5" s="2707" t="str">
        <f>HLOOKUP(select,translations!$B$436:$H$450,2,)</f>
        <v xml:space="preserve"> </v>
      </c>
      <c r="B5" s="2694"/>
      <c r="C5" s="2694"/>
      <c r="E5" s="2694"/>
      <c r="F5" s="2694"/>
      <c r="G5" s="2694"/>
      <c r="I5" s="2694"/>
      <c r="J5" s="2694"/>
      <c r="K5" s="2694"/>
      <c r="M5" s="2694"/>
      <c r="N5" s="2694"/>
      <c r="O5" s="2694"/>
      <c r="Q5" s="4091"/>
      <c r="R5" s="4091"/>
      <c r="S5" s="4091"/>
      <c r="U5" s="4091"/>
      <c r="V5" s="4091"/>
      <c r="W5" s="4091"/>
      <c r="Y5" s="4091"/>
      <c r="Z5" s="4091"/>
      <c r="AA5" s="4091"/>
      <c r="AC5" s="4091"/>
      <c r="AD5" s="4091"/>
      <c r="AE5" s="4091"/>
      <c r="AG5" s="4091"/>
      <c r="AH5" s="4091"/>
      <c r="AI5" s="4091"/>
      <c r="AK5" s="4091"/>
      <c r="AL5" s="4091"/>
      <c r="AM5" s="4091"/>
      <c r="AO5" s="4091"/>
      <c r="AP5" s="4091"/>
      <c r="AQ5" s="4091"/>
      <c r="AS5" s="4091"/>
      <c r="AT5" s="4091"/>
      <c r="AU5" s="4091"/>
      <c r="AW5" s="4091"/>
      <c r="AX5" s="4091"/>
      <c r="AY5" s="4091"/>
      <c r="BA5" s="4091"/>
      <c r="BB5" s="4091"/>
      <c r="BC5" s="4091"/>
      <c r="BE5" s="4091"/>
      <c r="BF5" s="4091"/>
      <c r="BG5" s="4091"/>
      <c r="BI5" s="4091"/>
      <c r="BJ5" s="4091"/>
      <c r="BK5" s="4091"/>
      <c r="BM5" s="4091"/>
      <c r="BN5" s="4091"/>
      <c r="BO5" s="4091"/>
      <c r="BQ5" s="4091"/>
      <c r="BR5" s="4091"/>
      <c r="BS5" s="4091"/>
      <c r="BU5" s="4091"/>
      <c r="BV5" s="4091"/>
      <c r="BW5" s="4091"/>
      <c r="BY5" s="4091"/>
      <c r="BZ5" s="4091"/>
      <c r="CA5" s="4091"/>
      <c r="CC5" s="4091"/>
      <c r="CD5" s="4091"/>
      <c r="CE5" s="4091"/>
      <c r="CG5" s="4091"/>
      <c r="CH5" s="4091"/>
      <c r="CI5" s="4091"/>
      <c r="CK5" s="4091"/>
      <c r="CL5" s="4091"/>
      <c r="CM5" s="4091"/>
      <c r="CO5" s="4091"/>
      <c r="CP5" s="4091"/>
      <c r="CQ5" s="4091"/>
      <c r="CS5" s="4091"/>
      <c r="CT5" s="4091"/>
      <c r="CU5" s="4091"/>
      <c r="CW5" s="4091"/>
      <c r="CX5" s="4091"/>
      <c r="CY5" s="4091"/>
      <c r="DA5" s="4091"/>
      <c r="DB5" s="4091"/>
      <c r="DC5" s="4091"/>
      <c r="DE5" s="4091"/>
      <c r="DF5" s="4091"/>
      <c r="DG5" s="4091"/>
      <c r="DI5" s="4091"/>
      <c r="DJ5" s="4091"/>
      <c r="DK5" s="4091"/>
      <c r="DM5" s="4091"/>
      <c r="DN5" s="4091"/>
      <c r="DO5" s="4091"/>
      <c r="DQ5" s="4091"/>
      <c r="DR5" s="4091"/>
      <c r="DS5" s="4091"/>
      <c r="DU5" s="4091"/>
      <c r="DV5" s="4091"/>
      <c r="DW5" s="4091"/>
      <c r="DY5" s="4091"/>
      <c r="DZ5" s="4091"/>
      <c r="EA5" s="4091"/>
      <c r="EC5" s="4091"/>
      <c r="ED5" s="4091"/>
      <c r="EE5" s="4091"/>
      <c r="EG5" s="4091"/>
      <c r="EH5" s="4091"/>
      <c r="EI5" s="4091"/>
      <c r="EK5" s="4091"/>
      <c r="EL5" s="4091"/>
      <c r="EM5" s="4091"/>
      <c r="EO5" s="4091"/>
      <c r="EP5" s="4091"/>
      <c r="EQ5" s="4091"/>
      <c r="ES5" s="4091"/>
      <c r="ET5" s="4091"/>
      <c r="EU5" s="4091"/>
      <c r="EW5" s="4091"/>
      <c r="EX5" s="4091"/>
      <c r="EY5" s="4091"/>
      <c r="FA5" s="4091"/>
      <c r="FB5" s="4091"/>
      <c r="FC5" s="4091"/>
      <c r="FE5" s="4091"/>
      <c r="FF5" s="4091"/>
      <c r="FG5" s="4091"/>
      <c r="FI5" s="4091"/>
      <c r="FJ5" s="4091"/>
      <c r="FK5" s="4091"/>
      <c r="FM5" s="4091"/>
      <c r="FN5" s="4091"/>
      <c r="FO5" s="4091"/>
      <c r="FQ5" s="4091"/>
      <c r="FR5" s="4091"/>
      <c r="FS5" s="4091"/>
      <c r="FU5" s="4091"/>
      <c r="FV5" s="4091"/>
      <c r="FW5" s="4091"/>
      <c r="FY5" s="4091"/>
      <c r="FZ5" s="4091"/>
      <c r="GA5" s="4091"/>
      <c r="GC5" s="4091"/>
      <c r="GD5" s="4091"/>
      <c r="GE5" s="4091"/>
      <c r="GG5" s="4091"/>
      <c r="GH5" s="4091"/>
      <c r="GI5" s="4091"/>
      <c r="GK5" s="4091"/>
      <c r="GL5" s="4091"/>
      <c r="GM5" s="4091"/>
      <c r="GO5" s="4091"/>
      <c r="GP5" s="4091"/>
      <c r="GQ5" s="4091"/>
      <c r="GS5" s="4091"/>
      <c r="GT5" s="4091"/>
      <c r="GU5" s="4091"/>
      <c r="GW5" s="4091"/>
      <c r="GX5" s="4091"/>
      <c r="GY5" s="4091"/>
      <c r="HA5" s="4091"/>
      <c r="HB5" s="4091"/>
      <c r="HC5" s="4091"/>
      <c r="HE5" s="4091"/>
      <c r="HF5" s="4091"/>
      <c r="HG5" s="4091"/>
      <c r="HI5" s="4091"/>
      <c r="HJ5" s="4091"/>
      <c r="HK5" s="4091"/>
      <c r="HM5" s="4091"/>
      <c r="HN5" s="4091"/>
      <c r="HO5" s="4091"/>
      <c r="HQ5" s="4091"/>
      <c r="HR5" s="4091"/>
      <c r="HS5" s="4091"/>
      <c r="HU5" s="4091"/>
      <c r="HV5" s="4091"/>
      <c r="HW5" s="4091"/>
      <c r="HY5" s="4091"/>
      <c r="HZ5" s="4091"/>
      <c r="IA5" s="4091"/>
      <c r="IC5" s="4091"/>
      <c r="ID5" s="4091"/>
      <c r="IE5" s="4091"/>
      <c r="IG5" s="4091"/>
      <c r="IH5" s="4091"/>
      <c r="II5" s="4091"/>
      <c r="IK5" s="4091"/>
      <c r="IL5" s="4091"/>
      <c r="IM5" s="4091"/>
      <c r="IO5" s="4091"/>
      <c r="IP5" s="4091"/>
      <c r="IQ5" s="4091"/>
      <c r="IS5" s="4091"/>
      <c r="IT5" s="4091"/>
      <c r="IU5" s="4091"/>
    </row>
    <row r="6" spans="1:255" s="2094" customFormat="1" ht="9.6" customHeight="1">
      <c r="A6" s="2712"/>
      <c r="B6" s="2713"/>
      <c r="C6" s="2713"/>
      <c r="E6" s="2713"/>
      <c r="F6" s="2713"/>
      <c r="G6" s="2713"/>
      <c r="I6" s="2713"/>
      <c r="J6" s="2713"/>
      <c r="K6" s="2713"/>
      <c r="M6" s="2713"/>
      <c r="N6" s="2713"/>
      <c r="O6" s="2713"/>
      <c r="Q6" s="2714"/>
      <c r="R6" s="2714"/>
      <c r="S6" s="2714"/>
      <c r="U6" s="2714"/>
      <c r="V6" s="2714"/>
      <c r="W6" s="2714"/>
      <c r="Y6" s="2714"/>
      <c r="Z6" s="2714"/>
      <c r="AA6" s="2714"/>
      <c r="AC6" s="2714"/>
      <c r="AD6" s="2714"/>
      <c r="AE6" s="2714"/>
      <c r="AG6" s="2714"/>
      <c r="AH6" s="2714"/>
      <c r="AI6" s="2714"/>
      <c r="AK6" s="2714"/>
      <c r="AL6" s="2714"/>
      <c r="AM6" s="2714"/>
      <c r="AO6" s="2714"/>
      <c r="AP6" s="2714"/>
      <c r="AQ6" s="2714"/>
      <c r="AS6" s="2714"/>
      <c r="AT6" s="2714"/>
      <c r="AU6" s="2714"/>
      <c r="AW6" s="2714"/>
      <c r="AX6" s="2714"/>
      <c r="AY6" s="2714"/>
      <c r="BA6" s="2714"/>
      <c r="BB6" s="2714"/>
      <c r="BC6" s="2714"/>
      <c r="BE6" s="2714"/>
      <c r="BF6" s="2714"/>
      <c r="BG6" s="2714"/>
      <c r="BI6" s="2714"/>
      <c r="BJ6" s="2714"/>
      <c r="BK6" s="2714"/>
      <c r="BM6" s="2714"/>
      <c r="BN6" s="2714"/>
      <c r="BO6" s="2714"/>
      <c r="BQ6" s="2714"/>
      <c r="BR6" s="2714"/>
      <c r="BS6" s="2714"/>
      <c r="BU6" s="2714"/>
      <c r="BV6" s="2714"/>
      <c r="BW6" s="2714"/>
      <c r="BY6" s="2714"/>
      <c r="BZ6" s="2714"/>
      <c r="CA6" s="2714"/>
      <c r="CC6" s="2714"/>
      <c r="CD6" s="2714"/>
      <c r="CE6" s="2714"/>
      <c r="CG6" s="2714"/>
      <c r="CH6" s="2714"/>
      <c r="CI6" s="2714"/>
      <c r="CK6" s="2714"/>
      <c r="CL6" s="2714"/>
      <c r="CM6" s="2714"/>
      <c r="CO6" s="2714"/>
      <c r="CP6" s="2714"/>
      <c r="CQ6" s="2714"/>
      <c r="CS6" s="2714"/>
      <c r="CT6" s="2714"/>
      <c r="CU6" s="2714"/>
      <c r="CW6" s="2714"/>
      <c r="CX6" s="2714"/>
      <c r="CY6" s="2714"/>
      <c r="DA6" s="2714"/>
      <c r="DB6" s="2714"/>
      <c r="DC6" s="2714"/>
      <c r="DE6" s="2714"/>
      <c r="DF6" s="2714"/>
      <c r="DG6" s="2714"/>
      <c r="DI6" s="2714"/>
      <c r="DJ6" s="2714"/>
      <c r="DK6" s="2714"/>
      <c r="DM6" s="2714"/>
      <c r="DN6" s="2714"/>
      <c r="DO6" s="2714"/>
      <c r="DQ6" s="2714"/>
      <c r="DR6" s="2714"/>
      <c r="DS6" s="2714"/>
      <c r="DU6" s="2714"/>
      <c r="DV6" s="2714"/>
      <c r="DW6" s="2714"/>
      <c r="DY6" s="2714"/>
      <c r="DZ6" s="2714"/>
      <c r="EA6" s="2714"/>
      <c r="EC6" s="2714"/>
      <c r="ED6" s="2714"/>
      <c r="EE6" s="2714"/>
      <c r="EG6" s="2714"/>
      <c r="EH6" s="2714"/>
      <c r="EI6" s="2714"/>
      <c r="EK6" s="2714"/>
      <c r="EL6" s="2714"/>
      <c r="EM6" s="2714"/>
      <c r="EO6" s="2714"/>
      <c r="EP6" s="2714"/>
      <c r="EQ6" s="2714"/>
      <c r="ES6" s="2714"/>
      <c r="ET6" s="2714"/>
      <c r="EU6" s="2714"/>
      <c r="EW6" s="2714"/>
      <c r="EX6" s="2714"/>
      <c r="EY6" s="2714"/>
      <c r="FA6" s="2714"/>
      <c r="FB6" s="2714"/>
      <c r="FC6" s="2714"/>
      <c r="FE6" s="2714"/>
      <c r="FF6" s="2714"/>
      <c r="FG6" s="2714"/>
      <c r="FI6" s="2714"/>
      <c r="FJ6" s="2714"/>
      <c r="FK6" s="2714"/>
      <c r="FM6" s="2714"/>
      <c r="FN6" s="2714"/>
      <c r="FO6" s="2714"/>
      <c r="FQ6" s="2714"/>
      <c r="FR6" s="2714"/>
      <c r="FS6" s="2714"/>
      <c r="FU6" s="2714"/>
      <c r="FV6" s="2714"/>
      <c r="FW6" s="2714"/>
      <c r="FY6" s="2714"/>
      <c r="FZ6" s="2714"/>
      <c r="GA6" s="2714"/>
      <c r="GC6" s="2714"/>
      <c r="GD6" s="2714"/>
      <c r="GE6" s="2714"/>
      <c r="GG6" s="2714"/>
      <c r="GH6" s="2714"/>
      <c r="GI6" s="2714"/>
      <c r="GK6" s="2714"/>
      <c r="GL6" s="2714"/>
      <c r="GM6" s="2714"/>
      <c r="GO6" s="2714"/>
      <c r="GP6" s="2714"/>
      <c r="GQ6" s="2714"/>
      <c r="GS6" s="2714"/>
      <c r="GT6" s="2714"/>
      <c r="GU6" s="2714"/>
      <c r="GW6" s="2714"/>
      <c r="GX6" s="2714"/>
      <c r="GY6" s="2714"/>
      <c r="HA6" s="2714"/>
      <c r="HB6" s="2714"/>
      <c r="HC6" s="2714"/>
      <c r="HE6" s="2714"/>
      <c r="HF6" s="2714"/>
      <c r="HG6" s="2714"/>
      <c r="HI6" s="2714"/>
      <c r="HJ6" s="2714"/>
      <c r="HK6" s="2714"/>
      <c r="HM6" s="2714"/>
      <c r="HN6" s="2714"/>
      <c r="HO6" s="2714"/>
      <c r="HQ6" s="2714"/>
      <c r="HR6" s="2714"/>
      <c r="HS6" s="2714"/>
      <c r="HU6" s="2714"/>
      <c r="HV6" s="2714"/>
      <c r="HW6" s="2714"/>
      <c r="HY6" s="2714"/>
      <c r="HZ6" s="2714"/>
      <c r="IA6" s="2714"/>
      <c r="IC6" s="2714"/>
      <c r="ID6" s="2714"/>
      <c r="IE6" s="2714"/>
      <c r="IG6" s="2714"/>
      <c r="IH6" s="2714"/>
      <c r="II6" s="2714"/>
      <c r="IK6" s="2714"/>
      <c r="IL6" s="2714"/>
      <c r="IM6" s="2714"/>
      <c r="IO6" s="2714"/>
      <c r="IP6" s="2714"/>
      <c r="IQ6" s="2714"/>
      <c r="IS6" s="2714"/>
      <c r="IT6" s="2714"/>
      <c r="IU6" s="2714"/>
    </row>
    <row r="7" spans="1:255" s="2094" customFormat="1">
      <c r="C7" s="4094" t="str">
        <f>HLOOKUP(select,translations!$A$445:$H$490,2,)</f>
        <v>Soil</v>
      </c>
      <c r="D7" s="4094"/>
      <c r="P7" s="4095" t="str">
        <f>HLOOKUP(select,translations!$A$445:$H$490,3,)</f>
        <v>Soil classifications</v>
      </c>
      <c r="Q7" s="4095"/>
    </row>
    <row r="8" spans="1:255" s="2094" customFormat="1">
      <c r="C8" s="4094"/>
      <c r="D8" s="4094"/>
      <c r="P8" s="2095" t="str">
        <f>HLOOKUP(select,translations!$A$445:$H$490,4,)</f>
        <v>WRB-2006</v>
      </c>
      <c r="Q8" s="2095" t="str">
        <f>HLOOKUP(select,translations!$A$445:$H$490,5,)</f>
        <v>IPCC</v>
      </c>
    </row>
    <row r="9" spans="1:255" s="2094" customFormat="1"/>
    <row r="10" spans="1:255" s="2094" customFormat="1">
      <c r="P10" s="2095" t="s">
        <v>1052</v>
      </c>
      <c r="Q10" s="2095" t="s">
        <v>463</v>
      </c>
    </row>
    <row r="11" spans="1:255" s="2094" customFormat="1">
      <c r="P11" s="2095" t="s">
        <v>1053</v>
      </c>
      <c r="Q11" s="2095" t="s">
        <v>462</v>
      </c>
    </row>
    <row r="12" spans="1:255" s="2094" customFormat="1">
      <c r="P12" s="2095" t="s">
        <v>1054</v>
      </c>
      <c r="Q12" s="2095" t="s">
        <v>462</v>
      </c>
    </row>
    <row r="13" spans="1:255" s="2094" customFormat="1">
      <c r="P13" s="2095" t="s">
        <v>1055</v>
      </c>
      <c r="Q13" s="2095" t="s">
        <v>504</v>
      </c>
    </row>
    <row r="14" spans="1:255" s="2094" customFormat="1">
      <c r="P14" s="2095" t="s">
        <v>1056</v>
      </c>
      <c r="Q14" s="2095" t="s">
        <v>463</v>
      </c>
    </row>
    <row r="15" spans="1:255" s="2094" customFormat="1">
      <c r="P15" s="2095" t="s">
        <v>1057</v>
      </c>
      <c r="Q15" s="2095" t="s">
        <v>464</v>
      </c>
    </row>
    <row r="16" spans="1:255" s="2094" customFormat="1">
      <c r="P16" s="2095" t="s">
        <v>1058</v>
      </c>
      <c r="Q16" s="2095" t="s">
        <v>462</v>
      </c>
    </row>
    <row r="17" spans="1:17" s="2094" customFormat="1">
      <c r="P17" s="2095" t="s">
        <v>1059</v>
      </c>
      <c r="Q17" s="2095" t="s">
        <v>462</v>
      </c>
    </row>
    <row r="18" spans="1:17" s="2094" customFormat="1">
      <c r="P18" s="2095" t="s">
        <v>1060</v>
      </c>
      <c r="Q18" s="2095" t="s">
        <v>462</v>
      </c>
    </row>
    <row r="19" spans="1:17" s="2094" customFormat="1">
      <c r="P19" s="2095" t="s">
        <v>1061</v>
      </c>
      <c r="Q19" s="2095" t="s">
        <v>463</v>
      </c>
    </row>
    <row r="20" spans="1:17" s="2094" customFormat="1">
      <c r="P20" s="2095" t="s">
        <v>1062</v>
      </c>
      <c r="Q20" s="2095" t="s">
        <v>463</v>
      </c>
    </row>
    <row r="21" spans="1:17" s="2094" customFormat="1">
      <c r="P21" s="2095" t="s">
        <v>1063</v>
      </c>
      <c r="Q21" s="2095" t="s">
        <v>463</v>
      </c>
    </row>
    <row r="22" spans="1:17" s="2094" customFormat="1">
      <c r="P22" s="2095" t="s">
        <v>1064</v>
      </c>
      <c r="Q22" s="2095" t="s">
        <v>463</v>
      </c>
    </row>
    <row r="23" spans="1:17" s="2094" customFormat="1" ht="15.75">
      <c r="A23" s="2715" t="str">
        <f>'5. Management'!AC9</f>
        <v xml:space="preserve"> </v>
      </c>
      <c r="P23" s="2095" t="s">
        <v>1065</v>
      </c>
      <c r="Q23" s="2095" t="s">
        <v>505</v>
      </c>
    </row>
    <row r="24" spans="1:17" s="2094" customFormat="1">
      <c r="P24" s="2095" t="s">
        <v>1066</v>
      </c>
      <c r="Q24" s="2095" t="s">
        <v>462</v>
      </c>
    </row>
    <row r="25" spans="1:17" s="2094" customFormat="1" ht="14.25">
      <c r="B25" s="2716" t="str">
        <f>IF(Nlang=1,"",VLOOKUP('Name translation'!A23,'Name translation'!$A$2:$H$29,Nlang+1,))</f>
        <v/>
      </c>
      <c r="P25" s="2095" t="s">
        <v>1067</v>
      </c>
      <c r="Q25" s="2095" t="s">
        <v>503</v>
      </c>
    </row>
    <row r="26" spans="1:17" s="2094" customFormat="1">
      <c r="B26" s="2717"/>
      <c r="P26" s="2095" t="s">
        <v>1068</v>
      </c>
      <c r="Q26" s="2095" t="s">
        <v>462</v>
      </c>
    </row>
    <row r="27" spans="1:17" s="2094" customFormat="1" ht="14.25">
      <c r="B27" s="2716" t="str">
        <f>IF(Nlang=1,"",VLOOKUP('Name translation'!A24,'Name translation'!$A$2:$H$29,Nlang+1,))</f>
        <v/>
      </c>
      <c r="P27" s="2095" t="s">
        <v>1069</v>
      </c>
      <c r="Q27" s="2095" t="s">
        <v>462</v>
      </c>
    </row>
    <row r="28" spans="1:17" s="2094" customFormat="1">
      <c r="B28" s="2717"/>
      <c r="P28" s="2095" t="s">
        <v>1070</v>
      </c>
      <c r="Q28" s="2095" t="s">
        <v>463</v>
      </c>
    </row>
    <row r="29" spans="1:17" s="2094" customFormat="1" ht="14.25">
      <c r="B29" s="2716" t="str">
        <f>IF(Nlang=1,"",VLOOKUP('Name translation'!A25,'Name translation'!$A$2:$H$29,Nlang+1,))</f>
        <v/>
      </c>
      <c r="P29" s="2095" t="s">
        <v>1071</v>
      </c>
      <c r="Q29" s="2095" t="s">
        <v>462</v>
      </c>
    </row>
    <row r="30" spans="1:17" s="2094" customFormat="1">
      <c r="B30" s="2717"/>
      <c r="P30" s="2095" t="s">
        <v>1072</v>
      </c>
      <c r="Q30" s="2095" t="s">
        <v>463</v>
      </c>
    </row>
    <row r="31" spans="1:17" s="2094" customFormat="1" ht="14.25">
      <c r="B31" s="2716" t="str">
        <f>IF(Nlang=1,"",VLOOKUP('Name translation'!A26,'Name translation'!$A$2:$H$29,Nlang+1,))</f>
        <v/>
      </c>
      <c r="P31" s="2095" t="s">
        <v>1073</v>
      </c>
      <c r="Q31" s="2095" t="s">
        <v>462</v>
      </c>
    </row>
    <row r="32" spans="1:17" s="2094" customFormat="1">
      <c r="B32" s="2717"/>
      <c r="P32" s="2095" t="s">
        <v>1074</v>
      </c>
      <c r="Q32" s="2095" t="s">
        <v>463</v>
      </c>
    </row>
    <row r="33" spans="1:255" s="2094" customFormat="1" ht="14.25">
      <c r="B33" s="2716" t="str">
        <f>IF(Nlang=1,"",VLOOKUP('Name translation'!A27,'Name translation'!$A$2:$H$29,Nlang+1,))</f>
        <v/>
      </c>
      <c r="P33" s="2095" t="s">
        <v>1075</v>
      </c>
      <c r="Q33" s="2095" t="s">
        <v>463</v>
      </c>
    </row>
    <row r="34" spans="1:255" s="2094" customFormat="1">
      <c r="B34" s="2717"/>
      <c r="P34" s="2095" t="s">
        <v>1076</v>
      </c>
      <c r="Q34" s="2095" t="s">
        <v>465</v>
      </c>
    </row>
    <row r="35" spans="1:255" s="2094" customFormat="1" ht="14.25">
      <c r="B35" s="2716" t="str">
        <f>IF(Nlang=1,"",VLOOKUP('Name translation'!A28,'Name translation'!$A$2:$H$29,Nlang+1,))</f>
        <v/>
      </c>
      <c r="P35" s="2095" t="s">
        <v>1077</v>
      </c>
      <c r="Q35" s="2095" t="s">
        <v>462</v>
      </c>
    </row>
    <row r="36" spans="1:255" s="2094" customFormat="1" ht="15.75">
      <c r="A36" s="2096"/>
      <c r="B36" s="2717"/>
      <c r="G36" s="2097"/>
      <c r="P36" s="2095" t="s">
        <v>1078</v>
      </c>
      <c r="Q36" s="2095" t="s">
        <v>463</v>
      </c>
    </row>
    <row r="37" spans="1:255" s="2094" customFormat="1" ht="14.25">
      <c r="B37" s="2716" t="str">
        <f>IF(Nlang=1,"",VLOOKUP('Name translation'!A165,'Name translation'!$A$2:$H$448,Nlang+1,))</f>
        <v/>
      </c>
      <c r="P37" s="2095" t="s">
        <v>1079</v>
      </c>
      <c r="Q37" s="2095" t="s">
        <v>462</v>
      </c>
    </row>
    <row r="38" spans="1:255" s="2094" customFormat="1">
      <c r="B38" s="2717"/>
      <c r="P38" s="2095" t="s">
        <v>1080</v>
      </c>
      <c r="Q38" s="2095" t="s">
        <v>463</v>
      </c>
    </row>
    <row r="39" spans="1:255" s="2094" customFormat="1" ht="14.25">
      <c r="B39" s="2716" t="str">
        <f>IF(Nlang=1,"",VLOOKUP('Name translation'!A164,'Name translation'!$A$2:$H$447,Nlang+1,))</f>
        <v/>
      </c>
      <c r="P39" s="2095" t="s">
        <v>1081</v>
      </c>
      <c r="Q39" s="2095" t="s">
        <v>463</v>
      </c>
    </row>
    <row r="40" spans="1:255" s="2094" customFormat="1">
      <c r="P40" s="2095" t="s">
        <v>1082</v>
      </c>
      <c r="Q40" s="2095" t="s">
        <v>462</v>
      </c>
    </row>
    <row r="41" spans="1:255" s="2094" customFormat="1">
      <c r="P41" s="2095" t="s">
        <v>1083</v>
      </c>
      <c r="Q41" s="2095" t="s">
        <v>462</v>
      </c>
    </row>
    <row r="42" spans="1:255" s="2094" customFormat="1"/>
    <row r="43" spans="1:255" s="1644" customFormat="1" ht="12.6" customHeight="1">
      <c r="A43" s="1699"/>
      <c r="B43" s="1699"/>
      <c r="C43" s="1699"/>
      <c r="E43" s="2078"/>
      <c r="F43" s="2078"/>
      <c r="G43" s="2078"/>
      <c r="I43" s="2078"/>
      <c r="J43" s="2078"/>
      <c r="K43" s="2078"/>
      <c r="M43" s="2078"/>
      <c r="N43" s="2078"/>
      <c r="O43" s="2078"/>
      <c r="Q43" s="2078"/>
      <c r="R43" s="2078"/>
      <c r="S43" s="2078"/>
      <c r="U43" s="2078"/>
      <c r="V43" s="2078"/>
      <c r="W43" s="2078"/>
      <c r="Y43" s="2078"/>
      <c r="Z43" s="2078"/>
      <c r="AA43" s="2078"/>
      <c r="AC43" s="2078"/>
      <c r="AD43" s="2078"/>
      <c r="AE43" s="2078"/>
      <c r="AG43" s="2078"/>
      <c r="AH43" s="2078"/>
      <c r="AI43" s="2078"/>
      <c r="AK43" s="2078"/>
      <c r="AL43" s="2078"/>
      <c r="AM43" s="2078"/>
      <c r="AO43" s="2078"/>
      <c r="AP43" s="2078"/>
      <c r="AQ43" s="2078"/>
      <c r="AS43" s="2078"/>
      <c r="AT43" s="2078"/>
      <c r="AU43" s="2078"/>
      <c r="AW43" s="2078"/>
      <c r="AX43" s="2078"/>
      <c r="AY43" s="2078"/>
      <c r="BA43" s="2078"/>
      <c r="BB43" s="2078"/>
      <c r="BC43" s="2078"/>
      <c r="BE43" s="2078"/>
      <c r="BF43" s="2078"/>
      <c r="BG43" s="2078"/>
      <c r="BI43" s="2078"/>
      <c r="BJ43" s="2078"/>
      <c r="BK43" s="2078"/>
      <c r="BM43" s="2078"/>
      <c r="BN43" s="2078"/>
      <c r="BO43" s="2078"/>
      <c r="BQ43" s="2078"/>
      <c r="BR43" s="2078"/>
      <c r="BS43" s="2078"/>
      <c r="BU43" s="2078"/>
      <c r="BV43" s="2078"/>
      <c r="BW43" s="2078"/>
      <c r="BY43" s="2078"/>
      <c r="BZ43" s="2078"/>
      <c r="CA43" s="2078"/>
      <c r="CC43" s="2078"/>
      <c r="CD43" s="2078"/>
      <c r="CE43" s="2078"/>
      <c r="CG43" s="2078"/>
      <c r="CH43" s="2078"/>
      <c r="CI43" s="2078"/>
      <c r="CK43" s="2078"/>
      <c r="CL43" s="2078"/>
      <c r="CM43" s="2078"/>
      <c r="CO43" s="2078"/>
      <c r="CP43" s="2078"/>
      <c r="CQ43" s="2078"/>
      <c r="CS43" s="2078"/>
      <c r="CT43" s="2078"/>
      <c r="CU43" s="2078"/>
      <c r="CW43" s="2078"/>
      <c r="CX43" s="2078"/>
      <c r="CY43" s="2078"/>
      <c r="DA43" s="2078"/>
      <c r="DB43" s="2078"/>
      <c r="DC43" s="2078"/>
      <c r="DE43" s="2078"/>
      <c r="DF43" s="2078"/>
      <c r="DG43" s="2078"/>
      <c r="DI43" s="2078"/>
      <c r="DJ43" s="2078"/>
      <c r="DK43" s="2078"/>
      <c r="DM43" s="2078"/>
      <c r="DN43" s="2078"/>
      <c r="DO43" s="2078"/>
      <c r="DQ43" s="2078"/>
      <c r="DR43" s="2078"/>
      <c r="DS43" s="2078"/>
      <c r="DU43" s="2078"/>
      <c r="DV43" s="2078"/>
      <c r="DW43" s="2078"/>
      <c r="DY43" s="2078"/>
      <c r="DZ43" s="2078"/>
      <c r="EA43" s="2078"/>
      <c r="EC43" s="2078"/>
      <c r="ED43" s="2078"/>
      <c r="EE43" s="2078"/>
      <c r="EG43" s="2078"/>
      <c r="EH43" s="2078"/>
      <c r="EI43" s="2078"/>
      <c r="EK43" s="2078"/>
      <c r="EL43" s="2078"/>
      <c r="EM43" s="2078"/>
      <c r="EO43" s="2078"/>
      <c r="EP43" s="2078"/>
      <c r="EQ43" s="2078"/>
      <c r="ES43" s="2078"/>
      <c r="ET43" s="2078"/>
      <c r="EU43" s="2078"/>
      <c r="EW43" s="2078"/>
      <c r="EX43" s="2078"/>
      <c r="EY43" s="2078"/>
      <c r="FA43" s="2078"/>
      <c r="FB43" s="2078"/>
      <c r="FC43" s="2078"/>
      <c r="FE43" s="2078"/>
      <c r="FF43" s="2078"/>
      <c r="FG43" s="2078"/>
      <c r="FI43" s="2078"/>
      <c r="FJ43" s="2078"/>
      <c r="FK43" s="2078"/>
      <c r="FM43" s="2078"/>
      <c r="FN43" s="2078"/>
      <c r="FO43" s="2078"/>
      <c r="FQ43" s="2078"/>
      <c r="FR43" s="2078"/>
      <c r="FS43" s="2078"/>
      <c r="FU43" s="2078"/>
      <c r="FV43" s="2078"/>
      <c r="FW43" s="2078"/>
      <c r="FY43" s="2078"/>
      <c r="FZ43" s="2078"/>
      <c r="GA43" s="2078"/>
      <c r="GC43" s="2078"/>
      <c r="GD43" s="2078"/>
      <c r="GE43" s="2078"/>
      <c r="GG43" s="2078"/>
      <c r="GH43" s="2078"/>
      <c r="GI43" s="2078"/>
      <c r="GK43" s="2078"/>
      <c r="GL43" s="2078"/>
      <c r="GM43" s="2078"/>
      <c r="GO43" s="2078"/>
      <c r="GP43" s="2078"/>
      <c r="GQ43" s="2078"/>
      <c r="GS43" s="2078"/>
      <c r="GT43" s="2078"/>
      <c r="GU43" s="2078"/>
      <c r="GW43" s="2078"/>
      <c r="GX43" s="2078"/>
      <c r="GY43" s="2078"/>
      <c r="HA43" s="2078"/>
      <c r="HB43" s="2078"/>
      <c r="HC43" s="2078"/>
      <c r="HE43" s="2078"/>
      <c r="HF43" s="2078"/>
      <c r="HG43" s="2078"/>
      <c r="HI43" s="2078"/>
      <c r="HJ43" s="2078"/>
      <c r="HK43" s="2078"/>
      <c r="HM43" s="2078"/>
      <c r="HN43" s="2078"/>
      <c r="HO43" s="2078"/>
      <c r="HQ43" s="2078"/>
      <c r="HR43" s="2078"/>
      <c r="HS43" s="2078"/>
      <c r="HU43" s="2078"/>
      <c r="HV43" s="2078"/>
      <c r="HW43" s="2078"/>
      <c r="HY43" s="2078"/>
      <c r="HZ43" s="2078"/>
      <c r="IA43" s="2078"/>
      <c r="IC43" s="2078"/>
      <c r="ID43" s="2078"/>
      <c r="IE43" s="2078"/>
      <c r="IG43" s="2078"/>
      <c r="IH43" s="2078"/>
      <c r="II43" s="2078"/>
      <c r="IK43" s="2078"/>
      <c r="IL43" s="2078"/>
      <c r="IM43" s="2078"/>
      <c r="IO43" s="2078"/>
      <c r="IP43" s="2078"/>
      <c r="IQ43" s="2078"/>
      <c r="IS43" s="2078"/>
      <c r="IT43" s="2078"/>
      <c r="IU43" s="2078"/>
    </row>
    <row r="44" spans="1:255" s="1644" customFormat="1" ht="12.6" customHeight="1">
      <c r="A44" s="1699"/>
      <c r="B44" s="1699"/>
      <c r="C44" s="4094" t="str">
        <f>HLOOKUP(select,translations!$A$445:$H$490,6,)</f>
        <v>Climate</v>
      </c>
      <c r="D44" s="4094"/>
      <c r="E44" s="2078"/>
      <c r="F44" s="2078"/>
      <c r="G44" s="2078"/>
      <c r="I44" s="2078"/>
      <c r="J44" s="2078"/>
      <c r="K44" s="2078"/>
      <c r="M44" s="2078"/>
      <c r="N44" s="2078"/>
      <c r="O44" s="2078"/>
      <c r="Q44" s="2078"/>
      <c r="R44" s="2078"/>
      <c r="S44" s="2078"/>
      <c r="U44" s="2078"/>
      <c r="V44" s="2078"/>
      <c r="W44" s="2078"/>
      <c r="Y44" s="2078"/>
      <c r="Z44" s="2078"/>
      <c r="AA44" s="2078"/>
      <c r="AC44" s="2078"/>
      <c r="AD44" s="2078"/>
      <c r="AE44" s="2078"/>
      <c r="AG44" s="2078"/>
      <c r="AH44" s="2078"/>
      <c r="AI44" s="2078"/>
      <c r="AK44" s="2078"/>
      <c r="AL44" s="2078"/>
      <c r="AM44" s="2078"/>
      <c r="AO44" s="2078"/>
      <c r="AP44" s="2078"/>
      <c r="AQ44" s="2078"/>
      <c r="AS44" s="2078"/>
      <c r="AT44" s="2078"/>
      <c r="AU44" s="2078"/>
      <c r="AW44" s="2078"/>
      <c r="AX44" s="2078"/>
      <c r="AY44" s="2078"/>
      <c r="BA44" s="2078"/>
      <c r="BB44" s="2078"/>
      <c r="BC44" s="2078"/>
      <c r="BE44" s="2078"/>
      <c r="BF44" s="2078"/>
      <c r="BG44" s="2078"/>
      <c r="BI44" s="2078"/>
      <c r="BJ44" s="2078"/>
      <c r="BK44" s="2078"/>
      <c r="BM44" s="2078"/>
      <c r="BN44" s="2078"/>
      <c r="BO44" s="2078"/>
      <c r="BQ44" s="2078"/>
      <c r="BR44" s="2078"/>
      <c r="BS44" s="2078"/>
      <c r="BU44" s="2078"/>
      <c r="BV44" s="2078"/>
      <c r="BW44" s="2078"/>
      <c r="BY44" s="2078"/>
      <c r="BZ44" s="2078"/>
      <c r="CA44" s="2078"/>
      <c r="CC44" s="2078"/>
      <c r="CD44" s="2078"/>
      <c r="CE44" s="2078"/>
      <c r="CG44" s="2078"/>
      <c r="CH44" s="2078"/>
      <c r="CI44" s="2078"/>
      <c r="CK44" s="2078"/>
      <c r="CL44" s="2078"/>
      <c r="CM44" s="2078"/>
      <c r="CO44" s="2078"/>
      <c r="CP44" s="2078"/>
      <c r="CQ44" s="2078"/>
      <c r="CS44" s="2078"/>
      <c r="CT44" s="2078"/>
      <c r="CU44" s="2078"/>
      <c r="CW44" s="2078"/>
      <c r="CX44" s="2078"/>
      <c r="CY44" s="2078"/>
      <c r="DA44" s="2078"/>
      <c r="DB44" s="2078"/>
      <c r="DC44" s="2078"/>
      <c r="DE44" s="2078"/>
      <c r="DF44" s="2078"/>
      <c r="DG44" s="2078"/>
      <c r="DI44" s="2078"/>
      <c r="DJ44" s="2078"/>
      <c r="DK44" s="2078"/>
      <c r="DM44" s="2078"/>
      <c r="DN44" s="2078"/>
      <c r="DO44" s="2078"/>
      <c r="DQ44" s="2078"/>
      <c r="DR44" s="2078"/>
      <c r="DS44" s="2078"/>
      <c r="DU44" s="2078"/>
      <c r="DV44" s="2078"/>
      <c r="DW44" s="2078"/>
      <c r="DY44" s="2078"/>
      <c r="DZ44" s="2078"/>
      <c r="EA44" s="2078"/>
      <c r="EC44" s="2078"/>
      <c r="ED44" s="2078"/>
      <c r="EE44" s="2078"/>
      <c r="EG44" s="2078"/>
      <c r="EH44" s="2078"/>
      <c r="EI44" s="2078"/>
      <c r="EK44" s="2078"/>
      <c r="EL44" s="2078"/>
      <c r="EM44" s="2078"/>
      <c r="EO44" s="2078"/>
      <c r="EP44" s="2078"/>
      <c r="EQ44" s="2078"/>
      <c r="ES44" s="2078"/>
      <c r="ET44" s="2078"/>
      <c r="EU44" s="2078"/>
      <c r="EW44" s="2078"/>
      <c r="EX44" s="2078"/>
      <c r="EY44" s="2078"/>
      <c r="FA44" s="2078"/>
      <c r="FB44" s="2078"/>
      <c r="FC44" s="2078"/>
      <c r="FE44" s="2078"/>
      <c r="FF44" s="2078"/>
      <c r="FG44" s="2078"/>
      <c r="FI44" s="2078"/>
      <c r="FJ44" s="2078"/>
      <c r="FK44" s="2078"/>
      <c r="FM44" s="2078"/>
      <c r="FN44" s="2078"/>
      <c r="FO44" s="2078"/>
      <c r="FQ44" s="2078"/>
      <c r="FR44" s="2078"/>
      <c r="FS44" s="2078"/>
      <c r="FU44" s="2078"/>
      <c r="FV44" s="2078"/>
      <c r="FW44" s="2078"/>
      <c r="FY44" s="2078"/>
      <c r="FZ44" s="2078"/>
      <c r="GA44" s="2078"/>
      <c r="GC44" s="2078"/>
      <c r="GD44" s="2078"/>
      <c r="GE44" s="2078"/>
      <c r="GG44" s="2078"/>
      <c r="GH44" s="2078"/>
      <c r="GI44" s="2078"/>
      <c r="GK44" s="2078"/>
      <c r="GL44" s="2078"/>
      <c r="GM44" s="2078"/>
      <c r="GO44" s="2078"/>
      <c r="GP44" s="2078"/>
      <c r="GQ44" s="2078"/>
      <c r="GS44" s="2078"/>
      <c r="GT44" s="2078"/>
      <c r="GU44" s="2078"/>
      <c r="GW44" s="2078"/>
      <c r="GX44" s="2078"/>
      <c r="GY44" s="2078"/>
      <c r="HA44" s="2078"/>
      <c r="HB44" s="2078"/>
      <c r="HC44" s="2078"/>
      <c r="HE44" s="2078"/>
      <c r="HF44" s="2078"/>
      <c r="HG44" s="2078"/>
      <c r="HI44" s="2078"/>
      <c r="HJ44" s="2078"/>
      <c r="HK44" s="2078"/>
      <c r="HM44" s="2078"/>
      <c r="HN44" s="2078"/>
      <c r="HO44" s="2078"/>
      <c r="HQ44" s="2078"/>
      <c r="HR44" s="2078"/>
      <c r="HS44" s="2078"/>
      <c r="HU44" s="2078"/>
      <c r="HV44" s="2078"/>
      <c r="HW44" s="2078"/>
      <c r="HY44" s="2078"/>
      <c r="HZ44" s="2078"/>
      <c r="IA44" s="2078"/>
      <c r="IC44" s="2078"/>
      <c r="ID44" s="2078"/>
      <c r="IE44" s="2078"/>
      <c r="IG44" s="2078"/>
      <c r="IH44" s="2078"/>
      <c r="II44" s="2078"/>
      <c r="IK44" s="2078"/>
      <c r="IL44" s="2078"/>
      <c r="IM44" s="2078"/>
      <c r="IO44" s="2078"/>
      <c r="IP44" s="2078"/>
      <c r="IQ44" s="2078"/>
      <c r="IS44" s="2078"/>
      <c r="IT44" s="2078"/>
      <c r="IU44" s="2078"/>
    </row>
    <row r="45" spans="1:255" s="1644" customFormat="1" ht="12.6" customHeight="1">
      <c r="A45" s="1699"/>
      <c r="B45" s="1699"/>
      <c r="C45" s="4094"/>
      <c r="D45" s="4094"/>
      <c r="E45" s="2078"/>
      <c r="F45" s="2078"/>
      <c r="G45" s="2078"/>
      <c r="I45" s="2078"/>
      <c r="J45" s="2078"/>
      <c r="K45" s="2078"/>
      <c r="M45" s="2078"/>
      <c r="N45" s="2078"/>
      <c r="O45" s="2078"/>
      <c r="Q45" s="2078"/>
      <c r="R45" s="2078"/>
      <c r="S45" s="2078"/>
      <c r="U45" s="2078"/>
      <c r="V45" s="2078"/>
      <c r="W45" s="2078"/>
      <c r="Y45" s="2078"/>
      <c r="Z45" s="2078"/>
      <c r="AA45" s="2078"/>
      <c r="AC45" s="2078"/>
      <c r="AD45" s="2078"/>
      <c r="AE45" s="2078"/>
      <c r="AG45" s="2078"/>
      <c r="AH45" s="2078"/>
      <c r="AI45" s="2078"/>
      <c r="AK45" s="2078"/>
      <c r="AL45" s="2078"/>
      <c r="AM45" s="2078"/>
      <c r="AO45" s="2078"/>
      <c r="AP45" s="2078"/>
      <c r="AQ45" s="2078"/>
      <c r="AS45" s="2078"/>
      <c r="AT45" s="2078"/>
      <c r="AU45" s="2078"/>
      <c r="AW45" s="2078"/>
      <c r="AX45" s="2078"/>
      <c r="AY45" s="2078"/>
      <c r="BA45" s="2078"/>
      <c r="BB45" s="2078"/>
      <c r="BC45" s="2078"/>
      <c r="BE45" s="2078"/>
      <c r="BF45" s="2078"/>
      <c r="BG45" s="2078"/>
      <c r="BI45" s="2078"/>
      <c r="BJ45" s="2078"/>
      <c r="BK45" s="2078"/>
      <c r="BM45" s="2078"/>
      <c r="BN45" s="2078"/>
      <c r="BO45" s="2078"/>
      <c r="BQ45" s="2078"/>
      <c r="BR45" s="2078"/>
      <c r="BS45" s="2078"/>
      <c r="BU45" s="2078"/>
      <c r="BV45" s="2078"/>
      <c r="BW45" s="2078"/>
      <c r="BY45" s="2078"/>
      <c r="BZ45" s="2078"/>
      <c r="CA45" s="2078"/>
      <c r="CC45" s="2078"/>
      <c r="CD45" s="2078"/>
      <c r="CE45" s="2078"/>
      <c r="CG45" s="2078"/>
      <c r="CH45" s="2078"/>
      <c r="CI45" s="2078"/>
      <c r="CK45" s="2078"/>
      <c r="CL45" s="2078"/>
      <c r="CM45" s="2078"/>
      <c r="CO45" s="2078"/>
      <c r="CP45" s="2078"/>
      <c r="CQ45" s="2078"/>
      <c r="CS45" s="2078"/>
      <c r="CT45" s="2078"/>
      <c r="CU45" s="2078"/>
      <c r="CW45" s="2078"/>
      <c r="CX45" s="2078"/>
      <c r="CY45" s="2078"/>
      <c r="DA45" s="2078"/>
      <c r="DB45" s="2078"/>
      <c r="DC45" s="2078"/>
      <c r="DE45" s="2078"/>
      <c r="DF45" s="2078"/>
      <c r="DG45" s="2078"/>
      <c r="DI45" s="2078"/>
      <c r="DJ45" s="2078"/>
      <c r="DK45" s="2078"/>
      <c r="DM45" s="2078"/>
      <c r="DN45" s="2078"/>
      <c r="DO45" s="2078"/>
      <c r="DQ45" s="2078"/>
      <c r="DR45" s="2078"/>
      <c r="DS45" s="2078"/>
      <c r="DU45" s="2078"/>
      <c r="DV45" s="2078"/>
      <c r="DW45" s="2078"/>
      <c r="DY45" s="2078"/>
      <c r="DZ45" s="2078"/>
      <c r="EA45" s="2078"/>
      <c r="EC45" s="2078"/>
      <c r="ED45" s="2078"/>
      <c r="EE45" s="2078"/>
      <c r="EG45" s="2078"/>
      <c r="EH45" s="2078"/>
      <c r="EI45" s="2078"/>
      <c r="EK45" s="2078"/>
      <c r="EL45" s="2078"/>
      <c r="EM45" s="2078"/>
      <c r="EO45" s="2078"/>
      <c r="EP45" s="2078"/>
      <c r="EQ45" s="2078"/>
      <c r="ES45" s="2078"/>
      <c r="ET45" s="2078"/>
      <c r="EU45" s="2078"/>
      <c r="EW45" s="2078"/>
      <c r="EX45" s="2078"/>
      <c r="EY45" s="2078"/>
      <c r="FA45" s="2078"/>
      <c r="FB45" s="2078"/>
      <c r="FC45" s="2078"/>
      <c r="FE45" s="2078"/>
      <c r="FF45" s="2078"/>
      <c r="FG45" s="2078"/>
      <c r="FI45" s="2078"/>
      <c r="FJ45" s="2078"/>
      <c r="FK45" s="2078"/>
      <c r="FM45" s="2078"/>
      <c r="FN45" s="2078"/>
      <c r="FO45" s="2078"/>
      <c r="FQ45" s="2078"/>
      <c r="FR45" s="2078"/>
      <c r="FS45" s="2078"/>
      <c r="FU45" s="2078"/>
      <c r="FV45" s="2078"/>
      <c r="FW45" s="2078"/>
      <c r="FY45" s="2078"/>
      <c r="FZ45" s="2078"/>
      <c r="GA45" s="2078"/>
      <c r="GC45" s="2078"/>
      <c r="GD45" s="2078"/>
      <c r="GE45" s="2078"/>
      <c r="GG45" s="2078"/>
      <c r="GH45" s="2078"/>
      <c r="GI45" s="2078"/>
      <c r="GK45" s="2078"/>
      <c r="GL45" s="2078"/>
      <c r="GM45" s="2078"/>
      <c r="GO45" s="2078"/>
      <c r="GP45" s="2078"/>
      <c r="GQ45" s="2078"/>
      <c r="GS45" s="2078"/>
      <c r="GT45" s="2078"/>
      <c r="GU45" s="2078"/>
      <c r="GW45" s="2078"/>
      <c r="GX45" s="2078"/>
      <c r="GY45" s="2078"/>
      <c r="HA45" s="2078"/>
      <c r="HB45" s="2078"/>
      <c r="HC45" s="2078"/>
      <c r="HE45" s="2078"/>
      <c r="HF45" s="2078"/>
      <c r="HG45" s="2078"/>
      <c r="HI45" s="2078"/>
      <c r="HJ45" s="2078"/>
      <c r="HK45" s="2078"/>
      <c r="HM45" s="2078"/>
      <c r="HN45" s="2078"/>
      <c r="HO45" s="2078"/>
      <c r="HQ45" s="2078"/>
      <c r="HR45" s="2078"/>
      <c r="HS45" s="2078"/>
      <c r="HU45" s="2078"/>
      <c r="HV45" s="2078"/>
      <c r="HW45" s="2078"/>
      <c r="HY45" s="2078"/>
      <c r="HZ45" s="2078"/>
      <c r="IA45" s="2078"/>
      <c r="IC45" s="2078"/>
      <c r="ID45" s="2078"/>
      <c r="IE45" s="2078"/>
      <c r="IG45" s="2078"/>
      <c r="IH45" s="2078"/>
      <c r="II45" s="2078"/>
      <c r="IK45" s="2078"/>
      <c r="IL45" s="2078"/>
      <c r="IM45" s="2078"/>
      <c r="IO45" s="2078"/>
      <c r="IP45" s="2078"/>
      <c r="IQ45" s="2078"/>
      <c r="IS45" s="2078"/>
      <c r="IT45" s="2078"/>
      <c r="IU45" s="2078"/>
    </row>
    <row r="46" spans="1:255" s="2094" customFormat="1" ht="12.75" customHeight="1">
      <c r="Q46" s="1724"/>
    </row>
    <row r="47" spans="1:255" s="2094" customFormat="1" ht="12.75" customHeight="1">
      <c r="B47" s="1730" t="s">
        <v>281</v>
      </c>
      <c r="C47" s="1730"/>
      <c r="D47" s="1724"/>
      <c r="E47" s="1725" t="s">
        <v>81</v>
      </c>
      <c r="F47" s="1725"/>
      <c r="G47" s="1725"/>
      <c r="L47" s="2098" t="str">
        <f>HLOOKUP(select,translations!$A$445:$H$490,7,)</f>
        <v>Climate Helper : Help  to determine the Climate category with MAT and MAP</v>
      </c>
      <c r="M47" s="2099"/>
      <c r="N47" s="2099"/>
      <c r="O47" s="2099"/>
      <c r="P47" s="2099"/>
      <c r="Q47" s="2100"/>
    </row>
    <row r="48" spans="1:255" s="2094" customFormat="1" ht="12.75" customHeight="1">
      <c r="B48" s="1730" t="s">
        <v>282</v>
      </c>
      <c r="C48" s="1730" t="s">
        <v>283</v>
      </c>
      <c r="D48" s="1724"/>
      <c r="E48" s="1725"/>
      <c r="F48" s="1725" t="s">
        <v>83</v>
      </c>
      <c r="G48" s="1725" t="s">
        <v>84</v>
      </c>
      <c r="L48" s="2101"/>
      <c r="M48" s="2101"/>
      <c r="N48" s="2101"/>
      <c r="O48" s="2101"/>
      <c r="P48" s="2101"/>
      <c r="Q48" s="2101"/>
      <c r="U48" s="1755"/>
    </row>
    <row r="49" spans="2:21" s="2094" customFormat="1" ht="12.75" customHeight="1">
      <c r="B49" s="1724" t="str">
        <f>HLOOKUP(select,'Name translation'!$A$1:$H$29,14,)</f>
        <v>Please select</v>
      </c>
      <c r="C49" s="1724" t="str">
        <f>B49</f>
        <v>Please select</v>
      </c>
      <c r="D49" s="1724"/>
      <c r="E49" s="1725">
        <v>0</v>
      </c>
      <c r="F49" s="1725">
        <v>-45</v>
      </c>
      <c r="G49" s="1725">
        <v>45</v>
      </c>
      <c r="L49" s="2102" t="str">
        <f>HLOOKUP(select,translations!$A$445:$H$490,8,)</f>
        <v>MAT</v>
      </c>
      <c r="M49" s="2027">
        <v>22</v>
      </c>
      <c r="N49" s="2917" t="str">
        <f>IF(M49&gt;18,B53,IF(M49&gt;10,B52,IF(M49&gt;0,B51,B50)))</f>
        <v>Tropical</v>
      </c>
      <c r="O49" s="2917"/>
      <c r="P49" s="2917" t="str">
        <f>IF(N49=B53,IF(M51&gt;2000,C52,IF(M51&gt;1000,C51,C50)),"")</f>
        <v>Moist</v>
      </c>
      <c r="Q49" s="2101"/>
      <c r="U49" s="1755"/>
    </row>
    <row r="50" spans="2:21" s="2094" customFormat="1" ht="12.75" customHeight="1">
      <c r="B50" s="1724" t="str">
        <f>HLOOKUP(select,'Name translation'!$A$1:$H$29,15,)</f>
        <v>Boreal</v>
      </c>
      <c r="C50" s="1724" t="str">
        <f>HLOOKUP(select,'Name translation'!$A$1:$H$29,20,)</f>
        <v>Dry</v>
      </c>
      <c r="D50" s="1724"/>
      <c r="E50" s="1725">
        <v>0</v>
      </c>
      <c r="F50" s="1725">
        <v>-45</v>
      </c>
      <c r="G50" s="1725">
        <v>-0.01</v>
      </c>
      <c r="L50" s="2719" t="str">
        <f>HLOOKUP(select,translations!$A$445:$H$490,10,)</f>
        <v>Mean Annual temperature in °C</v>
      </c>
      <c r="M50" s="2101"/>
      <c r="N50" s="2101"/>
      <c r="O50" s="2916" t="str">
        <f>IF(N49&lt;&gt;B53,HLOOKUP(select,translations!$A$445:$H$490,12,),"")</f>
        <v/>
      </c>
      <c r="P50" s="2101"/>
      <c r="Q50" s="2101"/>
      <c r="U50" s="1755"/>
    </row>
    <row r="51" spans="2:21" s="2094" customFormat="1" ht="12.75" customHeight="1">
      <c r="B51" s="1724" t="str">
        <f>HLOOKUP(select,'Name translation'!$A$1:$H$29,16,)</f>
        <v>Cool Temperate</v>
      </c>
      <c r="C51" s="1724" t="str">
        <f>HLOOKUP(select,'Name translation'!$A$1:$H$29,21,)</f>
        <v>Moist</v>
      </c>
      <c r="D51" s="1724"/>
      <c r="E51" s="1725">
        <v>5</v>
      </c>
      <c r="F51" s="1725">
        <v>0</v>
      </c>
      <c r="G51" s="1725">
        <v>9.99</v>
      </c>
      <c r="L51" s="2102" t="str">
        <f>HLOOKUP(select,translations!$A$445:$H$490,9,)</f>
        <v>MAP</v>
      </c>
      <c r="M51" s="2027">
        <v>1500</v>
      </c>
      <c r="N51" s="2915" t="str">
        <f>IF(M49&gt;18,"or Tropical Montane if elevation &gt;1000m","")</f>
        <v>or Tropical Montane if elevation &gt;1000m</v>
      </c>
      <c r="O51" s="2101"/>
      <c r="P51" s="2101"/>
      <c r="Q51" s="2101"/>
      <c r="U51" s="1755"/>
    </row>
    <row r="52" spans="2:21" s="2094" customFormat="1" ht="12.75" customHeight="1">
      <c r="B52" s="1724" t="str">
        <f>HLOOKUP(select,'Name translation'!$A$1:$H$29,17,)</f>
        <v>Warm Temperate</v>
      </c>
      <c r="C52" s="1724" t="str">
        <f>HLOOKUP(select,'Name translation'!$A$1:$H$29,22,)</f>
        <v>Wet</v>
      </c>
      <c r="D52" s="1724"/>
      <c r="E52" s="1725">
        <v>15</v>
      </c>
      <c r="F52" s="1725">
        <v>10</v>
      </c>
      <c r="G52" s="1725">
        <v>17.989999999999998</v>
      </c>
      <c r="L52" s="2719" t="str">
        <f>HLOOKUP(select,translations!$A$445:$H$490,11,)</f>
        <v>Mean Annual Precipitation in mm</v>
      </c>
      <c r="M52" s="2101"/>
      <c r="N52" s="2101"/>
      <c r="O52" s="2103" t="str">
        <f>IF(N49&lt;&gt;B53,HLOOKUP(select,translations!$A$445:$H$490,13,),"")</f>
        <v/>
      </c>
      <c r="P52" s="2101"/>
      <c r="Q52" s="2101"/>
      <c r="U52" s="1755"/>
    </row>
    <row r="53" spans="2:21" s="2094" customFormat="1" ht="12.75" customHeight="1">
      <c r="B53" s="1724" t="str">
        <f>HLOOKUP(select,'Name translation'!$A$1:$H$29,18,)</f>
        <v>Tropical</v>
      </c>
      <c r="C53" s="1724"/>
      <c r="D53" s="1724"/>
      <c r="E53" s="1725">
        <v>25</v>
      </c>
      <c r="F53" s="1725">
        <v>18</v>
      </c>
      <c r="G53" s="1725">
        <v>45</v>
      </c>
      <c r="L53" s="1755" t="s">
        <v>5491</v>
      </c>
      <c r="U53" s="1755"/>
    </row>
    <row r="54" spans="2:21" s="2094" customFormat="1" ht="12.75" customHeight="1">
      <c r="B54" s="1724" t="str">
        <f>HLOOKUP(select,'Name translation'!$A$1:$H$29,19,)</f>
        <v>Tropical Mountain</v>
      </c>
      <c r="C54" s="1724"/>
      <c r="D54" s="1724"/>
      <c r="E54" s="1725">
        <v>25</v>
      </c>
      <c r="F54" s="1725">
        <v>18</v>
      </c>
      <c r="G54" s="1725">
        <v>45</v>
      </c>
      <c r="L54" s="1755"/>
      <c r="M54" s="1755"/>
      <c r="N54" s="1755"/>
      <c r="O54" s="2104" t="str">
        <f>HLOOKUP(select,translations!$A$445:$H$490,19,)</f>
        <v>Note: Tropical Montane is usually Dry</v>
      </c>
      <c r="P54" s="2116"/>
      <c r="Q54" s="2104"/>
      <c r="U54" s="1755"/>
    </row>
    <row r="55" spans="2:21" s="2094" customFormat="1" ht="12.75" customHeight="1">
      <c r="U55" s="1755"/>
    </row>
    <row r="56" spans="2:21" s="2094" customFormat="1" ht="12.75" customHeight="1">
      <c r="B56" s="1755" t="s">
        <v>4</v>
      </c>
      <c r="C56" s="1755" t="s">
        <v>4</v>
      </c>
      <c r="L56" s="2105" t="str">
        <f>HLOOKUP(select,translations!$A$445:$H$490,14,)</f>
        <v>MAT and Climate Category</v>
      </c>
      <c r="M56" s="2105"/>
      <c r="N56" s="2105"/>
      <c r="O56" s="2698" t="str">
        <f>HLOOKUP(select,translations!$A$445:$H$490,22,)</f>
        <v>Default MAT</v>
      </c>
      <c r="P56" s="2726"/>
      <c r="U56" s="1755"/>
    </row>
    <row r="57" spans="2:21" s="2094" customFormat="1" ht="12.75" customHeight="1">
      <c r="L57" s="2116" t="str">
        <f>HLOOKUP(select,translations!$A$445:$H$490,15,)</f>
        <v>MAT &gt; 18</v>
      </c>
      <c r="M57" s="2101" t="str">
        <f>B53</f>
        <v>Tropical</v>
      </c>
      <c r="N57" s="2101"/>
      <c r="O57" s="2736">
        <f>E53</f>
        <v>25</v>
      </c>
      <c r="P57" s="2728" t="s">
        <v>289</v>
      </c>
    </row>
    <row r="58" spans="2:21" s="2094" customFormat="1" ht="12.75" customHeight="1">
      <c r="L58" s="2116" t="str">
        <f>HLOOKUP(select,translations!$A$445:$H$490,16,)</f>
        <v>10 &gt; MAT &gt; 18</v>
      </c>
      <c r="M58" s="2101" t="str">
        <f>B52</f>
        <v>Warm Temperate</v>
      </c>
      <c r="N58" s="2101"/>
      <c r="O58" s="2736">
        <f>E52</f>
        <v>15</v>
      </c>
      <c r="P58" s="2728" t="s">
        <v>287</v>
      </c>
    </row>
    <row r="59" spans="2:21" s="2094" customFormat="1" ht="12.75" customHeight="1">
      <c r="L59" s="2116" t="str">
        <f>HLOOKUP(select,translations!$A$445:$H$490,17,)</f>
        <v>0 &gt; MAT &gt; 10</v>
      </c>
      <c r="M59" s="2101" t="str">
        <f>B51</f>
        <v>Cool Temperate</v>
      </c>
      <c r="N59" s="2101"/>
      <c r="O59" s="2736">
        <v>5</v>
      </c>
      <c r="P59" s="2728" t="s">
        <v>285</v>
      </c>
    </row>
    <row r="60" spans="2:21" s="2094" customFormat="1" ht="12.75" customHeight="1">
      <c r="L60" s="2116" t="str">
        <f>HLOOKUP(select,translations!$A$445:$H$490,18,)</f>
        <v>MAT &lt; 0</v>
      </c>
      <c r="M60" s="2101" t="str">
        <f>B50</f>
        <v>Boreal</v>
      </c>
      <c r="N60" s="2101"/>
      <c r="O60" s="2736">
        <f>E50</f>
        <v>0</v>
      </c>
      <c r="P60" s="2728" t="s">
        <v>391</v>
      </c>
    </row>
    <row r="61" spans="2:21" s="2094" customFormat="1" ht="12.75" customHeight="1">
      <c r="N61" s="2109"/>
      <c r="O61" s="2729">
        <f>E54</f>
        <v>25</v>
      </c>
      <c r="P61" s="2728" t="s">
        <v>290</v>
      </c>
    </row>
    <row r="62" spans="2:21" s="2094" customFormat="1" ht="12.75" customHeight="1">
      <c r="L62" s="2106" t="str">
        <f>HLOOKUP(select,translations!$A$445:$H$490,28,)</f>
        <v>FAO ressources:</v>
      </c>
      <c r="M62" s="2107"/>
      <c r="N62" s="2107"/>
      <c r="O62" s="2107"/>
      <c r="P62" s="2107"/>
      <c r="Q62" s="2107"/>
    </row>
    <row r="63" spans="2:21" s="2094" customFormat="1" ht="12.75" customHeight="1">
      <c r="L63" s="2108" t="str">
        <f>HLOOKUP(select,translations!$A$445:$H$490,29,)</f>
        <v>MAP and MAT Maps</v>
      </c>
      <c r="M63" s="2718"/>
      <c r="N63" s="2718"/>
      <c r="O63" s="2718"/>
      <c r="P63" s="2107"/>
      <c r="Q63" s="2107"/>
    </row>
    <row r="64" spans="2:21" s="2094" customFormat="1" ht="12.75" customHeight="1">
      <c r="B64" s="2721"/>
      <c r="C64" s="2721"/>
      <c r="D64" s="2721"/>
      <c r="E64" s="2721"/>
      <c r="F64" s="2721"/>
      <c r="G64" s="2721"/>
      <c r="H64" s="2721"/>
      <c r="I64" s="2721"/>
      <c r="J64" s="2721"/>
      <c r="L64" s="2107"/>
      <c r="M64" s="4093" t="str">
        <f>HLOOKUP(select,translations!$A$445:$H$490,30,)</f>
        <v>See the Global Climate map at FAO</v>
      </c>
      <c r="N64" s="4093"/>
      <c r="O64" s="4093"/>
      <c r="P64" s="4093"/>
      <c r="Q64" s="4093"/>
    </row>
    <row r="65" spans="2:17" s="2094" customFormat="1" ht="12.75" customHeight="1">
      <c r="B65" s="2720" t="str">
        <f>HLOOKUP(select,translations!$A$445:$H$490,20,)</f>
        <v>IPCC Climate Zones</v>
      </c>
      <c r="C65" s="2721"/>
      <c r="D65" s="2721"/>
      <c r="E65" s="2721"/>
      <c r="F65" s="2721"/>
      <c r="G65" s="2723" t="str">
        <f>IF(Nlang=1,"",A23)</f>
        <v/>
      </c>
      <c r="H65" s="2721"/>
      <c r="I65" s="2721"/>
      <c r="J65" s="2721"/>
      <c r="L65" s="2107"/>
      <c r="M65" s="2742" t="str">
        <f>HLOOKUP(select,translations!$A$445:$H$490,31,)</f>
        <v>Annual average rainfall total</v>
      </c>
      <c r="N65" s="2107"/>
      <c r="O65" s="2718"/>
      <c r="P65" s="2743"/>
      <c r="Q65" s="2107"/>
    </row>
    <row r="66" spans="2:17" s="2094" customFormat="1" ht="12.75" customHeight="1">
      <c r="B66" s="2721"/>
      <c r="C66" s="2721"/>
      <c r="D66" s="2721"/>
      <c r="E66" s="2721"/>
      <c r="F66" s="2721"/>
      <c r="G66" s="2724" t="str">
        <f>IF(Nlang=1,"",HLOOKUP(select,translations!$A$445:$H$490,21,))</f>
        <v/>
      </c>
      <c r="H66" s="2721"/>
      <c r="I66" s="2721"/>
      <c r="J66" s="2721"/>
      <c r="L66" s="2107"/>
      <c r="M66" s="4093" t="str">
        <f>HLOOKUP(select,translations!$A$445:$H$490,32,)</f>
        <v>Annual average temperature</v>
      </c>
      <c r="N66" s="4093"/>
      <c r="O66" s="4093"/>
      <c r="P66" s="4093"/>
      <c r="Q66" s="2107"/>
    </row>
    <row r="67" spans="2:17" s="2094" customFormat="1" ht="15.6" customHeight="1">
      <c r="B67" s="2721"/>
      <c r="C67" s="2721"/>
      <c r="D67" s="2721"/>
      <c r="E67" s="2721"/>
      <c r="F67" s="2721"/>
      <c r="G67" s="2724" t="str">
        <f>IF(Nlang=1,"",B54)</f>
        <v/>
      </c>
      <c r="H67" s="2721"/>
      <c r="I67" s="2721"/>
      <c r="J67" s="2721"/>
    </row>
    <row r="68" spans="2:17" s="2094" customFormat="1" ht="15.6" customHeight="1">
      <c r="B68" s="2721"/>
      <c r="C68" s="2721"/>
      <c r="D68" s="2721"/>
      <c r="E68" s="2721"/>
      <c r="F68" s="2721"/>
      <c r="G68" s="2724" t="str">
        <f>IF(Nlang=1,"",CONCATENATE(B53," ",C52))</f>
        <v/>
      </c>
      <c r="H68" s="2721"/>
      <c r="I68" s="2721"/>
      <c r="J68" s="2721"/>
    </row>
    <row r="69" spans="2:17" s="2094" customFormat="1" ht="15.6" customHeight="1">
      <c r="B69" s="2721"/>
      <c r="C69" s="2721"/>
      <c r="D69" s="2721"/>
      <c r="E69" s="2721"/>
      <c r="F69" s="2721"/>
      <c r="G69" s="2724" t="str">
        <f>IF(Nlang=1,"",CONCATENATE(B53," ",C51))</f>
        <v/>
      </c>
      <c r="H69" s="2721"/>
      <c r="I69" s="2721"/>
      <c r="J69" s="2721"/>
      <c r="L69" s="2108" t="str">
        <f>HLOOKUP(select,translations!$A$445:$H$490,33,)</f>
        <v>LocClim</v>
      </c>
      <c r="M69" s="4096" t="str">
        <f>HLOOKUP(select,translations!$A$445:$H$490,35,)</f>
        <v xml:space="preserve">LocClim was developed to provide an estimate of climatic conditions at locations for which no observations are available. To achieve this, the programme uses the 28800 stations of FAOCLIM 2.0 </v>
      </c>
      <c r="N69" s="4096"/>
      <c r="O69" s="4096"/>
      <c r="P69" s="4096"/>
      <c r="Q69" s="4096"/>
    </row>
    <row r="70" spans="2:17" s="2094" customFormat="1" ht="15.6" customHeight="1">
      <c r="B70" s="2721"/>
      <c r="C70" s="2721"/>
      <c r="D70" s="2721"/>
      <c r="E70" s="2721"/>
      <c r="F70" s="2721"/>
      <c r="G70" s="2722" t="str">
        <f>IF(Nlang=1,"",CONCATENATE(B53," ",C50))</f>
        <v/>
      </c>
      <c r="H70" s="2721"/>
      <c r="I70" s="2721"/>
      <c r="J70" s="2721"/>
      <c r="L70" s="2107"/>
      <c r="M70" s="4096"/>
      <c r="N70" s="4096"/>
      <c r="O70" s="4096"/>
      <c r="P70" s="4096"/>
      <c r="Q70" s="4096"/>
    </row>
    <row r="71" spans="2:17" s="2094" customFormat="1" ht="15.6" customHeight="1">
      <c r="B71" s="2721"/>
      <c r="C71" s="2721"/>
      <c r="D71" s="2721"/>
      <c r="E71" s="2721"/>
      <c r="F71" s="2721"/>
      <c r="G71" s="2725" t="str">
        <f>IF(Nlang=1,"",CONCATENATE(B52," ",C51))</f>
        <v/>
      </c>
      <c r="H71" s="2721"/>
      <c r="I71" s="2721"/>
      <c r="J71" s="2721"/>
      <c r="L71" s="2107"/>
      <c r="M71" s="4096"/>
      <c r="N71" s="4096"/>
      <c r="O71" s="4096"/>
      <c r="P71" s="4096"/>
      <c r="Q71" s="4096"/>
    </row>
    <row r="72" spans="2:17" s="2094" customFormat="1" ht="15.6" customHeight="1">
      <c r="B72" s="2721"/>
      <c r="C72" s="2721"/>
      <c r="D72" s="2721"/>
      <c r="E72" s="2721"/>
      <c r="F72" s="2721"/>
      <c r="G72" s="2725" t="str">
        <f>IF(Nlang=1,"",CONCATENATE(B52," ",C50))</f>
        <v/>
      </c>
      <c r="H72" s="2721"/>
      <c r="I72" s="2721"/>
      <c r="J72" s="2721"/>
      <c r="L72" s="2107"/>
      <c r="M72" s="4093" t="str">
        <f>HLOOKUP(select,translations!$A$445:$H$490,36,)</f>
        <v>Click here to go to the application</v>
      </c>
      <c r="N72" s="4093"/>
      <c r="O72" s="4093"/>
      <c r="P72" s="2107"/>
      <c r="Q72" s="2107"/>
    </row>
    <row r="73" spans="2:17" s="2094" customFormat="1" ht="15.6" customHeight="1">
      <c r="B73" s="2721"/>
      <c r="C73" s="2721"/>
      <c r="D73" s="2721"/>
      <c r="E73" s="2721"/>
      <c r="F73" s="2722"/>
      <c r="G73" s="2725" t="str">
        <f>IF(Nlang=1,"",CONCATENATE(B51," ",C51))</f>
        <v/>
      </c>
      <c r="H73" s="2721"/>
      <c r="I73" s="2721"/>
      <c r="J73" s="2721"/>
    </row>
    <row r="74" spans="2:17" s="2094" customFormat="1" ht="15.6" customHeight="1">
      <c r="B74" s="2721"/>
      <c r="C74" s="2721"/>
      <c r="D74" s="2721"/>
      <c r="E74" s="2721"/>
      <c r="F74" s="2722"/>
      <c r="G74" s="2725" t="str">
        <f>IF(Nlang=1,"",CONCATENATE(B51," ",C50))</f>
        <v/>
      </c>
      <c r="H74" s="2721"/>
      <c r="I74" s="2721"/>
      <c r="J74" s="2721"/>
      <c r="L74" s="2108" t="str">
        <f>HLOOKUP(select,translations!$A$445:$H$490,34,)</f>
        <v>Web Loc Clim</v>
      </c>
      <c r="M74" s="4096" t="str">
        <f>HLOOKUP(select,translations!$A$445:$H$490,37,)</f>
        <v>For on-line climate data using localisation see also Web LocClim the  local monthly climate estimator</v>
      </c>
      <c r="N74" s="4096"/>
      <c r="O74" s="4096"/>
      <c r="P74" s="4096"/>
      <c r="Q74" s="4096"/>
    </row>
    <row r="75" spans="2:17" s="2094" customFormat="1" ht="15" customHeight="1">
      <c r="B75" s="2721"/>
      <c r="C75" s="2721"/>
      <c r="D75" s="2721"/>
      <c r="E75" s="2721"/>
      <c r="F75" s="2722"/>
      <c r="G75" s="2725" t="str">
        <f>IF(Nlang=1,"",CONCATENATE(B50," ",C51))</f>
        <v/>
      </c>
      <c r="H75" s="2721"/>
      <c r="I75" s="2721"/>
      <c r="J75" s="2721"/>
      <c r="L75" s="2107"/>
      <c r="M75" s="4096"/>
      <c r="N75" s="4096"/>
      <c r="O75" s="4096"/>
      <c r="P75" s="4096"/>
      <c r="Q75" s="4096"/>
    </row>
    <row r="76" spans="2:17" s="2094" customFormat="1" ht="15" customHeight="1">
      <c r="B76" s="2721"/>
      <c r="C76" s="2721"/>
      <c r="D76" s="2721"/>
      <c r="E76" s="2721"/>
      <c r="F76" s="2722"/>
      <c r="G76" s="2725" t="str">
        <f>IF(Nlang=1,"",CONCATENATE(B50," ",C50))</f>
        <v/>
      </c>
      <c r="H76" s="2721"/>
      <c r="I76" s="2721"/>
      <c r="J76" s="2721"/>
      <c r="L76" s="2107"/>
      <c r="M76" s="4093" t="str">
        <f>HLOOKUP(select,translations!$A$445:$H$490,38,)</f>
        <v>Go to Web LocClim</v>
      </c>
      <c r="N76" s="4093"/>
      <c r="O76" s="4093"/>
      <c r="P76" s="2107"/>
      <c r="Q76" s="2107"/>
    </row>
    <row r="77" spans="2:17" s="2094" customFormat="1" ht="12.75" customHeight="1">
      <c r="L77" s="2727" t="s">
        <v>307</v>
      </c>
      <c r="M77" s="2726"/>
      <c r="N77" s="2726"/>
      <c r="O77" s="1755"/>
    </row>
    <row r="78" spans="2:17" s="2094" customFormat="1" ht="12.75" customHeight="1">
      <c r="B78" s="2720" t="str">
        <f>HLOOKUP(select,translations!$A$445:$H$490,23,)</f>
        <v>Simplified IPCC Climate Zones</v>
      </c>
      <c r="C78" s="2721"/>
      <c r="D78" s="2721"/>
      <c r="E78" s="2721"/>
      <c r="F78" s="2721"/>
      <c r="G78" s="2721"/>
      <c r="H78" s="2721"/>
      <c r="I78" s="2721"/>
      <c r="J78" s="2721"/>
      <c r="K78" s="2721"/>
      <c r="L78" s="2740" t="s">
        <v>281</v>
      </c>
      <c r="M78" s="2740"/>
      <c r="N78" s="2726" t="s">
        <v>308</v>
      </c>
      <c r="O78" s="1755"/>
    </row>
    <row r="79" spans="2:17" s="2094" customFormat="1" ht="12.75" customHeight="1">
      <c r="B79" s="2721"/>
      <c r="C79" s="2721"/>
      <c r="D79" s="2721"/>
      <c r="E79" s="2721"/>
      <c r="F79" s="2721"/>
      <c r="G79" s="2721"/>
      <c r="H79" s="2721"/>
      <c r="I79" s="2721"/>
      <c r="J79" s="2721"/>
      <c r="K79" s="2721"/>
      <c r="L79" s="2740" t="str">
        <f>B56</f>
        <v>Please select</v>
      </c>
      <c r="M79" s="2740"/>
      <c r="N79" s="2726" t="s">
        <v>5</v>
      </c>
      <c r="O79" s="2109"/>
    </row>
    <row r="80" spans="2:17" s="2094" customFormat="1" ht="12.75" customHeight="1">
      <c r="B80" s="2721"/>
      <c r="C80" s="2721"/>
      <c r="D80" s="2721"/>
      <c r="E80" s="2721"/>
      <c r="F80" s="2721"/>
      <c r="G80" s="2721"/>
      <c r="H80" s="2721"/>
      <c r="I80" s="2721"/>
      <c r="J80" s="2721"/>
      <c r="K80" s="2721"/>
      <c r="L80" s="2740" t="s">
        <v>6502</v>
      </c>
      <c r="M80" s="2740"/>
      <c r="N80" s="2726" t="s">
        <v>309</v>
      </c>
      <c r="O80" s="2109"/>
    </row>
    <row r="81" spans="2:15" s="2094" customFormat="1" ht="12.75" customHeight="1">
      <c r="B81" s="2721"/>
      <c r="C81" s="2721"/>
      <c r="D81" s="2721"/>
      <c r="E81" s="2721"/>
      <c r="F81" s="2721"/>
      <c r="G81" s="2721"/>
      <c r="H81" s="2721"/>
      <c r="I81" s="2721"/>
      <c r="J81" s="2721"/>
      <c r="K81" s="2721"/>
      <c r="L81" s="2740" t="s">
        <v>6503</v>
      </c>
      <c r="M81" s="2740"/>
      <c r="N81" s="2726" t="s">
        <v>312</v>
      </c>
      <c r="O81" s="2109"/>
    </row>
    <row r="82" spans="2:15" s="2094" customFormat="1" ht="12.75" customHeight="1">
      <c r="B82" s="2721"/>
      <c r="C82" s="2721"/>
      <c r="D82" s="2721"/>
      <c r="E82" s="2721"/>
      <c r="F82" s="2721"/>
      <c r="G82" s="2721"/>
      <c r="H82" s="2721"/>
      <c r="I82" s="2721"/>
      <c r="J82" s="2721"/>
      <c r="K82" s="2721"/>
      <c r="L82" s="2740" t="s">
        <v>310</v>
      </c>
      <c r="M82" s="2740"/>
      <c r="N82" s="2726" t="s">
        <v>312</v>
      </c>
      <c r="O82" s="2109"/>
    </row>
    <row r="83" spans="2:15" s="2094" customFormat="1" ht="12.75" customHeight="1">
      <c r="B83" s="2721"/>
      <c r="C83" s="2721"/>
      <c r="D83" s="2721"/>
      <c r="E83" s="2721"/>
      <c r="F83" s="2721"/>
      <c r="G83" s="2721"/>
      <c r="H83" s="2721"/>
      <c r="I83" s="2721"/>
      <c r="J83" s="2912"/>
      <c r="K83" s="2912"/>
      <c r="L83" s="2740" t="s">
        <v>311</v>
      </c>
      <c r="M83" s="2740"/>
      <c r="N83" s="2726" t="s">
        <v>312</v>
      </c>
      <c r="O83" s="2109"/>
    </row>
    <row r="84" spans="2:15" s="2094" customFormat="1" ht="12.75" customHeight="1">
      <c r="B84" s="2721"/>
      <c r="C84" s="2721"/>
      <c r="D84" s="2721"/>
      <c r="E84" s="2721"/>
      <c r="F84" s="2721"/>
      <c r="G84" s="2721"/>
      <c r="H84" s="2721"/>
      <c r="I84" s="2721"/>
      <c r="J84" s="2912"/>
      <c r="K84" s="2912"/>
      <c r="L84" s="2740" t="s">
        <v>313</v>
      </c>
      <c r="M84" s="2740"/>
      <c r="N84" s="2726" t="s">
        <v>309</v>
      </c>
      <c r="O84" s="2109"/>
    </row>
    <row r="85" spans="2:15" s="2094" customFormat="1" ht="12.75" customHeight="1">
      <c r="B85" s="2721"/>
      <c r="C85" s="2721"/>
      <c r="D85" s="2721"/>
      <c r="E85" s="2721"/>
      <c r="F85" s="2721"/>
      <c r="G85" s="2721"/>
      <c r="H85" s="2721"/>
      <c r="I85" s="2721"/>
      <c r="J85" s="2912"/>
      <c r="K85" s="2912"/>
      <c r="L85" s="2740" t="s">
        <v>314</v>
      </c>
      <c r="M85" s="2740"/>
      <c r="N85" s="2726" t="s">
        <v>309</v>
      </c>
      <c r="O85" s="2109"/>
    </row>
    <row r="86" spans="2:15" s="2094" customFormat="1" ht="12.75" customHeight="1">
      <c r="B86" s="2721"/>
      <c r="C86" s="2721"/>
      <c r="D86" s="2721"/>
      <c r="E86" s="2721"/>
      <c r="F86" s="2721"/>
      <c r="G86" s="2721"/>
      <c r="H86" s="2721"/>
      <c r="I86" s="2721"/>
      <c r="J86" s="2912"/>
      <c r="K86" s="2912"/>
      <c r="L86" s="2740" t="s">
        <v>466</v>
      </c>
      <c r="M86" s="2740"/>
      <c r="N86" s="2726" t="s">
        <v>312</v>
      </c>
      <c r="O86" s="2109"/>
    </row>
    <row r="87" spans="2:15" s="2094" customFormat="1" ht="12.75" customHeight="1">
      <c r="B87" s="2721"/>
      <c r="C87" s="2721"/>
      <c r="D87" s="2721"/>
      <c r="E87" s="2721"/>
      <c r="F87" s="2721"/>
      <c r="G87" s="2721"/>
      <c r="H87" s="2721"/>
      <c r="I87" s="2721"/>
      <c r="J87" s="2912"/>
      <c r="K87" s="2912"/>
      <c r="L87" s="2740" t="s">
        <v>315</v>
      </c>
      <c r="M87" s="2740"/>
      <c r="N87" s="2726" t="s">
        <v>319</v>
      </c>
      <c r="O87" s="2109"/>
    </row>
    <row r="88" spans="2:15" s="2094" customFormat="1" ht="12.75" customHeight="1">
      <c r="B88" s="2721"/>
      <c r="C88" s="2721"/>
      <c r="D88" s="2721"/>
      <c r="E88" s="2721"/>
      <c r="F88" s="2721"/>
      <c r="G88" s="2721"/>
      <c r="H88" s="2721"/>
      <c r="I88" s="2721"/>
      <c r="J88" s="2912"/>
      <c r="K88" s="2912"/>
      <c r="L88" s="2740" t="s">
        <v>316</v>
      </c>
      <c r="M88" s="2740"/>
      <c r="N88" s="2726" t="s">
        <v>320</v>
      </c>
      <c r="O88" s="2109"/>
    </row>
    <row r="89" spans="2:15" s="2094" customFormat="1" ht="12.75" customHeight="1">
      <c r="B89" s="2721"/>
      <c r="C89" s="2721"/>
      <c r="D89" s="2721"/>
      <c r="E89" s="2721"/>
      <c r="F89" s="2721"/>
      <c r="G89" s="2721"/>
      <c r="H89" s="2721"/>
      <c r="I89" s="2721"/>
      <c r="J89" s="2912"/>
      <c r="K89" s="2912"/>
      <c r="L89" s="2740" t="s">
        <v>317</v>
      </c>
      <c r="M89" s="2740"/>
      <c r="N89" s="2726" t="s">
        <v>320</v>
      </c>
      <c r="O89" s="2109"/>
    </row>
    <row r="90" spans="2:15" s="2094" customFormat="1" ht="12.75" customHeight="1">
      <c r="B90" s="2721"/>
      <c r="C90" s="2721"/>
      <c r="D90" s="2721"/>
      <c r="E90" s="2721"/>
      <c r="F90" s="2721"/>
      <c r="G90" s="2721"/>
      <c r="H90" s="2721"/>
      <c r="I90" s="2721"/>
      <c r="J90" s="2912"/>
      <c r="K90" s="2912"/>
      <c r="L90" s="2740" t="s">
        <v>318</v>
      </c>
      <c r="M90" s="2740"/>
      <c r="N90" s="2726" t="s">
        <v>319</v>
      </c>
      <c r="O90" s="2109"/>
    </row>
    <row r="91" spans="2:15" s="2094" customFormat="1" ht="12.75" customHeight="1">
      <c r="B91" s="2721"/>
      <c r="C91" s="2721"/>
      <c r="D91" s="2721"/>
      <c r="E91" s="2721"/>
      <c r="F91" s="2721"/>
      <c r="G91" s="2721"/>
      <c r="H91" s="2721"/>
      <c r="I91" s="2721"/>
      <c r="J91" s="2912"/>
      <c r="K91" s="2912"/>
      <c r="L91" s="2741" t="s">
        <v>506</v>
      </c>
      <c r="M91" s="2741" t="s">
        <v>507</v>
      </c>
      <c r="N91" s="3300"/>
      <c r="O91" s="2109"/>
    </row>
    <row r="92" spans="2:15" s="2094" customFormat="1" ht="15.6" customHeight="1">
      <c r="B92" s="2721"/>
      <c r="C92" s="2737" t="str">
        <f>C50</f>
        <v>Dry</v>
      </c>
      <c r="D92" s="2737" t="str">
        <f>C51</f>
        <v>Moist</v>
      </c>
      <c r="E92" s="2721"/>
      <c r="F92" s="2721"/>
      <c r="G92" s="2721"/>
      <c r="H92" s="2721"/>
      <c r="I92" s="2721"/>
      <c r="J92" s="2912"/>
      <c r="K92" s="2912"/>
      <c r="L92" s="2741" t="str">
        <f>IF(climate&lt;&gt;B56,IF(moist_type&lt;&gt;C56,CONCATENATE(climate," ",moist_type),B56),C56)</f>
        <v>Please select</v>
      </c>
      <c r="M92" s="2741" t="str">
        <f>VLOOKUP(L92,L79:N90,3,)</f>
        <v>?</v>
      </c>
      <c r="N92" s="1755"/>
      <c r="O92" s="1755"/>
    </row>
    <row r="93" spans="2:15" s="2094" customFormat="1" ht="12.75" customHeight="1">
      <c r="B93" s="2721"/>
      <c r="C93" s="2721"/>
      <c r="D93" s="2721"/>
      <c r="E93" s="2721"/>
      <c r="F93" s="2721"/>
      <c r="G93" s="2721"/>
      <c r="H93" s="2721"/>
      <c r="I93" s="2721"/>
      <c r="J93" s="2912"/>
      <c r="K93" s="2912"/>
      <c r="L93" s="2912"/>
      <c r="M93" s="2912"/>
      <c r="N93" s="1755"/>
      <c r="O93" s="1755"/>
    </row>
    <row r="94" spans="2:15" s="2094" customFormat="1" ht="16.149999999999999" customHeight="1">
      <c r="B94" s="2738" t="str">
        <f>HLOOKUP(select,translations!$A$445:$H$490,24,)</f>
        <v>Cool</v>
      </c>
      <c r="C94" s="2721"/>
      <c r="D94" s="2721"/>
      <c r="E94" s="2721"/>
      <c r="F94" s="2721"/>
      <c r="G94" s="2721"/>
      <c r="H94" s="2721"/>
      <c r="I94" s="2721"/>
      <c r="J94" s="2721"/>
      <c r="K94" s="2721"/>
      <c r="L94" s="2912"/>
      <c r="M94" s="2912"/>
      <c r="N94" s="1755"/>
      <c r="O94" s="1755"/>
    </row>
    <row r="95" spans="2:15" s="2094" customFormat="1" ht="12.75" customHeight="1">
      <c r="B95" s="2721"/>
      <c r="C95" s="2721"/>
      <c r="D95" s="2721"/>
      <c r="E95" s="2721"/>
      <c r="F95" s="2721"/>
      <c r="G95" s="2721"/>
      <c r="H95" s="2721"/>
      <c r="I95" s="2721"/>
      <c r="J95" s="2721"/>
      <c r="K95" s="2721"/>
      <c r="L95" s="2605"/>
      <c r="M95" s="2605"/>
      <c r="N95" s="1755"/>
      <c r="O95" s="1755"/>
    </row>
    <row r="96" spans="2:15" s="2094" customFormat="1" ht="16.149999999999999" customHeight="1">
      <c r="B96" s="2738" t="str">
        <f>HLOOKUP(select,translations!$A$445:$H$490,25,)</f>
        <v>Warm</v>
      </c>
      <c r="C96" s="2721"/>
      <c r="D96" s="2721"/>
      <c r="E96" s="2721"/>
      <c r="F96" s="2721"/>
      <c r="G96" s="2721"/>
      <c r="H96" s="2721"/>
      <c r="I96" s="2721"/>
      <c r="J96" s="2721"/>
      <c r="K96" s="2721"/>
      <c r="L96" s="2605"/>
      <c r="M96" s="2605"/>
      <c r="N96" s="1755"/>
      <c r="O96" s="1755"/>
    </row>
    <row r="97" spans="1:14" s="2094" customFormat="1" ht="12.75" customHeight="1">
      <c r="B97" s="2721"/>
      <c r="C97" s="2721"/>
      <c r="D97" s="2721"/>
      <c r="E97" s="2721"/>
      <c r="F97" s="2721"/>
      <c r="G97" s="2721"/>
      <c r="H97" s="2721"/>
      <c r="I97" s="2721"/>
      <c r="J97" s="2721"/>
      <c r="K97" s="2721"/>
      <c r="L97" s="2721"/>
      <c r="M97" s="2721"/>
    </row>
    <row r="98" spans="1:14" s="2094" customFormat="1" ht="15" customHeight="1">
      <c r="B98" s="2738" t="str">
        <f>HLOOKUP(select,translations!$A$445:$H$490,26,)</f>
        <v>Boreal</v>
      </c>
      <c r="C98" s="2721"/>
      <c r="D98" s="2721"/>
      <c r="E98" s="2721"/>
      <c r="F98" s="2721"/>
      <c r="G98" s="2721"/>
      <c r="H98" s="2721"/>
      <c r="I98" s="2721"/>
      <c r="J98" s="2721"/>
      <c r="K98" s="2721"/>
      <c r="L98" s="2721"/>
      <c r="M98" s="2721"/>
    </row>
    <row r="99" spans="1:14" s="2094" customFormat="1" ht="12.75" customHeight="1">
      <c r="B99" s="2739" t="str">
        <f>HLOOKUP(select,translations!$A$445:$H$490,27,)</f>
        <v>(or Polar)</v>
      </c>
      <c r="C99" s="2721"/>
      <c r="D99" s="2721"/>
      <c r="E99" s="2721"/>
      <c r="F99" s="2721"/>
      <c r="G99" s="2721"/>
      <c r="H99" s="2721"/>
      <c r="I99" s="2721"/>
      <c r="J99" s="2721"/>
      <c r="K99" s="2721"/>
      <c r="L99" s="2721"/>
      <c r="M99" s="2721"/>
    </row>
    <row r="100" spans="1:14" s="2094" customFormat="1" ht="12.6" customHeight="1">
      <c r="B100" s="2721"/>
      <c r="C100" s="2721"/>
      <c r="D100" s="2721"/>
      <c r="E100" s="2721"/>
      <c r="F100" s="2721"/>
      <c r="G100" s="2721"/>
      <c r="H100" s="2721"/>
      <c r="I100" s="2721"/>
      <c r="J100" s="2721"/>
      <c r="K100" s="2721"/>
      <c r="L100" s="2721"/>
      <c r="M100" s="2721"/>
    </row>
    <row r="101" spans="1:14" s="2094" customFormat="1" ht="12.75" customHeight="1">
      <c r="L101" s="2109" t="s">
        <v>4</v>
      </c>
      <c r="M101" s="2109">
        <v>0</v>
      </c>
      <c r="N101" s="2109"/>
    </row>
    <row r="102" spans="1:14" s="2094" customFormat="1" ht="12.75" customHeight="1">
      <c r="L102" s="2109"/>
      <c r="M102" s="2109"/>
      <c r="N102" s="2109"/>
    </row>
    <row r="103" spans="1:14" s="2094" customFormat="1" ht="12.75" customHeight="1">
      <c r="L103" s="2109"/>
      <c r="M103" s="2109"/>
      <c r="N103" s="2109"/>
    </row>
    <row r="104" spans="1:14" s="1644" customFormat="1" ht="12.75" customHeight="1">
      <c r="L104" s="2110"/>
      <c r="M104" s="2110"/>
      <c r="N104" s="2110"/>
    </row>
    <row r="105" spans="1:14" s="1644" customFormat="1" ht="12.75" customHeight="1">
      <c r="C105" s="4092" t="str">
        <f>HLOOKUP(select,translations!$A$445:$H$490,39,)</f>
        <v>Global Ecological Zones</v>
      </c>
      <c r="D105" s="4092"/>
      <c r="E105" s="4092"/>
      <c r="L105" s="2110"/>
      <c r="M105" s="2110"/>
      <c r="N105" s="2110"/>
    </row>
    <row r="106" spans="1:14" s="1644" customFormat="1" ht="12.75" customHeight="1">
      <c r="C106" s="4092"/>
      <c r="D106" s="4092"/>
      <c r="E106" s="4092"/>
    </row>
    <row r="107" spans="1:14" s="1644" customFormat="1" ht="12.75" customHeight="1">
      <c r="C107" s="4092"/>
      <c r="D107" s="4092"/>
      <c r="E107" s="4092"/>
    </row>
    <row r="108" spans="1:14" s="1644" customFormat="1" ht="12.75" customHeight="1"/>
    <row r="109" spans="1:14" s="2094" customFormat="1" ht="12.75" customHeight="1">
      <c r="B109" s="2111"/>
      <c r="C109" s="2111"/>
      <c r="D109" s="2111"/>
      <c r="E109" s="2111"/>
      <c r="F109" s="2111"/>
      <c r="G109" s="2111"/>
      <c r="H109" s="2111"/>
      <c r="I109" s="2111"/>
      <c r="J109" s="2111"/>
      <c r="K109" s="2111"/>
      <c r="L109" s="2111"/>
      <c r="M109" s="2111"/>
    </row>
    <row r="110" spans="1:14" s="2094" customFormat="1" ht="12.75" customHeight="1">
      <c r="A110" s="1842" t="str">
        <f>HLOOKUP(select,translations!$A$445:$H$490,40,)</f>
        <v>Global ecological zones, based on observed climate and vegetation patterns (FAO, 2001). Data for geographic information systems available at http://www.fao.org.</v>
      </c>
    </row>
    <row r="111" spans="1:14" s="2094" customFormat="1" ht="12.75" customHeight="1"/>
    <row r="112" spans="1:14" s="2094" customFormat="1" ht="12.75" customHeight="1"/>
    <row r="113" s="2094" customFormat="1" ht="12.75" customHeight="1"/>
    <row r="114" s="2094" customFormat="1" ht="12.75" customHeight="1"/>
    <row r="115" s="2094" customFormat="1" ht="12.75" customHeight="1"/>
    <row r="116" s="2094" customFormat="1" ht="12.75" customHeight="1"/>
    <row r="117" s="2094" customFormat="1" ht="12.75" customHeight="1"/>
    <row r="118" s="2094" customFormat="1" ht="12.75" customHeight="1"/>
    <row r="119" s="2094" customFormat="1" ht="12.75" customHeight="1"/>
    <row r="120" s="2094" customFormat="1" ht="12.75" customHeight="1"/>
    <row r="121" s="2094" customFormat="1" ht="12.75" customHeight="1"/>
    <row r="122" s="2094" customFormat="1" ht="12.75" customHeight="1"/>
    <row r="123" s="2094" customFormat="1" ht="12.75" customHeight="1"/>
    <row r="124" s="2094" customFormat="1" ht="12.75" customHeight="1"/>
    <row r="125" s="2094" customFormat="1" ht="12.75" customHeight="1"/>
    <row r="126" s="2094" customFormat="1" ht="12.75" customHeight="1"/>
    <row r="127" s="2094" customFormat="1" ht="12.75" customHeight="1"/>
    <row r="128" s="2094" customFormat="1" ht="12.75" customHeight="1"/>
    <row r="129" s="2094" customFormat="1" ht="12.75" customHeight="1"/>
    <row r="130" s="2094" customFormat="1" ht="12.75" customHeight="1"/>
    <row r="131" s="2094" customFormat="1" ht="12.75" customHeight="1"/>
    <row r="132" s="2094" customFormat="1" ht="12.75" customHeight="1"/>
    <row r="133" s="2094" customFormat="1" ht="12.75" customHeight="1"/>
    <row r="134" s="2094" customFormat="1" ht="12.75" customHeight="1"/>
    <row r="135" s="2094" customFormat="1" ht="12.75" customHeight="1"/>
    <row r="136" s="2094" customFormat="1" ht="12.75" customHeight="1"/>
    <row r="137" s="2094" customFormat="1" ht="12.75" customHeight="1"/>
    <row r="138" s="2094" customFormat="1" ht="12.75" customHeight="1"/>
    <row r="139" s="2094" customFormat="1" ht="12.75" customHeight="1"/>
    <row r="140" s="2094" customFormat="1" ht="12.75" customHeight="1"/>
    <row r="141" s="2094" customFormat="1" ht="12.75" customHeight="1"/>
    <row r="142" s="2094" customFormat="1" ht="12.75" customHeight="1"/>
    <row r="143" s="2094" customFormat="1" ht="12.75" customHeight="1"/>
    <row r="144" s="2094" customFormat="1" ht="12.75" customHeight="1"/>
    <row r="145" spans="1:14" s="2094" customFormat="1" ht="12.75" customHeight="1"/>
    <row r="146" spans="1:14" s="2094" customFormat="1" ht="12.75" customHeight="1"/>
    <row r="147" spans="1:14" s="2094" customFormat="1" ht="12.75" customHeight="1"/>
    <row r="148" spans="1:14" s="2094" customFormat="1" ht="12.75" customHeight="1"/>
    <row r="149" spans="1:14" s="2094" customFormat="1" ht="12.75" customHeight="1"/>
    <row r="150" spans="1:14" s="2094" customFormat="1" ht="12.75" customHeight="1">
      <c r="A150" s="2715" t="str">
        <f>'5. Management'!AC9</f>
        <v xml:space="preserve"> </v>
      </c>
    </row>
    <row r="151" spans="1:14" s="2094" customFormat="1" ht="12.75" customHeight="1">
      <c r="A151" s="2744" t="str">
        <f>IF(Nlang=1,"","Tar")</f>
        <v/>
      </c>
      <c r="B151" s="2094" t="str">
        <f>IF(Nlang=1,"",HLOOKUP(select,'Name translation'!$A$1:$H$45,31,))</f>
        <v/>
      </c>
      <c r="E151" s="2744" t="str">
        <f>IF(Nlang=1,"","SCf")</f>
        <v/>
      </c>
      <c r="F151" s="2094" t="str">
        <f>IF(Nlang=1,"",HLOOKUP(select,'Name translation'!$A$1:$H$45,35,))</f>
        <v/>
      </c>
      <c r="I151" s="2744" t="str">
        <f>IF(Nlang=1,"","TeDo")</f>
        <v/>
      </c>
      <c r="J151" s="2094" t="str">
        <f>IF(Nlang=1,"",HLOOKUP(select,'Name translation'!$A$1:$H$45,39,))</f>
        <v/>
      </c>
      <c r="M151" s="2744" t="str">
        <f>IF(Nlang=1,"","Ba")</f>
        <v/>
      </c>
      <c r="N151" s="2094" t="str">
        <f>IF(Nlang=1,"",HLOOKUP(select,'Name translation'!$A$1:$H$45,42,))</f>
        <v/>
      </c>
    </row>
    <row r="152" spans="1:14" s="2094" customFormat="1" ht="12.75" customHeight="1">
      <c r="A152" s="2744" t="str">
        <f>IF(Nlang=1,"","TAWa")</f>
        <v/>
      </c>
      <c r="B152" s="2094" t="str">
        <f>IF(Nlang=1,"",HLOOKUP(select,'Name translation'!$A$1:$H$45,32,))</f>
        <v/>
      </c>
      <c r="E152" s="2744" t="str">
        <f>IF(Nlang=1,"","SCs")</f>
        <v/>
      </c>
      <c r="F152" s="2094" t="str">
        <f>IF(Nlang=1,"",HLOOKUP(select,'Name translation'!$A$1:$H$45,36,))</f>
        <v/>
      </c>
      <c r="I152" s="2744" t="str">
        <f>IF(Nlang=1,"","TeDc")</f>
        <v/>
      </c>
      <c r="J152" s="2094" t="str">
        <f>IF(Nlang=1,"",HLOOKUP(select,'Name translation'!$A$1:$H$45,40,))</f>
        <v/>
      </c>
      <c r="M152" s="2744" t="str">
        <f>IF(Nlang=1,"","Bb")</f>
        <v/>
      </c>
      <c r="N152" s="2094" t="str">
        <f>IF(Nlang=1,"",HLOOKUP(select,'Name translation'!$A$1:$H$45,43,))</f>
        <v/>
      </c>
    </row>
    <row r="153" spans="1:14" s="2094" customFormat="1" ht="12.75" customHeight="1">
      <c r="A153" s="2744" t="str">
        <f>IF(Nlang=1,"","TAWb")</f>
        <v/>
      </c>
      <c r="B153" s="2094" t="str">
        <f>IF(Nlang=1,"",HLOOKUP(select,'Name translation'!$A$1:$H$45,33,))</f>
        <v/>
      </c>
      <c r="E153" s="2744" t="str">
        <f>IF(Nlang=1,"","SCSh")</f>
        <v/>
      </c>
      <c r="F153" s="2094" t="str">
        <f>IF(Nlang=1,"",HLOOKUP(select,'Name translation'!$A$1:$H$45,37,))</f>
        <v/>
      </c>
      <c r="I153" s="2744" t="str">
        <f>IF(Nlang=1,"","TeBsk")</f>
        <v/>
      </c>
      <c r="J153" s="2094" t="str">
        <f>IF(Nlang=1,"",HLOOKUP(select,translations!$A$445:$H$490,43,))</f>
        <v/>
      </c>
      <c r="M153" s="2744" t="str">
        <f>IF(Nlang=1,"","BM")</f>
        <v/>
      </c>
      <c r="N153" s="2094" t="str">
        <f>IF(Nlang=1,"",HLOOKUP(select,'Name translation'!$A$1:$H$45,44,))</f>
        <v/>
      </c>
    </row>
    <row r="154" spans="1:14" s="2094" customFormat="1" ht="12.75" customHeight="1">
      <c r="A154" s="2744" t="str">
        <f>IF(Nlang=1,"","TBSh")</f>
        <v/>
      </c>
      <c r="B154" s="2094" t="str">
        <f>IF(Nlang=1,"",HLOOKUP(select,'Name translation'!$A$1:$H$45,34,))</f>
        <v/>
      </c>
      <c r="E154" s="2744" t="str">
        <f>IF(Nlang=1,"","SBWh")</f>
        <v/>
      </c>
      <c r="F154" s="2094" t="str">
        <f>IF(Nlang=1,"",HLOOKUP(select,translations!$A$445:$H$490,42,))</f>
        <v/>
      </c>
      <c r="I154" s="2744" t="str">
        <f>IF(Nlang=1,"","TeBWK")</f>
        <v/>
      </c>
      <c r="J154" s="2094" t="str">
        <f>IF(Nlang=1,"",HLOOKUP(select,translations!$A$445:$H$490,44,))</f>
        <v/>
      </c>
      <c r="M154" s="2745"/>
    </row>
    <row r="155" spans="1:14" s="2094" customFormat="1" ht="12.75" customHeight="1">
      <c r="A155" s="2744" t="str">
        <f>IF(Nlang=1,"","TBWh")</f>
        <v/>
      </c>
      <c r="B155" s="2094" t="str">
        <f>IF(Nlang=1,"",HLOOKUP(select,translations!$A$445:$H$490,41,))</f>
        <v/>
      </c>
      <c r="E155" s="2744" t="str">
        <f>IF(Nlang=1,"","SM")</f>
        <v/>
      </c>
      <c r="F155" s="2094" t="str">
        <f>IF(Nlang=1,"",HLOOKUP(select,'Name translation'!$A$1:$H$45,38,))</f>
        <v/>
      </c>
      <c r="I155" s="2744" t="str">
        <f>IF(Nlang=1,"","TeM")</f>
        <v/>
      </c>
      <c r="J155" s="2094" t="str">
        <f>IF(Nlang=1,"",HLOOKUP(select,'Name translation'!$A$1:$H$45,41,))</f>
        <v/>
      </c>
      <c r="M155" s="2744" t="str">
        <f>IF(Nlang=1,"","P")</f>
        <v/>
      </c>
      <c r="N155" s="2094" t="str">
        <f>IF(Nlang=1,"",HLOOKUP(select,translations!$A$445:$H$490,45,))</f>
        <v/>
      </c>
    </row>
    <row r="156" spans="1:14" s="2094" customFormat="1" ht="12.75" customHeight="1">
      <c r="A156" s="2744" t="str">
        <f>IF(Nlang=1,"","TM")</f>
        <v/>
      </c>
      <c r="B156" s="2094" t="str">
        <f>IF(Nlang=1,"",HLOOKUP(select,'Name translation'!$A$1:$H$45,45,))</f>
        <v/>
      </c>
    </row>
    <row r="157" spans="1:14" s="2094" customFormat="1" ht="12.75" customHeight="1"/>
    <row r="158" spans="1:14" s="2094" customFormat="1" ht="12.75" customHeight="1"/>
    <row r="159" spans="1:14" s="2094" customFormat="1" ht="12.75" customHeight="1"/>
    <row r="160" spans="1:14" s="2094" customFormat="1" ht="12.75" customHeight="1"/>
    <row r="161" s="2094" customFormat="1" ht="12.75" customHeight="1"/>
    <row r="162" s="2094" customFormat="1" ht="12.75" customHeight="1"/>
    <row r="163" s="2094" customFormat="1" ht="12.75" customHeight="1"/>
    <row r="164" s="2094" customFormat="1" ht="12.75" customHeight="1"/>
    <row r="165" s="2094" customFormat="1" ht="12.75" customHeight="1"/>
    <row r="166" s="2094" customFormat="1" ht="12.75" customHeight="1"/>
    <row r="167" s="2094" customFormat="1" ht="12.75" customHeight="1"/>
    <row r="168" s="2094" customFormat="1" ht="12.75" customHeight="1"/>
    <row r="169" s="2094" customFormat="1" ht="12.75" customHeight="1"/>
    <row r="170" s="2094" customFormat="1" ht="12.75" customHeight="1"/>
    <row r="171" s="2094" customFormat="1" ht="12.75" customHeight="1"/>
    <row r="172" s="2094" customFormat="1" ht="12.75" customHeight="1"/>
    <row r="173" s="2094" customFormat="1" ht="12.75" customHeight="1"/>
    <row r="174" s="2094" customFormat="1" ht="12.75" customHeight="1"/>
    <row r="175" s="2094" customFormat="1" ht="12.75" customHeight="1"/>
    <row r="176" s="2094" customFormat="1" ht="12.75" customHeight="1"/>
    <row r="177" s="2094" customFormat="1" ht="12.75" customHeight="1"/>
    <row r="178" s="2094" customFormat="1" ht="12.75" customHeight="1"/>
    <row r="179" s="2094" customFormat="1" ht="12.75" customHeight="1"/>
    <row r="180" s="2094" customFormat="1" ht="12.75" customHeight="1"/>
    <row r="181" s="2094" customFormat="1" ht="12.75" customHeight="1"/>
    <row r="182" s="2094" customFormat="1" ht="12.75" customHeight="1"/>
    <row r="183" s="2094" customFormat="1" ht="12.75" customHeight="1"/>
    <row r="184" s="2094" customFormat="1" ht="12.75" customHeight="1"/>
    <row r="185" s="2094" customFormat="1" ht="12.75" customHeight="1"/>
    <row r="186" s="2094" customFormat="1" ht="12.75" customHeight="1"/>
    <row r="187" s="2094" customFormat="1" ht="12.75" customHeight="1"/>
    <row r="188" s="2094" customFormat="1" ht="12.75" customHeight="1"/>
    <row r="189" s="2094" customFormat="1" ht="12.75" customHeight="1"/>
    <row r="190" s="2094" customFormat="1" ht="12.75" customHeight="1"/>
    <row r="191" s="2094" customFormat="1" ht="12.75" customHeight="1"/>
    <row r="192" s="2094" customFormat="1" ht="12.75" customHeight="1"/>
    <row r="193" s="2094" customFormat="1" ht="12.75" customHeight="1"/>
    <row r="194" s="2094" customFormat="1" ht="12.75" customHeight="1"/>
    <row r="195" s="2094" customFormat="1" ht="12.75" customHeight="1"/>
    <row r="196" s="2094" customFormat="1" ht="12.75" customHeight="1"/>
    <row r="197" s="2094" customFormat="1" ht="12.75" customHeight="1"/>
    <row r="198" s="2094" customFormat="1" ht="12.75" customHeight="1"/>
    <row r="199" s="2094" customFormat="1" ht="12.75" customHeight="1"/>
    <row r="200" s="2094" customFormat="1" ht="12.75" customHeight="1"/>
    <row r="201" s="2094" customFormat="1" ht="12.75" customHeight="1"/>
    <row r="202" s="2094" customFormat="1" ht="12.75" customHeight="1"/>
    <row r="203" s="2094" customFormat="1" ht="12.75" customHeight="1"/>
    <row r="204" s="2094" customFormat="1" ht="12.75" customHeight="1"/>
    <row r="205" s="2094" customFormat="1" ht="12.75" customHeight="1"/>
    <row r="206" s="2094" customFormat="1" ht="12.75" customHeight="1"/>
    <row r="207" s="2094" customFormat="1" ht="12.75" customHeight="1"/>
    <row r="208" s="2094" customFormat="1" ht="12.75" customHeight="1"/>
    <row r="209" s="2094" customFormat="1" ht="12.75" customHeight="1"/>
    <row r="210" s="2094" customFormat="1" ht="12.75" customHeight="1"/>
    <row r="211" s="2094" customFormat="1" ht="12.75" customHeight="1"/>
    <row r="212" s="2094" customFormat="1" ht="12.75" customHeight="1"/>
    <row r="213" s="2094" customFormat="1" ht="12.75" customHeight="1"/>
    <row r="214" s="2094" customFormat="1" ht="12.75" customHeight="1"/>
    <row r="215" s="2094" customFormat="1" ht="12.75" customHeight="1"/>
    <row r="216" s="2094" customFormat="1" ht="12.75" customHeight="1"/>
    <row r="217" s="2094" customFormat="1" ht="12.75" customHeight="1"/>
    <row r="218" s="2094" customFormat="1" ht="12.75" customHeight="1"/>
    <row r="219" s="2094" customFormat="1" ht="12.75" customHeight="1"/>
    <row r="220" s="2094" customFormat="1" ht="12.75" customHeight="1"/>
    <row r="221" s="2094" customFormat="1" ht="12.75" customHeight="1"/>
    <row r="222" s="2094" customFormat="1" ht="12.75" customHeight="1"/>
    <row r="223" s="2094" customFormat="1" ht="12.75" customHeight="1"/>
    <row r="224" s="2094" customFormat="1" ht="12.75" customHeight="1"/>
    <row r="225" s="2094" customFormat="1" ht="12.75" customHeight="1"/>
    <row r="226" s="2094" customFormat="1" ht="12.75" customHeight="1"/>
    <row r="227" s="2094" customFormat="1" ht="12.75" customHeight="1"/>
    <row r="228" s="2094" customFormat="1" ht="12.75" customHeight="1"/>
    <row r="229" s="2094" customFormat="1" ht="12.75" customHeight="1"/>
    <row r="230" s="2094" customFormat="1" ht="12.75" customHeight="1"/>
    <row r="231" s="2094" customFormat="1" ht="12.75" customHeight="1"/>
    <row r="232" s="2094" customFormat="1" ht="12.75" customHeight="1"/>
    <row r="233" s="2094" customFormat="1" ht="12.75" customHeight="1"/>
    <row r="234" s="2094" customFormat="1" ht="12.75" customHeight="1"/>
    <row r="235" s="2094" customFormat="1" ht="12.75" customHeight="1"/>
    <row r="236" s="2094" customFormat="1" ht="12.75" customHeight="1"/>
    <row r="237" s="2094" customFormat="1" ht="12.75" customHeight="1"/>
    <row r="238" s="2094" customFormat="1" ht="12.75" customHeight="1"/>
    <row r="239" s="2094" customFormat="1" ht="12.75" customHeight="1"/>
    <row r="240" s="2094" customFormat="1" ht="12.75" customHeight="1"/>
    <row r="241" s="2094" customFormat="1" ht="12.75" customHeight="1"/>
    <row r="242" s="2094" customFormat="1" ht="12.75" customHeight="1"/>
    <row r="243" s="2094" customFormat="1" ht="12.75" customHeight="1"/>
    <row r="244" s="2094" customFormat="1" ht="12.75" customHeight="1"/>
    <row r="245" s="2094" customFormat="1" ht="12.75" customHeight="1"/>
    <row r="246" s="2094" customFormat="1" ht="12.75" customHeight="1"/>
    <row r="247" s="2094" customFormat="1" ht="12.75" customHeight="1"/>
    <row r="248" s="2094" customFormat="1" ht="12.75" customHeight="1"/>
    <row r="249" s="2094" customFormat="1" ht="12.75" customHeight="1"/>
    <row r="250" s="2094" customFormat="1" ht="12.75" customHeight="1"/>
    <row r="251" s="2094" customFormat="1" ht="12.75" customHeight="1"/>
    <row r="252" s="2094" customFormat="1" ht="12.75" customHeight="1"/>
    <row r="253" s="2094" customFormat="1" ht="12.75" customHeight="1"/>
    <row r="254" s="2094" customFormat="1" ht="12.75" customHeight="1"/>
    <row r="255" s="2094" customFormat="1" ht="12.75" customHeight="1"/>
    <row r="256" s="2094" customFormat="1" ht="12.75" customHeight="1"/>
    <row r="257" s="2094" customFormat="1" ht="12.75" customHeight="1"/>
    <row r="258" s="2094" customFormat="1" ht="12.75" customHeight="1"/>
    <row r="259" s="2094" customFormat="1" ht="12.75" customHeight="1"/>
    <row r="260" s="2094" customFormat="1" ht="12.75" customHeight="1"/>
    <row r="261" s="2094" customFormat="1" ht="12.75" customHeight="1"/>
    <row r="262" s="2094" customFormat="1" ht="12.75" customHeight="1"/>
    <row r="263" s="2094" customFormat="1" ht="12.75" customHeight="1"/>
    <row r="264" s="2094" customFormat="1" ht="12.75" customHeight="1"/>
    <row r="265" s="2094" customFormat="1" ht="12.75" customHeight="1"/>
    <row r="266" s="2094" customFormat="1" ht="12.75" customHeight="1"/>
    <row r="267" s="2094" customFormat="1" ht="12.75" customHeight="1"/>
    <row r="268" s="2094" customFormat="1" ht="12.75" customHeight="1"/>
    <row r="269" s="2094" customFormat="1" ht="12.75" customHeight="1"/>
    <row r="270" s="2094" customFormat="1" ht="12.75" customHeight="1"/>
    <row r="271" s="2094" customFormat="1" ht="12.75" customHeight="1"/>
    <row r="272" s="2094" customFormat="1" ht="12.75" customHeight="1"/>
    <row r="273" s="2094" customFormat="1" ht="12.75" customHeight="1"/>
    <row r="274" s="2094" customFormat="1" ht="12.75" customHeight="1"/>
    <row r="275" s="2094" customFormat="1" ht="12.75" customHeight="1"/>
    <row r="276" s="2094" customFormat="1" ht="12.75" customHeight="1"/>
    <row r="277" s="2094" customFormat="1" ht="12.75" customHeight="1"/>
    <row r="278" s="2094" customFormat="1" ht="12.75" customHeight="1"/>
    <row r="279" s="2094" customFormat="1" ht="12.75" customHeight="1"/>
    <row r="280" s="2094" customFormat="1" ht="12.75" customHeight="1"/>
    <row r="281" s="2094" customFormat="1" ht="12.75" customHeight="1"/>
    <row r="282" s="2094" customFormat="1" ht="12.75" customHeight="1"/>
    <row r="283" s="2094" customFormat="1" ht="12.75" customHeight="1"/>
    <row r="284" s="2094" customFormat="1" ht="12.75" customHeight="1"/>
    <row r="285" s="2094" customFormat="1" ht="12.75" customHeight="1"/>
    <row r="286" s="2094" customFormat="1" ht="12.75" customHeight="1"/>
    <row r="287" s="2094" customFormat="1" ht="12.75" customHeight="1"/>
    <row r="288" s="2094" customFormat="1" ht="12.75" customHeight="1"/>
    <row r="289" s="2094" customFormat="1" ht="12.75" customHeight="1"/>
    <row r="290" s="2094" customFormat="1" ht="12.75" customHeight="1"/>
    <row r="291" s="2094" customFormat="1" ht="12.75" customHeight="1"/>
    <row r="292" s="2094" customFormat="1" ht="12.75" customHeight="1"/>
    <row r="293" s="2094" customFormat="1" ht="12.75" customHeight="1"/>
    <row r="294" s="2094" customFormat="1" ht="12.75" customHeight="1"/>
    <row r="295" s="2094" customFormat="1" ht="12.75" customHeight="1"/>
    <row r="296" s="2094" customFormat="1" ht="12.75" customHeight="1"/>
    <row r="297" s="2094" customFormat="1" ht="12.75" customHeight="1"/>
    <row r="298" s="2094" customFormat="1" ht="12.75" customHeight="1"/>
    <row r="299" s="2094" customFormat="1" ht="12.75" customHeight="1"/>
    <row r="300" s="2094" customFormat="1" ht="12.75" customHeight="1"/>
    <row r="301" s="2094" customFormat="1" ht="12.75" customHeight="1"/>
    <row r="302" s="2094" customFormat="1" ht="12.75" customHeight="1"/>
    <row r="303" s="2094" customFormat="1" ht="12.75" customHeight="1"/>
    <row r="304" s="2094" customFormat="1" ht="12.75" customHeight="1"/>
    <row r="305" s="2094" customFormat="1" ht="12.75" customHeight="1"/>
    <row r="306" s="2094" customFormat="1" ht="12.75" customHeight="1"/>
    <row r="307" s="2094" customFormat="1" ht="12.75" customHeight="1"/>
    <row r="308" s="2094" customFormat="1" ht="12.75" customHeight="1"/>
    <row r="309" s="2094" customFormat="1" ht="12.75" customHeight="1"/>
    <row r="310" s="2094" customFormat="1" ht="12.75" customHeight="1"/>
    <row r="311" s="2094" customFormat="1" ht="12.75" customHeight="1"/>
    <row r="312" s="2094" customFormat="1" ht="12.75" customHeight="1"/>
    <row r="313" s="2094" customFormat="1" ht="12.75" customHeight="1"/>
    <row r="314" s="2094" customFormat="1" ht="12.75" customHeight="1"/>
    <row r="315" s="2094" customFormat="1" ht="12.75" customHeight="1"/>
    <row r="316" s="2094" customFormat="1" ht="12.75" customHeight="1"/>
    <row r="317" s="2094" customFormat="1" ht="12.75" customHeight="1"/>
    <row r="318" s="2094" customFormat="1" ht="12.75" customHeight="1"/>
    <row r="319" s="2094" customFormat="1" ht="12.75" customHeight="1"/>
    <row r="320" s="2094" customFormat="1" ht="12.75" customHeight="1"/>
    <row r="321" s="2094" customFormat="1" ht="12.75" customHeight="1"/>
    <row r="322" s="2094" customFormat="1" ht="12.75" customHeight="1"/>
    <row r="323" s="2094" customFormat="1" ht="12.75" customHeight="1"/>
    <row r="324" s="2094" customFormat="1" ht="12.75" customHeight="1"/>
    <row r="325" s="2094" customFormat="1" ht="12.75" customHeight="1"/>
    <row r="326" s="2094" customFormat="1" ht="12.75" customHeight="1"/>
    <row r="327" s="2094" customFormat="1" ht="12.75" customHeight="1"/>
    <row r="328" s="2094" customFormat="1" ht="12.75" customHeight="1"/>
    <row r="329" s="2094" customFormat="1" ht="12.75" customHeight="1"/>
    <row r="330" s="2094" customFormat="1" ht="12.75" customHeight="1"/>
    <row r="331" s="2094" customFormat="1" ht="12.75" customHeight="1"/>
    <row r="332" s="2094" customFormat="1" ht="12.75" customHeight="1"/>
    <row r="333" s="2094" customFormat="1" ht="12.75" customHeight="1"/>
    <row r="334" s="2094" customFormat="1" ht="12.75" customHeight="1"/>
    <row r="335" s="2094" customFormat="1" ht="12.75" customHeight="1"/>
    <row r="336" s="2094" customFormat="1" ht="12.75" customHeight="1"/>
    <row r="337" s="2094" customFormat="1" ht="12.75" customHeight="1"/>
    <row r="338" s="2094" customFormat="1" ht="12.75" customHeight="1"/>
    <row r="339" s="2094" customFormat="1" ht="12.75" customHeight="1"/>
    <row r="340" s="2094" customFormat="1" ht="12.75" customHeight="1"/>
    <row r="341" s="2094" customFormat="1" ht="12.75" customHeight="1"/>
    <row r="342" s="2094" customFormat="1" ht="12.75" customHeight="1"/>
    <row r="343" s="2094" customFormat="1" ht="12.75" customHeight="1"/>
    <row r="344" s="2094" customFormat="1" ht="12.75" customHeight="1"/>
    <row r="345" s="2094" customFormat="1" ht="12.75" customHeight="1"/>
    <row r="346" s="2094" customFormat="1" ht="12.75" customHeight="1"/>
    <row r="347" s="2094" customFormat="1" ht="12.75" customHeight="1"/>
    <row r="348" s="2094" customFormat="1" ht="12.75" customHeight="1"/>
    <row r="349" s="2094" customFormat="1" ht="12.75" customHeight="1"/>
    <row r="350" s="2094" customFormat="1" ht="12.75" customHeight="1"/>
    <row r="351" s="2094" customFormat="1" ht="12.75" customHeight="1"/>
    <row r="352" s="2094" customFormat="1" ht="12.75" customHeight="1"/>
    <row r="353" s="2094" customFormat="1" ht="12.75" customHeight="1"/>
    <row r="354" s="2094" customFormat="1" ht="12.75" customHeight="1"/>
    <row r="355" s="2094" customFormat="1" ht="12.75" customHeight="1"/>
    <row r="356" s="2094" customFormat="1" ht="12.75" customHeight="1"/>
    <row r="357" s="2094" customFormat="1" ht="12.75" customHeight="1"/>
    <row r="358" s="2094" customFormat="1" ht="12.75" customHeight="1"/>
    <row r="359" s="2094" customFormat="1" ht="12.75" customHeight="1"/>
    <row r="360" s="2094" customFormat="1" ht="12.75" customHeight="1"/>
    <row r="361" s="2094" customFormat="1" ht="12.75" customHeight="1"/>
    <row r="362" s="2094" customFormat="1" ht="12.75" customHeight="1"/>
    <row r="363" s="2094" customFormat="1" ht="12.75" customHeight="1"/>
    <row r="364" s="2094" customFormat="1" ht="12.75" customHeight="1"/>
    <row r="365" s="2094" customFormat="1" ht="12.75" customHeight="1"/>
    <row r="366" s="2094" customFormat="1" ht="12.75" customHeight="1"/>
    <row r="367" s="2094" customFormat="1" ht="12.75" customHeight="1"/>
    <row r="368" s="2094" customFormat="1" ht="12.75" customHeight="1"/>
    <row r="369" s="2094" customFormat="1" ht="12.75" customHeight="1"/>
    <row r="370" s="2094" customFormat="1" ht="12.75" customHeight="1"/>
    <row r="371" s="2094" customFormat="1" ht="12.75" customHeight="1"/>
    <row r="372" s="2094" customFormat="1" ht="12.75" customHeight="1"/>
    <row r="373" s="2094" customFormat="1" ht="12.75" customHeight="1"/>
    <row r="374" s="2094" customFormat="1" ht="12.75" customHeight="1"/>
    <row r="375" s="2094" customFormat="1" ht="12.75" customHeight="1"/>
    <row r="376" s="2094" customFormat="1" ht="12.75" customHeight="1"/>
    <row r="377" s="2094" customFormat="1" ht="12.75" customHeight="1"/>
    <row r="378" s="2094" customFormat="1" ht="12.75" customHeight="1"/>
    <row r="379" s="2094" customFormat="1" ht="12.75" customHeight="1"/>
    <row r="380" s="2094" customFormat="1" ht="12.75" customHeight="1"/>
    <row r="381" s="2094" customFormat="1" ht="12.75" customHeight="1"/>
    <row r="382" s="2094" customFormat="1" ht="12.75" customHeight="1"/>
    <row r="383" s="2094" customFormat="1" ht="12.75" customHeight="1"/>
    <row r="384" s="2094" customFormat="1" ht="12.75" customHeight="1"/>
    <row r="385" s="2094" customFormat="1" ht="12.75" customHeight="1"/>
    <row r="386" s="2094" customFormat="1" ht="12.75" customHeight="1"/>
    <row r="387" s="2094" customFormat="1" ht="12.75" customHeight="1"/>
    <row r="388" s="2094" customFormat="1" ht="12.75" customHeight="1"/>
    <row r="389" s="2094" customFormat="1" ht="12.75" customHeight="1"/>
    <row r="390" s="2094" customFormat="1" ht="12.75" customHeight="1"/>
    <row r="391" s="2094" customFormat="1" ht="12.75" customHeight="1"/>
    <row r="392" s="2094" customFormat="1" ht="12.75" customHeight="1"/>
    <row r="393" s="2094" customFormat="1" ht="12.75" customHeight="1"/>
    <row r="394" s="2094" customFormat="1" ht="12.75" customHeight="1"/>
    <row r="395" s="2094" customFormat="1" ht="12.75" customHeight="1"/>
    <row r="396" s="2094" customFormat="1" ht="12.75" customHeight="1"/>
    <row r="397" s="2094" customFormat="1" ht="12.75" customHeight="1"/>
    <row r="398" s="2094" customFormat="1" ht="12.75" customHeight="1"/>
    <row r="399" s="2094" customFormat="1" ht="12.75" customHeight="1"/>
    <row r="400" s="2094" customFormat="1" ht="12.75" customHeight="1"/>
    <row r="401" s="2094" customFormat="1" ht="12.75" customHeight="1"/>
    <row r="402" s="2094" customFormat="1" ht="12.75" customHeight="1"/>
    <row r="403" s="2094" customFormat="1" ht="12.75" customHeight="1"/>
    <row r="404" s="2094" customFormat="1" ht="12.75" customHeight="1"/>
    <row r="405" s="2094" customFormat="1" ht="12.75" customHeight="1"/>
    <row r="406" s="2094" customFormat="1" ht="12.75" customHeight="1"/>
    <row r="407" s="2094" customFormat="1" ht="12.75" customHeight="1"/>
    <row r="408" s="2094" customFormat="1" ht="12.75" customHeight="1"/>
    <row r="409" s="2094" customFormat="1" ht="12.75" customHeight="1"/>
    <row r="410" s="2094" customFormat="1" ht="12.75" customHeight="1"/>
    <row r="411" s="2094" customFormat="1" ht="12.75" customHeight="1"/>
    <row r="412" s="2094" customFormat="1" ht="12.75" customHeight="1"/>
    <row r="413" s="2094" customFormat="1" ht="12.75" customHeight="1"/>
    <row r="414" s="2094" customFormat="1" ht="12.75" customHeight="1"/>
    <row r="415" s="2094" customFormat="1" ht="12.75" customHeight="1"/>
    <row r="416" s="2094" customFormat="1" ht="12.75" customHeight="1"/>
    <row r="417" s="2094" customFormat="1" ht="12.75" customHeight="1"/>
    <row r="418" s="2094" customFormat="1" ht="12.75" customHeight="1"/>
    <row r="419" s="2094" customFormat="1" ht="12.75" customHeight="1"/>
    <row r="420" s="2094" customFormat="1" ht="12.75" customHeight="1"/>
    <row r="421" s="2094" customFormat="1" ht="12.75" customHeight="1"/>
    <row r="422" s="2094" customFormat="1" ht="12.75" customHeight="1"/>
    <row r="423" s="2094" customFormat="1" ht="12.75" customHeight="1"/>
    <row r="424" s="2094" customFormat="1" ht="12.75" customHeight="1"/>
    <row r="425" s="2094" customFormat="1" ht="12.75" customHeight="1"/>
    <row r="426" s="2094" customFormat="1" ht="12.75" customHeight="1"/>
    <row r="427" s="2094" customFormat="1" ht="12.75" customHeight="1"/>
    <row r="428" s="2094" customFormat="1" ht="12.75" customHeight="1"/>
    <row r="429" s="2094" customFormat="1" ht="12.75" customHeight="1"/>
    <row r="430" s="2094" customFormat="1" ht="12.75" customHeight="1"/>
    <row r="431" s="2094" customFormat="1" ht="12.75" customHeight="1"/>
    <row r="432" s="2094" customFormat="1" ht="12.75" customHeight="1"/>
    <row r="433" s="2094" customFormat="1" ht="12.75" customHeight="1"/>
    <row r="434" s="2094" customFormat="1" ht="12.75" customHeight="1"/>
    <row r="435" s="2094" customFormat="1" ht="12.75" customHeight="1"/>
    <row r="436" s="2094" customFormat="1" ht="12.75" customHeight="1"/>
    <row r="437" s="2094" customFormat="1" ht="12.75" customHeight="1"/>
    <row r="438" s="2094" customFormat="1" ht="12.75" customHeight="1"/>
  </sheetData>
  <sheetProtection algorithmName="SHA-512" hashValue="OIBSsgJHDrrGCegQxIJcAKF2ML+AmX28Dw8GQGUcAjPExyEKXdOlrgGlzJR7GtTgahYXEZxifLa/jcBAXweNtg==" saltValue="UtDcWMbCuiQom88zW8l+DA==" spinCount="100000" sheet="1" objects="1" scenarios="1" formatCells="0" formatColumns="0" formatRows="0"/>
  <mergeCells count="70">
    <mergeCell ref="C105:E107"/>
    <mergeCell ref="Q5:S5"/>
    <mergeCell ref="U5:W5"/>
    <mergeCell ref="Y5:AA5"/>
    <mergeCell ref="AC5:AE5"/>
    <mergeCell ref="M76:O76"/>
    <mergeCell ref="C7:D8"/>
    <mergeCell ref="P7:Q7"/>
    <mergeCell ref="C44:D45"/>
    <mergeCell ref="M64:Q64"/>
    <mergeCell ref="M66:P66"/>
    <mergeCell ref="M69:Q71"/>
    <mergeCell ref="M72:O72"/>
    <mergeCell ref="M74:Q75"/>
    <mergeCell ref="AW5:AY5"/>
    <mergeCell ref="BA5:BC5"/>
    <mergeCell ref="BE5:BG5"/>
    <mergeCell ref="BI5:BK5"/>
    <mergeCell ref="AG5:AI5"/>
    <mergeCell ref="AK5:AM5"/>
    <mergeCell ref="AO5:AQ5"/>
    <mergeCell ref="AS5:AU5"/>
    <mergeCell ref="CC5:CE5"/>
    <mergeCell ref="CG5:CI5"/>
    <mergeCell ref="CK5:CM5"/>
    <mergeCell ref="CO5:CQ5"/>
    <mergeCell ref="BM5:BO5"/>
    <mergeCell ref="BQ5:BS5"/>
    <mergeCell ref="BU5:BW5"/>
    <mergeCell ref="BY5:CA5"/>
    <mergeCell ref="DI5:DK5"/>
    <mergeCell ref="DM5:DO5"/>
    <mergeCell ref="DQ5:DS5"/>
    <mergeCell ref="DU5:DW5"/>
    <mergeCell ref="CS5:CU5"/>
    <mergeCell ref="CW5:CY5"/>
    <mergeCell ref="DA5:DC5"/>
    <mergeCell ref="DE5:DG5"/>
    <mergeCell ref="EO5:EQ5"/>
    <mergeCell ref="ES5:EU5"/>
    <mergeCell ref="EW5:EY5"/>
    <mergeCell ref="FA5:FC5"/>
    <mergeCell ref="DY5:EA5"/>
    <mergeCell ref="EC5:EE5"/>
    <mergeCell ref="EG5:EI5"/>
    <mergeCell ref="EK5:EM5"/>
    <mergeCell ref="GG5:GI5"/>
    <mergeCell ref="FE5:FG5"/>
    <mergeCell ref="FI5:FK5"/>
    <mergeCell ref="FM5:FO5"/>
    <mergeCell ref="FQ5:FS5"/>
    <mergeCell ref="FU5:FW5"/>
    <mergeCell ref="FY5:GA5"/>
    <mergeCell ref="GC5:GE5"/>
    <mergeCell ref="IK5:IM5"/>
    <mergeCell ref="IO5:IQ5"/>
    <mergeCell ref="IS5:IU5"/>
    <mergeCell ref="HQ5:HS5"/>
    <mergeCell ref="HU5:HW5"/>
    <mergeCell ref="HY5:IA5"/>
    <mergeCell ref="IC5:IE5"/>
    <mergeCell ref="IG5:II5"/>
    <mergeCell ref="HA5:HC5"/>
    <mergeCell ref="HE5:HG5"/>
    <mergeCell ref="HI5:HK5"/>
    <mergeCell ref="HM5:HO5"/>
    <mergeCell ref="GK5:GM5"/>
    <mergeCell ref="GO5:GQ5"/>
    <mergeCell ref="GS5:GU5"/>
    <mergeCell ref="GW5:GY5"/>
  </mergeCells>
  <phoneticPr fontId="0" type="noConversion"/>
  <hyperlinks>
    <hyperlink ref="M76" r:id="rId1" display="Go to Web LocClim"/>
    <hyperlink ref="M72" r:id="rId2" display="Click here to go to the application"/>
    <hyperlink ref="M65" r:id="rId3" display="Annual average rainfall total"/>
    <hyperlink ref="M64" r:id="rId4" display="See the Global Climate map at FAO"/>
    <hyperlink ref="M66" r:id="rId5" display="Annual average temperature"/>
    <hyperlink ref="M76:O76" r:id="rId6" display="http://www.fao.org/nr/climpag/locclim/locclim_en.asp"/>
  </hyperlinks>
  <pageMargins left="0.78740157499999996" right="0.49" top="0.984251969" bottom="0.984251969" header="0.4921259845" footer="0.4921259845"/>
  <pageSetup paperSize="9" scale="61" orientation="landscape" horizontalDpi="1200" verticalDpi="1200" r:id="rId7"/>
  <headerFooter alignWithMargins="0">
    <oddHeader>Page &amp;P&amp;R&amp;A</oddHeader>
    <oddFooter>&amp;F</oddFooter>
  </headerFooter>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39997558519241921"/>
    <pageSetUpPr fitToPage="1"/>
  </sheetPr>
  <dimension ref="A1:Z647"/>
  <sheetViews>
    <sheetView zoomScale="90" zoomScaleNormal="90" workbookViewId="0">
      <pane ySplit="5" topLeftCell="A6" activePane="bottomLeft" state="frozen"/>
      <selection activeCell="O43" sqref="O43"/>
      <selection pane="bottomLeft" activeCell="A6" sqref="A6"/>
    </sheetView>
  </sheetViews>
  <sheetFormatPr defaultColWidth="14.140625" defaultRowHeight="12.75"/>
  <cols>
    <col min="1" max="1" width="4.7109375" style="232" customWidth="1"/>
    <col min="2" max="2" width="22.42578125" style="232" customWidth="1"/>
    <col min="3" max="3" width="2" style="232" customWidth="1"/>
    <col min="4" max="4" width="12.5703125" style="232" customWidth="1"/>
    <col min="5" max="5" width="10.42578125" style="232" customWidth="1"/>
    <col min="6" max="6" width="11.7109375" style="232" customWidth="1"/>
    <col min="7" max="8" width="10.42578125" style="232" customWidth="1"/>
    <col min="9" max="9" width="9.28515625" style="232" customWidth="1"/>
    <col min="10" max="10" width="9.140625" style="232" customWidth="1"/>
    <col min="11" max="11" width="10.42578125" style="232" customWidth="1"/>
    <col min="12" max="12" width="2.28515625" style="232" customWidth="1"/>
    <col min="13" max="13" width="10.42578125" style="244" customWidth="1"/>
    <col min="14" max="14" width="2.7109375" style="232" customWidth="1"/>
    <col min="15" max="15" width="9.42578125" style="232" customWidth="1"/>
    <col min="16" max="16" width="2.5703125" style="232" customWidth="1"/>
    <col min="17" max="17" width="9.42578125" style="244" customWidth="1"/>
    <col min="18" max="18" width="13.140625" style="244" customWidth="1"/>
    <col min="19" max="19" width="11.5703125" style="244" customWidth="1"/>
    <col min="20" max="20" width="12.5703125" style="232" customWidth="1"/>
    <col min="21" max="21" width="4.5703125" style="232" customWidth="1"/>
    <col min="22" max="22" width="20.5703125" style="232" customWidth="1"/>
    <col min="23" max="23" width="5.140625" style="232" customWidth="1"/>
    <col min="24" max="16384" width="14.140625" style="232"/>
  </cols>
  <sheetData>
    <row r="1" spans="1:26" s="2233" customFormat="1" ht="22.9" customHeight="1">
      <c r="M1" s="2234"/>
      <c r="Q1" s="2234"/>
      <c r="R1" s="2234"/>
      <c r="S1" s="2234"/>
    </row>
    <row r="2" spans="1:26" s="2233" customFormat="1" ht="22.9" customHeight="1">
      <c r="M2" s="2234"/>
      <c r="Q2" s="2234"/>
      <c r="R2" s="2234"/>
      <c r="S2" s="2234"/>
    </row>
    <row r="3" spans="1:26" s="2233" customFormat="1" ht="22.9" customHeight="1">
      <c r="M3" s="2234"/>
      <c r="Q3" s="2234"/>
      <c r="R3" s="2234"/>
      <c r="S3" s="2234"/>
    </row>
    <row r="4" spans="1:26" s="2233" customFormat="1" ht="22.9" customHeight="1">
      <c r="M4" s="2234"/>
      <c r="Q4" s="2234"/>
      <c r="R4" s="2234"/>
      <c r="S4" s="2234"/>
    </row>
    <row r="5" spans="1:26" s="2235" customFormat="1" ht="22.9" customHeight="1">
      <c r="A5" s="2706" t="str">
        <f>HLOOKUP(select,translations!$B$436:$H$450,2,)</f>
        <v xml:space="preserve"> </v>
      </c>
      <c r="M5" s="2236"/>
      <c r="Q5" s="2236"/>
      <c r="R5" s="2236"/>
      <c r="S5" s="2236"/>
    </row>
    <row r="6" spans="1:26" s="1715" customFormat="1">
      <c r="B6" s="1797"/>
      <c r="C6" s="1797"/>
      <c r="Q6" s="1717"/>
      <c r="R6" s="1717"/>
      <c r="S6" s="1717"/>
    </row>
    <row r="7" spans="1:26" s="1715" customFormat="1" ht="15.75">
      <c r="B7" s="2520" t="str">
        <f>HLOOKUP(select,translations!$A$20:$H$70,2,)</f>
        <v>2.1. Deforestation</v>
      </c>
      <c r="C7" s="1801"/>
      <c r="D7" s="1732"/>
      <c r="E7" s="1732"/>
      <c r="F7" s="1732"/>
      <c r="G7" s="1732"/>
      <c r="H7" s="1732"/>
      <c r="I7" s="1732"/>
      <c r="J7" s="1732"/>
      <c r="K7" s="1732"/>
      <c r="L7" s="1732"/>
      <c r="M7" s="1732"/>
      <c r="N7" s="1732"/>
      <c r="O7" s="1732"/>
      <c r="P7" s="1732"/>
      <c r="Q7" s="1732"/>
      <c r="R7" s="1732"/>
      <c r="S7" s="1732"/>
      <c r="T7" s="1750"/>
    </row>
    <row r="8" spans="1:26" s="1715" customFormat="1">
      <c r="B8" s="2592" t="str">
        <f>HLOOKUP(select,translations!$A$20:$H$70,3,)</f>
        <v>AEZ map</v>
      </c>
      <c r="C8" s="2136"/>
      <c r="D8" s="1981" t="str">
        <f>CONCATENATE(HLOOKUP(select,translations!$A$20:$H$45,21,),IF(Nlang=1,forest1,VLOOKUP(forest1,'Name translation'!$A$30:$H$45,Nlang+1,)))</f>
        <v>Zone 1 = Please specify the climate</v>
      </c>
      <c r="E8" s="1981"/>
      <c r="F8" s="1981"/>
      <c r="G8" s="1981" t="str">
        <f>IF(forest2="","",CONCATENATE(HLOOKUP(select,translations!$A$20:$H$45,22,),IF(Nlang=1,forest2,VLOOKUP(forest2,'Name translation'!$A$30:$H$45,Nlang+1,))))</f>
        <v>Zone 2 = Please specify the climate</v>
      </c>
      <c r="H8" s="1981"/>
      <c r="I8" s="1981"/>
      <c r="J8" s="1981"/>
      <c r="K8" s="1981" t="str">
        <f>IF(forest3="","",CONCATENATE(HLOOKUP(select,translations!$A$20:$H$45,23,),IF(Nlang=1,forest3,VLOOKUP(forest3,'Name translation'!$A$30:$H$45,Nlang+1,))))</f>
        <v>Zone 3 = Please specify the climate</v>
      </c>
      <c r="L8" s="1981"/>
      <c r="M8" s="1981"/>
      <c r="N8" s="1981"/>
      <c r="O8" s="1981"/>
      <c r="P8" s="1981"/>
      <c r="Q8" s="2598" t="str">
        <f>IF(forest4="","",CONCATENATE(HLOOKUP(select,translations!$A$20:$H$45,24,),IF(Nlang=1,forest4,VLOOKUP(forest4,'Name translation'!$A$30:$H$45,Nlang+1,))))</f>
        <v>Zone 4 = Please specify the climate</v>
      </c>
      <c r="R8" s="1982"/>
      <c r="S8" s="1982"/>
      <c r="T8" s="1981"/>
    </row>
    <row r="9" spans="1:26" s="1715" customFormat="1">
      <c r="B9" s="1803"/>
      <c r="C9" s="1803"/>
      <c r="D9" s="1714"/>
      <c r="Q9" s="1717"/>
      <c r="R9" s="1717"/>
      <c r="S9" s="1717"/>
      <c r="V9" s="1706" t="str">
        <f>HLOOKUP(select,translations!$B$7:$H$19,13,)</f>
        <v xml:space="preserve"> </v>
      </c>
    </row>
    <row r="10" spans="1:26" s="1715" customFormat="1">
      <c r="B10" s="1804" t="str">
        <f>HLOOKUP(select,translations!$A$20:$H$70,4,)</f>
        <v>Type of vegetation</v>
      </c>
      <c r="C10" s="1804"/>
      <c r="D10" s="2074" t="str">
        <f>HLOOKUP(select,translations!$A$20:$H$70,6,)</f>
        <v>HWP#</v>
      </c>
      <c r="E10" s="2594" t="str">
        <f>HLOOKUP(select,translations!$A$20:$H$70,7,)</f>
        <v>Fire Use?</v>
      </c>
      <c r="F10" s="3679" t="str">
        <f>HLOOKUP(select,translations!$A$20:$H$70,8,)</f>
        <v>Final use after deforestation</v>
      </c>
      <c r="G10" s="3679"/>
      <c r="H10" s="3679"/>
      <c r="I10" s="1730"/>
      <c r="J10" s="1731" t="str">
        <f>HLOOKUP(select,translations!$A$20:$H$70,9,)</f>
        <v>Forested area (ha)</v>
      </c>
      <c r="K10" s="1731"/>
      <c r="L10" s="1731"/>
      <c r="M10" s="2047"/>
      <c r="N10" s="1726"/>
      <c r="O10" s="1730" t="str">
        <f>HLOOKUP(select,translations!$A$20:$H$70,10,)</f>
        <v>Deforested area (ha)</v>
      </c>
      <c r="P10" s="1730"/>
      <c r="Q10" s="1730"/>
      <c r="R10" s="3677" t="str">
        <f>HLOOKUP(select,translations!$A$20:$H$70,11,)</f>
        <v>Total Emissions (tCO2-eq)</v>
      </c>
      <c r="S10" s="3677"/>
      <c r="T10" s="2074" t="str">
        <f>HLOOKUP(select,translations!$A$20:$H$70,12,)</f>
        <v>Balance</v>
      </c>
      <c r="V10" s="1706" t="str">
        <f>IF(Nlang=1,"",B10)</f>
        <v/>
      </c>
      <c r="W10" s="1706"/>
      <c r="X10" s="1706" t="str">
        <f>IF(Nlang=1,"",F10)</f>
        <v/>
      </c>
      <c r="Y10" s="1706"/>
      <c r="Z10" s="1706"/>
    </row>
    <row r="11" spans="1:26" s="1715" customFormat="1">
      <c r="B11" s="1727" t="str">
        <f>HLOOKUP(select,translations!$A$20:$H$70,5,)</f>
        <v>that will be deforested</v>
      </c>
      <c r="C11" s="1727"/>
      <c r="D11" s="1745" t="str">
        <f>HLOOKUP(select,translations!$A$20:$H$70,13,)</f>
        <v xml:space="preserve"> (tDM/ha)</v>
      </c>
      <c r="E11" s="1999" t="str">
        <f>HLOOKUP(select,translations!$A$20:$H$70,14,)</f>
        <v>(y/n)</v>
      </c>
      <c r="F11" s="1726"/>
      <c r="G11" s="1726"/>
      <c r="H11" s="1726"/>
      <c r="I11" s="1726"/>
      <c r="J11" s="1783" t="str">
        <f>HLOOKUP(select,translations!$A$20:$H$70,18,)</f>
        <v>Start</v>
      </c>
      <c r="K11" s="1783" t="str">
        <f>HLOOKUP(select,translations!$A$20:$H$70,19,)</f>
        <v>Without</v>
      </c>
      <c r="L11" s="1783" t="s">
        <v>91</v>
      </c>
      <c r="M11" s="1783" t="str">
        <f>HLOOKUP(select,translations!$A$20:$H$70,20,)</f>
        <v>With</v>
      </c>
      <c r="N11" s="2132" t="s">
        <v>91</v>
      </c>
      <c r="O11" s="1776" t="str">
        <f>K11</f>
        <v>Without</v>
      </c>
      <c r="P11" s="1776"/>
      <c r="Q11" s="1776" t="str">
        <f>M11</f>
        <v>With</v>
      </c>
      <c r="R11" s="1746" t="str">
        <f>K11</f>
        <v>Without</v>
      </c>
      <c r="S11" s="1746" t="str">
        <f>M11</f>
        <v>With</v>
      </c>
      <c r="T11" s="1726"/>
    </row>
    <row r="12" spans="1:26" s="1715" customFormat="1">
      <c r="B12" s="1728" t="s">
        <v>1490</v>
      </c>
      <c r="C12" s="1727"/>
      <c r="D12" s="2071">
        <v>0</v>
      </c>
      <c r="E12" s="2826" t="s">
        <v>354</v>
      </c>
      <c r="F12" s="3674" t="s">
        <v>12</v>
      </c>
      <c r="G12" s="3674"/>
      <c r="H12" s="3674"/>
      <c r="I12" s="1726"/>
      <c r="J12" s="2071">
        <v>0</v>
      </c>
      <c r="K12" s="2071">
        <v>0</v>
      </c>
      <c r="L12" s="2113" t="s">
        <v>1498</v>
      </c>
      <c r="M12" s="2071">
        <v>0</v>
      </c>
      <c r="N12" s="2113" t="s">
        <v>1498</v>
      </c>
      <c r="O12" s="1747">
        <f>IF(B12="",0,Deforestation!H43)</f>
        <v>0</v>
      </c>
      <c r="P12" s="1747"/>
      <c r="Q12" s="1747">
        <f>IF(B12="",0,Deforestation!I43)</f>
        <v>0</v>
      </c>
      <c r="R12" s="1748">
        <f>IF(F12=List!$A$62,0,Deforestation!R43)</f>
        <v>0</v>
      </c>
      <c r="S12" s="1748">
        <f>IF(F12=List!$A$62,0,Deforestation!S43)</f>
        <v>0</v>
      </c>
      <c r="T12" s="1748">
        <f>IF(F12=List!$A$62,0,Deforestation!T43)</f>
        <v>0</v>
      </c>
      <c r="V12" s="1715" t="str">
        <f>IF(Nlang=1,"",VLOOKUP(B12,'Name translation'!$A$46:$H$55,Nlang+1,))</f>
        <v/>
      </c>
      <c r="W12" s="1708"/>
      <c r="X12" s="2653" t="str">
        <f>IF(Nlang=1,"",VLOOKUP(F12,'Name translation'!$A$58:$H$66,Nlang+1,))</f>
        <v/>
      </c>
    </row>
    <row r="13" spans="1:26" s="1715" customFormat="1">
      <c r="B13" s="1728" t="s">
        <v>1490</v>
      </c>
      <c r="C13" s="1727"/>
      <c r="D13" s="2071">
        <v>0</v>
      </c>
      <c r="E13" s="2073" t="s">
        <v>354</v>
      </c>
      <c r="F13" s="3674" t="s">
        <v>12</v>
      </c>
      <c r="G13" s="3674"/>
      <c r="H13" s="3674"/>
      <c r="I13" s="1726"/>
      <c r="J13" s="3134">
        <v>0</v>
      </c>
      <c r="K13" s="3134">
        <v>0</v>
      </c>
      <c r="L13" s="2113" t="s">
        <v>1498</v>
      </c>
      <c r="M13" s="3134">
        <v>0</v>
      </c>
      <c r="N13" s="2113" t="s">
        <v>1498</v>
      </c>
      <c r="O13" s="1747">
        <f>IF(B13="",0,Deforestation!H44)</f>
        <v>0</v>
      </c>
      <c r="P13" s="1747"/>
      <c r="Q13" s="1747">
        <f>IF(B13="",0,Deforestation!I44)</f>
        <v>0</v>
      </c>
      <c r="R13" s="1748">
        <f>IF(F13=List!$A$62,0,Deforestation!R44)</f>
        <v>0</v>
      </c>
      <c r="S13" s="1748">
        <f>IF(F13=List!$A$62,0,Deforestation!S44)</f>
        <v>0</v>
      </c>
      <c r="T13" s="1748">
        <f>IF(F13=List!$A$62,0,Deforestation!T44)</f>
        <v>0</v>
      </c>
      <c r="V13" s="1715" t="str">
        <f>IF(Nlang=1,"",VLOOKUP(B13,'Name translation'!$A$46:$H$55,Nlang+1,))</f>
        <v/>
      </c>
      <c r="W13" s="1708"/>
      <c r="X13" s="2653" t="str">
        <f>IF(Nlang=1,"",VLOOKUP(F13,'Name translation'!$A$58:$H$66,Nlang+1,))</f>
        <v/>
      </c>
    </row>
    <row r="14" spans="1:26" s="1715" customFormat="1">
      <c r="B14" s="1728" t="s">
        <v>1490</v>
      </c>
      <c r="C14" s="1727"/>
      <c r="D14" s="2071">
        <v>0</v>
      </c>
      <c r="E14" s="2073" t="s">
        <v>354</v>
      </c>
      <c r="F14" s="3674" t="s">
        <v>12</v>
      </c>
      <c r="G14" s="3674"/>
      <c r="H14" s="3674"/>
      <c r="I14" s="1726"/>
      <c r="J14" s="3134">
        <v>0</v>
      </c>
      <c r="K14" s="3134">
        <v>0</v>
      </c>
      <c r="L14" s="2113" t="s">
        <v>1498</v>
      </c>
      <c r="M14" s="3134">
        <v>0</v>
      </c>
      <c r="N14" s="2113" t="s">
        <v>1498</v>
      </c>
      <c r="O14" s="1747">
        <f>IF(B14="",0,Deforestation!H45)</f>
        <v>0</v>
      </c>
      <c r="P14" s="1747"/>
      <c r="Q14" s="1747">
        <f>IF(B14="",0,Deforestation!I45)</f>
        <v>0</v>
      </c>
      <c r="R14" s="1748">
        <f>IF(F14=List!$A$62,0,Deforestation!R45)</f>
        <v>0</v>
      </c>
      <c r="S14" s="1748">
        <f>IF(F14=List!$A$62,0,Deforestation!S45)</f>
        <v>0</v>
      </c>
      <c r="T14" s="1748">
        <f>IF(F14=List!$A$62,0,Deforestation!T45)</f>
        <v>0</v>
      </c>
      <c r="V14" s="1715" t="str">
        <f>IF(Nlang=1,"",VLOOKUP(B14,'Name translation'!$A$46:$H$55,Nlang+1,))</f>
        <v/>
      </c>
      <c r="W14" s="1708"/>
      <c r="X14" s="2653" t="str">
        <f>IF(Nlang=1,"",VLOOKUP(F14,'Name translation'!$A$58:$H$66,Nlang+1,))</f>
        <v/>
      </c>
    </row>
    <row r="15" spans="1:26" s="1715" customFormat="1">
      <c r="B15" s="1728" t="s">
        <v>1490</v>
      </c>
      <c r="C15" s="1727"/>
      <c r="D15" s="2071">
        <v>0</v>
      </c>
      <c r="E15" s="2073" t="s">
        <v>354</v>
      </c>
      <c r="F15" s="3674" t="s">
        <v>12</v>
      </c>
      <c r="G15" s="3674"/>
      <c r="H15" s="3674"/>
      <c r="I15" s="1726"/>
      <c r="J15" s="3134">
        <v>0</v>
      </c>
      <c r="K15" s="3134">
        <v>0</v>
      </c>
      <c r="L15" s="2113" t="s">
        <v>1498</v>
      </c>
      <c r="M15" s="3134">
        <v>0</v>
      </c>
      <c r="N15" s="2113" t="s">
        <v>1498</v>
      </c>
      <c r="O15" s="1747">
        <f>IF(B15="",0,Deforestation!H46)</f>
        <v>0</v>
      </c>
      <c r="P15" s="1747"/>
      <c r="Q15" s="1747">
        <f>IF(B15="",0,Deforestation!I46)</f>
        <v>0</v>
      </c>
      <c r="R15" s="1748">
        <f>IF(F15=List!$A$62,0,Deforestation!R46)</f>
        <v>0</v>
      </c>
      <c r="S15" s="1748">
        <f>IF(F15=List!$A$62,0,Deforestation!S46)</f>
        <v>0</v>
      </c>
      <c r="T15" s="1748">
        <f>IF(F15=List!$A$62,0,Deforestation!T46)</f>
        <v>0</v>
      </c>
      <c r="V15" s="1715" t="str">
        <f>IF(Nlang=1,"",VLOOKUP(B15,'Name translation'!$A$46:$H$55,Nlang+1,))</f>
        <v/>
      </c>
      <c r="W15" s="1708"/>
      <c r="X15" s="2653" t="str">
        <f>IF(Nlang=1,"",VLOOKUP(F15,'Name translation'!$A$58:$H$66,Nlang+1,))</f>
        <v/>
      </c>
    </row>
    <row r="16" spans="1:26" s="1715" customFormat="1">
      <c r="B16" s="1728" t="s">
        <v>1490</v>
      </c>
      <c r="C16" s="1727"/>
      <c r="D16" s="3134">
        <v>0</v>
      </c>
      <c r="E16" s="3135" t="s">
        <v>354</v>
      </c>
      <c r="F16" s="3674" t="s">
        <v>12</v>
      </c>
      <c r="G16" s="3674"/>
      <c r="H16" s="3674"/>
      <c r="I16" s="1726"/>
      <c r="J16" s="3134">
        <v>0</v>
      </c>
      <c r="K16" s="3134">
        <v>0</v>
      </c>
      <c r="L16" s="2113" t="s">
        <v>1498</v>
      </c>
      <c r="M16" s="3134">
        <v>0</v>
      </c>
      <c r="N16" s="2113" t="s">
        <v>1498</v>
      </c>
      <c r="O16" s="1747">
        <f>IF(B16="",0,Deforestation!H47)</f>
        <v>0</v>
      </c>
      <c r="P16" s="1747"/>
      <c r="Q16" s="1747">
        <f>IF(B16="",0,Deforestation!I47)</f>
        <v>0</v>
      </c>
      <c r="R16" s="1748">
        <f>IF(F16=List!$A$62,0,Deforestation!R47)</f>
        <v>0</v>
      </c>
      <c r="S16" s="1748">
        <f>IF(F16=List!$A$62,0,Deforestation!S47)</f>
        <v>0</v>
      </c>
      <c r="T16" s="1748">
        <f>IF(F16=List!$A$62,0,Deforestation!T47)</f>
        <v>0</v>
      </c>
      <c r="V16" s="1715" t="str">
        <f>IF(Nlang=1,"",VLOOKUP(B16,'Name translation'!$A$46:$H$55,Nlang+1,))</f>
        <v/>
      </c>
      <c r="W16" s="1708"/>
      <c r="X16" s="2653" t="str">
        <f>IF(Nlang=1,"",VLOOKUP(F16,'Name translation'!$A$58:$H$66,Nlang+1,))</f>
        <v/>
      </c>
    </row>
    <row r="17" spans="2:26" s="1715" customFormat="1">
      <c r="B17" s="1728" t="s">
        <v>1490</v>
      </c>
      <c r="C17" s="1727"/>
      <c r="D17" s="3134">
        <v>0</v>
      </c>
      <c r="E17" s="3135" t="s">
        <v>354</v>
      </c>
      <c r="F17" s="3674" t="s">
        <v>12</v>
      </c>
      <c r="G17" s="3674"/>
      <c r="H17" s="3674"/>
      <c r="I17" s="1726"/>
      <c r="J17" s="3156">
        <v>0</v>
      </c>
      <c r="K17" s="3156">
        <v>0</v>
      </c>
      <c r="L17" s="2113" t="s">
        <v>1498</v>
      </c>
      <c r="M17" s="3156">
        <v>0</v>
      </c>
      <c r="N17" s="2113" t="s">
        <v>1498</v>
      </c>
      <c r="O17" s="1747">
        <f>IF(B17="",0,Deforestation!H48)</f>
        <v>0</v>
      </c>
      <c r="P17" s="1747"/>
      <c r="Q17" s="1747">
        <f>IF(B17="",0,Deforestation!I48)</f>
        <v>0</v>
      </c>
      <c r="R17" s="1748">
        <f>IF(F17=List!$A$62,0,Deforestation!R48)</f>
        <v>0</v>
      </c>
      <c r="S17" s="1748">
        <f>IF(F17=List!$A$62,0,Deforestation!S48)</f>
        <v>0</v>
      </c>
      <c r="T17" s="1748">
        <f>IF(F17=List!$A$62,0,Deforestation!T48)</f>
        <v>0</v>
      </c>
      <c r="V17" s="1715" t="str">
        <f>IF(Nlang=1,"",VLOOKUP(B17,'Name translation'!$A$46:$H$55,Nlang+1,))</f>
        <v/>
      </c>
      <c r="W17" s="1708"/>
      <c r="X17" s="2653" t="str">
        <f>IF(Nlang=1,"",VLOOKUP(F17,'Name translation'!$A$58:$H$66,Nlang+1,))</f>
        <v/>
      </c>
    </row>
    <row r="18" spans="2:26" s="1715" customFormat="1">
      <c r="B18" s="1728" t="s">
        <v>1490</v>
      </c>
      <c r="C18" s="1727"/>
      <c r="D18" s="2071">
        <v>0</v>
      </c>
      <c r="E18" s="3135" t="s">
        <v>354</v>
      </c>
      <c r="F18" s="3674" t="s">
        <v>12</v>
      </c>
      <c r="G18" s="3674"/>
      <c r="H18" s="3674"/>
      <c r="I18" s="1726"/>
      <c r="J18" s="3156">
        <v>0</v>
      </c>
      <c r="K18" s="3156">
        <v>0</v>
      </c>
      <c r="L18" s="2113" t="s">
        <v>1498</v>
      </c>
      <c r="M18" s="3156">
        <v>0</v>
      </c>
      <c r="N18" s="2113" t="s">
        <v>1498</v>
      </c>
      <c r="O18" s="1747">
        <f>IF(B18="",0,Deforestation!H49)</f>
        <v>0</v>
      </c>
      <c r="P18" s="1747"/>
      <c r="Q18" s="1747">
        <f>IF(B18="",0,Deforestation!I49)</f>
        <v>0</v>
      </c>
      <c r="R18" s="1748">
        <f>IF(F18=List!$A$62,0,Deforestation!R49)</f>
        <v>0</v>
      </c>
      <c r="S18" s="1748">
        <f>IF(F18=List!$A$62,0,Deforestation!S49)</f>
        <v>0</v>
      </c>
      <c r="T18" s="1748">
        <f>IF(F18=List!$A$62,0,Deforestation!T49)</f>
        <v>0</v>
      </c>
      <c r="V18" s="1715" t="str">
        <f>IF(Nlang=1,"",VLOOKUP(B18,'Name translation'!$A$46:$H$55,Nlang+1,))</f>
        <v/>
      </c>
      <c r="W18" s="1708"/>
      <c r="X18" s="2653" t="str">
        <f>IF(Nlang=1,"",VLOOKUP(F18,'Name translation'!$A$58:$H$66,Nlang+1,))</f>
        <v/>
      </c>
    </row>
    <row r="19" spans="2:26" s="1715" customFormat="1">
      <c r="B19" s="1728" t="s">
        <v>1490</v>
      </c>
      <c r="C19" s="1727"/>
      <c r="D19" s="2071">
        <v>0</v>
      </c>
      <c r="E19" s="2073" t="s">
        <v>354</v>
      </c>
      <c r="F19" s="3674" t="s">
        <v>12</v>
      </c>
      <c r="G19" s="3674"/>
      <c r="H19" s="3674"/>
      <c r="I19" s="1726"/>
      <c r="J19" s="3156">
        <v>0</v>
      </c>
      <c r="K19" s="3156">
        <v>0</v>
      </c>
      <c r="L19" s="2113" t="s">
        <v>1498</v>
      </c>
      <c r="M19" s="3156">
        <v>0</v>
      </c>
      <c r="N19" s="2113" t="s">
        <v>1498</v>
      </c>
      <c r="O19" s="1747">
        <f>IF(B19="",0,Deforestation!H50)</f>
        <v>0</v>
      </c>
      <c r="P19" s="1747"/>
      <c r="Q19" s="1747">
        <f>IF(B19="",0,Deforestation!I50)</f>
        <v>0</v>
      </c>
      <c r="R19" s="1748">
        <f>IF(F19=List!$A$62,0,Deforestation!R50)</f>
        <v>0</v>
      </c>
      <c r="S19" s="1748">
        <f>IF(F19=List!$A$62,0,Deforestation!S50)</f>
        <v>0</v>
      </c>
      <c r="T19" s="1748">
        <f>IF(F19=List!$A$62,0,Deforestation!T50)</f>
        <v>0</v>
      </c>
      <c r="V19" s="1715" t="str">
        <f>IF(Nlang=1,"",VLOOKUP(B19,'Name translation'!$A$46:$H$55,Nlang+1,))</f>
        <v/>
      </c>
      <c r="W19" s="1708"/>
      <c r="X19" s="2653" t="str">
        <f>IF(Nlang=1,"",VLOOKUP(F19,'Name translation'!$A$58:$H$66,Nlang+1,))</f>
        <v/>
      </c>
    </row>
    <row r="20" spans="2:26" s="1715" customFormat="1">
      <c r="B20" s="1719"/>
      <c r="C20" s="1719"/>
      <c r="D20" s="1715" t="str">
        <f>HLOOKUP(select,translations!$A$20:$H$70,15,)</f>
        <v>#Harvested Wood Products</v>
      </c>
      <c r="G20" s="2135" t="str">
        <f>HLOOKUP(select,translations!$A$20:$H$70,16,)</f>
        <v>* Note concerning dynamics of change : "D" corresponds to default/linear, "I" to immediate and "E" to exponential (Please refer to the guidelines)</v>
      </c>
      <c r="H20" s="2133"/>
      <c r="I20" s="2133"/>
      <c r="J20" s="2133"/>
      <c r="K20" s="2133"/>
      <c r="L20" s="2133"/>
      <c r="M20" s="2133"/>
      <c r="N20" s="2133"/>
      <c r="O20" s="2133"/>
      <c r="P20" s="2133"/>
      <c r="Q20" s="2133"/>
      <c r="R20" s="2134"/>
      <c r="S20" s="2134"/>
      <c r="T20" s="2133"/>
    </row>
    <row r="21" spans="2:26" s="1715" customFormat="1">
      <c r="B21" s="1799"/>
      <c r="C21" s="1799"/>
      <c r="V21" s="1715" t="str">
        <f>IF(Nlang=1,"",CONCATENATE("NO = ", VLOOKUP("NO",'Name translation'!$A$46:$H$57,Nlang+1,)," / YES = ",VLOOKUP("YES",'Name translation'!$A$46:$H$57,Nlang+1,)))</f>
        <v/>
      </c>
    </row>
    <row r="22" spans="2:26" s="1715" customFormat="1">
      <c r="B22" s="1799"/>
      <c r="C22" s="1799"/>
      <c r="D22" s="2593"/>
      <c r="N22" s="1757" t="str">
        <f>HLOOKUP(select,translations!$A$20:$H$70,17,)</f>
        <v>Total Deforestation</v>
      </c>
      <c r="O22" s="1726"/>
      <c r="P22" s="1726"/>
      <c r="Q22" s="1726"/>
      <c r="R22" s="1748">
        <f>SUM(R12:R19)</f>
        <v>0</v>
      </c>
      <c r="S22" s="1748">
        <f>SUM(S12:S19)</f>
        <v>0</v>
      </c>
      <c r="T22" s="1748">
        <f>SUM(T12:T19)</f>
        <v>0</v>
      </c>
    </row>
    <row r="23" spans="2:26" s="1715" customFormat="1"/>
    <row r="24" spans="2:26" s="1715" customFormat="1"/>
    <row r="25" spans="2:26" s="1715" customFormat="1"/>
    <row r="26" spans="2:26" s="1715" customFormat="1" ht="15.75">
      <c r="B26" s="2524" t="str">
        <f>HLOOKUP(select,translations!$A$20:$H$70,25,)</f>
        <v>2.2. Afforestation and Reforestation</v>
      </c>
      <c r="C26" s="2142"/>
      <c r="D26" s="1844"/>
      <c r="E26" s="1844"/>
      <c r="F26" s="1844"/>
      <c r="G26" s="1844"/>
      <c r="H26" s="1844"/>
      <c r="I26" s="1844"/>
      <c r="J26" s="1844"/>
      <c r="K26" s="1844"/>
      <c r="L26" s="1844"/>
      <c r="M26" s="1844"/>
      <c r="N26" s="1844"/>
      <c r="O26" s="1844"/>
      <c r="P26" s="1844"/>
      <c r="Q26" s="1845"/>
      <c r="R26" s="1845"/>
      <c r="S26" s="1845"/>
      <c r="T26" s="1844"/>
    </row>
    <row r="27" spans="2:26" s="1704" customFormat="1">
      <c r="B27" s="2592" t="str">
        <f>B8</f>
        <v>AEZ map</v>
      </c>
      <c r="C27" s="2137"/>
      <c r="D27" s="1983" t="str">
        <f>D8</f>
        <v>Zone 1 = Please specify the climate</v>
      </c>
      <c r="E27" s="1983"/>
      <c r="F27" s="1983"/>
      <c r="G27" s="1983" t="str">
        <f>G8</f>
        <v>Zone 2 = Please specify the climate</v>
      </c>
      <c r="H27" s="1983"/>
      <c r="I27" s="1983"/>
      <c r="J27" s="1983"/>
      <c r="K27" s="1983" t="str">
        <f>K8</f>
        <v>Zone 3 = Please specify the climate</v>
      </c>
      <c r="L27" s="1983"/>
      <c r="M27" s="1983"/>
      <c r="N27" s="1983"/>
      <c r="O27" s="1983"/>
      <c r="P27" s="1983"/>
      <c r="Q27" s="2599" t="str">
        <f>Q8</f>
        <v>Zone 4 = Please specify the climate</v>
      </c>
      <c r="R27" s="1984"/>
      <c r="S27" s="1984"/>
      <c r="T27" s="1983"/>
    </row>
    <row r="28" spans="2:26" s="1704" customFormat="1">
      <c r="Q28" s="1709"/>
      <c r="R28" s="1709"/>
      <c r="S28" s="1709"/>
      <c r="V28" s="1937" t="str">
        <f>V9</f>
        <v xml:space="preserve"> </v>
      </c>
    </row>
    <row r="29" spans="2:26" s="1704" customFormat="1">
      <c r="B29" s="2143" t="str">
        <f>B10</f>
        <v>Type of vegetation</v>
      </c>
      <c r="C29" s="2143"/>
      <c r="D29" s="2138"/>
      <c r="E29" s="2595" t="str">
        <f>E10</f>
        <v>Fire Use?</v>
      </c>
      <c r="F29" s="3680" t="str">
        <f>HLOOKUP(select,translations!$A$20:$H$70,26,)</f>
        <v>Previous land use</v>
      </c>
      <c r="G29" s="3680"/>
      <c r="H29" s="3680"/>
      <c r="I29" s="2138"/>
      <c r="J29" s="2138"/>
      <c r="K29" s="3678" t="str">
        <f>HLOOKUP(select,translations!$A$20:$H$70,27,)</f>
        <v>Area that will be afforested/reforested</v>
      </c>
      <c r="L29" s="3678"/>
      <c r="M29" s="3678"/>
      <c r="N29" s="3678"/>
      <c r="O29" s="3678"/>
      <c r="P29" s="2141"/>
      <c r="Q29" s="2140"/>
      <c r="R29" s="3678" t="str">
        <f>R10</f>
        <v>Total Emissions (tCO2-eq)</v>
      </c>
      <c r="S29" s="3678"/>
      <c r="T29" s="2141" t="str">
        <f>T10</f>
        <v>Balance</v>
      </c>
      <c r="V29" s="1937" t="str">
        <f>IF(Nlang=1,"",B29)</f>
        <v/>
      </c>
      <c r="W29" s="1937"/>
      <c r="X29" s="1937" t="str">
        <f>IF(Nlang=1,"",F29)</f>
        <v/>
      </c>
      <c r="Y29" s="1937"/>
    </row>
    <row r="30" spans="2:26" s="1752" customFormat="1">
      <c r="B30" s="2144" t="str">
        <f>HLOOKUP(select,translations!$A$20:$H$70,47,)</f>
        <v>that will be planted</v>
      </c>
      <c r="C30" s="2144"/>
      <c r="D30" s="2144"/>
      <c r="E30" s="2145" t="str">
        <f>E11</f>
        <v>(y/n)</v>
      </c>
      <c r="F30" s="2144"/>
      <c r="G30" s="2144"/>
      <c r="H30" s="2144"/>
      <c r="I30" s="2144"/>
      <c r="J30" s="2144"/>
      <c r="K30" s="2146" t="str">
        <f>K11</f>
        <v>Without</v>
      </c>
      <c r="L30" s="2147" t="s">
        <v>91</v>
      </c>
      <c r="M30" s="2146" t="str">
        <f>M11</f>
        <v>With</v>
      </c>
      <c r="N30" s="2148" t="s">
        <v>91</v>
      </c>
      <c r="O30" s="2144"/>
      <c r="P30" s="2144"/>
      <c r="Q30" s="2146"/>
      <c r="R30" s="2145" t="str">
        <f>K30</f>
        <v>Without</v>
      </c>
      <c r="S30" s="2145" t="str">
        <f>M30</f>
        <v>With</v>
      </c>
      <c r="T30" s="2117"/>
    </row>
    <row r="31" spans="2:26" s="1752" customFormat="1">
      <c r="B31" s="1728" t="s">
        <v>1490</v>
      </c>
      <c r="C31" s="2144"/>
      <c r="D31" s="2144"/>
      <c r="E31" s="2826" t="s">
        <v>354</v>
      </c>
      <c r="F31" s="3673" t="s">
        <v>13</v>
      </c>
      <c r="G31" s="3674"/>
      <c r="H31" s="3674"/>
      <c r="I31" s="2144"/>
      <c r="J31" s="2144"/>
      <c r="K31" s="3156">
        <v>0</v>
      </c>
      <c r="L31" s="2113" t="s">
        <v>1498</v>
      </c>
      <c r="M31" s="3156">
        <v>0</v>
      </c>
      <c r="N31" s="2113" t="s">
        <v>1498</v>
      </c>
      <c r="O31" s="2144"/>
      <c r="P31" s="2144"/>
      <c r="Q31" s="2146"/>
      <c r="R31" s="2149">
        <f>IF(F31=List!$A$85,0,'A-R'!Q43)</f>
        <v>0</v>
      </c>
      <c r="S31" s="2149">
        <f>IF(F31=List!$A$85,0,'A-R'!R43)</f>
        <v>0</v>
      </c>
      <c r="T31" s="2149">
        <f>IF(F31=List!$A$85,0,'A-R'!S43)</f>
        <v>0</v>
      </c>
      <c r="V31" s="1715" t="str">
        <f>IF(Nlang=1,"",VLOOKUP(B31,'Name translation'!$A$46:$H$55,Nlang+1,))</f>
        <v/>
      </c>
      <c r="W31" s="1708"/>
      <c r="X31" s="2653" t="str">
        <f>IF(Nlang=1,"",VLOOKUP(F31,'Name translation'!$A$67:$H$75,Nlang+1,))</f>
        <v/>
      </c>
      <c r="Y31" s="1715"/>
      <c r="Z31" s="1715"/>
    </row>
    <row r="32" spans="2:26" s="1752" customFormat="1">
      <c r="B32" s="1728" t="s">
        <v>1490</v>
      </c>
      <c r="C32" s="2144"/>
      <c r="D32" s="2144"/>
      <c r="E32" s="2073" t="s">
        <v>354</v>
      </c>
      <c r="F32" s="3673" t="s">
        <v>13</v>
      </c>
      <c r="G32" s="3674"/>
      <c r="H32" s="3674"/>
      <c r="I32" s="2144"/>
      <c r="J32" s="2144"/>
      <c r="K32" s="2071">
        <v>0</v>
      </c>
      <c r="L32" s="2113" t="s">
        <v>1498</v>
      </c>
      <c r="M32" s="2071">
        <v>0</v>
      </c>
      <c r="N32" s="2113" t="s">
        <v>1498</v>
      </c>
      <c r="O32" s="2144"/>
      <c r="P32" s="2144"/>
      <c r="Q32" s="2146"/>
      <c r="R32" s="2149">
        <f>IF(F32=List!$A$85,0,'A-R'!Q44)</f>
        <v>0</v>
      </c>
      <c r="S32" s="2149">
        <f>IF(F32=List!$A$85,0,'A-R'!R44)</f>
        <v>0</v>
      </c>
      <c r="T32" s="2149">
        <f>IF(F32=List!$A$85,0,'A-R'!S44)</f>
        <v>0</v>
      </c>
      <c r="V32" s="1715" t="str">
        <f>IF(Nlang=1,"",VLOOKUP(B32,'Name translation'!$A$46:$H$55,Nlang+1,))</f>
        <v/>
      </c>
      <c r="W32" s="1708"/>
      <c r="X32" s="2653" t="str">
        <f>IF(Nlang=1,"",VLOOKUP(F32,'Name translation'!$A$67:$H$75,Nlang+1,))</f>
        <v/>
      </c>
      <c r="Y32" s="1715"/>
      <c r="Z32" s="1715"/>
    </row>
    <row r="33" spans="2:26" s="1752" customFormat="1">
      <c r="B33" s="1728" t="s">
        <v>1490</v>
      </c>
      <c r="C33" s="2144"/>
      <c r="D33" s="2144"/>
      <c r="E33" s="2073" t="s">
        <v>354</v>
      </c>
      <c r="F33" s="3673" t="s">
        <v>13</v>
      </c>
      <c r="G33" s="3674"/>
      <c r="H33" s="3674"/>
      <c r="I33" s="2144"/>
      <c r="J33" s="2144"/>
      <c r="K33" s="3156">
        <v>0</v>
      </c>
      <c r="L33" s="2113" t="s">
        <v>1498</v>
      </c>
      <c r="M33" s="3156">
        <v>0</v>
      </c>
      <c r="N33" s="2113" t="s">
        <v>1498</v>
      </c>
      <c r="O33" s="2144"/>
      <c r="P33" s="2144"/>
      <c r="Q33" s="2146"/>
      <c r="R33" s="2149">
        <f>IF(F33=List!$A$85,0,'A-R'!Q45)</f>
        <v>0</v>
      </c>
      <c r="S33" s="2149">
        <f>IF(F33=List!$A$85,0,'A-R'!R45)</f>
        <v>0</v>
      </c>
      <c r="T33" s="2149">
        <f>IF(F33=List!$A$85,0,'A-R'!S45)</f>
        <v>0</v>
      </c>
      <c r="V33" s="1715" t="str">
        <f>IF(Nlang=1,"",VLOOKUP(B33,'Name translation'!$A$46:$H$55,Nlang+1,))</f>
        <v/>
      </c>
      <c r="W33" s="1708"/>
      <c r="X33" s="2653" t="str">
        <f>IF(Nlang=1,"",VLOOKUP(F33,'Name translation'!$A$67:$H$75,Nlang+1,))</f>
        <v/>
      </c>
      <c r="Y33" s="1715"/>
      <c r="Z33" s="1715"/>
    </row>
    <row r="34" spans="2:26" s="1752" customFormat="1">
      <c r="B34" s="1728" t="s">
        <v>1490</v>
      </c>
      <c r="C34" s="2144"/>
      <c r="D34" s="2144"/>
      <c r="E34" s="2073" t="s">
        <v>354</v>
      </c>
      <c r="F34" s="3673" t="s">
        <v>13</v>
      </c>
      <c r="G34" s="3674"/>
      <c r="H34" s="3674"/>
      <c r="I34" s="2144"/>
      <c r="J34" s="2144"/>
      <c r="K34" s="3156">
        <v>0</v>
      </c>
      <c r="L34" s="2113" t="s">
        <v>1498</v>
      </c>
      <c r="M34" s="3156">
        <v>0</v>
      </c>
      <c r="N34" s="2113" t="s">
        <v>1498</v>
      </c>
      <c r="O34" s="2144"/>
      <c r="P34" s="2144"/>
      <c r="Q34" s="2146"/>
      <c r="R34" s="2149">
        <f>IF(F34=List!$A$85,0,'A-R'!Q46)</f>
        <v>0</v>
      </c>
      <c r="S34" s="2149">
        <f>IF(F34=List!$A$85,0,'A-R'!R46)</f>
        <v>0</v>
      </c>
      <c r="T34" s="2149">
        <f>IF(F34=List!$A$85,0,'A-R'!S46)</f>
        <v>0</v>
      </c>
      <c r="V34" s="1715" t="str">
        <f>IF(Nlang=1,"",VLOOKUP(B34,'Name translation'!$A$46:$H$55,Nlang+1,))</f>
        <v/>
      </c>
      <c r="W34" s="1708"/>
      <c r="X34" s="2653" t="str">
        <f>IF(Nlang=1,"",VLOOKUP(F34,'Name translation'!$A$67:$H$75,Nlang+1,))</f>
        <v/>
      </c>
      <c r="Y34" s="1715"/>
      <c r="Z34" s="1715"/>
    </row>
    <row r="35" spans="2:26" s="1752" customFormat="1">
      <c r="B35" s="1728" t="s">
        <v>1490</v>
      </c>
      <c r="C35" s="2144"/>
      <c r="D35" s="2144"/>
      <c r="E35" s="2073" t="s">
        <v>354</v>
      </c>
      <c r="F35" s="3673" t="s">
        <v>13</v>
      </c>
      <c r="G35" s="3674"/>
      <c r="H35" s="3674"/>
      <c r="I35" s="2144"/>
      <c r="J35" s="2144"/>
      <c r="K35" s="3156">
        <v>0</v>
      </c>
      <c r="L35" s="2113" t="s">
        <v>1498</v>
      </c>
      <c r="M35" s="3156">
        <v>0</v>
      </c>
      <c r="N35" s="2113" t="s">
        <v>1498</v>
      </c>
      <c r="O35" s="2144"/>
      <c r="P35" s="2144"/>
      <c r="Q35" s="2146"/>
      <c r="R35" s="2149">
        <f>IF(F35=List!$A$85,0,'A-R'!Q47)</f>
        <v>0</v>
      </c>
      <c r="S35" s="2149">
        <f>IF(F35=List!$A$85,0,'A-R'!R47)</f>
        <v>0</v>
      </c>
      <c r="T35" s="2149">
        <f>IF(F35=List!$A$85,0,'A-R'!S47)</f>
        <v>0</v>
      </c>
      <c r="V35" s="1715" t="str">
        <f>IF(Nlang=1,"",VLOOKUP(B35,'Name translation'!$A$46:$H$55,Nlang+1,))</f>
        <v/>
      </c>
      <c r="W35" s="1708"/>
      <c r="X35" s="2653" t="str">
        <f>IF(Nlang=1,"",VLOOKUP(F35,'Name translation'!$A$67:$H$75,Nlang+1,))</f>
        <v/>
      </c>
      <c r="Y35" s="1715"/>
      <c r="Z35" s="1715"/>
    </row>
    <row r="36" spans="2:26" s="1752" customFormat="1">
      <c r="B36" s="1728" t="s">
        <v>1490</v>
      </c>
      <c r="C36" s="2144"/>
      <c r="D36" s="2144"/>
      <c r="E36" s="2073" t="s">
        <v>354</v>
      </c>
      <c r="F36" s="3673" t="s">
        <v>13</v>
      </c>
      <c r="G36" s="3674"/>
      <c r="H36" s="3674"/>
      <c r="I36" s="2144"/>
      <c r="J36" s="2144"/>
      <c r="K36" s="3156">
        <v>0</v>
      </c>
      <c r="L36" s="2113" t="s">
        <v>1498</v>
      </c>
      <c r="M36" s="3156">
        <v>0</v>
      </c>
      <c r="N36" s="2113" t="s">
        <v>1498</v>
      </c>
      <c r="O36" s="2144"/>
      <c r="P36" s="2144"/>
      <c r="Q36" s="2146"/>
      <c r="R36" s="2149">
        <f>IF(F36=List!$A$85,0,'A-R'!Q48)</f>
        <v>0</v>
      </c>
      <c r="S36" s="2149">
        <f>IF(F36=List!$A$85,0,'A-R'!R48)</f>
        <v>0</v>
      </c>
      <c r="T36" s="2149">
        <f>IF(F36=List!$A$85,0,'A-R'!S48)</f>
        <v>0</v>
      </c>
      <c r="V36" s="1715" t="str">
        <f>IF(Nlang=1,"",VLOOKUP(B36,'Name translation'!$A$46:$H$55,Nlang+1,))</f>
        <v/>
      </c>
      <c r="W36" s="1708"/>
      <c r="X36" s="2653" t="str">
        <f>IF(Nlang=1,"",VLOOKUP(F36,'Name translation'!$A$67:$H$75,Nlang+1,))</f>
        <v/>
      </c>
      <c r="Y36" s="1715"/>
      <c r="Z36" s="1715"/>
    </row>
    <row r="37" spans="2:26" s="1752" customFormat="1">
      <c r="B37" s="1728" t="s">
        <v>1490</v>
      </c>
      <c r="C37" s="2144"/>
      <c r="D37" s="2144"/>
      <c r="E37" s="3135" t="s">
        <v>354</v>
      </c>
      <c r="F37" s="3673" t="s">
        <v>13</v>
      </c>
      <c r="G37" s="3674"/>
      <c r="H37" s="3674"/>
      <c r="I37" s="2144"/>
      <c r="J37" s="2144"/>
      <c r="K37" s="3156">
        <v>0</v>
      </c>
      <c r="L37" s="2113" t="s">
        <v>1498</v>
      </c>
      <c r="M37" s="3156">
        <v>0</v>
      </c>
      <c r="N37" s="2113" t="s">
        <v>1498</v>
      </c>
      <c r="O37" s="2144"/>
      <c r="P37" s="2144"/>
      <c r="Q37" s="2146"/>
      <c r="R37" s="2149">
        <f>IF(F37=List!$A$85,0,'A-R'!Q49)</f>
        <v>0</v>
      </c>
      <c r="S37" s="2149">
        <f>IF(F37=List!$A$85,0,'A-R'!R49)</f>
        <v>0</v>
      </c>
      <c r="T37" s="2149">
        <f>IF(F37=List!$A$85,0,'A-R'!S49)</f>
        <v>0</v>
      </c>
      <c r="V37" s="1715" t="str">
        <f>IF(Nlang=1,"",VLOOKUP(B37,'Name translation'!$A$46:$H$55,Nlang+1,))</f>
        <v/>
      </c>
      <c r="W37" s="1708"/>
      <c r="X37" s="2653" t="str">
        <f>IF(Nlang=1,"",VLOOKUP(F37,'Name translation'!$A$67:$H$75,Nlang+1,))</f>
        <v/>
      </c>
      <c r="Y37" s="1715"/>
      <c r="Z37" s="1715"/>
    </row>
    <row r="38" spans="2:26" s="1752" customFormat="1">
      <c r="B38" s="1728" t="s">
        <v>1490</v>
      </c>
      <c r="C38" s="2144"/>
      <c r="D38" s="2144"/>
      <c r="E38" s="3135" t="s">
        <v>354</v>
      </c>
      <c r="F38" s="3673" t="s">
        <v>13</v>
      </c>
      <c r="G38" s="3674"/>
      <c r="H38" s="3674"/>
      <c r="I38" s="2144"/>
      <c r="J38" s="2144"/>
      <c r="K38" s="3156">
        <v>0</v>
      </c>
      <c r="L38" s="2113" t="s">
        <v>1498</v>
      </c>
      <c r="M38" s="3156">
        <v>0</v>
      </c>
      <c r="N38" s="2113" t="s">
        <v>1498</v>
      </c>
      <c r="O38" s="2144"/>
      <c r="P38" s="2144"/>
      <c r="Q38" s="2146"/>
      <c r="R38" s="2149">
        <f>IF(F38=List!$A$85,0,'A-R'!Q50)</f>
        <v>0</v>
      </c>
      <c r="S38" s="2149">
        <f>IF(F38=List!$A$85,0,'A-R'!R50)</f>
        <v>0</v>
      </c>
      <c r="T38" s="2149">
        <f>IF(F38=List!$A$85,0,'A-R'!S50)</f>
        <v>0</v>
      </c>
      <c r="V38" s="1715" t="str">
        <f>IF(Nlang=1,"",VLOOKUP(B38,'Name translation'!$A$46:$H$55,Nlang+1,))</f>
        <v/>
      </c>
      <c r="W38" s="1708"/>
      <c r="X38" s="2653" t="str">
        <f>IF(Nlang=1,"",VLOOKUP(F38,'Name translation'!$A$67:$H$75,Nlang+1,))</f>
        <v/>
      </c>
      <c r="Y38" s="1715"/>
      <c r="Z38" s="1715"/>
    </row>
    <row r="39" spans="2:26" s="1752" customFormat="1">
      <c r="G39" s="2135" t="str">
        <f>G20</f>
        <v>* Note concerning dynamics of change : "D" corresponds to default/linear, "I" to immediate and "E" to exponential (Please refer to the guidelines)</v>
      </c>
      <c r="H39" s="2133"/>
      <c r="I39" s="2133"/>
      <c r="J39" s="2133"/>
      <c r="K39" s="2133"/>
      <c r="L39" s="2133"/>
      <c r="M39" s="2133"/>
      <c r="N39" s="2133"/>
      <c r="O39" s="2133"/>
      <c r="P39" s="2133"/>
      <c r="Q39" s="2133"/>
      <c r="R39" s="2134"/>
      <c r="S39" s="2134"/>
      <c r="T39" s="2133"/>
    </row>
    <row r="40" spans="2:26" s="1752" customFormat="1">
      <c r="M40" s="1753"/>
      <c r="V40" s="1715" t="str">
        <f>V21</f>
        <v/>
      </c>
    </row>
    <row r="41" spans="2:26" s="1752" customFormat="1">
      <c r="M41" s="1753"/>
      <c r="N41" s="2155" t="str">
        <f>HLOOKUP(select,translations!$A$20:$H$70,28,)</f>
        <v>Total Af-/Reforestation</v>
      </c>
      <c r="O41" s="2117"/>
      <c r="P41" s="2117"/>
      <c r="Q41" s="2117"/>
      <c r="R41" s="2156">
        <f>SUM(R31:R38)</f>
        <v>0</v>
      </c>
      <c r="S41" s="2156">
        <f>SUM(S31:S38)</f>
        <v>0</v>
      </c>
      <c r="T41" s="2156">
        <f>SUM(T31:T38)</f>
        <v>0</v>
      </c>
    </row>
    <row r="42" spans="2:26" s="1752" customFormat="1">
      <c r="M42" s="1753"/>
      <c r="Q42" s="1753"/>
      <c r="R42" s="1753"/>
      <c r="S42" s="1753"/>
    </row>
    <row r="43" spans="2:26" s="1752" customFormat="1">
      <c r="M43" s="1753"/>
      <c r="Q43" s="1753"/>
      <c r="R43" s="1753"/>
      <c r="S43" s="1753"/>
    </row>
    <row r="44" spans="2:26" s="1752" customFormat="1"/>
    <row r="45" spans="2:26" s="1752" customFormat="1" ht="15.75">
      <c r="B45" s="2525" t="str">
        <f>HLOOKUP(select,translations!$A$20:$H$70,29,)</f>
        <v xml:space="preserve">2.3. Other Land Use Changes </v>
      </c>
      <c r="C45" s="2186"/>
      <c r="D45" s="2187"/>
      <c r="E45" s="2187"/>
      <c r="F45" s="2187"/>
      <c r="G45" s="2187"/>
      <c r="H45" s="2187"/>
      <c r="I45" s="2187"/>
      <c r="J45" s="2187"/>
      <c r="K45" s="2187"/>
      <c r="L45" s="2187"/>
      <c r="M45" s="2188"/>
      <c r="N45" s="2187"/>
      <c r="O45" s="2187"/>
      <c r="P45" s="2187"/>
      <c r="Q45" s="2188"/>
      <c r="R45" s="2188"/>
      <c r="S45" s="2188"/>
      <c r="T45" s="2187"/>
    </row>
    <row r="46" spans="2:26" s="1752" customFormat="1">
      <c r="B46" s="1777"/>
      <c r="C46" s="1777"/>
      <c r="M46" s="1753"/>
      <c r="Q46" s="1753"/>
      <c r="R46" s="1753"/>
      <c r="S46" s="1753"/>
      <c r="V46" s="1777" t="str">
        <f>V28</f>
        <v xml:space="preserve"> </v>
      </c>
    </row>
    <row r="47" spans="2:26" s="1752" customFormat="1">
      <c r="B47" s="2183" t="str">
        <f>HLOOKUP(select,translations!$A$20:$H$70,30,)</f>
        <v>Fill with your description</v>
      </c>
      <c r="C47" s="2183"/>
      <c r="D47" s="2183" t="str">
        <f>HLOOKUP(select,translations!$A$20:$H$70,31,)</f>
        <v>Initial land use</v>
      </c>
      <c r="E47" s="2183"/>
      <c r="F47" s="2183"/>
      <c r="G47" s="2183" t="str">
        <f>HLOOKUP(select,translations!$A$20:$H$70,32,)</f>
        <v>Final land use</v>
      </c>
      <c r="H47" s="2183"/>
      <c r="I47" s="3681" t="str">
        <f>HLOOKUP(select,translations!$A$20:$H$70,33,)</f>
        <v>Message</v>
      </c>
      <c r="J47" s="3681"/>
      <c r="K47" s="2190" t="str">
        <f>E29</f>
        <v>Fire Use?</v>
      </c>
      <c r="L47" s="2183"/>
      <c r="M47" s="3682" t="str">
        <f>HLOOKUP(select,translations!$A$20:$H$70,34,)</f>
        <v>Area transformed (ha)</v>
      </c>
      <c r="N47" s="3682"/>
      <c r="O47" s="3682"/>
      <c r="P47" s="3682"/>
      <c r="Q47" s="2190"/>
      <c r="R47" s="3676" t="str">
        <f>R29</f>
        <v>Total Emissions (tCO2-eq)</v>
      </c>
      <c r="S47" s="3676"/>
      <c r="T47" s="2191" t="str">
        <f>T29</f>
        <v>Balance</v>
      </c>
      <c r="V47" s="1777" t="str">
        <f>IF(Nlang=1,"",D47)</f>
        <v/>
      </c>
      <c r="W47" s="1777"/>
      <c r="X47" s="1777" t="str">
        <f>IF(Nlang=1,"",G47)</f>
        <v/>
      </c>
      <c r="Y47" s="1777"/>
    </row>
    <row r="48" spans="2:26" s="1752" customFormat="1">
      <c r="B48" s="2183"/>
      <c r="C48" s="2183"/>
      <c r="D48" s="2183"/>
      <c r="E48" s="2183"/>
      <c r="F48" s="2183"/>
      <c r="G48" s="2183"/>
      <c r="H48" s="2183"/>
      <c r="I48" s="2189"/>
      <c r="J48" s="2189"/>
      <c r="K48" s="2192" t="str">
        <f>E30</f>
        <v>(y/n)</v>
      </c>
      <c r="L48" s="2183"/>
      <c r="M48" s="2185" t="str">
        <f>K30</f>
        <v>Without</v>
      </c>
      <c r="N48" s="2183" t="s">
        <v>91</v>
      </c>
      <c r="O48" s="2185" t="str">
        <f>M30</f>
        <v>With</v>
      </c>
      <c r="P48" s="2183" t="s">
        <v>91</v>
      </c>
      <c r="Q48" s="2190"/>
      <c r="R48" s="2192" t="str">
        <f>R30</f>
        <v>Without</v>
      </c>
      <c r="S48" s="2192" t="str">
        <f>S30</f>
        <v>With</v>
      </c>
      <c r="T48" s="2193"/>
    </row>
    <row r="49" spans="2:26" s="1752" customFormat="1">
      <c r="B49" s="2894"/>
      <c r="C49" s="2183"/>
      <c r="D49" s="3672" t="s">
        <v>14</v>
      </c>
      <c r="E49" s="3672"/>
      <c r="F49" s="2184"/>
      <c r="G49" s="3673" t="s">
        <v>16</v>
      </c>
      <c r="H49" s="3674"/>
      <c r="I49" s="3675" t="str">
        <f>IF(LEFT(D49,6)=List!$D$62,List!$D$63,IF(LEFT(G49,6)=List!$D$62,List!$D$64,IF(LEFT(D49,7)=LEFT(G49,7),List!$D$65,"")))</f>
        <v>Fill initial LU</v>
      </c>
      <c r="J49" s="3675"/>
      <c r="K49" s="2073" t="s">
        <v>354</v>
      </c>
      <c r="L49" s="2183"/>
      <c r="M49" s="2071">
        <v>0</v>
      </c>
      <c r="N49" s="2113" t="s">
        <v>1498</v>
      </c>
      <c r="O49" s="3644">
        <v>0</v>
      </c>
      <c r="P49" s="2113" t="s">
        <v>1498</v>
      </c>
      <c r="Q49" s="2185"/>
      <c r="R49" s="2194">
        <f>'non Forest LUC'!N31</f>
        <v>0</v>
      </c>
      <c r="S49" s="2194">
        <f>'non Forest LUC'!O31</f>
        <v>0</v>
      </c>
      <c r="T49" s="2194">
        <f>'non Forest LUC'!P31</f>
        <v>0</v>
      </c>
      <c r="V49" s="2653" t="str">
        <f>IF(Nlang=1,"",VLOOKUP(D49,'Name translation'!$A$76:$H$97,Nlang+1,))</f>
        <v/>
      </c>
      <c r="W49" s="1708" t="str">
        <f t="shared" ref="W49:W58" si="0">IF(Nlang=1,"","-&gt;")</f>
        <v/>
      </c>
      <c r="X49" s="2653" t="str">
        <f>IF(Nlang=1,"",VLOOKUP(G49,'Name translation'!$A$76:$H$97,Nlang+1,))</f>
        <v/>
      </c>
      <c r="Y49" s="1715"/>
    </row>
    <row r="50" spans="2:26" s="1752" customFormat="1">
      <c r="B50" s="2894"/>
      <c r="C50" s="2183"/>
      <c r="D50" s="3672" t="s">
        <v>14</v>
      </c>
      <c r="E50" s="3672"/>
      <c r="F50" s="2184"/>
      <c r="G50" s="3673" t="s">
        <v>16</v>
      </c>
      <c r="H50" s="3674"/>
      <c r="I50" s="3675" t="str">
        <f>IF(LEFT(D50,6)=List!$D$62,List!$D$63,IF(LEFT(G50,6)=List!$D$62,List!$D$64,IF(LEFT(D50,7)=LEFT(G50,7),List!$D$65,"")))</f>
        <v>Fill initial LU</v>
      </c>
      <c r="J50" s="3675"/>
      <c r="K50" s="2826" t="s">
        <v>354</v>
      </c>
      <c r="L50" s="2183"/>
      <c r="M50" s="3564">
        <v>0</v>
      </c>
      <c r="N50" s="2113" t="s">
        <v>1498</v>
      </c>
      <c r="O50" s="3644">
        <v>0</v>
      </c>
      <c r="P50" s="2113" t="s">
        <v>1498</v>
      </c>
      <c r="Q50" s="2185"/>
      <c r="R50" s="2194">
        <f>'non Forest LUC'!N32</f>
        <v>0</v>
      </c>
      <c r="S50" s="2194">
        <f>'non Forest LUC'!O32</f>
        <v>0</v>
      </c>
      <c r="T50" s="2194">
        <f>'non Forest LUC'!P32</f>
        <v>0</v>
      </c>
      <c r="V50" s="2653" t="str">
        <f>IF(Nlang=1,"",VLOOKUP(D50,'Name translation'!$A$76:$H$97,Nlang+1,))</f>
        <v/>
      </c>
      <c r="W50" s="1708" t="str">
        <f t="shared" si="0"/>
        <v/>
      </c>
      <c r="X50" s="2653" t="str">
        <f>IF(Nlang=1,"",VLOOKUP(G50,'Name translation'!$A$76:$H$97,Nlang+1,))</f>
        <v/>
      </c>
      <c r="Y50" s="1715"/>
    </row>
    <row r="51" spans="2:26" s="1752" customFormat="1">
      <c r="B51" s="2894"/>
      <c r="C51" s="2183"/>
      <c r="D51" s="3672" t="s">
        <v>14</v>
      </c>
      <c r="E51" s="3672"/>
      <c r="F51" s="2184"/>
      <c r="G51" s="3673" t="s">
        <v>16</v>
      </c>
      <c r="H51" s="3674"/>
      <c r="I51" s="3675" t="str">
        <f>IF(LEFT(D51,6)=List!$D$62,List!$D$63,IF(LEFT(G51,6)=List!$D$62,List!$D$64,IF(LEFT(D51,7)=LEFT(G51,7),List!$D$65,"")))</f>
        <v>Fill initial LU</v>
      </c>
      <c r="J51" s="3675"/>
      <c r="K51" s="2073" t="s">
        <v>354</v>
      </c>
      <c r="L51" s="2183"/>
      <c r="M51" s="3564">
        <v>0</v>
      </c>
      <c r="N51" s="2113" t="s">
        <v>1498</v>
      </c>
      <c r="O51" s="3644">
        <v>0</v>
      </c>
      <c r="P51" s="2113" t="s">
        <v>1498</v>
      </c>
      <c r="Q51" s="2185"/>
      <c r="R51" s="2194">
        <f>'non Forest LUC'!N33</f>
        <v>0</v>
      </c>
      <c r="S51" s="2194">
        <f>'non Forest LUC'!O33</f>
        <v>0</v>
      </c>
      <c r="T51" s="2194">
        <f>'non Forest LUC'!P33</f>
        <v>0</v>
      </c>
      <c r="V51" s="2653" t="str">
        <f>IF(Nlang=1,"",VLOOKUP(D51,'Name translation'!$A$76:$H$97,Nlang+1,))</f>
        <v/>
      </c>
      <c r="W51" s="1708" t="str">
        <f t="shared" si="0"/>
        <v/>
      </c>
      <c r="X51" s="2653" t="str">
        <f>IF(Nlang=1,"",VLOOKUP(G51,'Name translation'!$A$76:$H$97,Nlang+1,))</f>
        <v/>
      </c>
      <c r="Y51" s="1715"/>
    </row>
    <row r="52" spans="2:26" s="1752" customFormat="1">
      <c r="B52" s="2894"/>
      <c r="C52" s="2183"/>
      <c r="D52" s="3672" t="s">
        <v>14</v>
      </c>
      <c r="E52" s="3672"/>
      <c r="F52" s="2184"/>
      <c r="G52" s="3673" t="s">
        <v>16</v>
      </c>
      <c r="H52" s="3674"/>
      <c r="I52" s="3675" t="str">
        <f>IF(LEFT(D52,6)=List!$D$62,List!$D$63,IF(LEFT(G52,6)=List!$D$62,List!$D$64,IF(LEFT(D52,7)=LEFT(G52,7),List!$D$65,"")))</f>
        <v>Fill initial LU</v>
      </c>
      <c r="J52" s="3675"/>
      <c r="K52" s="2491" t="s">
        <v>354</v>
      </c>
      <c r="L52" s="2183"/>
      <c r="M52" s="3564">
        <v>0</v>
      </c>
      <c r="N52" s="2113" t="s">
        <v>1498</v>
      </c>
      <c r="O52" s="3644">
        <v>0</v>
      </c>
      <c r="P52" s="2113" t="s">
        <v>1498</v>
      </c>
      <c r="Q52" s="2185"/>
      <c r="R52" s="2194">
        <f>'non Forest LUC'!N34</f>
        <v>0</v>
      </c>
      <c r="S52" s="2194">
        <f>'non Forest LUC'!O34</f>
        <v>0</v>
      </c>
      <c r="T52" s="2194">
        <f>'non Forest LUC'!P34</f>
        <v>0</v>
      </c>
      <c r="V52" s="2653" t="str">
        <f>IF(Nlang=1,"",VLOOKUP(D52,'Name translation'!$A$76:$H$97,Nlang+1,))</f>
        <v/>
      </c>
      <c r="W52" s="1708" t="str">
        <f t="shared" si="0"/>
        <v/>
      </c>
      <c r="X52" s="2653" t="str">
        <f>IF(Nlang=1,"",VLOOKUP(G52,'Name translation'!$A$76:$H$97,Nlang+1,))</f>
        <v/>
      </c>
      <c r="Y52" s="1715"/>
    </row>
    <row r="53" spans="2:26" s="1752" customFormat="1">
      <c r="B53" s="2894"/>
      <c r="C53" s="2183"/>
      <c r="D53" s="3672" t="s">
        <v>14</v>
      </c>
      <c r="E53" s="3672"/>
      <c r="F53" s="2184"/>
      <c r="G53" s="3673" t="s">
        <v>16</v>
      </c>
      <c r="H53" s="3674"/>
      <c r="I53" s="3675" t="str">
        <f>IF(LEFT(D53,6)=List!$D$62,List!$D$63,IF(LEFT(G53,6)=List!$D$62,List!$D$64,IF(LEFT(D53,7)=LEFT(G53,7),List!$D$65,"")))</f>
        <v>Fill initial LU</v>
      </c>
      <c r="J53" s="3675"/>
      <c r="K53" s="2491" t="s">
        <v>354</v>
      </c>
      <c r="L53" s="2183"/>
      <c r="M53" s="3564">
        <v>0</v>
      </c>
      <c r="N53" s="2113" t="s">
        <v>1498</v>
      </c>
      <c r="O53" s="3644">
        <v>0</v>
      </c>
      <c r="P53" s="2113" t="s">
        <v>1498</v>
      </c>
      <c r="Q53" s="2185"/>
      <c r="R53" s="2194">
        <f>'non Forest LUC'!N35</f>
        <v>0</v>
      </c>
      <c r="S53" s="2194">
        <f>'non Forest LUC'!O35</f>
        <v>0</v>
      </c>
      <c r="T53" s="2194">
        <f>'non Forest LUC'!P35</f>
        <v>0</v>
      </c>
      <c r="V53" s="2653" t="str">
        <f>IF(Nlang=1,"",VLOOKUP(D53,'Name translation'!$A$76:$H$97,Nlang+1,))</f>
        <v/>
      </c>
      <c r="W53" s="1708" t="str">
        <f t="shared" si="0"/>
        <v/>
      </c>
      <c r="X53" s="2653" t="str">
        <f>IF(Nlang=1,"",VLOOKUP(G53,'Name translation'!$A$76:$H$97,Nlang+1,))</f>
        <v/>
      </c>
      <c r="Y53" s="1715"/>
    </row>
    <row r="54" spans="2:26" s="1752" customFormat="1">
      <c r="B54" s="2894"/>
      <c r="C54" s="2183"/>
      <c r="D54" s="3672" t="s">
        <v>14</v>
      </c>
      <c r="E54" s="3672"/>
      <c r="F54" s="2184"/>
      <c r="G54" s="3673" t="s">
        <v>16</v>
      </c>
      <c r="H54" s="3674"/>
      <c r="I54" s="3675" t="str">
        <f>IF(LEFT(D54,6)=List!$D$62,List!$D$63,IF(LEFT(G54,6)=List!$D$62,List!$D$64,IF(LEFT(D54,7)=LEFT(G54,7),List!$D$65,"")))</f>
        <v>Fill initial LU</v>
      </c>
      <c r="J54" s="3675"/>
      <c r="K54" s="2073" t="s">
        <v>354</v>
      </c>
      <c r="L54" s="2183"/>
      <c r="M54" s="3564">
        <v>0</v>
      </c>
      <c r="N54" s="2113" t="s">
        <v>1498</v>
      </c>
      <c r="O54" s="2071">
        <v>0</v>
      </c>
      <c r="P54" s="2113" t="s">
        <v>1498</v>
      </c>
      <c r="Q54" s="2185"/>
      <c r="R54" s="2194">
        <f>'non Forest LUC'!N36</f>
        <v>0</v>
      </c>
      <c r="S54" s="2194">
        <f>'non Forest LUC'!O36</f>
        <v>0</v>
      </c>
      <c r="T54" s="2194">
        <f>'non Forest LUC'!P36</f>
        <v>0</v>
      </c>
      <c r="V54" s="2653" t="str">
        <f>IF(Nlang=1,"",VLOOKUP(D54,'Name translation'!$A$76:$H$97,Nlang+1,))</f>
        <v/>
      </c>
      <c r="W54" s="1708" t="str">
        <f t="shared" si="0"/>
        <v/>
      </c>
      <c r="X54" s="2653" t="str">
        <f>IF(Nlang=1,"",VLOOKUP(G54,'Name translation'!$A$76:$H$97,Nlang+1,))</f>
        <v/>
      </c>
      <c r="Y54" s="1715"/>
    </row>
    <row r="55" spans="2:26" s="1752" customFormat="1">
      <c r="B55" s="2894"/>
      <c r="C55" s="2183"/>
      <c r="D55" s="3672" t="s">
        <v>14</v>
      </c>
      <c r="E55" s="3672"/>
      <c r="F55" s="2184"/>
      <c r="G55" s="3673" t="s">
        <v>16</v>
      </c>
      <c r="H55" s="3674"/>
      <c r="I55" s="3675" t="str">
        <f>IF(LEFT(D55,6)=List!$D$62,List!$D$63,IF(LEFT(G55,6)=List!$D$62,List!$D$64,IF(LEFT(D55,7)=LEFT(G55,7),List!$D$65,"")))</f>
        <v>Fill initial LU</v>
      </c>
      <c r="J55" s="3675"/>
      <c r="K55" s="2073" t="s">
        <v>354</v>
      </c>
      <c r="L55" s="2183"/>
      <c r="M55" s="2071">
        <v>0</v>
      </c>
      <c r="N55" s="2113" t="s">
        <v>1498</v>
      </c>
      <c r="O55" s="2071">
        <v>0</v>
      </c>
      <c r="P55" s="2113" t="s">
        <v>1498</v>
      </c>
      <c r="Q55" s="2185"/>
      <c r="R55" s="2194">
        <f>'non Forest LUC'!N37</f>
        <v>0</v>
      </c>
      <c r="S55" s="2194">
        <f>'non Forest LUC'!O37</f>
        <v>0</v>
      </c>
      <c r="T55" s="2194">
        <f>'non Forest LUC'!P37</f>
        <v>0</v>
      </c>
      <c r="V55" s="2653" t="str">
        <f>IF(Nlang=1,"",VLOOKUP(D55,'Name translation'!$A$76:$H$97,Nlang+1,))</f>
        <v/>
      </c>
      <c r="W55" s="1708" t="str">
        <f t="shared" si="0"/>
        <v/>
      </c>
      <c r="X55" s="2653" t="str">
        <f>IF(Nlang=1,"",VLOOKUP(G55,'Name translation'!$A$76:$H$97,Nlang+1,))</f>
        <v/>
      </c>
      <c r="Y55" s="1715"/>
    </row>
    <row r="56" spans="2:26" s="1752" customFormat="1">
      <c r="B56" s="2894"/>
      <c r="C56" s="2183"/>
      <c r="D56" s="3672" t="s">
        <v>14</v>
      </c>
      <c r="E56" s="3672"/>
      <c r="F56" s="2184"/>
      <c r="G56" s="3673" t="s">
        <v>16</v>
      </c>
      <c r="H56" s="3674"/>
      <c r="I56" s="3675" t="str">
        <f>IF(LEFT(D56,6)=List!$D$62,List!$D$63,IF(LEFT(G56,6)=List!$D$62,List!$D$64,IF(LEFT(D56,7)=LEFT(G56,7),List!$D$65,"")))</f>
        <v>Fill initial LU</v>
      </c>
      <c r="J56" s="3675"/>
      <c r="K56" s="2073" t="s">
        <v>354</v>
      </c>
      <c r="L56" s="2183"/>
      <c r="M56" s="2071">
        <v>0</v>
      </c>
      <c r="N56" s="2113" t="s">
        <v>1498</v>
      </c>
      <c r="O56" s="2071">
        <v>0</v>
      </c>
      <c r="P56" s="2113" t="s">
        <v>1498</v>
      </c>
      <c r="Q56" s="2185"/>
      <c r="R56" s="2194">
        <f>'non Forest LUC'!N38</f>
        <v>0</v>
      </c>
      <c r="S56" s="2194">
        <f>'non Forest LUC'!O38</f>
        <v>0</v>
      </c>
      <c r="T56" s="2194">
        <f>'non Forest LUC'!P38</f>
        <v>0</v>
      </c>
      <c r="V56" s="2653" t="str">
        <f>IF(Nlang=1,"",VLOOKUP(D56,'Name translation'!$A$76:$H$97,Nlang+1,))</f>
        <v/>
      </c>
      <c r="W56" s="1708" t="str">
        <f t="shared" si="0"/>
        <v/>
      </c>
      <c r="X56" s="2653" t="str">
        <f>IF(Nlang=1,"",VLOOKUP(G56,'Name translation'!$A$76:$H$97,Nlang+1,))</f>
        <v/>
      </c>
      <c r="Y56" s="1715"/>
    </row>
    <row r="57" spans="2:26" s="1752" customFormat="1">
      <c r="B57" s="2894"/>
      <c r="C57" s="2183"/>
      <c r="D57" s="3672" t="s">
        <v>14</v>
      </c>
      <c r="E57" s="3672"/>
      <c r="F57" s="2184"/>
      <c r="G57" s="3673" t="s">
        <v>16</v>
      </c>
      <c r="H57" s="3674"/>
      <c r="I57" s="3675" t="str">
        <f>IF(LEFT(D57,6)=List!$D$62,List!$D$63,IF(LEFT(G57,6)=List!$D$62,List!$D$64,IF(LEFT(D57,7)=LEFT(G57,7),List!$D$65,"")))</f>
        <v>Fill initial LU</v>
      </c>
      <c r="J57" s="3675"/>
      <c r="K57" s="2073" t="s">
        <v>354</v>
      </c>
      <c r="L57" s="2183"/>
      <c r="M57" s="2071">
        <v>0</v>
      </c>
      <c r="N57" s="2113" t="s">
        <v>1498</v>
      </c>
      <c r="O57" s="2071">
        <v>0</v>
      </c>
      <c r="P57" s="2113" t="s">
        <v>1498</v>
      </c>
      <c r="Q57" s="2185"/>
      <c r="R57" s="2194">
        <f>'non Forest LUC'!N39</f>
        <v>0</v>
      </c>
      <c r="S57" s="2194">
        <f>'non Forest LUC'!O39</f>
        <v>0</v>
      </c>
      <c r="T57" s="2194">
        <f>'non Forest LUC'!P39</f>
        <v>0</v>
      </c>
      <c r="V57" s="2653" t="str">
        <f>IF(Nlang=1,"",VLOOKUP(D57,'Name translation'!$A$76:$H$97,Nlang+1,))</f>
        <v/>
      </c>
      <c r="W57" s="1708" t="str">
        <f t="shared" si="0"/>
        <v/>
      </c>
      <c r="X57" s="2653" t="str">
        <f>IF(Nlang=1,"",VLOOKUP(G57,'Name translation'!$A$76:$H$97,Nlang+1,))</f>
        <v/>
      </c>
      <c r="Y57" s="1715"/>
    </row>
    <row r="58" spans="2:26" s="1752" customFormat="1">
      <c r="B58" s="2894"/>
      <c r="C58" s="2183"/>
      <c r="D58" s="3672" t="s">
        <v>14</v>
      </c>
      <c r="E58" s="3672"/>
      <c r="F58" s="2184"/>
      <c r="G58" s="3673" t="s">
        <v>16</v>
      </c>
      <c r="H58" s="3674"/>
      <c r="I58" s="3675" t="str">
        <f>IF(LEFT(D58,6)=List!$D$62,List!$D$63,IF(LEFT(G58,6)=List!$D$62,List!$D$64,IF(LEFT(D58,7)=LEFT(G58,7),List!$D$65,"")))</f>
        <v>Fill initial LU</v>
      </c>
      <c r="J58" s="3675"/>
      <c r="K58" s="2073" t="s">
        <v>354</v>
      </c>
      <c r="L58" s="2183"/>
      <c r="M58" s="2071">
        <v>0</v>
      </c>
      <c r="N58" s="2113" t="s">
        <v>1498</v>
      </c>
      <c r="O58" s="2071">
        <v>0</v>
      </c>
      <c r="P58" s="2113" t="s">
        <v>1498</v>
      </c>
      <c r="Q58" s="2185"/>
      <c r="R58" s="2194">
        <f>'non Forest LUC'!N40</f>
        <v>0</v>
      </c>
      <c r="S58" s="2194">
        <f>'non Forest LUC'!O40</f>
        <v>0</v>
      </c>
      <c r="T58" s="2194">
        <f>'non Forest LUC'!P40</f>
        <v>0</v>
      </c>
      <c r="V58" s="2653" t="str">
        <f>IF(Nlang=1,"",VLOOKUP(D58,'Name translation'!$A$76:$H$97,Nlang+1,))</f>
        <v/>
      </c>
      <c r="W58" s="1708" t="str">
        <f t="shared" si="0"/>
        <v/>
      </c>
      <c r="X58" s="2653" t="str">
        <f>IF(Nlang=1,"",VLOOKUP(G58,'Name translation'!$A$76:$H$97,Nlang+1,))</f>
        <v/>
      </c>
      <c r="Y58" s="1715"/>
    </row>
    <row r="59" spans="2:26" s="1752" customFormat="1">
      <c r="G59" s="2135" t="str">
        <f>G39</f>
        <v>* Note concerning dynamics of change : "D" corresponds to default/linear, "I" to immediate and "E" to exponential (Please refer to the guidelines)</v>
      </c>
      <c r="H59" s="2133"/>
      <c r="I59" s="2133"/>
      <c r="J59" s="2133"/>
      <c r="K59" s="2133"/>
      <c r="L59" s="2133"/>
      <c r="M59" s="2133"/>
      <c r="N59" s="2133"/>
      <c r="O59" s="2133"/>
      <c r="P59" s="2133"/>
      <c r="Q59" s="2133"/>
      <c r="R59" s="2134"/>
      <c r="S59" s="2134"/>
      <c r="T59" s="2133"/>
    </row>
    <row r="60" spans="2:26" s="1752" customFormat="1">
      <c r="M60" s="1753"/>
      <c r="X60" s="1777" t="str">
        <f>IF(Nlang=1,"",I47)</f>
        <v/>
      </c>
    </row>
    <row r="61" spans="2:26" s="1704" customFormat="1">
      <c r="M61" s="1709"/>
      <c r="N61" s="2195" t="str">
        <f>HLOOKUP(select,translations!$A$20:$H$70,35,)</f>
        <v>Total Other LUC</v>
      </c>
      <c r="O61" s="2193"/>
      <c r="P61" s="2193"/>
      <c r="Q61" s="2193"/>
      <c r="R61" s="2196">
        <f>SUM(R49:R58)</f>
        <v>0</v>
      </c>
      <c r="S61" s="2196">
        <f>SUM(S49:S58)</f>
        <v>0</v>
      </c>
      <c r="T61" s="2196">
        <f>SUM(T49:T58)</f>
        <v>0</v>
      </c>
      <c r="X61" s="2653" t="str">
        <f>IF(Nlang=1,"",CONCATENATE('Name translation'!A95," : ", VLOOKUP('Name translation'!A95,'Name translation'!$A$95:$H$97,Nlang+1,)))</f>
        <v/>
      </c>
      <c r="Y61" s="2653"/>
      <c r="Z61" s="2653"/>
    </row>
    <row r="62" spans="2:26" s="1704" customFormat="1">
      <c r="M62" s="1709"/>
      <c r="Q62" s="1709"/>
      <c r="R62" s="1709"/>
      <c r="S62" s="1709"/>
      <c r="X62" s="2653" t="str">
        <f>IF(Nlang=1,"",CONCATENATE('Name translation'!A96," : ", VLOOKUP('Name translation'!A96,'Name translation'!$A$95:$H$97,Nlang+1,)))</f>
        <v/>
      </c>
      <c r="Y62" s="2653"/>
      <c r="Z62" s="2653"/>
    </row>
    <row r="63" spans="2:26" s="1704" customFormat="1">
      <c r="M63" s="1709"/>
      <c r="Q63" s="1709"/>
      <c r="R63" s="1709"/>
      <c r="S63" s="1709"/>
      <c r="X63" s="2653" t="str">
        <f>IF(Nlang=1,"",CONCATENATE('Name translation'!A97," : ", VLOOKUP('Name translation'!A97,'Name translation'!$A$95:$H$97,Nlang+1,)))</f>
        <v/>
      </c>
      <c r="Y63" s="2653"/>
      <c r="Z63" s="2653"/>
    </row>
    <row r="64" spans="2:26" s="1704" customFormat="1">
      <c r="M64" s="1709"/>
      <c r="Q64" s="1709"/>
      <c r="R64" s="1709"/>
      <c r="S64" s="1709"/>
    </row>
    <row r="65" spans="13:19" s="1704" customFormat="1">
      <c r="M65" s="1709"/>
      <c r="Q65" s="1709"/>
      <c r="R65" s="1709"/>
      <c r="S65" s="1709"/>
    </row>
    <row r="66" spans="13:19" s="1704" customFormat="1">
      <c r="M66" s="1709"/>
      <c r="Q66" s="1709"/>
      <c r="R66" s="1709"/>
      <c r="S66" s="1709"/>
    </row>
    <row r="67" spans="13:19" s="1704" customFormat="1">
      <c r="M67" s="1709"/>
      <c r="Q67" s="1709"/>
      <c r="R67" s="1709"/>
      <c r="S67" s="1709"/>
    </row>
    <row r="68" spans="13:19" s="1704" customFormat="1">
      <c r="M68" s="1709"/>
      <c r="Q68" s="1709"/>
      <c r="R68" s="1709"/>
      <c r="S68" s="1709"/>
    </row>
    <row r="69" spans="13:19" s="1704" customFormat="1">
      <c r="M69" s="1709"/>
      <c r="Q69" s="1709"/>
      <c r="R69" s="1709"/>
      <c r="S69" s="1709"/>
    </row>
    <row r="70" spans="13:19" s="1704" customFormat="1">
      <c r="M70" s="1709"/>
      <c r="Q70" s="1709"/>
      <c r="R70" s="1709"/>
      <c r="S70" s="1709"/>
    </row>
    <row r="71" spans="13:19" s="1704" customFormat="1">
      <c r="M71" s="1709"/>
      <c r="Q71" s="1709"/>
      <c r="R71" s="1709"/>
      <c r="S71" s="1709"/>
    </row>
    <row r="72" spans="13:19" s="1704" customFormat="1">
      <c r="M72" s="1709"/>
      <c r="Q72" s="1709"/>
      <c r="R72" s="1709"/>
      <c r="S72" s="1709"/>
    </row>
    <row r="73" spans="13:19" s="1704" customFormat="1">
      <c r="M73" s="1709"/>
      <c r="Q73" s="1709"/>
      <c r="R73" s="1709"/>
      <c r="S73" s="1709"/>
    </row>
    <row r="74" spans="13:19" s="1704" customFormat="1">
      <c r="M74" s="1709"/>
      <c r="Q74" s="1709"/>
      <c r="R74" s="1709"/>
      <c r="S74" s="1709"/>
    </row>
    <row r="75" spans="13:19" s="1704" customFormat="1">
      <c r="M75" s="1709"/>
      <c r="Q75" s="1709"/>
      <c r="R75" s="1709"/>
      <c r="S75" s="1709"/>
    </row>
    <row r="76" spans="13:19" s="1704" customFormat="1">
      <c r="M76" s="1709"/>
      <c r="Q76" s="1709"/>
      <c r="R76" s="1709"/>
      <c r="S76" s="1709"/>
    </row>
    <row r="77" spans="13:19" s="1704" customFormat="1">
      <c r="M77" s="1709"/>
      <c r="Q77" s="1709"/>
      <c r="R77" s="1709"/>
      <c r="S77" s="1709"/>
    </row>
    <row r="78" spans="13:19" s="1704" customFormat="1">
      <c r="M78" s="1709"/>
      <c r="Q78" s="1709"/>
      <c r="R78" s="1709"/>
      <c r="S78" s="1709"/>
    </row>
    <row r="79" spans="13:19" s="1704" customFormat="1">
      <c r="M79" s="1709"/>
      <c r="Q79" s="1709"/>
      <c r="R79" s="1709"/>
      <c r="S79" s="1709"/>
    </row>
    <row r="80" spans="13:19" s="1704" customFormat="1">
      <c r="M80" s="1709"/>
      <c r="Q80" s="1709"/>
      <c r="R80" s="1709"/>
      <c r="S80" s="1709"/>
    </row>
    <row r="81" spans="2:19" s="1704" customFormat="1">
      <c r="M81" s="1709"/>
      <c r="Q81" s="1709"/>
      <c r="R81" s="1709"/>
      <c r="S81" s="1709"/>
    </row>
    <row r="82" spans="2:19" s="1704" customFormat="1">
      <c r="M82" s="1709"/>
      <c r="Q82" s="1709"/>
      <c r="R82" s="1709"/>
      <c r="S82" s="1709"/>
    </row>
    <row r="83" spans="2:19" s="1704" customFormat="1">
      <c r="M83" s="1709"/>
      <c r="Q83" s="1709"/>
      <c r="R83" s="1709"/>
      <c r="S83" s="1709"/>
    </row>
    <row r="84" spans="2:19" s="1704" customFormat="1">
      <c r="M84" s="1709"/>
      <c r="Q84" s="1709"/>
      <c r="R84" s="1709"/>
      <c r="S84" s="1709"/>
    </row>
    <row r="85" spans="2:19" s="1704" customFormat="1">
      <c r="M85" s="1709"/>
      <c r="Q85" s="1709"/>
      <c r="R85" s="1709"/>
      <c r="S85" s="1709"/>
    </row>
    <row r="86" spans="2:19" s="1704" customFormat="1">
      <c r="M86" s="1709"/>
      <c r="Q86" s="1709"/>
      <c r="R86" s="1709"/>
      <c r="S86" s="1709"/>
    </row>
    <row r="87" spans="2:19" s="1704" customFormat="1">
      <c r="M87" s="1709"/>
      <c r="Q87" s="1709"/>
      <c r="R87" s="1709"/>
      <c r="S87" s="1709"/>
    </row>
    <row r="88" spans="2:19" s="1704" customFormat="1">
      <c r="M88" s="1709"/>
      <c r="Q88" s="1709"/>
      <c r="R88" s="1709"/>
      <c r="S88" s="1709"/>
    </row>
    <row r="89" spans="2:19" s="1704" customFormat="1" ht="18">
      <c r="B89" s="2520" t="str">
        <f>B7</f>
        <v>2.1. Deforestation</v>
      </c>
      <c r="C89" s="2522"/>
      <c r="D89" s="2523"/>
      <c r="E89" s="2523"/>
      <c r="F89" s="2523"/>
      <c r="G89" s="2523"/>
      <c r="H89" s="2523"/>
      <c r="I89" s="2523"/>
      <c r="J89" s="2523"/>
      <c r="K89" s="2523"/>
      <c r="L89" s="2523"/>
      <c r="M89" s="2523"/>
      <c r="N89" s="2523"/>
      <c r="O89" s="2523"/>
      <c r="P89" s="2523"/>
      <c r="Q89" s="2523"/>
      <c r="R89" s="2523"/>
      <c r="S89" s="1709"/>
    </row>
    <row r="90" spans="2:19" s="1704" customFormat="1">
      <c r="B90" s="2592" t="str">
        <f>B27</f>
        <v>AEZ map</v>
      </c>
      <c r="C90" s="1981"/>
      <c r="D90" s="2598" t="str">
        <f>D8</f>
        <v>Zone 1 = Please specify the climate</v>
      </c>
      <c r="E90" s="2598"/>
      <c r="F90" s="2770"/>
      <c r="G90" s="2598" t="str">
        <f>G8</f>
        <v>Zone 2 = Please specify the climate</v>
      </c>
      <c r="H90" s="2770"/>
      <c r="I90" s="2770"/>
      <c r="J90" s="2770"/>
      <c r="K90" s="2598" t="str">
        <f>K8</f>
        <v>Zone 3 = Please specify the climate</v>
      </c>
      <c r="L90" s="2770"/>
      <c r="M90" s="2770"/>
      <c r="N90" s="2770"/>
      <c r="O90" s="2770"/>
      <c r="P90" s="2770"/>
      <c r="Q90" s="2598" t="str">
        <f>Q8</f>
        <v>Zone 4 = Please specify the climate</v>
      </c>
      <c r="R90" s="2770"/>
      <c r="S90" s="1709"/>
    </row>
    <row r="91" spans="2:19" s="1704" customFormat="1">
      <c r="M91" s="1709"/>
      <c r="Q91" s="1709"/>
      <c r="R91" s="1709"/>
      <c r="S91" s="1709"/>
    </row>
    <row r="92" spans="2:19" s="1704" customFormat="1">
      <c r="B92" s="1755"/>
      <c r="C92" s="1755"/>
      <c r="D92" s="2496" t="str">
        <f>HLOOKUP(select,translations!$A$20:$H$70,36,)</f>
        <v>You have indicated that you are using the following types of vegetation:</v>
      </c>
      <c r="E92" s="1755"/>
      <c r="F92" s="1755"/>
      <c r="G92" s="1755"/>
      <c r="H92" s="1755"/>
      <c r="I92" s="1755"/>
      <c r="J92" s="1755" t="str">
        <f>IF(B12&lt;&gt;List!$A$50,IF(Nlang=1,'2.LUC'!B12,V12),"")</f>
        <v/>
      </c>
      <c r="K92" s="1755"/>
      <c r="L92" s="1755"/>
      <c r="M92" s="1755" t="str">
        <f>IF(B15&lt;&gt;List!$A$50,IF(Nlang=1,'2.LUC'!B15,V15),"")</f>
        <v/>
      </c>
      <c r="N92" s="1755"/>
      <c r="O92" s="3138"/>
      <c r="P92" s="1755"/>
      <c r="Q92" s="1755" t="str">
        <f>IF(B18&lt;&gt;List!$A$50,IF(Nlang=1,'2.LUC'!B18,V18),"")</f>
        <v/>
      </c>
      <c r="R92" s="2125"/>
      <c r="S92" s="1709"/>
    </row>
    <row r="93" spans="2:19" s="1704" customFormat="1">
      <c r="B93" s="1755"/>
      <c r="C93" s="1755"/>
      <c r="D93" s="1755"/>
      <c r="E93" s="1755"/>
      <c r="F93" s="1755"/>
      <c r="G93" s="1755"/>
      <c r="H93" s="1755"/>
      <c r="I93" s="1755"/>
      <c r="J93" s="1755" t="str">
        <f>IF(B13&lt;&gt;List!$A$50,IF(Nlang=1,'2.LUC'!B13,V13),"")</f>
        <v/>
      </c>
      <c r="K93" s="1755"/>
      <c r="L93" s="1755"/>
      <c r="M93" s="1755" t="str">
        <f>IF(B16&lt;&gt;List!$A$50,IF(Nlang=1,'2.LUC'!B16,V16),"")</f>
        <v/>
      </c>
      <c r="N93" s="1755"/>
      <c r="O93" s="3138"/>
      <c r="P93" s="1755"/>
      <c r="Q93" s="1755" t="str">
        <f>IF(B19&lt;&gt;List!$A$50,IF(Nlang=1,'2.LUC'!B19,V19),"")</f>
        <v/>
      </c>
      <c r="R93" s="2125"/>
      <c r="S93" s="1709"/>
    </row>
    <row r="94" spans="2:19" s="1704" customFormat="1">
      <c r="B94" s="1755"/>
      <c r="C94" s="1755"/>
      <c r="D94" s="1755"/>
      <c r="E94" s="1755"/>
      <c r="F94" s="1755"/>
      <c r="G94" s="1755"/>
      <c r="H94" s="1755"/>
      <c r="I94" s="1755"/>
      <c r="J94" s="1755" t="str">
        <f>IF(B14&lt;&gt;List!$A$50,IF(Nlang=1,'2.LUC'!B14,V14),"")</f>
        <v/>
      </c>
      <c r="K94" s="1755"/>
      <c r="L94" s="1755"/>
      <c r="M94" s="1755" t="str">
        <f>IF(B17&lt;&gt;List!$A$50,IF(Nlang=1,'2.LUC'!B17,V17),"")</f>
        <v/>
      </c>
      <c r="N94" s="1755"/>
      <c r="O94" s="1755"/>
      <c r="P94" s="1755"/>
      <c r="Q94" s="1755"/>
      <c r="R94" s="1755"/>
    </row>
    <row r="95" spans="2:19" s="1704" customFormat="1"/>
    <row r="96" spans="2:19" s="1704" customFormat="1">
      <c r="B96" s="1804" t="str">
        <f>HLOOKUP(select,translations!$A$20:$H$70,37,)</f>
        <v>Use this part only if you want to refine the analysis with Tier 2 coefficients.</v>
      </c>
      <c r="C96" s="2151"/>
      <c r="D96" s="1726"/>
      <c r="E96" s="1727"/>
      <c r="F96" s="1726"/>
      <c r="G96" s="1726"/>
      <c r="H96" s="1726"/>
      <c r="I96" s="1726"/>
      <c r="J96" s="1726"/>
      <c r="K96" s="1726"/>
      <c r="L96" s="1726"/>
      <c r="M96" s="2112"/>
      <c r="N96" s="1726"/>
      <c r="O96" s="1726"/>
      <c r="P96" s="1726"/>
      <c r="Q96" s="1726"/>
      <c r="R96" s="1726"/>
    </row>
    <row r="97" spans="2:19" s="1704" customFormat="1">
      <c r="B97" s="2151" t="str">
        <f>HLOOKUP(select,translations!$A$20:$H$70,38,)</f>
        <v>(default values are provided for your information only, while EX-ACT will use Tier 2 values automatically wherever specified)</v>
      </c>
      <c r="C97" s="2151"/>
      <c r="D97" s="1726"/>
      <c r="E97" s="1726"/>
      <c r="F97" s="1726"/>
      <c r="G97" s="1726"/>
      <c r="H97" s="1726"/>
      <c r="I97" s="1726"/>
      <c r="J97" s="1726"/>
      <c r="K97" s="1726"/>
      <c r="L97" s="1726"/>
      <c r="M97" s="1726"/>
      <c r="N97" s="1726"/>
      <c r="O97" s="1726"/>
      <c r="P97" s="1726"/>
      <c r="Q97" s="1727"/>
      <c r="R97" s="1727"/>
    </row>
    <row r="98" spans="2:19" s="1704" customFormat="1">
      <c r="B98" s="2151"/>
      <c r="C98" s="2151"/>
      <c r="D98" s="1726"/>
      <c r="E98" s="1726"/>
      <c r="F98" s="1726"/>
      <c r="G98" s="1726"/>
      <c r="H98" s="1726"/>
      <c r="I98" s="1726"/>
      <c r="J98" s="1726"/>
      <c r="K98" s="1726"/>
      <c r="L98" s="1726"/>
      <c r="M98" s="1726"/>
      <c r="N98" s="1726"/>
      <c r="O98" s="1726"/>
      <c r="P98" s="1726"/>
      <c r="Q98" s="1727"/>
      <c r="R98" s="1727"/>
    </row>
    <row r="99" spans="2:19" s="1704" customFormat="1">
      <c r="B99" s="2150" t="str">
        <f>B10</f>
        <v>Type of vegetation</v>
      </c>
      <c r="C99" s="2150"/>
      <c r="D99" s="1730"/>
      <c r="E99" s="1730"/>
      <c r="F99" s="1730"/>
      <c r="G99" s="1730"/>
      <c r="H99" s="1730"/>
      <c r="I99" s="1730"/>
      <c r="J99" s="2597" t="str">
        <f>HLOOKUP(select,translations!$A$20:$H$70,39,)</f>
        <v>All values are in t of carbon per ha (tC/ha)</v>
      </c>
      <c r="K99" s="1730"/>
      <c r="L99" s="1730"/>
      <c r="M99" s="1730"/>
      <c r="N99" s="1730"/>
      <c r="O99" s="1730"/>
      <c r="P99" s="1730"/>
      <c r="Q99" s="1730"/>
      <c r="R99" s="1730"/>
    </row>
    <row r="100" spans="2:19" s="1704" customFormat="1">
      <c r="B100" s="2150" t="str">
        <f>B11</f>
        <v>that will be deforested</v>
      </c>
      <c r="C100" s="2150"/>
      <c r="D100" s="1730"/>
      <c r="E100" s="2152" t="str">
        <f>HLOOKUP(select,translations!$A$20:$H$70,40,)</f>
        <v>Above-ground</v>
      </c>
      <c r="F100" s="2152"/>
      <c r="G100" s="2152" t="str">
        <f>HLOOKUP(select,translations!$A$20:$H$70,41,)</f>
        <v>Below-ground</v>
      </c>
      <c r="H100" s="2152"/>
      <c r="I100" s="2152" t="str">
        <f>HLOOKUP(select,translations!$A$20:$H$70,42,)</f>
        <v>Litter</v>
      </c>
      <c r="J100" s="2152"/>
      <c r="K100" s="2152" t="str">
        <f>HLOOKUP(select,translations!$A$20:$H$70,43,)</f>
        <v>Dead wood</v>
      </c>
      <c r="L100" s="2152"/>
      <c r="M100" s="2152"/>
      <c r="N100" s="1730"/>
      <c r="O100" s="2152" t="str">
        <f>HLOOKUP(select,translations!$A$20:$H$70,44,)</f>
        <v>Soil carbon</v>
      </c>
      <c r="P100" s="2152"/>
      <c r="Q100" s="2152"/>
      <c r="R100" s="1730"/>
    </row>
    <row r="101" spans="2:19" s="1704" customFormat="1">
      <c r="B101" s="1730"/>
      <c r="C101" s="2150"/>
      <c r="D101" s="1730"/>
      <c r="E101" s="2112" t="str">
        <f>HLOOKUP(select,translations!$A$20:$H$70,45,)</f>
        <v>Default</v>
      </c>
      <c r="F101" s="2112" t="str">
        <f>HLOOKUP(select,translations!$A$20:$H$70,46,)</f>
        <v>Tier 2</v>
      </c>
      <c r="G101" s="2112" t="str">
        <f>E101</f>
        <v>Default</v>
      </c>
      <c r="H101" s="2112" t="str">
        <f>F101</f>
        <v>Tier 2</v>
      </c>
      <c r="I101" s="2112" t="str">
        <f>E101</f>
        <v>Default</v>
      </c>
      <c r="J101" s="2112" t="str">
        <f>H101</f>
        <v>Tier 2</v>
      </c>
      <c r="K101" s="2112" t="str">
        <f>E101</f>
        <v>Default</v>
      </c>
      <c r="L101" s="1730"/>
      <c r="M101" s="2112" t="str">
        <f>F101</f>
        <v>Tier 2</v>
      </c>
      <c r="N101" s="2112"/>
      <c r="O101" s="2112" t="str">
        <f>E101</f>
        <v>Default</v>
      </c>
      <c r="P101" s="2112"/>
      <c r="Q101" s="2112" t="str">
        <f>F101</f>
        <v>Tier 2</v>
      </c>
      <c r="R101" s="1730"/>
    </row>
    <row r="102" spans="2:19" s="1704" customFormat="1">
      <c r="B102" s="2514" t="str">
        <f>IF(forest1&lt;&gt;"",IF(Nlang=1,'Name translation'!A46,VLOOKUP('Name translation'!A46,'Name translation'!$A$46:$H$55,Nlang+1,)),"")</f>
        <v>Forest Zone 1</v>
      </c>
      <c r="C102" s="2515"/>
      <c r="D102" s="2514"/>
      <c r="E102" s="2516">
        <f>VLOOKUP(region,' IPCC'!$A$14:$G$26,1+MATCH(forest1,' IPCC'!$B$14:$G$14,),)*0.47</f>
        <v>0</v>
      </c>
      <c r="F102" s="2118"/>
      <c r="G102" s="2516">
        <f>'Forest Degradation'!L10*0.47</f>
        <v>0</v>
      </c>
      <c r="H102" s="2118"/>
      <c r="I102" s="2516">
        <f>IF($E102&gt;0,VLOOKUP(clim_full,' IPCC'!$A$75:$H$85,2,),0)</f>
        <v>0</v>
      </c>
      <c r="J102" s="2118"/>
      <c r="K102" s="2516">
        <f>IF($E102&gt;0,VLOOKUP(clim_full,' IPCC'!$A$75:$H$85,3,),0)</f>
        <v>0</v>
      </c>
      <c r="L102" s="2516"/>
      <c r="M102" s="2118"/>
      <c r="N102" s="2516"/>
      <c r="O102" s="2516">
        <f>IF($E102&gt;0,VLOOKUP(clim_full,' IPCC'!$A$569:$I$581,1+MATCH(soil,soil_type,),),0)</f>
        <v>0</v>
      </c>
      <c r="P102" s="2516"/>
      <c r="Q102" s="2118"/>
      <c r="R102" s="2518"/>
    </row>
    <row r="103" spans="2:19" s="1704" customFormat="1">
      <c r="B103" s="2514" t="str">
        <f>IF(forest2&lt;&gt;"",IF(Nlang=1,'Name translation'!A47,VLOOKUP('Name translation'!A47,'Name translation'!$A$46:$H$55,Nlang+1,)),"")</f>
        <v>Forest Zone 2</v>
      </c>
      <c r="C103" s="2515"/>
      <c r="D103" s="2514"/>
      <c r="E103" s="2516">
        <f>VLOOKUP(region,' IPCC'!$A$30:$G$41,1+MATCH(forest2,' IPCC'!$B$29:$G$29,),)*0.47</f>
        <v>0</v>
      </c>
      <c r="F103" s="2118"/>
      <c r="G103" s="2516">
        <f>'Forest Degradation'!L11*0.47</f>
        <v>0</v>
      </c>
      <c r="H103" s="2118"/>
      <c r="I103" s="2516">
        <f>IF($E103&gt;0,VLOOKUP(clim_full,' IPCC'!$A$75:$H$85,2,),0)</f>
        <v>0</v>
      </c>
      <c r="J103" s="2118"/>
      <c r="K103" s="2516">
        <f>IF($E103&gt;0,VLOOKUP(clim_full,' IPCC'!$A$75:$H$85,3,),0)</f>
        <v>0</v>
      </c>
      <c r="L103" s="2516"/>
      <c r="M103" s="2118"/>
      <c r="N103" s="2516"/>
      <c r="O103" s="2516">
        <f>IF($E103&gt;0,VLOOKUP(clim_full,' IPCC'!$A$569:$I$581,1+MATCH(soil,soil_type,),),0)</f>
        <v>0</v>
      </c>
      <c r="P103" s="2516"/>
      <c r="Q103" s="2118"/>
      <c r="R103" s="2518"/>
    </row>
    <row r="104" spans="2:19" s="1704" customFormat="1">
      <c r="B104" s="2514" t="str">
        <f>IF(forest3&lt;&gt;"",IF(Nlang=1,'Name translation'!A48,VLOOKUP('Name translation'!A48,'Name translation'!$A$46:$H$55,Nlang+1,)),"")</f>
        <v>Forest Zone 3</v>
      </c>
      <c r="C104" s="2515"/>
      <c r="D104" s="2514"/>
      <c r="E104" s="2516">
        <f>VLOOKUP(region,' IPCC'!$A$45:$H$56,1+MATCH(forest3,' IPCC'!$B$44:$H$44,),)*0.47</f>
        <v>0</v>
      </c>
      <c r="F104" s="2118"/>
      <c r="G104" s="2516">
        <f>'Forest Degradation'!L12*0.47</f>
        <v>0</v>
      </c>
      <c r="H104" s="2118"/>
      <c r="I104" s="2516">
        <f>IF($E104&gt;0,VLOOKUP(clim_full,' IPCC'!$A$75:$H$85,2,),0)</f>
        <v>0</v>
      </c>
      <c r="J104" s="2118"/>
      <c r="K104" s="2516">
        <f>IF($E104&gt;0,VLOOKUP(clim_full,' IPCC'!$A$75:$H$85,3,),0)</f>
        <v>0</v>
      </c>
      <c r="L104" s="2516"/>
      <c r="M104" s="2118"/>
      <c r="N104" s="2516"/>
      <c r="O104" s="2516">
        <f>IF($E104&gt;0,VLOOKUP(clim_full,' IPCC'!$A$569:$I$581,1+MATCH(soil,soil_type,),),0)</f>
        <v>0</v>
      </c>
      <c r="P104" s="2516"/>
      <c r="Q104" s="2118"/>
      <c r="R104" s="1730"/>
    </row>
    <row r="105" spans="2:19" s="1704" customFormat="1">
      <c r="B105" s="2514" t="str">
        <f>IF(forest4&lt;&gt;"",IF(Nlang=1,'Name translation'!A49,VLOOKUP('Name translation'!A49,'Name translation'!$A$46:$H$55,Nlang+1,)),"")</f>
        <v>Forest Zone 4</v>
      </c>
      <c r="C105" s="2515"/>
      <c r="D105" s="2514"/>
      <c r="E105" s="2516">
        <f>VLOOKUP(region,' IPCC'!$A$60:$H$71,1+MATCH(forest4,' IPCC'!$B$59:$H$59,),)*0.47</f>
        <v>0</v>
      </c>
      <c r="F105" s="2118"/>
      <c r="G105" s="2516">
        <f>'Forest Degradation'!L13*0.47</f>
        <v>0</v>
      </c>
      <c r="H105" s="2118"/>
      <c r="I105" s="2516">
        <f>IF($E105&gt;0,VLOOKUP(clim_full,' IPCC'!$A$75:$H$85,2,),0)</f>
        <v>0</v>
      </c>
      <c r="J105" s="2118"/>
      <c r="K105" s="2516">
        <f>IF($E105&gt;0,VLOOKUP(clim_full,' IPCC'!$A$75:$H$85,3,),0)</f>
        <v>0</v>
      </c>
      <c r="L105" s="2516"/>
      <c r="M105" s="2118"/>
      <c r="N105" s="2154"/>
      <c r="O105" s="2516">
        <f>IF($E105&gt;0,VLOOKUP(clim_full,' IPCC'!$A$569:$I$581,1+MATCH(soil,soil_type,),),0)</f>
        <v>0</v>
      </c>
      <c r="P105" s="2153"/>
      <c r="Q105" s="2118"/>
      <c r="R105" s="1730"/>
    </row>
    <row r="106" spans="2:19" s="1704" customFormat="1">
      <c r="B106" s="2514" t="str">
        <f>IF(plantation1&lt;&gt;"",IF(Nlang=1,'Name translation'!A50,VLOOKUP('Name translation'!A50,'Name translation'!$A$46:$H$55,Nlang+1,)),"")</f>
        <v>Plantation Zone 1</v>
      </c>
      <c r="C106" s="2515"/>
      <c r="D106" s="2514"/>
      <c r="E106" s="2516">
        <f>VLOOKUP(region,' IPCC'!$H$14:$N$26,1+MATCH(plantation1,' IPCC'!$I$14:$N$14,),)*0.47</f>
        <v>0</v>
      </c>
      <c r="F106" s="2118"/>
      <c r="G106" s="2516">
        <f>'Forest Degradation'!L14*0.47</f>
        <v>0</v>
      </c>
      <c r="H106" s="2118"/>
      <c r="I106" s="2516">
        <f>IF($E106&gt;0,VLOOKUP(clim_full,' IPCC'!$A$75:$H$85,2,),0)</f>
        <v>0</v>
      </c>
      <c r="J106" s="2118"/>
      <c r="K106" s="2516">
        <f>IF($E106&gt;0,VLOOKUP(clim_full,' IPCC'!$A$75:$H$85,3,),0)</f>
        <v>0</v>
      </c>
      <c r="L106" s="2516"/>
      <c r="M106" s="2118"/>
      <c r="N106" s="2154"/>
      <c r="O106" s="2516">
        <f>IF($E106&gt;0,VLOOKUP(clim_full,' IPCC'!$A$569:$I$581,1+MATCH(soil,soil_type,),),0)</f>
        <v>0</v>
      </c>
      <c r="P106" s="2153"/>
      <c r="Q106" s="2118"/>
      <c r="R106" s="1730"/>
    </row>
    <row r="107" spans="2:19" s="1704" customFormat="1">
      <c r="B107" s="2514" t="str">
        <f>IF(plantation2&lt;&gt;"",IF(Nlang=1,'Name translation'!A51,VLOOKUP('Name translation'!A51,'Name translation'!$A$46:$H$55,Nlang+1,)),"")</f>
        <v>Plantation Zone 2</v>
      </c>
      <c r="C107" s="2515"/>
      <c r="D107" s="2514"/>
      <c r="E107" s="2516">
        <f>VLOOKUP(region,' IPCC'!$H$30:$N$41,1+MATCH(plantation2,' IPCC'!$I$29:$N$29,),)*0.47</f>
        <v>0</v>
      </c>
      <c r="F107" s="2118"/>
      <c r="G107" s="2516">
        <f>'Forest Degradation'!L15*0.47</f>
        <v>0</v>
      </c>
      <c r="H107" s="2118"/>
      <c r="I107" s="2516">
        <f>IF($E107&gt;0,VLOOKUP(clim_full,' IPCC'!$A$75:$H$85,2,),0)</f>
        <v>0</v>
      </c>
      <c r="J107" s="2118"/>
      <c r="K107" s="2516">
        <f>IF($E107&gt;0,VLOOKUP(clim_full,' IPCC'!$A$75:$H$85,3,),0)</f>
        <v>0</v>
      </c>
      <c r="L107" s="2516"/>
      <c r="M107" s="2118"/>
      <c r="N107" s="2154"/>
      <c r="O107" s="2516">
        <f>IF($E107&gt;0,VLOOKUP(clim_full,' IPCC'!$A$569:$I$581,1+MATCH(soil,soil_type,),),0)</f>
        <v>0</v>
      </c>
      <c r="P107" s="2153"/>
      <c r="Q107" s="2118"/>
      <c r="R107" s="1730"/>
    </row>
    <row r="108" spans="2:19" s="1704" customFormat="1">
      <c r="B108" s="2514" t="str">
        <f>IF(plantation3&lt;&gt;"",IF(Nlang=1,'Name translation'!A52,VLOOKUP('Name translation'!A52,'Name translation'!$A$46:$H$55,Nlang+1,)),"")</f>
        <v>Plantation Zone 3</v>
      </c>
      <c r="C108" s="2517"/>
      <c r="D108" s="2514"/>
      <c r="E108" s="2516">
        <f>VLOOKUP(region,' IPCC'!$H$44:$N$56,1+MATCH(plantation3,' IPCC'!$I$44:$N$44,),)*0.47</f>
        <v>0</v>
      </c>
      <c r="F108" s="2118"/>
      <c r="G108" s="2516">
        <f>'Forest Degradation'!L16*0.47</f>
        <v>0</v>
      </c>
      <c r="H108" s="2118"/>
      <c r="I108" s="2516">
        <f>IF($E108&gt;0,VLOOKUP(clim_full,' IPCC'!$A$75:$H$85,2,),0)</f>
        <v>0</v>
      </c>
      <c r="J108" s="2118"/>
      <c r="K108" s="2516">
        <f>IF($E108&gt;0,VLOOKUP(clim_full,' IPCC'!$A$75:$H$85,3,),0)</f>
        <v>0</v>
      </c>
      <c r="L108" s="2516"/>
      <c r="M108" s="2118"/>
      <c r="N108" s="2154"/>
      <c r="O108" s="2516">
        <f>IF($E108&gt;0,VLOOKUP(clim_full,' IPCC'!$A$569:$I$581,1+MATCH(soil,soil_type,),),0)</f>
        <v>0</v>
      </c>
      <c r="P108" s="2153"/>
      <c r="Q108" s="2118"/>
      <c r="R108" s="1730"/>
    </row>
    <row r="109" spans="2:19" s="1704" customFormat="1">
      <c r="B109" s="2514" t="str">
        <f>IF(plantation4&lt;&gt;"",IF(Nlang=1,'Name translation'!A53,VLOOKUP('Name translation'!A53,'Name translation'!$A$46:$H$55,Nlang+1,)),"")</f>
        <v>Plantation Zone 4</v>
      </c>
      <c r="C109" s="2517"/>
      <c r="D109" s="2514"/>
      <c r="E109" s="2516">
        <f>VLOOKUP(region,' IPCC'!$H$60:$N$71,1+MATCH(plantation4,' IPCC'!$I$59:$N$59,),)*0.47</f>
        <v>0</v>
      </c>
      <c r="F109" s="3137"/>
      <c r="G109" s="2516">
        <f>'Forest Degradation'!L16*0.47</f>
        <v>0</v>
      </c>
      <c r="H109" s="3137"/>
      <c r="I109" s="2516">
        <f>IF($E109&gt;0,VLOOKUP(clim_full,' IPCC'!$A$75:$H$85,2,),0)</f>
        <v>0</v>
      </c>
      <c r="J109" s="3137"/>
      <c r="K109" s="2516">
        <f>IF($E109&gt;0,VLOOKUP(clim_full,' IPCC'!$A$75:$H$85,3,),0)</f>
        <v>0</v>
      </c>
      <c r="L109" s="2516"/>
      <c r="M109" s="3137"/>
      <c r="N109" s="2154"/>
      <c r="O109" s="2516">
        <f>IF($E109&gt;0,VLOOKUP(clim_full,' IPCC'!$A$569:$I$581,1+MATCH(soil,soil_type,),),0)</f>
        <v>0</v>
      </c>
      <c r="P109" s="2153"/>
      <c r="Q109" s="3137"/>
      <c r="R109" s="1730"/>
    </row>
    <row r="110" spans="2:19" s="1704" customFormat="1">
      <c r="B110" s="2514" t="str">
        <f>IF(mangrove&lt;&gt;"","Mangrove","")</f>
        <v>Mangrove</v>
      </c>
      <c r="C110" s="2517"/>
      <c r="D110" s="2514"/>
      <c r="E110" s="2516">
        <f>VLOOKUP(clim_full,' IPCC'!A1060:B1071,2,)*0.451</f>
        <v>0</v>
      </c>
      <c r="F110" s="3614"/>
      <c r="G110" s="2516">
        <f>E110*VLOOKUP(clim_full,' IPCC'!A1060:C1071,3,)</f>
        <v>0</v>
      </c>
      <c r="H110" s="3614"/>
      <c r="I110" s="2516">
        <f>IF(E110&gt;0,VLOOKUP(clim_full,' IPCC'!A1060:D1071,4,),0)</f>
        <v>0</v>
      </c>
      <c r="J110" s="3614"/>
      <c r="K110" s="2516">
        <f>IF(E110&gt;0,VLOOKUP(clim_full,' IPCC'!A1060:E1071,5,),0)</f>
        <v>0</v>
      </c>
      <c r="L110" s="2516"/>
      <c r="M110" s="3614"/>
      <c r="N110" s="2154"/>
      <c r="O110" s="2516">
        <f>IF(E110&gt;0,1,0)*VLOOKUP(clim_full,' IPCC'!A570:H581,8,)</f>
        <v>0</v>
      </c>
      <c r="P110" s="2153"/>
      <c r="Q110" s="3614"/>
      <c r="R110" s="1730"/>
    </row>
    <row r="111" spans="2:19" s="1704" customFormat="1">
      <c r="M111" s="1709"/>
      <c r="Q111" s="1709"/>
      <c r="R111" s="1709"/>
      <c r="S111" s="1709"/>
    </row>
    <row r="112" spans="2:19" s="1704" customFormat="1">
      <c r="M112" s="1709"/>
      <c r="Q112" s="1709"/>
      <c r="R112" s="1709"/>
      <c r="S112" s="1709"/>
    </row>
    <row r="113" spans="13:19" s="1704" customFormat="1">
      <c r="M113" s="1709"/>
      <c r="Q113" s="1709"/>
      <c r="R113" s="1709"/>
      <c r="S113" s="1709"/>
    </row>
    <row r="114" spans="13:19" s="1704" customFormat="1">
      <c r="M114" s="1709"/>
      <c r="Q114" s="1709"/>
      <c r="R114" s="1709"/>
      <c r="S114" s="1709"/>
    </row>
    <row r="115" spans="13:19" s="1704" customFormat="1">
      <c r="M115" s="1709"/>
      <c r="Q115" s="1709"/>
      <c r="R115" s="1709"/>
      <c r="S115" s="1709"/>
    </row>
    <row r="116" spans="13:19" s="1704" customFormat="1">
      <c r="M116" s="1709"/>
      <c r="Q116" s="1709"/>
      <c r="R116" s="1709"/>
      <c r="S116" s="1709"/>
    </row>
    <row r="117" spans="13:19" s="1704" customFormat="1">
      <c r="M117" s="1709"/>
      <c r="Q117" s="1709"/>
      <c r="R117" s="1709"/>
      <c r="S117" s="1709"/>
    </row>
    <row r="118" spans="13:19" s="1704" customFormat="1">
      <c r="M118" s="1709"/>
      <c r="Q118" s="1709"/>
      <c r="R118" s="1709"/>
      <c r="S118" s="1709"/>
    </row>
    <row r="119" spans="13:19" s="1704" customFormat="1">
      <c r="M119" s="1709"/>
      <c r="Q119" s="1709"/>
      <c r="R119" s="1709"/>
      <c r="S119" s="1709"/>
    </row>
    <row r="120" spans="13:19" s="1704" customFormat="1">
      <c r="M120" s="1709"/>
      <c r="Q120" s="1709"/>
      <c r="R120" s="1709"/>
      <c r="S120" s="1709"/>
    </row>
    <row r="121" spans="13:19" s="1704" customFormat="1">
      <c r="M121" s="1709"/>
      <c r="Q121" s="1709"/>
      <c r="R121" s="1709"/>
      <c r="S121" s="1709"/>
    </row>
    <row r="122" spans="13:19" s="1704" customFormat="1">
      <c r="M122" s="1709"/>
      <c r="Q122" s="1709"/>
      <c r="R122" s="1709"/>
      <c r="S122" s="1709"/>
    </row>
    <row r="123" spans="13:19" s="1704" customFormat="1">
      <c r="M123" s="1709"/>
      <c r="Q123" s="1709"/>
      <c r="R123" s="1709"/>
      <c r="S123" s="1709"/>
    </row>
    <row r="124" spans="13:19" s="1704" customFormat="1">
      <c r="M124" s="1709"/>
      <c r="Q124" s="1709"/>
      <c r="R124" s="1709"/>
      <c r="S124" s="1709"/>
    </row>
    <row r="125" spans="13:19" s="1704" customFormat="1">
      <c r="M125" s="1709"/>
      <c r="Q125" s="1709"/>
      <c r="R125" s="1709"/>
      <c r="S125" s="1709"/>
    </row>
    <row r="126" spans="13:19" s="1704" customFormat="1">
      <c r="M126" s="1709"/>
      <c r="Q126" s="1709"/>
      <c r="R126" s="1709"/>
      <c r="S126" s="1709"/>
    </row>
    <row r="127" spans="13:19" s="1704" customFormat="1">
      <c r="M127" s="1709"/>
      <c r="Q127" s="1709"/>
      <c r="R127" s="1709"/>
      <c r="S127" s="1709"/>
    </row>
    <row r="128" spans="13:19" s="1704" customFormat="1">
      <c r="M128" s="1709"/>
      <c r="Q128" s="1709"/>
      <c r="R128" s="1709"/>
      <c r="S128" s="1709"/>
    </row>
    <row r="129" spans="2:21" s="1704" customFormat="1">
      <c r="M129" s="1709"/>
      <c r="Q129" s="1709"/>
      <c r="R129" s="1709"/>
      <c r="S129" s="1709"/>
    </row>
    <row r="130" spans="2:21" s="1704" customFormat="1">
      <c r="M130" s="1709"/>
      <c r="Q130" s="1709"/>
      <c r="R130" s="1709"/>
      <c r="S130" s="1709"/>
    </row>
    <row r="131" spans="2:21" s="1704" customFormat="1">
      <c r="M131" s="1709"/>
      <c r="Q131" s="1709"/>
      <c r="R131" s="1709"/>
      <c r="S131" s="1709"/>
    </row>
    <row r="132" spans="2:21" s="1704" customFormat="1">
      <c r="M132" s="1709"/>
      <c r="Q132" s="1709"/>
      <c r="R132" s="1709"/>
      <c r="S132" s="1709"/>
    </row>
    <row r="133" spans="2:21" s="1704" customFormat="1">
      <c r="M133" s="1709"/>
      <c r="Q133" s="1709"/>
      <c r="R133" s="1709"/>
      <c r="S133" s="1709"/>
    </row>
    <row r="134" spans="2:21" s="1704" customFormat="1">
      <c r="M134" s="1709"/>
      <c r="Q134" s="1709"/>
      <c r="R134" s="1709"/>
      <c r="S134" s="1709"/>
    </row>
    <row r="135" spans="2:21" s="1704" customFormat="1">
      <c r="M135" s="1709"/>
      <c r="Q135" s="1709"/>
      <c r="R135" s="1709"/>
      <c r="S135" s="1709"/>
    </row>
    <row r="136" spans="2:21" s="1704" customFormat="1">
      <c r="M136" s="1709"/>
      <c r="Q136" s="1709"/>
      <c r="R136" s="1709"/>
      <c r="S136" s="1709"/>
    </row>
    <row r="137" spans="2:21" s="1704" customFormat="1">
      <c r="M137" s="1709"/>
      <c r="Q137" s="1709"/>
      <c r="R137" s="1709"/>
      <c r="S137" s="1709"/>
    </row>
    <row r="138" spans="2:21" s="1704" customFormat="1">
      <c r="M138" s="1709"/>
      <c r="Q138" s="1709"/>
      <c r="R138" s="1709"/>
      <c r="S138" s="1709"/>
    </row>
    <row r="139" spans="2:21" s="1704" customFormat="1">
      <c r="M139" s="1709"/>
      <c r="Q139" s="1709"/>
      <c r="R139" s="1709"/>
      <c r="S139" s="1709"/>
    </row>
    <row r="140" spans="2:21" s="1704" customFormat="1" ht="15.75">
      <c r="B140" s="2524" t="str">
        <f>HLOOKUP(select,translations!$A$20:$H$70,25,)</f>
        <v>2.2. Afforestation and Reforestation</v>
      </c>
      <c r="C140" s="2142"/>
      <c r="D140" s="1844"/>
      <c r="E140" s="1844"/>
      <c r="F140" s="1844"/>
      <c r="G140" s="1844"/>
      <c r="H140" s="1844"/>
      <c r="I140" s="1844"/>
      <c r="J140" s="1844"/>
      <c r="K140" s="1844"/>
      <c r="L140" s="1844"/>
      <c r="M140" s="1844"/>
      <c r="N140" s="1844"/>
      <c r="O140" s="1844"/>
      <c r="P140" s="1844"/>
      <c r="Q140" s="1845"/>
      <c r="R140" s="1845"/>
      <c r="S140" s="1845"/>
      <c r="T140" s="1845"/>
      <c r="U140" s="1845"/>
    </row>
    <row r="141" spans="2:21" s="1704" customFormat="1">
      <c r="B141" s="2137"/>
      <c r="C141" s="2137"/>
      <c r="D141" s="1983" t="str">
        <f>D8</f>
        <v>Zone 1 = Please specify the climate</v>
      </c>
      <c r="E141" s="1983"/>
      <c r="F141" s="1983"/>
      <c r="G141" s="1983" t="str">
        <f>G8</f>
        <v>Zone 2 = Please specify the climate</v>
      </c>
      <c r="H141" s="1983"/>
      <c r="I141" s="1983"/>
      <c r="J141" s="1983"/>
      <c r="K141" s="1983" t="str">
        <f>K8</f>
        <v>Zone 3 = Please specify the climate</v>
      </c>
      <c r="L141" s="1983"/>
      <c r="M141" s="1983"/>
      <c r="N141" s="1983"/>
      <c r="O141" s="1983"/>
      <c r="P141" s="1983"/>
      <c r="Q141" s="2599" t="str">
        <f>Q8</f>
        <v>Zone 4 = Please specify the climate</v>
      </c>
      <c r="R141" s="1984"/>
      <c r="S141" s="1984"/>
      <c r="T141" s="1984"/>
      <c r="U141" s="1984"/>
    </row>
    <row r="142" spans="2:21" s="1704" customFormat="1">
      <c r="M142" s="1709"/>
      <c r="Q142" s="1709"/>
      <c r="R142" s="1709"/>
      <c r="S142" s="1709"/>
      <c r="T142" s="1709"/>
      <c r="U142" s="1709"/>
    </row>
    <row r="143" spans="2:21" s="1704" customFormat="1">
      <c r="B143" s="2129"/>
      <c r="C143" s="2129"/>
      <c r="D143" s="2777" t="str">
        <f>D92</f>
        <v>You have indicated that you are using the following types of vegetation:</v>
      </c>
      <c r="E143" s="2129"/>
      <c r="F143" s="2129"/>
      <c r="G143" s="2129"/>
      <c r="H143" s="2129"/>
      <c r="I143" s="2129"/>
      <c r="J143" s="2129" t="str">
        <f>IF(B31&lt;&gt;List!$A$50,IF(Nlang=1,'2.LUC'!B31,V31),"")</f>
        <v/>
      </c>
      <c r="K143" s="2129"/>
      <c r="L143" s="2129"/>
      <c r="M143" s="2131"/>
      <c r="N143" s="2129"/>
      <c r="O143" s="2129" t="str">
        <f>IF(B34&lt;&gt;List!$A$50,IF(Nlang=1,'2.LUC'!B34,V34),"")</f>
        <v/>
      </c>
      <c r="P143" s="2129"/>
      <c r="Q143" s="2131"/>
      <c r="R143" s="2131"/>
      <c r="S143" s="2131" t="str">
        <f>IF(B37&lt;&gt;List!$A$50,IF(Nlang=1,'2.LUC'!B37,V37),"")</f>
        <v/>
      </c>
      <c r="T143" s="2131"/>
      <c r="U143" s="2131"/>
    </row>
    <row r="144" spans="2:21" s="1704" customFormat="1">
      <c r="B144" s="2129"/>
      <c r="C144" s="2129"/>
      <c r="D144" s="2129"/>
      <c r="E144" s="2129"/>
      <c r="F144" s="2129"/>
      <c r="G144" s="2129"/>
      <c r="H144" s="2129"/>
      <c r="I144" s="2129"/>
      <c r="J144" s="2129" t="str">
        <f>IF(B32&lt;&gt;List!$A$50,IF(Nlang=1,'2.LUC'!B32,V32),"")</f>
        <v/>
      </c>
      <c r="K144" s="2129"/>
      <c r="L144" s="2129"/>
      <c r="M144" s="2131"/>
      <c r="N144" s="2129"/>
      <c r="O144" s="2129" t="str">
        <f>IF(B35&lt;&gt;List!$A$50,IF(Nlang=1,'2.LUC'!B35,V35),"")</f>
        <v/>
      </c>
      <c r="P144" s="2129"/>
      <c r="Q144" s="2131"/>
      <c r="R144" s="2131"/>
      <c r="S144" s="2131" t="str">
        <f>IF(B38&lt;&gt;List!$A$50,IF(Nlang=1,'2.LUC'!B38,V38),"")</f>
        <v/>
      </c>
      <c r="T144" s="2131"/>
      <c r="U144" s="2131"/>
    </row>
    <row r="145" spans="2:21" s="1704" customFormat="1">
      <c r="B145" s="2129"/>
      <c r="C145" s="2129"/>
      <c r="D145" s="2129"/>
      <c r="E145" s="2129"/>
      <c r="F145" s="2129"/>
      <c r="G145" s="2129"/>
      <c r="H145" s="2129"/>
      <c r="I145" s="2129"/>
      <c r="J145" s="2129" t="str">
        <f>IF(B33&lt;&gt;List!$A$50,IF(Nlang=1,'2.LUC'!B33,V33),"")</f>
        <v/>
      </c>
      <c r="K145" s="2129"/>
      <c r="L145" s="2129"/>
      <c r="M145" s="2129"/>
      <c r="N145" s="2129"/>
      <c r="O145" s="2129" t="str">
        <f>IF(B36&lt;&gt;List!$A$50,IF(Nlang=1,'2.LUC'!B36,V36),"")</f>
        <v/>
      </c>
      <c r="P145" s="2129"/>
      <c r="Q145" s="2129"/>
      <c r="R145" s="2129"/>
      <c r="S145" s="2129"/>
      <c r="T145" s="2129"/>
      <c r="U145" s="2129"/>
    </row>
    <row r="146" spans="2:21" s="1704" customFormat="1">
      <c r="M146" s="1709"/>
      <c r="Q146" s="1709"/>
      <c r="R146" s="1709"/>
      <c r="S146" s="1709"/>
    </row>
    <row r="147" spans="2:21" s="1704" customFormat="1">
      <c r="B147" s="2143" t="str">
        <f>B96</f>
        <v>Use this part only if you want to refine the analysis with Tier 2 coefficients.</v>
      </c>
      <c r="C147" s="2122"/>
      <c r="D147" s="2117"/>
      <c r="E147" s="2123"/>
      <c r="F147" s="2117"/>
      <c r="G147" s="2117"/>
      <c r="H147" s="2117"/>
      <c r="I147" s="2117"/>
      <c r="J147" s="2117"/>
      <c r="K147" s="2117"/>
      <c r="L147" s="2117"/>
      <c r="M147" s="2155" t="str">
        <f>J99</f>
        <v>All values are in t of carbon per ha (tC/ha)</v>
      </c>
      <c r="N147" s="2117"/>
      <c r="O147" s="2117"/>
      <c r="P147" s="2117"/>
      <c r="Q147" s="2117"/>
      <c r="R147" s="2117"/>
      <c r="S147" s="2117"/>
      <c r="T147" s="2117"/>
      <c r="U147" s="2117"/>
    </row>
    <row r="148" spans="2:21" s="1704" customFormat="1">
      <c r="B148" s="2115" t="str">
        <f>$B$97</f>
        <v>(default values are provided for your information only, while EX-ACT will use Tier 2 values automatically wherever specified)</v>
      </c>
      <c r="C148" s="2115"/>
      <c r="D148" s="2116"/>
      <c r="E148" s="2116"/>
      <c r="F148" s="2116"/>
      <c r="G148" s="2116"/>
      <c r="H148" s="2116"/>
      <c r="I148" s="2116"/>
      <c r="J148" s="2116"/>
      <c r="K148" s="2116"/>
      <c r="L148" s="2116"/>
      <c r="M148" s="2116"/>
      <c r="N148" s="2116"/>
      <c r="O148" s="2116"/>
      <c r="P148" s="2116"/>
      <c r="Q148" s="2104"/>
      <c r="R148" s="2104"/>
      <c r="S148" s="2104"/>
      <c r="T148" s="2104"/>
      <c r="U148" s="2104"/>
    </row>
    <row r="149" spans="2:21" s="1704" customFormat="1">
      <c r="B149" s="2115"/>
      <c r="C149" s="2115"/>
      <c r="D149" s="2116"/>
      <c r="E149" s="2116"/>
      <c r="F149" s="2116"/>
      <c r="G149" s="2116"/>
      <c r="H149" s="2116"/>
      <c r="I149" s="2116"/>
      <c r="J149" s="2116"/>
      <c r="K149" s="2116"/>
      <c r="L149" s="2116"/>
      <c r="M149" s="2116"/>
      <c r="N149" s="2116"/>
      <c r="O149" s="2116"/>
      <c r="P149" s="2116"/>
      <c r="Q149" s="2104"/>
      <c r="R149" s="2104"/>
      <c r="S149" s="2104"/>
      <c r="T149" s="2104"/>
      <c r="U149" s="2104"/>
    </row>
    <row r="150" spans="2:21" s="1704" customFormat="1">
      <c r="B150" s="2114" t="str">
        <f>B29</f>
        <v>Type of vegetation</v>
      </c>
      <c r="C150" s="2129"/>
      <c r="D150" s="2130" t="str">
        <f>HLOOKUP(select,translations!$A$20:$H$70,48,)</f>
        <v>Growth rates for systems up to 20-yr old</v>
      </c>
      <c r="E150" s="2129"/>
      <c r="F150" s="2129"/>
      <c r="G150" s="2129"/>
      <c r="H150" s="2130" t="str">
        <f>HLOOKUP(select,translations!$A$20:$H$70,49,)</f>
        <v>Growth rates for systems after 20-yr old</v>
      </c>
      <c r="I150" s="2129"/>
      <c r="J150" s="2129"/>
      <c r="K150" s="2129"/>
      <c r="L150" s="2129"/>
      <c r="M150" s="2131"/>
      <c r="N150" s="2129"/>
      <c r="O150" s="2129"/>
      <c r="P150" s="2129"/>
      <c r="Q150" s="2131"/>
      <c r="R150" s="2131"/>
      <c r="S150" s="2131"/>
      <c r="T150" s="2131"/>
      <c r="U150" s="2104"/>
    </row>
    <row r="151" spans="2:21" s="1704" customFormat="1">
      <c r="B151" s="2114" t="str">
        <f>B30</f>
        <v>that will be planted</v>
      </c>
      <c r="C151" s="2129"/>
      <c r="D151" s="2163" t="str">
        <f>E100</f>
        <v>Above-ground</v>
      </c>
      <c r="E151" s="2163"/>
      <c r="F151" s="2163" t="str">
        <f>G100</f>
        <v>Below-ground</v>
      </c>
      <c r="G151" s="2163"/>
      <c r="H151" s="2163" t="str">
        <f>D151</f>
        <v>Above-ground</v>
      </c>
      <c r="I151" s="2163"/>
      <c r="J151" s="2163" t="str">
        <f>F151</f>
        <v>Below-ground</v>
      </c>
      <c r="K151" s="2163"/>
      <c r="L151" s="2129"/>
      <c r="M151" s="2162" t="str">
        <f>I100</f>
        <v>Litter</v>
      </c>
      <c r="N151" s="2163"/>
      <c r="O151" s="2163"/>
      <c r="P151" s="2163"/>
      <c r="Q151" s="2162" t="str">
        <f>K100</f>
        <v>Dead wood</v>
      </c>
      <c r="R151" s="2162"/>
      <c r="S151" s="2162" t="str">
        <f>O100</f>
        <v>Soil carbon</v>
      </c>
      <c r="T151" s="2161"/>
      <c r="U151" s="2104"/>
    </row>
    <row r="152" spans="2:21" s="1704" customFormat="1">
      <c r="B152" s="2129"/>
      <c r="C152" s="2129"/>
      <c r="D152" s="2161" t="str">
        <f>E101</f>
        <v>Default</v>
      </c>
      <c r="E152" s="2161" t="str">
        <f>F101</f>
        <v>Tier 2</v>
      </c>
      <c r="F152" s="2161" t="str">
        <f t="shared" ref="F152:K152" si="1">D152</f>
        <v>Default</v>
      </c>
      <c r="G152" s="2161" t="str">
        <f t="shared" si="1"/>
        <v>Tier 2</v>
      </c>
      <c r="H152" s="2161" t="str">
        <f t="shared" si="1"/>
        <v>Default</v>
      </c>
      <c r="I152" s="2161" t="str">
        <f t="shared" si="1"/>
        <v>Tier 2</v>
      </c>
      <c r="J152" s="2161" t="str">
        <f t="shared" si="1"/>
        <v>Default</v>
      </c>
      <c r="K152" s="2161" t="str">
        <f t="shared" si="1"/>
        <v>Tier 2</v>
      </c>
      <c r="L152" s="2131"/>
      <c r="M152" s="2161" t="str">
        <f>J152</f>
        <v>Default</v>
      </c>
      <c r="N152" s="2131"/>
      <c r="O152" s="2161" t="str">
        <f>K152</f>
        <v>Tier 2</v>
      </c>
      <c r="P152" s="2131"/>
      <c r="Q152" s="2161" t="str">
        <f>M152</f>
        <v>Default</v>
      </c>
      <c r="R152" s="2161" t="str">
        <f>O152</f>
        <v>Tier 2</v>
      </c>
      <c r="S152" s="2161" t="str">
        <f>Q152</f>
        <v>Default</v>
      </c>
      <c r="T152" s="2161" t="str">
        <f>R152</f>
        <v>Tier 2</v>
      </c>
      <c r="U152" s="2104"/>
    </row>
    <row r="153" spans="2:21" s="1704" customFormat="1">
      <c r="B153" s="2542" t="str">
        <f>IF(forest1&lt;&gt;"","Forest - Zone 1","")</f>
        <v>Forest - Zone 1</v>
      </c>
      <c r="C153" s="2543"/>
      <c r="D153" s="2544">
        <f>'A-R'!I10*0.47</f>
        <v>0</v>
      </c>
      <c r="E153" s="2118"/>
      <c r="F153" s="2544">
        <f>'A-R'!K10*0.47</f>
        <v>0</v>
      </c>
      <c r="G153" s="2118"/>
      <c r="H153" s="2545">
        <f>'A-R'!M10*0.47</f>
        <v>0</v>
      </c>
      <c r="I153" s="2118"/>
      <c r="J153" s="2545">
        <f>'A-R'!O10*0.47</f>
        <v>0</v>
      </c>
      <c r="K153" s="2118"/>
      <c r="L153" s="2131"/>
      <c r="M153" s="2546">
        <f>IF(D153&gt;0,VLOOKUP(clim_full,' IPCC'!$A$75:$H$85,2,),0)</f>
        <v>0</v>
      </c>
      <c r="N153" s="2131"/>
      <c r="O153" s="2118"/>
      <c r="P153" s="2131"/>
      <c r="Q153" s="2546">
        <f>IF(D153&gt;0,VLOOKUP(clim_full,' IPCC'!$A$75:$H$85,3,),0)</f>
        <v>0</v>
      </c>
      <c r="R153" s="2118"/>
      <c r="S153" s="2546">
        <f>IF(D153&gt;0,VLOOKUP(clim_full,' IPCC'!$A$569:$I$581,1+MATCH(soil,soil_type,),),0)</f>
        <v>0</v>
      </c>
      <c r="T153" s="2118"/>
      <c r="U153" s="2104"/>
    </row>
    <row r="154" spans="2:21" s="1704" customFormat="1">
      <c r="B154" s="2542" t="str">
        <f>IF(forest2&lt;&gt;"","Forest - Zone 2","")</f>
        <v>Forest - Zone 2</v>
      </c>
      <c r="C154" s="2543"/>
      <c r="D154" s="2544">
        <f>'A-R'!I11*0.47</f>
        <v>0</v>
      </c>
      <c r="E154" s="2118"/>
      <c r="F154" s="2544">
        <f>'A-R'!K11*0.47</f>
        <v>0</v>
      </c>
      <c r="G154" s="2118"/>
      <c r="H154" s="2545">
        <f>'A-R'!M11*0.47</f>
        <v>0</v>
      </c>
      <c r="I154" s="2118"/>
      <c r="J154" s="2545">
        <f>'A-R'!O11*0.47</f>
        <v>0</v>
      </c>
      <c r="K154" s="2118"/>
      <c r="L154" s="2131"/>
      <c r="M154" s="2546">
        <f>IF(D154&gt;0,VLOOKUP(clim_full,' IPCC'!$A$75:$H$85,2,),0)</f>
        <v>0</v>
      </c>
      <c r="N154" s="2131"/>
      <c r="O154" s="2118"/>
      <c r="P154" s="2131"/>
      <c r="Q154" s="2546">
        <f>IF(D154&gt;0,VLOOKUP(clim_full,' IPCC'!$A$75:$H$85,3,),0)</f>
        <v>0</v>
      </c>
      <c r="R154" s="2118"/>
      <c r="S154" s="2546">
        <f>IF(D154&gt;0,VLOOKUP(clim_full,' IPCC'!$A$569:$I$581,1+MATCH(soil,soil_type,),),0)</f>
        <v>0</v>
      </c>
      <c r="T154" s="2118"/>
      <c r="U154" s="2104"/>
    </row>
    <row r="155" spans="2:21" s="1704" customFormat="1">
      <c r="B155" s="2542" t="str">
        <f>IF(forest3&lt;&gt;"","Forest - Zone 3","")</f>
        <v>Forest - Zone 3</v>
      </c>
      <c r="C155" s="2543"/>
      <c r="D155" s="2544">
        <f>'A-R'!I12*0.47</f>
        <v>0</v>
      </c>
      <c r="E155" s="2118"/>
      <c r="F155" s="2544">
        <f>'A-R'!K12*0.47</f>
        <v>0</v>
      </c>
      <c r="G155" s="2118"/>
      <c r="H155" s="2545">
        <f>'A-R'!M12*0.47</f>
        <v>0</v>
      </c>
      <c r="I155" s="2118"/>
      <c r="J155" s="2545">
        <f>'A-R'!O12*0.47</f>
        <v>0</v>
      </c>
      <c r="K155" s="2118"/>
      <c r="L155" s="2131"/>
      <c r="M155" s="2546">
        <f>IF(D155&gt;0,VLOOKUP(clim_full,' IPCC'!$A$75:$H$85,2,),0)</f>
        <v>0</v>
      </c>
      <c r="N155" s="2131"/>
      <c r="O155" s="2118"/>
      <c r="P155" s="2131"/>
      <c r="Q155" s="2546">
        <f>IF(D155&gt;0,VLOOKUP(clim_full,' IPCC'!$A$75:$H$85,3,),0)</f>
        <v>0</v>
      </c>
      <c r="R155" s="2118"/>
      <c r="S155" s="2546">
        <f>IF(D155&gt;0,VLOOKUP(clim_full,' IPCC'!$A$569:$I$581,1+MATCH(soil,soil_type,),),0)</f>
        <v>0</v>
      </c>
      <c r="T155" s="2118"/>
      <c r="U155" s="2104"/>
    </row>
    <row r="156" spans="2:21" s="1704" customFormat="1">
      <c r="B156" s="2542" t="str">
        <f>IF(forest4&lt;&gt;"","Forest - Zone 4","")</f>
        <v>Forest - Zone 4</v>
      </c>
      <c r="C156" s="2543"/>
      <c r="D156" s="2544">
        <f>'A-R'!I13*0.47</f>
        <v>0</v>
      </c>
      <c r="E156" s="2118"/>
      <c r="F156" s="2544">
        <f>'A-R'!K13*0.47</f>
        <v>0</v>
      </c>
      <c r="G156" s="2118"/>
      <c r="H156" s="2545">
        <f>'A-R'!M13*0.47</f>
        <v>0</v>
      </c>
      <c r="I156" s="2118"/>
      <c r="J156" s="2545">
        <f>'A-R'!O13*0.47</f>
        <v>0</v>
      </c>
      <c r="K156" s="2118"/>
      <c r="L156" s="2131"/>
      <c r="M156" s="2546">
        <f>IF(D156&gt;0,VLOOKUP(clim_full,' IPCC'!$A$75:$H$85,2,),0)</f>
        <v>0</v>
      </c>
      <c r="N156" s="2131"/>
      <c r="O156" s="2118"/>
      <c r="P156" s="2131"/>
      <c r="Q156" s="2546">
        <f>IF(D156&gt;0,VLOOKUP(clim_full,' IPCC'!$A$75:$H$85,3,),0)</f>
        <v>0</v>
      </c>
      <c r="R156" s="2118"/>
      <c r="S156" s="2546">
        <f>IF(D156&gt;0,VLOOKUP(clim_full,' IPCC'!$A$569:$I$581,1+MATCH(soil,soil_type,),),0)</f>
        <v>0</v>
      </c>
      <c r="T156" s="2118"/>
      <c r="U156" s="2104"/>
    </row>
    <row r="157" spans="2:21" s="1704" customFormat="1">
      <c r="B157" s="2542" t="str">
        <f>IF(plantation1&lt;&gt;"","Plantation - Zone 1","")</f>
        <v>Plantation - Zone 1</v>
      </c>
      <c r="C157" s="2543"/>
      <c r="D157" s="2544">
        <f>'A-R'!I14*0.47</f>
        <v>0</v>
      </c>
      <c r="E157" s="2118"/>
      <c r="F157" s="2544">
        <f>'A-R'!K14*0.47</f>
        <v>0</v>
      </c>
      <c r="G157" s="2118"/>
      <c r="H157" s="2545">
        <f>'A-R'!M14*0.47</f>
        <v>0</v>
      </c>
      <c r="I157" s="2118"/>
      <c r="J157" s="2545">
        <f>'A-R'!O14*0.47</f>
        <v>0</v>
      </c>
      <c r="K157" s="2118"/>
      <c r="L157" s="2131"/>
      <c r="M157" s="2546">
        <f>IF(D157&gt;0,VLOOKUP(clim_full,' IPCC'!$A$75:$H$85,2,),0)</f>
        <v>0</v>
      </c>
      <c r="N157" s="2131"/>
      <c r="O157" s="2118"/>
      <c r="P157" s="2131"/>
      <c r="Q157" s="2546">
        <f>IF(D157&gt;0,VLOOKUP(clim_full,' IPCC'!$A$75:$H$85,3,),0)</f>
        <v>0</v>
      </c>
      <c r="R157" s="2118"/>
      <c r="S157" s="2546">
        <f>IF(D157&gt;0,VLOOKUP(clim_full,' IPCC'!$A$569:$I$581,1+MATCH(soil,soil_type,),),0)</f>
        <v>0</v>
      </c>
      <c r="T157" s="2118"/>
      <c r="U157" s="2104"/>
    </row>
    <row r="158" spans="2:21" s="1704" customFormat="1">
      <c r="B158" s="2542" t="str">
        <f>IF(plantation2&lt;&gt;"","Plantation - Zone 2","")</f>
        <v>Plantation - Zone 2</v>
      </c>
      <c r="C158" s="2543"/>
      <c r="D158" s="2544">
        <f>'A-R'!I15*0.47</f>
        <v>0</v>
      </c>
      <c r="E158" s="2118"/>
      <c r="F158" s="2544">
        <f>'A-R'!K15*0.47</f>
        <v>0</v>
      </c>
      <c r="G158" s="2118"/>
      <c r="H158" s="2545">
        <f>'A-R'!M15*0.47</f>
        <v>0</v>
      </c>
      <c r="I158" s="2118"/>
      <c r="J158" s="2545">
        <f>'A-R'!O15*0.47</f>
        <v>0</v>
      </c>
      <c r="K158" s="2118"/>
      <c r="L158" s="2131"/>
      <c r="M158" s="2546">
        <f>IF(D158&gt;0,VLOOKUP(clim_full,' IPCC'!$A$75:$H$85,2,),0)</f>
        <v>0</v>
      </c>
      <c r="N158" s="2131"/>
      <c r="O158" s="2118"/>
      <c r="P158" s="2131"/>
      <c r="Q158" s="2546">
        <f>IF(D158&gt;0,VLOOKUP(clim_full,' IPCC'!$A$75:$H$85,3,),0)</f>
        <v>0</v>
      </c>
      <c r="R158" s="2118"/>
      <c r="S158" s="2546">
        <f>IF(D158&gt;0,VLOOKUP(clim_full,' IPCC'!$A$569:$I$581,1+MATCH(soil,soil_type,),),0)</f>
        <v>0</v>
      </c>
      <c r="T158" s="2118"/>
      <c r="U158" s="2104"/>
    </row>
    <row r="159" spans="2:21" s="1704" customFormat="1">
      <c r="B159" s="2542" t="str">
        <f>IF(plantation3&lt;&gt;"","Plantation - Zone 3","")</f>
        <v>Plantation - Zone 3</v>
      </c>
      <c r="C159" s="2543"/>
      <c r="D159" s="2544">
        <f>'A-R'!I16*0.47</f>
        <v>0</v>
      </c>
      <c r="E159" s="2118"/>
      <c r="F159" s="2544">
        <f>'A-R'!K16*0.47</f>
        <v>0</v>
      </c>
      <c r="G159" s="2118"/>
      <c r="H159" s="2545">
        <f>'A-R'!M16*0.47</f>
        <v>0</v>
      </c>
      <c r="I159" s="2118"/>
      <c r="J159" s="2545">
        <f>'A-R'!O16*0.47</f>
        <v>0</v>
      </c>
      <c r="K159" s="2118"/>
      <c r="L159" s="2131"/>
      <c r="M159" s="2546">
        <f>IF(D159&gt;0,VLOOKUP(clim_full,' IPCC'!$A$75:$H$85,2,),0)</f>
        <v>0</v>
      </c>
      <c r="N159" s="2131"/>
      <c r="O159" s="2118"/>
      <c r="P159" s="2131"/>
      <c r="Q159" s="2546">
        <f>IF(D159&gt;0,VLOOKUP(clim_full,' IPCC'!$A$75:$H$85,3,),0)</f>
        <v>0</v>
      </c>
      <c r="R159" s="2118"/>
      <c r="S159" s="2546">
        <f>IF(D159&gt;0,VLOOKUP(clim_full,' IPCC'!$A$569:$I$581,1+MATCH(soil,soil_type,),),0)</f>
        <v>0</v>
      </c>
      <c r="T159" s="2118"/>
      <c r="U159" s="2104"/>
    </row>
    <row r="160" spans="2:21" s="1704" customFormat="1">
      <c r="B160" s="2542" t="str">
        <f>IF(plantation4&lt;&gt;"","Plantation - Zone 4","")</f>
        <v>Plantation - Zone 4</v>
      </c>
      <c r="C160" s="2543"/>
      <c r="D160" s="2544">
        <f>'A-R'!I17*0.47</f>
        <v>0</v>
      </c>
      <c r="E160" s="3161"/>
      <c r="F160" s="2544">
        <f>'A-R'!K17*0.47</f>
        <v>0</v>
      </c>
      <c r="G160" s="3161"/>
      <c r="H160" s="2545">
        <f>'A-R'!M17*0.47</f>
        <v>0</v>
      </c>
      <c r="I160" s="3161"/>
      <c r="J160" s="2545">
        <f>'A-R'!O17*0.47</f>
        <v>0</v>
      </c>
      <c r="K160" s="3161"/>
      <c r="L160" s="2131"/>
      <c r="M160" s="2546">
        <f>IF(D160&gt;0,VLOOKUP(clim_full,' IPCC'!$A$75:$H$85,2,),0)</f>
        <v>0</v>
      </c>
      <c r="N160" s="2131"/>
      <c r="O160" s="3161"/>
      <c r="P160" s="2131"/>
      <c r="Q160" s="2546">
        <f>IF(D160&gt;0,VLOOKUP(clim_full,' IPCC'!$A$75:$H$85,3,),0)</f>
        <v>0</v>
      </c>
      <c r="R160" s="3161"/>
      <c r="S160" s="2546">
        <f>IF(D160&gt;0,VLOOKUP(clim_full,' IPCC'!$A$569:$I$581,1+MATCH(soil,soil_type,),),0)</f>
        <v>0</v>
      </c>
      <c r="T160" s="3161"/>
      <c r="U160" s="2104"/>
    </row>
    <row r="161" spans="13:19" s="1704" customFormat="1">
      <c r="M161" s="3430"/>
      <c r="Q161" s="3430"/>
      <c r="R161" s="3430"/>
      <c r="S161" s="3430"/>
    </row>
    <row r="162" spans="13:19" s="1704" customFormat="1">
      <c r="M162" s="1709"/>
      <c r="Q162" s="1709"/>
      <c r="R162" s="1709"/>
      <c r="S162" s="1709"/>
    </row>
    <row r="163" spans="13:19" s="1704" customFormat="1">
      <c r="M163" s="1709"/>
      <c r="Q163" s="1709"/>
      <c r="R163" s="1709"/>
      <c r="S163" s="1709"/>
    </row>
    <row r="164" spans="13:19" s="1704" customFormat="1">
      <c r="M164" s="1709"/>
      <c r="Q164" s="1709"/>
      <c r="R164" s="1709"/>
      <c r="S164" s="1709"/>
    </row>
    <row r="165" spans="13:19" s="1704" customFormat="1">
      <c r="M165" s="1709"/>
      <c r="Q165" s="1709"/>
      <c r="R165" s="1709"/>
      <c r="S165" s="1709"/>
    </row>
    <row r="166" spans="13:19" s="1704" customFormat="1">
      <c r="M166" s="1709"/>
      <c r="Q166" s="1709"/>
      <c r="R166" s="1709"/>
      <c r="S166" s="1709"/>
    </row>
    <row r="167" spans="13:19" s="1704" customFormat="1">
      <c r="M167" s="1709"/>
      <c r="Q167" s="1709"/>
      <c r="R167" s="1709"/>
      <c r="S167" s="1709"/>
    </row>
    <row r="168" spans="13:19" s="1704" customFormat="1">
      <c r="M168" s="1709"/>
      <c r="Q168" s="1709"/>
      <c r="R168" s="1709"/>
      <c r="S168" s="1709"/>
    </row>
    <row r="169" spans="13:19" s="1704" customFormat="1">
      <c r="M169" s="1709"/>
      <c r="Q169" s="1709"/>
      <c r="R169" s="1709"/>
      <c r="S169" s="1709"/>
    </row>
    <row r="170" spans="13:19" s="1704" customFormat="1">
      <c r="M170" s="1709"/>
      <c r="Q170" s="1709"/>
      <c r="R170" s="1709"/>
      <c r="S170" s="1709"/>
    </row>
    <row r="171" spans="13:19" s="1704" customFormat="1">
      <c r="M171" s="1709"/>
      <c r="Q171" s="1709"/>
      <c r="R171" s="1709"/>
      <c r="S171" s="1709"/>
    </row>
    <row r="172" spans="13:19" s="1704" customFormat="1">
      <c r="M172" s="1709"/>
      <c r="Q172" s="1709"/>
      <c r="R172" s="1709"/>
      <c r="S172" s="1709"/>
    </row>
    <row r="173" spans="13:19" s="1704" customFormat="1">
      <c r="M173" s="1709"/>
      <c r="Q173" s="1709"/>
      <c r="R173" s="1709"/>
      <c r="S173" s="1709"/>
    </row>
    <row r="174" spans="13:19" s="1704" customFormat="1">
      <c r="M174" s="1709"/>
      <c r="Q174" s="1709"/>
      <c r="R174" s="1709"/>
      <c r="S174" s="1709"/>
    </row>
    <row r="175" spans="13:19" s="1704" customFormat="1">
      <c r="M175" s="1709"/>
      <c r="Q175" s="1709"/>
      <c r="R175" s="1709"/>
      <c r="S175" s="1709"/>
    </row>
    <row r="176" spans="13:19" s="1704" customFormat="1">
      <c r="M176" s="1709"/>
      <c r="Q176" s="1709"/>
      <c r="R176" s="1709"/>
      <c r="S176" s="1709"/>
    </row>
    <row r="177" spans="2:21" s="1704" customFormat="1">
      <c r="M177" s="1709"/>
      <c r="Q177" s="1709"/>
      <c r="R177" s="1709"/>
      <c r="S177" s="1709"/>
    </row>
    <row r="178" spans="2:21" s="1704" customFormat="1">
      <c r="M178" s="1709"/>
      <c r="Q178" s="1709"/>
      <c r="R178" s="1709"/>
      <c r="S178" s="1709"/>
    </row>
    <row r="179" spans="2:21" s="1704" customFormat="1">
      <c r="M179" s="1709"/>
      <c r="Q179" s="1709"/>
      <c r="R179" s="1709"/>
      <c r="S179" s="1709"/>
    </row>
    <row r="180" spans="2:21" s="1704" customFormat="1">
      <c r="M180" s="1709"/>
      <c r="Q180" s="1709"/>
      <c r="R180" s="1709"/>
      <c r="S180" s="1709"/>
    </row>
    <row r="181" spans="2:21" s="1704" customFormat="1">
      <c r="M181" s="1709"/>
      <c r="Q181" s="1709"/>
      <c r="R181" s="1709"/>
      <c r="S181" s="1709"/>
    </row>
    <row r="182" spans="2:21" s="1704" customFormat="1">
      <c r="M182" s="1709"/>
      <c r="Q182" s="1709"/>
      <c r="R182" s="1709"/>
      <c r="S182" s="1709"/>
    </row>
    <row r="183" spans="2:21" s="1704" customFormat="1">
      <c r="M183" s="1709"/>
      <c r="Q183" s="1709"/>
      <c r="R183" s="1709"/>
      <c r="S183" s="1709"/>
    </row>
    <row r="184" spans="2:21" s="1704" customFormat="1">
      <c r="M184" s="1709"/>
      <c r="Q184" s="1709"/>
      <c r="R184" s="1709"/>
      <c r="S184" s="1709"/>
    </row>
    <row r="185" spans="2:21" s="1704" customFormat="1">
      <c r="M185" s="1709"/>
      <c r="Q185" s="1709"/>
      <c r="R185" s="1709"/>
      <c r="S185" s="1709"/>
    </row>
    <row r="186" spans="2:21" s="1704" customFormat="1">
      <c r="M186" s="1709"/>
      <c r="Q186" s="1709"/>
      <c r="R186" s="1709"/>
      <c r="S186" s="1709"/>
    </row>
    <row r="187" spans="2:21" s="1704" customFormat="1">
      <c r="M187" s="1709"/>
      <c r="Q187" s="1709"/>
      <c r="R187" s="1709"/>
      <c r="S187" s="1709"/>
    </row>
    <row r="188" spans="2:21" s="1704" customFormat="1">
      <c r="M188" s="1709"/>
      <c r="Q188" s="1709"/>
      <c r="R188" s="1709"/>
      <c r="S188" s="1709"/>
    </row>
    <row r="189" spans="2:21" s="1704" customFormat="1">
      <c r="M189" s="1709"/>
      <c r="Q189" s="1709"/>
      <c r="R189" s="1709"/>
      <c r="S189" s="1709"/>
    </row>
    <row r="190" spans="2:21" s="1704" customFormat="1" ht="15.75">
      <c r="B190" s="2525" t="str">
        <f>HLOOKUP(select,translations!$A$20:$H$70,29,)</f>
        <v xml:space="preserve">2.3. Other Land Use Changes </v>
      </c>
      <c r="C190" s="2525"/>
      <c r="D190" s="2525"/>
      <c r="E190" s="2525"/>
      <c r="F190" s="2525"/>
      <c r="G190" s="2525"/>
      <c r="H190" s="2525"/>
      <c r="I190" s="2525"/>
      <c r="J190" s="2525"/>
      <c r="K190" s="2525"/>
      <c r="L190" s="2525"/>
      <c r="M190" s="2525"/>
      <c r="N190" s="2525"/>
      <c r="O190" s="2525"/>
      <c r="P190" s="2525"/>
      <c r="Q190" s="2525"/>
      <c r="R190" s="2525"/>
      <c r="S190" s="2525"/>
      <c r="T190" s="2525"/>
      <c r="U190" s="2525"/>
    </row>
    <row r="191" spans="2:21" s="1704" customFormat="1">
      <c r="M191" s="1709"/>
      <c r="Q191" s="1709"/>
      <c r="R191" s="1709"/>
      <c r="S191" s="1709"/>
    </row>
    <row r="192" spans="2:21" s="1704" customFormat="1">
      <c r="B192" s="2137"/>
      <c r="C192" s="2137"/>
      <c r="D192" s="2137"/>
      <c r="E192" s="2137"/>
      <c r="F192" s="2137"/>
      <c r="G192" s="2137"/>
      <c r="H192" s="2137"/>
      <c r="I192" s="2137"/>
      <c r="J192" s="2137"/>
      <c r="K192" s="2137"/>
      <c r="L192" s="2137"/>
      <c r="M192" s="2889"/>
      <c r="N192" s="2137"/>
      <c r="O192" s="2137"/>
      <c r="P192" s="2137"/>
      <c r="Q192" s="2889"/>
      <c r="R192" s="2889"/>
      <c r="S192" s="2889"/>
      <c r="T192" s="2137"/>
      <c r="U192" s="2137"/>
    </row>
    <row r="193" spans="2:21" s="1704" customFormat="1">
      <c r="B193" s="2137"/>
      <c r="C193" s="2137"/>
      <c r="D193" s="2137"/>
      <c r="E193" s="2137"/>
      <c r="F193" s="2137"/>
      <c r="G193" s="2137"/>
      <c r="H193" s="2137"/>
      <c r="I193" s="2137"/>
      <c r="J193" s="2137"/>
      <c r="K193" s="2137"/>
      <c r="L193" s="2137"/>
      <c r="M193" s="2889"/>
      <c r="N193" s="2137"/>
      <c r="O193" s="2137"/>
      <c r="P193" s="2137"/>
      <c r="Q193" s="2889"/>
      <c r="R193" s="2889"/>
      <c r="S193" s="2889"/>
      <c r="T193" s="2137"/>
      <c r="U193" s="2137"/>
    </row>
    <row r="194" spans="2:21" s="1704" customFormat="1">
      <c r="B194" s="2137"/>
      <c r="C194" s="2137"/>
      <c r="D194" s="2137"/>
      <c r="E194" s="2137"/>
      <c r="F194" s="2137"/>
      <c r="G194" s="2137"/>
      <c r="H194" s="2137"/>
      <c r="I194" s="2137"/>
      <c r="J194" s="2137"/>
      <c r="K194" s="2137"/>
      <c r="L194" s="2137"/>
      <c r="M194" s="2889"/>
      <c r="N194" s="2137"/>
      <c r="O194" s="2137"/>
      <c r="P194" s="2137"/>
      <c r="Q194" s="2889"/>
      <c r="R194" s="2889"/>
      <c r="S194" s="2889"/>
      <c r="T194" s="2137"/>
      <c r="U194" s="2137"/>
    </row>
    <row r="195" spans="2:21" s="1704" customFormat="1">
      <c r="M195" s="1709"/>
      <c r="Q195" s="1709"/>
      <c r="R195" s="1709"/>
      <c r="S195" s="1709"/>
    </row>
    <row r="196" spans="2:21" s="1704" customFormat="1">
      <c r="B196" s="2891" t="str">
        <f>B147</f>
        <v>Use this part only if you want to refine the analysis with Tier 2 coefficients.</v>
      </c>
      <c r="C196" s="2892"/>
      <c r="D196" s="2193"/>
      <c r="E196" s="2893"/>
      <c r="F196" s="2193"/>
      <c r="G196" s="2193"/>
      <c r="H196" s="2193"/>
      <c r="I196" s="2193"/>
      <c r="J196" s="2193"/>
      <c r="K196" s="2193"/>
      <c r="L196" s="2193"/>
      <c r="M196" s="2195" t="str">
        <f>M147</f>
        <v>All values are in t of carbon per ha (tC/ha)</v>
      </c>
      <c r="N196" s="2193"/>
      <c r="O196" s="2193"/>
      <c r="P196" s="2193"/>
      <c r="Q196" s="2193"/>
      <c r="R196" s="2193"/>
      <c r="S196" s="2193"/>
      <c r="T196" s="2193"/>
      <c r="U196" s="2193"/>
    </row>
    <row r="197" spans="2:21" s="1704" customFormat="1">
      <c r="B197" s="2222" t="str">
        <f>$B$97</f>
        <v>(default values are provided for your information only, while EX-ACT will use Tier 2 values automatically wherever specified)</v>
      </c>
      <c r="C197" s="2222"/>
      <c r="D197" s="2203"/>
      <c r="E197" s="2203"/>
      <c r="F197" s="2203"/>
      <c r="G197" s="2203"/>
      <c r="H197" s="2203"/>
      <c r="I197" s="2203"/>
      <c r="J197" s="2203"/>
      <c r="K197" s="2203"/>
      <c r="L197" s="2203"/>
      <c r="M197" s="2203"/>
      <c r="N197" s="2203"/>
      <c r="O197" s="2203"/>
      <c r="P197" s="2203"/>
      <c r="Q197" s="2213"/>
      <c r="R197" s="2213"/>
      <c r="S197" s="2213"/>
      <c r="T197" s="2213"/>
      <c r="U197" s="2137"/>
    </row>
    <row r="198" spans="2:21" s="1704" customFormat="1">
      <c r="B198" s="2137"/>
      <c r="C198" s="2137"/>
      <c r="D198" s="2137"/>
      <c r="E198" s="2137"/>
      <c r="F198" s="2137"/>
      <c r="G198" s="2137"/>
      <c r="H198" s="2137"/>
      <c r="I198" s="2137"/>
      <c r="J198" s="2137"/>
      <c r="K198" s="2137"/>
      <c r="L198" s="2137"/>
      <c r="M198" s="2889"/>
      <c r="N198" s="2137"/>
      <c r="O198" s="2137"/>
      <c r="P198" s="2137"/>
      <c r="Q198" s="2889"/>
      <c r="R198" s="2889"/>
      <c r="S198" s="2889"/>
      <c r="T198" s="2137"/>
      <c r="U198" s="2137"/>
    </row>
    <row r="199" spans="2:21" s="1704" customFormat="1">
      <c r="B199" s="1983" t="str">
        <f>'3.Cropland'!B170</f>
        <v>Systems</v>
      </c>
      <c r="C199" s="2137"/>
      <c r="D199" s="1983" t="str">
        <f>D47</f>
        <v>Initial land use</v>
      </c>
      <c r="E199" s="2137"/>
      <c r="F199" s="2137"/>
      <c r="G199" s="3671" t="str">
        <f>'9. Results'!H13</f>
        <v>Biomass</v>
      </c>
      <c r="H199" s="3671"/>
      <c r="I199" s="3671" t="str">
        <f>S151</f>
        <v>Soil carbon</v>
      </c>
      <c r="J199" s="3671"/>
      <c r="K199" s="2137"/>
      <c r="L199" s="1983" t="str">
        <f>G47</f>
        <v>Final land use</v>
      </c>
      <c r="M199" s="2889"/>
      <c r="N199" s="2137"/>
      <c r="O199" s="2137"/>
      <c r="P199" s="2889"/>
      <c r="Q199" s="3671" t="str">
        <f>HLOOKUP(select,translations!$A$1:$H$70,69,)</f>
        <v>Biomass (1st year)</v>
      </c>
      <c r="R199" s="3671"/>
      <c r="S199" s="3671" t="str">
        <f>I199</f>
        <v>Soil carbon</v>
      </c>
      <c r="T199" s="3671"/>
      <c r="U199" s="2137"/>
    </row>
    <row r="200" spans="2:21" s="1704" customFormat="1">
      <c r="B200" s="2137"/>
      <c r="C200" s="2137"/>
      <c r="D200" s="2137"/>
      <c r="E200" s="2137"/>
      <c r="F200" s="2137"/>
      <c r="G200" s="2889" t="str">
        <f>D152</f>
        <v>Default</v>
      </c>
      <c r="H200" s="2889" t="str">
        <f>E152</f>
        <v>Tier 2</v>
      </c>
      <c r="I200" s="2889" t="str">
        <f>G200</f>
        <v>Default</v>
      </c>
      <c r="J200" s="2889" t="str">
        <f>H200</f>
        <v>Tier 2</v>
      </c>
      <c r="K200" s="2137"/>
      <c r="L200" s="2137"/>
      <c r="M200" s="2889"/>
      <c r="N200" s="2137"/>
      <c r="O200" s="2137"/>
      <c r="P200" s="2889"/>
      <c r="Q200" s="2889" t="str">
        <f>G200</f>
        <v>Default</v>
      </c>
      <c r="R200" s="2889" t="str">
        <f>H200</f>
        <v>Tier 2</v>
      </c>
      <c r="S200" s="2889" t="str">
        <f>Q200</f>
        <v>Default</v>
      </c>
      <c r="T200" s="2889" t="str">
        <f>H200</f>
        <v>Tier 2</v>
      </c>
      <c r="U200" s="2137"/>
    </row>
    <row r="201" spans="2:21" s="1704" customFormat="1">
      <c r="B201" s="2895" t="str">
        <f t="shared" ref="B201:B210" si="2">IF(B49="","",B49)</f>
        <v/>
      </c>
      <c r="C201" s="2137"/>
      <c r="D201" s="2137" t="str">
        <f>D49</f>
        <v>Select Initial Land Use</v>
      </c>
      <c r="E201" s="2137"/>
      <c r="F201" s="2137"/>
      <c r="G201" s="2369">
        <f>IF(D201=List!$A$119,0,HLOOKUP(D201,' IPCC'!$A$290:$J$302,1+MATCH(clim_full,' IPCC'!$A$291:$A$302,),))</f>
        <v>0</v>
      </c>
      <c r="H201" s="2888"/>
      <c r="I201" s="2369">
        <f>IF(D201=List!$A$119,0,VLOOKUP(clim_full,' IPCC'!$A$307:$J$318,1+MATCH(D201,' IPCC'!$B$306:$J$306,),)*Soil_Native)</f>
        <v>0</v>
      </c>
      <c r="J201" s="2888"/>
      <c r="K201" s="2137"/>
      <c r="L201" s="2137" t="str">
        <f t="shared" ref="L201:L210" si="3">G49</f>
        <v>Select Final Land Use</v>
      </c>
      <c r="M201" s="2889"/>
      <c r="N201" s="2137"/>
      <c r="O201" s="2137"/>
      <c r="P201" s="2889"/>
      <c r="Q201" s="2369">
        <f>IF(L201=List!$A$131,0,HLOOKUP(L201,' IPCC'!$B$125:$I$137,1+MATCH(clim_full,' IPCC'!$A$126:$A$137,),))</f>
        <v>0</v>
      </c>
      <c r="R201" s="2888"/>
      <c r="S201" s="2369">
        <f>IF(L201=List!$A$131,0,VLOOKUP(clim_full,' IPCC'!$A$156:$I$167,1+MATCH(L201,' IPCC'!$B$155:$I$155,),)*Soil_Native)</f>
        <v>0</v>
      </c>
      <c r="T201" s="2888"/>
      <c r="U201" s="2137"/>
    </row>
    <row r="202" spans="2:21" s="1704" customFormat="1">
      <c r="B202" s="2895" t="str">
        <f t="shared" si="2"/>
        <v/>
      </c>
      <c r="C202" s="2137"/>
      <c r="D202" s="2137" t="str">
        <f t="shared" ref="D202:D210" si="4">D50</f>
        <v>Select Initial Land Use</v>
      </c>
      <c r="E202" s="2137"/>
      <c r="F202" s="2137"/>
      <c r="G202" s="2369">
        <f>IF(D202=List!$A$119,0,HLOOKUP(D202,' IPCC'!$A$290:$J$302,1+MATCH(clim_full,' IPCC'!$A$291:$A$302,),))</f>
        <v>0</v>
      </c>
      <c r="H202" s="2888"/>
      <c r="I202" s="2369">
        <f>IF(D202=List!$A$119,0,VLOOKUP(clim_full,' IPCC'!$A$307:$J$318,1+MATCH(D202,' IPCC'!$B$306:$J$306,),)*Soil_Native)</f>
        <v>0</v>
      </c>
      <c r="J202" s="2888"/>
      <c r="K202" s="2137"/>
      <c r="L202" s="2137" t="str">
        <f t="shared" si="3"/>
        <v>Select Final Land Use</v>
      </c>
      <c r="M202" s="2889"/>
      <c r="N202" s="2137"/>
      <c r="O202" s="2137"/>
      <c r="P202" s="2889"/>
      <c r="Q202" s="2369">
        <f>IF(L202=List!$A$131,0,HLOOKUP(L202,' IPCC'!$B$125:$I$137,1+MATCH(clim_full,' IPCC'!$A$126:$A$137,),))</f>
        <v>0</v>
      </c>
      <c r="R202" s="2888"/>
      <c r="S202" s="2369">
        <f>IF(L202=List!$A$131,0,VLOOKUP(clim_full,' IPCC'!$A$156:$I$167,1+MATCH(L202,' IPCC'!$B$155:$I$155,),)*Soil_Native)</f>
        <v>0</v>
      </c>
      <c r="T202" s="2888"/>
      <c r="U202" s="2137"/>
    </row>
    <row r="203" spans="2:21" s="1704" customFormat="1">
      <c r="B203" s="2895" t="str">
        <f t="shared" si="2"/>
        <v/>
      </c>
      <c r="C203" s="2137"/>
      <c r="D203" s="2137" t="str">
        <f t="shared" si="4"/>
        <v>Select Initial Land Use</v>
      </c>
      <c r="E203" s="2137"/>
      <c r="F203" s="2137"/>
      <c r="G203" s="2369">
        <f>IF(D203=List!$A$119,0,HLOOKUP(D203,' IPCC'!$A$290:$J$302,1+MATCH(clim_full,' IPCC'!$A$291:$A$302,),))</f>
        <v>0</v>
      </c>
      <c r="H203" s="2888"/>
      <c r="I203" s="2369">
        <f>IF(D203=List!$A$119,0,VLOOKUP(clim_full,' IPCC'!$A$307:$J$318,1+MATCH(D203,' IPCC'!$B$306:$J$306,),)*Soil_Native)</f>
        <v>0</v>
      </c>
      <c r="J203" s="2888"/>
      <c r="K203" s="2137"/>
      <c r="L203" s="2137" t="str">
        <f t="shared" si="3"/>
        <v>Select Final Land Use</v>
      </c>
      <c r="M203" s="2889"/>
      <c r="N203" s="2137"/>
      <c r="O203" s="2137"/>
      <c r="P203" s="2889"/>
      <c r="Q203" s="2369">
        <f>IF(L203=List!$A$131,0,HLOOKUP(L203,' IPCC'!$B$125:$I$137,1+MATCH(clim_full,' IPCC'!$A$126:$A$137,),))</f>
        <v>0</v>
      </c>
      <c r="R203" s="2888"/>
      <c r="S203" s="2369">
        <f>IF(L203=List!$A$131,0,VLOOKUP(clim_full,' IPCC'!$A$156:$I$167,1+MATCH(L203,' IPCC'!$B$155:$I$155,),)*Soil_Native)</f>
        <v>0</v>
      </c>
      <c r="T203" s="2888"/>
      <c r="U203" s="2137"/>
    </row>
    <row r="204" spans="2:21" s="1704" customFormat="1">
      <c r="B204" s="2895" t="str">
        <f t="shared" si="2"/>
        <v/>
      </c>
      <c r="C204" s="2137"/>
      <c r="D204" s="2137" t="str">
        <f t="shared" si="4"/>
        <v>Select Initial Land Use</v>
      </c>
      <c r="E204" s="2137"/>
      <c r="F204" s="2137"/>
      <c r="G204" s="2369">
        <f>IF(D204=List!$A$119,0,HLOOKUP(D204,' IPCC'!$A$290:$J$302,1+MATCH(clim_full,' IPCC'!$A$291:$A$302,),))</f>
        <v>0</v>
      </c>
      <c r="H204" s="2888"/>
      <c r="I204" s="2369">
        <f>IF(D204=List!$A$119,0,VLOOKUP(clim_full,' IPCC'!$A$307:$J$318,1+MATCH(D204,' IPCC'!$B$306:$J$306,),)*Soil_Native)</f>
        <v>0</v>
      </c>
      <c r="J204" s="2888"/>
      <c r="K204" s="2137"/>
      <c r="L204" s="2137" t="str">
        <f t="shared" si="3"/>
        <v>Select Final Land Use</v>
      </c>
      <c r="M204" s="2889"/>
      <c r="N204" s="2137"/>
      <c r="O204" s="2137"/>
      <c r="P204" s="2889"/>
      <c r="Q204" s="2369">
        <f>IF(L204=List!$A$131,0,HLOOKUP(L204,' IPCC'!$B$125:$I$137,1+MATCH(clim_full,' IPCC'!$A$126:$A$137,),))</f>
        <v>0</v>
      </c>
      <c r="R204" s="2888"/>
      <c r="S204" s="2369">
        <f>IF(L204=List!$A$131,0,VLOOKUP(clim_full,' IPCC'!$A$156:$I$167,1+MATCH(L204,' IPCC'!$B$155:$I$155,),)*Soil_Native)</f>
        <v>0</v>
      </c>
      <c r="T204" s="2888"/>
      <c r="U204" s="2137"/>
    </row>
    <row r="205" spans="2:21" s="1704" customFormat="1">
      <c r="B205" s="2895" t="str">
        <f t="shared" si="2"/>
        <v/>
      </c>
      <c r="C205" s="2137"/>
      <c r="D205" s="2137" t="str">
        <f t="shared" si="4"/>
        <v>Select Initial Land Use</v>
      </c>
      <c r="E205" s="2137"/>
      <c r="F205" s="2137"/>
      <c r="G205" s="2369">
        <f>IF(D205=List!$A$119,0,HLOOKUP(D205,' IPCC'!$A$290:$J$302,1+MATCH(clim_full,' IPCC'!$A$291:$A$302,),))</f>
        <v>0</v>
      </c>
      <c r="H205" s="2888"/>
      <c r="I205" s="2369">
        <f>IF(D205=List!$A$119,0,VLOOKUP(clim_full,' IPCC'!$A$307:$J$318,1+MATCH(D205,' IPCC'!$B$306:$J$306,),)*Soil_Native)</f>
        <v>0</v>
      </c>
      <c r="J205" s="2888"/>
      <c r="K205" s="2137"/>
      <c r="L205" s="2137" t="str">
        <f t="shared" si="3"/>
        <v>Select Final Land Use</v>
      </c>
      <c r="M205" s="2889"/>
      <c r="N205" s="2137"/>
      <c r="O205" s="2137"/>
      <c r="P205" s="2889"/>
      <c r="Q205" s="2369">
        <f>IF(L205=List!$A$131,0,HLOOKUP(L205,' IPCC'!$B$125:$I$137,1+MATCH(clim_full,' IPCC'!$A$126:$A$137,),))</f>
        <v>0</v>
      </c>
      <c r="R205" s="2888"/>
      <c r="S205" s="2369">
        <f>IF(L205=List!$A$131,0,VLOOKUP(clim_full,' IPCC'!$A$156:$I$167,1+MATCH(L205,' IPCC'!$B$155:$I$155,),)*Soil_Native)</f>
        <v>0</v>
      </c>
      <c r="T205" s="2888"/>
      <c r="U205" s="2137"/>
    </row>
    <row r="206" spans="2:21" s="1704" customFormat="1">
      <c r="B206" s="2895" t="str">
        <f t="shared" si="2"/>
        <v/>
      </c>
      <c r="C206" s="2137"/>
      <c r="D206" s="2137" t="str">
        <f t="shared" si="4"/>
        <v>Select Initial Land Use</v>
      </c>
      <c r="E206" s="2137"/>
      <c r="F206" s="2137"/>
      <c r="G206" s="2369">
        <f>IF(D206=List!$A$119,0,HLOOKUP(D206,' IPCC'!$A$290:$J$302,1+MATCH(clim_full,' IPCC'!$A$291:$A$302,),))</f>
        <v>0</v>
      </c>
      <c r="H206" s="2888"/>
      <c r="I206" s="2369">
        <f>IF(D206=List!$A$119,0,VLOOKUP(clim_full,' IPCC'!$A$307:$J$318,1+MATCH(D206,' IPCC'!$B$306:$J$306,),)*Soil_Native)</f>
        <v>0</v>
      </c>
      <c r="J206" s="2888"/>
      <c r="K206" s="2137"/>
      <c r="L206" s="2137" t="str">
        <f t="shared" si="3"/>
        <v>Select Final Land Use</v>
      </c>
      <c r="M206" s="2889"/>
      <c r="N206" s="2137"/>
      <c r="O206" s="2137"/>
      <c r="P206" s="2889"/>
      <c r="Q206" s="2369">
        <f>IF(L206=List!$A$131,0,HLOOKUP(L206,' IPCC'!$B$125:$I$137,1+MATCH(clim_full,' IPCC'!$A$126:$A$137,),))</f>
        <v>0</v>
      </c>
      <c r="R206" s="2888"/>
      <c r="S206" s="2369">
        <f>IF(L206=List!$A$131,0,VLOOKUP(clim_full,' IPCC'!$A$156:$I$167,1+MATCH(L206,' IPCC'!$B$155:$I$155,),)*Soil_Native)</f>
        <v>0</v>
      </c>
      <c r="T206" s="2888"/>
      <c r="U206" s="2137"/>
    </row>
    <row r="207" spans="2:21" s="1704" customFormat="1">
      <c r="B207" s="2895" t="str">
        <f t="shared" si="2"/>
        <v/>
      </c>
      <c r="C207" s="2137"/>
      <c r="D207" s="2137" t="str">
        <f t="shared" si="4"/>
        <v>Select Initial Land Use</v>
      </c>
      <c r="E207" s="2137"/>
      <c r="F207" s="2137"/>
      <c r="G207" s="2369">
        <f>IF(D207=List!$A$119,0,HLOOKUP(D207,' IPCC'!$A$290:$J$302,1+MATCH(clim_full,' IPCC'!$A$291:$A$302,),))</f>
        <v>0</v>
      </c>
      <c r="H207" s="2888"/>
      <c r="I207" s="2369">
        <f>IF(D207=List!$A$119,0,VLOOKUP(clim_full,' IPCC'!$A$307:$J$318,1+MATCH(D207,' IPCC'!$B$306:$J$306,),)*Soil_Native)</f>
        <v>0</v>
      </c>
      <c r="J207" s="2888"/>
      <c r="K207" s="2137"/>
      <c r="L207" s="2137" t="str">
        <f t="shared" si="3"/>
        <v>Select Final Land Use</v>
      </c>
      <c r="M207" s="2889"/>
      <c r="N207" s="2137"/>
      <c r="O207" s="2137"/>
      <c r="P207" s="2889"/>
      <c r="Q207" s="2369">
        <f>IF(L207=List!$A$131,0,HLOOKUP(L207,' IPCC'!$B$125:$I$137,1+MATCH(clim_full,' IPCC'!$A$126:$A$137,),))</f>
        <v>0</v>
      </c>
      <c r="R207" s="2888"/>
      <c r="S207" s="2369">
        <f>IF(L207=List!$A$131,0,VLOOKUP(clim_full,' IPCC'!$A$156:$I$167,1+MATCH(L207,' IPCC'!$B$155:$I$155,),)*Soil_Native)</f>
        <v>0</v>
      </c>
      <c r="T207" s="2888"/>
      <c r="U207" s="2137"/>
    </row>
    <row r="208" spans="2:21" s="1704" customFormat="1">
      <c r="B208" s="2895" t="str">
        <f t="shared" si="2"/>
        <v/>
      </c>
      <c r="C208" s="2137"/>
      <c r="D208" s="2137" t="str">
        <f t="shared" si="4"/>
        <v>Select Initial Land Use</v>
      </c>
      <c r="E208" s="2137"/>
      <c r="F208" s="2137"/>
      <c r="G208" s="2369">
        <f>IF(D208=List!$A$119,0,HLOOKUP(D208,' IPCC'!$A$290:$J$302,1+MATCH(clim_full,' IPCC'!$A$291:$A$302,),))</f>
        <v>0</v>
      </c>
      <c r="H208" s="2888"/>
      <c r="I208" s="2369">
        <f>IF(D208=List!$A$119,0,VLOOKUP(clim_full,' IPCC'!$A$307:$J$318,1+MATCH(D208,' IPCC'!$B$306:$J$306,),)*Soil_Native)</f>
        <v>0</v>
      </c>
      <c r="J208" s="2888"/>
      <c r="K208" s="2137"/>
      <c r="L208" s="2137" t="str">
        <f t="shared" si="3"/>
        <v>Select Final Land Use</v>
      </c>
      <c r="M208" s="2889"/>
      <c r="N208" s="2137"/>
      <c r="O208" s="2137"/>
      <c r="P208" s="2889"/>
      <c r="Q208" s="2369">
        <f>IF(L208=List!$A$131,0,HLOOKUP(L208,' IPCC'!$B$125:$I$137,1+MATCH(clim_full,' IPCC'!$A$126:$A$137,),))</f>
        <v>0</v>
      </c>
      <c r="R208" s="2888"/>
      <c r="S208" s="2369">
        <f>IF(L208=List!$A$131,0,VLOOKUP(clim_full,' IPCC'!$A$156:$I$167,1+MATCH(L208,' IPCC'!$B$155:$I$155,),)*Soil_Native)</f>
        <v>0</v>
      </c>
      <c r="T208" s="2888"/>
      <c r="U208" s="2137"/>
    </row>
    <row r="209" spans="2:21" s="1704" customFormat="1">
      <c r="B209" s="2895" t="str">
        <f t="shared" si="2"/>
        <v/>
      </c>
      <c r="C209" s="2137"/>
      <c r="D209" s="2137" t="str">
        <f t="shared" si="4"/>
        <v>Select Initial Land Use</v>
      </c>
      <c r="E209" s="2137"/>
      <c r="F209" s="2137"/>
      <c r="G209" s="2369">
        <f>IF(D209=List!$A$119,0,HLOOKUP(D209,' IPCC'!$A$290:$J$302,1+MATCH(clim_full,' IPCC'!$A$291:$A$302,),))</f>
        <v>0</v>
      </c>
      <c r="H209" s="2888"/>
      <c r="I209" s="2369">
        <f>IF(D209=List!$A$119,0,VLOOKUP(clim_full,' IPCC'!$A$307:$J$318,1+MATCH(D209,' IPCC'!$B$306:$J$306,),)*Soil_Native)</f>
        <v>0</v>
      </c>
      <c r="J209" s="2888"/>
      <c r="K209" s="2137"/>
      <c r="L209" s="2137" t="str">
        <f t="shared" si="3"/>
        <v>Select Final Land Use</v>
      </c>
      <c r="M209" s="2889"/>
      <c r="N209" s="2137"/>
      <c r="O209" s="2137"/>
      <c r="P209" s="2889"/>
      <c r="Q209" s="2369">
        <f>IF(L209=List!$A$131,0,HLOOKUP(L209,' IPCC'!$B$125:$I$137,1+MATCH(clim_full,' IPCC'!$A$126:$A$137,),))</f>
        <v>0</v>
      </c>
      <c r="R209" s="2888"/>
      <c r="S209" s="2369">
        <f>IF(L209=List!$A$131,0,VLOOKUP(clim_full,' IPCC'!$A$156:$I$167,1+MATCH(L209,' IPCC'!$B$155:$I$155,),)*Soil_Native)</f>
        <v>0</v>
      </c>
      <c r="T209" s="2888"/>
      <c r="U209" s="2137"/>
    </row>
    <row r="210" spans="2:21" s="1704" customFormat="1">
      <c r="B210" s="2895" t="str">
        <f t="shared" si="2"/>
        <v/>
      </c>
      <c r="C210" s="2137"/>
      <c r="D210" s="2137" t="str">
        <f t="shared" si="4"/>
        <v>Select Initial Land Use</v>
      </c>
      <c r="E210" s="2137"/>
      <c r="F210" s="2137"/>
      <c r="G210" s="2369">
        <f>IF(D210=List!$A$119,0,HLOOKUP(D210,' IPCC'!$A$290:$J$302,1+MATCH(clim_full,' IPCC'!$A$291:$A$302,),))</f>
        <v>0</v>
      </c>
      <c r="H210" s="2888"/>
      <c r="I210" s="2369">
        <f>IF(D210=List!$A$119,0,VLOOKUP(clim_full,' IPCC'!$A$307:$J$318,1+MATCH(D210,' IPCC'!$B$306:$J$306,),)*Soil_Native)</f>
        <v>0</v>
      </c>
      <c r="J210" s="2888"/>
      <c r="K210" s="2137"/>
      <c r="L210" s="2137" t="str">
        <f t="shared" si="3"/>
        <v>Select Final Land Use</v>
      </c>
      <c r="M210" s="2889"/>
      <c r="N210" s="2137"/>
      <c r="O210" s="2137"/>
      <c r="P210" s="2889"/>
      <c r="Q210" s="2369">
        <f>IF(L210=List!$A$131,0,HLOOKUP(L210,' IPCC'!$B$125:$I$137,1+MATCH(clim_full,' IPCC'!$A$126:$A$137,),))</f>
        <v>0</v>
      </c>
      <c r="R210" s="2888"/>
      <c r="S210" s="2369">
        <f>IF(L210=List!$A$131,0,VLOOKUP(clim_full,' IPCC'!$A$156:$I$167,1+MATCH(L210,' IPCC'!$B$155:$I$155,),)*Soil_Native)</f>
        <v>0</v>
      </c>
      <c r="T210" s="2888"/>
      <c r="U210" s="2137"/>
    </row>
    <row r="211" spans="2:21" s="1704" customFormat="1">
      <c r="B211" s="2667" t="str">
        <f t="shared" ref="B211" si="5">IF(B60="","",B60)</f>
        <v/>
      </c>
      <c r="C211" s="2137"/>
      <c r="D211" s="2137"/>
      <c r="E211" s="2137"/>
      <c r="F211" s="2137"/>
      <c r="G211" s="2137"/>
      <c r="H211" s="2889"/>
      <c r="I211" s="2137"/>
      <c r="J211" s="2137"/>
      <c r="K211" s="2137"/>
      <c r="L211" s="2137"/>
      <c r="M211" s="2889"/>
      <c r="N211" s="2137"/>
      <c r="O211" s="2137"/>
      <c r="P211" s="2137"/>
      <c r="Q211" s="2889"/>
      <c r="R211" s="2889"/>
      <c r="S211" s="2667"/>
      <c r="T211" s="2137"/>
      <c r="U211" s="2137"/>
    </row>
    <row r="212" spans="2:21" s="1704" customFormat="1">
      <c r="M212" s="1709"/>
      <c r="Q212" s="1709"/>
      <c r="R212" s="1709"/>
      <c r="S212" s="1709"/>
    </row>
    <row r="213" spans="2:21" s="1704" customFormat="1">
      <c r="M213" s="1709"/>
      <c r="Q213" s="1709"/>
      <c r="R213" s="1709"/>
      <c r="S213" s="1709"/>
    </row>
    <row r="214" spans="2:21" s="1704" customFormat="1">
      <c r="M214" s="1709"/>
      <c r="Q214" s="1709"/>
      <c r="R214" s="1709"/>
      <c r="S214" s="1709"/>
    </row>
    <row r="215" spans="2:21" s="1704" customFormat="1">
      <c r="M215" s="1709"/>
      <c r="Q215" s="1709"/>
      <c r="R215" s="1709"/>
      <c r="S215" s="1709"/>
    </row>
    <row r="216" spans="2:21" s="1704" customFormat="1">
      <c r="M216" s="1709"/>
      <c r="Q216" s="1709"/>
      <c r="R216" s="1709"/>
      <c r="S216" s="1709"/>
    </row>
    <row r="217" spans="2:21" s="1704" customFormat="1">
      <c r="M217" s="1709"/>
      <c r="Q217" s="1709"/>
      <c r="R217" s="1709"/>
      <c r="S217" s="1709"/>
    </row>
    <row r="218" spans="2:21" s="1704" customFormat="1">
      <c r="M218" s="1709"/>
      <c r="Q218" s="1709"/>
      <c r="R218" s="1709"/>
      <c r="S218" s="1709"/>
    </row>
    <row r="219" spans="2:21" s="1704" customFormat="1">
      <c r="M219" s="1709"/>
      <c r="Q219" s="1709"/>
      <c r="R219" s="1709"/>
      <c r="S219" s="1709"/>
    </row>
    <row r="220" spans="2:21" s="1704" customFormat="1">
      <c r="M220" s="1709"/>
      <c r="Q220" s="1709"/>
      <c r="R220" s="1709"/>
      <c r="S220" s="1709"/>
    </row>
    <row r="221" spans="2:21" s="1704" customFormat="1">
      <c r="M221" s="1709"/>
      <c r="Q221" s="1709"/>
      <c r="R221" s="1709"/>
      <c r="S221" s="1709"/>
    </row>
    <row r="222" spans="2:21" s="1704" customFormat="1">
      <c r="M222" s="1709"/>
      <c r="Q222" s="1709"/>
      <c r="R222" s="1709"/>
      <c r="S222" s="1709"/>
    </row>
    <row r="223" spans="2:21" s="1704" customFormat="1">
      <c r="M223" s="1709"/>
      <c r="Q223" s="1709"/>
      <c r="R223" s="1709"/>
      <c r="S223" s="1709"/>
    </row>
    <row r="224" spans="2:21" s="1704" customFormat="1">
      <c r="M224" s="1709"/>
      <c r="Q224" s="1709"/>
      <c r="R224" s="1709"/>
      <c r="S224" s="1709"/>
    </row>
    <row r="225" spans="13:19" s="1704" customFormat="1">
      <c r="M225" s="1709"/>
      <c r="Q225" s="1709"/>
      <c r="R225" s="1709"/>
      <c r="S225" s="1709"/>
    </row>
    <row r="226" spans="13:19" s="1704" customFormat="1">
      <c r="M226" s="1709"/>
      <c r="Q226" s="1709"/>
      <c r="R226" s="1709"/>
      <c r="S226" s="1709"/>
    </row>
    <row r="227" spans="13:19" s="1704" customFormat="1">
      <c r="M227" s="1709"/>
      <c r="Q227" s="1709"/>
      <c r="R227" s="1709"/>
      <c r="S227" s="1709"/>
    </row>
    <row r="228" spans="13:19" s="1704" customFormat="1">
      <c r="M228" s="1709"/>
      <c r="Q228" s="1709"/>
      <c r="R228" s="1709"/>
      <c r="S228" s="1709"/>
    </row>
    <row r="229" spans="13:19" s="1704" customFormat="1">
      <c r="M229" s="1709"/>
      <c r="Q229" s="1709"/>
      <c r="R229" s="1709"/>
      <c r="S229" s="1709"/>
    </row>
    <row r="230" spans="13:19" s="1704" customFormat="1">
      <c r="M230" s="1709"/>
      <c r="Q230" s="1709"/>
      <c r="R230" s="1709"/>
      <c r="S230" s="1709"/>
    </row>
    <row r="231" spans="13:19" s="1704" customFormat="1">
      <c r="M231" s="1709"/>
      <c r="Q231" s="1709"/>
      <c r="R231" s="1709"/>
      <c r="S231" s="1709"/>
    </row>
    <row r="232" spans="13:19" s="1704" customFormat="1">
      <c r="M232" s="1709"/>
      <c r="Q232" s="1709"/>
      <c r="R232" s="1709"/>
      <c r="S232" s="1709"/>
    </row>
    <row r="233" spans="13:19" s="1704" customFormat="1">
      <c r="M233" s="1709"/>
      <c r="Q233" s="1709"/>
      <c r="R233" s="1709"/>
      <c r="S233" s="1709"/>
    </row>
    <row r="234" spans="13:19" s="1704" customFormat="1">
      <c r="M234" s="1709"/>
      <c r="Q234" s="1709"/>
      <c r="R234" s="1709"/>
      <c r="S234" s="1709"/>
    </row>
    <row r="235" spans="13:19" s="1704" customFormat="1">
      <c r="M235" s="1709"/>
      <c r="Q235" s="1709"/>
      <c r="R235" s="1709"/>
      <c r="S235" s="1709"/>
    </row>
    <row r="236" spans="13:19" s="1704" customFormat="1">
      <c r="M236" s="1709"/>
      <c r="Q236" s="1709"/>
      <c r="R236" s="1709"/>
      <c r="S236" s="1709"/>
    </row>
    <row r="237" spans="13:19" s="1704" customFormat="1">
      <c r="M237" s="1709"/>
      <c r="Q237" s="1709"/>
      <c r="R237" s="1709"/>
      <c r="S237" s="1709"/>
    </row>
    <row r="238" spans="13:19" s="1704" customFormat="1">
      <c r="M238" s="1709"/>
      <c r="Q238" s="1709"/>
      <c r="R238" s="1709"/>
      <c r="S238" s="1709"/>
    </row>
    <row r="239" spans="13:19" s="1704" customFormat="1">
      <c r="M239" s="1709"/>
      <c r="Q239" s="1709"/>
      <c r="R239" s="1709"/>
      <c r="S239" s="1709"/>
    </row>
    <row r="240" spans="13:19" s="1704" customFormat="1">
      <c r="M240" s="1709"/>
      <c r="Q240" s="1709"/>
      <c r="R240" s="1709"/>
      <c r="S240" s="1709"/>
    </row>
    <row r="241" spans="13:19" s="1704" customFormat="1">
      <c r="M241" s="1709"/>
      <c r="Q241" s="1709"/>
      <c r="R241" s="1709"/>
      <c r="S241" s="1709"/>
    </row>
    <row r="242" spans="13:19" s="1704" customFormat="1">
      <c r="M242" s="1709"/>
      <c r="Q242" s="1709"/>
      <c r="R242" s="1709"/>
      <c r="S242" s="1709"/>
    </row>
    <row r="243" spans="13:19" s="1704" customFormat="1">
      <c r="M243" s="1709"/>
      <c r="Q243" s="1709"/>
      <c r="R243" s="1709"/>
      <c r="S243" s="1709"/>
    </row>
    <row r="244" spans="13:19" s="1704" customFormat="1">
      <c r="M244" s="1709"/>
      <c r="Q244" s="1709"/>
      <c r="R244" s="1709"/>
      <c r="S244" s="1709"/>
    </row>
    <row r="245" spans="13:19" s="1704" customFormat="1">
      <c r="M245" s="1709"/>
      <c r="Q245" s="1709"/>
      <c r="R245" s="1709"/>
      <c r="S245" s="1709"/>
    </row>
    <row r="246" spans="13:19" s="1704" customFormat="1">
      <c r="M246" s="1709"/>
      <c r="Q246" s="1709"/>
      <c r="R246" s="1709"/>
      <c r="S246" s="1709"/>
    </row>
    <row r="247" spans="13:19" s="1704" customFormat="1">
      <c r="M247" s="1709"/>
      <c r="Q247" s="1709"/>
      <c r="R247" s="1709"/>
      <c r="S247" s="1709"/>
    </row>
    <row r="248" spans="13:19" s="1704" customFormat="1">
      <c r="M248" s="1709"/>
      <c r="Q248" s="1709"/>
      <c r="R248" s="1709"/>
      <c r="S248" s="1709"/>
    </row>
    <row r="249" spans="13:19" s="1704" customFormat="1">
      <c r="M249" s="1709"/>
      <c r="Q249" s="1709"/>
      <c r="R249" s="1709"/>
      <c r="S249" s="1709"/>
    </row>
    <row r="250" spans="13:19" s="1704" customFormat="1">
      <c r="M250" s="1709"/>
      <c r="Q250" s="1709"/>
      <c r="R250" s="1709"/>
      <c r="S250" s="1709"/>
    </row>
    <row r="251" spans="13:19" s="1704" customFormat="1">
      <c r="M251" s="1709"/>
      <c r="Q251" s="1709"/>
      <c r="R251" s="1709"/>
      <c r="S251" s="1709"/>
    </row>
    <row r="252" spans="13:19" s="1704" customFormat="1">
      <c r="M252" s="1709"/>
      <c r="Q252" s="1709"/>
      <c r="R252" s="1709"/>
      <c r="S252" s="1709"/>
    </row>
    <row r="253" spans="13:19" s="1704" customFormat="1">
      <c r="M253" s="1709"/>
      <c r="Q253" s="1709"/>
      <c r="R253" s="1709"/>
      <c r="S253" s="1709"/>
    </row>
    <row r="254" spans="13:19" s="1704" customFormat="1">
      <c r="M254" s="1709"/>
      <c r="Q254" s="1709"/>
      <c r="R254" s="1709"/>
      <c r="S254" s="1709"/>
    </row>
    <row r="255" spans="13:19" s="1704" customFormat="1">
      <c r="M255" s="1709"/>
      <c r="Q255" s="1709"/>
      <c r="R255" s="1709"/>
      <c r="S255" s="1709"/>
    </row>
    <row r="256" spans="13:19" s="1704" customFormat="1">
      <c r="M256" s="1709"/>
      <c r="Q256" s="1709"/>
      <c r="R256" s="1709"/>
      <c r="S256" s="1709"/>
    </row>
    <row r="257" spans="13:19" s="1704" customFormat="1">
      <c r="M257" s="1709"/>
      <c r="Q257" s="1709"/>
      <c r="R257" s="1709"/>
      <c r="S257" s="1709"/>
    </row>
    <row r="258" spans="13:19" s="1704" customFormat="1">
      <c r="M258" s="1709"/>
      <c r="Q258" s="1709"/>
      <c r="R258" s="1709"/>
      <c r="S258" s="1709"/>
    </row>
    <row r="259" spans="13:19" s="1704" customFormat="1">
      <c r="M259" s="1709"/>
      <c r="Q259" s="1709"/>
      <c r="R259" s="1709"/>
      <c r="S259" s="1709"/>
    </row>
    <row r="260" spans="13:19" s="1704" customFormat="1">
      <c r="M260" s="1709"/>
      <c r="Q260" s="1709"/>
      <c r="R260" s="1709"/>
      <c r="S260" s="1709"/>
    </row>
    <row r="261" spans="13:19" s="1704" customFormat="1">
      <c r="M261" s="1709"/>
      <c r="Q261" s="1709"/>
      <c r="R261" s="1709"/>
      <c r="S261" s="1709"/>
    </row>
    <row r="262" spans="13:19" s="1704" customFormat="1">
      <c r="M262" s="1709"/>
      <c r="Q262" s="1709"/>
      <c r="R262" s="1709"/>
      <c r="S262" s="1709"/>
    </row>
    <row r="263" spans="13:19" s="1704" customFormat="1">
      <c r="M263" s="1709"/>
      <c r="Q263" s="1709"/>
      <c r="R263" s="1709"/>
      <c r="S263" s="1709"/>
    </row>
    <row r="264" spans="13:19" s="1704" customFormat="1">
      <c r="M264" s="1709"/>
      <c r="Q264" s="1709"/>
      <c r="R264" s="1709"/>
      <c r="S264" s="1709"/>
    </row>
    <row r="265" spans="13:19" s="1704" customFormat="1">
      <c r="M265" s="1709"/>
      <c r="Q265" s="1709"/>
      <c r="R265" s="1709"/>
      <c r="S265" s="1709"/>
    </row>
    <row r="266" spans="13:19" s="1704" customFormat="1">
      <c r="M266" s="1709"/>
      <c r="Q266" s="1709"/>
      <c r="R266" s="1709"/>
      <c r="S266" s="1709"/>
    </row>
    <row r="267" spans="13:19" s="1704" customFormat="1">
      <c r="M267" s="1709"/>
      <c r="Q267" s="1709"/>
      <c r="R267" s="1709"/>
      <c r="S267" s="1709"/>
    </row>
    <row r="268" spans="13:19" s="1704" customFormat="1">
      <c r="M268" s="1709"/>
      <c r="Q268" s="1709"/>
      <c r="R268" s="1709"/>
      <c r="S268" s="1709"/>
    </row>
    <row r="269" spans="13:19" s="1704" customFormat="1">
      <c r="M269" s="1709"/>
      <c r="Q269" s="1709"/>
      <c r="R269" s="1709"/>
      <c r="S269" s="1709"/>
    </row>
    <row r="270" spans="13:19" s="1704" customFormat="1">
      <c r="M270" s="1709"/>
      <c r="Q270" s="1709"/>
      <c r="R270" s="1709"/>
      <c r="S270" s="1709"/>
    </row>
    <row r="271" spans="13:19" s="1704" customFormat="1">
      <c r="M271" s="1709"/>
      <c r="Q271" s="1709"/>
      <c r="R271" s="1709"/>
      <c r="S271" s="1709"/>
    </row>
    <row r="272" spans="13:19" s="1704" customFormat="1">
      <c r="M272" s="1709"/>
      <c r="Q272" s="1709"/>
      <c r="R272" s="1709"/>
      <c r="S272" s="1709"/>
    </row>
    <row r="273" spans="13:19" s="1704" customFormat="1">
      <c r="M273" s="1709"/>
      <c r="Q273" s="1709"/>
      <c r="R273" s="1709"/>
      <c r="S273" s="1709"/>
    </row>
    <row r="274" spans="13:19" s="1704" customFormat="1">
      <c r="M274" s="1709"/>
      <c r="Q274" s="1709"/>
      <c r="R274" s="1709"/>
      <c r="S274" s="1709"/>
    </row>
    <row r="275" spans="13:19" s="1704" customFormat="1">
      <c r="M275" s="1709"/>
      <c r="Q275" s="1709"/>
      <c r="R275" s="1709"/>
      <c r="S275" s="1709"/>
    </row>
    <row r="276" spans="13:19" s="1704" customFormat="1">
      <c r="M276" s="1709"/>
      <c r="Q276" s="1709"/>
      <c r="R276" s="1709"/>
      <c r="S276" s="1709"/>
    </row>
    <row r="277" spans="13:19" s="1704" customFormat="1">
      <c r="M277" s="1709"/>
      <c r="Q277" s="1709"/>
      <c r="R277" s="1709"/>
      <c r="S277" s="1709"/>
    </row>
    <row r="278" spans="13:19" s="1704" customFormat="1">
      <c r="M278" s="1709"/>
      <c r="Q278" s="1709"/>
      <c r="R278" s="1709"/>
      <c r="S278" s="1709"/>
    </row>
    <row r="279" spans="13:19" s="1704" customFormat="1">
      <c r="M279" s="1709"/>
      <c r="Q279" s="1709"/>
      <c r="R279" s="1709"/>
      <c r="S279" s="1709"/>
    </row>
    <row r="280" spans="13:19" s="1704" customFormat="1">
      <c r="M280" s="1709"/>
      <c r="Q280" s="1709"/>
      <c r="R280" s="1709"/>
      <c r="S280" s="1709"/>
    </row>
    <row r="281" spans="13:19" s="1704" customFormat="1">
      <c r="M281" s="1709"/>
      <c r="Q281" s="1709"/>
      <c r="R281" s="1709"/>
      <c r="S281" s="1709"/>
    </row>
    <row r="282" spans="13:19" s="1704" customFormat="1">
      <c r="M282" s="1709"/>
      <c r="Q282" s="1709"/>
      <c r="R282" s="1709"/>
      <c r="S282" s="1709"/>
    </row>
    <row r="283" spans="13:19" s="1704" customFormat="1">
      <c r="M283" s="1709"/>
      <c r="Q283" s="1709"/>
      <c r="R283" s="1709"/>
      <c r="S283" s="1709"/>
    </row>
    <row r="284" spans="13:19" s="1704" customFormat="1">
      <c r="M284" s="1709"/>
      <c r="Q284" s="1709"/>
      <c r="R284" s="1709"/>
      <c r="S284" s="1709"/>
    </row>
    <row r="285" spans="13:19" s="1704" customFormat="1">
      <c r="M285" s="1709"/>
      <c r="Q285" s="1709"/>
      <c r="R285" s="1709"/>
      <c r="S285" s="1709"/>
    </row>
    <row r="286" spans="13:19" s="1704" customFormat="1">
      <c r="M286" s="1709"/>
      <c r="Q286" s="1709"/>
      <c r="R286" s="1709"/>
      <c r="S286" s="1709"/>
    </row>
    <row r="287" spans="13:19" s="1704" customFormat="1">
      <c r="M287" s="1709"/>
      <c r="Q287" s="1709"/>
      <c r="R287" s="1709"/>
      <c r="S287" s="1709"/>
    </row>
    <row r="288" spans="13:19" s="1704" customFormat="1">
      <c r="M288" s="1709"/>
      <c r="Q288" s="1709"/>
      <c r="R288" s="1709"/>
      <c r="S288" s="1709"/>
    </row>
    <row r="289" spans="13:19" s="1704" customFormat="1">
      <c r="M289" s="1709"/>
      <c r="Q289" s="1709"/>
      <c r="R289" s="1709"/>
      <c r="S289" s="1709"/>
    </row>
    <row r="290" spans="13:19" s="1704" customFormat="1">
      <c r="M290" s="1709"/>
      <c r="Q290" s="1709"/>
      <c r="R290" s="1709"/>
      <c r="S290" s="1709"/>
    </row>
    <row r="291" spans="13:19" s="1704" customFormat="1">
      <c r="M291" s="1709"/>
      <c r="Q291" s="1709"/>
      <c r="R291" s="1709"/>
      <c r="S291" s="1709"/>
    </row>
    <row r="292" spans="13:19" s="1704" customFormat="1">
      <c r="M292" s="1709"/>
      <c r="Q292" s="1709"/>
      <c r="R292" s="1709"/>
      <c r="S292" s="1709"/>
    </row>
    <row r="293" spans="13:19" s="1704" customFormat="1">
      <c r="M293" s="1709"/>
      <c r="Q293" s="1709"/>
      <c r="R293" s="1709"/>
      <c r="S293" s="1709"/>
    </row>
    <row r="294" spans="13:19" s="1704" customFormat="1">
      <c r="M294" s="1709"/>
      <c r="Q294" s="1709"/>
      <c r="R294" s="1709"/>
      <c r="S294" s="1709"/>
    </row>
    <row r="295" spans="13:19" s="1704" customFormat="1">
      <c r="M295" s="1709"/>
      <c r="Q295" s="1709"/>
      <c r="R295" s="1709"/>
      <c r="S295" s="1709"/>
    </row>
    <row r="296" spans="13:19" s="1704" customFormat="1">
      <c r="M296" s="1709"/>
      <c r="Q296" s="1709"/>
      <c r="R296" s="1709"/>
      <c r="S296" s="1709"/>
    </row>
    <row r="297" spans="13:19" s="1704" customFormat="1">
      <c r="M297" s="1709"/>
      <c r="Q297" s="1709"/>
      <c r="R297" s="1709"/>
      <c r="S297" s="1709"/>
    </row>
    <row r="298" spans="13:19" s="1704" customFormat="1">
      <c r="M298" s="1709"/>
      <c r="Q298" s="1709"/>
      <c r="R298" s="1709"/>
      <c r="S298" s="1709"/>
    </row>
    <row r="299" spans="13:19" s="1704" customFormat="1">
      <c r="M299" s="1709"/>
      <c r="Q299" s="1709"/>
      <c r="R299" s="1709"/>
      <c r="S299" s="1709"/>
    </row>
    <row r="300" spans="13:19" s="1704" customFormat="1">
      <c r="M300" s="1709"/>
      <c r="Q300" s="1709"/>
      <c r="R300" s="1709"/>
      <c r="S300" s="1709"/>
    </row>
    <row r="301" spans="13:19" s="1704" customFormat="1">
      <c r="M301" s="1709"/>
      <c r="Q301" s="1709"/>
      <c r="R301" s="1709"/>
      <c r="S301" s="1709"/>
    </row>
    <row r="302" spans="13:19" s="1704" customFormat="1">
      <c r="M302" s="1709"/>
      <c r="Q302" s="1709"/>
      <c r="R302" s="1709"/>
      <c r="S302" s="1709"/>
    </row>
    <row r="303" spans="13:19" s="1704" customFormat="1">
      <c r="M303" s="1709"/>
      <c r="Q303" s="1709"/>
      <c r="R303" s="1709"/>
      <c r="S303" s="1709"/>
    </row>
    <row r="304" spans="13:19" s="1704" customFormat="1">
      <c r="M304" s="1709"/>
      <c r="Q304" s="1709"/>
      <c r="R304" s="1709"/>
      <c r="S304" s="1709"/>
    </row>
    <row r="305" spans="13:19" s="1704" customFormat="1">
      <c r="M305" s="1709"/>
      <c r="Q305" s="1709"/>
      <c r="R305" s="1709"/>
      <c r="S305" s="1709"/>
    </row>
    <row r="306" spans="13:19" s="1704" customFormat="1">
      <c r="M306" s="1709"/>
      <c r="Q306" s="1709"/>
      <c r="R306" s="1709"/>
      <c r="S306" s="1709"/>
    </row>
    <row r="307" spans="13:19" s="1704" customFormat="1">
      <c r="M307" s="1709"/>
      <c r="Q307" s="1709"/>
      <c r="R307" s="1709"/>
      <c r="S307" s="1709"/>
    </row>
    <row r="308" spans="13:19" s="1704" customFormat="1">
      <c r="M308" s="1709"/>
      <c r="Q308" s="1709"/>
      <c r="R308" s="1709"/>
      <c r="S308" s="1709"/>
    </row>
    <row r="309" spans="13:19" s="1704" customFormat="1">
      <c r="M309" s="1709"/>
      <c r="Q309" s="1709"/>
      <c r="R309" s="1709"/>
      <c r="S309" s="1709"/>
    </row>
    <row r="310" spans="13:19" s="1704" customFormat="1">
      <c r="M310" s="1709"/>
      <c r="Q310" s="1709"/>
      <c r="R310" s="1709"/>
      <c r="S310" s="1709"/>
    </row>
    <row r="311" spans="13:19" s="1704" customFormat="1">
      <c r="M311" s="1709"/>
      <c r="Q311" s="1709"/>
      <c r="R311" s="1709"/>
      <c r="S311" s="1709"/>
    </row>
    <row r="312" spans="13:19" s="1704" customFormat="1">
      <c r="M312" s="1709"/>
      <c r="Q312" s="1709"/>
      <c r="R312" s="1709"/>
      <c r="S312" s="1709"/>
    </row>
    <row r="313" spans="13:19" s="1704" customFormat="1">
      <c r="M313" s="1709"/>
      <c r="Q313" s="1709"/>
      <c r="R313" s="1709"/>
      <c r="S313" s="1709"/>
    </row>
    <row r="314" spans="13:19" s="1704" customFormat="1">
      <c r="M314" s="1709"/>
      <c r="Q314" s="1709"/>
      <c r="R314" s="1709"/>
      <c r="S314" s="1709"/>
    </row>
    <row r="315" spans="13:19" s="1704" customFormat="1">
      <c r="M315" s="1709"/>
      <c r="Q315" s="1709"/>
      <c r="R315" s="1709"/>
      <c r="S315" s="1709"/>
    </row>
    <row r="316" spans="13:19" s="1704" customFormat="1">
      <c r="M316" s="1709"/>
      <c r="Q316" s="1709"/>
      <c r="R316" s="1709"/>
      <c r="S316" s="1709"/>
    </row>
    <row r="317" spans="13:19" s="1704" customFormat="1">
      <c r="M317" s="1709"/>
      <c r="Q317" s="1709"/>
      <c r="R317" s="1709"/>
      <c r="S317" s="1709"/>
    </row>
    <row r="318" spans="13:19" s="1704" customFormat="1">
      <c r="M318" s="1709"/>
      <c r="Q318" s="1709"/>
      <c r="R318" s="1709"/>
      <c r="S318" s="1709"/>
    </row>
    <row r="319" spans="13:19" s="1704" customFormat="1">
      <c r="M319" s="1709"/>
      <c r="Q319" s="1709"/>
      <c r="R319" s="1709"/>
      <c r="S319" s="1709"/>
    </row>
    <row r="320" spans="13:19" s="1704" customFormat="1">
      <c r="M320" s="1709"/>
      <c r="Q320" s="1709"/>
      <c r="R320" s="1709"/>
      <c r="S320" s="1709"/>
    </row>
    <row r="321" spans="13:19" s="1704" customFormat="1">
      <c r="M321" s="1709"/>
      <c r="Q321" s="1709"/>
      <c r="R321" s="1709"/>
      <c r="S321" s="1709"/>
    </row>
    <row r="322" spans="13:19" s="1704" customFormat="1">
      <c r="M322" s="1709"/>
      <c r="Q322" s="1709"/>
      <c r="R322" s="1709"/>
      <c r="S322" s="1709"/>
    </row>
    <row r="323" spans="13:19" s="1704" customFormat="1">
      <c r="M323" s="1709"/>
      <c r="Q323" s="1709"/>
      <c r="R323" s="1709"/>
      <c r="S323" s="1709"/>
    </row>
    <row r="324" spans="13:19" s="1704" customFormat="1">
      <c r="M324" s="1709"/>
      <c r="Q324" s="1709"/>
      <c r="R324" s="1709"/>
      <c r="S324" s="1709"/>
    </row>
    <row r="325" spans="13:19" s="1704" customFormat="1">
      <c r="M325" s="1709"/>
      <c r="Q325" s="1709"/>
      <c r="R325" s="1709"/>
      <c r="S325" s="1709"/>
    </row>
    <row r="326" spans="13:19" s="1704" customFormat="1">
      <c r="M326" s="1709"/>
      <c r="Q326" s="1709"/>
      <c r="R326" s="1709"/>
      <c r="S326" s="1709"/>
    </row>
    <row r="327" spans="13:19" s="1704" customFormat="1">
      <c r="M327" s="1709"/>
      <c r="Q327" s="1709"/>
      <c r="R327" s="1709"/>
      <c r="S327" s="1709"/>
    </row>
    <row r="328" spans="13:19" s="1704" customFormat="1">
      <c r="M328" s="1709"/>
      <c r="Q328" s="1709"/>
      <c r="R328" s="1709"/>
      <c r="S328" s="1709"/>
    </row>
    <row r="329" spans="13:19" s="1704" customFormat="1">
      <c r="M329" s="1709"/>
      <c r="Q329" s="1709"/>
      <c r="R329" s="1709"/>
      <c r="S329" s="1709"/>
    </row>
    <row r="330" spans="13:19" s="1704" customFormat="1">
      <c r="M330" s="1709"/>
      <c r="Q330" s="1709"/>
      <c r="R330" s="1709"/>
      <c r="S330" s="1709"/>
    </row>
    <row r="331" spans="13:19" s="1704" customFormat="1">
      <c r="M331" s="1709"/>
      <c r="Q331" s="1709"/>
      <c r="R331" s="1709"/>
      <c r="S331" s="1709"/>
    </row>
    <row r="332" spans="13:19" s="1704" customFormat="1">
      <c r="M332" s="1709"/>
      <c r="Q332" s="1709"/>
      <c r="R332" s="1709"/>
      <c r="S332" s="1709"/>
    </row>
    <row r="333" spans="13:19" s="1704" customFormat="1">
      <c r="M333" s="1709"/>
      <c r="Q333" s="1709"/>
      <c r="R333" s="1709"/>
      <c r="S333" s="1709"/>
    </row>
    <row r="334" spans="13:19" s="1704" customFormat="1">
      <c r="M334" s="1709"/>
      <c r="Q334" s="1709"/>
      <c r="R334" s="1709"/>
      <c r="S334" s="1709"/>
    </row>
    <row r="335" spans="13:19" s="1704" customFormat="1">
      <c r="M335" s="1709"/>
      <c r="Q335" s="1709"/>
      <c r="R335" s="1709"/>
      <c r="S335" s="1709"/>
    </row>
    <row r="336" spans="13:19" s="1704" customFormat="1">
      <c r="M336" s="1709"/>
      <c r="Q336" s="1709"/>
      <c r="R336" s="1709"/>
      <c r="S336" s="1709"/>
    </row>
    <row r="337" spans="13:19" s="1704" customFormat="1">
      <c r="M337" s="1709"/>
      <c r="Q337" s="1709"/>
      <c r="R337" s="1709"/>
      <c r="S337" s="1709"/>
    </row>
    <row r="338" spans="13:19" s="1704" customFormat="1">
      <c r="M338" s="1709"/>
      <c r="Q338" s="1709"/>
      <c r="R338" s="1709"/>
      <c r="S338" s="1709"/>
    </row>
    <row r="339" spans="13:19" s="1704" customFormat="1">
      <c r="M339" s="1709"/>
      <c r="Q339" s="1709"/>
      <c r="R339" s="1709"/>
      <c r="S339" s="1709"/>
    </row>
    <row r="340" spans="13:19" s="1704" customFormat="1">
      <c r="M340" s="1709"/>
      <c r="Q340" s="1709"/>
      <c r="R340" s="1709"/>
      <c r="S340" s="1709"/>
    </row>
    <row r="341" spans="13:19" s="1704" customFormat="1">
      <c r="M341" s="1709"/>
      <c r="Q341" s="1709"/>
      <c r="R341" s="1709"/>
      <c r="S341" s="1709"/>
    </row>
    <row r="342" spans="13:19" s="1704" customFormat="1">
      <c r="M342" s="1709"/>
      <c r="Q342" s="1709"/>
      <c r="R342" s="1709"/>
      <c r="S342" s="1709"/>
    </row>
    <row r="343" spans="13:19" s="1704" customFormat="1">
      <c r="M343" s="1709"/>
      <c r="Q343" s="1709"/>
      <c r="R343" s="1709"/>
      <c r="S343" s="1709"/>
    </row>
    <row r="344" spans="13:19" s="1704" customFormat="1">
      <c r="M344" s="1709"/>
      <c r="Q344" s="1709"/>
      <c r="R344" s="1709"/>
      <c r="S344" s="1709"/>
    </row>
    <row r="345" spans="13:19" s="1704" customFormat="1">
      <c r="M345" s="1709"/>
      <c r="Q345" s="1709"/>
      <c r="R345" s="1709"/>
      <c r="S345" s="1709"/>
    </row>
    <row r="346" spans="13:19" s="1704" customFormat="1">
      <c r="M346" s="1709"/>
      <c r="Q346" s="1709"/>
      <c r="R346" s="1709"/>
      <c r="S346" s="1709"/>
    </row>
    <row r="347" spans="13:19" s="1704" customFormat="1">
      <c r="M347" s="1709"/>
      <c r="Q347" s="1709"/>
      <c r="R347" s="1709"/>
      <c r="S347" s="1709"/>
    </row>
    <row r="348" spans="13:19" s="1704" customFormat="1">
      <c r="M348" s="1709"/>
      <c r="Q348" s="1709"/>
      <c r="R348" s="1709"/>
      <c r="S348" s="1709"/>
    </row>
    <row r="349" spans="13:19" s="1704" customFormat="1">
      <c r="M349" s="1709"/>
      <c r="Q349" s="1709"/>
      <c r="R349" s="1709"/>
      <c r="S349" s="1709"/>
    </row>
    <row r="350" spans="13:19" s="1704" customFormat="1">
      <c r="M350" s="1709"/>
      <c r="Q350" s="1709"/>
      <c r="R350" s="1709"/>
      <c r="S350" s="1709"/>
    </row>
    <row r="351" spans="13:19" s="1704" customFormat="1">
      <c r="M351" s="1709"/>
      <c r="Q351" s="1709"/>
      <c r="R351" s="1709"/>
      <c r="S351" s="1709"/>
    </row>
    <row r="352" spans="13:19" s="1704" customFormat="1">
      <c r="M352" s="1709"/>
      <c r="Q352" s="1709"/>
      <c r="R352" s="1709"/>
      <c r="S352" s="1709"/>
    </row>
    <row r="353" spans="13:19" s="1704" customFormat="1">
      <c r="M353" s="1709"/>
      <c r="Q353" s="1709"/>
      <c r="R353" s="1709"/>
      <c r="S353" s="1709"/>
    </row>
    <row r="354" spans="13:19" s="1704" customFormat="1">
      <c r="M354" s="1709"/>
      <c r="Q354" s="1709"/>
      <c r="R354" s="1709"/>
      <c r="S354" s="1709"/>
    </row>
    <row r="355" spans="13:19" s="1704" customFormat="1">
      <c r="M355" s="1709"/>
      <c r="Q355" s="1709"/>
      <c r="R355" s="1709"/>
      <c r="S355" s="1709"/>
    </row>
    <row r="356" spans="13:19" s="1704" customFormat="1">
      <c r="M356" s="1709"/>
      <c r="Q356" s="1709"/>
      <c r="R356" s="1709"/>
      <c r="S356" s="1709"/>
    </row>
    <row r="357" spans="13:19" s="1704" customFormat="1">
      <c r="M357" s="1709"/>
      <c r="Q357" s="1709"/>
      <c r="R357" s="1709"/>
      <c r="S357" s="1709"/>
    </row>
    <row r="358" spans="13:19" s="1704" customFormat="1">
      <c r="M358" s="1709"/>
      <c r="Q358" s="1709"/>
      <c r="R358" s="1709"/>
      <c r="S358" s="1709"/>
    </row>
    <row r="359" spans="13:19" s="1704" customFormat="1">
      <c r="M359" s="1709"/>
      <c r="Q359" s="1709"/>
      <c r="R359" s="1709"/>
      <c r="S359" s="1709"/>
    </row>
    <row r="360" spans="13:19" s="1704" customFormat="1">
      <c r="M360" s="1709"/>
      <c r="Q360" s="1709"/>
      <c r="R360" s="1709"/>
      <c r="S360" s="1709"/>
    </row>
    <row r="361" spans="13:19" s="1704" customFormat="1">
      <c r="M361" s="1709"/>
      <c r="Q361" s="1709"/>
      <c r="R361" s="1709"/>
      <c r="S361" s="1709"/>
    </row>
    <row r="362" spans="13:19" s="1704" customFormat="1">
      <c r="M362" s="1709"/>
      <c r="Q362" s="1709"/>
      <c r="R362" s="1709"/>
      <c r="S362" s="1709"/>
    </row>
    <row r="363" spans="13:19" s="1704" customFormat="1">
      <c r="M363" s="1709"/>
      <c r="Q363" s="1709"/>
      <c r="R363" s="1709"/>
      <c r="S363" s="1709"/>
    </row>
    <row r="364" spans="13:19" s="1704" customFormat="1">
      <c r="M364" s="1709"/>
      <c r="Q364" s="1709"/>
      <c r="R364" s="1709"/>
      <c r="S364" s="1709"/>
    </row>
    <row r="365" spans="13:19" s="1704" customFormat="1">
      <c r="M365" s="1709"/>
      <c r="Q365" s="1709"/>
      <c r="R365" s="1709"/>
      <c r="S365" s="1709"/>
    </row>
    <row r="366" spans="13:19" s="1704" customFormat="1">
      <c r="M366" s="1709"/>
      <c r="Q366" s="1709"/>
      <c r="R366" s="1709"/>
      <c r="S366" s="1709"/>
    </row>
    <row r="367" spans="13:19" s="1704" customFormat="1">
      <c r="M367" s="1709"/>
      <c r="Q367" s="1709"/>
      <c r="R367" s="1709"/>
      <c r="S367" s="1709"/>
    </row>
    <row r="368" spans="13:19" s="1704" customFormat="1">
      <c r="M368" s="1709"/>
      <c r="Q368" s="1709"/>
      <c r="R368" s="1709"/>
      <c r="S368" s="1709"/>
    </row>
    <row r="369" spans="13:19" s="1704" customFormat="1">
      <c r="M369" s="1709"/>
      <c r="Q369" s="1709"/>
      <c r="R369" s="1709"/>
      <c r="S369" s="1709"/>
    </row>
    <row r="370" spans="13:19" s="1704" customFormat="1">
      <c r="M370" s="1709"/>
      <c r="Q370" s="1709"/>
      <c r="R370" s="1709"/>
      <c r="S370" s="1709"/>
    </row>
    <row r="371" spans="13:19" s="1704" customFormat="1">
      <c r="M371" s="1709"/>
      <c r="Q371" s="1709"/>
      <c r="R371" s="1709"/>
      <c r="S371" s="1709"/>
    </row>
    <row r="372" spans="13:19" s="1704" customFormat="1">
      <c r="M372" s="1709"/>
      <c r="Q372" s="1709"/>
      <c r="R372" s="1709"/>
      <c r="S372" s="1709"/>
    </row>
    <row r="373" spans="13:19" s="1704" customFormat="1">
      <c r="M373" s="1709"/>
      <c r="Q373" s="1709"/>
      <c r="R373" s="1709"/>
      <c r="S373" s="1709"/>
    </row>
    <row r="374" spans="13:19" s="1704" customFormat="1">
      <c r="M374" s="1709"/>
      <c r="Q374" s="1709"/>
      <c r="R374" s="1709"/>
      <c r="S374" s="1709"/>
    </row>
    <row r="375" spans="13:19" s="1704" customFormat="1">
      <c r="M375" s="1709"/>
      <c r="Q375" s="1709"/>
      <c r="R375" s="1709"/>
      <c r="S375" s="1709"/>
    </row>
    <row r="376" spans="13:19" s="1704" customFormat="1">
      <c r="M376" s="1709"/>
      <c r="Q376" s="1709"/>
      <c r="R376" s="1709"/>
      <c r="S376" s="1709"/>
    </row>
    <row r="377" spans="13:19" s="1704" customFormat="1">
      <c r="M377" s="1709"/>
      <c r="Q377" s="1709"/>
      <c r="R377" s="1709"/>
      <c r="S377" s="1709"/>
    </row>
    <row r="378" spans="13:19" s="1704" customFormat="1">
      <c r="M378" s="1709"/>
      <c r="Q378" s="1709"/>
      <c r="R378" s="1709"/>
      <c r="S378" s="1709"/>
    </row>
    <row r="379" spans="13:19" s="1704" customFormat="1">
      <c r="M379" s="1709"/>
      <c r="Q379" s="1709"/>
      <c r="R379" s="1709"/>
      <c r="S379" s="1709"/>
    </row>
    <row r="380" spans="13:19" s="1704" customFormat="1">
      <c r="M380" s="1709"/>
      <c r="Q380" s="1709"/>
      <c r="R380" s="1709"/>
      <c r="S380" s="1709"/>
    </row>
    <row r="381" spans="13:19" s="1704" customFormat="1">
      <c r="M381" s="1709"/>
      <c r="Q381" s="1709"/>
      <c r="R381" s="1709"/>
      <c r="S381" s="1709"/>
    </row>
    <row r="382" spans="13:19" s="1704" customFormat="1">
      <c r="M382" s="1709"/>
      <c r="Q382" s="1709"/>
      <c r="R382" s="1709"/>
      <c r="S382" s="1709"/>
    </row>
    <row r="383" spans="13:19" s="1704" customFormat="1">
      <c r="M383" s="1709"/>
      <c r="Q383" s="1709"/>
      <c r="R383" s="1709"/>
      <c r="S383" s="1709"/>
    </row>
    <row r="384" spans="13:19" s="1704" customFormat="1">
      <c r="M384" s="1709"/>
      <c r="Q384" s="1709"/>
      <c r="R384" s="1709"/>
      <c r="S384" s="1709"/>
    </row>
    <row r="385" spans="13:19" s="1704" customFormat="1">
      <c r="M385" s="1709"/>
      <c r="Q385" s="1709"/>
      <c r="R385" s="1709"/>
      <c r="S385" s="1709"/>
    </row>
    <row r="386" spans="13:19" s="1704" customFormat="1">
      <c r="M386" s="1709"/>
      <c r="Q386" s="1709"/>
      <c r="R386" s="1709"/>
      <c r="S386" s="1709"/>
    </row>
    <row r="387" spans="13:19" s="1704" customFormat="1">
      <c r="M387" s="1709"/>
      <c r="Q387" s="1709"/>
      <c r="R387" s="1709"/>
      <c r="S387" s="1709"/>
    </row>
    <row r="388" spans="13:19" s="1704" customFormat="1">
      <c r="M388" s="1709"/>
      <c r="Q388" s="1709"/>
      <c r="R388" s="1709"/>
      <c r="S388" s="1709"/>
    </row>
    <row r="389" spans="13:19" s="1704" customFormat="1">
      <c r="M389" s="1709"/>
      <c r="Q389" s="1709"/>
      <c r="R389" s="1709"/>
      <c r="S389" s="1709"/>
    </row>
    <row r="390" spans="13:19" s="1704" customFormat="1">
      <c r="M390" s="1709"/>
      <c r="Q390" s="1709"/>
      <c r="R390" s="1709"/>
      <c r="S390" s="1709"/>
    </row>
    <row r="391" spans="13:19" s="1704" customFormat="1">
      <c r="M391" s="1709"/>
      <c r="Q391" s="1709"/>
      <c r="R391" s="1709"/>
      <c r="S391" s="1709"/>
    </row>
    <row r="392" spans="13:19" s="1704" customFormat="1">
      <c r="M392" s="1709"/>
      <c r="Q392" s="1709"/>
      <c r="R392" s="1709"/>
      <c r="S392" s="1709"/>
    </row>
    <row r="393" spans="13:19" s="1704" customFormat="1">
      <c r="M393" s="1709"/>
      <c r="Q393" s="1709"/>
      <c r="R393" s="1709"/>
      <c r="S393" s="1709"/>
    </row>
    <row r="394" spans="13:19" s="1704" customFormat="1">
      <c r="M394" s="1709"/>
      <c r="Q394" s="1709"/>
      <c r="R394" s="1709"/>
      <c r="S394" s="1709"/>
    </row>
    <row r="395" spans="13:19" s="1704" customFormat="1">
      <c r="M395" s="1709"/>
      <c r="Q395" s="1709"/>
      <c r="R395" s="1709"/>
      <c r="S395" s="1709"/>
    </row>
    <row r="396" spans="13:19" s="1704" customFormat="1">
      <c r="M396" s="1709"/>
      <c r="Q396" s="1709"/>
      <c r="R396" s="1709"/>
      <c r="S396" s="1709"/>
    </row>
    <row r="397" spans="13:19" s="1704" customFormat="1">
      <c r="M397" s="1709"/>
      <c r="Q397" s="1709"/>
      <c r="R397" s="1709"/>
      <c r="S397" s="1709"/>
    </row>
    <row r="398" spans="13:19" s="1704" customFormat="1">
      <c r="M398" s="1709"/>
      <c r="Q398" s="1709"/>
      <c r="R398" s="1709"/>
      <c r="S398" s="1709"/>
    </row>
    <row r="399" spans="13:19" s="1704" customFormat="1">
      <c r="M399" s="1709"/>
      <c r="Q399" s="1709"/>
      <c r="R399" s="1709"/>
      <c r="S399" s="1709"/>
    </row>
    <row r="400" spans="13:19" s="1704" customFormat="1">
      <c r="M400" s="1709"/>
      <c r="Q400" s="1709"/>
      <c r="R400" s="1709"/>
      <c r="S400" s="1709"/>
    </row>
    <row r="401" spans="13:19" s="1704" customFormat="1">
      <c r="M401" s="1709"/>
      <c r="Q401" s="1709"/>
      <c r="R401" s="1709"/>
      <c r="S401" s="1709"/>
    </row>
    <row r="402" spans="13:19" s="1704" customFormat="1">
      <c r="M402" s="1709"/>
      <c r="Q402" s="1709"/>
      <c r="R402" s="1709"/>
      <c r="S402" s="1709"/>
    </row>
    <row r="403" spans="13:19" s="1704" customFormat="1">
      <c r="M403" s="1709"/>
      <c r="Q403" s="1709"/>
      <c r="R403" s="1709"/>
      <c r="S403" s="1709"/>
    </row>
    <row r="404" spans="13:19" s="1704" customFormat="1">
      <c r="M404" s="1709"/>
      <c r="Q404" s="1709"/>
      <c r="R404" s="1709"/>
      <c r="S404" s="1709"/>
    </row>
    <row r="405" spans="13:19" s="1704" customFormat="1">
      <c r="M405" s="1709"/>
      <c r="Q405" s="1709"/>
      <c r="R405" s="1709"/>
      <c r="S405" s="1709"/>
    </row>
    <row r="406" spans="13:19" s="1704" customFormat="1">
      <c r="M406" s="1709"/>
      <c r="Q406" s="1709"/>
      <c r="R406" s="1709"/>
      <c r="S406" s="1709"/>
    </row>
    <row r="407" spans="13:19" s="1704" customFormat="1">
      <c r="M407" s="1709"/>
      <c r="Q407" s="1709"/>
      <c r="R407" s="1709"/>
      <c r="S407" s="1709"/>
    </row>
    <row r="408" spans="13:19" s="1704" customFormat="1">
      <c r="M408" s="1709"/>
      <c r="Q408" s="1709"/>
      <c r="R408" s="1709"/>
      <c r="S408" s="1709"/>
    </row>
    <row r="409" spans="13:19" s="1704" customFormat="1">
      <c r="M409" s="1709"/>
      <c r="Q409" s="1709"/>
      <c r="R409" s="1709"/>
      <c r="S409" s="1709"/>
    </row>
    <row r="410" spans="13:19" s="1704" customFormat="1">
      <c r="M410" s="1709"/>
      <c r="Q410" s="1709"/>
      <c r="R410" s="1709"/>
      <c r="S410" s="1709"/>
    </row>
    <row r="411" spans="13:19" s="1704" customFormat="1">
      <c r="M411" s="1709"/>
      <c r="Q411" s="1709"/>
      <c r="R411" s="1709"/>
      <c r="S411" s="1709"/>
    </row>
    <row r="412" spans="13:19" s="1704" customFormat="1">
      <c r="M412" s="1709"/>
      <c r="Q412" s="1709"/>
      <c r="R412" s="1709"/>
      <c r="S412" s="1709"/>
    </row>
    <row r="413" spans="13:19" s="1704" customFormat="1">
      <c r="M413" s="1709"/>
      <c r="Q413" s="1709"/>
      <c r="R413" s="1709"/>
      <c r="S413" s="1709"/>
    </row>
    <row r="414" spans="13:19" s="1704" customFormat="1">
      <c r="M414" s="1709"/>
      <c r="Q414" s="1709"/>
      <c r="R414" s="1709"/>
      <c r="S414" s="1709"/>
    </row>
    <row r="415" spans="13:19" s="1704" customFormat="1">
      <c r="M415" s="1709"/>
      <c r="Q415" s="1709"/>
      <c r="R415" s="1709"/>
      <c r="S415" s="1709"/>
    </row>
    <row r="416" spans="13:19" s="1704" customFormat="1">
      <c r="M416" s="1709"/>
      <c r="Q416" s="1709"/>
      <c r="R416" s="1709"/>
      <c r="S416" s="1709"/>
    </row>
    <row r="417" spans="13:19" s="1704" customFormat="1">
      <c r="M417" s="1709"/>
      <c r="Q417" s="1709"/>
      <c r="R417" s="1709"/>
      <c r="S417" s="1709"/>
    </row>
    <row r="418" spans="13:19" s="1704" customFormat="1">
      <c r="M418" s="1709"/>
      <c r="Q418" s="1709"/>
      <c r="R418" s="1709"/>
      <c r="S418" s="1709"/>
    </row>
    <row r="419" spans="13:19" s="1704" customFormat="1">
      <c r="M419" s="1709"/>
      <c r="Q419" s="1709"/>
      <c r="R419" s="1709"/>
      <c r="S419" s="1709"/>
    </row>
    <row r="420" spans="13:19" s="1704" customFormat="1">
      <c r="M420" s="1709"/>
      <c r="Q420" s="1709"/>
      <c r="R420" s="1709"/>
      <c r="S420" s="1709"/>
    </row>
    <row r="421" spans="13:19" s="1704" customFormat="1">
      <c r="M421" s="1709"/>
      <c r="Q421" s="1709"/>
      <c r="R421" s="1709"/>
      <c r="S421" s="1709"/>
    </row>
    <row r="422" spans="13:19" s="1704" customFormat="1">
      <c r="M422" s="1709"/>
      <c r="Q422" s="1709"/>
      <c r="R422" s="1709"/>
      <c r="S422" s="1709"/>
    </row>
    <row r="423" spans="13:19" s="1704" customFormat="1">
      <c r="M423" s="1709"/>
      <c r="Q423" s="1709"/>
      <c r="R423" s="1709"/>
      <c r="S423" s="1709"/>
    </row>
    <row r="424" spans="13:19" s="1704" customFormat="1">
      <c r="M424" s="1709"/>
      <c r="Q424" s="1709"/>
      <c r="R424" s="1709"/>
      <c r="S424" s="1709"/>
    </row>
    <row r="425" spans="13:19" s="1704" customFormat="1">
      <c r="M425" s="1709"/>
      <c r="Q425" s="1709"/>
      <c r="R425" s="1709"/>
      <c r="S425" s="1709"/>
    </row>
    <row r="426" spans="13:19" s="1704" customFormat="1">
      <c r="M426" s="1709"/>
      <c r="Q426" s="1709"/>
      <c r="R426" s="1709"/>
      <c r="S426" s="1709"/>
    </row>
    <row r="427" spans="13:19" s="1704" customFormat="1">
      <c r="M427" s="1709"/>
      <c r="Q427" s="1709"/>
      <c r="R427" s="1709"/>
      <c r="S427" s="1709"/>
    </row>
    <row r="428" spans="13:19" s="1704" customFormat="1">
      <c r="M428" s="1709"/>
      <c r="Q428" s="1709"/>
      <c r="R428" s="1709"/>
      <c r="S428" s="1709"/>
    </row>
    <row r="429" spans="13:19" s="1704" customFormat="1">
      <c r="M429" s="1709"/>
      <c r="Q429" s="1709"/>
      <c r="R429" s="1709"/>
      <c r="S429" s="1709"/>
    </row>
    <row r="430" spans="13:19" s="1704" customFormat="1">
      <c r="M430" s="1709"/>
      <c r="Q430" s="1709"/>
      <c r="R430" s="1709"/>
      <c r="S430" s="1709"/>
    </row>
    <row r="431" spans="13:19" s="1704" customFormat="1">
      <c r="M431" s="1709"/>
      <c r="Q431" s="1709"/>
      <c r="R431" s="1709"/>
      <c r="S431" s="1709"/>
    </row>
    <row r="432" spans="13:19" s="1704" customFormat="1">
      <c r="M432" s="1709"/>
      <c r="Q432" s="1709"/>
      <c r="R432" s="1709"/>
      <c r="S432" s="1709"/>
    </row>
    <row r="433" spans="13:19" s="1704" customFormat="1">
      <c r="M433" s="1709"/>
      <c r="Q433" s="1709"/>
      <c r="R433" s="1709"/>
      <c r="S433" s="1709"/>
    </row>
    <row r="434" spans="13:19" s="1704" customFormat="1">
      <c r="M434" s="1709"/>
      <c r="Q434" s="1709"/>
      <c r="R434" s="1709"/>
      <c r="S434" s="1709"/>
    </row>
    <row r="435" spans="13:19" s="1704" customFormat="1">
      <c r="M435" s="1709"/>
      <c r="Q435" s="1709"/>
      <c r="R435" s="1709"/>
      <c r="S435" s="1709"/>
    </row>
    <row r="436" spans="13:19" s="1704" customFormat="1">
      <c r="M436" s="1709"/>
      <c r="Q436" s="1709"/>
      <c r="R436" s="1709"/>
      <c r="S436" s="1709"/>
    </row>
    <row r="437" spans="13:19" s="1704" customFormat="1">
      <c r="M437" s="1709"/>
      <c r="Q437" s="1709"/>
      <c r="R437" s="1709"/>
      <c r="S437" s="1709"/>
    </row>
    <row r="438" spans="13:19" s="1704" customFormat="1">
      <c r="M438" s="1709"/>
      <c r="Q438" s="1709"/>
      <c r="R438" s="1709"/>
      <c r="S438" s="1709"/>
    </row>
    <row r="439" spans="13:19" s="1704" customFormat="1">
      <c r="M439" s="1709"/>
      <c r="Q439" s="1709"/>
      <c r="R439" s="1709"/>
      <c r="S439" s="1709"/>
    </row>
    <row r="440" spans="13:19" s="1704" customFormat="1">
      <c r="M440" s="1709"/>
      <c r="Q440" s="1709"/>
      <c r="R440" s="1709"/>
      <c r="S440" s="1709"/>
    </row>
    <row r="441" spans="13:19" s="1704" customFormat="1">
      <c r="M441" s="1709"/>
      <c r="Q441" s="1709"/>
      <c r="R441" s="1709"/>
      <c r="S441" s="1709"/>
    </row>
    <row r="442" spans="13:19" s="1704" customFormat="1">
      <c r="M442" s="1709"/>
      <c r="Q442" s="1709"/>
      <c r="R442" s="1709"/>
      <c r="S442" s="1709"/>
    </row>
    <row r="443" spans="13:19" s="1704" customFormat="1">
      <c r="M443" s="1709"/>
      <c r="Q443" s="1709"/>
      <c r="R443" s="1709"/>
      <c r="S443" s="1709"/>
    </row>
    <row r="444" spans="13:19" s="1704" customFormat="1">
      <c r="M444" s="1709"/>
      <c r="Q444" s="1709"/>
      <c r="R444" s="1709"/>
      <c r="S444" s="1709"/>
    </row>
    <row r="445" spans="13:19" s="1704" customFormat="1">
      <c r="M445" s="1709"/>
      <c r="Q445" s="1709"/>
      <c r="R445" s="1709"/>
      <c r="S445" s="1709"/>
    </row>
    <row r="446" spans="13:19" s="1704" customFormat="1">
      <c r="M446" s="1709"/>
      <c r="Q446" s="1709"/>
      <c r="R446" s="1709"/>
      <c r="S446" s="1709"/>
    </row>
    <row r="447" spans="13:19" s="1704" customFormat="1">
      <c r="M447" s="1709"/>
      <c r="Q447" s="1709"/>
      <c r="R447" s="1709"/>
      <c r="S447" s="1709"/>
    </row>
    <row r="448" spans="13:19" s="1704" customFormat="1">
      <c r="M448" s="1709"/>
      <c r="Q448" s="1709"/>
      <c r="R448" s="1709"/>
      <c r="S448" s="1709"/>
    </row>
    <row r="449" spans="13:19" s="1704" customFormat="1">
      <c r="M449" s="1709"/>
      <c r="Q449" s="1709"/>
      <c r="R449" s="1709"/>
      <c r="S449" s="1709"/>
    </row>
    <row r="450" spans="13:19" s="1704" customFormat="1">
      <c r="M450" s="1709"/>
      <c r="Q450" s="1709"/>
      <c r="R450" s="1709"/>
      <c r="S450" s="1709"/>
    </row>
    <row r="451" spans="13:19" s="1704" customFormat="1">
      <c r="M451" s="1709"/>
      <c r="Q451" s="1709"/>
      <c r="R451" s="1709"/>
      <c r="S451" s="1709"/>
    </row>
    <row r="452" spans="13:19" s="1704" customFormat="1">
      <c r="M452" s="1709"/>
      <c r="Q452" s="1709"/>
      <c r="R452" s="1709"/>
      <c r="S452" s="1709"/>
    </row>
    <row r="453" spans="13:19" s="1704" customFormat="1">
      <c r="M453" s="1709"/>
      <c r="Q453" s="1709"/>
      <c r="R453" s="1709"/>
      <c r="S453" s="1709"/>
    </row>
    <row r="454" spans="13:19" s="1704" customFormat="1">
      <c r="M454" s="1709"/>
      <c r="Q454" s="1709"/>
      <c r="R454" s="1709"/>
      <c r="S454" s="1709"/>
    </row>
    <row r="455" spans="13:19" s="1704" customFormat="1">
      <c r="M455" s="1709"/>
      <c r="Q455" s="1709"/>
      <c r="R455" s="1709"/>
      <c r="S455" s="1709"/>
    </row>
    <row r="456" spans="13:19" s="1704" customFormat="1">
      <c r="M456" s="1709"/>
      <c r="Q456" s="1709"/>
      <c r="R456" s="1709"/>
      <c r="S456" s="1709"/>
    </row>
    <row r="457" spans="13:19" s="1704" customFormat="1">
      <c r="M457" s="1709"/>
      <c r="Q457" s="1709"/>
      <c r="R457" s="1709"/>
      <c r="S457" s="1709"/>
    </row>
    <row r="458" spans="13:19" s="1704" customFormat="1">
      <c r="M458" s="1709"/>
      <c r="Q458" s="1709"/>
      <c r="R458" s="1709"/>
      <c r="S458" s="1709"/>
    </row>
    <row r="459" spans="13:19" s="1704" customFormat="1">
      <c r="M459" s="1709"/>
      <c r="Q459" s="1709"/>
      <c r="R459" s="1709"/>
      <c r="S459" s="1709"/>
    </row>
    <row r="460" spans="13:19" s="1704" customFormat="1">
      <c r="M460" s="1709"/>
      <c r="Q460" s="1709"/>
      <c r="R460" s="1709"/>
      <c r="S460" s="1709"/>
    </row>
    <row r="461" spans="13:19" s="1704" customFormat="1">
      <c r="M461" s="1709"/>
      <c r="Q461" s="1709"/>
      <c r="R461" s="1709"/>
      <c r="S461" s="1709"/>
    </row>
    <row r="462" spans="13:19" s="1704" customFormat="1">
      <c r="M462" s="1709"/>
      <c r="Q462" s="1709"/>
      <c r="R462" s="1709"/>
      <c r="S462" s="1709"/>
    </row>
    <row r="463" spans="13:19" s="1704" customFormat="1">
      <c r="M463" s="1709"/>
      <c r="Q463" s="1709"/>
      <c r="R463" s="1709"/>
      <c r="S463" s="1709"/>
    </row>
    <row r="464" spans="13:19" s="1704" customFormat="1">
      <c r="M464" s="1709"/>
      <c r="Q464" s="1709"/>
      <c r="R464" s="1709"/>
      <c r="S464" s="1709"/>
    </row>
    <row r="465" spans="13:19" s="1704" customFormat="1">
      <c r="M465" s="1709"/>
      <c r="Q465" s="1709"/>
      <c r="R465" s="1709"/>
      <c r="S465" s="1709"/>
    </row>
    <row r="466" spans="13:19" s="1704" customFormat="1">
      <c r="M466" s="1709"/>
      <c r="Q466" s="1709"/>
      <c r="R466" s="1709"/>
      <c r="S466" s="1709"/>
    </row>
    <row r="467" spans="13:19" s="1704" customFormat="1">
      <c r="M467" s="1709"/>
      <c r="Q467" s="1709"/>
      <c r="R467" s="1709"/>
      <c r="S467" s="1709"/>
    </row>
    <row r="468" spans="13:19" s="1704" customFormat="1">
      <c r="M468" s="1709"/>
      <c r="Q468" s="1709"/>
      <c r="R468" s="1709"/>
      <c r="S468" s="1709"/>
    </row>
    <row r="469" spans="13:19" s="1704" customFormat="1">
      <c r="M469" s="1709"/>
      <c r="Q469" s="1709"/>
      <c r="R469" s="1709"/>
      <c r="S469" s="1709"/>
    </row>
    <row r="470" spans="13:19" s="1704" customFormat="1">
      <c r="M470" s="1709"/>
      <c r="Q470" s="1709"/>
      <c r="R470" s="1709"/>
      <c r="S470" s="1709"/>
    </row>
    <row r="471" spans="13:19" s="1704" customFormat="1">
      <c r="M471" s="1709"/>
      <c r="Q471" s="1709"/>
      <c r="R471" s="1709"/>
      <c r="S471" s="1709"/>
    </row>
    <row r="472" spans="13:19" s="1704" customFormat="1">
      <c r="M472" s="1709"/>
      <c r="Q472" s="1709"/>
      <c r="R472" s="1709"/>
      <c r="S472" s="1709"/>
    </row>
    <row r="473" spans="13:19" s="1704" customFormat="1">
      <c r="M473" s="1709"/>
      <c r="Q473" s="1709"/>
      <c r="R473" s="1709"/>
      <c r="S473" s="1709"/>
    </row>
    <row r="474" spans="13:19" s="1704" customFormat="1">
      <c r="M474" s="1709"/>
      <c r="Q474" s="1709"/>
      <c r="R474" s="1709"/>
      <c r="S474" s="1709"/>
    </row>
    <row r="475" spans="13:19" s="1704" customFormat="1">
      <c r="M475" s="1709"/>
      <c r="Q475" s="1709"/>
      <c r="R475" s="1709"/>
      <c r="S475" s="1709"/>
    </row>
    <row r="476" spans="13:19" s="1704" customFormat="1">
      <c r="M476" s="1709"/>
      <c r="Q476" s="1709"/>
      <c r="R476" s="1709"/>
      <c r="S476" s="1709"/>
    </row>
    <row r="477" spans="13:19" s="1704" customFormat="1">
      <c r="M477" s="1709"/>
      <c r="Q477" s="1709"/>
      <c r="R477" s="1709"/>
      <c r="S477" s="1709"/>
    </row>
    <row r="478" spans="13:19" s="1704" customFormat="1">
      <c r="M478" s="1709"/>
      <c r="Q478" s="1709"/>
      <c r="R478" s="1709"/>
      <c r="S478" s="1709"/>
    </row>
    <row r="479" spans="13:19" s="1704" customFormat="1">
      <c r="M479" s="1709"/>
      <c r="Q479" s="1709"/>
      <c r="R479" s="1709"/>
      <c r="S479" s="1709"/>
    </row>
    <row r="480" spans="13:19" s="1704" customFormat="1">
      <c r="M480" s="1709"/>
      <c r="Q480" s="1709"/>
      <c r="R480" s="1709"/>
      <c r="S480" s="1709"/>
    </row>
    <row r="481" spans="13:19" s="1704" customFormat="1">
      <c r="M481" s="1709"/>
      <c r="Q481" s="1709"/>
      <c r="R481" s="1709"/>
      <c r="S481" s="1709"/>
    </row>
    <row r="482" spans="13:19" s="1704" customFormat="1">
      <c r="M482" s="1709"/>
      <c r="Q482" s="1709"/>
      <c r="R482" s="1709"/>
      <c r="S482" s="1709"/>
    </row>
    <row r="483" spans="13:19" s="1704" customFormat="1">
      <c r="M483" s="1709"/>
      <c r="Q483" s="1709"/>
      <c r="R483" s="1709"/>
      <c r="S483" s="1709"/>
    </row>
    <row r="484" spans="13:19" s="1704" customFormat="1">
      <c r="M484" s="1709"/>
      <c r="Q484" s="1709"/>
      <c r="R484" s="1709"/>
      <c r="S484" s="1709"/>
    </row>
    <row r="485" spans="13:19" s="1704" customFormat="1">
      <c r="M485" s="1709"/>
      <c r="Q485" s="1709"/>
      <c r="R485" s="1709"/>
      <c r="S485" s="1709"/>
    </row>
    <row r="486" spans="13:19" s="1704" customFormat="1">
      <c r="M486" s="1709"/>
      <c r="Q486" s="1709"/>
      <c r="R486" s="1709"/>
      <c r="S486" s="1709"/>
    </row>
    <row r="487" spans="13:19" s="1704" customFormat="1">
      <c r="M487" s="1709"/>
      <c r="Q487" s="1709"/>
      <c r="R487" s="1709"/>
      <c r="S487" s="1709"/>
    </row>
    <row r="488" spans="13:19" s="1704" customFormat="1">
      <c r="M488" s="1709"/>
      <c r="Q488" s="1709"/>
      <c r="R488" s="1709"/>
      <c r="S488" s="1709"/>
    </row>
    <row r="489" spans="13:19" s="1704" customFormat="1">
      <c r="M489" s="1709"/>
      <c r="Q489" s="1709"/>
      <c r="R489" s="1709"/>
      <c r="S489" s="1709"/>
    </row>
    <row r="490" spans="13:19" s="1704" customFormat="1">
      <c r="M490" s="1709"/>
      <c r="Q490" s="1709"/>
      <c r="R490" s="1709"/>
      <c r="S490" s="1709"/>
    </row>
    <row r="491" spans="13:19" s="1704" customFormat="1">
      <c r="M491" s="1709"/>
      <c r="Q491" s="1709"/>
      <c r="R491" s="1709"/>
      <c r="S491" s="1709"/>
    </row>
    <row r="492" spans="13:19" s="1704" customFormat="1">
      <c r="M492" s="1709"/>
      <c r="Q492" s="1709"/>
      <c r="R492" s="1709"/>
      <c r="S492" s="1709"/>
    </row>
    <row r="493" spans="13:19" s="1704" customFormat="1">
      <c r="M493" s="1709"/>
      <c r="Q493" s="1709"/>
      <c r="R493" s="1709"/>
      <c r="S493" s="1709"/>
    </row>
    <row r="494" spans="13:19" s="1704" customFormat="1">
      <c r="M494" s="1709"/>
      <c r="Q494" s="1709"/>
      <c r="R494" s="1709"/>
      <c r="S494" s="1709"/>
    </row>
    <row r="495" spans="13:19" s="1704" customFormat="1">
      <c r="M495" s="1709"/>
      <c r="Q495" s="1709"/>
      <c r="R495" s="1709"/>
      <c r="S495" s="1709"/>
    </row>
    <row r="496" spans="13:19" s="1704" customFormat="1">
      <c r="M496" s="1709"/>
      <c r="Q496" s="1709"/>
      <c r="R496" s="1709"/>
      <c r="S496" s="1709"/>
    </row>
    <row r="497" spans="13:19" s="1704" customFormat="1">
      <c r="M497" s="1709"/>
      <c r="Q497" s="1709"/>
      <c r="R497" s="1709"/>
      <c r="S497" s="1709"/>
    </row>
    <row r="498" spans="13:19" s="1704" customFormat="1">
      <c r="M498" s="1709"/>
      <c r="Q498" s="1709"/>
      <c r="R498" s="1709"/>
      <c r="S498" s="1709"/>
    </row>
    <row r="499" spans="13:19" s="1704" customFormat="1">
      <c r="M499" s="1709"/>
      <c r="Q499" s="1709"/>
      <c r="R499" s="1709"/>
      <c r="S499" s="1709"/>
    </row>
    <row r="500" spans="13:19" s="1704" customFormat="1">
      <c r="M500" s="1709"/>
      <c r="Q500" s="1709"/>
      <c r="R500" s="1709"/>
      <c r="S500" s="1709"/>
    </row>
    <row r="501" spans="13:19" s="1704" customFormat="1">
      <c r="M501" s="1709"/>
      <c r="Q501" s="1709"/>
      <c r="R501" s="1709"/>
      <c r="S501" s="1709"/>
    </row>
    <row r="502" spans="13:19" s="1704" customFormat="1">
      <c r="M502" s="1709"/>
      <c r="Q502" s="1709"/>
      <c r="R502" s="1709"/>
      <c r="S502" s="1709"/>
    </row>
    <row r="503" spans="13:19" s="1704" customFormat="1">
      <c r="M503" s="1709"/>
      <c r="Q503" s="1709"/>
      <c r="R503" s="1709"/>
      <c r="S503" s="1709"/>
    </row>
    <row r="504" spans="13:19" s="1704" customFormat="1">
      <c r="M504" s="1709"/>
      <c r="Q504" s="1709"/>
      <c r="R504" s="1709"/>
      <c r="S504" s="1709"/>
    </row>
    <row r="505" spans="13:19" s="1704" customFormat="1">
      <c r="M505" s="1709"/>
      <c r="Q505" s="1709"/>
      <c r="R505" s="1709"/>
      <c r="S505" s="1709"/>
    </row>
    <row r="506" spans="13:19" s="1704" customFormat="1">
      <c r="M506" s="1709"/>
      <c r="Q506" s="1709"/>
      <c r="R506" s="1709"/>
      <c r="S506" s="1709"/>
    </row>
    <row r="507" spans="13:19" s="1704" customFormat="1">
      <c r="M507" s="1709"/>
      <c r="Q507" s="1709"/>
      <c r="R507" s="1709"/>
      <c r="S507" s="1709"/>
    </row>
    <row r="508" spans="13:19" s="1704" customFormat="1">
      <c r="M508" s="1709"/>
      <c r="Q508" s="1709"/>
      <c r="R508" s="1709"/>
      <c r="S508" s="1709"/>
    </row>
    <row r="509" spans="13:19" s="1704" customFormat="1">
      <c r="M509" s="1709"/>
      <c r="Q509" s="1709"/>
      <c r="R509" s="1709"/>
      <c r="S509" s="1709"/>
    </row>
    <row r="510" spans="13:19" s="1704" customFormat="1">
      <c r="M510" s="1709"/>
      <c r="Q510" s="1709"/>
      <c r="R510" s="1709"/>
      <c r="S510" s="1709"/>
    </row>
    <row r="511" spans="13:19" s="1704" customFormat="1">
      <c r="M511" s="1709"/>
      <c r="Q511" s="1709"/>
      <c r="R511" s="1709"/>
      <c r="S511" s="1709"/>
    </row>
    <row r="512" spans="13:19" s="1704" customFormat="1">
      <c r="M512" s="1709"/>
      <c r="Q512" s="1709"/>
      <c r="R512" s="1709"/>
      <c r="S512" s="1709"/>
    </row>
    <row r="513" spans="13:19" s="1704" customFormat="1">
      <c r="M513" s="1709"/>
      <c r="Q513" s="1709"/>
      <c r="R513" s="1709"/>
      <c r="S513" s="1709"/>
    </row>
    <row r="514" spans="13:19" s="1704" customFormat="1">
      <c r="M514" s="1709"/>
      <c r="Q514" s="1709"/>
      <c r="R514" s="1709"/>
      <c r="S514" s="1709"/>
    </row>
    <row r="515" spans="13:19" s="1704" customFormat="1">
      <c r="M515" s="1709"/>
      <c r="Q515" s="1709"/>
      <c r="R515" s="1709"/>
      <c r="S515" s="1709"/>
    </row>
    <row r="516" spans="13:19" s="1704" customFormat="1">
      <c r="M516" s="1709"/>
      <c r="Q516" s="1709"/>
      <c r="R516" s="1709"/>
      <c r="S516" s="1709"/>
    </row>
    <row r="517" spans="13:19" s="1704" customFormat="1">
      <c r="M517" s="1709"/>
      <c r="Q517" s="1709"/>
      <c r="R517" s="1709"/>
      <c r="S517" s="1709"/>
    </row>
    <row r="518" spans="13:19" s="1704" customFormat="1">
      <c r="M518" s="1709"/>
      <c r="Q518" s="1709"/>
      <c r="R518" s="1709"/>
      <c r="S518" s="1709"/>
    </row>
    <row r="519" spans="13:19" s="1704" customFormat="1">
      <c r="M519" s="1709"/>
      <c r="Q519" s="1709"/>
      <c r="R519" s="1709"/>
      <c r="S519" s="1709"/>
    </row>
    <row r="520" spans="13:19" s="1704" customFormat="1">
      <c r="M520" s="1709"/>
      <c r="Q520" s="1709"/>
      <c r="R520" s="1709"/>
      <c r="S520" s="1709"/>
    </row>
    <row r="521" spans="13:19" s="1704" customFormat="1">
      <c r="M521" s="1709"/>
      <c r="Q521" s="1709"/>
      <c r="R521" s="1709"/>
      <c r="S521" s="1709"/>
    </row>
    <row r="522" spans="13:19" s="1704" customFormat="1">
      <c r="M522" s="1709"/>
      <c r="Q522" s="1709"/>
      <c r="R522" s="1709"/>
      <c r="S522" s="1709"/>
    </row>
    <row r="523" spans="13:19" s="1704" customFormat="1">
      <c r="M523" s="1709"/>
      <c r="Q523" s="1709"/>
      <c r="R523" s="1709"/>
      <c r="S523" s="1709"/>
    </row>
    <row r="524" spans="13:19" s="1704" customFormat="1">
      <c r="M524" s="1709"/>
      <c r="Q524" s="1709"/>
      <c r="R524" s="1709"/>
      <c r="S524" s="1709"/>
    </row>
    <row r="525" spans="13:19" s="1704" customFormat="1">
      <c r="M525" s="1709"/>
      <c r="Q525" s="1709"/>
      <c r="R525" s="1709"/>
      <c r="S525" s="1709"/>
    </row>
    <row r="526" spans="13:19" s="1704" customFormat="1">
      <c r="M526" s="1709"/>
      <c r="Q526" s="1709"/>
      <c r="R526" s="1709"/>
      <c r="S526" s="1709"/>
    </row>
    <row r="527" spans="13:19" s="1704" customFormat="1">
      <c r="M527" s="1709"/>
      <c r="Q527" s="1709"/>
      <c r="R527" s="1709"/>
      <c r="S527" s="1709"/>
    </row>
    <row r="528" spans="13:19" s="1704" customFormat="1">
      <c r="M528" s="1709"/>
      <c r="Q528" s="1709"/>
      <c r="R528" s="1709"/>
      <c r="S528" s="1709"/>
    </row>
    <row r="529" spans="13:19" s="1704" customFormat="1">
      <c r="M529" s="1709"/>
      <c r="Q529" s="1709"/>
      <c r="R529" s="1709"/>
      <c r="S529" s="1709"/>
    </row>
    <row r="530" spans="13:19" s="1704" customFormat="1">
      <c r="M530" s="1709"/>
      <c r="Q530" s="1709"/>
      <c r="R530" s="1709"/>
      <c r="S530" s="1709"/>
    </row>
    <row r="531" spans="13:19" s="1704" customFormat="1">
      <c r="M531" s="1709"/>
      <c r="Q531" s="1709"/>
      <c r="R531" s="1709"/>
      <c r="S531" s="1709"/>
    </row>
    <row r="532" spans="13:19" s="1704" customFormat="1">
      <c r="M532" s="1709"/>
      <c r="Q532" s="1709"/>
      <c r="R532" s="1709"/>
      <c r="S532" s="1709"/>
    </row>
    <row r="533" spans="13:19" s="1704" customFormat="1">
      <c r="M533" s="1709"/>
      <c r="Q533" s="1709"/>
      <c r="R533" s="1709"/>
      <c r="S533" s="1709"/>
    </row>
    <row r="534" spans="13:19" s="1704" customFormat="1">
      <c r="M534" s="1709"/>
      <c r="Q534" s="1709"/>
      <c r="R534" s="1709"/>
      <c r="S534" s="1709"/>
    </row>
    <row r="535" spans="13:19" s="1704" customFormat="1">
      <c r="M535" s="1709"/>
      <c r="Q535" s="1709"/>
      <c r="R535" s="1709"/>
      <c r="S535" s="1709"/>
    </row>
    <row r="536" spans="13:19" s="1704" customFormat="1">
      <c r="M536" s="1709"/>
      <c r="Q536" s="1709"/>
      <c r="R536" s="1709"/>
      <c r="S536" s="1709"/>
    </row>
    <row r="537" spans="13:19" s="1704" customFormat="1">
      <c r="M537" s="1709"/>
      <c r="Q537" s="1709"/>
      <c r="R537" s="1709"/>
      <c r="S537" s="1709"/>
    </row>
    <row r="538" spans="13:19" s="1704" customFormat="1">
      <c r="M538" s="1709"/>
      <c r="Q538" s="1709"/>
      <c r="R538" s="1709"/>
      <c r="S538" s="1709"/>
    </row>
    <row r="539" spans="13:19" s="1704" customFormat="1">
      <c r="M539" s="1709"/>
      <c r="Q539" s="1709"/>
      <c r="R539" s="1709"/>
      <c r="S539" s="1709"/>
    </row>
    <row r="540" spans="13:19" s="1704" customFormat="1">
      <c r="M540" s="1709"/>
      <c r="Q540" s="1709"/>
      <c r="R540" s="1709"/>
      <c r="S540" s="1709"/>
    </row>
    <row r="541" spans="13:19" s="1704" customFormat="1">
      <c r="M541" s="1709"/>
      <c r="Q541" s="1709"/>
      <c r="R541" s="1709"/>
      <c r="S541" s="1709"/>
    </row>
    <row r="542" spans="13:19" s="1704" customFormat="1">
      <c r="M542" s="1709"/>
      <c r="Q542" s="1709"/>
      <c r="R542" s="1709"/>
      <c r="S542" s="1709"/>
    </row>
    <row r="543" spans="13:19" s="1704" customFormat="1">
      <c r="M543" s="1709"/>
      <c r="Q543" s="1709"/>
      <c r="R543" s="1709"/>
      <c r="S543" s="1709"/>
    </row>
    <row r="544" spans="13:19" s="1704" customFormat="1">
      <c r="M544" s="1709"/>
      <c r="Q544" s="1709"/>
      <c r="R544" s="1709"/>
      <c r="S544" s="1709"/>
    </row>
    <row r="545" spans="13:19" s="1704" customFormat="1">
      <c r="M545" s="1709"/>
      <c r="Q545" s="1709"/>
      <c r="R545" s="1709"/>
      <c r="S545" s="1709"/>
    </row>
    <row r="546" spans="13:19" s="1704" customFormat="1">
      <c r="M546" s="1709"/>
      <c r="Q546" s="1709"/>
      <c r="R546" s="1709"/>
      <c r="S546" s="1709"/>
    </row>
    <row r="547" spans="13:19" s="1704" customFormat="1">
      <c r="M547" s="1709"/>
      <c r="Q547" s="1709"/>
      <c r="R547" s="1709"/>
      <c r="S547" s="1709"/>
    </row>
    <row r="548" spans="13:19" s="1704" customFormat="1">
      <c r="M548" s="1709"/>
      <c r="Q548" s="1709"/>
      <c r="R548" s="1709"/>
      <c r="S548" s="1709"/>
    </row>
    <row r="549" spans="13:19" s="1704" customFormat="1">
      <c r="M549" s="1709"/>
      <c r="Q549" s="1709"/>
      <c r="R549" s="1709"/>
      <c r="S549" s="1709"/>
    </row>
    <row r="550" spans="13:19" s="1704" customFormat="1">
      <c r="M550" s="1709"/>
      <c r="Q550" s="1709"/>
      <c r="R550" s="1709"/>
      <c r="S550" s="1709"/>
    </row>
    <row r="551" spans="13:19" s="1704" customFormat="1">
      <c r="M551" s="1709"/>
      <c r="Q551" s="1709"/>
      <c r="R551" s="1709"/>
      <c r="S551" s="1709"/>
    </row>
    <row r="552" spans="13:19" s="1704" customFormat="1">
      <c r="M552" s="1709"/>
      <c r="Q552" s="1709"/>
      <c r="R552" s="1709"/>
      <c r="S552" s="1709"/>
    </row>
    <row r="553" spans="13:19" s="1704" customFormat="1">
      <c r="M553" s="1709"/>
      <c r="Q553" s="1709"/>
      <c r="R553" s="1709"/>
      <c r="S553" s="1709"/>
    </row>
    <row r="554" spans="13:19" s="1704" customFormat="1">
      <c r="M554" s="1709"/>
      <c r="Q554" s="1709"/>
      <c r="R554" s="1709"/>
      <c r="S554" s="1709"/>
    </row>
    <row r="555" spans="13:19" s="1704" customFormat="1">
      <c r="M555" s="1709"/>
      <c r="Q555" s="1709"/>
      <c r="R555" s="1709"/>
      <c r="S555" s="1709"/>
    </row>
    <row r="556" spans="13:19" s="1704" customFormat="1">
      <c r="M556" s="1709"/>
      <c r="Q556" s="1709"/>
      <c r="R556" s="1709"/>
      <c r="S556" s="1709"/>
    </row>
    <row r="557" spans="13:19" s="1704" customFormat="1">
      <c r="M557" s="1709"/>
      <c r="Q557" s="1709"/>
      <c r="R557" s="1709"/>
      <c r="S557" s="1709"/>
    </row>
    <row r="558" spans="13:19" s="1704" customFormat="1">
      <c r="M558" s="1709"/>
      <c r="Q558" s="1709"/>
      <c r="R558" s="1709"/>
      <c r="S558" s="1709"/>
    </row>
    <row r="559" spans="13:19" s="1704" customFormat="1">
      <c r="M559" s="1709"/>
      <c r="Q559" s="1709"/>
      <c r="R559" s="1709"/>
      <c r="S559" s="1709"/>
    </row>
    <row r="560" spans="13:19" s="1704" customFormat="1">
      <c r="M560" s="1709"/>
      <c r="Q560" s="1709"/>
      <c r="R560" s="1709"/>
      <c r="S560" s="1709"/>
    </row>
    <row r="561" spans="13:19" s="1704" customFormat="1">
      <c r="M561" s="1709"/>
      <c r="Q561" s="1709"/>
      <c r="R561" s="1709"/>
      <c r="S561" s="1709"/>
    </row>
    <row r="562" spans="13:19" s="1704" customFormat="1">
      <c r="M562" s="1709"/>
      <c r="Q562" s="1709"/>
      <c r="R562" s="1709"/>
      <c r="S562" s="1709"/>
    </row>
    <row r="563" spans="13:19" s="1704" customFormat="1">
      <c r="M563" s="1709"/>
      <c r="Q563" s="1709"/>
      <c r="R563" s="1709"/>
      <c r="S563" s="1709"/>
    </row>
    <row r="564" spans="13:19" s="1704" customFormat="1">
      <c r="M564" s="1709"/>
      <c r="Q564" s="1709"/>
      <c r="R564" s="1709"/>
      <c r="S564" s="1709"/>
    </row>
    <row r="565" spans="13:19" s="1704" customFormat="1">
      <c r="M565" s="1709"/>
      <c r="Q565" s="1709"/>
      <c r="R565" s="1709"/>
      <c r="S565" s="1709"/>
    </row>
    <row r="566" spans="13:19" s="1704" customFormat="1">
      <c r="M566" s="1709"/>
      <c r="Q566" s="1709"/>
      <c r="R566" s="1709"/>
      <c r="S566" s="1709"/>
    </row>
    <row r="567" spans="13:19" s="1704" customFormat="1">
      <c r="M567" s="1709"/>
      <c r="Q567" s="1709"/>
      <c r="R567" s="1709"/>
      <c r="S567" s="1709"/>
    </row>
    <row r="568" spans="13:19" s="1704" customFormat="1">
      <c r="M568" s="1709"/>
      <c r="Q568" s="1709"/>
      <c r="R568" s="1709"/>
      <c r="S568" s="1709"/>
    </row>
    <row r="569" spans="13:19" s="1704" customFormat="1">
      <c r="M569" s="1709"/>
      <c r="Q569" s="1709"/>
      <c r="R569" s="1709"/>
      <c r="S569" s="1709"/>
    </row>
    <row r="570" spans="13:19" s="1704" customFormat="1">
      <c r="M570" s="1709"/>
      <c r="Q570" s="1709"/>
      <c r="R570" s="1709"/>
      <c r="S570" s="1709"/>
    </row>
    <row r="571" spans="13:19" s="1704" customFormat="1">
      <c r="M571" s="1709"/>
      <c r="Q571" s="1709"/>
      <c r="R571" s="1709"/>
      <c r="S571" s="1709"/>
    </row>
    <row r="572" spans="13:19" s="1704" customFormat="1">
      <c r="M572" s="1709"/>
      <c r="Q572" s="1709"/>
      <c r="R572" s="1709"/>
      <c r="S572" s="1709"/>
    </row>
    <row r="573" spans="13:19" s="1704" customFormat="1">
      <c r="M573" s="1709"/>
      <c r="Q573" s="1709"/>
      <c r="R573" s="1709"/>
      <c r="S573" s="1709"/>
    </row>
    <row r="574" spans="13:19" s="1704" customFormat="1">
      <c r="M574" s="1709"/>
      <c r="Q574" s="1709"/>
      <c r="R574" s="1709"/>
      <c r="S574" s="1709"/>
    </row>
    <row r="575" spans="13:19" s="1704" customFormat="1">
      <c r="M575" s="1709"/>
      <c r="Q575" s="1709"/>
      <c r="R575" s="1709"/>
      <c r="S575" s="1709"/>
    </row>
    <row r="576" spans="13:19" s="1704" customFormat="1">
      <c r="M576" s="1709"/>
      <c r="Q576" s="1709"/>
      <c r="R576" s="1709"/>
      <c r="S576" s="1709"/>
    </row>
    <row r="577" spans="13:19" s="1704" customFormat="1">
      <c r="M577" s="1709"/>
      <c r="Q577" s="1709"/>
      <c r="R577" s="1709"/>
      <c r="S577" s="1709"/>
    </row>
    <row r="578" spans="13:19" s="1704" customFormat="1">
      <c r="M578" s="1709"/>
      <c r="Q578" s="1709"/>
      <c r="R578" s="1709"/>
      <c r="S578" s="1709"/>
    </row>
    <row r="579" spans="13:19" s="1704" customFormat="1">
      <c r="M579" s="1709"/>
      <c r="Q579" s="1709"/>
      <c r="R579" s="1709"/>
      <c r="S579" s="1709"/>
    </row>
    <row r="580" spans="13:19" s="1704" customFormat="1">
      <c r="M580" s="1709"/>
      <c r="Q580" s="1709"/>
      <c r="R580" s="1709"/>
      <c r="S580" s="1709"/>
    </row>
    <row r="581" spans="13:19" s="1704" customFormat="1">
      <c r="M581" s="1709"/>
      <c r="Q581" s="1709"/>
      <c r="R581" s="1709"/>
      <c r="S581" s="1709"/>
    </row>
    <row r="582" spans="13:19" s="1704" customFormat="1">
      <c r="M582" s="1709"/>
      <c r="Q582" s="1709"/>
      <c r="R582" s="1709"/>
      <c r="S582" s="1709"/>
    </row>
    <row r="583" spans="13:19" s="1704" customFormat="1">
      <c r="M583" s="1709"/>
      <c r="Q583" s="1709"/>
      <c r="R583" s="1709"/>
      <c r="S583" s="1709"/>
    </row>
    <row r="584" spans="13:19" s="1704" customFormat="1">
      <c r="M584" s="1709"/>
      <c r="Q584" s="1709"/>
      <c r="R584" s="1709"/>
      <c r="S584" s="1709"/>
    </row>
    <row r="585" spans="13:19" s="1704" customFormat="1">
      <c r="M585" s="1709"/>
      <c r="Q585" s="1709"/>
      <c r="R585" s="1709"/>
      <c r="S585" s="1709"/>
    </row>
    <row r="586" spans="13:19" s="1704" customFormat="1">
      <c r="M586" s="1709"/>
      <c r="Q586" s="1709"/>
      <c r="R586" s="1709"/>
      <c r="S586" s="1709"/>
    </row>
    <row r="587" spans="13:19" s="1704" customFormat="1">
      <c r="M587" s="1709"/>
      <c r="Q587" s="1709"/>
      <c r="R587" s="1709"/>
      <c r="S587" s="1709"/>
    </row>
    <row r="588" spans="13:19" s="1704" customFormat="1">
      <c r="M588" s="1709"/>
      <c r="Q588" s="1709"/>
      <c r="R588" s="1709"/>
      <c r="S588" s="1709"/>
    </row>
    <row r="589" spans="13:19" s="1704" customFormat="1">
      <c r="M589" s="1709"/>
      <c r="Q589" s="1709"/>
      <c r="R589" s="1709"/>
      <c r="S589" s="1709"/>
    </row>
    <row r="590" spans="13:19" s="1704" customFormat="1">
      <c r="M590" s="1709"/>
      <c r="Q590" s="1709"/>
      <c r="R590" s="1709"/>
      <c r="S590" s="1709"/>
    </row>
    <row r="591" spans="13:19" s="1704" customFormat="1">
      <c r="M591" s="1709"/>
      <c r="Q591" s="1709"/>
      <c r="R591" s="1709"/>
      <c r="S591" s="1709"/>
    </row>
    <row r="592" spans="13:19" s="1704" customFormat="1">
      <c r="M592" s="1709"/>
      <c r="Q592" s="1709"/>
      <c r="R592" s="1709"/>
      <c r="S592" s="1709"/>
    </row>
    <row r="593" spans="13:19" s="1704" customFormat="1">
      <c r="M593" s="1709"/>
      <c r="Q593" s="1709"/>
      <c r="R593" s="1709"/>
      <c r="S593" s="1709"/>
    </row>
    <row r="594" spans="13:19" s="1704" customFormat="1">
      <c r="M594" s="1709"/>
      <c r="Q594" s="1709"/>
      <c r="R594" s="1709"/>
      <c r="S594" s="1709"/>
    </row>
    <row r="595" spans="13:19" s="1704" customFormat="1">
      <c r="M595" s="1709"/>
      <c r="Q595" s="1709"/>
      <c r="R595" s="1709"/>
      <c r="S595" s="1709"/>
    </row>
    <row r="596" spans="13:19" s="1704" customFormat="1">
      <c r="M596" s="1709"/>
      <c r="Q596" s="1709"/>
      <c r="R596" s="1709"/>
      <c r="S596" s="1709"/>
    </row>
    <row r="597" spans="13:19" s="1704" customFormat="1">
      <c r="M597" s="1709"/>
      <c r="Q597" s="1709"/>
      <c r="R597" s="1709"/>
      <c r="S597" s="1709"/>
    </row>
    <row r="598" spans="13:19" s="1704" customFormat="1">
      <c r="M598" s="1709"/>
      <c r="Q598" s="1709"/>
      <c r="R598" s="1709"/>
      <c r="S598" s="1709"/>
    </row>
    <row r="599" spans="13:19" s="1704" customFormat="1">
      <c r="M599" s="1709"/>
      <c r="Q599" s="1709"/>
      <c r="R599" s="1709"/>
      <c r="S599" s="1709"/>
    </row>
    <row r="600" spans="13:19" s="1704" customFormat="1">
      <c r="M600" s="1709"/>
      <c r="Q600" s="1709"/>
      <c r="R600" s="1709"/>
      <c r="S600" s="1709"/>
    </row>
    <row r="601" spans="13:19" s="1704" customFormat="1">
      <c r="M601" s="1709"/>
      <c r="Q601" s="1709"/>
      <c r="R601" s="1709"/>
      <c r="S601" s="1709"/>
    </row>
    <row r="602" spans="13:19" s="1704" customFormat="1">
      <c r="M602" s="1709"/>
      <c r="Q602" s="1709"/>
      <c r="R602" s="1709"/>
      <c r="S602" s="1709"/>
    </row>
    <row r="603" spans="13:19" s="1704" customFormat="1">
      <c r="M603" s="1709"/>
      <c r="Q603" s="1709"/>
      <c r="R603" s="1709"/>
      <c r="S603" s="1709"/>
    </row>
    <row r="604" spans="13:19" s="1704" customFormat="1">
      <c r="M604" s="1709"/>
      <c r="Q604" s="1709"/>
      <c r="R604" s="1709"/>
      <c r="S604" s="1709"/>
    </row>
    <row r="605" spans="13:19" s="1704" customFormat="1">
      <c r="M605" s="1709"/>
      <c r="Q605" s="1709"/>
      <c r="R605" s="1709"/>
      <c r="S605" s="1709"/>
    </row>
    <row r="606" spans="13:19" s="1704" customFormat="1">
      <c r="M606" s="1709"/>
      <c r="Q606" s="1709"/>
      <c r="R606" s="1709"/>
      <c r="S606" s="1709"/>
    </row>
    <row r="607" spans="13:19" s="1704" customFormat="1">
      <c r="M607" s="1709"/>
      <c r="Q607" s="1709"/>
      <c r="R607" s="1709"/>
      <c r="S607" s="1709"/>
    </row>
    <row r="608" spans="13:19" s="1704" customFormat="1">
      <c r="M608" s="1709"/>
      <c r="Q608" s="1709"/>
      <c r="R608" s="1709"/>
      <c r="S608" s="1709"/>
    </row>
    <row r="609" spans="13:19" s="1704" customFormat="1">
      <c r="M609" s="1709"/>
      <c r="Q609" s="1709"/>
      <c r="R609" s="1709"/>
      <c r="S609" s="1709"/>
    </row>
    <row r="610" spans="13:19" s="1704" customFormat="1">
      <c r="M610" s="1709"/>
      <c r="Q610" s="1709"/>
      <c r="R610" s="1709"/>
      <c r="S610" s="1709"/>
    </row>
    <row r="611" spans="13:19" s="1704" customFormat="1">
      <c r="M611" s="1709"/>
      <c r="Q611" s="1709"/>
      <c r="R611" s="1709"/>
      <c r="S611" s="1709"/>
    </row>
    <row r="612" spans="13:19" s="1704" customFormat="1">
      <c r="M612" s="1709"/>
      <c r="Q612" s="1709"/>
      <c r="R612" s="1709"/>
      <c r="S612" s="1709"/>
    </row>
    <row r="613" spans="13:19" s="1704" customFormat="1">
      <c r="M613" s="1709"/>
      <c r="Q613" s="1709"/>
      <c r="R613" s="1709"/>
      <c r="S613" s="1709"/>
    </row>
    <row r="614" spans="13:19" s="1704" customFormat="1">
      <c r="M614" s="1709"/>
      <c r="Q614" s="1709"/>
      <c r="R614" s="1709"/>
      <c r="S614" s="1709"/>
    </row>
    <row r="615" spans="13:19" s="1704" customFormat="1">
      <c r="M615" s="1709"/>
      <c r="Q615" s="1709"/>
      <c r="R615" s="1709"/>
      <c r="S615" s="1709"/>
    </row>
    <row r="616" spans="13:19" s="1704" customFormat="1">
      <c r="M616" s="1709"/>
      <c r="Q616" s="1709"/>
      <c r="R616" s="1709"/>
      <c r="S616" s="1709"/>
    </row>
    <row r="617" spans="13:19" s="1704" customFormat="1">
      <c r="M617" s="1709"/>
      <c r="Q617" s="1709"/>
      <c r="R617" s="1709"/>
      <c r="S617" s="1709"/>
    </row>
    <row r="618" spans="13:19" s="1704" customFormat="1">
      <c r="M618" s="1709"/>
      <c r="Q618" s="1709"/>
      <c r="R618" s="1709"/>
      <c r="S618" s="1709"/>
    </row>
    <row r="619" spans="13:19" s="1704" customFormat="1">
      <c r="M619" s="1709"/>
      <c r="Q619" s="1709"/>
      <c r="R619" s="1709"/>
      <c r="S619" s="1709"/>
    </row>
    <row r="620" spans="13:19" s="1704" customFormat="1">
      <c r="M620" s="1709"/>
      <c r="Q620" s="1709"/>
      <c r="R620" s="1709"/>
      <c r="S620" s="1709"/>
    </row>
    <row r="621" spans="13:19" s="1704" customFormat="1">
      <c r="M621" s="1709"/>
      <c r="Q621" s="1709"/>
      <c r="R621" s="1709"/>
      <c r="S621" s="1709"/>
    </row>
    <row r="622" spans="13:19" s="1704" customFormat="1">
      <c r="M622" s="1709"/>
      <c r="Q622" s="1709"/>
      <c r="R622" s="1709"/>
      <c r="S622" s="1709"/>
    </row>
    <row r="623" spans="13:19" s="1704" customFormat="1">
      <c r="M623" s="1709"/>
      <c r="Q623" s="1709"/>
      <c r="R623" s="1709"/>
      <c r="S623" s="1709"/>
    </row>
    <row r="624" spans="13:19" s="1704" customFormat="1">
      <c r="M624" s="1709"/>
      <c r="Q624" s="1709"/>
      <c r="R624" s="1709"/>
      <c r="S624" s="1709"/>
    </row>
    <row r="625" spans="13:19" s="1704" customFormat="1">
      <c r="M625" s="1709"/>
      <c r="Q625" s="1709"/>
      <c r="R625" s="1709"/>
      <c r="S625" s="1709"/>
    </row>
    <row r="626" spans="13:19" s="1704" customFormat="1">
      <c r="M626" s="1709"/>
      <c r="Q626" s="1709"/>
      <c r="R626" s="1709"/>
      <c r="S626" s="1709"/>
    </row>
    <row r="627" spans="13:19" s="1704" customFormat="1">
      <c r="M627" s="1709"/>
      <c r="Q627" s="1709"/>
      <c r="R627" s="1709"/>
      <c r="S627" s="1709"/>
    </row>
    <row r="628" spans="13:19" s="1704" customFormat="1">
      <c r="M628" s="1709"/>
      <c r="Q628" s="1709"/>
      <c r="R628" s="1709"/>
      <c r="S628" s="1709"/>
    </row>
    <row r="629" spans="13:19" s="1704" customFormat="1">
      <c r="M629" s="1709"/>
      <c r="Q629" s="1709"/>
      <c r="R629" s="1709"/>
      <c r="S629" s="1709"/>
    </row>
    <row r="630" spans="13:19" s="1704" customFormat="1">
      <c r="M630" s="1709"/>
      <c r="Q630" s="1709"/>
      <c r="R630" s="1709"/>
      <c r="S630" s="1709"/>
    </row>
    <row r="631" spans="13:19" s="1704" customFormat="1">
      <c r="M631" s="1709"/>
      <c r="Q631" s="1709"/>
      <c r="R631" s="1709"/>
      <c r="S631" s="1709"/>
    </row>
    <row r="632" spans="13:19" s="1704" customFormat="1">
      <c r="M632" s="1709"/>
      <c r="Q632" s="1709"/>
      <c r="R632" s="1709"/>
      <c r="S632" s="1709"/>
    </row>
    <row r="633" spans="13:19" s="1704" customFormat="1">
      <c r="M633" s="1709"/>
      <c r="Q633" s="1709"/>
      <c r="R633" s="1709"/>
      <c r="S633" s="1709"/>
    </row>
    <row r="634" spans="13:19" s="1704" customFormat="1">
      <c r="M634" s="1709"/>
      <c r="Q634" s="1709"/>
      <c r="R634" s="1709"/>
      <c r="S634" s="1709"/>
    </row>
    <row r="635" spans="13:19" s="1704" customFormat="1">
      <c r="M635" s="1709"/>
      <c r="Q635" s="1709"/>
      <c r="R635" s="1709"/>
      <c r="S635" s="1709"/>
    </row>
    <row r="636" spans="13:19" s="1704" customFormat="1">
      <c r="M636" s="1709"/>
      <c r="Q636" s="1709"/>
      <c r="R636" s="1709"/>
      <c r="S636" s="1709"/>
    </row>
    <row r="637" spans="13:19" s="1704" customFormat="1">
      <c r="M637" s="1709"/>
      <c r="Q637" s="1709"/>
      <c r="R637" s="1709"/>
      <c r="S637" s="1709"/>
    </row>
    <row r="638" spans="13:19" s="1704" customFormat="1">
      <c r="M638" s="1709"/>
      <c r="Q638" s="1709"/>
      <c r="R638" s="1709"/>
      <c r="S638" s="1709"/>
    </row>
    <row r="639" spans="13:19" s="1704" customFormat="1">
      <c r="M639" s="1709"/>
      <c r="Q639" s="1709"/>
      <c r="R639" s="1709"/>
      <c r="S639" s="1709"/>
    </row>
    <row r="640" spans="13:19" s="1704" customFormat="1">
      <c r="M640" s="1709"/>
      <c r="Q640" s="1709"/>
      <c r="R640" s="1709"/>
      <c r="S640" s="1709"/>
    </row>
    <row r="641" spans="13:19" s="1704" customFormat="1">
      <c r="M641" s="1709"/>
      <c r="Q641" s="1709"/>
      <c r="R641" s="1709"/>
      <c r="S641" s="1709"/>
    </row>
    <row r="642" spans="13:19" s="1704" customFormat="1">
      <c r="M642" s="1709"/>
      <c r="Q642" s="1709"/>
      <c r="R642" s="1709"/>
      <c r="S642" s="1709"/>
    </row>
    <row r="643" spans="13:19" s="1704" customFormat="1">
      <c r="M643" s="1709"/>
      <c r="Q643" s="1709"/>
      <c r="R643" s="1709"/>
      <c r="S643" s="1709"/>
    </row>
    <row r="644" spans="13:19" s="1704" customFormat="1">
      <c r="M644" s="1709"/>
      <c r="Q644" s="1709"/>
      <c r="R644" s="1709"/>
      <c r="S644" s="1709"/>
    </row>
    <row r="645" spans="13:19" s="1704" customFormat="1">
      <c r="M645" s="1709"/>
      <c r="Q645" s="1709"/>
      <c r="R645" s="1709"/>
      <c r="S645" s="1709"/>
    </row>
    <row r="646" spans="13:19" s="1704" customFormat="1">
      <c r="M646" s="1709"/>
      <c r="Q646" s="1709"/>
      <c r="R646" s="1709"/>
      <c r="S646" s="1709"/>
    </row>
    <row r="647" spans="13:19" s="1704" customFormat="1">
      <c r="M647" s="1709"/>
      <c r="Q647" s="1709"/>
      <c r="R647" s="1709"/>
      <c r="S647" s="1709"/>
    </row>
  </sheetData>
  <sheetProtection algorithmName="SHA-512" hashValue="Uf3jjgKmqwfw/FsOxT3Fmw3DmBlsvxLQ9s+Wjg9xTS0Gtr/XamUKD5+6AualFSQFxVGoewFQKFNP/Of5fzxyvQ==" saltValue="BLRJbm6Pbv5sjI8VkRQwSw==" spinCount="100000" sheet="1" objects="1" scenarios="1" formatCells="0" formatColumns="0" formatRows="0"/>
  <mergeCells count="58">
    <mergeCell ref="F31:H31"/>
    <mergeCell ref="I47:J47"/>
    <mergeCell ref="M47:P47"/>
    <mergeCell ref="F32:H32"/>
    <mergeCell ref="F33:H33"/>
    <mergeCell ref="F36:H36"/>
    <mergeCell ref="F34:H34"/>
    <mergeCell ref="F35:H35"/>
    <mergeCell ref="F37:H37"/>
    <mergeCell ref="F38:H38"/>
    <mergeCell ref="R10:S10"/>
    <mergeCell ref="R29:S29"/>
    <mergeCell ref="F12:H12"/>
    <mergeCell ref="F13:H13"/>
    <mergeCell ref="F14:H14"/>
    <mergeCell ref="F19:H19"/>
    <mergeCell ref="F10:H10"/>
    <mergeCell ref="F15:H15"/>
    <mergeCell ref="F18:H18"/>
    <mergeCell ref="K29:O29"/>
    <mergeCell ref="F29:H29"/>
    <mergeCell ref="F16:H16"/>
    <mergeCell ref="F17:H17"/>
    <mergeCell ref="D52:E52"/>
    <mergeCell ref="D53:E53"/>
    <mergeCell ref="D49:E49"/>
    <mergeCell ref="D50:E50"/>
    <mergeCell ref="G49:H49"/>
    <mergeCell ref="G50:H50"/>
    <mergeCell ref="G51:H51"/>
    <mergeCell ref="G52:H52"/>
    <mergeCell ref="G53:H53"/>
    <mergeCell ref="R47:S47"/>
    <mergeCell ref="D56:E56"/>
    <mergeCell ref="G56:H56"/>
    <mergeCell ref="I56:J56"/>
    <mergeCell ref="G55:H55"/>
    <mergeCell ref="I55:J55"/>
    <mergeCell ref="I49:J49"/>
    <mergeCell ref="I50:J50"/>
    <mergeCell ref="I51:J51"/>
    <mergeCell ref="I52:J52"/>
    <mergeCell ref="I53:J53"/>
    <mergeCell ref="I54:J54"/>
    <mergeCell ref="D54:E54"/>
    <mergeCell ref="D55:E55"/>
    <mergeCell ref="G54:H54"/>
    <mergeCell ref="D51:E51"/>
    <mergeCell ref="G199:H199"/>
    <mergeCell ref="I199:J199"/>
    <mergeCell ref="Q199:R199"/>
    <mergeCell ref="S199:T199"/>
    <mergeCell ref="D57:E57"/>
    <mergeCell ref="G57:H57"/>
    <mergeCell ref="I57:J57"/>
    <mergeCell ref="D58:E58"/>
    <mergeCell ref="G58:H58"/>
    <mergeCell ref="I58:J58"/>
  </mergeCells>
  <conditionalFormatting sqref="X61:Z63">
    <cfRule type="expression" dxfId="90" priority="10">
      <formula>Nlang&gt;1</formula>
    </cfRule>
  </conditionalFormatting>
  <conditionalFormatting sqref="W12:Z12">
    <cfRule type="expression" dxfId="89" priority="17">
      <formula>Nlang&gt;1</formula>
    </cfRule>
  </conditionalFormatting>
  <conditionalFormatting sqref="V13:Z19 V12">
    <cfRule type="expression" dxfId="88" priority="16">
      <formula>Nlang&gt;1</formula>
    </cfRule>
  </conditionalFormatting>
  <conditionalFormatting sqref="V21">
    <cfRule type="expression" dxfId="87" priority="15">
      <formula>Nlang&gt;1</formula>
    </cfRule>
  </conditionalFormatting>
  <conditionalFormatting sqref="Z31">
    <cfRule type="expression" dxfId="86" priority="14">
      <formula>Nlang&gt;1</formula>
    </cfRule>
  </conditionalFormatting>
  <conditionalFormatting sqref="V32:Z38 V31:Y31">
    <cfRule type="expression" dxfId="85" priority="13">
      <formula>Nlang&gt;1</formula>
    </cfRule>
  </conditionalFormatting>
  <conditionalFormatting sqref="V40">
    <cfRule type="expression" dxfId="84" priority="12">
      <formula>Nlang&gt;1</formula>
    </cfRule>
  </conditionalFormatting>
  <conditionalFormatting sqref="V49:Y58">
    <cfRule type="expression" dxfId="83" priority="11">
      <formula>Nlang&gt;1</formula>
    </cfRule>
  </conditionalFormatting>
  <dataValidations count="9">
    <dataValidation type="list" allowBlank="1" showInputMessage="1" showErrorMessage="1" sqref="E12:E19 K49:K58 E31:E38">
      <formula1>YES_NO</formula1>
    </dataValidation>
    <dataValidation type="list" allowBlank="1" showInputMessage="1" showErrorMessage="1" sqref="F12:F19">
      <formula1>finaluse</formula1>
    </dataValidation>
    <dataValidation type="list" allowBlank="1" showInputMessage="1" showErrorMessage="1" sqref="F31:F38">
      <formula1>prevuse</formula1>
    </dataValidation>
    <dataValidation type="list" allowBlank="1" showInputMessage="1" showErrorMessage="1" sqref="G49:G58">
      <formula1>LUC_fin</formula1>
    </dataValidation>
    <dataValidation type="list" allowBlank="1" showInputMessage="1" showErrorMessage="1" sqref="D49:D58">
      <formula1>LUC_ini</formula1>
    </dataValidation>
    <dataValidation type="list" allowBlank="1" showErrorMessage="1" prompt="Please specify the vegetation" sqref="B12:B19">
      <formula1>veg_type</formula1>
    </dataValidation>
    <dataValidation type="list" allowBlank="1" showErrorMessage="1" prompt="Please specify the vegetation" sqref="B31:B38">
      <formula1>veg_type2</formula1>
    </dataValidation>
    <dataValidation type="list" allowBlank="1" showInputMessage="1" showErrorMessage="1" sqref="L12:L19 P49:P58 N31:N38 N12:N19 N49:N58 L31:L38">
      <formula1>dyn_simple</formula1>
    </dataValidation>
    <dataValidation type="decimal" operator="greaterThanOrEqual" allowBlank="1" showInputMessage="1" showErrorMessage="1" sqref="T201:T210 M102:M109 H201:H210 R201:R210 J201:J210 J102:J109 H102:H109 F102:F109 T153:T160 R153:R160 O153:O160 K153:K160 I153:I160 G153:G160 Q102:Q109 E153:E160">
      <formula1>0</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ignoredErrors>
    <ignoredError sqref="I10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8" id="{FB00C39F-DE7A-4052-BC68-8AFDEFADCF19}">
            <xm:f>OR($B12:$B19=List!$A$51)</xm:f>
            <x14:dxf>
              <font>
                <color theme="1"/>
              </font>
              <fill>
                <patternFill>
                  <bgColor theme="8" tint="0.59996337778862885"/>
                </patternFill>
              </fill>
            </x14:dxf>
          </x14:cfRule>
          <xm:sqref>B102:E102 G102 I102 K102:L102 N102:P102 R102</xm:sqref>
        </x14:conditionalFormatting>
        <x14:conditionalFormatting xmlns:xm="http://schemas.microsoft.com/office/excel/2006/main">
          <x14:cfRule type="expression" priority="46" id="{06409FB3-829F-457D-BAF5-477B083DD450}">
            <xm:f>OR($B$12:$B$19=List!$A$52)</xm:f>
            <x14:dxf>
              <font>
                <color theme="1"/>
              </font>
              <fill>
                <patternFill>
                  <bgColor theme="8" tint="0.59996337778862885"/>
                </patternFill>
              </fill>
            </x14:dxf>
          </x14:cfRule>
          <xm:sqref>B103:E103 G103 I103 K103:L103 N103:P103 R103</xm:sqref>
        </x14:conditionalFormatting>
        <x14:conditionalFormatting xmlns:xm="http://schemas.microsoft.com/office/excel/2006/main">
          <x14:cfRule type="expression" priority="43" id="{93CF3911-783D-4652-B076-869CB56DAD7D}">
            <xm:f>OR($B$12:$B$19=List!$A$53)</xm:f>
            <x14:dxf>
              <font>
                <color theme="1"/>
              </font>
              <fill>
                <patternFill>
                  <bgColor theme="8" tint="0.59996337778862885"/>
                </patternFill>
              </fill>
            </x14:dxf>
          </x14:cfRule>
          <xm:sqref>B104:E104 G104 I104 K104:L104 N104:P104 R104</xm:sqref>
        </x14:conditionalFormatting>
        <x14:conditionalFormatting xmlns:xm="http://schemas.microsoft.com/office/excel/2006/main">
          <x14:cfRule type="expression" priority="42" id="{FB443423-B759-4C41-B96C-78B477724C55}">
            <xm:f>OR($B$12:$B$19=List!$A$54)</xm:f>
            <x14:dxf>
              <font>
                <color theme="1"/>
              </font>
              <fill>
                <patternFill>
                  <bgColor theme="8" tint="0.59996337778862885"/>
                </patternFill>
              </fill>
            </x14:dxf>
          </x14:cfRule>
          <xm:sqref>B105:E105 G105 I105 K105:L105 N105:P105 R105</xm:sqref>
        </x14:conditionalFormatting>
        <x14:conditionalFormatting xmlns:xm="http://schemas.microsoft.com/office/excel/2006/main">
          <x14:cfRule type="expression" priority="41" id="{09EBD9BD-C294-46B7-BA99-7FB4FAD91541}">
            <xm:f>OR($B$12:$B$19=List!$A$55)</xm:f>
            <x14:dxf>
              <font>
                <color theme="1"/>
              </font>
              <fill>
                <patternFill>
                  <bgColor theme="8" tint="0.59996337778862885"/>
                </patternFill>
              </fill>
            </x14:dxf>
          </x14:cfRule>
          <xm:sqref>B106:E106 G106 I106 K106:L106 N106:P106 R106</xm:sqref>
        </x14:conditionalFormatting>
        <x14:conditionalFormatting xmlns:xm="http://schemas.microsoft.com/office/excel/2006/main">
          <x14:cfRule type="expression" priority="40" id="{62054D27-3013-47DC-86BE-ADAB87E9ECFA}">
            <xm:f>OR($B$12:$B$19=List!$A$56)</xm:f>
            <x14:dxf>
              <font>
                <color theme="1"/>
              </font>
              <fill>
                <patternFill>
                  <bgColor theme="8" tint="0.59996337778862885"/>
                </patternFill>
              </fill>
            </x14:dxf>
          </x14:cfRule>
          <xm:sqref>B107:E107 G107 I107 K107:L107 N107:P107 R107</xm:sqref>
        </x14:conditionalFormatting>
        <x14:conditionalFormatting xmlns:xm="http://schemas.microsoft.com/office/excel/2006/main">
          <x14:cfRule type="expression" priority="39" id="{7D1691D2-97DE-4E56-BD16-2201C68F1518}">
            <xm:f>OR($B$12:$B$19=List!$A$57)</xm:f>
            <x14:dxf>
              <font>
                <color theme="1"/>
              </font>
              <fill>
                <patternFill>
                  <bgColor theme="8" tint="0.59996337778862885"/>
                </patternFill>
              </fill>
            </x14:dxf>
          </x14:cfRule>
          <xm:sqref>B108:E108 G108 I108 K108:L108 N108:P108 R108</xm:sqref>
        </x14:conditionalFormatting>
        <x14:conditionalFormatting xmlns:xm="http://schemas.microsoft.com/office/excel/2006/main">
          <x14:cfRule type="expression" priority="37" id="{6188546B-BEA8-41A1-B1E5-B04CB7D430F0}">
            <xm:f>OR($B$31:$B$38=List!$A$51)</xm:f>
            <x14:dxf>
              <font>
                <color theme="1"/>
              </font>
              <fill>
                <patternFill>
                  <bgColor theme="8" tint="0.59996337778862885"/>
                </patternFill>
              </fill>
            </x14:dxf>
          </x14:cfRule>
          <xm:sqref>B153:D153 F153 H153 J153 L153:N153 P153:Q153 S153</xm:sqref>
        </x14:conditionalFormatting>
        <x14:conditionalFormatting xmlns:xm="http://schemas.microsoft.com/office/excel/2006/main">
          <x14:cfRule type="expression" priority="36" id="{52733D32-B4CF-4BE2-9EE8-B814AFDCEDF0}">
            <xm:f>OR($B$31:$B$38=List!$A$52)</xm:f>
            <x14:dxf>
              <font>
                <color theme="1"/>
              </font>
              <fill>
                <patternFill>
                  <bgColor theme="8" tint="0.59996337778862885"/>
                </patternFill>
              </fill>
            </x14:dxf>
          </x14:cfRule>
          <xm:sqref>B154:D154 F154 H154 J154 L154:N154 P154:Q154 S154</xm:sqref>
        </x14:conditionalFormatting>
        <x14:conditionalFormatting xmlns:xm="http://schemas.microsoft.com/office/excel/2006/main">
          <x14:cfRule type="expression" priority="35" id="{5EC03F54-09B9-415A-ADBD-17F5F4CC86C2}">
            <xm:f>OR($B$31:$B$38=List!$A$53)</xm:f>
            <x14:dxf>
              <font>
                <color theme="1"/>
              </font>
              <fill>
                <patternFill>
                  <bgColor theme="8" tint="0.59996337778862885"/>
                </patternFill>
              </fill>
            </x14:dxf>
          </x14:cfRule>
          <xm:sqref>B155:D155 F155 H155 J155 L155:N155 P155:Q155 S155</xm:sqref>
        </x14:conditionalFormatting>
        <x14:conditionalFormatting xmlns:xm="http://schemas.microsoft.com/office/excel/2006/main">
          <x14:cfRule type="expression" priority="34" id="{A7881187-D4C0-447C-B41C-8AD7B2091E0B}">
            <xm:f>OR($B$31:$B$38=List!$A$54)</xm:f>
            <x14:dxf>
              <font>
                <color theme="1"/>
              </font>
              <fill>
                <patternFill>
                  <bgColor theme="8" tint="0.59996337778862885"/>
                </patternFill>
              </fill>
            </x14:dxf>
          </x14:cfRule>
          <xm:sqref>B156:D156 F156 H156 J156 L156:N156 P156:Q156 S156</xm:sqref>
        </x14:conditionalFormatting>
        <x14:conditionalFormatting xmlns:xm="http://schemas.microsoft.com/office/excel/2006/main">
          <x14:cfRule type="expression" priority="33" id="{8AA3CB91-E22F-41BB-A15C-0570A55A9DA7}">
            <xm:f>OR($B$31:$B$38=List!$A$55)</xm:f>
            <x14:dxf>
              <font>
                <color theme="1"/>
              </font>
              <fill>
                <patternFill>
                  <bgColor theme="8" tint="0.59996337778862885"/>
                </patternFill>
              </fill>
            </x14:dxf>
          </x14:cfRule>
          <xm:sqref>B157:D157 F157 H157 J157 L157:N157 P157:Q157 S157</xm:sqref>
        </x14:conditionalFormatting>
        <x14:conditionalFormatting xmlns:xm="http://schemas.microsoft.com/office/excel/2006/main">
          <x14:cfRule type="expression" priority="32" id="{AA6D998C-D5BE-43A9-B5A5-DC755ED3F697}">
            <xm:f>OR($B$31:$B$38=List!$A$56)</xm:f>
            <x14:dxf>
              <font>
                <color theme="1"/>
              </font>
              <fill>
                <patternFill>
                  <bgColor theme="8" tint="0.59996337778862885"/>
                </patternFill>
              </fill>
            </x14:dxf>
          </x14:cfRule>
          <xm:sqref>B158:D158 F158 H158 J158 L158:N158 P158:Q158 S158</xm:sqref>
        </x14:conditionalFormatting>
        <x14:conditionalFormatting xmlns:xm="http://schemas.microsoft.com/office/excel/2006/main">
          <x14:cfRule type="expression" priority="31" id="{C0DA69D8-8F1F-4595-B5DA-4CBBAAAD2783}">
            <xm:f>OR($B$31:$B$38=List!$A$57)</xm:f>
            <x14:dxf>
              <font>
                <color theme="1"/>
              </font>
              <fill>
                <patternFill>
                  <bgColor theme="8" tint="0.59996337778862885"/>
                </patternFill>
              </fill>
            </x14:dxf>
          </x14:cfRule>
          <xm:sqref>B159:D159 F159 H159 J159 L159:N159 P159:Q159 S159</xm:sqref>
        </x14:conditionalFormatting>
        <x14:conditionalFormatting xmlns:xm="http://schemas.microsoft.com/office/excel/2006/main">
          <x14:cfRule type="expression" priority="27" id="{0DCD4CAD-AF74-4855-A4E5-FB1681BA952D}">
            <xm:f>$I$49=List!$D$65</xm:f>
            <x14:dxf>
              <font>
                <color rgb="FFFF6600"/>
              </font>
              <fill>
                <patternFill>
                  <bgColor rgb="FFFFFF99"/>
                </patternFill>
              </fill>
            </x14:dxf>
          </x14:cfRule>
          <xm:sqref>I49:J49</xm:sqref>
        </x14:conditionalFormatting>
        <x14:conditionalFormatting xmlns:xm="http://schemas.microsoft.com/office/excel/2006/main">
          <x14:cfRule type="expression" priority="26" id="{72807B5A-D5C2-426A-8727-99DA0A4D3AFF}">
            <xm:f>$I$53=List!$D$65</xm:f>
            <x14:dxf>
              <font>
                <color rgb="FFFF6600"/>
              </font>
              <fill>
                <patternFill>
                  <bgColor rgb="FFFFFF99"/>
                </patternFill>
              </fill>
            </x14:dxf>
          </x14:cfRule>
          <xm:sqref>I53</xm:sqref>
        </x14:conditionalFormatting>
        <x14:conditionalFormatting xmlns:xm="http://schemas.microsoft.com/office/excel/2006/main">
          <x14:cfRule type="expression" priority="25" id="{491B07CA-AAC7-46A0-8CD0-3C7EC18491A8}">
            <xm:f>$I$50=List!$D$65</xm:f>
            <x14:dxf>
              <font>
                <color rgb="FFFF6600"/>
              </font>
              <fill>
                <patternFill>
                  <bgColor rgb="FFFFFF99"/>
                </patternFill>
              </fill>
            </x14:dxf>
          </x14:cfRule>
          <xm:sqref>I50</xm:sqref>
        </x14:conditionalFormatting>
        <x14:conditionalFormatting xmlns:xm="http://schemas.microsoft.com/office/excel/2006/main">
          <x14:cfRule type="expression" priority="24" id="{24E30056-9BF7-4760-A778-84DCCAD11E84}">
            <xm:f>$I$51=List!$D$65</xm:f>
            <x14:dxf>
              <font>
                <color rgb="FFFF6600"/>
              </font>
              <fill>
                <patternFill>
                  <bgColor rgb="FFFFFF99"/>
                </patternFill>
              </fill>
            </x14:dxf>
          </x14:cfRule>
          <xm:sqref>I51</xm:sqref>
        </x14:conditionalFormatting>
        <x14:conditionalFormatting xmlns:xm="http://schemas.microsoft.com/office/excel/2006/main">
          <x14:cfRule type="expression" priority="23" id="{6F07E0E0-8A2F-4894-9444-FF001D3AE97E}">
            <xm:f>$I$52=List!$D$65</xm:f>
            <x14:dxf>
              <font>
                <color rgb="FFFF6600"/>
              </font>
              <fill>
                <patternFill>
                  <bgColor rgb="FFFFFF99"/>
                </patternFill>
              </fill>
            </x14:dxf>
          </x14:cfRule>
          <xm:sqref>I52</xm:sqref>
        </x14:conditionalFormatting>
        <x14:conditionalFormatting xmlns:xm="http://schemas.microsoft.com/office/excel/2006/main">
          <x14:cfRule type="expression" priority="22" id="{E500E2E4-4FF8-4A07-9BB1-AF543DA51C7A}">
            <xm:f>$I$54=List!$D$65</xm:f>
            <x14:dxf>
              <font>
                <color rgb="FFFF6600"/>
              </font>
              <fill>
                <patternFill>
                  <bgColor rgb="FFFFFF99"/>
                </patternFill>
              </fill>
            </x14:dxf>
          </x14:cfRule>
          <xm:sqref>I54</xm:sqref>
        </x14:conditionalFormatting>
        <x14:conditionalFormatting xmlns:xm="http://schemas.microsoft.com/office/excel/2006/main">
          <x14:cfRule type="expression" priority="21" id="{9B114487-3902-47E5-9C73-D264CFE93C36}">
            <xm:f>$I$55=List!$D$65</xm:f>
            <x14:dxf>
              <font>
                <color rgb="FFFF6600"/>
              </font>
              <fill>
                <patternFill>
                  <bgColor rgb="FFFFFF99"/>
                </patternFill>
              </fill>
            </x14:dxf>
          </x14:cfRule>
          <xm:sqref>I55</xm:sqref>
        </x14:conditionalFormatting>
        <x14:conditionalFormatting xmlns:xm="http://schemas.microsoft.com/office/excel/2006/main">
          <x14:cfRule type="expression" priority="20" id="{AC20F44C-3AAB-4268-BC1E-888C51D6D4CB}">
            <xm:f>$I$56=List!$D$65</xm:f>
            <x14:dxf>
              <font>
                <color rgb="FFFF6600"/>
              </font>
              <fill>
                <patternFill>
                  <bgColor rgb="FFFFFF99"/>
                </patternFill>
              </fill>
            </x14:dxf>
          </x14:cfRule>
          <xm:sqref>I56</xm:sqref>
        </x14:conditionalFormatting>
        <x14:conditionalFormatting xmlns:xm="http://schemas.microsoft.com/office/excel/2006/main">
          <x14:cfRule type="expression" priority="19" id="{71940D27-C3B4-4B6E-AFA8-B3BE69ABC55F}">
            <xm:f>$I$57=List!$D$65</xm:f>
            <x14:dxf>
              <font>
                <color rgb="FFFF6600"/>
              </font>
              <fill>
                <patternFill>
                  <bgColor rgb="FFFFFF99"/>
                </patternFill>
              </fill>
            </x14:dxf>
          </x14:cfRule>
          <xm:sqref>I57</xm:sqref>
        </x14:conditionalFormatting>
        <x14:conditionalFormatting xmlns:xm="http://schemas.microsoft.com/office/excel/2006/main">
          <x14:cfRule type="expression" priority="18" id="{C90900D6-C80C-4A29-9039-0A35F5E2F8D5}">
            <xm:f>$I$58=List!$D$65</xm:f>
            <x14:dxf>
              <font>
                <color rgb="FFFF6600"/>
              </font>
              <fill>
                <patternFill>
                  <bgColor rgb="FFFFFF99"/>
                </patternFill>
              </fill>
            </x14:dxf>
          </x14:cfRule>
          <xm:sqref>I58</xm:sqref>
        </x14:conditionalFormatting>
        <x14:conditionalFormatting xmlns:xm="http://schemas.microsoft.com/office/excel/2006/main">
          <x14:cfRule type="expression" priority="4" id="{5D94D09D-65AF-48D6-8B0F-52824A844A78}">
            <xm:f>OR($B$12:$B$19=List!$A$58)</xm:f>
            <x14:dxf>
              <font>
                <color theme="1"/>
              </font>
              <fill>
                <patternFill>
                  <bgColor theme="8" tint="0.59996337778862885"/>
                </patternFill>
              </fill>
            </x14:dxf>
          </x14:cfRule>
          <xm:sqref>B109:E109 G109 I109 K109:L109 N109:P109 R109</xm:sqref>
        </x14:conditionalFormatting>
        <x14:conditionalFormatting xmlns:xm="http://schemas.microsoft.com/office/excel/2006/main">
          <x14:cfRule type="expression" priority="2" id="{698C09BF-FFE9-4F79-93D3-B00FF689E8C8}">
            <xm:f>OR($B$31:$B$38=List!$A$58)</xm:f>
            <x14:dxf>
              <font>
                <color theme="1"/>
              </font>
              <fill>
                <patternFill>
                  <bgColor theme="8" tint="0.59996337778862885"/>
                </patternFill>
              </fill>
            </x14:dxf>
          </x14:cfRule>
          <xm:sqref>B160:D160 F160 H160 J160 L160:N160 P160:Q160 S160</xm:sqref>
        </x14:conditionalFormatting>
        <x14:conditionalFormatting xmlns:xm="http://schemas.microsoft.com/office/excel/2006/main">
          <x14:cfRule type="expression" priority="1" id="{32CBE335-0C15-4B49-BB2C-2AC9B5599C47}">
            <xm:f>OR($B$12:$B$19=List!$A$59)</xm:f>
            <x14:dxf>
              <font>
                <color theme="1"/>
              </font>
              <fill>
                <patternFill>
                  <bgColor theme="8" tint="0.59996337778862885"/>
                </patternFill>
              </fill>
            </x14:dxf>
          </x14:cfRule>
          <xm:sqref>B110:E110 G110 I110 K110:L110 N110:P110 R110</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1:AG32"/>
  <sheetViews>
    <sheetView zoomScale="70" zoomScaleNormal="70" workbookViewId="0">
      <pane ySplit="5" topLeftCell="A6" activePane="bottomLeft" state="frozen"/>
      <selection activeCell="O43" sqref="O43"/>
      <selection pane="bottomLeft" activeCell="H9" sqref="H9:K9"/>
    </sheetView>
  </sheetViews>
  <sheetFormatPr defaultColWidth="11.42578125" defaultRowHeight="12.75"/>
  <cols>
    <col min="1" max="1" width="3.28515625" style="1827" customWidth="1"/>
    <col min="2" max="2" width="5.7109375" style="1828" customWidth="1"/>
    <col min="3" max="3" width="18.140625" style="1828" customWidth="1"/>
    <col min="4" max="4" width="5.5703125" style="1828" customWidth="1"/>
    <col min="5" max="24" width="5.5703125" style="1829" customWidth="1"/>
    <col min="25" max="25" width="8" style="1829" customWidth="1"/>
    <col min="26" max="28" width="5.5703125" style="1829" customWidth="1"/>
    <col min="29" max="29" width="4.7109375" style="1829" customWidth="1"/>
    <col min="30" max="30" width="5.42578125" style="1829" customWidth="1"/>
    <col min="31" max="31" width="11.5703125" style="1827" customWidth="1"/>
    <col min="32" max="256" width="11.5703125" style="1827"/>
    <col min="257" max="257" width="3.28515625" style="1827" customWidth="1"/>
    <col min="258" max="258" width="5.7109375" style="1827" customWidth="1"/>
    <col min="259" max="259" width="19.42578125" style="1827" customWidth="1"/>
    <col min="260" max="260" width="4.28515625" style="1827" customWidth="1"/>
    <col min="261" max="261" width="4.28515625" style="1827" bestFit="1" customWidth="1"/>
    <col min="262" max="282" width="4.140625" style="1827" customWidth="1"/>
    <col min="283" max="285" width="4.7109375" style="1827" customWidth="1"/>
    <col min="286" max="286" width="5.42578125" style="1827" customWidth="1"/>
    <col min="287" max="512" width="11.5703125" style="1827"/>
    <col min="513" max="513" width="3.28515625" style="1827" customWidth="1"/>
    <col min="514" max="514" width="5.7109375" style="1827" customWidth="1"/>
    <col min="515" max="515" width="19.42578125" style="1827" customWidth="1"/>
    <col min="516" max="516" width="4.28515625" style="1827" customWidth="1"/>
    <col min="517" max="517" width="4.28515625" style="1827" bestFit="1" customWidth="1"/>
    <col min="518" max="538" width="4.140625" style="1827" customWidth="1"/>
    <col min="539" max="541" width="4.7109375" style="1827" customWidth="1"/>
    <col min="542" max="542" width="5.42578125" style="1827" customWidth="1"/>
    <col min="543" max="768" width="11.5703125" style="1827"/>
    <col min="769" max="769" width="3.28515625" style="1827" customWidth="1"/>
    <col min="770" max="770" width="5.7109375" style="1827" customWidth="1"/>
    <col min="771" max="771" width="19.42578125" style="1827" customWidth="1"/>
    <col min="772" max="772" width="4.28515625" style="1827" customWidth="1"/>
    <col min="773" max="773" width="4.28515625" style="1827" bestFit="1" customWidth="1"/>
    <col min="774" max="794" width="4.140625" style="1827" customWidth="1"/>
    <col min="795" max="797" width="4.7109375" style="1827" customWidth="1"/>
    <col min="798" max="798" width="5.42578125" style="1827" customWidth="1"/>
    <col min="799" max="1024" width="11.5703125" style="1827"/>
    <col min="1025" max="1025" width="3.28515625" style="1827" customWidth="1"/>
    <col min="1026" max="1026" width="5.7109375" style="1827" customWidth="1"/>
    <col min="1027" max="1027" width="19.42578125" style="1827" customWidth="1"/>
    <col min="1028" max="1028" width="4.28515625" style="1827" customWidth="1"/>
    <col min="1029" max="1029" width="4.28515625" style="1827" bestFit="1" customWidth="1"/>
    <col min="1030" max="1050" width="4.140625" style="1827" customWidth="1"/>
    <col min="1051" max="1053" width="4.7109375" style="1827" customWidth="1"/>
    <col min="1054" max="1054" width="5.42578125" style="1827" customWidth="1"/>
    <col min="1055" max="1280" width="11.5703125" style="1827"/>
    <col min="1281" max="1281" width="3.28515625" style="1827" customWidth="1"/>
    <col min="1282" max="1282" width="5.7109375" style="1827" customWidth="1"/>
    <col min="1283" max="1283" width="19.42578125" style="1827" customWidth="1"/>
    <col min="1284" max="1284" width="4.28515625" style="1827" customWidth="1"/>
    <col min="1285" max="1285" width="4.28515625" style="1827" bestFit="1" customWidth="1"/>
    <col min="1286" max="1306" width="4.140625" style="1827" customWidth="1"/>
    <col min="1307" max="1309" width="4.7109375" style="1827" customWidth="1"/>
    <col min="1310" max="1310" width="5.42578125" style="1827" customWidth="1"/>
    <col min="1311" max="1536" width="11.5703125" style="1827"/>
    <col min="1537" max="1537" width="3.28515625" style="1827" customWidth="1"/>
    <col min="1538" max="1538" width="5.7109375" style="1827" customWidth="1"/>
    <col min="1539" max="1539" width="19.42578125" style="1827" customWidth="1"/>
    <col min="1540" max="1540" width="4.28515625" style="1827" customWidth="1"/>
    <col min="1541" max="1541" width="4.28515625" style="1827" bestFit="1" customWidth="1"/>
    <col min="1542" max="1562" width="4.140625" style="1827" customWidth="1"/>
    <col min="1563" max="1565" width="4.7109375" style="1827" customWidth="1"/>
    <col min="1566" max="1566" width="5.42578125" style="1827" customWidth="1"/>
    <col min="1567" max="1792" width="11.5703125" style="1827"/>
    <col min="1793" max="1793" width="3.28515625" style="1827" customWidth="1"/>
    <col min="1794" max="1794" width="5.7109375" style="1827" customWidth="1"/>
    <col min="1795" max="1795" width="19.42578125" style="1827" customWidth="1"/>
    <col min="1796" max="1796" width="4.28515625" style="1827" customWidth="1"/>
    <col min="1797" max="1797" width="4.28515625" style="1827" bestFit="1" customWidth="1"/>
    <col min="1798" max="1818" width="4.140625" style="1827" customWidth="1"/>
    <col min="1819" max="1821" width="4.7109375" style="1827" customWidth="1"/>
    <col min="1822" max="1822" width="5.42578125" style="1827" customWidth="1"/>
    <col min="1823" max="2048" width="11.5703125" style="1827"/>
    <col min="2049" max="2049" width="3.28515625" style="1827" customWidth="1"/>
    <col min="2050" max="2050" width="5.7109375" style="1827" customWidth="1"/>
    <col min="2051" max="2051" width="19.42578125" style="1827" customWidth="1"/>
    <col min="2052" max="2052" width="4.28515625" style="1827" customWidth="1"/>
    <col min="2053" max="2053" width="4.28515625" style="1827" bestFit="1" customWidth="1"/>
    <col min="2054" max="2074" width="4.140625" style="1827" customWidth="1"/>
    <col min="2075" max="2077" width="4.7109375" style="1827" customWidth="1"/>
    <col min="2078" max="2078" width="5.42578125" style="1827" customWidth="1"/>
    <col min="2079" max="2304" width="11.5703125" style="1827"/>
    <col min="2305" max="2305" width="3.28515625" style="1827" customWidth="1"/>
    <col min="2306" max="2306" width="5.7109375" style="1827" customWidth="1"/>
    <col min="2307" max="2307" width="19.42578125" style="1827" customWidth="1"/>
    <col min="2308" max="2308" width="4.28515625" style="1827" customWidth="1"/>
    <col min="2309" max="2309" width="4.28515625" style="1827" bestFit="1" customWidth="1"/>
    <col min="2310" max="2330" width="4.140625" style="1827" customWidth="1"/>
    <col min="2331" max="2333" width="4.7109375" style="1827" customWidth="1"/>
    <col min="2334" max="2334" width="5.42578125" style="1827" customWidth="1"/>
    <col min="2335" max="2560" width="11.5703125" style="1827"/>
    <col min="2561" max="2561" width="3.28515625" style="1827" customWidth="1"/>
    <col min="2562" max="2562" width="5.7109375" style="1827" customWidth="1"/>
    <col min="2563" max="2563" width="19.42578125" style="1827" customWidth="1"/>
    <col min="2564" max="2564" width="4.28515625" style="1827" customWidth="1"/>
    <col min="2565" max="2565" width="4.28515625" style="1827" bestFit="1" customWidth="1"/>
    <col min="2566" max="2586" width="4.140625" style="1827" customWidth="1"/>
    <col min="2587" max="2589" width="4.7109375" style="1827" customWidth="1"/>
    <col min="2590" max="2590" width="5.42578125" style="1827" customWidth="1"/>
    <col min="2591" max="2816" width="11.5703125" style="1827"/>
    <col min="2817" max="2817" width="3.28515625" style="1827" customWidth="1"/>
    <col min="2818" max="2818" width="5.7109375" style="1827" customWidth="1"/>
    <col min="2819" max="2819" width="19.42578125" style="1827" customWidth="1"/>
    <col min="2820" max="2820" width="4.28515625" style="1827" customWidth="1"/>
    <col min="2821" max="2821" width="4.28515625" style="1827" bestFit="1" customWidth="1"/>
    <col min="2822" max="2842" width="4.140625" style="1827" customWidth="1"/>
    <col min="2843" max="2845" width="4.7109375" style="1827" customWidth="1"/>
    <col min="2846" max="2846" width="5.42578125" style="1827" customWidth="1"/>
    <col min="2847" max="3072" width="11.5703125" style="1827"/>
    <col min="3073" max="3073" width="3.28515625" style="1827" customWidth="1"/>
    <col min="3074" max="3074" width="5.7109375" style="1827" customWidth="1"/>
    <col min="3075" max="3075" width="19.42578125" style="1827" customWidth="1"/>
    <col min="3076" max="3076" width="4.28515625" style="1827" customWidth="1"/>
    <col min="3077" max="3077" width="4.28515625" style="1827" bestFit="1" customWidth="1"/>
    <col min="3078" max="3098" width="4.140625" style="1827" customWidth="1"/>
    <col min="3099" max="3101" width="4.7109375" style="1827" customWidth="1"/>
    <col min="3102" max="3102" width="5.42578125" style="1827" customWidth="1"/>
    <col min="3103" max="3328" width="11.5703125" style="1827"/>
    <col min="3329" max="3329" width="3.28515625" style="1827" customWidth="1"/>
    <col min="3330" max="3330" width="5.7109375" style="1827" customWidth="1"/>
    <col min="3331" max="3331" width="19.42578125" style="1827" customWidth="1"/>
    <col min="3332" max="3332" width="4.28515625" style="1827" customWidth="1"/>
    <col min="3333" max="3333" width="4.28515625" style="1827" bestFit="1" customWidth="1"/>
    <col min="3334" max="3354" width="4.140625" style="1827" customWidth="1"/>
    <col min="3355" max="3357" width="4.7109375" style="1827" customWidth="1"/>
    <col min="3358" max="3358" width="5.42578125" style="1827" customWidth="1"/>
    <col min="3359" max="3584" width="11.5703125" style="1827"/>
    <col min="3585" max="3585" width="3.28515625" style="1827" customWidth="1"/>
    <col min="3586" max="3586" width="5.7109375" style="1827" customWidth="1"/>
    <col min="3587" max="3587" width="19.42578125" style="1827" customWidth="1"/>
    <col min="3588" max="3588" width="4.28515625" style="1827" customWidth="1"/>
    <col min="3589" max="3589" width="4.28515625" style="1827" bestFit="1" customWidth="1"/>
    <col min="3590" max="3610" width="4.140625" style="1827" customWidth="1"/>
    <col min="3611" max="3613" width="4.7109375" style="1827" customWidth="1"/>
    <col min="3614" max="3614" width="5.42578125" style="1827" customWidth="1"/>
    <col min="3615" max="3840" width="11.5703125" style="1827"/>
    <col min="3841" max="3841" width="3.28515625" style="1827" customWidth="1"/>
    <col min="3842" max="3842" width="5.7109375" style="1827" customWidth="1"/>
    <col min="3843" max="3843" width="19.42578125" style="1827" customWidth="1"/>
    <col min="3844" max="3844" width="4.28515625" style="1827" customWidth="1"/>
    <col min="3845" max="3845" width="4.28515625" style="1827" bestFit="1" customWidth="1"/>
    <col min="3846" max="3866" width="4.140625" style="1827" customWidth="1"/>
    <col min="3867" max="3869" width="4.7109375" style="1827" customWidth="1"/>
    <col min="3870" max="3870" width="5.42578125" style="1827" customWidth="1"/>
    <col min="3871" max="4096" width="11.5703125" style="1827"/>
    <col min="4097" max="4097" width="3.28515625" style="1827" customWidth="1"/>
    <col min="4098" max="4098" width="5.7109375" style="1827" customWidth="1"/>
    <col min="4099" max="4099" width="19.42578125" style="1827" customWidth="1"/>
    <col min="4100" max="4100" width="4.28515625" style="1827" customWidth="1"/>
    <col min="4101" max="4101" width="4.28515625" style="1827" bestFit="1" customWidth="1"/>
    <col min="4102" max="4122" width="4.140625" style="1827" customWidth="1"/>
    <col min="4123" max="4125" width="4.7109375" style="1827" customWidth="1"/>
    <col min="4126" max="4126" width="5.42578125" style="1827" customWidth="1"/>
    <col min="4127" max="4352" width="11.5703125" style="1827"/>
    <col min="4353" max="4353" width="3.28515625" style="1827" customWidth="1"/>
    <col min="4354" max="4354" width="5.7109375" style="1827" customWidth="1"/>
    <col min="4355" max="4355" width="19.42578125" style="1827" customWidth="1"/>
    <col min="4356" max="4356" width="4.28515625" style="1827" customWidth="1"/>
    <col min="4357" max="4357" width="4.28515625" style="1827" bestFit="1" customWidth="1"/>
    <col min="4358" max="4378" width="4.140625" style="1827" customWidth="1"/>
    <col min="4379" max="4381" width="4.7109375" style="1827" customWidth="1"/>
    <col min="4382" max="4382" width="5.42578125" style="1827" customWidth="1"/>
    <col min="4383" max="4608" width="11.5703125" style="1827"/>
    <col min="4609" max="4609" width="3.28515625" style="1827" customWidth="1"/>
    <col min="4610" max="4610" width="5.7109375" style="1827" customWidth="1"/>
    <col min="4611" max="4611" width="19.42578125" style="1827" customWidth="1"/>
    <col min="4612" max="4612" width="4.28515625" style="1827" customWidth="1"/>
    <col min="4613" max="4613" width="4.28515625" style="1827" bestFit="1" customWidth="1"/>
    <col min="4614" max="4634" width="4.140625" style="1827" customWidth="1"/>
    <col min="4635" max="4637" width="4.7109375" style="1827" customWidth="1"/>
    <col min="4638" max="4638" width="5.42578125" style="1827" customWidth="1"/>
    <col min="4639" max="4864" width="11.5703125" style="1827"/>
    <col min="4865" max="4865" width="3.28515625" style="1827" customWidth="1"/>
    <col min="4866" max="4866" width="5.7109375" style="1827" customWidth="1"/>
    <col min="4867" max="4867" width="19.42578125" style="1827" customWidth="1"/>
    <col min="4868" max="4868" width="4.28515625" style="1827" customWidth="1"/>
    <col min="4869" max="4869" width="4.28515625" style="1827" bestFit="1" customWidth="1"/>
    <col min="4870" max="4890" width="4.140625" style="1827" customWidth="1"/>
    <col min="4891" max="4893" width="4.7109375" style="1827" customWidth="1"/>
    <col min="4894" max="4894" width="5.42578125" style="1827" customWidth="1"/>
    <col min="4895" max="5120" width="11.5703125" style="1827"/>
    <col min="5121" max="5121" width="3.28515625" style="1827" customWidth="1"/>
    <col min="5122" max="5122" width="5.7109375" style="1827" customWidth="1"/>
    <col min="5123" max="5123" width="19.42578125" style="1827" customWidth="1"/>
    <col min="5124" max="5124" width="4.28515625" style="1827" customWidth="1"/>
    <col min="5125" max="5125" width="4.28515625" style="1827" bestFit="1" customWidth="1"/>
    <col min="5126" max="5146" width="4.140625" style="1827" customWidth="1"/>
    <col min="5147" max="5149" width="4.7109375" style="1827" customWidth="1"/>
    <col min="5150" max="5150" width="5.42578125" style="1827" customWidth="1"/>
    <col min="5151" max="5376" width="11.5703125" style="1827"/>
    <col min="5377" max="5377" width="3.28515625" style="1827" customWidth="1"/>
    <col min="5378" max="5378" width="5.7109375" style="1827" customWidth="1"/>
    <col min="5379" max="5379" width="19.42578125" style="1827" customWidth="1"/>
    <col min="5380" max="5380" width="4.28515625" style="1827" customWidth="1"/>
    <col min="5381" max="5381" width="4.28515625" style="1827" bestFit="1" customWidth="1"/>
    <col min="5382" max="5402" width="4.140625" style="1827" customWidth="1"/>
    <col min="5403" max="5405" width="4.7109375" style="1827" customWidth="1"/>
    <col min="5406" max="5406" width="5.42578125" style="1827" customWidth="1"/>
    <col min="5407" max="5632" width="11.5703125" style="1827"/>
    <col min="5633" max="5633" width="3.28515625" style="1827" customWidth="1"/>
    <col min="5634" max="5634" width="5.7109375" style="1827" customWidth="1"/>
    <col min="5635" max="5635" width="19.42578125" style="1827" customWidth="1"/>
    <col min="5636" max="5636" width="4.28515625" style="1827" customWidth="1"/>
    <col min="5637" max="5637" width="4.28515625" style="1827" bestFit="1" customWidth="1"/>
    <col min="5638" max="5658" width="4.140625" style="1827" customWidth="1"/>
    <col min="5659" max="5661" width="4.7109375" style="1827" customWidth="1"/>
    <col min="5662" max="5662" width="5.42578125" style="1827" customWidth="1"/>
    <col min="5663" max="5888" width="11.5703125" style="1827"/>
    <col min="5889" max="5889" width="3.28515625" style="1827" customWidth="1"/>
    <col min="5890" max="5890" width="5.7109375" style="1827" customWidth="1"/>
    <col min="5891" max="5891" width="19.42578125" style="1827" customWidth="1"/>
    <col min="5892" max="5892" width="4.28515625" style="1827" customWidth="1"/>
    <col min="5893" max="5893" width="4.28515625" style="1827" bestFit="1" customWidth="1"/>
    <col min="5894" max="5914" width="4.140625" style="1827" customWidth="1"/>
    <col min="5915" max="5917" width="4.7109375" style="1827" customWidth="1"/>
    <col min="5918" max="5918" width="5.42578125" style="1827" customWidth="1"/>
    <col min="5919" max="6144" width="11.5703125" style="1827"/>
    <col min="6145" max="6145" width="3.28515625" style="1827" customWidth="1"/>
    <col min="6146" max="6146" width="5.7109375" style="1827" customWidth="1"/>
    <col min="6147" max="6147" width="19.42578125" style="1827" customWidth="1"/>
    <col min="6148" max="6148" width="4.28515625" style="1827" customWidth="1"/>
    <col min="6149" max="6149" width="4.28515625" style="1827" bestFit="1" customWidth="1"/>
    <col min="6150" max="6170" width="4.140625" style="1827" customWidth="1"/>
    <col min="6171" max="6173" width="4.7109375" style="1827" customWidth="1"/>
    <col min="6174" max="6174" width="5.42578125" style="1827" customWidth="1"/>
    <col min="6175" max="6400" width="11.5703125" style="1827"/>
    <col min="6401" max="6401" width="3.28515625" style="1827" customWidth="1"/>
    <col min="6402" max="6402" width="5.7109375" style="1827" customWidth="1"/>
    <col min="6403" max="6403" width="19.42578125" style="1827" customWidth="1"/>
    <col min="6404" max="6404" width="4.28515625" style="1827" customWidth="1"/>
    <col min="6405" max="6405" width="4.28515625" style="1827" bestFit="1" customWidth="1"/>
    <col min="6406" max="6426" width="4.140625" style="1827" customWidth="1"/>
    <col min="6427" max="6429" width="4.7109375" style="1827" customWidth="1"/>
    <col min="6430" max="6430" width="5.42578125" style="1827" customWidth="1"/>
    <col min="6431" max="6656" width="11.5703125" style="1827"/>
    <col min="6657" max="6657" width="3.28515625" style="1827" customWidth="1"/>
    <col min="6658" max="6658" width="5.7109375" style="1827" customWidth="1"/>
    <col min="6659" max="6659" width="19.42578125" style="1827" customWidth="1"/>
    <col min="6660" max="6660" width="4.28515625" style="1827" customWidth="1"/>
    <col min="6661" max="6661" width="4.28515625" style="1827" bestFit="1" customWidth="1"/>
    <col min="6662" max="6682" width="4.140625" style="1827" customWidth="1"/>
    <col min="6683" max="6685" width="4.7109375" style="1827" customWidth="1"/>
    <col min="6686" max="6686" width="5.42578125" style="1827" customWidth="1"/>
    <col min="6687" max="6912" width="11.5703125" style="1827"/>
    <col min="6913" max="6913" width="3.28515625" style="1827" customWidth="1"/>
    <col min="6914" max="6914" width="5.7109375" style="1827" customWidth="1"/>
    <col min="6915" max="6915" width="19.42578125" style="1827" customWidth="1"/>
    <col min="6916" max="6916" width="4.28515625" style="1827" customWidth="1"/>
    <col min="6917" max="6917" width="4.28515625" style="1827" bestFit="1" customWidth="1"/>
    <col min="6918" max="6938" width="4.140625" style="1827" customWidth="1"/>
    <col min="6939" max="6941" width="4.7109375" style="1827" customWidth="1"/>
    <col min="6942" max="6942" width="5.42578125" style="1827" customWidth="1"/>
    <col min="6943" max="7168" width="11.5703125" style="1827"/>
    <col min="7169" max="7169" width="3.28515625" style="1827" customWidth="1"/>
    <col min="7170" max="7170" width="5.7109375" style="1827" customWidth="1"/>
    <col min="7171" max="7171" width="19.42578125" style="1827" customWidth="1"/>
    <col min="7172" max="7172" width="4.28515625" style="1827" customWidth="1"/>
    <col min="7173" max="7173" width="4.28515625" style="1827" bestFit="1" customWidth="1"/>
    <col min="7174" max="7194" width="4.140625" style="1827" customWidth="1"/>
    <col min="7195" max="7197" width="4.7109375" style="1827" customWidth="1"/>
    <col min="7198" max="7198" width="5.42578125" style="1827" customWidth="1"/>
    <col min="7199" max="7424" width="11.5703125" style="1827"/>
    <col min="7425" max="7425" width="3.28515625" style="1827" customWidth="1"/>
    <col min="7426" max="7426" width="5.7109375" style="1827" customWidth="1"/>
    <col min="7427" max="7427" width="19.42578125" style="1827" customWidth="1"/>
    <col min="7428" max="7428" width="4.28515625" style="1827" customWidth="1"/>
    <col min="7429" max="7429" width="4.28515625" style="1827" bestFit="1" customWidth="1"/>
    <col min="7430" max="7450" width="4.140625" style="1827" customWidth="1"/>
    <col min="7451" max="7453" width="4.7109375" style="1827" customWidth="1"/>
    <col min="7454" max="7454" width="5.42578125" style="1827" customWidth="1"/>
    <col min="7455" max="7680" width="11.5703125" style="1827"/>
    <col min="7681" max="7681" width="3.28515625" style="1827" customWidth="1"/>
    <col min="7682" max="7682" width="5.7109375" style="1827" customWidth="1"/>
    <col min="7683" max="7683" width="19.42578125" style="1827" customWidth="1"/>
    <col min="7684" max="7684" width="4.28515625" style="1827" customWidth="1"/>
    <col min="7685" max="7685" width="4.28515625" style="1827" bestFit="1" customWidth="1"/>
    <col min="7686" max="7706" width="4.140625" style="1827" customWidth="1"/>
    <col min="7707" max="7709" width="4.7109375" style="1827" customWidth="1"/>
    <col min="7710" max="7710" width="5.42578125" style="1827" customWidth="1"/>
    <col min="7711" max="7936" width="11.5703125" style="1827"/>
    <col min="7937" max="7937" width="3.28515625" style="1827" customWidth="1"/>
    <col min="7938" max="7938" width="5.7109375" style="1827" customWidth="1"/>
    <col min="7939" max="7939" width="19.42578125" style="1827" customWidth="1"/>
    <col min="7940" max="7940" width="4.28515625" style="1827" customWidth="1"/>
    <col min="7941" max="7941" width="4.28515625" style="1827" bestFit="1" customWidth="1"/>
    <col min="7942" max="7962" width="4.140625" style="1827" customWidth="1"/>
    <col min="7963" max="7965" width="4.7109375" style="1827" customWidth="1"/>
    <col min="7966" max="7966" width="5.42578125" style="1827" customWidth="1"/>
    <col min="7967" max="8192" width="11.5703125" style="1827"/>
    <col min="8193" max="8193" width="3.28515625" style="1827" customWidth="1"/>
    <col min="8194" max="8194" width="5.7109375" style="1827" customWidth="1"/>
    <col min="8195" max="8195" width="19.42578125" style="1827" customWidth="1"/>
    <col min="8196" max="8196" width="4.28515625" style="1827" customWidth="1"/>
    <col min="8197" max="8197" width="4.28515625" style="1827" bestFit="1" customWidth="1"/>
    <col min="8198" max="8218" width="4.140625" style="1827" customWidth="1"/>
    <col min="8219" max="8221" width="4.7109375" style="1827" customWidth="1"/>
    <col min="8222" max="8222" width="5.42578125" style="1827" customWidth="1"/>
    <col min="8223" max="8448" width="11.5703125" style="1827"/>
    <col min="8449" max="8449" width="3.28515625" style="1827" customWidth="1"/>
    <col min="8450" max="8450" width="5.7109375" style="1827" customWidth="1"/>
    <col min="8451" max="8451" width="19.42578125" style="1827" customWidth="1"/>
    <col min="8452" max="8452" width="4.28515625" style="1827" customWidth="1"/>
    <col min="8453" max="8453" width="4.28515625" style="1827" bestFit="1" customWidth="1"/>
    <col min="8454" max="8474" width="4.140625" style="1827" customWidth="1"/>
    <col min="8475" max="8477" width="4.7109375" style="1827" customWidth="1"/>
    <col min="8478" max="8478" width="5.42578125" style="1827" customWidth="1"/>
    <col min="8479" max="8704" width="11.5703125" style="1827"/>
    <col min="8705" max="8705" width="3.28515625" style="1827" customWidth="1"/>
    <col min="8706" max="8706" width="5.7109375" style="1827" customWidth="1"/>
    <col min="8707" max="8707" width="19.42578125" style="1827" customWidth="1"/>
    <col min="8708" max="8708" width="4.28515625" style="1827" customWidth="1"/>
    <col min="8709" max="8709" width="4.28515625" style="1827" bestFit="1" customWidth="1"/>
    <col min="8710" max="8730" width="4.140625" style="1827" customWidth="1"/>
    <col min="8731" max="8733" width="4.7109375" style="1827" customWidth="1"/>
    <col min="8734" max="8734" width="5.42578125" style="1827" customWidth="1"/>
    <col min="8735" max="8960" width="11.5703125" style="1827"/>
    <col min="8961" max="8961" width="3.28515625" style="1827" customWidth="1"/>
    <col min="8962" max="8962" width="5.7109375" style="1827" customWidth="1"/>
    <col min="8963" max="8963" width="19.42578125" style="1827" customWidth="1"/>
    <col min="8964" max="8964" width="4.28515625" style="1827" customWidth="1"/>
    <col min="8965" max="8965" width="4.28515625" style="1827" bestFit="1" customWidth="1"/>
    <col min="8966" max="8986" width="4.140625" style="1827" customWidth="1"/>
    <col min="8987" max="8989" width="4.7109375" style="1827" customWidth="1"/>
    <col min="8990" max="8990" width="5.42578125" style="1827" customWidth="1"/>
    <col min="8991" max="9216" width="11.5703125" style="1827"/>
    <col min="9217" max="9217" width="3.28515625" style="1827" customWidth="1"/>
    <col min="9218" max="9218" width="5.7109375" style="1827" customWidth="1"/>
    <col min="9219" max="9219" width="19.42578125" style="1827" customWidth="1"/>
    <col min="9220" max="9220" width="4.28515625" style="1827" customWidth="1"/>
    <col min="9221" max="9221" width="4.28515625" style="1827" bestFit="1" customWidth="1"/>
    <col min="9222" max="9242" width="4.140625" style="1827" customWidth="1"/>
    <col min="9243" max="9245" width="4.7109375" style="1827" customWidth="1"/>
    <col min="9246" max="9246" width="5.42578125" style="1827" customWidth="1"/>
    <col min="9247" max="9472" width="11.5703125" style="1827"/>
    <col min="9473" max="9473" width="3.28515625" style="1827" customWidth="1"/>
    <col min="9474" max="9474" width="5.7109375" style="1827" customWidth="1"/>
    <col min="9475" max="9475" width="19.42578125" style="1827" customWidth="1"/>
    <col min="9476" max="9476" width="4.28515625" style="1827" customWidth="1"/>
    <col min="9477" max="9477" width="4.28515625" style="1827" bestFit="1" customWidth="1"/>
    <col min="9478" max="9498" width="4.140625" style="1827" customWidth="1"/>
    <col min="9499" max="9501" width="4.7109375" style="1827" customWidth="1"/>
    <col min="9502" max="9502" width="5.42578125" style="1827" customWidth="1"/>
    <col min="9503" max="9728" width="11.5703125" style="1827"/>
    <col min="9729" max="9729" width="3.28515625" style="1827" customWidth="1"/>
    <col min="9730" max="9730" width="5.7109375" style="1827" customWidth="1"/>
    <col min="9731" max="9731" width="19.42578125" style="1827" customWidth="1"/>
    <col min="9732" max="9732" width="4.28515625" style="1827" customWidth="1"/>
    <col min="9733" max="9733" width="4.28515625" style="1827" bestFit="1" customWidth="1"/>
    <col min="9734" max="9754" width="4.140625" style="1827" customWidth="1"/>
    <col min="9755" max="9757" width="4.7109375" style="1827" customWidth="1"/>
    <col min="9758" max="9758" width="5.42578125" style="1827" customWidth="1"/>
    <col min="9759" max="9984" width="11.5703125" style="1827"/>
    <col min="9985" max="9985" width="3.28515625" style="1827" customWidth="1"/>
    <col min="9986" max="9986" width="5.7109375" style="1827" customWidth="1"/>
    <col min="9987" max="9987" width="19.42578125" style="1827" customWidth="1"/>
    <col min="9988" max="9988" width="4.28515625" style="1827" customWidth="1"/>
    <col min="9989" max="9989" width="4.28515625" style="1827" bestFit="1" customWidth="1"/>
    <col min="9990" max="10010" width="4.140625" style="1827" customWidth="1"/>
    <col min="10011" max="10013" width="4.7109375" style="1827" customWidth="1"/>
    <col min="10014" max="10014" width="5.42578125" style="1827" customWidth="1"/>
    <col min="10015" max="10240" width="11.5703125" style="1827"/>
    <col min="10241" max="10241" width="3.28515625" style="1827" customWidth="1"/>
    <col min="10242" max="10242" width="5.7109375" style="1827" customWidth="1"/>
    <col min="10243" max="10243" width="19.42578125" style="1827" customWidth="1"/>
    <col min="10244" max="10244" width="4.28515625" style="1827" customWidth="1"/>
    <col min="10245" max="10245" width="4.28515625" style="1827" bestFit="1" customWidth="1"/>
    <col min="10246" max="10266" width="4.140625" style="1827" customWidth="1"/>
    <col min="10267" max="10269" width="4.7109375" style="1827" customWidth="1"/>
    <col min="10270" max="10270" width="5.42578125" style="1827" customWidth="1"/>
    <col min="10271" max="10496" width="11.5703125" style="1827"/>
    <col min="10497" max="10497" width="3.28515625" style="1827" customWidth="1"/>
    <col min="10498" max="10498" width="5.7109375" style="1827" customWidth="1"/>
    <col min="10499" max="10499" width="19.42578125" style="1827" customWidth="1"/>
    <col min="10500" max="10500" width="4.28515625" style="1827" customWidth="1"/>
    <col min="10501" max="10501" width="4.28515625" style="1827" bestFit="1" customWidth="1"/>
    <col min="10502" max="10522" width="4.140625" style="1827" customWidth="1"/>
    <col min="10523" max="10525" width="4.7109375" style="1827" customWidth="1"/>
    <col min="10526" max="10526" width="5.42578125" style="1827" customWidth="1"/>
    <col min="10527" max="10752" width="11.5703125" style="1827"/>
    <col min="10753" max="10753" width="3.28515625" style="1827" customWidth="1"/>
    <col min="10754" max="10754" width="5.7109375" style="1827" customWidth="1"/>
    <col min="10755" max="10755" width="19.42578125" style="1827" customWidth="1"/>
    <col min="10756" max="10756" width="4.28515625" style="1827" customWidth="1"/>
    <col min="10757" max="10757" width="4.28515625" style="1827" bestFit="1" customWidth="1"/>
    <col min="10758" max="10778" width="4.140625" style="1827" customWidth="1"/>
    <col min="10779" max="10781" width="4.7109375" style="1827" customWidth="1"/>
    <col min="10782" max="10782" width="5.42578125" style="1827" customWidth="1"/>
    <col min="10783" max="11008" width="11.5703125" style="1827"/>
    <col min="11009" max="11009" width="3.28515625" style="1827" customWidth="1"/>
    <col min="11010" max="11010" width="5.7109375" style="1827" customWidth="1"/>
    <col min="11011" max="11011" width="19.42578125" style="1827" customWidth="1"/>
    <col min="11012" max="11012" width="4.28515625" style="1827" customWidth="1"/>
    <col min="11013" max="11013" width="4.28515625" style="1827" bestFit="1" customWidth="1"/>
    <col min="11014" max="11034" width="4.140625" style="1827" customWidth="1"/>
    <col min="11035" max="11037" width="4.7109375" style="1827" customWidth="1"/>
    <col min="11038" max="11038" width="5.42578125" style="1827" customWidth="1"/>
    <col min="11039" max="11264" width="11.5703125" style="1827"/>
    <col min="11265" max="11265" width="3.28515625" style="1827" customWidth="1"/>
    <col min="11266" max="11266" width="5.7109375" style="1827" customWidth="1"/>
    <col min="11267" max="11267" width="19.42578125" style="1827" customWidth="1"/>
    <col min="11268" max="11268" width="4.28515625" style="1827" customWidth="1"/>
    <col min="11269" max="11269" width="4.28515625" style="1827" bestFit="1" customWidth="1"/>
    <col min="11270" max="11290" width="4.140625" style="1827" customWidth="1"/>
    <col min="11291" max="11293" width="4.7109375" style="1827" customWidth="1"/>
    <col min="11294" max="11294" width="5.42578125" style="1827" customWidth="1"/>
    <col min="11295" max="11520" width="11.5703125" style="1827"/>
    <col min="11521" max="11521" width="3.28515625" style="1827" customWidth="1"/>
    <col min="11522" max="11522" width="5.7109375" style="1827" customWidth="1"/>
    <col min="11523" max="11523" width="19.42578125" style="1827" customWidth="1"/>
    <col min="11524" max="11524" width="4.28515625" style="1827" customWidth="1"/>
    <col min="11525" max="11525" width="4.28515625" style="1827" bestFit="1" customWidth="1"/>
    <col min="11526" max="11546" width="4.140625" style="1827" customWidth="1"/>
    <col min="11547" max="11549" width="4.7109375" style="1827" customWidth="1"/>
    <col min="11550" max="11550" width="5.42578125" style="1827" customWidth="1"/>
    <col min="11551" max="11776" width="11.5703125" style="1827"/>
    <col min="11777" max="11777" width="3.28515625" style="1827" customWidth="1"/>
    <col min="11778" max="11778" width="5.7109375" style="1827" customWidth="1"/>
    <col min="11779" max="11779" width="19.42578125" style="1827" customWidth="1"/>
    <col min="11780" max="11780" width="4.28515625" style="1827" customWidth="1"/>
    <col min="11781" max="11781" width="4.28515625" style="1827" bestFit="1" customWidth="1"/>
    <col min="11782" max="11802" width="4.140625" style="1827" customWidth="1"/>
    <col min="11803" max="11805" width="4.7109375" style="1827" customWidth="1"/>
    <col min="11806" max="11806" width="5.42578125" style="1827" customWidth="1"/>
    <col min="11807" max="12032" width="11.5703125" style="1827"/>
    <col min="12033" max="12033" width="3.28515625" style="1827" customWidth="1"/>
    <col min="12034" max="12034" width="5.7109375" style="1827" customWidth="1"/>
    <col min="12035" max="12035" width="19.42578125" style="1827" customWidth="1"/>
    <col min="12036" max="12036" width="4.28515625" style="1827" customWidth="1"/>
    <col min="12037" max="12037" width="4.28515625" style="1827" bestFit="1" customWidth="1"/>
    <col min="12038" max="12058" width="4.140625" style="1827" customWidth="1"/>
    <col min="12059" max="12061" width="4.7109375" style="1827" customWidth="1"/>
    <col min="12062" max="12062" width="5.42578125" style="1827" customWidth="1"/>
    <col min="12063" max="12288" width="11.5703125" style="1827"/>
    <col min="12289" max="12289" width="3.28515625" style="1827" customWidth="1"/>
    <col min="12290" max="12290" width="5.7109375" style="1827" customWidth="1"/>
    <col min="12291" max="12291" width="19.42578125" style="1827" customWidth="1"/>
    <col min="12292" max="12292" width="4.28515625" style="1827" customWidth="1"/>
    <col min="12293" max="12293" width="4.28515625" style="1827" bestFit="1" customWidth="1"/>
    <col min="12294" max="12314" width="4.140625" style="1827" customWidth="1"/>
    <col min="12315" max="12317" width="4.7109375" style="1827" customWidth="1"/>
    <col min="12318" max="12318" width="5.42578125" style="1827" customWidth="1"/>
    <col min="12319" max="12544" width="11.5703125" style="1827"/>
    <col min="12545" max="12545" width="3.28515625" style="1827" customWidth="1"/>
    <col min="12546" max="12546" width="5.7109375" style="1827" customWidth="1"/>
    <col min="12547" max="12547" width="19.42578125" style="1827" customWidth="1"/>
    <col min="12548" max="12548" width="4.28515625" style="1827" customWidth="1"/>
    <col min="12549" max="12549" width="4.28515625" style="1827" bestFit="1" customWidth="1"/>
    <col min="12550" max="12570" width="4.140625" style="1827" customWidth="1"/>
    <col min="12571" max="12573" width="4.7109375" style="1827" customWidth="1"/>
    <col min="12574" max="12574" width="5.42578125" style="1827" customWidth="1"/>
    <col min="12575" max="12800" width="11.5703125" style="1827"/>
    <col min="12801" max="12801" width="3.28515625" style="1827" customWidth="1"/>
    <col min="12802" max="12802" width="5.7109375" style="1827" customWidth="1"/>
    <col min="12803" max="12803" width="19.42578125" style="1827" customWidth="1"/>
    <col min="12804" max="12804" width="4.28515625" style="1827" customWidth="1"/>
    <col min="12805" max="12805" width="4.28515625" style="1827" bestFit="1" customWidth="1"/>
    <col min="12806" max="12826" width="4.140625" style="1827" customWidth="1"/>
    <col min="12827" max="12829" width="4.7109375" style="1827" customWidth="1"/>
    <col min="12830" max="12830" width="5.42578125" style="1827" customWidth="1"/>
    <col min="12831" max="13056" width="11.5703125" style="1827"/>
    <col min="13057" max="13057" width="3.28515625" style="1827" customWidth="1"/>
    <col min="13058" max="13058" width="5.7109375" style="1827" customWidth="1"/>
    <col min="13059" max="13059" width="19.42578125" style="1827" customWidth="1"/>
    <col min="13060" max="13060" width="4.28515625" style="1827" customWidth="1"/>
    <col min="13061" max="13061" width="4.28515625" style="1827" bestFit="1" customWidth="1"/>
    <col min="13062" max="13082" width="4.140625" style="1827" customWidth="1"/>
    <col min="13083" max="13085" width="4.7109375" style="1827" customWidth="1"/>
    <col min="13086" max="13086" width="5.42578125" style="1827" customWidth="1"/>
    <col min="13087" max="13312" width="11.5703125" style="1827"/>
    <col min="13313" max="13313" width="3.28515625" style="1827" customWidth="1"/>
    <col min="13314" max="13314" width="5.7109375" style="1827" customWidth="1"/>
    <col min="13315" max="13315" width="19.42578125" style="1827" customWidth="1"/>
    <col min="13316" max="13316" width="4.28515625" style="1827" customWidth="1"/>
    <col min="13317" max="13317" width="4.28515625" style="1827" bestFit="1" customWidth="1"/>
    <col min="13318" max="13338" width="4.140625" style="1827" customWidth="1"/>
    <col min="13339" max="13341" width="4.7109375" style="1827" customWidth="1"/>
    <col min="13342" max="13342" width="5.42578125" style="1827" customWidth="1"/>
    <col min="13343" max="13568" width="11.5703125" style="1827"/>
    <col min="13569" max="13569" width="3.28515625" style="1827" customWidth="1"/>
    <col min="13570" max="13570" width="5.7109375" style="1827" customWidth="1"/>
    <col min="13571" max="13571" width="19.42578125" style="1827" customWidth="1"/>
    <col min="13572" max="13572" width="4.28515625" style="1827" customWidth="1"/>
    <col min="13573" max="13573" width="4.28515625" style="1827" bestFit="1" customWidth="1"/>
    <col min="13574" max="13594" width="4.140625" style="1827" customWidth="1"/>
    <col min="13595" max="13597" width="4.7109375" style="1827" customWidth="1"/>
    <col min="13598" max="13598" width="5.42578125" style="1827" customWidth="1"/>
    <col min="13599" max="13824" width="11.5703125" style="1827"/>
    <col min="13825" max="13825" width="3.28515625" style="1827" customWidth="1"/>
    <col min="13826" max="13826" width="5.7109375" style="1827" customWidth="1"/>
    <col min="13827" max="13827" width="19.42578125" style="1827" customWidth="1"/>
    <col min="13828" max="13828" width="4.28515625" style="1827" customWidth="1"/>
    <col min="13829" max="13829" width="4.28515625" style="1827" bestFit="1" customWidth="1"/>
    <col min="13830" max="13850" width="4.140625" style="1827" customWidth="1"/>
    <col min="13851" max="13853" width="4.7109375" style="1827" customWidth="1"/>
    <col min="13854" max="13854" width="5.42578125" style="1827" customWidth="1"/>
    <col min="13855" max="14080" width="11.5703125" style="1827"/>
    <col min="14081" max="14081" width="3.28515625" style="1827" customWidth="1"/>
    <col min="14082" max="14082" width="5.7109375" style="1827" customWidth="1"/>
    <col min="14083" max="14083" width="19.42578125" style="1827" customWidth="1"/>
    <col min="14084" max="14084" width="4.28515625" style="1827" customWidth="1"/>
    <col min="14085" max="14085" width="4.28515625" style="1827" bestFit="1" customWidth="1"/>
    <col min="14086" max="14106" width="4.140625" style="1827" customWidth="1"/>
    <col min="14107" max="14109" width="4.7109375" style="1827" customWidth="1"/>
    <col min="14110" max="14110" width="5.42578125" style="1827" customWidth="1"/>
    <col min="14111" max="14336" width="11.5703125" style="1827"/>
    <col min="14337" max="14337" width="3.28515625" style="1827" customWidth="1"/>
    <col min="14338" max="14338" width="5.7109375" style="1827" customWidth="1"/>
    <col min="14339" max="14339" width="19.42578125" style="1827" customWidth="1"/>
    <col min="14340" max="14340" width="4.28515625" style="1827" customWidth="1"/>
    <col min="14341" max="14341" width="4.28515625" style="1827" bestFit="1" customWidth="1"/>
    <col min="14342" max="14362" width="4.140625" style="1827" customWidth="1"/>
    <col min="14363" max="14365" width="4.7109375" style="1827" customWidth="1"/>
    <col min="14366" max="14366" width="5.42578125" style="1827" customWidth="1"/>
    <col min="14367" max="14592" width="11.5703125" style="1827"/>
    <col min="14593" max="14593" width="3.28515625" style="1827" customWidth="1"/>
    <col min="14594" max="14594" width="5.7109375" style="1827" customWidth="1"/>
    <col min="14595" max="14595" width="19.42578125" style="1827" customWidth="1"/>
    <col min="14596" max="14596" width="4.28515625" style="1827" customWidth="1"/>
    <col min="14597" max="14597" width="4.28515625" style="1827" bestFit="1" customWidth="1"/>
    <col min="14598" max="14618" width="4.140625" style="1827" customWidth="1"/>
    <col min="14619" max="14621" width="4.7109375" style="1827" customWidth="1"/>
    <col min="14622" max="14622" width="5.42578125" style="1827" customWidth="1"/>
    <col min="14623" max="14848" width="11.5703125" style="1827"/>
    <col min="14849" max="14849" width="3.28515625" style="1827" customWidth="1"/>
    <col min="14850" max="14850" width="5.7109375" style="1827" customWidth="1"/>
    <col min="14851" max="14851" width="19.42578125" style="1827" customWidth="1"/>
    <col min="14852" max="14852" width="4.28515625" style="1827" customWidth="1"/>
    <col min="14853" max="14853" width="4.28515625" style="1827" bestFit="1" customWidth="1"/>
    <col min="14854" max="14874" width="4.140625" style="1827" customWidth="1"/>
    <col min="14875" max="14877" width="4.7109375" style="1827" customWidth="1"/>
    <col min="14878" max="14878" width="5.42578125" style="1827" customWidth="1"/>
    <col min="14879" max="15104" width="11.5703125" style="1827"/>
    <col min="15105" max="15105" width="3.28515625" style="1827" customWidth="1"/>
    <col min="15106" max="15106" width="5.7109375" style="1827" customWidth="1"/>
    <col min="15107" max="15107" width="19.42578125" style="1827" customWidth="1"/>
    <col min="15108" max="15108" width="4.28515625" style="1827" customWidth="1"/>
    <col min="15109" max="15109" width="4.28515625" style="1827" bestFit="1" customWidth="1"/>
    <col min="15110" max="15130" width="4.140625" style="1827" customWidth="1"/>
    <col min="15131" max="15133" width="4.7109375" style="1827" customWidth="1"/>
    <col min="15134" max="15134" width="5.42578125" style="1827" customWidth="1"/>
    <col min="15135" max="15360" width="11.5703125" style="1827"/>
    <col min="15361" max="15361" width="3.28515625" style="1827" customWidth="1"/>
    <col min="15362" max="15362" width="5.7109375" style="1827" customWidth="1"/>
    <col min="15363" max="15363" width="19.42578125" style="1827" customWidth="1"/>
    <col min="15364" max="15364" width="4.28515625" style="1827" customWidth="1"/>
    <col min="15365" max="15365" width="4.28515625" style="1827" bestFit="1" customWidth="1"/>
    <col min="15366" max="15386" width="4.140625" style="1827" customWidth="1"/>
    <col min="15387" max="15389" width="4.7109375" style="1827" customWidth="1"/>
    <col min="15390" max="15390" width="5.42578125" style="1827" customWidth="1"/>
    <col min="15391" max="15616" width="11.5703125" style="1827"/>
    <col min="15617" max="15617" width="3.28515625" style="1827" customWidth="1"/>
    <col min="15618" max="15618" width="5.7109375" style="1827" customWidth="1"/>
    <col min="15619" max="15619" width="19.42578125" style="1827" customWidth="1"/>
    <col min="15620" max="15620" width="4.28515625" style="1827" customWidth="1"/>
    <col min="15621" max="15621" width="4.28515625" style="1827" bestFit="1" customWidth="1"/>
    <col min="15622" max="15642" width="4.140625" style="1827" customWidth="1"/>
    <col min="15643" max="15645" width="4.7109375" style="1827" customWidth="1"/>
    <col min="15646" max="15646" width="5.42578125" style="1827" customWidth="1"/>
    <col min="15647" max="15872" width="11.5703125" style="1827"/>
    <col min="15873" max="15873" width="3.28515625" style="1827" customWidth="1"/>
    <col min="15874" max="15874" width="5.7109375" style="1827" customWidth="1"/>
    <col min="15875" max="15875" width="19.42578125" style="1827" customWidth="1"/>
    <col min="15876" max="15876" width="4.28515625" style="1827" customWidth="1"/>
    <col min="15877" max="15877" width="4.28515625" style="1827" bestFit="1" customWidth="1"/>
    <col min="15878" max="15898" width="4.140625" style="1827" customWidth="1"/>
    <col min="15899" max="15901" width="4.7109375" style="1827" customWidth="1"/>
    <col min="15902" max="15902" width="5.42578125" style="1827" customWidth="1"/>
    <col min="15903" max="16128" width="11.5703125" style="1827"/>
    <col min="16129" max="16129" width="3.28515625" style="1827" customWidth="1"/>
    <col min="16130" max="16130" width="5.7109375" style="1827" customWidth="1"/>
    <col min="16131" max="16131" width="19.42578125" style="1827" customWidth="1"/>
    <col min="16132" max="16132" width="4.28515625" style="1827" customWidth="1"/>
    <col min="16133" max="16133" width="4.28515625" style="1827" bestFit="1" customWidth="1"/>
    <col min="16134" max="16154" width="4.140625" style="1827" customWidth="1"/>
    <col min="16155" max="16157" width="4.7109375" style="1827" customWidth="1"/>
    <col min="16158" max="16158" width="5.42578125" style="1827" customWidth="1"/>
    <col min="16159" max="16384" width="11.5703125" style="1827"/>
  </cols>
  <sheetData>
    <row r="1" spans="1:33" s="2229" customFormat="1" ht="23.45" customHeight="1">
      <c r="B1" s="2230"/>
      <c r="C1" s="2230"/>
      <c r="D1" s="2230"/>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row>
    <row r="2" spans="1:33" s="2229" customFormat="1" ht="23.45" customHeight="1">
      <c r="B2" s="2230"/>
      <c r="C2" s="2230"/>
      <c r="D2" s="2230"/>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row>
    <row r="3" spans="1:33" s="2229" customFormat="1" ht="23.45" customHeight="1">
      <c r="B3" s="2230"/>
      <c r="C3" s="2230"/>
      <c r="D3" s="2230"/>
      <c r="E3" s="2231"/>
      <c r="F3" s="2231"/>
      <c r="G3" s="2231"/>
      <c r="H3" s="2231"/>
      <c r="I3" s="2231"/>
      <c r="J3" s="2231"/>
      <c r="K3" s="2231"/>
      <c r="L3" s="2231"/>
      <c r="M3" s="2231"/>
      <c r="N3" s="2231"/>
      <c r="O3" s="2231"/>
      <c r="P3" s="2231"/>
      <c r="Q3" s="2231"/>
      <c r="R3" s="2231"/>
      <c r="S3" s="2231"/>
      <c r="T3" s="2231"/>
      <c r="U3" s="2231"/>
      <c r="V3" s="2231"/>
      <c r="W3" s="2231"/>
      <c r="X3" s="2231"/>
      <c r="Y3" s="2231"/>
      <c r="Z3" s="2231"/>
      <c r="AA3" s="2231"/>
      <c r="AB3" s="2231"/>
      <c r="AC3" s="2231"/>
      <c r="AD3" s="2231"/>
    </row>
    <row r="4" spans="1:33" s="2229" customFormat="1" ht="23.45" customHeight="1">
      <c r="B4" s="2230"/>
      <c r="C4" s="2230"/>
      <c r="D4" s="2230"/>
      <c r="E4" s="2231"/>
      <c r="F4" s="2231"/>
      <c r="G4" s="2231"/>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row>
    <row r="5" spans="1:33" s="2229" customFormat="1" ht="23.45" customHeight="1">
      <c r="A5" s="2708" t="str">
        <f>HLOOKUP(select,translations!$B$436:$H$450,2,)</f>
        <v xml:space="preserve"> </v>
      </c>
      <c r="B5" s="2230"/>
      <c r="C5" s="2230"/>
      <c r="D5" s="2230"/>
      <c r="E5" s="2231"/>
      <c r="F5" s="2231"/>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row>
    <row r="6" spans="1:33">
      <c r="A6" s="4097"/>
      <c r="B6" s="4097"/>
      <c r="C6" s="4097"/>
    </row>
    <row r="7" spans="1:33" ht="13.15" customHeight="1">
      <c r="B7" s="4094" t="str">
        <f>HLOOKUP(select,translations!$A$491:$H$520,2,)</f>
        <v>Yield</v>
      </c>
      <c r="C7" s="4094"/>
      <c r="D7" s="4094"/>
    </row>
    <row r="8" spans="1:33" ht="13.15" customHeight="1">
      <c r="B8" s="4094"/>
      <c r="C8" s="4094"/>
      <c r="D8" s="4094"/>
      <c r="E8" s="1822"/>
      <c r="F8" s="1822"/>
      <c r="G8" s="1837" t="str">
        <f>IF(Nlang=1,"",HLOOKUP(select,translations!$A$491:$H$520,3,))</f>
        <v/>
      </c>
      <c r="H8" s="4098" t="s">
        <v>5</v>
      </c>
      <c r="I8" s="4098"/>
      <c r="J8" s="4098"/>
      <c r="K8" s="4098"/>
      <c r="L8" s="1841" t="str">
        <f>IF(Nlang=1,"",HLOOKUP(select,translations!$A$491:$H$520,5,))</f>
        <v/>
      </c>
      <c r="M8" s="1822"/>
      <c r="N8" s="1822"/>
      <c r="O8" s="1822"/>
      <c r="P8" s="2751" t="str">
        <f>IF(Nlang=1,H8,VLOOKUP(H8,List_Yield!A1:B31,2,))</f>
        <v>?</v>
      </c>
      <c r="Q8" s="1822"/>
      <c r="R8" s="1822"/>
      <c r="S8" s="1822"/>
      <c r="T8" s="1822"/>
      <c r="U8" s="1822"/>
      <c r="V8" s="1822"/>
      <c r="W8" s="1822"/>
      <c r="X8" s="1822"/>
      <c r="Y8" s="1822"/>
      <c r="Z8" s="1822"/>
      <c r="AA8" s="1822"/>
      <c r="AB8" s="1821"/>
    </row>
    <row r="9" spans="1:33">
      <c r="B9" s="1822"/>
      <c r="C9" s="1822"/>
      <c r="D9" s="1822"/>
      <c r="E9" s="1822"/>
      <c r="F9" s="1822"/>
      <c r="G9" s="1837" t="str">
        <f>IF(Nlang=1,"",HLOOKUP(select,translations!$A$491:$H$520,4,))</f>
        <v/>
      </c>
      <c r="H9" s="4098" t="s">
        <v>5</v>
      </c>
      <c r="I9" s="4098"/>
      <c r="J9" s="4098"/>
      <c r="K9" s="4098"/>
      <c r="L9" s="1822"/>
      <c r="M9" s="1822"/>
      <c r="N9" s="1822"/>
      <c r="O9" s="1822"/>
      <c r="P9" s="2751" t="str">
        <f>IF(Nlang=1,H9,VLOOKUP(H9,List_Yield!C2:D63,2,))</f>
        <v>?</v>
      </c>
      <c r="Q9" s="1822"/>
      <c r="R9" s="1822"/>
      <c r="S9" s="1822"/>
      <c r="T9" s="1822"/>
      <c r="U9" s="1822"/>
      <c r="V9" s="1822"/>
      <c r="W9" s="1822"/>
      <c r="X9" s="1822"/>
      <c r="Y9" s="1822"/>
      <c r="Z9" s="1822"/>
      <c r="AA9" s="1822"/>
      <c r="AB9" s="1821"/>
    </row>
    <row r="10" spans="1:33">
      <c r="B10" s="1830"/>
      <c r="C10" s="1830"/>
      <c r="D10" s="1830"/>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row>
    <row r="11" spans="1:33">
      <c r="B11" s="1838"/>
      <c r="C11" s="1825" t="str">
        <f>IF(Nlang=1,"",HLOOKUP(select,translations!$A$491:$H$520,6,))</f>
        <v/>
      </c>
      <c r="D11" s="1826">
        <v>1961</v>
      </c>
      <c r="E11" s="1826">
        <v>1962</v>
      </c>
      <c r="F11" s="1826">
        <v>1963</v>
      </c>
      <c r="G11" s="1826">
        <v>1964</v>
      </c>
      <c r="H11" s="1826">
        <v>1965</v>
      </c>
      <c r="I11" s="1826">
        <v>1966</v>
      </c>
      <c r="J11" s="1826">
        <v>1967</v>
      </c>
      <c r="K11" s="1826">
        <v>1968</v>
      </c>
      <c r="L11" s="1826">
        <v>1969</v>
      </c>
      <c r="M11" s="1826">
        <v>1970</v>
      </c>
      <c r="N11" s="1826">
        <v>1971</v>
      </c>
      <c r="O11" s="1826">
        <v>1972</v>
      </c>
      <c r="P11" s="1826">
        <v>1973</v>
      </c>
      <c r="Q11" s="1826">
        <v>1974</v>
      </c>
      <c r="R11" s="1826">
        <v>1975</v>
      </c>
      <c r="S11" s="1826">
        <v>1976</v>
      </c>
      <c r="T11" s="1826">
        <v>1977</v>
      </c>
      <c r="U11" s="1826">
        <v>1978</v>
      </c>
      <c r="V11" s="1826">
        <v>1979</v>
      </c>
      <c r="W11" s="1826">
        <v>1980</v>
      </c>
      <c r="X11" s="1826">
        <v>1981</v>
      </c>
      <c r="Y11" s="1826">
        <v>1982</v>
      </c>
      <c r="Z11" s="1826">
        <v>1983</v>
      </c>
      <c r="AA11" s="1826">
        <v>1984</v>
      </c>
      <c r="AB11" s="1826">
        <v>1985</v>
      </c>
    </row>
    <row r="12" spans="1:33">
      <c r="B12" s="1832"/>
      <c r="C12" s="1823" t="str">
        <f>IF(Nlang=1,"",HLOOKUP(select,translations!$A$491:$H$520,7,))</f>
        <v/>
      </c>
      <c r="D12" s="1824">
        <f>VLOOKUP(CONCATENATE(Select_c,Select_p),Stats_yield!$A$1:$BC$1292,F11-1957,)</f>
        <v>0</v>
      </c>
      <c r="E12" s="1824">
        <f>VLOOKUP(CONCATENATE(Select_c,Select_p),Stats_yield!$A$1:$BC$1292,G11-1957,)</f>
        <v>0</v>
      </c>
      <c r="F12" s="1824">
        <f>VLOOKUP(CONCATENATE(Select_c,Select_p),Stats_yield!$A$1:$BC$1292,H11-1957,)</f>
        <v>0</v>
      </c>
      <c r="G12" s="1824">
        <f>VLOOKUP(CONCATENATE(Select_c,Select_p),Stats_yield!$A$1:$BC$1292,I11-1957,)</f>
        <v>0</v>
      </c>
      <c r="H12" s="1824">
        <f>VLOOKUP(CONCATENATE(Select_c,Select_p),Stats_yield!$A$1:$BC$1292,J11-1957,)</f>
        <v>0</v>
      </c>
      <c r="I12" s="1824">
        <f>VLOOKUP(CONCATENATE(Select_c,Select_p),Stats_yield!$A$1:$BC$1292,K11-1957,)</f>
        <v>0</v>
      </c>
      <c r="J12" s="1824">
        <f>VLOOKUP(CONCATENATE(Select_c,Select_p),Stats_yield!$A$1:$BC$1292,L11-1957,)</f>
        <v>0</v>
      </c>
      <c r="K12" s="1824">
        <f>VLOOKUP(CONCATENATE(Select_c,Select_p),Stats_yield!$A$1:$BC$1292,M11-1957,)</f>
        <v>0</v>
      </c>
      <c r="L12" s="1824">
        <f>VLOOKUP(CONCATENATE(Select_c,Select_p),Stats_yield!$A$1:$BC$1292,N11-1957,)</f>
        <v>0</v>
      </c>
      <c r="M12" s="1824">
        <f>VLOOKUP(CONCATENATE(Select_c,Select_p),Stats_yield!$A$1:$BC$1292,O11-1957,)</f>
        <v>0</v>
      </c>
      <c r="N12" s="1824">
        <f>VLOOKUP(CONCATENATE(Select_c,Select_p),Stats_yield!$A$1:$BC$1292,P11-1957,)</f>
        <v>0</v>
      </c>
      <c r="O12" s="1824">
        <f>VLOOKUP(CONCATENATE(Select_c,Select_p),Stats_yield!$A$1:$BC$1292,Q11-1957,)</f>
        <v>0</v>
      </c>
      <c r="P12" s="1824">
        <f>VLOOKUP(CONCATENATE(Select_c,Select_p),Stats_yield!$A$1:$BC$1292,R11-1957,)</f>
        <v>0</v>
      </c>
      <c r="Q12" s="1824">
        <f>VLOOKUP(CONCATENATE(Select_c,Select_p),Stats_yield!$A$1:$BC$1292,S11-1957,)</f>
        <v>0</v>
      </c>
      <c r="R12" s="1824">
        <f>VLOOKUP(CONCATENATE(Select_c,Select_p),Stats_yield!$A$1:$BC$1292,T11-1957,)</f>
        <v>0</v>
      </c>
      <c r="S12" s="1824">
        <f>VLOOKUP(CONCATENATE(Select_c,Select_p),Stats_yield!$A$1:$BC$1292,U11-1957,)</f>
        <v>0</v>
      </c>
      <c r="T12" s="1824">
        <f>VLOOKUP(CONCATENATE(Select_c,Select_p),Stats_yield!$A$1:$BC$1292,V11-1957,)</f>
        <v>0</v>
      </c>
      <c r="U12" s="1824">
        <f>VLOOKUP(CONCATENATE(Select_c,Select_p),Stats_yield!$A$1:$BC$1292,W11-1957,)</f>
        <v>0</v>
      </c>
      <c r="V12" s="1824">
        <f>VLOOKUP(CONCATENATE(Select_c,Select_p),Stats_yield!$A$1:$BC$1292,X11-1957,)</f>
        <v>0</v>
      </c>
      <c r="W12" s="1824">
        <f>VLOOKUP(CONCATENATE(Select_c,Select_p),Stats_yield!$A$1:$BC$1292,Y11-1957,)</f>
        <v>0</v>
      </c>
      <c r="X12" s="1824">
        <f>VLOOKUP(CONCATENATE(Select_c,Select_p),Stats_yield!$A$1:$BC$1292,Z11-1957,)</f>
        <v>0</v>
      </c>
      <c r="Y12" s="1824">
        <f>VLOOKUP(CONCATENATE(Select_c,Select_p),Stats_yield!$A$1:$BC$1292,AA11-1957,)</f>
        <v>0</v>
      </c>
      <c r="Z12" s="1824">
        <f>VLOOKUP(CONCATENATE(Select_c,Select_p),Stats_yield!$A$1:$BC$1292,AB11-1957,)</f>
        <v>0</v>
      </c>
      <c r="AA12" s="1824">
        <f>VLOOKUP(CONCATENATE(Select_c,Select_p),Stats_yield!$A$1:$BC$1292,D14-1957,)</f>
        <v>0</v>
      </c>
      <c r="AB12" s="1824">
        <f>VLOOKUP(CONCATENATE(Select_c,Select_p),Stats_yield!$A$1:$BC$1292,E14-1957,)</f>
        <v>0</v>
      </c>
    </row>
    <row r="13" spans="1:33">
      <c r="B13" s="1830"/>
      <c r="C13" s="1831"/>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F13" s="3470"/>
      <c r="AG13" s="3470"/>
    </row>
    <row r="14" spans="1:33">
      <c r="B14" s="1839"/>
      <c r="C14" s="1825" t="str">
        <f>C11</f>
        <v/>
      </c>
      <c r="D14" s="1840">
        <v>1986</v>
      </c>
      <c r="E14" s="1840">
        <v>1987</v>
      </c>
      <c r="F14" s="1840">
        <v>1988</v>
      </c>
      <c r="G14" s="1840">
        <v>1989</v>
      </c>
      <c r="H14" s="1840">
        <v>1990</v>
      </c>
      <c r="I14" s="1840">
        <v>1991</v>
      </c>
      <c r="J14" s="1840">
        <v>1992</v>
      </c>
      <c r="K14" s="1840">
        <v>1993</v>
      </c>
      <c r="L14" s="1840">
        <v>1994</v>
      </c>
      <c r="M14" s="1840">
        <v>1995</v>
      </c>
      <c r="N14" s="1840">
        <v>1996</v>
      </c>
      <c r="O14" s="1840">
        <v>1997</v>
      </c>
      <c r="P14" s="1840">
        <v>1998</v>
      </c>
      <c r="Q14" s="1840">
        <v>1999</v>
      </c>
      <c r="R14" s="1840">
        <v>2000</v>
      </c>
      <c r="S14" s="1840">
        <v>2001</v>
      </c>
      <c r="T14" s="1840">
        <v>2002</v>
      </c>
      <c r="U14" s="1840">
        <v>2003</v>
      </c>
      <c r="V14" s="1840">
        <v>2004</v>
      </c>
      <c r="W14" s="1840">
        <v>2005</v>
      </c>
      <c r="X14" s="1840">
        <v>2006</v>
      </c>
      <c r="Y14" s="1840">
        <v>2007</v>
      </c>
      <c r="Z14" s="1840">
        <v>2008</v>
      </c>
      <c r="AA14" s="1840">
        <v>2009</v>
      </c>
      <c r="AB14" s="1840">
        <v>2010</v>
      </c>
      <c r="AC14" s="1840">
        <v>2011</v>
      </c>
      <c r="AD14" s="1840">
        <v>2012</v>
      </c>
      <c r="AE14" s="1840">
        <v>2013</v>
      </c>
      <c r="AF14" s="3470">
        <v>2014</v>
      </c>
      <c r="AG14" s="3470">
        <v>2015</v>
      </c>
    </row>
    <row r="15" spans="1:33">
      <c r="B15" s="1832"/>
      <c r="C15" s="1823" t="str">
        <f>C12</f>
        <v/>
      </c>
      <c r="D15" s="1824">
        <f>VLOOKUP(CONCATENATE(Select_c,Select_p),Stats_yield!$A$1:$BC$1292,F14-1957,)</f>
        <v>0</v>
      </c>
      <c r="E15" s="1824">
        <f>VLOOKUP(CONCATENATE(Select_c,Select_p),Stats_yield!$A$1:$BC$1292,G14-1957,)</f>
        <v>0</v>
      </c>
      <c r="F15" s="1824">
        <f>VLOOKUP(CONCATENATE(Select_c,Select_p),Stats_yield!$A$1:$BC$1292,H14-1957,)</f>
        <v>0</v>
      </c>
      <c r="G15" s="1824">
        <f>VLOOKUP(CONCATENATE(Select_c,Select_p),Stats_yield!$A$1:$BC$1292,I14-1957,)</f>
        <v>0</v>
      </c>
      <c r="H15" s="1824">
        <f>VLOOKUP(CONCATENATE(Select_c,Select_p),Stats_yield!$A$1:$BC$1292,J14-1957,)</f>
        <v>0</v>
      </c>
      <c r="I15" s="1824">
        <f>VLOOKUP(CONCATENATE(Select_c,Select_p),Stats_yield!$A$1:$BC$1292,K14-1957,)</f>
        <v>0</v>
      </c>
      <c r="J15" s="1824">
        <f>VLOOKUP(CONCATENATE(Select_c,Select_p),Stats_yield!$A$1:$BC$1292,L14-1957,)</f>
        <v>0</v>
      </c>
      <c r="K15" s="1824">
        <f>VLOOKUP(CONCATENATE(Select_c,Select_p),Stats_yield!$A$1:$BC$1292,M14-1957,)</f>
        <v>0</v>
      </c>
      <c r="L15" s="1824">
        <f>VLOOKUP(CONCATENATE(Select_c,Select_p),Stats_yield!$A$1:$BC$1292,N14-1957,)</f>
        <v>0</v>
      </c>
      <c r="M15" s="1824">
        <f>VLOOKUP(CONCATENATE(Select_c,Select_p),Stats_yield!$A$1:$BC$1292,O14-1957,)</f>
        <v>0</v>
      </c>
      <c r="N15" s="1824">
        <f>VLOOKUP(CONCATENATE(Select_c,Select_p),Stats_yield!$A$1:$BC$1292,P14-1957,)</f>
        <v>0</v>
      </c>
      <c r="O15" s="1824">
        <f>VLOOKUP(CONCATENATE(Select_c,Select_p),Stats_yield!$A$1:$BC$1292,Q14-1957,)</f>
        <v>0</v>
      </c>
      <c r="P15" s="1824">
        <f>VLOOKUP(CONCATENATE(Select_c,Select_p),Stats_yield!$A$1:$BC$1292,R14-1957,)</f>
        <v>0</v>
      </c>
      <c r="Q15" s="1824">
        <f>VLOOKUP(CONCATENATE(Select_c,Select_p),Stats_yield!$A$1:$BC$1292,S14-1957,)</f>
        <v>0</v>
      </c>
      <c r="R15" s="1824">
        <f>VLOOKUP(CONCATENATE(Select_c,Select_p),Stats_yield!$A$1:$BC$1292,T14-1957,)</f>
        <v>0</v>
      </c>
      <c r="S15" s="1824">
        <f>VLOOKUP(CONCATENATE(Select_c,Select_p),Stats_yield!$A$1:$BC$1292,U14-1957,)</f>
        <v>0</v>
      </c>
      <c r="T15" s="1824">
        <f>VLOOKUP(CONCATENATE(Select_c,Select_p),Stats_yield!$A$1:$BC$1292,V14-1957,)</f>
        <v>0</v>
      </c>
      <c r="U15" s="1824">
        <f>VLOOKUP(CONCATENATE(Select_c,Select_p),Stats_yield!$A$1:$BC$1292,W14-1957,)</f>
        <v>0</v>
      </c>
      <c r="V15" s="1824">
        <f>VLOOKUP(CONCATENATE(Select_c,Select_p),Stats_yield!$A$1:$BC$1292,X14-1957,)</f>
        <v>0</v>
      </c>
      <c r="W15" s="1824">
        <f>VLOOKUP(CONCATENATE(Select_c,Select_p),Stats_yield!$A$1:$BC$1292,Y14-1957,)</f>
        <v>0</v>
      </c>
      <c r="X15" s="1824">
        <f>VLOOKUP(CONCATENATE(Select_c,Select_p),Stats_yield!$A$1:$BC$1292,Z14-1957,)</f>
        <v>0</v>
      </c>
      <c r="Y15" s="1824">
        <f>VLOOKUP(CONCATENATE(Select_c,Select_p),Stats_yield!$A$1:$BC$1292,AA14-1957,)</f>
        <v>0</v>
      </c>
      <c r="Z15" s="1824">
        <f>VLOOKUP(CONCATENATE(Select_c,Select_p),Stats_yield!$A$1:$BC$1292,AB14-1957,)</f>
        <v>0</v>
      </c>
      <c r="AA15" s="1824">
        <f>VLOOKUP(CONCATENATE(Select_c,Select_p),Stats_yield!$A$1:$BC$1292,AC14-1957,)</f>
        <v>0</v>
      </c>
      <c r="AB15" s="1824">
        <f>VLOOKUP(CONCATENATE(Select_c,Select_p),Stats_yield!$A$1:$BC$1292,AD14-1957,)</f>
        <v>0</v>
      </c>
      <c r="AC15" s="1824">
        <f>VLOOKUP(CONCATENATE(Select_c,Select_p),Stats_yield!$A$1:$BF$1651,AE14-1957,)</f>
        <v>0</v>
      </c>
      <c r="AD15" s="1824">
        <f>VLOOKUP(CONCATENATE(Select_c,Select_p),Stats_yield!$A$1:$BF$1651,AF14-1957,)</f>
        <v>0</v>
      </c>
      <c r="AE15" s="1824">
        <f>VLOOKUP(CONCATENATE(Select_c,Select_p),Stats_yield!$A$1:$BF$1651,AG14-1957,)</f>
        <v>0</v>
      </c>
      <c r="AF15" s="3470"/>
      <c r="AG15" s="3470"/>
    </row>
    <row r="16" spans="1:33">
      <c r="B16" s="1830"/>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row>
    <row r="17" spans="2:30">
      <c r="B17" s="1830"/>
      <c r="C17" s="1831"/>
      <c r="D17" s="1831"/>
      <c r="E17" s="1831"/>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row>
    <row r="18" spans="2:30">
      <c r="B18" s="1830"/>
      <c r="C18" s="1831"/>
      <c r="D18" s="1831"/>
      <c r="E18" s="1831"/>
      <c r="F18" s="1831"/>
      <c r="G18" s="1831"/>
      <c r="H18" s="1831"/>
      <c r="I18" s="1831"/>
      <c r="J18" s="1831"/>
      <c r="K18" s="1831"/>
      <c r="L18" s="1831"/>
      <c r="M18" s="1831"/>
      <c r="N18" s="1831"/>
      <c r="O18" s="1831"/>
      <c r="P18" s="1827"/>
      <c r="Q18" s="1827"/>
      <c r="R18" s="1827"/>
      <c r="S18" s="1827"/>
      <c r="T18" s="1827"/>
      <c r="U18" s="1827"/>
      <c r="V18" s="1827"/>
      <c r="W18" s="1827"/>
      <c r="X18" s="1827"/>
      <c r="Y18" s="1827"/>
      <c r="Z18" s="1827"/>
      <c r="AA18" s="1831"/>
      <c r="AB18" s="1831"/>
    </row>
    <row r="19" spans="2:30">
      <c r="B19" s="1830"/>
      <c r="C19" s="1831"/>
      <c r="D19" s="1831"/>
      <c r="E19" s="1831"/>
      <c r="F19" s="1831"/>
      <c r="G19" s="1831"/>
      <c r="H19" s="1831"/>
      <c r="I19" s="1831"/>
      <c r="J19" s="1831"/>
      <c r="K19" s="1831"/>
      <c r="L19" s="1831"/>
      <c r="M19" s="1831"/>
      <c r="N19" s="1831"/>
      <c r="O19" s="1831"/>
      <c r="P19" s="1827"/>
      <c r="Q19" s="1825" t="str">
        <f>HLOOKUP(select,translations!$A$491:$H$520,8,)</f>
        <v>Periods</v>
      </c>
      <c r="R19" s="1825"/>
      <c r="S19" s="1825"/>
      <c r="T19" s="1825"/>
      <c r="U19" s="1825" t="str">
        <f>HLOOKUP(select,translations!$A$491:$H$520,9,)</f>
        <v>Average</v>
      </c>
      <c r="V19" s="1825"/>
      <c r="W19" s="1825" t="str">
        <f>HLOOKUP(select,translations!$A$491:$H$520,10,)</f>
        <v>Rate (%)</v>
      </c>
      <c r="X19" s="1825"/>
      <c r="Y19" s="1825"/>
      <c r="Z19" s="1826" t="str">
        <f>HLOOKUP(select,translations!$A$491:$H$520,11,)</f>
        <v>Projections</v>
      </c>
      <c r="AA19" s="1825"/>
      <c r="AB19" s="1831"/>
      <c r="AD19" s="1831"/>
    </row>
    <row r="20" spans="2:30">
      <c r="B20" s="1830"/>
      <c r="C20" s="1831"/>
      <c r="D20" s="1831"/>
      <c r="E20" s="1831"/>
      <c r="F20" s="1831"/>
      <c r="G20" s="1831"/>
      <c r="H20" s="1831"/>
      <c r="I20" s="1831"/>
      <c r="J20" s="1831"/>
      <c r="K20" s="1831"/>
      <c r="L20" s="1831"/>
      <c r="M20" s="1831"/>
      <c r="N20" s="1831"/>
      <c r="O20" s="1831"/>
      <c r="P20" s="1827"/>
      <c r="Q20" s="1825"/>
      <c r="R20" s="1825"/>
      <c r="S20" s="1825"/>
      <c r="T20" s="1825"/>
      <c r="U20" s="1825"/>
      <c r="V20" s="1825"/>
      <c r="W20" s="1825"/>
      <c r="X20" s="1825"/>
      <c r="Y20" s="1826">
        <v>2015</v>
      </c>
      <c r="Z20" s="1826">
        <v>2020</v>
      </c>
      <c r="AA20" s="1826">
        <v>2030</v>
      </c>
      <c r="AB20" s="1831"/>
      <c r="AD20" s="1831"/>
    </row>
    <row r="21" spans="2:30">
      <c r="B21" s="1830"/>
      <c r="C21" s="1831"/>
      <c r="D21" s="1831"/>
      <c r="E21" s="1831"/>
      <c r="F21" s="1831"/>
      <c r="G21" s="1831"/>
      <c r="H21" s="1831"/>
      <c r="I21" s="1831"/>
      <c r="J21" s="1831"/>
      <c r="K21" s="1831"/>
      <c r="L21" s="1831"/>
      <c r="M21" s="1831"/>
      <c r="N21" s="1831"/>
      <c r="O21" s="1831"/>
      <c r="P21" s="1827"/>
      <c r="Q21" s="1823" t="str">
        <f>HLOOKUP(select,translations!$A$491:$H$520,12,)</f>
        <v>Last 5 yr (2009-2013)</v>
      </c>
      <c r="R21" s="1823"/>
      <c r="S21" s="1823"/>
      <c r="T21" s="1823"/>
      <c r="U21" s="1824">
        <f>AVERAGE(AA15:AE15)</f>
        <v>0</v>
      </c>
      <c r="V21" s="3469"/>
      <c r="W21" s="1824">
        <f>100*SLOPE(AA15:AE15,AA14:AE14)</f>
        <v>0</v>
      </c>
      <c r="X21" s="3469"/>
      <c r="Y21" s="1824">
        <f>INTERCEPT($AA$15:$AE$15,$AA$14:$AE$14)+$W$21*Y$20/100</f>
        <v>0</v>
      </c>
      <c r="Z21" s="1824">
        <f>INTERCEPT($AA$15:$AE$15,$AA$14:$AE$14)+$W$21*Z$20/100</f>
        <v>0</v>
      </c>
      <c r="AA21" s="1824">
        <f>INTERCEPT($AA$15:$AE$15,$AA$14:$AE$14)+$W$21*AA$20/100</f>
        <v>0</v>
      </c>
      <c r="AB21" s="1831"/>
      <c r="AC21" s="1831"/>
      <c r="AD21" s="1831"/>
    </row>
    <row r="22" spans="2:30">
      <c r="B22" s="1830"/>
      <c r="C22" s="1831"/>
      <c r="D22" s="1831"/>
      <c r="E22" s="1831"/>
      <c r="F22" s="1831"/>
      <c r="G22" s="1831"/>
      <c r="H22" s="1831"/>
      <c r="I22" s="1831"/>
      <c r="J22" s="1831"/>
      <c r="K22" s="1831"/>
      <c r="L22" s="1831"/>
      <c r="M22" s="1831"/>
      <c r="N22" s="1831"/>
      <c r="O22" s="1831"/>
      <c r="P22" s="1827"/>
      <c r="Q22" s="1823" t="str">
        <f>HLOOKUP(select,translations!$A$491:$H$520,13,)</f>
        <v>Last 10 yr (2004-2013)</v>
      </c>
      <c r="R22" s="1823"/>
      <c r="S22" s="1823"/>
      <c r="T22" s="1823"/>
      <c r="U22" s="1824">
        <f>AVERAGE(V15:AE15)</f>
        <v>0</v>
      </c>
      <c r="V22" s="3469"/>
      <c r="W22" s="1824">
        <f>100*SLOPE(V15:AE15,V14:AE14)</f>
        <v>0</v>
      </c>
      <c r="X22" s="3469"/>
      <c r="Y22" s="1824">
        <f>INTERCEPT($V$15:$AE$15,$V$14:$AE$14)+$W$22*Y$20/100</f>
        <v>0</v>
      </c>
      <c r="Z22" s="1824">
        <f>INTERCEPT($V$15:$AE$15,$V$14:$AE$14)+$W$22*Z$20/100</f>
        <v>0</v>
      </c>
      <c r="AA22" s="1824">
        <f>INTERCEPT($V$15:$AE$15,$V$14:$AE$14)+$W$22*AA$20/100</f>
        <v>0</v>
      </c>
      <c r="AB22" s="1831"/>
      <c r="AC22" s="1831"/>
      <c r="AD22" s="1831"/>
    </row>
    <row r="23" spans="2:30">
      <c r="B23" s="1830"/>
      <c r="C23" s="1831"/>
      <c r="D23" s="1831"/>
      <c r="E23" s="1831"/>
      <c r="F23" s="1831"/>
      <c r="G23" s="1831"/>
      <c r="H23" s="1831"/>
      <c r="I23" s="1831"/>
      <c r="J23" s="1831"/>
      <c r="K23" s="1831"/>
      <c r="L23" s="1831"/>
      <c r="M23" s="1831"/>
      <c r="N23" s="1831"/>
      <c r="O23" s="1831"/>
      <c r="P23" s="1827"/>
      <c r="Q23" s="1823" t="str">
        <f>HLOOKUP(select,translations!$A$491:$H$520,14,)</f>
        <v>Last 20 yr (1994-2013)</v>
      </c>
      <c r="R23" s="1823"/>
      <c r="S23" s="1823"/>
      <c r="T23" s="1823"/>
      <c r="U23" s="1824">
        <f>AVERAGE(L15:AE15)</f>
        <v>0</v>
      </c>
      <c r="V23" s="3469"/>
      <c r="W23" s="1824">
        <f>100*SLOPE(L15:AE15,L14:AE14)</f>
        <v>0</v>
      </c>
      <c r="X23" s="3469"/>
      <c r="Y23" s="1824">
        <f>INTERCEPT($L$15:$AE$15,$L$14:$AE$14)+$W$23*Y$20/100</f>
        <v>0</v>
      </c>
      <c r="Z23" s="1824">
        <f>INTERCEPT($L$15:$AE$15,$L$14:$AE$14)+$W$23*Z$20/100</f>
        <v>0</v>
      </c>
      <c r="AA23" s="1824">
        <f>INTERCEPT($L$15:$AE$15,$L$14:$AE$14)+$W$23*AA$20/100</f>
        <v>0</v>
      </c>
      <c r="AB23" s="1831"/>
      <c r="AC23" s="1831"/>
      <c r="AD23" s="1831"/>
    </row>
    <row r="24" spans="2:30">
      <c r="B24" s="1830"/>
      <c r="C24" s="1831"/>
      <c r="D24" s="1831"/>
      <c r="E24" s="1831"/>
      <c r="F24" s="1831"/>
      <c r="G24" s="1831"/>
      <c r="H24" s="1831"/>
      <c r="I24" s="1831"/>
      <c r="J24" s="1831"/>
      <c r="K24" s="1831"/>
      <c r="L24" s="1831"/>
      <c r="M24" s="1831"/>
      <c r="N24" s="1831"/>
      <c r="O24" s="1831"/>
      <c r="P24" s="1827"/>
      <c r="Q24" s="1823" t="str">
        <f>HLOOKUP(select,translations!$A$491:$H$520,15,)</f>
        <v>Last 25yr (1989-2013)</v>
      </c>
      <c r="R24" s="1823"/>
      <c r="S24" s="1823"/>
      <c r="T24" s="1823"/>
      <c r="U24" s="1824">
        <f>AVERAGE(G15:AE15)</f>
        <v>0</v>
      </c>
      <c r="V24" s="3469"/>
      <c r="W24" s="1824">
        <f>100*SLOPE(G15:AE15,G14:AE14)</f>
        <v>0</v>
      </c>
      <c r="X24" s="3469"/>
      <c r="Y24" s="1824">
        <f>INTERCEPT($G$15:$AE$15,$G$14:$AE$14)+$W$24*Y$20/100</f>
        <v>0</v>
      </c>
      <c r="Z24" s="1824">
        <f>INTERCEPT($G$15:$AE$15,$G$14:$AE$14)+$W$24*Z$20/100</f>
        <v>0</v>
      </c>
      <c r="AA24" s="1824">
        <f>INTERCEPT($G$15:$AE$15,$G$14:$AE$14)+$W$24*AA$20/100</f>
        <v>0</v>
      </c>
      <c r="AB24" s="1831"/>
      <c r="AC24" s="1831"/>
      <c r="AD24" s="1831"/>
    </row>
    <row r="25" spans="2:30">
      <c r="B25" s="1830"/>
      <c r="C25" s="1830"/>
      <c r="D25" s="1830"/>
      <c r="E25" s="1831"/>
      <c r="F25" s="1831"/>
      <c r="G25" s="1831"/>
      <c r="H25" s="1831"/>
      <c r="I25" s="1831"/>
      <c r="J25" s="1831"/>
      <c r="K25" s="1831"/>
      <c r="L25" s="1831"/>
      <c r="M25" s="1831"/>
      <c r="N25" s="1831"/>
      <c r="O25" s="1831"/>
      <c r="P25" s="1831"/>
      <c r="Q25" s="1823" t="s">
        <v>1317</v>
      </c>
      <c r="R25" s="1823"/>
      <c r="S25" s="1823"/>
      <c r="T25" s="1823"/>
      <c r="U25" s="1824">
        <f>AVERAGE(D12:AB12)</f>
        <v>0</v>
      </c>
      <c r="V25" s="3469"/>
      <c r="W25" s="1824">
        <f>100*SLOPE(D12:AB12,D11:AB11)</f>
        <v>0</v>
      </c>
      <c r="X25" s="3469"/>
      <c r="Y25" s="1824">
        <f>INTERCEPT($D$12:$AB$12,$D$11:$AB$11)+$W$25*Y$20/100</f>
        <v>0</v>
      </c>
      <c r="Z25" s="1824">
        <f>INTERCEPT($D$12:$AB$12,$D$11:$AB$11)+$W$25*Z$20/100</f>
        <v>0</v>
      </c>
      <c r="AA25" s="1824">
        <f>INTERCEPT($D$12:$AB$12,$D$11:$AB$11)+$W$25*AA$20/100</f>
        <v>0</v>
      </c>
      <c r="AB25" s="1831"/>
      <c r="AC25" s="1831"/>
      <c r="AD25" s="1831"/>
    </row>
    <row r="26" spans="2:30">
      <c r="B26" s="1830"/>
      <c r="C26" s="1830"/>
      <c r="D26" s="1830"/>
      <c r="E26" s="1831"/>
      <c r="F26" s="1831"/>
      <c r="G26" s="1831"/>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row>
    <row r="32" spans="2:30">
      <c r="B32" s="1834"/>
      <c r="C32" s="1835" t="str">
        <f>HLOOKUP(select,translations!$A$491:$H$520,16,)</f>
        <v>These data are from FAOSTAT, if you need more detailed information (e.g. by country) please visit the FAO website</v>
      </c>
      <c r="D32" s="1834"/>
      <c r="E32" s="1836"/>
      <c r="F32" s="1836"/>
      <c r="G32" s="1836"/>
      <c r="H32" s="1836"/>
      <c r="I32" s="1836"/>
      <c r="J32" s="1836"/>
      <c r="K32" s="1836"/>
      <c r="L32" s="1836"/>
      <c r="M32" s="1836"/>
      <c r="N32" s="1836"/>
      <c r="O32" s="1836"/>
      <c r="P32" s="1836"/>
      <c r="Q32" s="1836"/>
      <c r="R32" s="1836"/>
      <c r="S32" s="1836"/>
      <c r="T32" s="1836"/>
      <c r="U32" s="1836"/>
      <c r="V32" s="1836"/>
      <c r="W32" s="1836"/>
      <c r="X32" s="1836"/>
      <c r="Y32" s="1836"/>
      <c r="Z32" s="1836"/>
      <c r="AA32" s="1836"/>
      <c r="AB32" s="1836"/>
    </row>
  </sheetData>
  <sheetProtection algorithmName="SHA-512" hashValue="NI3S9k/zBmkjXJkRQjLjCmVmYPSCxBrhyZvF9xzxdZUXk7jzL2Wj3RhMojVVcIR8dldbbkl/FlxDwuLPLYW1dA==" saltValue="F/UteT0osl2EMYG+PjQ0QQ==" spinCount="100000" sheet="1" objects="1" scenarios="1" formatCells="0" formatColumns="0" formatRows="0"/>
  <mergeCells count="4">
    <mergeCell ref="A6:C6"/>
    <mergeCell ref="H8:K8"/>
    <mergeCell ref="H9:K9"/>
    <mergeCell ref="B7:D8"/>
  </mergeCells>
  <dataValidations count="2">
    <dataValidation type="list" allowBlank="1" showInputMessage="1" showErrorMessage="1" sqref="H8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C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C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C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C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C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C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C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C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C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C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C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C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C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C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C65540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formula1>Region_y</formula1>
    </dataValidation>
    <dataValidation type="list" allowBlank="1" showInputMessage="1" showErrorMessage="1" sqref="H9 WVK983045 WLO983045 WBS983045 VRW983045 VIA983045 UYE983045 UOI983045 UEM983045 TUQ983045 TKU983045 TAY983045 SRC983045 SHG983045 RXK983045 RNO983045 RDS983045 QTW983045 QKA983045 QAE983045 PQI983045 PGM983045 OWQ983045 OMU983045 OCY983045 NTC983045 NJG983045 MZK983045 MPO983045 MFS983045 LVW983045 LMA983045 LCE983045 KSI983045 KIM983045 JYQ983045 JOU983045 JEY983045 IVC983045 ILG983045 IBK983045 HRO983045 HHS983045 GXW983045 GOA983045 GEE983045 FUI983045 FKM983045 FAQ983045 EQU983045 EGY983045 DXC983045 DNG983045 DDK983045 CTO983045 CJS983045 BZW983045 BQA983045 BGE983045 AWI983045 AMM983045 ACQ983045 SU983045 IY983045 C983045 WVK917509 WLO917509 WBS917509 VRW917509 VIA917509 UYE917509 UOI917509 UEM917509 TUQ917509 TKU917509 TAY917509 SRC917509 SHG917509 RXK917509 RNO917509 RDS917509 QTW917509 QKA917509 QAE917509 PQI917509 PGM917509 OWQ917509 OMU917509 OCY917509 NTC917509 NJG917509 MZK917509 MPO917509 MFS917509 LVW917509 LMA917509 LCE917509 KSI917509 KIM917509 JYQ917509 JOU917509 JEY917509 IVC917509 ILG917509 IBK917509 HRO917509 HHS917509 GXW917509 GOA917509 GEE917509 FUI917509 FKM917509 FAQ917509 EQU917509 EGY917509 DXC917509 DNG917509 DDK917509 CTO917509 CJS917509 BZW917509 BQA917509 BGE917509 AWI917509 AMM917509 ACQ917509 SU917509 IY917509 C917509 WVK851973 WLO851973 WBS851973 VRW851973 VIA851973 UYE851973 UOI851973 UEM851973 TUQ851973 TKU851973 TAY851973 SRC851973 SHG851973 RXK851973 RNO851973 RDS851973 QTW851973 QKA851973 QAE851973 PQI851973 PGM851973 OWQ851973 OMU851973 OCY851973 NTC851973 NJG851973 MZK851973 MPO851973 MFS851973 LVW851973 LMA851973 LCE851973 KSI851973 KIM851973 JYQ851973 JOU851973 JEY851973 IVC851973 ILG851973 IBK851973 HRO851973 HHS851973 GXW851973 GOA851973 GEE851973 FUI851973 FKM851973 FAQ851973 EQU851973 EGY851973 DXC851973 DNG851973 DDK851973 CTO851973 CJS851973 BZW851973 BQA851973 BGE851973 AWI851973 AMM851973 ACQ851973 SU851973 IY851973 C851973 WVK786437 WLO786437 WBS786437 VRW786437 VIA786437 UYE786437 UOI786437 UEM786437 TUQ786437 TKU786437 TAY786437 SRC786437 SHG786437 RXK786437 RNO786437 RDS786437 QTW786437 QKA786437 QAE786437 PQI786437 PGM786437 OWQ786437 OMU786437 OCY786437 NTC786437 NJG786437 MZK786437 MPO786437 MFS786437 LVW786437 LMA786437 LCE786437 KSI786437 KIM786437 JYQ786437 JOU786437 JEY786437 IVC786437 ILG786437 IBK786437 HRO786437 HHS786437 GXW786437 GOA786437 GEE786437 FUI786437 FKM786437 FAQ786437 EQU786437 EGY786437 DXC786437 DNG786437 DDK786437 CTO786437 CJS786437 BZW786437 BQA786437 BGE786437 AWI786437 AMM786437 ACQ786437 SU786437 IY786437 C786437 WVK720901 WLO720901 WBS720901 VRW720901 VIA720901 UYE720901 UOI720901 UEM720901 TUQ720901 TKU720901 TAY720901 SRC720901 SHG720901 RXK720901 RNO720901 RDS720901 QTW720901 QKA720901 QAE720901 PQI720901 PGM720901 OWQ720901 OMU720901 OCY720901 NTC720901 NJG720901 MZK720901 MPO720901 MFS720901 LVW720901 LMA720901 LCE720901 KSI720901 KIM720901 JYQ720901 JOU720901 JEY720901 IVC720901 ILG720901 IBK720901 HRO720901 HHS720901 GXW720901 GOA720901 GEE720901 FUI720901 FKM720901 FAQ720901 EQU720901 EGY720901 DXC720901 DNG720901 DDK720901 CTO720901 CJS720901 BZW720901 BQA720901 BGE720901 AWI720901 AMM720901 ACQ720901 SU720901 IY720901 C720901 WVK655365 WLO655365 WBS655365 VRW655365 VIA655365 UYE655365 UOI655365 UEM655365 TUQ655365 TKU655365 TAY655365 SRC655365 SHG655365 RXK655365 RNO655365 RDS655365 QTW655365 QKA655365 QAE655365 PQI655365 PGM655365 OWQ655365 OMU655365 OCY655365 NTC655365 NJG655365 MZK655365 MPO655365 MFS655365 LVW655365 LMA655365 LCE655365 KSI655365 KIM655365 JYQ655365 JOU655365 JEY655365 IVC655365 ILG655365 IBK655365 HRO655365 HHS655365 GXW655365 GOA655365 GEE655365 FUI655365 FKM655365 FAQ655365 EQU655365 EGY655365 DXC655365 DNG655365 DDK655365 CTO655365 CJS655365 BZW655365 BQA655365 BGE655365 AWI655365 AMM655365 ACQ655365 SU655365 IY655365 C655365 WVK589829 WLO589829 WBS589829 VRW589829 VIA589829 UYE589829 UOI589829 UEM589829 TUQ589829 TKU589829 TAY589829 SRC589829 SHG589829 RXK589829 RNO589829 RDS589829 QTW589829 QKA589829 QAE589829 PQI589829 PGM589829 OWQ589829 OMU589829 OCY589829 NTC589829 NJG589829 MZK589829 MPO589829 MFS589829 LVW589829 LMA589829 LCE589829 KSI589829 KIM589829 JYQ589829 JOU589829 JEY589829 IVC589829 ILG589829 IBK589829 HRO589829 HHS589829 GXW589829 GOA589829 GEE589829 FUI589829 FKM589829 FAQ589829 EQU589829 EGY589829 DXC589829 DNG589829 DDK589829 CTO589829 CJS589829 BZW589829 BQA589829 BGE589829 AWI589829 AMM589829 ACQ589829 SU589829 IY589829 C589829 WVK524293 WLO524293 WBS524293 VRW524293 VIA524293 UYE524293 UOI524293 UEM524293 TUQ524293 TKU524293 TAY524293 SRC524293 SHG524293 RXK524293 RNO524293 RDS524293 QTW524293 QKA524293 QAE524293 PQI524293 PGM524293 OWQ524293 OMU524293 OCY524293 NTC524293 NJG524293 MZK524293 MPO524293 MFS524293 LVW524293 LMA524293 LCE524293 KSI524293 KIM524293 JYQ524293 JOU524293 JEY524293 IVC524293 ILG524293 IBK524293 HRO524293 HHS524293 GXW524293 GOA524293 GEE524293 FUI524293 FKM524293 FAQ524293 EQU524293 EGY524293 DXC524293 DNG524293 DDK524293 CTO524293 CJS524293 BZW524293 BQA524293 BGE524293 AWI524293 AMM524293 ACQ524293 SU524293 IY524293 C524293 WVK458757 WLO458757 WBS458757 VRW458757 VIA458757 UYE458757 UOI458757 UEM458757 TUQ458757 TKU458757 TAY458757 SRC458757 SHG458757 RXK458757 RNO458757 RDS458757 QTW458757 QKA458757 QAE458757 PQI458757 PGM458757 OWQ458757 OMU458757 OCY458757 NTC458757 NJG458757 MZK458757 MPO458757 MFS458757 LVW458757 LMA458757 LCE458757 KSI458757 KIM458757 JYQ458757 JOU458757 JEY458757 IVC458757 ILG458757 IBK458757 HRO458757 HHS458757 GXW458757 GOA458757 GEE458757 FUI458757 FKM458757 FAQ458757 EQU458757 EGY458757 DXC458757 DNG458757 DDK458757 CTO458757 CJS458757 BZW458757 BQA458757 BGE458757 AWI458757 AMM458757 ACQ458757 SU458757 IY458757 C458757 WVK393221 WLO393221 WBS393221 VRW393221 VIA393221 UYE393221 UOI393221 UEM393221 TUQ393221 TKU393221 TAY393221 SRC393221 SHG393221 RXK393221 RNO393221 RDS393221 QTW393221 QKA393221 QAE393221 PQI393221 PGM393221 OWQ393221 OMU393221 OCY393221 NTC393221 NJG393221 MZK393221 MPO393221 MFS393221 LVW393221 LMA393221 LCE393221 KSI393221 KIM393221 JYQ393221 JOU393221 JEY393221 IVC393221 ILG393221 IBK393221 HRO393221 HHS393221 GXW393221 GOA393221 GEE393221 FUI393221 FKM393221 FAQ393221 EQU393221 EGY393221 DXC393221 DNG393221 DDK393221 CTO393221 CJS393221 BZW393221 BQA393221 BGE393221 AWI393221 AMM393221 ACQ393221 SU393221 IY393221 C393221 WVK327685 WLO327685 WBS327685 VRW327685 VIA327685 UYE327685 UOI327685 UEM327685 TUQ327685 TKU327685 TAY327685 SRC327685 SHG327685 RXK327685 RNO327685 RDS327685 QTW327685 QKA327685 QAE327685 PQI327685 PGM327685 OWQ327685 OMU327685 OCY327685 NTC327685 NJG327685 MZK327685 MPO327685 MFS327685 LVW327685 LMA327685 LCE327685 KSI327685 KIM327685 JYQ327685 JOU327685 JEY327685 IVC327685 ILG327685 IBK327685 HRO327685 HHS327685 GXW327685 GOA327685 GEE327685 FUI327685 FKM327685 FAQ327685 EQU327685 EGY327685 DXC327685 DNG327685 DDK327685 CTO327685 CJS327685 BZW327685 BQA327685 BGE327685 AWI327685 AMM327685 ACQ327685 SU327685 IY327685 C327685 WVK262149 WLO262149 WBS262149 VRW262149 VIA262149 UYE262149 UOI262149 UEM262149 TUQ262149 TKU262149 TAY262149 SRC262149 SHG262149 RXK262149 RNO262149 RDS262149 QTW262149 QKA262149 QAE262149 PQI262149 PGM262149 OWQ262149 OMU262149 OCY262149 NTC262149 NJG262149 MZK262149 MPO262149 MFS262149 LVW262149 LMA262149 LCE262149 KSI262149 KIM262149 JYQ262149 JOU262149 JEY262149 IVC262149 ILG262149 IBK262149 HRO262149 HHS262149 GXW262149 GOA262149 GEE262149 FUI262149 FKM262149 FAQ262149 EQU262149 EGY262149 DXC262149 DNG262149 DDK262149 CTO262149 CJS262149 BZW262149 BQA262149 BGE262149 AWI262149 AMM262149 ACQ262149 SU262149 IY262149 C262149 WVK196613 WLO196613 WBS196613 VRW196613 VIA196613 UYE196613 UOI196613 UEM196613 TUQ196613 TKU196613 TAY196613 SRC196613 SHG196613 RXK196613 RNO196613 RDS196613 QTW196613 QKA196613 QAE196613 PQI196613 PGM196613 OWQ196613 OMU196613 OCY196613 NTC196613 NJG196613 MZK196613 MPO196613 MFS196613 LVW196613 LMA196613 LCE196613 KSI196613 KIM196613 JYQ196613 JOU196613 JEY196613 IVC196613 ILG196613 IBK196613 HRO196613 HHS196613 GXW196613 GOA196613 GEE196613 FUI196613 FKM196613 FAQ196613 EQU196613 EGY196613 DXC196613 DNG196613 DDK196613 CTO196613 CJS196613 BZW196613 BQA196613 BGE196613 AWI196613 AMM196613 ACQ196613 SU196613 IY196613 C196613 WVK131077 WLO131077 WBS131077 VRW131077 VIA131077 UYE131077 UOI131077 UEM131077 TUQ131077 TKU131077 TAY131077 SRC131077 SHG131077 RXK131077 RNO131077 RDS131077 QTW131077 QKA131077 QAE131077 PQI131077 PGM131077 OWQ131077 OMU131077 OCY131077 NTC131077 NJG131077 MZK131077 MPO131077 MFS131077 LVW131077 LMA131077 LCE131077 KSI131077 KIM131077 JYQ131077 JOU131077 JEY131077 IVC131077 ILG131077 IBK131077 HRO131077 HHS131077 GXW131077 GOA131077 GEE131077 FUI131077 FKM131077 FAQ131077 EQU131077 EGY131077 DXC131077 DNG131077 DDK131077 CTO131077 CJS131077 BZW131077 BQA131077 BGE131077 AWI131077 AMM131077 ACQ131077 SU131077 IY131077 C131077 WVK65541 WLO65541 WBS65541 VRW65541 VIA65541 UYE65541 UOI65541 UEM65541 TUQ65541 TKU65541 TAY65541 SRC65541 SHG65541 RXK65541 RNO65541 RDS65541 QTW65541 QKA65541 QAE65541 PQI65541 PGM65541 OWQ65541 OMU65541 OCY65541 NTC65541 NJG65541 MZK65541 MPO65541 MFS65541 LVW65541 LMA65541 LCE65541 KSI65541 KIM65541 JYQ65541 JOU65541 JEY65541 IVC65541 ILG65541 IBK65541 HRO65541 HHS65541 GXW65541 GOA65541 GEE65541 FUI65541 FKM65541 FAQ65541 EQU65541 EGY65541 DXC65541 DNG65541 DDK65541 CTO65541 CJS65541 BZW65541 BQA65541 BGE65541 AWI65541 AMM65541 ACQ65541 SU65541 IY65541 C65541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formula1>Item</formula1>
    </dataValidation>
  </dataValidations>
  <pageMargins left="0.7" right="0.7" top="0.75" bottom="0.75" header="0.3" footer="0.3"/>
  <pageSetup paperSize="9" orientation="portrait" horizontalDpi="1200" verticalDpi="1200" r:id="rId1"/>
  <ignoredErrors>
    <ignoredError sqref="W21:W24"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1"/>
  <sheetViews>
    <sheetView topLeftCell="A7" zoomScaleNormal="100" workbookViewId="0">
      <selection activeCell="P50" sqref="P50"/>
    </sheetView>
  </sheetViews>
  <sheetFormatPr defaultRowHeight="12.75"/>
  <sheetData>
    <row r="1" spans="1:20">
      <c r="A1" s="1634" t="s">
        <v>8901</v>
      </c>
      <c r="B1" s="1634"/>
      <c r="C1" s="1634"/>
      <c r="D1" s="1634"/>
      <c r="E1" s="1634"/>
      <c r="F1" s="1634"/>
      <c r="G1" s="1634"/>
      <c r="H1" s="1634"/>
      <c r="I1" s="1634"/>
      <c r="J1" s="1634"/>
      <c r="K1" s="1634"/>
      <c r="L1" s="1634"/>
      <c r="M1" s="1634"/>
      <c r="N1" s="1634"/>
      <c r="O1" s="1634"/>
      <c r="P1" s="1634"/>
      <c r="Q1" s="1634"/>
      <c r="R1" s="1634"/>
      <c r="S1" s="1634"/>
      <c r="T1" s="163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0066"/>
  </sheetPr>
  <dimension ref="A1:BH1653"/>
  <sheetViews>
    <sheetView zoomScale="80" zoomScaleNormal="80" workbookViewId="0">
      <pane ySplit="1" topLeftCell="A628" activePane="bottomLeft" state="frozen"/>
      <selection pane="bottomLeft" activeCell="C641" sqref="C641"/>
    </sheetView>
  </sheetViews>
  <sheetFormatPr defaultColWidth="11.42578125" defaultRowHeight="14.25"/>
  <cols>
    <col min="1" max="1" width="41.140625" style="1817" customWidth="1"/>
    <col min="2" max="2" width="26.28515625" style="1818" bestFit="1" customWidth="1"/>
    <col min="3" max="3" width="22.7109375" style="1818" customWidth="1"/>
    <col min="4" max="4" width="23.140625" style="1921" bestFit="1" customWidth="1"/>
    <col min="5" max="5" width="28.5703125" style="1921" customWidth="1"/>
    <col min="6" max="32" width="8.28515625" customWidth="1"/>
    <col min="33" max="36" width="9.140625" customWidth="1"/>
    <col min="37" max="37" width="8.28515625" customWidth="1"/>
    <col min="38" max="38" width="9.140625" customWidth="1"/>
    <col min="39" max="55" width="8.28515625" customWidth="1"/>
    <col min="56" max="258" width="11.5703125" style="1818"/>
    <col min="259" max="259" width="11.5703125" style="1818" customWidth="1"/>
    <col min="260" max="260" width="17.5703125" style="1818" customWidth="1"/>
    <col min="261" max="261" width="22.7109375" style="1818" customWidth="1"/>
    <col min="262" max="288" width="8.28515625" style="1818" customWidth="1"/>
    <col min="289" max="292" width="9.140625" style="1818" customWidth="1"/>
    <col min="293" max="293" width="8.28515625" style="1818" customWidth="1"/>
    <col min="294" max="294" width="9.140625" style="1818" customWidth="1"/>
    <col min="295" max="311" width="8.28515625" style="1818" customWidth="1"/>
    <col min="312" max="514" width="11.5703125" style="1818"/>
    <col min="515" max="515" width="11.5703125" style="1818" customWidth="1"/>
    <col min="516" max="516" width="17.5703125" style="1818" customWidth="1"/>
    <col min="517" max="517" width="22.7109375" style="1818" customWidth="1"/>
    <col min="518" max="544" width="8.28515625" style="1818" customWidth="1"/>
    <col min="545" max="548" width="9.140625" style="1818" customWidth="1"/>
    <col min="549" max="549" width="8.28515625" style="1818" customWidth="1"/>
    <col min="550" max="550" width="9.140625" style="1818" customWidth="1"/>
    <col min="551" max="567" width="8.28515625" style="1818" customWidth="1"/>
    <col min="568" max="770" width="11.5703125" style="1818"/>
    <col min="771" max="771" width="11.5703125" style="1818" customWidth="1"/>
    <col min="772" max="772" width="17.5703125" style="1818" customWidth="1"/>
    <col min="773" max="773" width="22.7109375" style="1818" customWidth="1"/>
    <col min="774" max="800" width="8.28515625" style="1818" customWidth="1"/>
    <col min="801" max="804" width="9.140625" style="1818" customWidth="1"/>
    <col min="805" max="805" width="8.28515625" style="1818" customWidth="1"/>
    <col min="806" max="806" width="9.140625" style="1818" customWidth="1"/>
    <col min="807" max="823" width="8.28515625" style="1818" customWidth="1"/>
    <col min="824" max="1026" width="11.5703125" style="1818"/>
    <col min="1027" max="1027" width="11.5703125" style="1818" customWidth="1"/>
    <col min="1028" max="1028" width="17.5703125" style="1818" customWidth="1"/>
    <col min="1029" max="1029" width="22.7109375" style="1818" customWidth="1"/>
    <col min="1030" max="1056" width="8.28515625" style="1818" customWidth="1"/>
    <col min="1057" max="1060" width="9.140625" style="1818" customWidth="1"/>
    <col min="1061" max="1061" width="8.28515625" style="1818" customWidth="1"/>
    <col min="1062" max="1062" width="9.140625" style="1818" customWidth="1"/>
    <col min="1063" max="1079" width="8.28515625" style="1818" customWidth="1"/>
    <col min="1080" max="1282" width="11.5703125" style="1818"/>
    <col min="1283" max="1283" width="11.5703125" style="1818" customWidth="1"/>
    <col min="1284" max="1284" width="17.5703125" style="1818" customWidth="1"/>
    <col min="1285" max="1285" width="22.7109375" style="1818" customWidth="1"/>
    <col min="1286" max="1312" width="8.28515625" style="1818" customWidth="1"/>
    <col min="1313" max="1316" width="9.140625" style="1818" customWidth="1"/>
    <col min="1317" max="1317" width="8.28515625" style="1818" customWidth="1"/>
    <col min="1318" max="1318" width="9.140625" style="1818" customWidth="1"/>
    <col min="1319" max="1335" width="8.28515625" style="1818" customWidth="1"/>
    <col min="1336" max="1538" width="11.5703125" style="1818"/>
    <col min="1539" max="1539" width="11.5703125" style="1818" customWidth="1"/>
    <col min="1540" max="1540" width="17.5703125" style="1818" customWidth="1"/>
    <col min="1541" max="1541" width="22.7109375" style="1818" customWidth="1"/>
    <col min="1542" max="1568" width="8.28515625" style="1818" customWidth="1"/>
    <col min="1569" max="1572" width="9.140625" style="1818" customWidth="1"/>
    <col min="1573" max="1573" width="8.28515625" style="1818" customWidth="1"/>
    <col min="1574" max="1574" width="9.140625" style="1818" customWidth="1"/>
    <col min="1575" max="1591" width="8.28515625" style="1818" customWidth="1"/>
    <col min="1592" max="1794" width="11.5703125" style="1818"/>
    <col min="1795" max="1795" width="11.5703125" style="1818" customWidth="1"/>
    <col min="1796" max="1796" width="17.5703125" style="1818" customWidth="1"/>
    <col min="1797" max="1797" width="22.7109375" style="1818" customWidth="1"/>
    <col min="1798" max="1824" width="8.28515625" style="1818" customWidth="1"/>
    <col min="1825" max="1828" width="9.140625" style="1818" customWidth="1"/>
    <col min="1829" max="1829" width="8.28515625" style="1818" customWidth="1"/>
    <col min="1830" max="1830" width="9.140625" style="1818" customWidth="1"/>
    <col min="1831" max="1847" width="8.28515625" style="1818" customWidth="1"/>
    <col min="1848" max="2050" width="11.5703125" style="1818"/>
    <col min="2051" max="2051" width="11.5703125" style="1818" customWidth="1"/>
    <col min="2052" max="2052" width="17.5703125" style="1818" customWidth="1"/>
    <col min="2053" max="2053" width="22.7109375" style="1818" customWidth="1"/>
    <col min="2054" max="2080" width="8.28515625" style="1818" customWidth="1"/>
    <col min="2081" max="2084" width="9.140625" style="1818" customWidth="1"/>
    <col min="2085" max="2085" width="8.28515625" style="1818" customWidth="1"/>
    <col min="2086" max="2086" width="9.140625" style="1818" customWidth="1"/>
    <col min="2087" max="2103" width="8.28515625" style="1818" customWidth="1"/>
    <col min="2104" max="2306" width="11.5703125" style="1818"/>
    <col min="2307" max="2307" width="11.5703125" style="1818" customWidth="1"/>
    <col min="2308" max="2308" width="17.5703125" style="1818" customWidth="1"/>
    <col min="2309" max="2309" width="22.7109375" style="1818" customWidth="1"/>
    <col min="2310" max="2336" width="8.28515625" style="1818" customWidth="1"/>
    <col min="2337" max="2340" width="9.140625" style="1818" customWidth="1"/>
    <col min="2341" max="2341" width="8.28515625" style="1818" customWidth="1"/>
    <col min="2342" max="2342" width="9.140625" style="1818" customWidth="1"/>
    <col min="2343" max="2359" width="8.28515625" style="1818" customWidth="1"/>
    <col min="2360" max="2562" width="11.5703125" style="1818"/>
    <col min="2563" max="2563" width="11.5703125" style="1818" customWidth="1"/>
    <col min="2564" max="2564" width="17.5703125" style="1818" customWidth="1"/>
    <col min="2565" max="2565" width="22.7109375" style="1818" customWidth="1"/>
    <col min="2566" max="2592" width="8.28515625" style="1818" customWidth="1"/>
    <col min="2593" max="2596" width="9.140625" style="1818" customWidth="1"/>
    <col min="2597" max="2597" width="8.28515625" style="1818" customWidth="1"/>
    <col min="2598" max="2598" width="9.140625" style="1818" customWidth="1"/>
    <col min="2599" max="2615" width="8.28515625" style="1818" customWidth="1"/>
    <col min="2616" max="2818" width="11.5703125" style="1818"/>
    <col min="2819" max="2819" width="11.5703125" style="1818" customWidth="1"/>
    <col min="2820" max="2820" width="17.5703125" style="1818" customWidth="1"/>
    <col min="2821" max="2821" width="22.7109375" style="1818" customWidth="1"/>
    <col min="2822" max="2848" width="8.28515625" style="1818" customWidth="1"/>
    <col min="2849" max="2852" width="9.140625" style="1818" customWidth="1"/>
    <col min="2853" max="2853" width="8.28515625" style="1818" customWidth="1"/>
    <col min="2854" max="2854" width="9.140625" style="1818" customWidth="1"/>
    <col min="2855" max="2871" width="8.28515625" style="1818" customWidth="1"/>
    <col min="2872" max="3074" width="11.5703125" style="1818"/>
    <col min="3075" max="3075" width="11.5703125" style="1818" customWidth="1"/>
    <col min="3076" max="3076" width="17.5703125" style="1818" customWidth="1"/>
    <col min="3077" max="3077" width="22.7109375" style="1818" customWidth="1"/>
    <col min="3078" max="3104" width="8.28515625" style="1818" customWidth="1"/>
    <col min="3105" max="3108" width="9.140625" style="1818" customWidth="1"/>
    <col min="3109" max="3109" width="8.28515625" style="1818" customWidth="1"/>
    <col min="3110" max="3110" width="9.140625" style="1818" customWidth="1"/>
    <col min="3111" max="3127" width="8.28515625" style="1818" customWidth="1"/>
    <col min="3128" max="3330" width="11.5703125" style="1818"/>
    <col min="3331" max="3331" width="11.5703125" style="1818" customWidth="1"/>
    <col min="3332" max="3332" width="17.5703125" style="1818" customWidth="1"/>
    <col min="3333" max="3333" width="22.7109375" style="1818" customWidth="1"/>
    <col min="3334" max="3360" width="8.28515625" style="1818" customWidth="1"/>
    <col min="3361" max="3364" width="9.140625" style="1818" customWidth="1"/>
    <col min="3365" max="3365" width="8.28515625" style="1818" customWidth="1"/>
    <col min="3366" max="3366" width="9.140625" style="1818" customWidth="1"/>
    <col min="3367" max="3383" width="8.28515625" style="1818" customWidth="1"/>
    <col min="3384" max="3586" width="11.5703125" style="1818"/>
    <col min="3587" max="3587" width="11.5703125" style="1818" customWidth="1"/>
    <col min="3588" max="3588" width="17.5703125" style="1818" customWidth="1"/>
    <col min="3589" max="3589" width="22.7109375" style="1818" customWidth="1"/>
    <col min="3590" max="3616" width="8.28515625" style="1818" customWidth="1"/>
    <col min="3617" max="3620" width="9.140625" style="1818" customWidth="1"/>
    <col min="3621" max="3621" width="8.28515625" style="1818" customWidth="1"/>
    <col min="3622" max="3622" width="9.140625" style="1818" customWidth="1"/>
    <col min="3623" max="3639" width="8.28515625" style="1818" customWidth="1"/>
    <col min="3640" max="3842" width="11.5703125" style="1818"/>
    <col min="3843" max="3843" width="11.5703125" style="1818" customWidth="1"/>
    <col min="3844" max="3844" width="17.5703125" style="1818" customWidth="1"/>
    <col min="3845" max="3845" width="22.7109375" style="1818" customWidth="1"/>
    <col min="3846" max="3872" width="8.28515625" style="1818" customWidth="1"/>
    <col min="3873" max="3876" width="9.140625" style="1818" customWidth="1"/>
    <col min="3877" max="3877" width="8.28515625" style="1818" customWidth="1"/>
    <col min="3878" max="3878" width="9.140625" style="1818" customWidth="1"/>
    <col min="3879" max="3895" width="8.28515625" style="1818" customWidth="1"/>
    <col min="3896" max="4098" width="11.5703125" style="1818"/>
    <col min="4099" max="4099" width="11.5703125" style="1818" customWidth="1"/>
    <col min="4100" max="4100" width="17.5703125" style="1818" customWidth="1"/>
    <col min="4101" max="4101" width="22.7109375" style="1818" customWidth="1"/>
    <col min="4102" max="4128" width="8.28515625" style="1818" customWidth="1"/>
    <col min="4129" max="4132" width="9.140625" style="1818" customWidth="1"/>
    <col min="4133" max="4133" width="8.28515625" style="1818" customWidth="1"/>
    <col min="4134" max="4134" width="9.140625" style="1818" customWidth="1"/>
    <col min="4135" max="4151" width="8.28515625" style="1818" customWidth="1"/>
    <col min="4152" max="4354" width="11.5703125" style="1818"/>
    <col min="4355" max="4355" width="11.5703125" style="1818" customWidth="1"/>
    <col min="4356" max="4356" width="17.5703125" style="1818" customWidth="1"/>
    <col min="4357" max="4357" width="22.7109375" style="1818" customWidth="1"/>
    <col min="4358" max="4384" width="8.28515625" style="1818" customWidth="1"/>
    <col min="4385" max="4388" width="9.140625" style="1818" customWidth="1"/>
    <col min="4389" max="4389" width="8.28515625" style="1818" customWidth="1"/>
    <col min="4390" max="4390" width="9.140625" style="1818" customWidth="1"/>
    <col min="4391" max="4407" width="8.28515625" style="1818" customWidth="1"/>
    <col min="4408" max="4610" width="11.5703125" style="1818"/>
    <col min="4611" max="4611" width="11.5703125" style="1818" customWidth="1"/>
    <col min="4612" max="4612" width="17.5703125" style="1818" customWidth="1"/>
    <col min="4613" max="4613" width="22.7109375" style="1818" customWidth="1"/>
    <col min="4614" max="4640" width="8.28515625" style="1818" customWidth="1"/>
    <col min="4641" max="4644" width="9.140625" style="1818" customWidth="1"/>
    <col min="4645" max="4645" width="8.28515625" style="1818" customWidth="1"/>
    <col min="4646" max="4646" width="9.140625" style="1818" customWidth="1"/>
    <col min="4647" max="4663" width="8.28515625" style="1818" customWidth="1"/>
    <col min="4664" max="4866" width="11.5703125" style="1818"/>
    <col min="4867" max="4867" width="11.5703125" style="1818" customWidth="1"/>
    <col min="4868" max="4868" width="17.5703125" style="1818" customWidth="1"/>
    <col min="4869" max="4869" width="22.7109375" style="1818" customWidth="1"/>
    <col min="4870" max="4896" width="8.28515625" style="1818" customWidth="1"/>
    <col min="4897" max="4900" width="9.140625" style="1818" customWidth="1"/>
    <col min="4901" max="4901" width="8.28515625" style="1818" customWidth="1"/>
    <col min="4902" max="4902" width="9.140625" style="1818" customWidth="1"/>
    <col min="4903" max="4919" width="8.28515625" style="1818" customWidth="1"/>
    <col min="4920" max="5122" width="11.5703125" style="1818"/>
    <col min="5123" max="5123" width="11.5703125" style="1818" customWidth="1"/>
    <col min="5124" max="5124" width="17.5703125" style="1818" customWidth="1"/>
    <col min="5125" max="5125" width="22.7109375" style="1818" customWidth="1"/>
    <col min="5126" max="5152" width="8.28515625" style="1818" customWidth="1"/>
    <col min="5153" max="5156" width="9.140625" style="1818" customWidth="1"/>
    <col min="5157" max="5157" width="8.28515625" style="1818" customWidth="1"/>
    <col min="5158" max="5158" width="9.140625" style="1818" customWidth="1"/>
    <col min="5159" max="5175" width="8.28515625" style="1818" customWidth="1"/>
    <col min="5176" max="5378" width="11.5703125" style="1818"/>
    <col min="5379" max="5379" width="11.5703125" style="1818" customWidth="1"/>
    <col min="5380" max="5380" width="17.5703125" style="1818" customWidth="1"/>
    <col min="5381" max="5381" width="22.7109375" style="1818" customWidth="1"/>
    <col min="5382" max="5408" width="8.28515625" style="1818" customWidth="1"/>
    <col min="5409" max="5412" width="9.140625" style="1818" customWidth="1"/>
    <col min="5413" max="5413" width="8.28515625" style="1818" customWidth="1"/>
    <col min="5414" max="5414" width="9.140625" style="1818" customWidth="1"/>
    <col min="5415" max="5431" width="8.28515625" style="1818" customWidth="1"/>
    <col min="5432" max="5634" width="11.5703125" style="1818"/>
    <col min="5635" max="5635" width="11.5703125" style="1818" customWidth="1"/>
    <col min="5636" max="5636" width="17.5703125" style="1818" customWidth="1"/>
    <col min="5637" max="5637" width="22.7109375" style="1818" customWidth="1"/>
    <col min="5638" max="5664" width="8.28515625" style="1818" customWidth="1"/>
    <col min="5665" max="5668" width="9.140625" style="1818" customWidth="1"/>
    <col min="5669" max="5669" width="8.28515625" style="1818" customWidth="1"/>
    <col min="5670" max="5670" width="9.140625" style="1818" customWidth="1"/>
    <col min="5671" max="5687" width="8.28515625" style="1818" customWidth="1"/>
    <col min="5688" max="5890" width="11.5703125" style="1818"/>
    <col min="5891" max="5891" width="11.5703125" style="1818" customWidth="1"/>
    <col min="5892" max="5892" width="17.5703125" style="1818" customWidth="1"/>
    <col min="5893" max="5893" width="22.7109375" style="1818" customWidth="1"/>
    <col min="5894" max="5920" width="8.28515625" style="1818" customWidth="1"/>
    <col min="5921" max="5924" width="9.140625" style="1818" customWidth="1"/>
    <col min="5925" max="5925" width="8.28515625" style="1818" customWidth="1"/>
    <col min="5926" max="5926" width="9.140625" style="1818" customWidth="1"/>
    <col min="5927" max="5943" width="8.28515625" style="1818" customWidth="1"/>
    <col min="5944" max="6146" width="11.5703125" style="1818"/>
    <col min="6147" max="6147" width="11.5703125" style="1818" customWidth="1"/>
    <col min="6148" max="6148" width="17.5703125" style="1818" customWidth="1"/>
    <col min="6149" max="6149" width="22.7109375" style="1818" customWidth="1"/>
    <col min="6150" max="6176" width="8.28515625" style="1818" customWidth="1"/>
    <col min="6177" max="6180" width="9.140625" style="1818" customWidth="1"/>
    <col min="6181" max="6181" width="8.28515625" style="1818" customWidth="1"/>
    <col min="6182" max="6182" width="9.140625" style="1818" customWidth="1"/>
    <col min="6183" max="6199" width="8.28515625" style="1818" customWidth="1"/>
    <col min="6200" max="6402" width="11.5703125" style="1818"/>
    <col min="6403" max="6403" width="11.5703125" style="1818" customWidth="1"/>
    <col min="6404" max="6404" width="17.5703125" style="1818" customWidth="1"/>
    <col min="6405" max="6405" width="22.7109375" style="1818" customWidth="1"/>
    <col min="6406" max="6432" width="8.28515625" style="1818" customWidth="1"/>
    <col min="6433" max="6436" width="9.140625" style="1818" customWidth="1"/>
    <col min="6437" max="6437" width="8.28515625" style="1818" customWidth="1"/>
    <col min="6438" max="6438" width="9.140625" style="1818" customWidth="1"/>
    <col min="6439" max="6455" width="8.28515625" style="1818" customWidth="1"/>
    <col min="6456" max="6658" width="11.5703125" style="1818"/>
    <col min="6659" max="6659" width="11.5703125" style="1818" customWidth="1"/>
    <col min="6660" max="6660" width="17.5703125" style="1818" customWidth="1"/>
    <col min="6661" max="6661" width="22.7109375" style="1818" customWidth="1"/>
    <col min="6662" max="6688" width="8.28515625" style="1818" customWidth="1"/>
    <col min="6689" max="6692" width="9.140625" style="1818" customWidth="1"/>
    <col min="6693" max="6693" width="8.28515625" style="1818" customWidth="1"/>
    <col min="6694" max="6694" width="9.140625" style="1818" customWidth="1"/>
    <col min="6695" max="6711" width="8.28515625" style="1818" customWidth="1"/>
    <col min="6712" max="6914" width="11.5703125" style="1818"/>
    <col min="6915" max="6915" width="11.5703125" style="1818" customWidth="1"/>
    <col min="6916" max="6916" width="17.5703125" style="1818" customWidth="1"/>
    <col min="6917" max="6917" width="22.7109375" style="1818" customWidth="1"/>
    <col min="6918" max="6944" width="8.28515625" style="1818" customWidth="1"/>
    <col min="6945" max="6948" width="9.140625" style="1818" customWidth="1"/>
    <col min="6949" max="6949" width="8.28515625" style="1818" customWidth="1"/>
    <col min="6950" max="6950" width="9.140625" style="1818" customWidth="1"/>
    <col min="6951" max="6967" width="8.28515625" style="1818" customWidth="1"/>
    <col min="6968" max="7170" width="11.5703125" style="1818"/>
    <col min="7171" max="7171" width="11.5703125" style="1818" customWidth="1"/>
    <col min="7172" max="7172" width="17.5703125" style="1818" customWidth="1"/>
    <col min="7173" max="7173" width="22.7109375" style="1818" customWidth="1"/>
    <col min="7174" max="7200" width="8.28515625" style="1818" customWidth="1"/>
    <col min="7201" max="7204" width="9.140625" style="1818" customWidth="1"/>
    <col min="7205" max="7205" width="8.28515625" style="1818" customWidth="1"/>
    <col min="7206" max="7206" width="9.140625" style="1818" customWidth="1"/>
    <col min="7207" max="7223" width="8.28515625" style="1818" customWidth="1"/>
    <col min="7224" max="7426" width="11.5703125" style="1818"/>
    <col min="7427" max="7427" width="11.5703125" style="1818" customWidth="1"/>
    <col min="7428" max="7428" width="17.5703125" style="1818" customWidth="1"/>
    <col min="7429" max="7429" width="22.7109375" style="1818" customWidth="1"/>
    <col min="7430" max="7456" width="8.28515625" style="1818" customWidth="1"/>
    <col min="7457" max="7460" width="9.140625" style="1818" customWidth="1"/>
    <col min="7461" max="7461" width="8.28515625" style="1818" customWidth="1"/>
    <col min="7462" max="7462" width="9.140625" style="1818" customWidth="1"/>
    <col min="7463" max="7479" width="8.28515625" style="1818" customWidth="1"/>
    <col min="7480" max="7682" width="11.5703125" style="1818"/>
    <col min="7683" max="7683" width="11.5703125" style="1818" customWidth="1"/>
    <col min="7684" max="7684" width="17.5703125" style="1818" customWidth="1"/>
    <col min="7685" max="7685" width="22.7109375" style="1818" customWidth="1"/>
    <col min="7686" max="7712" width="8.28515625" style="1818" customWidth="1"/>
    <col min="7713" max="7716" width="9.140625" style="1818" customWidth="1"/>
    <col min="7717" max="7717" width="8.28515625" style="1818" customWidth="1"/>
    <col min="7718" max="7718" width="9.140625" style="1818" customWidth="1"/>
    <col min="7719" max="7735" width="8.28515625" style="1818" customWidth="1"/>
    <col min="7736" max="7938" width="11.5703125" style="1818"/>
    <col min="7939" max="7939" width="11.5703125" style="1818" customWidth="1"/>
    <col min="7940" max="7940" width="17.5703125" style="1818" customWidth="1"/>
    <col min="7941" max="7941" width="22.7109375" style="1818" customWidth="1"/>
    <col min="7942" max="7968" width="8.28515625" style="1818" customWidth="1"/>
    <col min="7969" max="7972" width="9.140625" style="1818" customWidth="1"/>
    <col min="7973" max="7973" width="8.28515625" style="1818" customWidth="1"/>
    <col min="7974" max="7974" width="9.140625" style="1818" customWidth="1"/>
    <col min="7975" max="7991" width="8.28515625" style="1818" customWidth="1"/>
    <col min="7992" max="8194" width="11.5703125" style="1818"/>
    <col min="8195" max="8195" width="11.5703125" style="1818" customWidth="1"/>
    <col min="8196" max="8196" width="17.5703125" style="1818" customWidth="1"/>
    <col min="8197" max="8197" width="22.7109375" style="1818" customWidth="1"/>
    <col min="8198" max="8224" width="8.28515625" style="1818" customWidth="1"/>
    <col min="8225" max="8228" width="9.140625" style="1818" customWidth="1"/>
    <col min="8229" max="8229" width="8.28515625" style="1818" customWidth="1"/>
    <col min="8230" max="8230" width="9.140625" style="1818" customWidth="1"/>
    <col min="8231" max="8247" width="8.28515625" style="1818" customWidth="1"/>
    <col min="8248" max="8450" width="11.5703125" style="1818"/>
    <col min="8451" max="8451" width="11.5703125" style="1818" customWidth="1"/>
    <col min="8452" max="8452" width="17.5703125" style="1818" customWidth="1"/>
    <col min="8453" max="8453" width="22.7109375" style="1818" customWidth="1"/>
    <col min="8454" max="8480" width="8.28515625" style="1818" customWidth="1"/>
    <col min="8481" max="8484" width="9.140625" style="1818" customWidth="1"/>
    <col min="8485" max="8485" width="8.28515625" style="1818" customWidth="1"/>
    <col min="8486" max="8486" width="9.140625" style="1818" customWidth="1"/>
    <col min="8487" max="8503" width="8.28515625" style="1818" customWidth="1"/>
    <col min="8504" max="8706" width="11.5703125" style="1818"/>
    <col min="8707" max="8707" width="11.5703125" style="1818" customWidth="1"/>
    <col min="8708" max="8708" width="17.5703125" style="1818" customWidth="1"/>
    <col min="8709" max="8709" width="22.7109375" style="1818" customWidth="1"/>
    <col min="8710" max="8736" width="8.28515625" style="1818" customWidth="1"/>
    <col min="8737" max="8740" width="9.140625" style="1818" customWidth="1"/>
    <col min="8741" max="8741" width="8.28515625" style="1818" customWidth="1"/>
    <col min="8742" max="8742" width="9.140625" style="1818" customWidth="1"/>
    <col min="8743" max="8759" width="8.28515625" style="1818" customWidth="1"/>
    <col min="8760" max="8962" width="11.5703125" style="1818"/>
    <col min="8963" max="8963" width="11.5703125" style="1818" customWidth="1"/>
    <col min="8964" max="8964" width="17.5703125" style="1818" customWidth="1"/>
    <col min="8965" max="8965" width="22.7109375" style="1818" customWidth="1"/>
    <col min="8966" max="8992" width="8.28515625" style="1818" customWidth="1"/>
    <col min="8993" max="8996" width="9.140625" style="1818" customWidth="1"/>
    <col min="8997" max="8997" width="8.28515625" style="1818" customWidth="1"/>
    <col min="8998" max="8998" width="9.140625" style="1818" customWidth="1"/>
    <col min="8999" max="9015" width="8.28515625" style="1818" customWidth="1"/>
    <col min="9016" max="9218" width="11.5703125" style="1818"/>
    <col min="9219" max="9219" width="11.5703125" style="1818" customWidth="1"/>
    <col min="9220" max="9220" width="17.5703125" style="1818" customWidth="1"/>
    <col min="9221" max="9221" width="22.7109375" style="1818" customWidth="1"/>
    <col min="9222" max="9248" width="8.28515625" style="1818" customWidth="1"/>
    <col min="9249" max="9252" width="9.140625" style="1818" customWidth="1"/>
    <col min="9253" max="9253" width="8.28515625" style="1818" customWidth="1"/>
    <col min="9254" max="9254" width="9.140625" style="1818" customWidth="1"/>
    <col min="9255" max="9271" width="8.28515625" style="1818" customWidth="1"/>
    <col min="9272" max="9474" width="11.5703125" style="1818"/>
    <col min="9475" max="9475" width="11.5703125" style="1818" customWidth="1"/>
    <col min="9476" max="9476" width="17.5703125" style="1818" customWidth="1"/>
    <col min="9477" max="9477" width="22.7109375" style="1818" customWidth="1"/>
    <col min="9478" max="9504" width="8.28515625" style="1818" customWidth="1"/>
    <col min="9505" max="9508" width="9.140625" style="1818" customWidth="1"/>
    <col min="9509" max="9509" width="8.28515625" style="1818" customWidth="1"/>
    <col min="9510" max="9510" width="9.140625" style="1818" customWidth="1"/>
    <col min="9511" max="9527" width="8.28515625" style="1818" customWidth="1"/>
    <col min="9528" max="9730" width="11.5703125" style="1818"/>
    <col min="9731" max="9731" width="11.5703125" style="1818" customWidth="1"/>
    <col min="9732" max="9732" width="17.5703125" style="1818" customWidth="1"/>
    <col min="9733" max="9733" width="22.7109375" style="1818" customWidth="1"/>
    <col min="9734" max="9760" width="8.28515625" style="1818" customWidth="1"/>
    <col min="9761" max="9764" width="9.140625" style="1818" customWidth="1"/>
    <col min="9765" max="9765" width="8.28515625" style="1818" customWidth="1"/>
    <col min="9766" max="9766" width="9.140625" style="1818" customWidth="1"/>
    <col min="9767" max="9783" width="8.28515625" style="1818" customWidth="1"/>
    <col min="9784" max="9986" width="11.5703125" style="1818"/>
    <col min="9987" max="9987" width="11.5703125" style="1818" customWidth="1"/>
    <col min="9988" max="9988" width="17.5703125" style="1818" customWidth="1"/>
    <col min="9989" max="9989" width="22.7109375" style="1818" customWidth="1"/>
    <col min="9990" max="10016" width="8.28515625" style="1818" customWidth="1"/>
    <col min="10017" max="10020" width="9.140625" style="1818" customWidth="1"/>
    <col min="10021" max="10021" width="8.28515625" style="1818" customWidth="1"/>
    <col min="10022" max="10022" width="9.140625" style="1818" customWidth="1"/>
    <col min="10023" max="10039" width="8.28515625" style="1818" customWidth="1"/>
    <col min="10040" max="10242" width="11.5703125" style="1818"/>
    <col min="10243" max="10243" width="11.5703125" style="1818" customWidth="1"/>
    <col min="10244" max="10244" width="17.5703125" style="1818" customWidth="1"/>
    <col min="10245" max="10245" width="22.7109375" style="1818" customWidth="1"/>
    <col min="10246" max="10272" width="8.28515625" style="1818" customWidth="1"/>
    <col min="10273" max="10276" width="9.140625" style="1818" customWidth="1"/>
    <col min="10277" max="10277" width="8.28515625" style="1818" customWidth="1"/>
    <col min="10278" max="10278" width="9.140625" style="1818" customWidth="1"/>
    <col min="10279" max="10295" width="8.28515625" style="1818" customWidth="1"/>
    <col min="10296" max="10498" width="11.5703125" style="1818"/>
    <col min="10499" max="10499" width="11.5703125" style="1818" customWidth="1"/>
    <col min="10500" max="10500" width="17.5703125" style="1818" customWidth="1"/>
    <col min="10501" max="10501" width="22.7109375" style="1818" customWidth="1"/>
    <col min="10502" max="10528" width="8.28515625" style="1818" customWidth="1"/>
    <col min="10529" max="10532" width="9.140625" style="1818" customWidth="1"/>
    <col min="10533" max="10533" width="8.28515625" style="1818" customWidth="1"/>
    <col min="10534" max="10534" width="9.140625" style="1818" customWidth="1"/>
    <col min="10535" max="10551" width="8.28515625" style="1818" customWidth="1"/>
    <col min="10552" max="10754" width="11.5703125" style="1818"/>
    <col min="10755" max="10755" width="11.5703125" style="1818" customWidth="1"/>
    <col min="10756" max="10756" width="17.5703125" style="1818" customWidth="1"/>
    <col min="10757" max="10757" width="22.7109375" style="1818" customWidth="1"/>
    <col min="10758" max="10784" width="8.28515625" style="1818" customWidth="1"/>
    <col min="10785" max="10788" width="9.140625" style="1818" customWidth="1"/>
    <col min="10789" max="10789" width="8.28515625" style="1818" customWidth="1"/>
    <col min="10790" max="10790" width="9.140625" style="1818" customWidth="1"/>
    <col min="10791" max="10807" width="8.28515625" style="1818" customWidth="1"/>
    <col min="10808" max="11010" width="11.5703125" style="1818"/>
    <col min="11011" max="11011" width="11.5703125" style="1818" customWidth="1"/>
    <col min="11012" max="11012" width="17.5703125" style="1818" customWidth="1"/>
    <col min="11013" max="11013" width="22.7109375" style="1818" customWidth="1"/>
    <col min="11014" max="11040" width="8.28515625" style="1818" customWidth="1"/>
    <col min="11041" max="11044" width="9.140625" style="1818" customWidth="1"/>
    <col min="11045" max="11045" width="8.28515625" style="1818" customWidth="1"/>
    <col min="11046" max="11046" width="9.140625" style="1818" customWidth="1"/>
    <col min="11047" max="11063" width="8.28515625" style="1818" customWidth="1"/>
    <col min="11064" max="11266" width="11.5703125" style="1818"/>
    <col min="11267" max="11267" width="11.5703125" style="1818" customWidth="1"/>
    <col min="11268" max="11268" width="17.5703125" style="1818" customWidth="1"/>
    <col min="11269" max="11269" width="22.7109375" style="1818" customWidth="1"/>
    <col min="11270" max="11296" width="8.28515625" style="1818" customWidth="1"/>
    <col min="11297" max="11300" width="9.140625" style="1818" customWidth="1"/>
    <col min="11301" max="11301" width="8.28515625" style="1818" customWidth="1"/>
    <col min="11302" max="11302" width="9.140625" style="1818" customWidth="1"/>
    <col min="11303" max="11319" width="8.28515625" style="1818" customWidth="1"/>
    <col min="11320" max="11522" width="11.5703125" style="1818"/>
    <col min="11523" max="11523" width="11.5703125" style="1818" customWidth="1"/>
    <col min="11524" max="11524" width="17.5703125" style="1818" customWidth="1"/>
    <col min="11525" max="11525" width="22.7109375" style="1818" customWidth="1"/>
    <col min="11526" max="11552" width="8.28515625" style="1818" customWidth="1"/>
    <col min="11553" max="11556" width="9.140625" style="1818" customWidth="1"/>
    <col min="11557" max="11557" width="8.28515625" style="1818" customWidth="1"/>
    <col min="11558" max="11558" width="9.140625" style="1818" customWidth="1"/>
    <col min="11559" max="11575" width="8.28515625" style="1818" customWidth="1"/>
    <col min="11576" max="11778" width="11.5703125" style="1818"/>
    <col min="11779" max="11779" width="11.5703125" style="1818" customWidth="1"/>
    <col min="11780" max="11780" width="17.5703125" style="1818" customWidth="1"/>
    <col min="11781" max="11781" width="22.7109375" style="1818" customWidth="1"/>
    <col min="11782" max="11808" width="8.28515625" style="1818" customWidth="1"/>
    <col min="11809" max="11812" width="9.140625" style="1818" customWidth="1"/>
    <col min="11813" max="11813" width="8.28515625" style="1818" customWidth="1"/>
    <col min="11814" max="11814" width="9.140625" style="1818" customWidth="1"/>
    <col min="11815" max="11831" width="8.28515625" style="1818" customWidth="1"/>
    <col min="11832" max="12034" width="11.5703125" style="1818"/>
    <col min="12035" max="12035" width="11.5703125" style="1818" customWidth="1"/>
    <col min="12036" max="12036" width="17.5703125" style="1818" customWidth="1"/>
    <col min="12037" max="12037" width="22.7109375" style="1818" customWidth="1"/>
    <col min="12038" max="12064" width="8.28515625" style="1818" customWidth="1"/>
    <col min="12065" max="12068" width="9.140625" style="1818" customWidth="1"/>
    <col min="12069" max="12069" width="8.28515625" style="1818" customWidth="1"/>
    <col min="12070" max="12070" width="9.140625" style="1818" customWidth="1"/>
    <col min="12071" max="12087" width="8.28515625" style="1818" customWidth="1"/>
    <col min="12088" max="12290" width="11.5703125" style="1818"/>
    <col min="12291" max="12291" width="11.5703125" style="1818" customWidth="1"/>
    <col min="12292" max="12292" width="17.5703125" style="1818" customWidth="1"/>
    <col min="12293" max="12293" width="22.7109375" style="1818" customWidth="1"/>
    <col min="12294" max="12320" width="8.28515625" style="1818" customWidth="1"/>
    <col min="12321" max="12324" width="9.140625" style="1818" customWidth="1"/>
    <col min="12325" max="12325" width="8.28515625" style="1818" customWidth="1"/>
    <col min="12326" max="12326" width="9.140625" style="1818" customWidth="1"/>
    <col min="12327" max="12343" width="8.28515625" style="1818" customWidth="1"/>
    <col min="12344" max="12546" width="11.5703125" style="1818"/>
    <col min="12547" max="12547" width="11.5703125" style="1818" customWidth="1"/>
    <col min="12548" max="12548" width="17.5703125" style="1818" customWidth="1"/>
    <col min="12549" max="12549" width="22.7109375" style="1818" customWidth="1"/>
    <col min="12550" max="12576" width="8.28515625" style="1818" customWidth="1"/>
    <col min="12577" max="12580" width="9.140625" style="1818" customWidth="1"/>
    <col min="12581" max="12581" width="8.28515625" style="1818" customWidth="1"/>
    <col min="12582" max="12582" width="9.140625" style="1818" customWidth="1"/>
    <col min="12583" max="12599" width="8.28515625" style="1818" customWidth="1"/>
    <col min="12600" max="12802" width="11.5703125" style="1818"/>
    <col min="12803" max="12803" width="11.5703125" style="1818" customWidth="1"/>
    <col min="12804" max="12804" width="17.5703125" style="1818" customWidth="1"/>
    <col min="12805" max="12805" width="22.7109375" style="1818" customWidth="1"/>
    <col min="12806" max="12832" width="8.28515625" style="1818" customWidth="1"/>
    <col min="12833" max="12836" width="9.140625" style="1818" customWidth="1"/>
    <col min="12837" max="12837" width="8.28515625" style="1818" customWidth="1"/>
    <col min="12838" max="12838" width="9.140625" style="1818" customWidth="1"/>
    <col min="12839" max="12855" width="8.28515625" style="1818" customWidth="1"/>
    <col min="12856" max="13058" width="11.5703125" style="1818"/>
    <col min="13059" max="13059" width="11.5703125" style="1818" customWidth="1"/>
    <col min="13060" max="13060" width="17.5703125" style="1818" customWidth="1"/>
    <col min="13061" max="13061" width="22.7109375" style="1818" customWidth="1"/>
    <col min="13062" max="13088" width="8.28515625" style="1818" customWidth="1"/>
    <col min="13089" max="13092" width="9.140625" style="1818" customWidth="1"/>
    <col min="13093" max="13093" width="8.28515625" style="1818" customWidth="1"/>
    <col min="13094" max="13094" width="9.140625" style="1818" customWidth="1"/>
    <col min="13095" max="13111" width="8.28515625" style="1818" customWidth="1"/>
    <col min="13112" max="13314" width="11.5703125" style="1818"/>
    <col min="13315" max="13315" width="11.5703125" style="1818" customWidth="1"/>
    <col min="13316" max="13316" width="17.5703125" style="1818" customWidth="1"/>
    <col min="13317" max="13317" width="22.7109375" style="1818" customWidth="1"/>
    <col min="13318" max="13344" width="8.28515625" style="1818" customWidth="1"/>
    <col min="13345" max="13348" width="9.140625" style="1818" customWidth="1"/>
    <col min="13349" max="13349" width="8.28515625" style="1818" customWidth="1"/>
    <col min="13350" max="13350" width="9.140625" style="1818" customWidth="1"/>
    <col min="13351" max="13367" width="8.28515625" style="1818" customWidth="1"/>
    <col min="13368" max="13570" width="11.5703125" style="1818"/>
    <col min="13571" max="13571" width="11.5703125" style="1818" customWidth="1"/>
    <col min="13572" max="13572" width="17.5703125" style="1818" customWidth="1"/>
    <col min="13573" max="13573" width="22.7109375" style="1818" customWidth="1"/>
    <col min="13574" max="13600" width="8.28515625" style="1818" customWidth="1"/>
    <col min="13601" max="13604" width="9.140625" style="1818" customWidth="1"/>
    <col min="13605" max="13605" width="8.28515625" style="1818" customWidth="1"/>
    <col min="13606" max="13606" width="9.140625" style="1818" customWidth="1"/>
    <col min="13607" max="13623" width="8.28515625" style="1818" customWidth="1"/>
    <col min="13624" max="13826" width="11.5703125" style="1818"/>
    <col min="13827" max="13827" width="11.5703125" style="1818" customWidth="1"/>
    <col min="13828" max="13828" width="17.5703125" style="1818" customWidth="1"/>
    <col min="13829" max="13829" width="22.7109375" style="1818" customWidth="1"/>
    <col min="13830" max="13856" width="8.28515625" style="1818" customWidth="1"/>
    <col min="13857" max="13860" width="9.140625" style="1818" customWidth="1"/>
    <col min="13861" max="13861" width="8.28515625" style="1818" customWidth="1"/>
    <col min="13862" max="13862" width="9.140625" style="1818" customWidth="1"/>
    <col min="13863" max="13879" width="8.28515625" style="1818" customWidth="1"/>
    <col min="13880" max="14082" width="11.5703125" style="1818"/>
    <col min="14083" max="14083" width="11.5703125" style="1818" customWidth="1"/>
    <col min="14084" max="14084" width="17.5703125" style="1818" customWidth="1"/>
    <col min="14085" max="14085" width="22.7109375" style="1818" customWidth="1"/>
    <col min="14086" max="14112" width="8.28515625" style="1818" customWidth="1"/>
    <col min="14113" max="14116" width="9.140625" style="1818" customWidth="1"/>
    <col min="14117" max="14117" width="8.28515625" style="1818" customWidth="1"/>
    <col min="14118" max="14118" width="9.140625" style="1818" customWidth="1"/>
    <col min="14119" max="14135" width="8.28515625" style="1818" customWidth="1"/>
    <col min="14136" max="14338" width="11.5703125" style="1818"/>
    <col min="14339" max="14339" width="11.5703125" style="1818" customWidth="1"/>
    <col min="14340" max="14340" width="17.5703125" style="1818" customWidth="1"/>
    <col min="14341" max="14341" width="22.7109375" style="1818" customWidth="1"/>
    <col min="14342" max="14368" width="8.28515625" style="1818" customWidth="1"/>
    <col min="14369" max="14372" width="9.140625" style="1818" customWidth="1"/>
    <col min="14373" max="14373" width="8.28515625" style="1818" customWidth="1"/>
    <col min="14374" max="14374" width="9.140625" style="1818" customWidth="1"/>
    <col min="14375" max="14391" width="8.28515625" style="1818" customWidth="1"/>
    <col min="14392" max="14594" width="11.5703125" style="1818"/>
    <col min="14595" max="14595" width="11.5703125" style="1818" customWidth="1"/>
    <col min="14596" max="14596" width="17.5703125" style="1818" customWidth="1"/>
    <col min="14597" max="14597" width="22.7109375" style="1818" customWidth="1"/>
    <col min="14598" max="14624" width="8.28515625" style="1818" customWidth="1"/>
    <col min="14625" max="14628" width="9.140625" style="1818" customWidth="1"/>
    <col min="14629" max="14629" width="8.28515625" style="1818" customWidth="1"/>
    <col min="14630" max="14630" width="9.140625" style="1818" customWidth="1"/>
    <col min="14631" max="14647" width="8.28515625" style="1818" customWidth="1"/>
    <col min="14648" max="14850" width="11.5703125" style="1818"/>
    <col min="14851" max="14851" width="11.5703125" style="1818" customWidth="1"/>
    <col min="14852" max="14852" width="17.5703125" style="1818" customWidth="1"/>
    <col min="14853" max="14853" width="22.7109375" style="1818" customWidth="1"/>
    <col min="14854" max="14880" width="8.28515625" style="1818" customWidth="1"/>
    <col min="14881" max="14884" width="9.140625" style="1818" customWidth="1"/>
    <col min="14885" max="14885" width="8.28515625" style="1818" customWidth="1"/>
    <col min="14886" max="14886" width="9.140625" style="1818" customWidth="1"/>
    <col min="14887" max="14903" width="8.28515625" style="1818" customWidth="1"/>
    <col min="14904" max="15106" width="11.5703125" style="1818"/>
    <col min="15107" max="15107" width="11.5703125" style="1818" customWidth="1"/>
    <col min="15108" max="15108" width="17.5703125" style="1818" customWidth="1"/>
    <col min="15109" max="15109" width="22.7109375" style="1818" customWidth="1"/>
    <col min="15110" max="15136" width="8.28515625" style="1818" customWidth="1"/>
    <col min="15137" max="15140" width="9.140625" style="1818" customWidth="1"/>
    <col min="15141" max="15141" width="8.28515625" style="1818" customWidth="1"/>
    <col min="15142" max="15142" width="9.140625" style="1818" customWidth="1"/>
    <col min="15143" max="15159" width="8.28515625" style="1818" customWidth="1"/>
    <col min="15160" max="15362" width="11.5703125" style="1818"/>
    <col min="15363" max="15363" width="11.5703125" style="1818" customWidth="1"/>
    <col min="15364" max="15364" width="17.5703125" style="1818" customWidth="1"/>
    <col min="15365" max="15365" width="22.7109375" style="1818" customWidth="1"/>
    <col min="15366" max="15392" width="8.28515625" style="1818" customWidth="1"/>
    <col min="15393" max="15396" width="9.140625" style="1818" customWidth="1"/>
    <col min="15397" max="15397" width="8.28515625" style="1818" customWidth="1"/>
    <col min="15398" max="15398" width="9.140625" style="1818" customWidth="1"/>
    <col min="15399" max="15415" width="8.28515625" style="1818" customWidth="1"/>
    <col min="15416" max="15618" width="11.5703125" style="1818"/>
    <col min="15619" max="15619" width="11.5703125" style="1818" customWidth="1"/>
    <col min="15620" max="15620" width="17.5703125" style="1818" customWidth="1"/>
    <col min="15621" max="15621" width="22.7109375" style="1818" customWidth="1"/>
    <col min="15622" max="15648" width="8.28515625" style="1818" customWidth="1"/>
    <col min="15649" max="15652" width="9.140625" style="1818" customWidth="1"/>
    <col min="15653" max="15653" width="8.28515625" style="1818" customWidth="1"/>
    <col min="15654" max="15654" width="9.140625" style="1818" customWidth="1"/>
    <col min="15655" max="15671" width="8.28515625" style="1818" customWidth="1"/>
    <col min="15672" max="15874" width="11.5703125" style="1818"/>
    <col min="15875" max="15875" width="11.5703125" style="1818" customWidth="1"/>
    <col min="15876" max="15876" width="17.5703125" style="1818" customWidth="1"/>
    <col min="15877" max="15877" width="22.7109375" style="1818" customWidth="1"/>
    <col min="15878" max="15904" width="8.28515625" style="1818" customWidth="1"/>
    <col min="15905" max="15908" width="9.140625" style="1818" customWidth="1"/>
    <col min="15909" max="15909" width="8.28515625" style="1818" customWidth="1"/>
    <col min="15910" max="15910" width="9.140625" style="1818" customWidth="1"/>
    <col min="15911" max="15927" width="8.28515625" style="1818" customWidth="1"/>
    <col min="15928" max="16130" width="11.5703125" style="1818"/>
    <col min="16131" max="16131" width="11.5703125" style="1818" customWidth="1"/>
    <col min="16132" max="16132" width="17.5703125" style="1818" customWidth="1"/>
    <col min="16133" max="16133" width="22.7109375" style="1818" customWidth="1"/>
    <col min="16134" max="16160" width="8.28515625" style="1818" customWidth="1"/>
    <col min="16161" max="16164" width="9.140625" style="1818" customWidth="1"/>
    <col min="16165" max="16165" width="8.28515625" style="1818" customWidth="1"/>
    <col min="16166" max="16166" width="9.140625" style="1818" customWidth="1"/>
    <col min="16167" max="16183" width="8.28515625" style="1818" customWidth="1"/>
    <col min="16184" max="16383" width="11.5703125" style="1818"/>
    <col min="16384" max="16384" width="11.5703125" style="1818" customWidth="1"/>
  </cols>
  <sheetData>
    <row r="1" spans="1:60" s="3468" customFormat="1">
      <c r="A1" s="3464" t="s">
        <v>7276</v>
      </c>
      <c r="B1" s="3465" t="s">
        <v>7274</v>
      </c>
      <c r="C1" s="3465" t="s">
        <v>7275</v>
      </c>
      <c r="D1" s="3466" t="s">
        <v>7280</v>
      </c>
      <c r="E1" s="3466" t="s">
        <v>7279</v>
      </c>
      <c r="F1" s="3467">
        <v>1961</v>
      </c>
      <c r="G1" s="3467">
        <v>1962</v>
      </c>
      <c r="H1" s="3467">
        <v>1963</v>
      </c>
      <c r="I1" s="3467">
        <v>1964</v>
      </c>
      <c r="J1" s="3467">
        <v>1965</v>
      </c>
      <c r="K1" s="3467">
        <v>1966</v>
      </c>
      <c r="L1" s="3467">
        <v>1967</v>
      </c>
      <c r="M1" s="3467">
        <v>1968</v>
      </c>
      <c r="N1" s="3467">
        <v>1969</v>
      </c>
      <c r="O1" s="3467">
        <v>1970</v>
      </c>
      <c r="P1" s="3467">
        <v>1971</v>
      </c>
      <c r="Q1" s="3467">
        <v>1972</v>
      </c>
      <c r="R1" s="3467">
        <v>1973</v>
      </c>
      <c r="S1" s="3467">
        <v>1974</v>
      </c>
      <c r="T1" s="3467">
        <v>1975</v>
      </c>
      <c r="U1" s="3467">
        <v>1976</v>
      </c>
      <c r="V1" s="3467">
        <v>1977</v>
      </c>
      <c r="W1" s="3467">
        <v>1978</v>
      </c>
      <c r="X1" s="3467">
        <v>1979</v>
      </c>
      <c r="Y1" s="3467">
        <v>1980</v>
      </c>
      <c r="Z1" s="3467">
        <v>1981</v>
      </c>
      <c r="AA1" s="3467">
        <v>1982</v>
      </c>
      <c r="AB1" s="3467">
        <v>1983</v>
      </c>
      <c r="AC1" s="3467">
        <v>1984</v>
      </c>
      <c r="AD1" s="3467">
        <v>1985</v>
      </c>
      <c r="AE1" s="3467">
        <v>1986</v>
      </c>
      <c r="AF1" s="3467">
        <v>1987</v>
      </c>
      <c r="AG1" s="3467">
        <v>1988</v>
      </c>
      <c r="AH1" s="3467">
        <v>1989</v>
      </c>
      <c r="AI1" s="3467">
        <v>1990</v>
      </c>
      <c r="AJ1" s="3467">
        <v>1991</v>
      </c>
      <c r="AK1" s="3467">
        <v>1992</v>
      </c>
      <c r="AL1" s="3467">
        <v>1993</v>
      </c>
      <c r="AM1" s="3467">
        <v>1994</v>
      </c>
      <c r="AN1" s="3467">
        <v>1995</v>
      </c>
      <c r="AO1" s="3467">
        <v>1996</v>
      </c>
      <c r="AP1" s="3467">
        <v>1997</v>
      </c>
      <c r="AQ1" s="3467">
        <v>1998</v>
      </c>
      <c r="AR1" s="3467">
        <v>1999</v>
      </c>
      <c r="AS1" s="3467">
        <v>2000</v>
      </c>
      <c r="AT1" s="3467">
        <v>2001</v>
      </c>
      <c r="AU1" s="3467">
        <v>2002</v>
      </c>
      <c r="AV1" s="3467">
        <v>2003</v>
      </c>
      <c r="AW1" s="3467">
        <v>2004</v>
      </c>
      <c r="AX1" s="3467">
        <v>2005</v>
      </c>
      <c r="AY1" s="3467">
        <v>2006</v>
      </c>
      <c r="AZ1" s="3467">
        <v>2007</v>
      </c>
      <c r="BA1" s="3467">
        <v>2008</v>
      </c>
      <c r="BB1" s="3467">
        <v>2009</v>
      </c>
      <c r="BC1" s="3467">
        <v>2010</v>
      </c>
      <c r="BD1" s="3467">
        <v>2011</v>
      </c>
      <c r="BE1" s="3467">
        <v>2012</v>
      </c>
      <c r="BF1" s="3467">
        <v>2013</v>
      </c>
      <c r="BG1" s="3467"/>
      <c r="BH1" s="3467"/>
    </row>
    <row r="2" spans="1:60">
      <c r="A2" s="1817" t="str">
        <f t="shared" ref="A2:A65" si="0">CONCATENATE(B2,C2)</f>
        <v>??</v>
      </c>
      <c r="B2" s="2746" t="s">
        <v>5</v>
      </c>
      <c r="C2" s="2746" t="s">
        <v>5</v>
      </c>
      <c r="D2" s="2746"/>
      <c r="F2" s="1819">
        <v>0</v>
      </c>
      <c r="G2" s="1819">
        <v>0</v>
      </c>
      <c r="H2" s="1819">
        <v>0</v>
      </c>
      <c r="I2" s="1819">
        <v>0</v>
      </c>
      <c r="J2" s="1819">
        <v>0</v>
      </c>
      <c r="K2" s="1819">
        <v>0</v>
      </c>
      <c r="L2" s="1819">
        <v>0</v>
      </c>
      <c r="M2" s="1819">
        <v>0</v>
      </c>
      <c r="N2" s="1819">
        <v>0</v>
      </c>
      <c r="O2" s="1819">
        <v>0</v>
      </c>
      <c r="P2" s="1819">
        <v>0</v>
      </c>
      <c r="Q2" s="1819">
        <v>0</v>
      </c>
      <c r="R2" s="1819">
        <v>0</v>
      </c>
      <c r="S2" s="1819">
        <v>0</v>
      </c>
      <c r="T2" s="1819">
        <v>0</v>
      </c>
      <c r="U2" s="1819">
        <v>0</v>
      </c>
      <c r="V2" s="1819">
        <v>0</v>
      </c>
      <c r="W2" s="1819">
        <v>0</v>
      </c>
      <c r="X2" s="1819">
        <v>0</v>
      </c>
      <c r="Y2" s="1819">
        <v>0</v>
      </c>
      <c r="Z2" s="1819">
        <v>0</v>
      </c>
      <c r="AA2" s="1819">
        <v>0</v>
      </c>
      <c r="AB2" s="1819">
        <v>0</v>
      </c>
      <c r="AC2" s="1819">
        <v>0</v>
      </c>
      <c r="AD2" s="1819">
        <v>0</v>
      </c>
      <c r="AE2" s="1819">
        <v>0</v>
      </c>
      <c r="AF2" s="1819">
        <v>0</v>
      </c>
      <c r="AG2" s="1819">
        <v>0</v>
      </c>
      <c r="AH2" s="1819">
        <v>0</v>
      </c>
      <c r="AI2" s="1819">
        <v>0</v>
      </c>
      <c r="AJ2" s="1819">
        <v>0</v>
      </c>
      <c r="AK2" s="1819">
        <v>0</v>
      </c>
      <c r="AL2" s="1819">
        <v>0</v>
      </c>
      <c r="AM2" s="1819">
        <v>0</v>
      </c>
      <c r="AN2" s="1819">
        <v>0</v>
      </c>
      <c r="AO2" s="1819">
        <v>0</v>
      </c>
      <c r="AP2" s="1819">
        <v>0</v>
      </c>
      <c r="AQ2" s="1819">
        <v>0</v>
      </c>
      <c r="AR2" s="1819">
        <v>0</v>
      </c>
      <c r="AS2" s="1819">
        <v>0</v>
      </c>
      <c r="AT2" s="1819">
        <v>0</v>
      </c>
      <c r="AU2" s="1819">
        <v>0</v>
      </c>
      <c r="AV2" s="1819">
        <v>0</v>
      </c>
      <c r="AW2" s="1819">
        <v>0</v>
      </c>
      <c r="AX2" s="1819">
        <v>0</v>
      </c>
      <c r="AY2" s="1819">
        <v>0</v>
      </c>
      <c r="AZ2" s="1819">
        <v>0</v>
      </c>
      <c r="BA2" s="1819">
        <v>0</v>
      </c>
      <c r="BB2" s="1819">
        <v>0</v>
      </c>
      <c r="BC2" s="1819">
        <v>0</v>
      </c>
      <c r="BD2" s="1819">
        <v>0</v>
      </c>
      <c r="BE2" s="1819">
        <v>0</v>
      </c>
      <c r="BF2" s="1819">
        <v>0</v>
      </c>
    </row>
    <row r="3" spans="1:60">
      <c r="A3" s="1817" t="str">
        <f t="shared" si="0"/>
        <v>AfricaAlmonds, with shell</v>
      </c>
      <c r="B3" s="1818" t="s">
        <v>297</v>
      </c>
      <c r="C3" s="1818" t="s">
        <v>7283</v>
      </c>
      <c r="D3" s="3463" t="str">
        <f>VLOOKUP(B3,List_Yield!$G$4:$J$14,4,FALSE)</f>
        <v>Africa</v>
      </c>
      <c r="E3" s="3463" t="str">
        <f t="shared" ref="E3:E60" si="1">CONCATENATE(D3,C3)</f>
        <v>AfricaAlmonds, with shell</v>
      </c>
      <c r="F3" s="2994">
        <v>0.22789999999999999</v>
      </c>
      <c r="G3" s="2994">
        <v>0.28749999999999998</v>
      </c>
      <c r="H3" s="2994">
        <v>0.33160000000000001</v>
      </c>
      <c r="I3" s="2994">
        <v>0.23169999999999999</v>
      </c>
      <c r="J3" s="2994">
        <v>0.22500000000000001</v>
      </c>
      <c r="K3" s="2994">
        <v>0.21829999999999999</v>
      </c>
      <c r="L3" s="2994">
        <v>0.26140000000000002</v>
      </c>
      <c r="M3" s="2994">
        <v>0.16039999999999999</v>
      </c>
      <c r="N3" s="2994">
        <v>0.2051</v>
      </c>
      <c r="O3" s="2994">
        <v>0.1386</v>
      </c>
      <c r="P3" s="2994">
        <v>0.13830000000000001</v>
      </c>
      <c r="Q3" s="2994">
        <v>0.17280000000000001</v>
      </c>
      <c r="R3" s="2994">
        <v>0.2087</v>
      </c>
      <c r="S3" s="2994">
        <v>0.21290000000000001</v>
      </c>
      <c r="T3" s="2994">
        <v>0.23080000000000001</v>
      </c>
      <c r="U3" s="2994">
        <v>0.2409</v>
      </c>
      <c r="V3" s="2994">
        <v>0.24809999999999999</v>
      </c>
      <c r="W3" s="2994">
        <v>0.29799999999999999</v>
      </c>
      <c r="X3" s="2994">
        <v>0.29559999999999997</v>
      </c>
      <c r="Y3" s="2994">
        <v>0.32619999999999999</v>
      </c>
      <c r="Z3" s="2994">
        <v>0.40029999999999999</v>
      </c>
      <c r="AA3" s="2994">
        <v>0.40200000000000002</v>
      </c>
      <c r="AB3" s="2994">
        <v>0.20580000000000001</v>
      </c>
      <c r="AC3" s="2994">
        <v>0.23910000000000001</v>
      </c>
      <c r="AD3" s="2994">
        <v>0.36120000000000002</v>
      </c>
      <c r="AE3" s="2994">
        <v>0.34749999999999998</v>
      </c>
      <c r="AF3" s="2994">
        <v>0.36430000000000001</v>
      </c>
      <c r="AG3" s="2994">
        <v>0.32519999999999999</v>
      </c>
      <c r="AH3" s="2994">
        <v>0.4002</v>
      </c>
      <c r="AI3" s="2994">
        <v>0.45579999999999998</v>
      </c>
      <c r="AJ3" s="2994">
        <v>0.45689999999999997</v>
      </c>
      <c r="AK3" s="2994">
        <v>0.39850000000000002</v>
      </c>
      <c r="AL3" s="2994">
        <v>0.40939999999999999</v>
      </c>
      <c r="AM3" s="2994">
        <v>0.3392</v>
      </c>
      <c r="AN3" s="2994">
        <v>0.34329999999999999</v>
      </c>
      <c r="AO3" s="2994">
        <v>0.37609999999999999</v>
      </c>
      <c r="AP3" s="2994">
        <v>0.39410000000000001</v>
      </c>
      <c r="AQ3" s="2994">
        <v>0.439</v>
      </c>
      <c r="AR3" s="2994">
        <v>0.47170000000000001</v>
      </c>
      <c r="AS3" s="2994">
        <v>0.42770000000000002</v>
      </c>
      <c r="AT3" s="2994">
        <v>0.39850000000000002</v>
      </c>
      <c r="AU3" s="2994">
        <v>0.39369999999999999</v>
      </c>
      <c r="AV3" s="2994">
        <v>0.50690000000000002</v>
      </c>
      <c r="AW3" s="2994">
        <v>0.43980000000000002</v>
      </c>
      <c r="AX3" s="2994">
        <v>0.4249</v>
      </c>
      <c r="AY3" s="2994">
        <v>0.52539999999999998</v>
      </c>
      <c r="AZ3" s="2994">
        <v>0.48089999999999999</v>
      </c>
      <c r="BA3" s="2994">
        <v>0.51929999999999998</v>
      </c>
      <c r="BB3" s="2994">
        <v>0.60140000000000005</v>
      </c>
      <c r="BC3" s="2994">
        <v>0.57220000000000004</v>
      </c>
      <c r="BD3" s="3471">
        <v>0.49109999999999998</v>
      </c>
      <c r="BE3" s="3471">
        <v>0.54239999999999999</v>
      </c>
      <c r="BF3" s="3471">
        <v>0</v>
      </c>
    </row>
    <row r="4" spans="1:60">
      <c r="A4" s="1817" t="str">
        <f t="shared" si="0"/>
        <v>AfricaAnise, badian, fennel, coriander</v>
      </c>
      <c r="B4" s="1818" t="s">
        <v>297</v>
      </c>
      <c r="C4" s="1818" t="s">
        <v>7284</v>
      </c>
      <c r="D4" s="3463" t="str">
        <f>VLOOKUP(B4,List_Yield!$G$4:$J$14,4,FALSE)</f>
        <v>Africa</v>
      </c>
      <c r="E4" s="3463" t="str">
        <f t="shared" si="1"/>
        <v>AfricaAnise, badian, fennel, coriander</v>
      </c>
      <c r="F4" s="2994">
        <v>0.94699999999999995</v>
      </c>
      <c r="G4" s="2994">
        <v>0.87260000000000004</v>
      </c>
      <c r="H4" s="2994">
        <v>0.82550000000000001</v>
      </c>
      <c r="I4" s="2994">
        <v>1.1071</v>
      </c>
      <c r="J4" s="2994">
        <v>1.1178999999999999</v>
      </c>
      <c r="K4" s="2994">
        <v>0.80900000000000005</v>
      </c>
      <c r="L4" s="2994">
        <v>0.86080000000000001</v>
      </c>
      <c r="M4" s="2994">
        <v>1.1539999999999999</v>
      </c>
      <c r="N4" s="2994">
        <v>0.91800000000000004</v>
      </c>
      <c r="O4" s="2994">
        <v>0.91349999999999998</v>
      </c>
      <c r="P4" s="2994">
        <v>1.2874000000000001</v>
      </c>
      <c r="Q4" s="2994">
        <v>1.2768999999999999</v>
      </c>
      <c r="R4" s="2994">
        <v>1.0178</v>
      </c>
      <c r="S4" s="2994">
        <v>0.89080000000000004</v>
      </c>
      <c r="T4" s="2994">
        <v>0.89490000000000003</v>
      </c>
      <c r="U4" s="2994">
        <v>0.89370000000000005</v>
      </c>
      <c r="V4" s="2994">
        <v>0.95340000000000003</v>
      </c>
      <c r="W4" s="2994">
        <v>0.93859999999999999</v>
      </c>
      <c r="X4" s="2994">
        <v>0.96699999999999997</v>
      </c>
      <c r="Y4" s="2994">
        <v>0.98270000000000002</v>
      </c>
      <c r="Z4" s="2994">
        <v>1.0810999999999999</v>
      </c>
      <c r="AA4" s="2994">
        <v>1.0408999999999999</v>
      </c>
      <c r="AB4" s="2994">
        <v>1.0405</v>
      </c>
      <c r="AC4" s="2994">
        <v>1.0769</v>
      </c>
      <c r="AD4" s="2994">
        <v>0.82620000000000005</v>
      </c>
      <c r="AE4" s="2994">
        <v>0.85609999999999997</v>
      </c>
      <c r="AF4" s="2994">
        <v>0.86650000000000005</v>
      </c>
      <c r="AG4" s="2994">
        <v>0.88970000000000005</v>
      </c>
      <c r="AH4" s="2994">
        <v>0.90449999999999997</v>
      </c>
      <c r="AI4" s="2994">
        <v>0.89890000000000003</v>
      </c>
      <c r="AJ4" s="2994">
        <v>0.87219999999999998</v>
      </c>
      <c r="AK4" s="2994">
        <v>0.85509999999999997</v>
      </c>
      <c r="AL4" s="2994">
        <v>0.9022</v>
      </c>
      <c r="AM4" s="2994">
        <v>0.89459999999999995</v>
      </c>
      <c r="AN4" s="2994">
        <v>0.90969999999999995</v>
      </c>
      <c r="AO4" s="2994">
        <v>0.89549999999999996</v>
      </c>
      <c r="AP4" s="2994">
        <v>0.83819999999999995</v>
      </c>
      <c r="AQ4" s="2994">
        <v>0.89590000000000003</v>
      </c>
      <c r="AR4" s="2994">
        <v>0.84770000000000001</v>
      </c>
      <c r="AS4" s="2994">
        <v>0.89500000000000002</v>
      </c>
      <c r="AT4" s="2994">
        <v>0.89339999999999997</v>
      </c>
      <c r="AU4" s="2994">
        <v>0.89129999999999998</v>
      </c>
      <c r="AV4" s="2994">
        <v>0.88990000000000002</v>
      </c>
      <c r="AW4" s="2994">
        <v>0.89859999999999995</v>
      </c>
      <c r="AX4" s="2994">
        <v>0.88119999999999998</v>
      </c>
      <c r="AY4" s="2994">
        <v>0.89249999999999996</v>
      </c>
      <c r="AZ4" s="2994">
        <v>0.88129999999999997</v>
      </c>
      <c r="BA4" s="2994">
        <v>0.88</v>
      </c>
      <c r="BB4" s="2994">
        <v>0.72529999999999994</v>
      </c>
      <c r="BC4" s="2994">
        <v>0.86799999999999999</v>
      </c>
      <c r="BD4" s="3471">
        <v>0.94579999999999997</v>
      </c>
      <c r="BE4" s="3471">
        <v>0.96340000000000003</v>
      </c>
      <c r="BF4" s="3471">
        <v>0</v>
      </c>
    </row>
    <row r="5" spans="1:60">
      <c r="A5" s="1817" t="str">
        <f t="shared" si="0"/>
        <v>AfricaApples</v>
      </c>
      <c r="B5" s="1818" t="s">
        <v>297</v>
      </c>
      <c r="C5" s="1818" t="s">
        <v>7285</v>
      </c>
      <c r="D5" s="3463" t="str">
        <f>VLOOKUP(B5,List_Yield!$G$4:$J$14,4,FALSE)</f>
        <v>Africa</v>
      </c>
      <c r="E5" s="3463" t="str">
        <f t="shared" si="1"/>
        <v>AfricaApples</v>
      </c>
      <c r="F5" s="2994">
        <v>7.0027999999999997</v>
      </c>
      <c r="G5" s="2994">
        <v>7.3491</v>
      </c>
      <c r="H5" s="2994">
        <v>8.1972000000000005</v>
      </c>
      <c r="I5" s="2994">
        <v>9.2350999999999992</v>
      </c>
      <c r="J5" s="2994">
        <v>8.4685000000000006</v>
      </c>
      <c r="K5" s="2994">
        <v>9.3964999999999996</v>
      </c>
      <c r="L5" s="2994">
        <v>8.8632000000000009</v>
      </c>
      <c r="M5" s="2994">
        <v>11.178900000000001</v>
      </c>
      <c r="N5" s="2994">
        <v>10.913</v>
      </c>
      <c r="O5" s="2994">
        <v>11.3611</v>
      </c>
      <c r="P5" s="2994">
        <v>10.6045</v>
      </c>
      <c r="Q5" s="2994">
        <v>13.1393</v>
      </c>
      <c r="R5" s="2994">
        <v>12.3728</v>
      </c>
      <c r="S5" s="2994">
        <v>12.4033</v>
      </c>
      <c r="T5" s="2994">
        <v>13.667</v>
      </c>
      <c r="U5" s="2994">
        <v>15.3216</v>
      </c>
      <c r="V5" s="2994">
        <v>12.5509</v>
      </c>
      <c r="W5" s="2994">
        <v>15.682600000000001</v>
      </c>
      <c r="X5" s="2994">
        <v>15.154999999999999</v>
      </c>
      <c r="Y5" s="2994">
        <v>16.001200000000001</v>
      </c>
      <c r="Z5" s="2994">
        <v>15.119199999999999</v>
      </c>
      <c r="AA5" s="2994">
        <v>17.549499999999998</v>
      </c>
      <c r="AB5" s="2994">
        <v>13.1281</v>
      </c>
      <c r="AC5" s="2994">
        <v>16.831900000000001</v>
      </c>
      <c r="AD5" s="2994">
        <v>12.41</v>
      </c>
      <c r="AE5" s="2994">
        <v>12.4209</v>
      </c>
      <c r="AF5" s="2994">
        <v>11.7559</v>
      </c>
      <c r="AG5" s="2994">
        <v>15.0085</v>
      </c>
      <c r="AH5" s="2994">
        <v>13.747199999999999</v>
      </c>
      <c r="AI5" s="2994">
        <v>10.8545</v>
      </c>
      <c r="AJ5" s="2994">
        <v>12.1555</v>
      </c>
      <c r="AK5" s="2994">
        <v>12.078099999999999</v>
      </c>
      <c r="AL5" s="2994">
        <v>13.337999999999999</v>
      </c>
      <c r="AM5" s="2994">
        <v>11.7979</v>
      </c>
      <c r="AN5" s="2994">
        <v>13.209099999999999</v>
      </c>
      <c r="AO5" s="2994">
        <v>13.802199999999999</v>
      </c>
      <c r="AP5" s="2994">
        <v>12.7753</v>
      </c>
      <c r="AQ5" s="2994">
        <v>12.194800000000001</v>
      </c>
      <c r="AR5" s="2994">
        <v>11.7286</v>
      </c>
      <c r="AS5" s="2994">
        <v>12.5435</v>
      </c>
      <c r="AT5" s="2994">
        <v>11.8178</v>
      </c>
      <c r="AU5" s="2994">
        <v>13.714399999999999</v>
      </c>
      <c r="AV5" s="2994">
        <v>14.0928</v>
      </c>
      <c r="AW5" s="2994">
        <v>14.6577</v>
      </c>
      <c r="AX5" s="2994">
        <v>14.6816</v>
      </c>
      <c r="AY5" s="2994">
        <v>15.4901</v>
      </c>
      <c r="AZ5" s="2994">
        <v>14.991</v>
      </c>
      <c r="BA5" s="2994">
        <v>15.633100000000001</v>
      </c>
      <c r="BB5" s="2994">
        <v>15.9755</v>
      </c>
      <c r="BC5" s="2994">
        <v>15.5001</v>
      </c>
      <c r="BD5" s="3471">
        <v>15.7689</v>
      </c>
      <c r="BE5" s="3471">
        <v>16.2057</v>
      </c>
      <c r="BF5" s="3471">
        <v>0</v>
      </c>
    </row>
    <row r="6" spans="1:60">
      <c r="A6" s="1817" t="str">
        <f t="shared" si="0"/>
        <v>AfricaApricots</v>
      </c>
      <c r="B6" s="1818" t="s">
        <v>297</v>
      </c>
      <c r="C6" s="1818" t="s">
        <v>7286</v>
      </c>
      <c r="D6" s="3463" t="str">
        <f>VLOOKUP(B6,List_Yield!$G$4:$J$14,4,FALSE)</f>
        <v>Africa</v>
      </c>
      <c r="E6" s="3463" t="str">
        <f t="shared" si="1"/>
        <v>AfricaApricots</v>
      </c>
      <c r="F6" s="2994">
        <v>2.879</v>
      </c>
      <c r="G6" s="2994">
        <v>3.4621</v>
      </c>
      <c r="H6" s="2994">
        <v>3.1880999999999999</v>
      </c>
      <c r="I6" s="2994">
        <v>4.3670999999999998</v>
      </c>
      <c r="J6" s="2994">
        <v>3.9714</v>
      </c>
      <c r="K6" s="2994">
        <v>5.1679000000000004</v>
      </c>
      <c r="L6" s="2994">
        <v>4.9684999999999997</v>
      </c>
      <c r="M6" s="2994">
        <v>5.8299000000000003</v>
      </c>
      <c r="N6" s="2994">
        <v>4.7245999999999997</v>
      </c>
      <c r="O6" s="2994">
        <v>4.8305999999999996</v>
      </c>
      <c r="P6" s="2994">
        <v>4.9537000000000004</v>
      </c>
      <c r="Q6" s="2994">
        <v>4.7914000000000003</v>
      </c>
      <c r="R6" s="2994">
        <v>4.6837999999999997</v>
      </c>
      <c r="S6" s="2994">
        <v>5.0415000000000001</v>
      </c>
      <c r="T6" s="2994">
        <v>4.6542000000000003</v>
      </c>
      <c r="U6" s="2994">
        <v>5.0039999999999996</v>
      </c>
      <c r="V6" s="2994">
        <v>4.6021999999999998</v>
      </c>
      <c r="W6" s="2994">
        <v>4.9420000000000002</v>
      </c>
      <c r="X6" s="2994">
        <v>4.9591000000000003</v>
      </c>
      <c r="Y6" s="2994">
        <v>4.9928999999999997</v>
      </c>
      <c r="Z6" s="2994">
        <v>6.7332999999999998</v>
      </c>
      <c r="AA6" s="2994">
        <v>6.6272000000000002</v>
      </c>
      <c r="AB6" s="2994">
        <v>8.1033000000000008</v>
      </c>
      <c r="AC6" s="2994">
        <v>6.5454999999999997</v>
      </c>
      <c r="AD6" s="2994">
        <v>4.1519000000000004</v>
      </c>
      <c r="AE6" s="2994">
        <v>5.2332999999999998</v>
      </c>
      <c r="AF6" s="2994">
        <v>5.3617999999999997</v>
      </c>
      <c r="AG6" s="2994">
        <v>5.44</v>
      </c>
      <c r="AH6" s="2994">
        <v>5.2066999999999997</v>
      </c>
      <c r="AI6" s="2994">
        <v>4.7843</v>
      </c>
      <c r="AJ6" s="2994">
        <v>5.1191000000000004</v>
      </c>
      <c r="AK6" s="2994">
        <v>4.72</v>
      </c>
      <c r="AL6" s="2994">
        <v>6.2403000000000004</v>
      </c>
      <c r="AM6" s="2994">
        <v>4.9406999999999996</v>
      </c>
      <c r="AN6" s="2994">
        <v>4.8628999999999998</v>
      </c>
      <c r="AO6" s="2994">
        <v>5.8147000000000002</v>
      </c>
      <c r="AP6" s="2994">
        <v>6.4245000000000001</v>
      </c>
      <c r="AQ6" s="2994">
        <v>6.6040000000000001</v>
      </c>
      <c r="AR6" s="2994">
        <v>6.8014000000000001</v>
      </c>
      <c r="AS6" s="2994">
        <v>6.6478999999999999</v>
      </c>
      <c r="AT6" s="2994">
        <v>6.8246000000000002</v>
      </c>
      <c r="AU6" s="2994">
        <v>6.9484000000000004</v>
      </c>
      <c r="AV6" s="2994">
        <v>6.9128999999999996</v>
      </c>
      <c r="AW6" s="2994">
        <v>6.5328999999999997</v>
      </c>
      <c r="AX6" s="2994">
        <v>6.8788</v>
      </c>
      <c r="AY6" s="2994">
        <v>7.968</v>
      </c>
      <c r="AZ6" s="2994">
        <v>6.3642000000000003</v>
      </c>
      <c r="BA6" s="2994">
        <v>7.2422000000000004</v>
      </c>
      <c r="BB6" s="2994">
        <v>7.9127999999999998</v>
      </c>
      <c r="BC6" s="2994">
        <v>6.7866</v>
      </c>
      <c r="BD6" s="3471">
        <v>8.1527999999999992</v>
      </c>
      <c r="BE6" s="3471">
        <v>7.6412000000000004</v>
      </c>
      <c r="BF6" s="3471">
        <v>0</v>
      </c>
    </row>
    <row r="7" spans="1:60">
      <c r="A7" s="1817" t="str">
        <f t="shared" si="0"/>
        <v>AfricaAreca nuts</v>
      </c>
      <c r="B7" s="1818" t="s">
        <v>297</v>
      </c>
      <c r="C7" s="1818" t="s">
        <v>7287</v>
      </c>
      <c r="D7" s="3463" t="str">
        <f>VLOOKUP(B7,List_Yield!$G$4:$J$14,4,FALSE)</f>
        <v>Africa</v>
      </c>
      <c r="E7" s="3463" t="str">
        <f t="shared" si="1"/>
        <v>AfricaAreca nuts</v>
      </c>
      <c r="F7" s="2994">
        <v>0</v>
      </c>
      <c r="G7" s="2994">
        <v>0</v>
      </c>
      <c r="H7" s="2994">
        <v>0</v>
      </c>
      <c r="I7" s="2994">
        <v>0</v>
      </c>
      <c r="J7" s="2994">
        <v>0</v>
      </c>
      <c r="K7" s="2994">
        <v>0</v>
      </c>
      <c r="L7" s="2994">
        <v>0</v>
      </c>
      <c r="M7" s="2994">
        <v>0</v>
      </c>
      <c r="N7" s="2994">
        <v>0</v>
      </c>
      <c r="O7" s="2994">
        <v>0</v>
      </c>
      <c r="P7" s="2994">
        <v>0</v>
      </c>
      <c r="Q7" s="2994">
        <v>0</v>
      </c>
      <c r="R7" s="2994">
        <v>0</v>
      </c>
      <c r="S7" s="2994">
        <v>0</v>
      </c>
      <c r="T7" s="2994">
        <v>0</v>
      </c>
      <c r="U7" s="2994">
        <v>0</v>
      </c>
      <c r="V7" s="2994">
        <v>0</v>
      </c>
      <c r="W7" s="2994">
        <v>0</v>
      </c>
      <c r="X7" s="2994">
        <v>0</v>
      </c>
      <c r="Y7" s="2994">
        <v>0</v>
      </c>
      <c r="Z7" s="2994">
        <v>0</v>
      </c>
      <c r="AA7" s="2994">
        <v>0</v>
      </c>
      <c r="AB7" s="2994">
        <v>0</v>
      </c>
      <c r="AC7" s="2994">
        <v>0</v>
      </c>
      <c r="AD7" s="2994">
        <v>0</v>
      </c>
      <c r="AE7" s="2994">
        <v>0</v>
      </c>
      <c r="AF7" s="2994">
        <v>0</v>
      </c>
      <c r="AG7" s="2994">
        <v>0</v>
      </c>
      <c r="AH7" s="2994">
        <v>0</v>
      </c>
      <c r="AI7" s="2994">
        <v>0</v>
      </c>
      <c r="AJ7" s="2994">
        <v>0</v>
      </c>
      <c r="AK7" s="2994">
        <v>0</v>
      </c>
      <c r="AL7" s="2994">
        <v>0</v>
      </c>
      <c r="AM7" s="2994">
        <v>0</v>
      </c>
      <c r="AN7" s="2994">
        <v>0</v>
      </c>
      <c r="AO7" s="2994">
        <v>0</v>
      </c>
      <c r="AP7" s="2994">
        <v>0</v>
      </c>
      <c r="AQ7" s="2994">
        <v>0</v>
      </c>
      <c r="AR7" s="2994">
        <v>0</v>
      </c>
      <c r="AS7" s="2994">
        <v>0</v>
      </c>
      <c r="AT7" s="2994">
        <v>0</v>
      </c>
      <c r="AU7" s="2994">
        <v>0</v>
      </c>
      <c r="AV7" s="2994">
        <v>0</v>
      </c>
      <c r="AW7" s="2994">
        <v>0</v>
      </c>
      <c r="AX7" s="2994">
        <v>0</v>
      </c>
      <c r="AY7" s="2994">
        <v>0</v>
      </c>
      <c r="AZ7" s="2994">
        <v>0</v>
      </c>
      <c r="BA7" s="2994">
        <v>0</v>
      </c>
      <c r="BB7" s="2994">
        <v>0</v>
      </c>
      <c r="BC7" s="2994">
        <v>0</v>
      </c>
      <c r="BD7" s="3471">
        <v>0</v>
      </c>
      <c r="BE7" s="3471">
        <v>0</v>
      </c>
      <c r="BF7" s="3471">
        <v>0</v>
      </c>
    </row>
    <row r="8" spans="1:60">
      <c r="A8" s="1817" t="str">
        <f t="shared" si="0"/>
        <v>AfricaArtichokes</v>
      </c>
      <c r="B8" s="1818" t="s">
        <v>297</v>
      </c>
      <c r="C8" s="1818" t="s">
        <v>7288</v>
      </c>
      <c r="D8" s="3463" t="str">
        <f>VLOOKUP(B8,List_Yield!$G$4:$J$14,4,FALSE)</f>
        <v>Africa</v>
      </c>
      <c r="E8" s="3463" t="str">
        <f t="shared" si="1"/>
        <v>AfricaArtichokes</v>
      </c>
      <c r="F8" s="2994">
        <v>6.2153999999999998</v>
      </c>
      <c r="G8" s="2994">
        <v>6.3316999999999997</v>
      </c>
      <c r="H8" s="2994">
        <v>6.8475000000000001</v>
      </c>
      <c r="I8" s="2994">
        <v>5.7565</v>
      </c>
      <c r="J8" s="2994">
        <v>6.6474000000000002</v>
      </c>
      <c r="K8" s="2994">
        <v>6.2492000000000001</v>
      </c>
      <c r="L8" s="2994">
        <v>5.8929999999999998</v>
      </c>
      <c r="M8" s="2994">
        <v>5.8242000000000003</v>
      </c>
      <c r="N8" s="2994">
        <v>6.4132999999999996</v>
      </c>
      <c r="O8" s="2994">
        <v>6.9786000000000001</v>
      </c>
      <c r="P8" s="2994">
        <v>7.1798999999999999</v>
      </c>
      <c r="Q8" s="2994">
        <v>6.0838999999999999</v>
      </c>
      <c r="R8" s="2994">
        <v>6.5076999999999998</v>
      </c>
      <c r="S8" s="2994">
        <v>6.6329000000000002</v>
      </c>
      <c r="T8" s="2994">
        <v>6.4112</v>
      </c>
      <c r="U8" s="2994">
        <v>6.8916000000000004</v>
      </c>
      <c r="V8" s="2994">
        <v>5.6943000000000001</v>
      </c>
      <c r="W8" s="2994">
        <v>7.0210999999999997</v>
      </c>
      <c r="X8" s="2994">
        <v>7.2614000000000001</v>
      </c>
      <c r="Y8" s="2994">
        <v>7.0853999999999999</v>
      </c>
      <c r="Z8" s="2994">
        <v>7.2548000000000004</v>
      </c>
      <c r="AA8" s="2994">
        <v>10.198700000000001</v>
      </c>
      <c r="AB8" s="2994">
        <v>11.1099</v>
      </c>
      <c r="AC8" s="2994">
        <v>11.114000000000001</v>
      </c>
      <c r="AD8" s="2994">
        <v>12.495699999999999</v>
      </c>
      <c r="AE8" s="2994">
        <v>13.561</v>
      </c>
      <c r="AF8" s="2994">
        <v>13.0672</v>
      </c>
      <c r="AG8" s="2994">
        <v>12.2608</v>
      </c>
      <c r="AH8" s="2994">
        <v>17.346800000000002</v>
      </c>
      <c r="AI8" s="2994">
        <v>15.5144</v>
      </c>
      <c r="AJ8" s="2994">
        <v>15.4057</v>
      </c>
      <c r="AK8" s="2994">
        <v>12.9994</v>
      </c>
      <c r="AL8" s="2994">
        <v>11.021100000000001</v>
      </c>
      <c r="AM8" s="2994">
        <v>11.793100000000001</v>
      </c>
      <c r="AN8" s="2994">
        <v>12.432700000000001</v>
      </c>
      <c r="AO8" s="2994">
        <v>10.6739</v>
      </c>
      <c r="AP8" s="2994">
        <v>11.8995</v>
      </c>
      <c r="AQ8" s="2994">
        <v>10.5733</v>
      </c>
      <c r="AR8" s="2994">
        <v>11.013400000000001</v>
      </c>
      <c r="AS8" s="2994">
        <v>12.9495</v>
      </c>
      <c r="AT8" s="2994">
        <v>13.084899999999999</v>
      </c>
      <c r="AU8" s="2994">
        <v>12.8689</v>
      </c>
      <c r="AV8" s="2994">
        <v>14.975099999999999</v>
      </c>
      <c r="AW8" s="2994">
        <v>15.1203</v>
      </c>
      <c r="AX8" s="2994">
        <v>14.3223</v>
      </c>
      <c r="AY8" s="2994">
        <v>17.438199999999998</v>
      </c>
      <c r="AZ8" s="2994">
        <v>16.940300000000001</v>
      </c>
      <c r="BA8" s="2994">
        <v>17.659800000000001</v>
      </c>
      <c r="BB8" s="2994">
        <v>18.561299999999999</v>
      </c>
      <c r="BC8" s="2994">
        <v>18.443899999999999</v>
      </c>
      <c r="BD8" s="3471">
        <v>17.003900000000002</v>
      </c>
      <c r="BE8" s="3471">
        <v>18.303799999999999</v>
      </c>
      <c r="BF8" s="3471">
        <v>0</v>
      </c>
    </row>
    <row r="9" spans="1:60">
      <c r="A9" s="1817" t="str">
        <f t="shared" si="0"/>
        <v>AfricaAsparagus</v>
      </c>
      <c r="B9" s="1818" t="s">
        <v>297</v>
      </c>
      <c r="C9" s="1818" t="s">
        <v>7289</v>
      </c>
      <c r="D9" s="3463" t="str">
        <f>VLOOKUP(B9,List_Yield!$G$4:$J$14,4,FALSE)</f>
        <v>Africa</v>
      </c>
      <c r="E9" s="3463" t="str">
        <f t="shared" si="1"/>
        <v>AfricaAsparagus</v>
      </c>
      <c r="F9" s="2994">
        <v>3.5</v>
      </c>
      <c r="G9" s="2994">
        <v>2.5</v>
      </c>
      <c r="H9" s="2994">
        <v>2.5556000000000001</v>
      </c>
      <c r="I9" s="2994">
        <v>3</v>
      </c>
      <c r="J9" s="2994">
        <v>2.5</v>
      </c>
      <c r="K9" s="2994">
        <v>2.4903</v>
      </c>
      <c r="L9" s="2994">
        <v>2.5</v>
      </c>
      <c r="M9" s="2994">
        <v>2.5</v>
      </c>
      <c r="N9" s="2994">
        <v>3</v>
      </c>
      <c r="O9" s="2994">
        <v>3</v>
      </c>
      <c r="P9" s="2994">
        <v>3.0556000000000001</v>
      </c>
      <c r="Q9" s="2994">
        <v>3.0556000000000001</v>
      </c>
      <c r="R9" s="2994">
        <v>3.5714000000000001</v>
      </c>
      <c r="S9" s="2994">
        <v>3.5714000000000001</v>
      </c>
      <c r="T9" s="2994">
        <v>3.6</v>
      </c>
      <c r="U9" s="2994">
        <v>3.6</v>
      </c>
      <c r="V9" s="2994">
        <v>4</v>
      </c>
      <c r="W9" s="2994">
        <v>4</v>
      </c>
      <c r="X9" s="2994">
        <v>4</v>
      </c>
      <c r="Y9" s="2994">
        <v>4</v>
      </c>
      <c r="Z9" s="2994">
        <v>4</v>
      </c>
      <c r="AA9" s="2994">
        <v>4</v>
      </c>
      <c r="AB9" s="2994">
        <v>4</v>
      </c>
      <c r="AC9" s="2994">
        <v>4</v>
      </c>
      <c r="AD9" s="2994">
        <v>4</v>
      </c>
      <c r="AE9" s="2994">
        <v>10</v>
      </c>
      <c r="AF9" s="2994">
        <v>13.501300000000001</v>
      </c>
      <c r="AG9" s="2994">
        <v>11.5573</v>
      </c>
      <c r="AH9" s="2994">
        <v>12.3653</v>
      </c>
      <c r="AI9" s="2994">
        <v>12.0839</v>
      </c>
      <c r="AJ9" s="2994">
        <v>14.124499999999999</v>
      </c>
      <c r="AK9" s="2994">
        <v>11.0389</v>
      </c>
      <c r="AL9" s="2994">
        <v>14.689399999999999</v>
      </c>
      <c r="AM9" s="2994">
        <v>19.215299999999999</v>
      </c>
      <c r="AN9" s="2994">
        <v>21.187000000000001</v>
      </c>
      <c r="AO9" s="2994">
        <v>16.5108</v>
      </c>
      <c r="AP9" s="2994">
        <v>24.972899999999999</v>
      </c>
      <c r="AQ9" s="2994">
        <v>26.9129</v>
      </c>
      <c r="AR9" s="2994">
        <v>19.919499999999999</v>
      </c>
      <c r="AS9" s="2994">
        <v>20.702100000000002</v>
      </c>
      <c r="AT9" s="2994">
        <v>18.545999999999999</v>
      </c>
      <c r="AU9" s="2994">
        <v>11.7554</v>
      </c>
      <c r="AV9" s="2994">
        <v>10.0335</v>
      </c>
      <c r="AW9" s="2994">
        <v>9.5962999999999994</v>
      </c>
      <c r="AX9" s="2994">
        <v>8.2926000000000002</v>
      </c>
      <c r="AY9" s="2994">
        <v>8.8576999999999995</v>
      </c>
      <c r="AZ9" s="2994">
        <v>12.148999999999999</v>
      </c>
      <c r="BA9" s="2994">
        <v>9.0745000000000005</v>
      </c>
      <c r="BB9" s="2994">
        <v>6.7290000000000001</v>
      </c>
      <c r="BC9" s="2994">
        <v>6.7866999999999997</v>
      </c>
      <c r="BD9" s="3471">
        <v>6.3857999999999997</v>
      </c>
      <c r="BE9" s="3471">
        <v>6.8109000000000002</v>
      </c>
      <c r="BF9" s="3471">
        <v>0</v>
      </c>
    </row>
    <row r="10" spans="1:60">
      <c r="A10" s="1817" t="str">
        <f t="shared" si="0"/>
        <v>AfricaAvocados</v>
      </c>
      <c r="B10" s="1818" t="s">
        <v>297</v>
      </c>
      <c r="C10" s="1818" t="s">
        <v>7290</v>
      </c>
      <c r="D10" s="3463" t="str">
        <f>VLOOKUP(B10,List_Yield!$G$4:$J$14,4,FALSE)</f>
        <v>Africa</v>
      </c>
      <c r="E10" s="3463" t="str">
        <f t="shared" si="1"/>
        <v>AfricaAvocados</v>
      </c>
      <c r="F10" s="2994">
        <v>5.0049999999999999</v>
      </c>
      <c r="G10" s="2994">
        <v>5.0576999999999996</v>
      </c>
      <c r="H10" s="2994">
        <v>4.7968999999999999</v>
      </c>
      <c r="I10" s="2994">
        <v>4.9126000000000003</v>
      </c>
      <c r="J10" s="2994">
        <v>4.7590000000000003</v>
      </c>
      <c r="K10" s="2994">
        <v>4.8205</v>
      </c>
      <c r="L10" s="2994">
        <v>4.8998999999999997</v>
      </c>
      <c r="M10" s="2994">
        <v>4.8068999999999997</v>
      </c>
      <c r="N10" s="2994">
        <v>4.6417000000000002</v>
      </c>
      <c r="O10" s="2994">
        <v>4.6497000000000002</v>
      </c>
      <c r="P10" s="2994">
        <v>4.6576000000000004</v>
      </c>
      <c r="Q10" s="2994">
        <v>4.7686999999999999</v>
      </c>
      <c r="R10" s="2994">
        <v>4.6153000000000004</v>
      </c>
      <c r="S10" s="2994">
        <v>4.8303000000000003</v>
      </c>
      <c r="T10" s="2994">
        <v>5.6529999999999996</v>
      </c>
      <c r="U10" s="2994">
        <v>5.2721</v>
      </c>
      <c r="V10" s="2994">
        <v>4.8512000000000004</v>
      </c>
      <c r="W10" s="2994">
        <v>4.7662000000000004</v>
      </c>
      <c r="X10" s="2994">
        <v>5.3167999999999997</v>
      </c>
      <c r="Y10" s="2994">
        <v>5.4588000000000001</v>
      </c>
      <c r="Z10" s="2994">
        <v>5.3937999999999997</v>
      </c>
      <c r="AA10" s="2994">
        <v>5.4340999999999999</v>
      </c>
      <c r="AB10" s="2994">
        <v>5.7343999999999999</v>
      </c>
      <c r="AC10" s="2994">
        <v>5.6135000000000002</v>
      </c>
      <c r="AD10" s="2994">
        <v>5.6425000000000001</v>
      </c>
      <c r="AE10" s="2994">
        <v>5.7694999999999999</v>
      </c>
      <c r="AF10" s="2994">
        <v>6.0420999999999996</v>
      </c>
      <c r="AG10" s="2994">
        <v>6.1546000000000003</v>
      </c>
      <c r="AH10" s="2994">
        <v>6.0499000000000001</v>
      </c>
      <c r="AI10" s="2994">
        <v>6.5460000000000003</v>
      </c>
      <c r="AJ10" s="2994">
        <v>6.9904000000000002</v>
      </c>
      <c r="AK10" s="2994">
        <v>7.5377000000000001</v>
      </c>
      <c r="AL10" s="2994">
        <v>7.6790000000000003</v>
      </c>
      <c r="AM10" s="2994">
        <v>6.3757999999999999</v>
      </c>
      <c r="AN10" s="2994">
        <v>6.5744999999999996</v>
      </c>
      <c r="AO10" s="2994">
        <v>6.9391999999999996</v>
      </c>
      <c r="AP10" s="2994">
        <v>7.3106</v>
      </c>
      <c r="AQ10" s="2994">
        <v>6.7123999999999997</v>
      </c>
      <c r="AR10" s="2994">
        <v>6.9930000000000003</v>
      </c>
      <c r="AS10" s="2994">
        <v>6.4757999999999996</v>
      </c>
      <c r="AT10" s="2994">
        <v>6.5750000000000002</v>
      </c>
      <c r="AU10" s="2994">
        <v>5.8822999999999999</v>
      </c>
      <c r="AV10" s="2994">
        <v>6.3631000000000002</v>
      </c>
      <c r="AW10" s="2994">
        <v>6.0502000000000002</v>
      </c>
      <c r="AX10" s="2994">
        <v>7.0039999999999996</v>
      </c>
      <c r="AY10" s="2994">
        <v>6.4551999999999996</v>
      </c>
      <c r="AZ10" s="2994">
        <v>6.3045999999999998</v>
      </c>
      <c r="BA10" s="2994">
        <v>6.3470000000000004</v>
      </c>
      <c r="BB10" s="2994">
        <v>7.6280999999999999</v>
      </c>
      <c r="BC10" s="2994">
        <v>8.3323</v>
      </c>
      <c r="BD10" s="3471">
        <v>8.4829000000000008</v>
      </c>
      <c r="BE10" s="3471">
        <v>7.9726999999999997</v>
      </c>
      <c r="BF10" s="3471">
        <v>0</v>
      </c>
    </row>
    <row r="11" spans="1:60">
      <c r="A11" s="1817" t="str">
        <f t="shared" si="0"/>
        <v>AfricaBambara beans</v>
      </c>
      <c r="B11" s="1818" t="s">
        <v>297</v>
      </c>
      <c r="C11" s="1818" t="s">
        <v>7291</v>
      </c>
      <c r="D11" s="3463" t="str">
        <f>VLOOKUP(B11,List_Yield!$G$4:$J$14,4,FALSE)</f>
        <v>Africa</v>
      </c>
      <c r="E11" s="3463" t="str">
        <f t="shared" si="1"/>
        <v>AfricaBambara beans</v>
      </c>
      <c r="F11" s="2994">
        <v>0.73089999999999999</v>
      </c>
      <c r="G11" s="2994">
        <v>0.72529999999999994</v>
      </c>
      <c r="H11" s="2994">
        <v>0.72</v>
      </c>
      <c r="I11" s="2994">
        <v>0.72</v>
      </c>
      <c r="J11" s="2994">
        <v>0.72</v>
      </c>
      <c r="K11" s="2994">
        <v>0.73089999999999999</v>
      </c>
      <c r="L11" s="2994">
        <v>0.67810000000000004</v>
      </c>
      <c r="M11" s="2994">
        <v>0.69289999999999996</v>
      </c>
      <c r="N11" s="2994">
        <v>0.77370000000000005</v>
      </c>
      <c r="O11" s="2994">
        <v>0.67479999999999996</v>
      </c>
      <c r="P11" s="2994">
        <v>0.69040000000000001</v>
      </c>
      <c r="Q11" s="2994">
        <v>0.75460000000000005</v>
      </c>
      <c r="R11" s="2994">
        <v>0.67069999999999996</v>
      </c>
      <c r="S11" s="2994">
        <v>0.66910000000000003</v>
      </c>
      <c r="T11" s="2994">
        <v>0.68869999999999998</v>
      </c>
      <c r="U11" s="2994">
        <v>0.66520000000000001</v>
      </c>
      <c r="V11" s="2994">
        <v>0.65700000000000003</v>
      </c>
      <c r="W11" s="2994">
        <v>0.73780000000000001</v>
      </c>
      <c r="X11" s="2994">
        <v>0.74160000000000004</v>
      </c>
      <c r="Y11" s="2994">
        <v>0.68259999999999998</v>
      </c>
      <c r="Z11" s="2994">
        <v>0.67779999999999996</v>
      </c>
      <c r="AA11" s="2994">
        <v>0.67630000000000001</v>
      </c>
      <c r="AB11" s="2994">
        <v>0.68130000000000002</v>
      </c>
      <c r="AC11" s="2994">
        <v>0.66139999999999999</v>
      </c>
      <c r="AD11" s="2994">
        <v>0.66220000000000001</v>
      </c>
      <c r="AE11" s="2994">
        <v>0.71599999999999997</v>
      </c>
      <c r="AF11" s="2994">
        <v>0.72060000000000002</v>
      </c>
      <c r="AG11" s="2994">
        <v>0.65180000000000005</v>
      </c>
      <c r="AH11" s="2994">
        <v>0.70799999999999996</v>
      </c>
      <c r="AI11" s="2994">
        <v>0.67420000000000002</v>
      </c>
      <c r="AJ11" s="2994">
        <v>0.70799999999999996</v>
      </c>
      <c r="AK11" s="2994">
        <v>0.72719999999999996</v>
      </c>
      <c r="AL11" s="2994">
        <v>0.84830000000000005</v>
      </c>
      <c r="AM11" s="2994">
        <v>0.64059999999999995</v>
      </c>
      <c r="AN11" s="2994">
        <v>0.80669999999999997</v>
      </c>
      <c r="AO11" s="2994">
        <v>0.82240000000000002</v>
      </c>
      <c r="AP11" s="2994">
        <v>0.67130000000000001</v>
      </c>
      <c r="AQ11" s="2994">
        <v>0.91949999999999998</v>
      </c>
      <c r="AR11" s="2994">
        <v>0.98529999999999995</v>
      </c>
      <c r="AS11" s="2994">
        <v>0.73980000000000001</v>
      </c>
      <c r="AT11" s="2994">
        <v>0.85099999999999998</v>
      </c>
      <c r="AU11" s="2994">
        <v>0.6986</v>
      </c>
      <c r="AV11" s="2994">
        <v>0.69720000000000004</v>
      </c>
      <c r="AW11" s="2994">
        <v>0.65259999999999996</v>
      </c>
      <c r="AX11" s="2994">
        <v>0.74890000000000001</v>
      </c>
      <c r="AY11" s="2994">
        <v>0.7218</v>
      </c>
      <c r="AZ11" s="2994">
        <v>0.65280000000000005</v>
      </c>
      <c r="BA11" s="2994">
        <v>0.70609999999999995</v>
      </c>
      <c r="BB11" s="2994">
        <v>0.65900000000000003</v>
      </c>
      <c r="BC11" s="2994">
        <v>0.75570000000000004</v>
      </c>
      <c r="BD11" s="3471">
        <v>0.67149999999999999</v>
      </c>
      <c r="BE11" s="3471">
        <v>0.74250000000000005</v>
      </c>
      <c r="BF11" s="3471">
        <v>0.77239999999999998</v>
      </c>
    </row>
    <row r="12" spans="1:60">
      <c r="A12" s="1817" t="str">
        <f t="shared" si="0"/>
        <v>AfricaBananas</v>
      </c>
      <c r="B12" s="1818" t="s">
        <v>297</v>
      </c>
      <c r="C12" s="1818" t="s">
        <v>1336</v>
      </c>
      <c r="D12" s="3463" t="str">
        <f>VLOOKUP(B12,List_Yield!$G$4:$J$14,4,FALSE)</f>
        <v>Africa</v>
      </c>
      <c r="E12" s="3463" t="str">
        <f t="shared" si="1"/>
        <v>AfricaBananas</v>
      </c>
      <c r="F12" s="2994">
        <v>6.0418000000000003</v>
      </c>
      <c r="G12" s="2994">
        <v>6.1056999999999997</v>
      </c>
      <c r="H12" s="2994">
        <v>6.2710999999999997</v>
      </c>
      <c r="I12" s="2994">
        <v>6.3925000000000001</v>
      </c>
      <c r="J12" s="2994">
        <v>6.3158000000000003</v>
      </c>
      <c r="K12" s="2994">
        <v>6.4020000000000001</v>
      </c>
      <c r="L12" s="2994">
        <v>6.4378000000000002</v>
      </c>
      <c r="M12" s="2994">
        <v>6.4691000000000001</v>
      </c>
      <c r="N12" s="2994">
        <v>6.5109000000000004</v>
      </c>
      <c r="O12" s="2994">
        <v>5.9031000000000002</v>
      </c>
      <c r="P12" s="2994">
        <v>6.3456000000000001</v>
      </c>
      <c r="Q12" s="2994">
        <v>6.0567000000000002</v>
      </c>
      <c r="R12" s="2994">
        <v>6.6791</v>
      </c>
      <c r="S12" s="2994">
        <v>6.9206000000000003</v>
      </c>
      <c r="T12" s="2994">
        <v>6.5002000000000004</v>
      </c>
      <c r="U12" s="2994">
        <v>6.2760999999999996</v>
      </c>
      <c r="V12" s="2994">
        <v>6.4055999999999997</v>
      </c>
      <c r="W12" s="2994">
        <v>6.3029999999999999</v>
      </c>
      <c r="X12" s="2994">
        <v>6.8978999999999999</v>
      </c>
      <c r="Y12" s="2994">
        <v>6.6668000000000003</v>
      </c>
      <c r="Z12" s="2994">
        <v>7.4305000000000003</v>
      </c>
      <c r="AA12" s="2994">
        <v>7.0204000000000004</v>
      </c>
      <c r="AB12" s="2994">
        <v>7.0021000000000004</v>
      </c>
      <c r="AC12" s="2994">
        <v>6.9710999999999999</v>
      </c>
      <c r="AD12" s="2994">
        <v>7.0094000000000003</v>
      </c>
      <c r="AE12" s="2994">
        <v>7.016</v>
      </c>
      <c r="AF12" s="2994">
        <v>6.9545000000000003</v>
      </c>
      <c r="AG12" s="2994">
        <v>6.7530000000000001</v>
      </c>
      <c r="AH12" s="2994">
        <v>6.7944000000000004</v>
      </c>
      <c r="AI12" s="2994">
        <v>7.0995999999999997</v>
      </c>
      <c r="AJ12" s="2994">
        <v>7.1595000000000004</v>
      </c>
      <c r="AK12" s="2994">
        <v>7.2225000000000001</v>
      </c>
      <c r="AL12" s="2994">
        <v>7.1391999999999998</v>
      </c>
      <c r="AM12" s="2994">
        <v>7.3010999999999999</v>
      </c>
      <c r="AN12" s="2994">
        <v>7.8419999999999996</v>
      </c>
      <c r="AO12" s="2994">
        <v>7.2720000000000002</v>
      </c>
      <c r="AP12" s="2994">
        <v>6.3872</v>
      </c>
      <c r="AQ12" s="2994">
        <v>6.2337999999999996</v>
      </c>
      <c r="AR12" s="2994">
        <v>6.8231999999999999</v>
      </c>
      <c r="AS12" s="2994">
        <v>6.1875</v>
      </c>
      <c r="AT12" s="2994">
        <v>6.8586</v>
      </c>
      <c r="AU12" s="2994">
        <v>7.7074999999999996</v>
      </c>
      <c r="AV12" s="2994">
        <v>7.5260999999999996</v>
      </c>
      <c r="AW12" s="2994">
        <v>8.4291999999999998</v>
      </c>
      <c r="AX12" s="2994">
        <v>8.3346</v>
      </c>
      <c r="AY12" s="2994">
        <v>8.4774999999999991</v>
      </c>
      <c r="AZ12" s="2994">
        <v>9.1061999999999994</v>
      </c>
      <c r="BA12" s="2994">
        <v>8.9558</v>
      </c>
      <c r="BB12" s="2994">
        <v>9.0496999999999996</v>
      </c>
      <c r="BC12" s="2994">
        <v>9.7410999999999994</v>
      </c>
      <c r="BD12" s="3471">
        <v>9.3420000000000005</v>
      </c>
      <c r="BE12" s="3471">
        <v>10.6234</v>
      </c>
      <c r="BF12" s="3471">
        <v>0</v>
      </c>
    </row>
    <row r="13" spans="1:60">
      <c r="A13" s="1817" t="str">
        <f t="shared" si="0"/>
        <v>AfricaBarley</v>
      </c>
      <c r="B13" s="1818" t="s">
        <v>297</v>
      </c>
      <c r="C13" s="1818" t="s">
        <v>1337</v>
      </c>
      <c r="D13" s="3463" t="str">
        <f>VLOOKUP(B13,List_Yield!$G$4:$J$14,4,FALSE)</f>
        <v>Africa</v>
      </c>
      <c r="E13" s="3463" t="str">
        <f t="shared" si="1"/>
        <v>AfricaBarley</v>
      </c>
      <c r="F13" s="2994">
        <v>0.44569999999999999</v>
      </c>
      <c r="G13" s="2994">
        <v>0.88590000000000002</v>
      </c>
      <c r="H13" s="2994">
        <v>0.79420000000000002</v>
      </c>
      <c r="I13" s="2994">
        <v>0.70540000000000003</v>
      </c>
      <c r="J13" s="2994">
        <v>0.76739999999999997</v>
      </c>
      <c r="K13" s="2994">
        <v>0.48599999999999999</v>
      </c>
      <c r="L13" s="2994">
        <v>0.69140000000000001</v>
      </c>
      <c r="M13" s="2994">
        <v>1.0709</v>
      </c>
      <c r="N13" s="2994">
        <v>0.83830000000000005</v>
      </c>
      <c r="O13" s="2994">
        <v>0.85029999999999994</v>
      </c>
      <c r="P13" s="2994">
        <v>0.96830000000000005</v>
      </c>
      <c r="Q13" s="2994">
        <v>0.99950000000000006</v>
      </c>
      <c r="R13" s="2994">
        <v>0.6583</v>
      </c>
      <c r="S13" s="2994">
        <v>0.90820000000000001</v>
      </c>
      <c r="T13" s="2994">
        <v>0.85429999999999995</v>
      </c>
      <c r="U13" s="2994">
        <v>0.99429999999999996</v>
      </c>
      <c r="V13" s="2994">
        <v>0.67300000000000004</v>
      </c>
      <c r="W13" s="2994">
        <v>0.83399999999999996</v>
      </c>
      <c r="X13" s="2994">
        <v>0.80740000000000001</v>
      </c>
      <c r="Y13" s="2994">
        <v>0.96919999999999995</v>
      </c>
      <c r="Z13" s="2994">
        <v>0.70209999999999995</v>
      </c>
      <c r="AA13" s="2994">
        <v>1.0412999999999999</v>
      </c>
      <c r="AB13" s="2994">
        <v>0.76070000000000004</v>
      </c>
      <c r="AC13" s="2994">
        <v>0.72389999999999999</v>
      </c>
      <c r="AD13" s="2994">
        <v>1.0244</v>
      </c>
      <c r="AE13" s="2994">
        <v>1.1435999999999999</v>
      </c>
      <c r="AF13" s="2994">
        <v>0.83360000000000001</v>
      </c>
      <c r="AG13" s="2994">
        <v>1.1757</v>
      </c>
      <c r="AH13" s="2994">
        <v>1.0708</v>
      </c>
      <c r="AI13" s="2994">
        <v>0.94599999999999995</v>
      </c>
      <c r="AJ13" s="2994">
        <v>1.2494000000000001</v>
      </c>
      <c r="AK13" s="2994">
        <v>0.82099999999999995</v>
      </c>
      <c r="AL13" s="2994">
        <v>0.753</v>
      </c>
      <c r="AM13" s="2994">
        <v>1.2406999999999999</v>
      </c>
      <c r="AN13" s="2994">
        <v>0.74099999999999999</v>
      </c>
      <c r="AO13" s="2994">
        <v>1.3841000000000001</v>
      </c>
      <c r="AP13" s="2994">
        <v>0.80730000000000002</v>
      </c>
      <c r="AQ13" s="2994">
        <v>0.92120000000000002</v>
      </c>
      <c r="AR13" s="2994">
        <v>0.84230000000000005</v>
      </c>
      <c r="AS13" s="2994">
        <v>0.50949999999999995</v>
      </c>
      <c r="AT13" s="2994">
        <v>0.83960000000000001</v>
      </c>
      <c r="AU13" s="2994">
        <v>1.0477000000000001</v>
      </c>
      <c r="AV13" s="2994">
        <v>1.2022999999999999</v>
      </c>
      <c r="AW13" s="2994">
        <v>1.1499999999999999</v>
      </c>
      <c r="AX13" s="2994">
        <v>0.93289999999999995</v>
      </c>
      <c r="AY13" s="2994">
        <v>1.2704</v>
      </c>
      <c r="AZ13" s="2994">
        <v>0.90300000000000002</v>
      </c>
      <c r="BA13" s="2994">
        <v>0.91590000000000005</v>
      </c>
      <c r="BB13" s="2994">
        <v>1.6548</v>
      </c>
      <c r="BC13" s="2994">
        <v>1.3896999999999999</v>
      </c>
      <c r="BD13" s="3471">
        <v>1.331</v>
      </c>
      <c r="BE13" s="3471">
        <v>1.2043999999999999</v>
      </c>
      <c r="BF13" s="3471">
        <v>1.5318000000000001</v>
      </c>
    </row>
    <row r="14" spans="1:60">
      <c r="A14" s="1817" t="str">
        <f t="shared" si="0"/>
        <v>AfricaBastfibres, other</v>
      </c>
      <c r="B14" s="1818" t="s">
        <v>297</v>
      </c>
      <c r="C14" s="1818" t="s">
        <v>7292</v>
      </c>
      <c r="D14" s="3463" t="str">
        <f>VLOOKUP(B14,List_Yield!$G$4:$J$14,4,FALSE)</f>
        <v>Africa</v>
      </c>
      <c r="E14" s="3463" t="str">
        <f t="shared" si="1"/>
        <v>AfricaBastfibres, other</v>
      </c>
      <c r="F14" s="2994">
        <v>1.1468</v>
      </c>
      <c r="G14" s="2994">
        <v>1.0417000000000001</v>
      </c>
      <c r="H14" s="2994">
        <v>1.1053999999999999</v>
      </c>
      <c r="I14" s="2994">
        <v>0.9748</v>
      </c>
      <c r="J14" s="2994">
        <v>0.97260000000000002</v>
      </c>
      <c r="K14" s="2994">
        <v>1.0206999999999999</v>
      </c>
      <c r="L14" s="2994">
        <v>1.0769</v>
      </c>
      <c r="M14" s="2994">
        <v>1.0611999999999999</v>
      </c>
      <c r="N14" s="2994">
        <v>0.91049999999999998</v>
      </c>
      <c r="O14" s="2994">
        <v>0.86980000000000002</v>
      </c>
      <c r="P14" s="2994">
        <v>0.83779999999999999</v>
      </c>
      <c r="Q14" s="2994">
        <v>0.80369999999999997</v>
      </c>
      <c r="R14" s="2994">
        <v>0.68230000000000002</v>
      </c>
      <c r="S14" s="2994">
        <v>0.6069</v>
      </c>
      <c r="T14" s="2994">
        <v>0.59509999999999996</v>
      </c>
      <c r="U14" s="2994">
        <v>0.48520000000000002</v>
      </c>
      <c r="V14" s="2994">
        <v>0.48110000000000003</v>
      </c>
      <c r="W14" s="2994">
        <v>0.50970000000000004</v>
      </c>
      <c r="X14" s="2994">
        <v>0.50880000000000003</v>
      </c>
      <c r="Y14" s="2994">
        <v>0.4929</v>
      </c>
      <c r="Z14" s="2994">
        <v>0.51129999999999998</v>
      </c>
      <c r="AA14" s="2994">
        <v>0.54549999999999998</v>
      </c>
      <c r="AB14" s="2994">
        <v>0.57430000000000003</v>
      </c>
      <c r="AC14" s="2994">
        <v>0.5806</v>
      </c>
      <c r="AD14" s="2994">
        <v>0.56340000000000001</v>
      </c>
      <c r="AE14" s="2994">
        <v>0.59279999999999999</v>
      </c>
      <c r="AF14" s="2994">
        <v>0.62280000000000002</v>
      </c>
      <c r="AG14" s="2994">
        <v>0.6623</v>
      </c>
      <c r="AH14" s="2994">
        <v>0.66469999999999996</v>
      </c>
      <c r="AI14" s="2994">
        <v>0.62390000000000001</v>
      </c>
      <c r="AJ14" s="2994">
        <v>0.68640000000000001</v>
      </c>
      <c r="AK14" s="2994">
        <v>0.67849999999999999</v>
      </c>
      <c r="AL14" s="2994">
        <v>0.65100000000000002</v>
      </c>
      <c r="AM14" s="2994">
        <v>0.65990000000000004</v>
      </c>
      <c r="AN14" s="2994">
        <v>0.66569999999999996</v>
      </c>
      <c r="AO14" s="2994">
        <v>0.67579999999999996</v>
      </c>
      <c r="AP14" s="2994">
        <v>0.69669999999999999</v>
      </c>
      <c r="AQ14" s="2994">
        <v>0.71330000000000005</v>
      </c>
      <c r="AR14" s="2994">
        <v>0.66579999999999995</v>
      </c>
      <c r="AS14" s="2994">
        <v>0.62139999999999995</v>
      </c>
      <c r="AT14" s="2994">
        <v>0.61519999999999997</v>
      </c>
      <c r="AU14" s="2994">
        <v>0.65759999999999996</v>
      </c>
      <c r="AV14" s="2994">
        <v>0.62929999999999997</v>
      </c>
      <c r="AW14" s="2994">
        <v>0.71</v>
      </c>
      <c r="AX14" s="2994">
        <v>0.7329</v>
      </c>
      <c r="AY14" s="2994">
        <v>0.67010000000000003</v>
      </c>
      <c r="AZ14" s="2994">
        <v>0.56479999999999997</v>
      </c>
      <c r="BA14" s="2994">
        <v>0.55049999999999999</v>
      </c>
      <c r="BB14" s="2994">
        <v>0.4778</v>
      </c>
      <c r="BC14" s="2994">
        <v>0.35539999999999999</v>
      </c>
      <c r="BD14" s="3471">
        <v>0.63680000000000003</v>
      </c>
      <c r="BE14" s="3471">
        <v>0.63400000000000001</v>
      </c>
      <c r="BF14" s="3471">
        <v>0</v>
      </c>
    </row>
    <row r="15" spans="1:60">
      <c r="A15" s="1817" t="str">
        <f t="shared" si="0"/>
        <v>AfricaBeans, dry</v>
      </c>
      <c r="B15" s="1818" t="s">
        <v>297</v>
      </c>
      <c r="C15" s="1818" t="s">
        <v>1338</v>
      </c>
      <c r="D15" s="3463" t="str">
        <f>VLOOKUP(B15,List_Yield!$G$4:$J$14,4,FALSE)</f>
        <v>Africa</v>
      </c>
      <c r="E15" s="3463" t="str">
        <f t="shared" si="1"/>
        <v>AfricaBeans, dry</v>
      </c>
      <c r="F15" s="2994">
        <v>0.58740000000000003</v>
      </c>
      <c r="G15" s="2994">
        <v>0.60140000000000005</v>
      </c>
      <c r="H15" s="2994">
        <v>0.60029999999999994</v>
      </c>
      <c r="I15" s="2994">
        <v>0.61319999999999997</v>
      </c>
      <c r="J15" s="2994">
        <v>0.62980000000000003</v>
      </c>
      <c r="K15" s="2994">
        <v>0.64480000000000004</v>
      </c>
      <c r="L15" s="2994">
        <v>0.65780000000000005</v>
      </c>
      <c r="M15" s="2994">
        <v>0.63219999999999998</v>
      </c>
      <c r="N15" s="2994">
        <v>0.62170000000000003</v>
      </c>
      <c r="O15" s="2994">
        <v>0.62780000000000002</v>
      </c>
      <c r="P15" s="2994">
        <v>0.61829999999999996</v>
      </c>
      <c r="Q15" s="2994">
        <v>0.67600000000000005</v>
      </c>
      <c r="R15" s="2994">
        <v>0.61450000000000005</v>
      </c>
      <c r="S15" s="2994">
        <v>0.60829999999999995</v>
      </c>
      <c r="T15" s="2994">
        <v>0.66830000000000001</v>
      </c>
      <c r="U15" s="2994">
        <v>0.68069999999999997</v>
      </c>
      <c r="V15" s="2994">
        <v>0.67730000000000001</v>
      </c>
      <c r="W15" s="2994">
        <v>0.6593</v>
      </c>
      <c r="X15" s="2994">
        <v>0.63629999999999998</v>
      </c>
      <c r="Y15" s="2994">
        <v>0.62029999999999996</v>
      </c>
      <c r="Z15" s="2994">
        <v>0.65180000000000005</v>
      </c>
      <c r="AA15" s="2994">
        <v>0.64190000000000003</v>
      </c>
      <c r="AB15" s="2994">
        <v>0.6552</v>
      </c>
      <c r="AC15" s="2994">
        <v>0.65139999999999998</v>
      </c>
      <c r="AD15" s="2994">
        <v>0.68740000000000001</v>
      </c>
      <c r="AE15" s="2994">
        <v>0.67589999999999995</v>
      </c>
      <c r="AF15" s="2994">
        <v>0.69550000000000001</v>
      </c>
      <c r="AG15" s="2994">
        <v>0.69740000000000002</v>
      </c>
      <c r="AH15" s="2994">
        <v>0.70099999999999996</v>
      </c>
      <c r="AI15" s="2994">
        <v>0.76870000000000005</v>
      </c>
      <c r="AJ15" s="2994">
        <v>0.74529999999999996</v>
      </c>
      <c r="AK15" s="2994">
        <v>0.71489999999999998</v>
      </c>
      <c r="AL15" s="2994">
        <v>0.69689999999999996</v>
      </c>
      <c r="AM15" s="2994">
        <v>0.62070000000000003</v>
      </c>
      <c r="AN15" s="2994">
        <v>0.64280000000000004</v>
      </c>
      <c r="AO15" s="2994">
        <v>0.58919999999999995</v>
      </c>
      <c r="AP15" s="2994">
        <v>0.57579999999999998</v>
      </c>
      <c r="AQ15" s="2994">
        <v>0.62909999999999999</v>
      </c>
      <c r="AR15" s="2994">
        <v>0.64080000000000004</v>
      </c>
      <c r="AS15" s="2994">
        <v>0.63119999999999998</v>
      </c>
      <c r="AT15" s="2994">
        <v>0.64759999999999995</v>
      </c>
      <c r="AU15" s="2994">
        <v>0.64090000000000003</v>
      </c>
      <c r="AV15" s="2994">
        <v>0.59</v>
      </c>
      <c r="AW15" s="2994">
        <v>0.54459999999999997</v>
      </c>
      <c r="AX15" s="2994">
        <v>0.56620000000000004</v>
      </c>
      <c r="AY15" s="2994">
        <v>0.61119999999999997</v>
      </c>
      <c r="AZ15" s="2994">
        <v>0.64800000000000002</v>
      </c>
      <c r="BA15" s="2994">
        <v>0.62780000000000002</v>
      </c>
      <c r="BB15" s="2994">
        <v>0.66069999999999995</v>
      </c>
      <c r="BC15" s="2994">
        <v>0.63419999999999999</v>
      </c>
      <c r="BD15" s="3471">
        <v>0.64200000000000002</v>
      </c>
      <c r="BE15" s="3471">
        <v>0.65069999999999995</v>
      </c>
      <c r="BF15" s="3471">
        <v>0.63170000000000004</v>
      </c>
    </row>
    <row r="16" spans="1:60">
      <c r="A16" s="1817" t="str">
        <f t="shared" si="0"/>
        <v>AfricaBeans, green</v>
      </c>
      <c r="B16" s="1818" t="s">
        <v>297</v>
      </c>
      <c r="C16" s="1818" t="s">
        <v>1339</v>
      </c>
      <c r="D16" s="3463" t="str">
        <f>VLOOKUP(B16,List_Yield!$G$4:$J$14,4,FALSE)</f>
        <v>Africa</v>
      </c>
      <c r="E16" s="3463" t="str">
        <f t="shared" si="1"/>
        <v>AfricaBeans, green</v>
      </c>
      <c r="F16" s="2994">
        <v>6.5103</v>
      </c>
      <c r="G16" s="2994">
        <v>6.6025999999999998</v>
      </c>
      <c r="H16" s="2994">
        <v>5.8179999999999996</v>
      </c>
      <c r="I16" s="2994">
        <v>6.4358000000000004</v>
      </c>
      <c r="J16" s="2994">
        <v>5.2599</v>
      </c>
      <c r="K16" s="2994">
        <v>6.0773000000000001</v>
      </c>
      <c r="L16" s="2994">
        <v>5.6504000000000003</v>
      </c>
      <c r="M16" s="2994">
        <v>6.4810999999999996</v>
      </c>
      <c r="N16" s="2994">
        <v>6.1534000000000004</v>
      </c>
      <c r="O16" s="2994">
        <v>6.2720000000000002</v>
      </c>
      <c r="P16" s="2994">
        <v>6.3704000000000001</v>
      </c>
      <c r="Q16" s="2994">
        <v>6.8787000000000003</v>
      </c>
      <c r="R16" s="2994">
        <v>6.2286000000000001</v>
      </c>
      <c r="S16" s="2994">
        <v>6.3402000000000003</v>
      </c>
      <c r="T16" s="2994">
        <v>6.3978000000000002</v>
      </c>
      <c r="U16" s="2994">
        <v>6.9204999999999997</v>
      </c>
      <c r="V16" s="2994">
        <v>7.0831999999999997</v>
      </c>
      <c r="W16" s="2994">
        <v>5.8743999999999996</v>
      </c>
      <c r="X16" s="2994">
        <v>6.0936000000000003</v>
      </c>
      <c r="Y16" s="2994">
        <v>6.0865</v>
      </c>
      <c r="Z16" s="2994">
        <v>6.2930999999999999</v>
      </c>
      <c r="AA16" s="2994">
        <v>6.1454000000000004</v>
      </c>
      <c r="AB16" s="2994">
        <v>5.8860000000000001</v>
      </c>
      <c r="AC16" s="2994">
        <v>6.1886000000000001</v>
      </c>
      <c r="AD16" s="2994">
        <v>6.7031999999999998</v>
      </c>
      <c r="AE16" s="2994">
        <v>7.5431999999999997</v>
      </c>
      <c r="AF16" s="2994">
        <v>7.6773999999999996</v>
      </c>
      <c r="AG16" s="2994">
        <v>6.9790000000000001</v>
      </c>
      <c r="AH16" s="2994">
        <v>7.3609999999999998</v>
      </c>
      <c r="AI16" s="2994">
        <v>5.8158000000000003</v>
      </c>
      <c r="AJ16" s="2994">
        <v>6.3662999999999998</v>
      </c>
      <c r="AK16" s="2994">
        <v>6.0392000000000001</v>
      </c>
      <c r="AL16" s="2994">
        <v>5.6287000000000003</v>
      </c>
      <c r="AM16" s="2994">
        <v>6.2685000000000004</v>
      </c>
      <c r="AN16" s="2994">
        <v>6.3352000000000004</v>
      </c>
      <c r="AO16" s="2994">
        <v>6.5190999999999999</v>
      </c>
      <c r="AP16" s="2994">
        <v>6.8532000000000002</v>
      </c>
      <c r="AQ16" s="2994">
        <v>6.7721999999999998</v>
      </c>
      <c r="AR16" s="2994">
        <v>6.7713999999999999</v>
      </c>
      <c r="AS16" s="2994">
        <v>6.9237000000000002</v>
      </c>
      <c r="AT16" s="2994">
        <v>7.7640000000000002</v>
      </c>
      <c r="AU16" s="2994">
        <v>7.6447000000000003</v>
      </c>
      <c r="AV16" s="2994">
        <v>8.1329999999999991</v>
      </c>
      <c r="AW16" s="2994">
        <v>9.1387</v>
      </c>
      <c r="AX16" s="2994">
        <v>9.4202999999999992</v>
      </c>
      <c r="AY16" s="2994">
        <v>10.901300000000001</v>
      </c>
      <c r="AZ16" s="2994">
        <v>9.1356999999999999</v>
      </c>
      <c r="BA16" s="2994">
        <v>9.66</v>
      </c>
      <c r="BB16" s="2994">
        <v>7.4938000000000002</v>
      </c>
      <c r="BC16" s="2994">
        <v>9.6080000000000005</v>
      </c>
      <c r="BD16" s="3471">
        <v>9.1225000000000005</v>
      </c>
      <c r="BE16" s="3471">
        <v>9.0386000000000006</v>
      </c>
      <c r="BF16" s="3471">
        <v>0</v>
      </c>
    </row>
    <row r="17" spans="1:58">
      <c r="A17" s="1817" t="str">
        <f t="shared" si="0"/>
        <v>AfricaBerries nes</v>
      </c>
      <c r="B17" s="1818" t="s">
        <v>297</v>
      </c>
      <c r="C17" s="1818" t="s">
        <v>7293</v>
      </c>
      <c r="D17" s="3463" t="str">
        <f>VLOOKUP(B17,List_Yield!$G$4:$J$14,4,FALSE)</f>
        <v>Africa</v>
      </c>
      <c r="E17" s="3463" t="str">
        <f t="shared" si="1"/>
        <v>AfricaBerries nes</v>
      </c>
      <c r="F17" s="2994">
        <v>4.665</v>
      </c>
      <c r="G17" s="2994">
        <v>3.9950000000000001</v>
      </c>
      <c r="H17" s="2994">
        <v>4.41</v>
      </c>
      <c r="I17" s="2994">
        <v>3.8325</v>
      </c>
      <c r="J17" s="2994">
        <v>3.6825000000000001</v>
      </c>
      <c r="K17" s="2994">
        <v>4.0049999999999999</v>
      </c>
      <c r="L17" s="2994">
        <v>4.57</v>
      </c>
      <c r="M17" s="2994">
        <v>5.6449999999999996</v>
      </c>
      <c r="N17" s="2994">
        <v>6.2450000000000001</v>
      </c>
      <c r="O17" s="2994">
        <v>5.0650000000000004</v>
      </c>
      <c r="P17" s="2994">
        <v>6.9874999999999998</v>
      </c>
      <c r="Q17" s="2994">
        <v>6.54</v>
      </c>
      <c r="R17" s="2994">
        <v>6.97</v>
      </c>
      <c r="S17" s="2994">
        <v>6.31</v>
      </c>
      <c r="T17" s="2994">
        <v>5.5774999999999997</v>
      </c>
      <c r="U17" s="2994">
        <v>6.46</v>
      </c>
      <c r="V17" s="2994">
        <v>3.55</v>
      </c>
      <c r="W17" s="2994">
        <v>4.8875000000000002</v>
      </c>
      <c r="X17" s="2994">
        <v>4.6974999999999998</v>
      </c>
      <c r="Y17" s="2994">
        <v>6.76</v>
      </c>
      <c r="Z17" s="2994">
        <v>6.8606999999999996</v>
      </c>
      <c r="AA17" s="2994">
        <v>7.3639999999999999</v>
      </c>
      <c r="AB17" s="2994">
        <v>7.6696</v>
      </c>
      <c r="AC17" s="2994">
        <v>7.5651999999999999</v>
      </c>
      <c r="AD17" s="2994">
        <v>5.7314999999999996</v>
      </c>
      <c r="AE17" s="2994">
        <v>4.5397999999999996</v>
      </c>
      <c r="AF17" s="2994">
        <v>4.7637</v>
      </c>
      <c r="AG17" s="2994">
        <v>5.2202000000000002</v>
      </c>
      <c r="AH17" s="2994">
        <v>5</v>
      </c>
      <c r="AI17" s="2994">
        <v>4.0563000000000002</v>
      </c>
      <c r="AJ17" s="2994">
        <v>4.3616000000000001</v>
      </c>
      <c r="AK17" s="2994">
        <v>4.4328000000000003</v>
      </c>
      <c r="AL17" s="2994">
        <v>4.6071999999999997</v>
      </c>
      <c r="AM17" s="2994">
        <v>4.9794</v>
      </c>
      <c r="AN17" s="2994">
        <v>4.6372999999999998</v>
      </c>
      <c r="AO17" s="2994">
        <v>4.8078000000000003</v>
      </c>
      <c r="AP17" s="2994">
        <v>4.6266999999999996</v>
      </c>
      <c r="AQ17" s="2994">
        <v>5.3305999999999996</v>
      </c>
      <c r="AR17" s="2994">
        <v>5.0117000000000003</v>
      </c>
      <c r="AS17" s="2994">
        <v>5.3451000000000004</v>
      </c>
      <c r="AT17" s="2994">
        <v>5.1172000000000004</v>
      </c>
      <c r="AU17" s="2994">
        <v>5.3166000000000002</v>
      </c>
      <c r="AV17" s="2994">
        <v>5.2824</v>
      </c>
      <c r="AW17" s="2994">
        <v>5.5948000000000002</v>
      </c>
      <c r="AX17" s="2994">
        <v>5.4207000000000001</v>
      </c>
      <c r="AY17" s="2994">
        <v>5.3895</v>
      </c>
      <c r="AZ17" s="2994">
        <v>5.5945999999999998</v>
      </c>
      <c r="BA17" s="2994">
        <v>5.8888999999999996</v>
      </c>
      <c r="BB17" s="2994">
        <v>6.2370000000000001</v>
      </c>
      <c r="BC17" s="2994">
        <v>5.9470000000000001</v>
      </c>
      <c r="BD17" s="3471">
        <v>5.8346999999999998</v>
      </c>
      <c r="BE17" s="3471">
        <v>6.2938999999999998</v>
      </c>
      <c r="BF17" s="3471">
        <v>0</v>
      </c>
    </row>
    <row r="18" spans="1:58">
      <c r="A18" s="1817" t="str">
        <f t="shared" si="0"/>
        <v>AfricaBlueberries</v>
      </c>
      <c r="B18" s="1818" t="s">
        <v>297</v>
      </c>
      <c r="C18" s="1818" t="s">
        <v>7294</v>
      </c>
      <c r="D18" s="3463" t="str">
        <f>VLOOKUP(B18,List_Yield!$G$4:$J$14,4,FALSE)</f>
        <v>Africa</v>
      </c>
      <c r="E18" s="3463" t="str">
        <f t="shared" si="1"/>
        <v>AfricaBlueberries</v>
      </c>
      <c r="F18" s="2994">
        <v>0</v>
      </c>
      <c r="G18" s="2994">
        <v>0</v>
      </c>
      <c r="H18" s="2994">
        <v>0</v>
      </c>
      <c r="I18" s="2994">
        <v>0</v>
      </c>
      <c r="J18" s="2994">
        <v>0</v>
      </c>
      <c r="K18" s="2994">
        <v>0</v>
      </c>
      <c r="L18" s="2994">
        <v>0</v>
      </c>
      <c r="M18" s="2994">
        <v>0</v>
      </c>
      <c r="N18" s="2994">
        <v>0</v>
      </c>
      <c r="O18" s="2994">
        <v>0</v>
      </c>
      <c r="P18" s="2994">
        <v>0</v>
      </c>
      <c r="Q18" s="2994">
        <v>0</v>
      </c>
      <c r="R18" s="2994">
        <v>0</v>
      </c>
      <c r="S18" s="2994">
        <v>0</v>
      </c>
      <c r="T18" s="2994">
        <v>0</v>
      </c>
      <c r="U18" s="2994">
        <v>0</v>
      </c>
      <c r="V18" s="2994">
        <v>0</v>
      </c>
      <c r="W18" s="2994">
        <v>0</v>
      </c>
      <c r="X18" s="2994">
        <v>0</v>
      </c>
      <c r="Y18" s="2994">
        <v>0</v>
      </c>
      <c r="Z18" s="2994">
        <v>0</v>
      </c>
      <c r="AA18" s="2994">
        <v>0</v>
      </c>
      <c r="AB18" s="2994">
        <v>0</v>
      </c>
      <c r="AC18" s="2994">
        <v>0</v>
      </c>
      <c r="AD18" s="2994">
        <v>0</v>
      </c>
      <c r="AE18" s="2994">
        <v>0</v>
      </c>
      <c r="AF18" s="2994">
        <v>0</v>
      </c>
      <c r="AG18" s="2994">
        <v>0</v>
      </c>
      <c r="AH18" s="2994">
        <v>3</v>
      </c>
      <c r="AI18" s="2994">
        <v>4</v>
      </c>
      <c r="AJ18" s="2994">
        <v>5</v>
      </c>
      <c r="AK18" s="2994">
        <v>4.3</v>
      </c>
      <c r="AL18" s="2994">
        <v>5</v>
      </c>
      <c r="AM18" s="2994">
        <v>4.8</v>
      </c>
      <c r="AN18" s="2994">
        <v>3.9</v>
      </c>
      <c r="AO18" s="2994">
        <v>4.2</v>
      </c>
      <c r="AP18" s="2994">
        <v>4.0999999999999996</v>
      </c>
      <c r="AQ18" s="2994">
        <v>5.5</v>
      </c>
      <c r="AR18" s="2994">
        <v>5.2</v>
      </c>
      <c r="AS18" s="2994">
        <v>5.3</v>
      </c>
      <c r="AT18" s="2994">
        <v>4.2</v>
      </c>
      <c r="AU18" s="2994">
        <v>4.9000000000000004</v>
      </c>
      <c r="AV18" s="2994">
        <v>5.3</v>
      </c>
      <c r="AW18" s="2994">
        <v>5.2</v>
      </c>
      <c r="AX18" s="2994">
        <v>3.6667000000000001</v>
      </c>
      <c r="AY18" s="2994">
        <v>5.7</v>
      </c>
      <c r="AZ18" s="2994">
        <v>5.8</v>
      </c>
      <c r="BA18" s="2994">
        <v>6.2222</v>
      </c>
      <c r="BB18" s="2994">
        <v>6.7778</v>
      </c>
      <c r="BC18" s="2994">
        <v>6</v>
      </c>
      <c r="BD18" s="3471">
        <v>4.3333000000000004</v>
      </c>
      <c r="BE18" s="3471">
        <v>4.5332999999999997</v>
      </c>
      <c r="BF18" s="3471">
        <v>0</v>
      </c>
    </row>
    <row r="19" spans="1:58">
      <c r="A19" s="1817" t="str">
        <f t="shared" si="0"/>
        <v>AfricaBrazil nuts, with shell</v>
      </c>
      <c r="B19" s="1818" t="s">
        <v>297</v>
      </c>
      <c r="C19" s="1818" t="s">
        <v>7295</v>
      </c>
      <c r="D19" s="3463" t="str">
        <f>VLOOKUP(B19,List_Yield!$G$4:$J$14,4,FALSE)</f>
        <v>Africa</v>
      </c>
      <c r="E19" s="3463" t="str">
        <f t="shared" si="1"/>
        <v>AfricaBrazil nuts, with shell</v>
      </c>
      <c r="F19" s="2994">
        <v>0</v>
      </c>
      <c r="G19" s="2994">
        <v>0</v>
      </c>
      <c r="H19" s="2994">
        <v>0</v>
      </c>
      <c r="I19" s="2994">
        <v>0</v>
      </c>
      <c r="J19" s="2994">
        <v>0</v>
      </c>
      <c r="K19" s="2994">
        <v>0</v>
      </c>
      <c r="L19" s="2994">
        <v>0</v>
      </c>
      <c r="M19" s="2994">
        <v>0</v>
      </c>
      <c r="N19" s="2994">
        <v>0</v>
      </c>
      <c r="O19" s="2994">
        <v>0</v>
      </c>
      <c r="P19" s="2994">
        <v>0</v>
      </c>
      <c r="Q19" s="2994">
        <v>0</v>
      </c>
      <c r="R19" s="2994">
        <v>0</v>
      </c>
      <c r="S19" s="2994">
        <v>0</v>
      </c>
      <c r="T19" s="2994">
        <v>0</v>
      </c>
      <c r="U19" s="2994">
        <v>0</v>
      </c>
      <c r="V19" s="2994">
        <v>0</v>
      </c>
      <c r="W19" s="2994">
        <v>0</v>
      </c>
      <c r="X19" s="2994">
        <v>0</v>
      </c>
      <c r="Y19" s="2994">
        <v>0</v>
      </c>
      <c r="Z19" s="2994">
        <v>0</v>
      </c>
      <c r="AA19" s="2994">
        <v>0</v>
      </c>
      <c r="AB19" s="2994">
        <v>0</v>
      </c>
      <c r="AC19" s="2994">
        <v>0</v>
      </c>
      <c r="AD19" s="2994">
        <v>0</v>
      </c>
      <c r="AE19" s="2994">
        <v>0</v>
      </c>
      <c r="AF19" s="2994">
        <v>0</v>
      </c>
      <c r="AG19" s="2994">
        <v>0</v>
      </c>
      <c r="AH19" s="2994">
        <v>0</v>
      </c>
      <c r="AI19" s="2994">
        <v>0</v>
      </c>
      <c r="AJ19" s="2994">
        <v>0</v>
      </c>
      <c r="AK19" s="2994">
        <v>0</v>
      </c>
      <c r="AL19" s="2994">
        <v>0</v>
      </c>
      <c r="AM19" s="2994">
        <v>0</v>
      </c>
      <c r="AN19" s="2994">
        <v>0</v>
      </c>
      <c r="AO19" s="2994">
        <v>0</v>
      </c>
      <c r="AP19" s="2994">
        <v>0</v>
      </c>
      <c r="AQ19" s="2994">
        <v>0</v>
      </c>
      <c r="AR19" s="2994">
        <v>0</v>
      </c>
      <c r="AS19" s="2994">
        <v>0</v>
      </c>
      <c r="AT19" s="2994">
        <v>0</v>
      </c>
      <c r="AU19" s="2994">
        <v>0</v>
      </c>
      <c r="AV19" s="2994">
        <v>0</v>
      </c>
      <c r="AW19" s="2994">
        <v>0</v>
      </c>
      <c r="AX19" s="2994">
        <v>0</v>
      </c>
      <c r="AY19" s="2994">
        <v>0</v>
      </c>
      <c r="AZ19" s="2994">
        <v>0</v>
      </c>
      <c r="BA19" s="2994">
        <v>0</v>
      </c>
      <c r="BB19" s="2994">
        <v>0</v>
      </c>
      <c r="BC19" s="2994">
        <v>0</v>
      </c>
      <c r="BD19" s="3471">
        <v>0</v>
      </c>
      <c r="BE19" s="3471">
        <v>0</v>
      </c>
      <c r="BF19" s="3471">
        <v>0</v>
      </c>
    </row>
    <row r="20" spans="1:58">
      <c r="A20" s="1817" t="str">
        <f t="shared" si="0"/>
        <v>AfricaBroad beans, horse beans, dry</v>
      </c>
      <c r="B20" s="1818" t="s">
        <v>297</v>
      </c>
      <c r="C20" s="1818" t="s">
        <v>7296</v>
      </c>
      <c r="D20" s="3463" t="str">
        <f>VLOOKUP(B20,List_Yield!$G$4:$J$14,4,FALSE)</f>
        <v>Africa</v>
      </c>
      <c r="E20" s="3463" t="str">
        <f t="shared" si="1"/>
        <v>AfricaBroad beans, horse beans, dry</v>
      </c>
      <c r="F20" s="2994">
        <v>0.75480000000000003</v>
      </c>
      <c r="G20" s="2994">
        <v>1.0609</v>
      </c>
      <c r="H20" s="2994">
        <v>0.97470000000000001</v>
      </c>
      <c r="I20" s="2994">
        <v>1.1830000000000001</v>
      </c>
      <c r="J20" s="2994">
        <v>1.1931</v>
      </c>
      <c r="K20" s="2994">
        <v>1.1636</v>
      </c>
      <c r="L20" s="2994">
        <v>0.96660000000000001</v>
      </c>
      <c r="M20" s="2994">
        <v>1.3096000000000001</v>
      </c>
      <c r="N20" s="2994">
        <v>1.1853</v>
      </c>
      <c r="O20" s="2994">
        <v>1.2032</v>
      </c>
      <c r="P20" s="2994">
        <v>1.2906</v>
      </c>
      <c r="Q20" s="2994">
        <v>1.2922</v>
      </c>
      <c r="R20" s="2994">
        <v>1.0840000000000001</v>
      </c>
      <c r="S20" s="2994">
        <v>1.1966000000000001</v>
      </c>
      <c r="T20" s="2994">
        <v>1.0694999999999999</v>
      </c>
      <c r="U20" s="2994">
        <v>1.2113</v>
      </c>
      <c r="V20" s="2994">
        <v>1.147</v>
      </c>
      <c r="W20" s="2994">
        <v>1.0884</v>
      </c>
      <c r="X20" s="2994">
        <v>1.2135</v>
      </c>
      <c r="Y20" s="2994">
        <v>1.2514000000000001</v>
      </c>
      <c r="Z20" s="2994">
        <v>1.2350000000000001</v>
      </c>
      <c r="AA20" s="2994">
        <v>1.3026</v>
      </c>
      <c r="AB20" s="2994">
        <v>1.3603000000000001</v>
      </c>
      <c r="AC20" s="2994">
        <v>1.1366000000000001</v>
      </c>
      <c r="AD20" s="2994">
        <v>1.0316000000000001</v>
      </c>
      <c r="AE20" s="2994">
        <v>1.1234</v>
      </c>
      <c r="AF20" s="2994">
        <v>1.1372</v>
      </c>
      <c r="AG20" s="2994">
        <v>1.2138</v>
      </c>
      <c r="AH20" s="2994">
        <v>1.3702000000000001</v>
      </c>
      <c r="AI20" s="2994">
        <v>1.3214999999999999</v>
      </c>
      <c r="AJ20" s="2994">
        <v>1.6398999999999999</v>
      </c>
      <c r="AK20" s="2994">
        <v>1.0727</v>
      </c>
      <c r="AL20" s="2994">
        <v>1.3169999999999999</v>
      </c>
      <c r="AM20" s="2994">
        <v>1.1064000000000001</v>
      </c>
      <c r="AN20" s="2994">
        <v>1.32</v>
      </c>
      <c r="AO20" s="2994">
        <v>1.4617</v>
      </c>
      <c r="AP20" s="2994">
        <v>1.3728</v>
      </c>
      <c r="AQ20" s="2994">
        <v>1.2916000000000001</v>
      </c>
      <c r="AR20" s="2994">
        <v>1.1648000000000001</v>
      </c>
      <c r="AS20" s="2994">
        <v>1.2617</v>
      </c>
      <c r="AT20" s="2994">
        <v>1.2886</v>
      </c>
      <c r="AU20" s="2994">
        <v>1.43</v>
      </c>
      <c r="AV20" s="2994">
        <v>1.3320000000000001</v>
      </c>
      <c r="AW20" s="2994">
        <v>1.4315</v>
      </c>
      <c r="AX20" s="2994">
        <v>1.2585</v>
      </c>
      <c r="AY20" s="2994">
        <v>1.5217000000000001</v>
      </c>
      <c r="AZ20" s="2994">
        <v>1.3671</v>
      </c>
      <c r="BA20" s="2994">
        <v>1.3587</v>
      </c>
      <c r="BB20" s="2994">
        <v>1.3733</v>
      </c>
      <c r="BC20" s="2994">
        <v>1.4676</v>
      </c>
      <c r="BD20" s="3471">
        <v>1.5079</v>
      </c>
      <c r="BE20" s="3471">
        <v>1.552</v>
      </c>
      <c r="BF20" s="3471">
        <v>1.2931999999999999</v>
      </c>
    </row>
    <row r="21" spans="1:58">
      <c r="A21" s="1817" t="str">
        <f t="shared" si="0"/>
        <v>AfricaBuckwheat</v>
      </c>
      <c r="B21" s="1818" t="s">
        <v>297</v>
      </c>
      <c r="C21" s="1818" t="s">
        <v>7297</v>
      </c>
      <c r="D21" s="3463" t="str">
        <f>VLOOKUP(B21,List_Yield!$G$4:$J$14,4,FALSE)</f>
        <v>Africa</v>
      </c>
      <c r="E21" s="3463" t="str">
        <f t="shared" si="1"/>
        <v>AfricaBuckwheat</v>
      </c>
      <c r="F21" s="2994">
        <v>0.73329999999999995</v>
      </c>
      <c r="G21" s="2994">
        <v>0.73329999999999995</v>
      </c>
      <c r="H21" s="2994">
        <v>0.73329999999999995</v>
      </c>
      <c r="I21" s="2994">
        <v>0.75</v>
      </c>
      <c r="J21" s="2994">
        <v>0.70589999999999997</v>
      </c>
      <c r="K21" s="2994">
        <v>0.66669999999999996</v>
      </c>
      <c r="L21" s="2994">
        <v>0.72219999999999995</v>
      </c>
      <c r="M21" s="2994">
        <v>0.81640000000000001</v>
      </c>
      <c r="N21" s="2994">
        <v>0.81599999999999995</v>
      </c>
      <c r="O21" s="2994">
        <v>0.77059999999999995</v>
      </c>
      <c r="P21" s="2994">
        <v>1.2181999999999999</v>
      </c>
      <c r="Q21" s="2994">
        <v>1.1171</v>
      </c>
      <c r="R21" s="2994">
        <v>0.66059999999999997</v>
      </c>
      <c r="S21" s="2994">
        <v>1.4293</v>
      </c>
      <c r="T21" s="2994">
        <v>1.0812999999999999</v>
      </c>
      <c r="U21" s="2994">
        <v>0.70120000000000005</v>
      </c>
      <c r="V21" s="2994">
        <v>0.77969999999999995</v>
      </c>
      <c r="W21" s="2994">
        <v>1.0474000000000001</v>
      </c>
      <c r="X21" s="2994">
        <v>0.64129999999999998</v>
      </c>
      <c r="Y21" s="2994">
        <v>0.95050000000000001</v>
      </c>
      <c r="Z21" s="2994">
        <v>1.3855</v>
      </c>
      <c r="AA21" s="2994">
        <v>0.58069999999999999</v>
      </c>
      <c r="AB21" s="2994">
        <v>0.38129999999999997</v>
      </c>
      <c r="AC21" s="2994">
        <v>0.32800000000000001</v>
      </c>
      <c r="AD21" s="2994">
        <v>0.51849999999999996</v>
      </c>
      <c r="AE21" s="2994">
        <v>0.52549999999999997</v>
      </c>
      <c r="AF21" s="2994">
        <v>0.47699999999999998</v>
      </c>
      <c r="AG21" s="2994">
        <v>0.14199999999999999</v>
      </c>
      <c r="AH21" s="2994">
        <v>0.3</v>
      </c>
      <c r="AI21" s="2994">
        <v>0.32750000000000001</v>
      </c>
      <c r="AJ21" s="2994">
        <v>0.26150000000000001</v>
      </c>
      <c r="AK21" s="2994">
        <v>0.23680000000000001</v>
      </c>
      <c r="AL21" s="2994">
        <v>0.27050000000000002</v>
      </c>
      <c r="AM21" s="2994">
        <v>0.2702</v>
      </c>
      <c r="AN21" s="2994">
        <v>0.29499999999999998</v>
      </c>
      <c r="AO21" s="2994">
        <v>0.3296</v>
      </c>
      <c r="AP21" s="2994">
        <v>0.29630000000000001</v>
      </c>
      <c r="AQ21" s="2994">
        <v>0.36470000000000002</v>
      </c>
      <c r="AR21" s="2994">
        <v>0.50880000000000003</v>
      </c>
      <c r="AS21" s="2994">
        <v>0.54520000000000002</v>
      </c>
      <c r="AT21" s="2994">
        <v>0.58640000000000003</v>
      </c>
      <c r="AU21" s="2994">
        <v>0.57699999999999996</v>
      </c>
      <c r="AV21" s="2994">
        <v>0.64770000000000005</v>
      </c>
      <c r="AW21" s="2994">
        <v>0.71530000000000005</v>
      </c>
      <c r="AX21" s="2994">
        <v>0.81799999999999995</v>
      </c>
      <c r="AY21" s="2994">
        <v>0.77080000000000004</v>
      </c>
      <c r="AZ21" s="2994">
        <v>0.79890000000000005</v>
      </c>
      <c r="BA21" s="2994">
        <v>0.82330000000000003</v>
      </c>
      <c r="BB21" s="2994">
        <v>0.85809999999999997</v>
      </c>
      <c r="BC21" s="2994">
        <v>0.82050000000000001</v>
      </c>
      <c r="BD21" s="3471">
        <v>0.94610000000000005</v>
      </c>
      <c r="BE21" s="3471">
        <v>0.96599999999999997</v>
      </c>
      <c r="BF21" s="3471">
        <v>0.96589999999999998</v>
      </c>
    </row>
    <row r="22" spans="1:58">
      <c r="A22" s="1817" t="str">
        <f t="shared" si="0"/>
        <v>AfricaCabbages and other brassicas</v>
      </c>
      <c r="B22" s="1818" t="s">
        <v>297</v>
      </c>
      <c r="C22" s="1818" t="s">
        <v>7298</v>
      </c>
      <c r="D22" s="3463" t="str">
        <f>VLOOKUP(B22,List_Yield!$G$4:$J$14,4,FALSE)</f>
        <v>Africa</v>
      </c>
      <c r="E22" s="3463" t="str">
        <f t="shared" si="1"/>
        <v>AfricaCabbages and other brassicas</v>
      </c>
      <c r="F22" s="2994">
        <v>21.5136</v>
      </c>
      <c r="G22" s="2994">
        <v>21.700700000000001</v>
      </c>
      <c r="H22" s="2994">
        <v>22.256699999999999</v>
      </c>
      <c r="I22" s="2994">
        <v>22.5444</v>
      </c>
      <c r="J22" s="2994">
        <v>22.732600000000001</v>
      </c>
      <c r="K22" s="2994">
        <v>22.984000000000002</v>
      </c>
      <c r="L22" s="2994">
        <v>21.807099999999998</v>
      </c>
      <c r="M22" s="2994">
        <v>22.450600000000001</v>
      </c>
      <c r="N22" s="2994">
        <v>21.601400000000002</v>
      </c>
      <c r="O22" s="2994">
        <v>23.066600000000001</v>
      </c>
      <c r="P22" s="2994">
        <v>22.3447</v>
      </c>
      <c r="Q22" s="2994">
        <v>22.581299999999999</v>
      </c>
      <c r="R22" s="2994">
        <v>22.839300000000001</v>
      </c>
      <c r="S22" s="2994">
        <v>22.133099999999999</v>
      </c>
      <c r="T22" s="2994">
        <v>22.257899999999999</v>
      </c>
      <c r="U22" s="2994">
        <v>22.724</v>
      </c>
      <c r="V22" s="2994">
        <v>23.45</v>
      </c>
      <c r="W22" s="2994">
        <v>24.0121</v>
      </c>
      <c r="X22" s="2994">
        <v>23.0837</v>
      </c>
      <c r="Y22" s="2994">
        <v>23.260999999999999</v>
      </c>
      <c r="Z22" s="2994">
        <v>23.7729</v>
      </c>
      <c r="AA22" s="2994">
        <v>24.459900000000001</v>
      </c>
      <c r="AB22" s="2994">
        <v>23.496500000000001</v>
      </c>
      <c r="AC22" s="2994">
        <v>24.219899999999999</v>
      </c>
      <c r="AD22" s="2994">
        <v>24.305700000000002</v>
      </c>
      <c r="AE22" s="2994">
        <v>24.676100000000002</v>
      </c>
      <c r="AF22" s="2994">
        <v>25.104500000000002</v>
      </c>
      <c r="AG22" s="2994">
        <v>24.572199999999999</v>
      </c>
      <c r="AH22" s="2994">
        <v>22.212800000000001</v>
      </c>
      <c r="AI22" s="2994">
        <v>22.097899999999999</v>
      </c>
      <c r="AJ22" s="2994">
        <v>19.618500000000001</v>
      </c>
      <c r="AK22" s="2994">
        <v>18.6632</v>
      </c>
      <c r="AL22" s="2994">
        <v>17.900099999999998</v>
      </c>
      <c r="AM22" s="2994">
        <v>16.7166</v>
      </c>
      <c r="AN22" s="2994">
        <v>17.396799999999999</v>
      </c>
      <c r="AO22" s="2994">
        <v>16.9147</v>
      </c>
      <c r="AP22" s="2994">
        <v>16.383700000000001</v>
      </c>
      <c r="AQ22" s="2994">
        <v>16.201899999999998</v>
      </c>
      <c r="AR22" s="2994">
        <v>17.0182</v>
      </c>
      <c r="AS22" s="2994">
        <v>17.937100000000001</v>
      </c>
      <c r="AT22" s="2994">
        <v>17.923999999999999</v>
      </c>
      <c r="AU22" s="2994">
        <v>17.683599999999998</v>
      </c>
      <c r="AV22" s="2994">
        <v>18.068200000000001</v>
      </c>
      <c r="AW22" s="2994">
        <v>18.183499999999999</v>
      </c>
      <c r="AX22" s="2994">
        <v>18.717600000000001</v>
      </c>
      <c r="AY22" s="2994">
        <v>19.102</v>
      </c>
      <c r="AZ22" s="2994">
        <v>18.877700000000001</v>
      </c>
      <c r="BA22" s="2994">
        <v>18.319400000000002</v>
      </c>
      <c r="BB22" s="2994">
        <v>19.207000000000001</v>
      </c>
      <c r="BC22" s="2994">
        <v>21.738299999999999</v>
      </c>
      <c r="BD22" s="3471">
        <v>19.819700000000001</v>
      </c>
      <c r="BE22" s="3471">
        <v>22.609200000000001</v>
      </c>
      <c r="BF22" s="3471">
        <v>0</v>
      </c>
    </row>
    <row r="23" spans="1:58">
      <c r="A23" s="1817" t="str">
        <f t="shared" si="0"/>
        <v>AfricaCanary seed</v>
      </c>
      <c r="B23" s="1818" t="s">
        <v>297</v>
      </c>
      <c r="C23" s="1818" t="s">
        <v>7299</v>
      </c>
      <c r="D23" s="3463" t="str">
        <f>VLOOKUP(B23,List_Yield!$G$4:$J$14,4,FALSE)</f>
        <v>Africa</v>
      </c>
      <c r="E23" s="3463" t="str">
        <f t="shared" si="1"/>
        <v>AfricaCanary seed</v>
      </c>
      <c r="F23" s="2994">
        <v>0.3</v>
      </c>
      <c r="G23" s="2994">
        <v>0.3</v>
      </c>
      <c r="H23" s="2994">
        <v>0.3</v>
      </c>
      <c r="I23" s="2994">
        <v>0.3</v>
      </c>
      <c r="J23" s="2994">
        <v>0.4</v>
      </c>
      <c r="K23" s="2994">
        <v>0.4</v>
      </c>
      <c r="L23" s="2994">
        <v>0.4</v>
      </c>
      <c r="M23" s="2994">
        <v>0.4667</v>
      </c>
      <c r="N23" s="2994">
        <v>0.42109999999999997</v>
      </c>
      <c r="O23" s="2994">
        <v>0.46329999999999999</v>
      </c>
      <c r="P23" s="2994">
        <v>0.67889999999999995</v>
      </c>
      <c r="Q23" s="2994">
        <v>0.67079999999999995</v>
      </c>
      <c r="R23" s="2994">
        <v>0.60240000000000005</v>
      </c>
      <c r="S23" s="2994">
        <v>0.64070000000000005</v>
      </c>
      <c r="T23" s="2994">
        <v>0.75639999999999996</v>
      </c>
      <c r="U23" s="2994">
        <v>0.4491</v>
      </c>
      <c r="V23" s="2994">
        <v>0.25169999999999998</v>
      </c>
      <c r="W23" s="2994">
        <v>0.42249999999999999</v>
      </c>
      <c r="X23" s="2994">
        <v>0.68</v>
      </c>
      <c r="Y23" s="2994">
        <v>0.74770000000000003</v>
      </c>
      <c r="Z23" s="2994">
        <v>0.26669999999999999</v>
      </c>
      <c r="AA23" s="2994">
        <v>0.59409999999999996</v>
      </c>
      <c r="AB23" s="2994">
        <v>0.77700000000000002</v>
      </c>
      <c r="AC23" s="2994">
        <v>0.79069999999999996</v>
      </c>
      <c r="AD23" s="2994">
        <v>1.0792999999999999</v>
      </c>
      <c r="AE23" s="2994">
        <v>1.3429</v>
      </c>
      <c r="AF23" s="2994">
        <v>0.94</v>
      </c>
      <c r="AG23" s="2994">
        <v>0.6</v>
      </c>
      <c r="AH23" s="2994">
        <v>0.7</v>
      </c>
      <c r="AI23" s="2994">
        <v>1.0667</v>
      </c>
      <c r="AJ23" s="2994">
        <v>0</v>
      </c>
      <c r="AK23" s="2994">
        <v>0</v>
      </c>
      <c r="AL23" s="2994">
        <v>0</v>
      </c>
      <c r="AM23" s="2994">
        <v>0</v>
      </c>
      <c r="AN23" s="2994">
        <v>0</v>
      </c>
      <c r="AO23" s="2994">
        <v>0</v>
      </c>
      <c r="AP23" s="2994">
        <v>0</v>
      </c>
      <c r="AQ23" s="2994">
        <v>0</v>
      </c>
      <c r="AR23" s="2994">
        <v>0</v>
      </c>
      <c r="AS23" s="2994">
        <v>0</v>
      </c>
      <c r="AT23" s="2994">
        <v>0</v>
      </c>
      <c r="AU23" s="2994">
        <v>0</v>
      </c>
      <c r="AV23" s="2994">
        <v>0</v>
      </c>
      <c r="AW23" s="2994">
        <v>0</v>
      </c>
      <c r="AX23" s="2994">
        <v>0</v>
      </c>
      <c r="AY23" s="2994">
        <v>0</v>
      </c>
      <c r="AZ23" s="2994">
        <v>0</v>
      </c>
      <c r="BA23" s="2994">
        <v>0</v>
      </c>
      <c r="BB23" s="2994">
        <v>0</v>
      </c>
      <c r="BC23" s="2994">
        <v>0</v>
      </c>
      <c r="BD23" s="3471">
        <v>0</v>
      </c>
      <c r="BE23" s="3471">
        <v>0</v>
      </c>
      <c r="BF23" s="3471">
        <v>0</v>
      </c>
    </row>
    <row r="24" spans="1:58">
      <c r="A24" s="1817" t="str">
        <f t="shared" si="0"/>
        <v>AfricaCarobs</v>
      </c>
      <c r="B24" s="1818" t="s">
        <v>297</v>
      </c>
      <c r="C24" s="1818" t="s">
        <v>7300</v>
      </c>
      <c r="D24" s="3463" t="str">
        <f>VLOOKUP(B24,List_Yield!$G$4:$J$14,4,FALSE)</f>
        <v>Africa</v>
      </c>
      <c r="E24" s="3463" t="str">
        <f t="shared" si="1"/>
        <v>AfricaCarobs</v>
      </c>
      <c r="F24" s="2994">
        <v>3.5409000000000002</v>
      </c>
      <c r="G24" s="2994">
        <v>3.8889</v>
      </c>
      <c r="H24" s="2994">
        <v>4.2222</v>
      </c>
      <c r="I24" s="2994">
        <v>4.0555000000000003</v>
      </c>
      <c r="J24" s="2994">
        <v>4.0358999999999998</v>
      </c>
      <c r="K24" s="2994">
        <v>5.3765000000000001</v>
      </c>
      <c r="L24" s="2994">
        <v>4.0119999999999996</v>
      </c>
      <c r="M24" s="2994">
        <v>4.1281999999999996</v>
      </c>
      <c r="N24" s="2994">
        <v>4.9294000000000002</v>
      </c>
      <c r="O24" s="2994">
        <v>5.3864000000000001</v>
      </c>
      <c r="P24" s="2994">
        <v>4.5454999999999997</v>
      </c>
      <c r="Q24" s="2994">
        <v>5.3960999999999997</v>
      </c>
      <c r="R24" s="2994">
        <v>6.0724</v>
      </c>
      <c r="S24" s="2994">
        <v>4.9478</v>
      </c>
      <c r="T24" s="2994">
        <v>5.2480000000000002</v>
      </c>
      <c r="U24" s="2994">
        <v>6.8005000000000004</v>
      </c>
      <c r="V24" s="2994">
        <v>7.5136000000000003</v>
      </c>
      <c r="W24" s="2994">
        <v>8.5227000000000004</v>
      </c>
      <c r="X24" s="2994">
        <v>9.2086000000000006</v>
      </c>
      <c r="Y24" s="2994">
        <v>27.456</v>
      </c>
      <c r="Z24" s="2994">
        <v>32.991799999999998</v>
      </c>
      <c r="AA24" s="2994">
        <v>34.235300000000002</v>
      </c>
      <c r="AB24" s="2994">
        <v>30.687999999999999</v>
      </c>
      <c r="AC24" s="2994">
        <v>27.373999999999999</v>
      </c>
      <c r="AD24" s="2994">
        <v>2.0327999999999999</v>
      </c>
      <c r="AE24" s="2994">
        <v>2.3012999999999999</v>
      </c>
      <c r="AF24" s="2994">
        <v>2.0396999999999998</v>
      </c>
      <c r="AG24" s="2994">
        <v>2.3167</v>
      </c>
      <c r="AH24" s="2994">
        <v>1.6987000000000001</v>
      </c>
      <c r="AI24" s="2994">
        <v>2.2989000000000002</v>
      </c>
      <c r="AJ24" s="2994">
        <v>1.9246000000000001</v>
      </c>
      <c r="AK24" s="2994">
        <v>2.1027</v>
      </c>
      <c r="AL24" s="2994">
        <v>2.1278000000000001</v>
      </c>
      <c r="AM24" s="2994">
        <v>2.1635</v>
      </c>
      <c r="AN24" s="2994">
        <v>2.8378999999999999</v>
      </c>
      <c r="AO24" s="2994">
        <v>3.0533999999999999</v>
      </c>
      <c r="AP24" s="2994">
        <v>2.3323</v>
      </c>
      <c r="AQ24" s="2994">
        <v>2.0752000000000002</v>
      </c>
      <c r="AR24" s="2994">
        <v>2.2583000000000002</v>
      </c>
      <c r="AS24" s="2994">
        <v>1.8395999999999999</v>
      </c>
      <c r="AT24" s="2994">
        <v>2.4051</v>
      </c>
      <c r="AU24" s="2994">
        <v>2.4024999999999999</v>
      </c>
      <c r="AV24" s="2994">
        <v>2.1974999999999998</v>
      </c>
      <c r="AW24" s="2994">
        <v>2.5224000000000002</v>
      </c>
      <c r="AX24" s="2994">
        <v>2.1471</v>
      </c>
      <c r="AY24" s="2994">
        <v>2.3222999999999998</v>
      </c>
      <c r="AZ24" s="2994">
        <v>2.5396000000000001</v>
      </c>
      <c r="BA24" s="2994">
        <v>2.1412</v>
      </c>
      <c r="BB24" s="2994">
        <v>2.2208000000000001</v>
      </c>
      <c r="BC24" s="2994">
        <v>2.1568999999999998</v>
      </c>
      <c r="BD24" s="3471">
        <v>2.2040999999999999</v>
      </c>
      <c r="BE24" s="3471">
        <v>2.2296999999999998</v>
      </c>
      <c r="BF24" s="3471">
        <v>0</v>
      </c>
    </row>
    <row r="25" spans="1:58">
      <c r="A25" s="1817" t="str">
        <f t="shared" si="0"/>
        <v>AfricaCarrots and turnips</v>
      </c>
      <c r="B25" s="1818" t="s">
        <v>297</v>
      </c>
      <c r="C25" s="1818" t="s">
        <v>1340</v>
      </c>
      <c r="D25" s="3463" t="str">
        <f>VLOOKUP(B25,List_Yield!$G$4:$J$14,4,FALSE)</f>
        <v>Africa</v>
      </c>
      <c r="E25" s="3463" t="str">
        <f t="shared" si="1"/>
        <v>AfricaCarrots and turnips</v>
      </c>
      <c r="F25" s="2994">
        <v>8.8045000000000009</v>
      </c>
      <c r="G25" s="2994">
        <v>9.8650000000000002</v>
      </c>
      <c r="H25" s="2994">
        <v>9.6134000000000004</v>
      </c>
      <c r="I25" s="2994">
        <v>9.3350000000000009</v>
      </c>
      <c r="J25" s="2994">
        <v>9.1156000000000006</v>
      </c>
      <c r="K25" s="2994">
        <v>9.6183999999999994</v>
      </c>
      <c r="L25" s="2994">
        <v>9.9156999999999993</v>
      </c>
      <c r="M25" s="2994">
        <v>9.3573000000000004</v>
      </c>
      <c r="N25" s="2994">
        <v>9.1821000000000002</v>
      </c>
      <c r="O25" s="2994">
        <v>9.2405000000000008</v>
      </c>
      <c r="P25" s="2994">
        <v>9.1812000000000005</v>
      </c>
      <c r="Q25" s="2994">
        <v>8.8933</v>
      </c>
      <c r="R25" s="2994">
        <v>8.9603000000000002</v>
      </c>
      <c r="S25" s="2994">
        <v>9.7882999999999996</v>
      </c>
      <c r="T25" s="2994">
        <v>9.7431999999999999</v>
      </c>
      <c r="U25" s="2994">
        <v>9.7535000000000007</v>
      </c>
      <c r="V25" s="2994">
        <v>9.6654999999999998</v>
      </c>
      <c r="W25" s="2994">
        <v>9.9991000000000003</v>
      </c>
      <c r="X25" s="2994">
        <v>10.3612</v>
      </c>
      <c r="Y25" s="2994">
        <v>10.354699999999999</v>
      </c>
      <c r="Z25" s="2994">
        <v>10.634399999999999</v>
      </c>
      <c r="AA25" s="2994">
        <v>9.9936000000000007</v>
      </c>
      <c r="AB25" s="2994">
        <v>9.6442999999999994</v>
      </c>
      <c r="AC25" s="2994">
        <v>9.2964000000000002</v>
      </c>
      <c r="AD25" s="2994">
        <v>10.025600000000001</v>
      </c>
      <c r="AE25" s="2994">
        <v>10.8758</v>
      </c>
      <c r="AF25" s="2994">
        <v>11.323499999999999</v>
      </c>
      <c r="AG25" s="2994">
        <v>10.72</v>
      </c>
      <c r="AH25" s="2994">
        <v>11.558</v>
      </c>
      <c r="AI25" s="2994">
        <v>10.8452</v>
      </c>
      <c r="AJ25" s="2994">
        <v>11.1958</v>
      </c>
      <c r="AK25" s="2994">
        <v>11.669499999999999</v>
      </c>
      <c r="AL25" s="2994">
        <v>11.8216</v>
      </c>
      <c r="AM25" s="2994">
        <v>12.191000000000001</v>
      </c>
      <c r="AN25" s="2994">
        <v>12.155099999999999</v>
      </c>
      <c r="AO25" s="2994">
        <v>11.105600000000001</v>
      </c>
      <c r="AP25" s="2994">
        <v>12.934799999999999</v>
      </c>
      <c r="AQ25" s="2994">
        <v>12.883100000000001</v>
      </c>
      <c r="AR25" s="2994">
        <v>12.285600000000001</v>
      </c>
      <c r="AS25" s="2994">
        <v>12.545</v>
      </c>
      <c r="AT25" s="2994">
        <v>13.932</v>
      </c>
      <c r="AU25" s="2994">
        <v>13.470599999999999</v>
      </c>
      <c r="AV25" s="2994">
        <v>14.4663</v>
      </c>
      <c r="AW25" s="2994">
        <v>14.9293</v>
      </c>
      <c r="AX25" s="2994">
        <v>13.4184</v>
      </c>
      <c r="AY25" s="2994">
        <v>13.918200000000001</v>
      </c>
      <c r="AZ25" s="2994">
        <v>14.321099999999999</v>
      </c>
      <c r="BA25" s="2994">
        <v>14.671900000000001</v>
      </c>
      <c r="BB25" s="2994">
        <v>14.8073</v>
      </c>
      <c r="BC25" s="2994">
        <v>13.942600000000001</v>
      </c>
      <c r="BD25" s="3471">
        <v>15.913399999999999</v>
      </c>
      <c r="BE25" s="3471">
        <v>19.492000000000001</v>
      </c>
      <c r="BF25" s="3471">
        <v>0</v>
      </c>
    </row>
    <row r="26" spans="1:58">
      <c r="A26" s="1817" t="str">
        <f t="shared" si="0"/>
        <v>AfricaCashew nuts, with shell</v>
      </c>
      <c r="B26" s="1818" t="s">
        <v>297</v>
      </c>
      <c r="C26" s="1818" t="s">
        <v>1341</v>
      </c>
      <c r="D26" s="3463" t="str">
        <f>VLOOKUP(B26,List_Yield!$G$4:$J$14,4,FALSE)</f>
        <v>Africa</v>
      </c>
      <c r="E26" s="3463" t="str">
        <f t="shared" si="1"/>
        <v>AfricaCashew nuts, with shell</v>
      </c>
      <c r="F26" s="2994">
        <v>0.53600000000000003</v>
      </c>
      <c r="G26" s="2994">
        <v>0.55930000000000002</v>
      </c>
      <c r="H26" s="2994">
        <v>0.58309999999999995</v>
      </c>
      <c r="I26" s="2994">
        <v>0.62060000000000004</v>
      </c>
      <c r="J26" s="2994">
        <v>0.59489999999999998</v>
      </c>
      <c r="K26" s="2994">
        <v>0.58989999999999998</v>
      </c>
      <c r="L26" s="2994">
        <v>0.52829999999999999</v>
      </c>
      <c r="M26" s="2994">
        <v>0.56259999999999999</v>
      </c>
      <c r="N26" s="2994">
        <v>0.54139999999999999</v>
      </c>
      <c r="O26" s="2994">
        <v>0.55189999999999995</v>
      </c>
      <c r="P26" s="2994">
        <v>0.57340000000000002</v>
      </c>
      <c r="Q26" s="2994">
        <v>0.58030000000000004</v>
      </c>
      <c r="R26" s="2994">
        <v>0.5948</v>
      </c>
      <c r="S26" s="2994">
        <v>0.5746</v>
      </c>
      <c r="T26" s="2994">
        <v>0.56120000000000003</v>
      </c>
      <c r="U26" s="2994">
        <v>0.54630000000000001</v>
      </c>
      <c r="V26" s="2994">
        <v>0.52669999999999995</v>
      </c>
      <c r="W26" s="2994">
        <v>0.50890000000000002</v>
      </c>
      <c r="X26" s="2994">
        <v>0.49280000000000002</v>
      </c>
      <c r="Y26" s="2994">
        <v>0.48609999999999998</v>
      </c>
      <c r="Z26" s="2994">
        <v>0.50490000000000002</v>
      </c>
      <c r="AA26" s="2994">
        <v>0.47099999999999997</v>
      </c>
      <c r="AB26" s="2994">
        <v>0.45540000000000003</v>
      </c>
      <c r="AC26" s="2994">
        <v>0.41389999999999999</v>
      </c>
      <c r="AD26" s="2994">
        <v>0.43959999999999999</v>
      </c>
      <c r="AE26" s="2994">
        <v>0.4229</v>
      </c>
      <c r="AF26" s="2994">
        <v>0.43359999999999999</v>
      </c>
      <c r="AG26" s="2994">
        <v>0.46429999999999999</v>
      </c>
      <c r="AH26" s="2994">
        <v>0.44850000000000001</v>
      </c>
      <c r="AI26" s="2994">
        <v>0.41399999999999998</v>
      </c>
      <c r="AJ26" s="2994">
        <v>0.4224</v>
      </c>
      <c r="AK26" s="2994">
        <v>0.47920000000000001</v>
      </c>
      <c r="AL26" s="2994">
        <v>0.4582</v>
      </c>
      <c r="AM26" s="2994">
        <v>0.45119999999999999</v>
      </c>
      <c r="AN26" s="2994">
        <v>0.50109999999999999</v>
      </c>
      <c r="AO26" s="2994">
        <v>0.5484</v>
      </c>
      <c r="AP26" s="2994">
        <v>0.45279999999999998</v>
      </c>
      <c r="AQ26" s="2994">
        <v>0.52229999999999999</v>
      </c>
      <c r="AR26" s="2994">
        <v>0.73329999999999995</v>
      </c>
      <c r="AS26" s="2994">
        <v>0.78879999999999995</v>
      </c>
      <c r="AT26" s="2994">
        <v>0.89829999999999999</v>
      </c>
      <c r="AU26" s="2994">
        <v>0.76400000000000001</v>
      </c>
      <c r="AV26" s="2994">
        <v>0.77110000000000001</v>
      </c>
      <c r="AW26" s="2994">
        <v>0.75060000000000004</v>
      </c>
      <c r="AX26" s="2994">
        <v>0.74560000000000004</v>
      </c>
      <c r="AY26" s="2994">
        <v>0.73129999999999995</v>
      </c>
      <c r="AZ26" s="2994">
        <v>0.7228</v>
      </c>
      <c r="BA26" s="2994">
        <v>0.68479999999999996</v>
      </c>
      <c r="BB26" s="2994">
        <v>0.64849999999999997</v>
      </c>
      <c r="BC26" s="2994">
        <v>0.73040000000000005</v>
      </c>
      <c r="BD26" s="3471">
        <v>0.70379999999999998</v>
      </c>
      <c r="BE26" s="3471">
        <v>0.72219999999999995</v>
      </c>
      <c r="BF26" s="3471">
        <v>0</v>
      </c>
    </row>
    <row r="27" spans="1:58">
      <c r="A27" s="1817" t="str">
        <f t="shared" si="0"/>
        <v>AfricaCashewapple</v>
      </c>
      <c r="B27" s="1818" t="s">
        <v>297</v>
      </c>
      <c r="C27" s="1818" t="s">
        <v>7301</v>
      </c>
      <c r="D27" s="3463" t="str">
        <f>VLOOKUP(B27,List_Yield!$G$4:$J$14,4,FALSE)</f>
        <v>Africa</v>
      </c>
      <c r="E27" s="3463" t="str">
        <f t="shared" si="1"/>
        <v>AfricaCashewapple</v>
      </c>
      <c r="F27" s="2994">
        <v>2.2791000000000001</v>
      </c>
      <c r="G27" s="2994">
        <v>2.5714000000000001</v>
      </c>
      <c r="H27" s="2994">
        <v>2.5516999999999999</v>
      </c>
      <c r="I27" s="2994">
        <v>2.5516999999999999</v>
      </c>
      <c r="J27" s="2994">
        <v>2.6128999999999998</v>
      </c>
      <c r="K27" s="2994">
        <v>2.6128999999999998</v>
      </c>
      <c r="L27" s="2994">
        <v>2.6128999999999998</v>
      </c>
      <c r="M27" s="2994">
        <v>2.5625</v>
      </c>
      <c r="N27" s="2994">
        <v>2.6</v>
      </c>
      <c r="O27" s="2994">
        <v>2.6</v>
      </c>
      <c r="P27" s="2994">
        <v>2.6286</v>
      </c>
      <c r="Q27" s="2994">
        <v>2.6286</v>
      </c>
      <c r="R27" s="2994">
        <v>2.6286</v>
      </c>
      <c r="S27" s="2994">
        <v>2.6667000000000001</v>
      </c>
      <c r="T27" s="2994">
        <v>2.6486000000000001</v>
      </c>
      <c r="U27" s="2994">
        <v>2.6486000000000001</v>
      </c>
      <c r="V27" s="2994">
        <v>2.6486000000000001</v>
      </c>
      <c r="W27" s="2994">
        <v>2.6316000000000002</v>
      </c>
      <c r="X27" s="2994">
        <v>2.6507000000000001</v>
      </c>
      <c r="Y27" s="2994">
        <v>2.6395</v>
      </c>
      <c r="Z27" s="2994">
        <v>2.6432000000000002</v>
      </c>
      <c r="AA27" s="2994">
        <v>2.6667000000000001</v>
      </c>
      <c r="AB27" s="2994">
        <v>2.6278999999999999</v>
      </c>
      <c r="AC27" s="2994">
        <v>2.6511999999999998</v>
      </c>
      <c r="AD27" s="2994">
        <v>2.7222</v>
      </c>
      <c r="AE27" s="2994">
        <v>2.7044000000000001</v>
      </c>
      <c r="AF27" s="2994">
        <v>2.7111000000000001</v>
      </c>
      <c r="AG27" s="2994">
        <v>2.7332999999999998</v>
      </c>
      <c r="AH27" s="2994">
        <v>2.7608999999999999</v>
      </c>
      <c r="AI27" s="2994">
        <v>2.8323999999999998</v>
      </c>
      <c r="AJ27" s="2994">
        <v>2.831</v>
      </c>
      <c r="AK27" s="2994">
        <v>2.7065000000000001</v>
      </c>
      <c r="AL27" s="2994">
        <v>2.6613000000000002</v>
      </c>
      <c r="AM27" s="2994">
        <v>2.6793999999999998</v>
      </c>
      <c r="AN27" s="2994">
        <v>2.6497999999999999</v>
      </c>
      <c r="AO27" s="2994">
        <v>2.6705999999999999</v>
      </c>
      <c r="AP27" s="2994">
        <v>2.8475000000000001</v>
      </c>
      <c r="AQ27" s="2994">
        <v>2.7846000000000002</v>
      </c>
      <c r="AR27" s="2994">
        <v>2.6118999999999999</v>
      </c>
      <c r="AS27" s="2994">
        <v>2.7747000000000002</v>
      </c>
      <c r="AT27" s="2994">
        <v>3.1577999999999999</v>
      </c>
      <c r="AU27" s="2994">
        <v>2.8348</v>
      </c>
      <c r="AV27" s="2994">
        <v>2.7810999999999999</v>
      </c>
      <c r="AW27" s="2994">
        <v>2.9350999999999998</v>
      </c>
      <c r="AX27" s="2994">
        <v>2.7208999999999999</v>
      </c>
      <c r="AY27" s="2994">
        <v>2.7523</v>
      </c>
      <c r="AZ27" s="2994">
        <v>2.7035</v>
      </c>
      <c r="BA27" s="2994">
        <v>2.7639</v>
      </c>
      <c r="BB27" s="2994">
        <v>2.8147000000000002</v>
      </c>
      <c r="BC27" s="2994">
        <v>2.8990999999999998</v>
      </c>
      <c r="BD27" s="3471">
        <v>2.8485999999999998</v>
      </c>
      <c r="BE27" s="3471">
        <v>2.8485999999999998</v>
      </c>
      <c r="BF27" s="3471">
        <v>0</v>
      </c>
    </row>
    <row r="28" spans="1:58">
      <c r="A28" s="1817" t="str">
        <f t="shared" si="0"/>
        <v>AfricaCassava</v>
      </c>
      <c r="B28" s="1818" t="s">
        <v>297</v>
      </c>
      <c r="C28" s="1818" t="s">
        <v>1342</v>
      </c>
      <c r="D28" s="3463" t="str">
        <f>VLOOKUP(B28,List_Yield!$G$4:$J$14,4,FALSE)</f>
        <v>Africa</v>
      </c>
      <c r="E28" s="3463" t="str">
        <f t="shared" si="1"/>
        <v>AfricaCassava</v>
      </c>
      <c r="F28" s="2994">
        <v>5.6603000000000003</v>
      </c>
      <c r="G28" s="2994">
        <v>5.6597</v>
      </c>
      <c r="H28" s="2994">
        <v>5.7157</v>
      </c>
      <c r="I28" s="2994">
        <v>5.7468000000000004</v>
      </c>
      <c r="J28" s="2994">
        <v>5.9013999999999998</v>
      </c>
      <c r="K28" s="2994">
        <v>5.8845000000000001</v>
      </c>
      <c r="L28" s="2994">
        <v>5.8648999999999996</v>
      </c>
      <c r="M28" s="2994">
        <v>5.9490999999999996</v>
      </c>
      <c r="N28" s="2994">
        <v>5.9574999999999996</v>
      </c>
      <c r="O28" s="2994">
        <v>6.1856999999999998</v>
      </c>
      <c r="P28" s="2994">
        <v>5.9991000000000003</v>
      </c>
      <c r="Q28" s="2994">
        <v>6.1546000000000003</v>
      </c>
      <c r="R28" s="2994">
        <v>6.0315000000000003</v>
      </c>
      <c r="S28" s="2994">
        <v>6.0151000000000003</v>
      </c>
      <c r="T28" s="2994">
        <v>6.5095999999999998</v>
      </c>
      <c r="U28" s="2994">
        <v>6.7222999999999997</v>
      </c>
      <c r="V28" s="2994">
        <v>6.8672000000000004</v>
      </c>
      <c r="W28" s="2994">
        <v>6.7290000000000001</v>
      </c>
      <c r="X28" s="2994">
        <v>6.9545000000000003</v>
      </c>
      <c r="Y28" s="2994">
        <v>6.8532999999999999</v>
      </c>
      <c r="Z28" s="2994">
        <v>7.0624000000000002</v>
      </c>
      <c r="AA28" s="2994">
        <v>7.0458999999999996</v>
      </c>
      <c r="AB28" s="2994">
        <v>7.1104000000000003</v>
      </c>
      <c r="AC28" s="2994">
        <v>7.1688999999999998</v>
      </c>
      <c r="AD28" s="2994">
        <v>7.7660999999999998</v>
      </c>
      <c r="AE28" s="2994">
        <v>7.7293000000000003</v>
      </c>
      <c r="AF28" s="2994">
        <v>7.6430999999999996</v>
      </c>
      <c r="AG28" s="2994">
        <v>7.7508999999999997</v>
      </c>
      <c r="AH28" s="2994">
        <v>7.6925999999999997</v>
      </c>
      <c r="AI28" s="2994">
        <v>8.1776999999999997</v>
      </c>
      <c r="AJ28" s="2994">
        <v>8.0755999999999997</v>
      </c>
      <c r="AK28" s="2994">
        <v>8.0481999999999996</v>
      </c>
      <c r="AL28" s="2994">
        <v>8.1973000000000003</v>
      </c>
      <c r="AM28" s="2994">
        <v>8.0631000000000004</v>
      </c>
      <c r="AN28" s="2994">
        <v>8.2423000000000002</v>
      </c>
      <c r="AO28" s="2994">
        <v>8.3062000000000005</v>
      </c>
      <c r="AP28" s="2994">
        <v>8.5474999999999994</v>
      </c>
      <c r="AQ28" s="2994">
        <v>8.3298000000000005</v>
      </c>
      <c r="AR28" s="2994">
        <v>8.4610000000000003</v>
      </c>
      <c r="AS28" s="2994">
        <v>8.6628000000000007</v>
      </c>
      <c r="AT28" s="2994">
        <v>8.9154</v>
      </c>
      <c r="AU28" s="2994">
        <v>8.9052000000000007</v>
      </c>
      <c r="AV28" s="2994">
        <v>8.7607999999999997</v>
      </c>
      <c r="AW28" s="2994">
        <v>9.0633999999999997</v>
      </c>
      <c r="AX28" s="2994">
        <v>9.2207000000000008</v>
      </c>
      <c r="AY28" s="2994">
        <v>9.6831999999999994</v>
      </c>
      <c r="AZ28" s="2994">
        <v>9.4857999999999993</v>
      </c>
      <c r="BA28" s="2994">
        <v>9.8437999999999999</v>
      </c>
      <c r="BB28" s="2994">
        <v>9.7141999999999999</v>
      </c>
      <c r="BC28" s="2994">
        <v>10.3438</v>
      </c>
      <c r="BD28" s="3471">
        <v>10.6896</v>
      </c>
      <c r="BE28" s="3471">
        <v>10.6684</v>
      </c>
      <c r="BF28" s="3471">
        <v>11.143599999999999</v>
      </c>
    </row>
    <row r="29" spans="1:58">
      <c r="A29" s="1817" t="str">
        <f t="shared" si="0"/>
        <v>AfricaCassava leaves</v>
      </c>
      <c r="B29" s="1818" t="s">
        <v>297</v>
      </c>
      <c r="C29" s="2746" t="s">
        <v>7302</v>
      </c>
      <c r="D29" s="3463" t="str">
        <f>VLOOKUP(B29,List_Yield!$G$4:$J$14,4,FALSE)</f>
        <v>Africa</v>
      </c>
      <c r="E29" s="3463" t="str">
        <f t="shared" si="1"/>
        <v>AfricaCassava leaves</v>
      </c>
      <c r="F29" s="2994">
        <v>0</v>
      </c>
      <c r="G29" s="2994">
        <v>0</v>
      </c>
      <c r="H29" s="2994">
        <v>0</v>
      </c>
      <c r="I29" s="2994">
        <v>0</v>
      </c>
      <c r="J29" s="2994">
        <v>0</v>
      </c>
      <c r="K29" s="2994">
        <v>0</v>
      </c>
      <c r="L29" s="2994">
        <v>0</v>
      </c>
      <c r="M29" s="2994">
        <v>0</v>
      </c>
      <c r="N29" s="2994">
        <v>0</v>
      </c>
      <c r="O29" s="2994">
        <v>0</v>
      </c>
      <c r="P29" s="2994">
        <v>0</v>
      </c>
      <c r="Q29" s="2994">
        <v>0</v>
      </c>
      <c r="R29" s="2994">
        <v>0</v>
      </c>
      <c r="S29" s="2994">
        <v>0</v>
      </c>
      <c r="T29" s="2994">
        <v>0</v>
      </c>
      <c r="U29" s="2994">
        <v>0</v>
      </c>
      <c r="V29" s="2994">
        <v>0</v>
      </c>
      <c r="W29" s="2994">
        <v>0</v>
      </c>
      <c r="X29" s="2994">
        <v>0</v>
      </c>
      <c r="Y29" s="2994">
        <v>0</v>
      </c>
      <c r="Z29" s="2994">
        <v>0</v>
      </c>
      <c r="AA29" s="2994">
        <v>0</v>
      </c>
      <c r="AB29" s="2994">
        <v>0</v>
      </c>
      <c r="AC29" s="2994">
        <v>0</v>
      </c>
      <c r="AD29" s="2994">
        <v>0</v>
      </c>
      <c r="AE29" s="2994">
        <v>0</v>
      </c>
      <c r="AF29" s="2994">
        <v>0</v>
      </c>
      <c r="AG29" s="2994">
        <v>0</v>
      </c>
      <c r="AH29" s="2994">
        <v>0</v>
      </c>
      <c r="AI29" s="2994">
        <v>10</v>
      </c>
      <c r="AJ29" s="2994">
        <v>10</v>
      </c>
      <c r="AK29" s="2994">
        <v>10</v>
      </c>
      <c r="AL29" s="2994">
        <v>10</v>
      </c>
      <c r="AM29" s="2994">
        <v>10</v>
      </c>
      <c r="AN29" s="2994">
        <v>10</v>
      </c>
      <c r="AO29" s="2994">
        <v>10</v>
      </c>
      <c r="AP29" s="2994">
        <v>10</v>
      </c>
      <c r="AQ29" s="2994">
        <v>10</v>
      </c>
      <c r="AR29" s="2994">
        <v>10</v>
      </c>
      <c r="AS29" s="2994">
        <v>10</v>
      </c>
      <c r="AT29" s="2994">
        <v>10</v>
      </c>
      <c r="AU29" s="2994">
        <v>10</v>
      </c>
      <c r="AV29" s="2994">
        <v>10.116</v>
      </c>
      <c r="AW29" s="2994">
        <v>10.0548</v>
      </c>
      <c r="AX29" s="2994">
        <v>10</v>
      </c>
      <c r="AY29" s="2994">
        <v>13.8004</v>
      </c>
      <c r="AZ29" s="2994">
        <v>15.331</v>
      </c>
      <c r="BA29" s="2994">
        <v>15.437799999999999</v>
      </c>
      <c r="BB29" s="2994">
        <v>15.133699999999999</v>
      </c>
      <c r="BC29" s="2994">
        <v>11.039</v>
      </c>
      <c r="BD29" s="3471">
        <v>11.039</v>
      </c>
      <c r="BE29" s="3471">
        <v>11.039</v>
      </c>
      <c r="BF29" s="3471">
        <v>0</v>
      </c>
    </row>
    <row r="30" spans="1:58">
      <c r="A30" s="1817" t="str">
        <f t="shared" si="0"/>
        <v>AfricaCastor oil seed</v>
      </c>
      <c r="B30" s="1818" t="s">
        <v>297</v>
      </c>
      <c r="C30" s="1818" t="s">
        <v>7303</v>
      </c>
      <c r="D30" s="3463" t="str">
        <f>VLOOKUP(B30,List_Yield!$G$4:$J$14,4,FALSE)</f>
        <v>Africa</v>
      </c>
      <c r="E30" s="3463" t="str">
        <f t="shared" si="1"/>
        <v>AfricaCastor oil seed</v>
      </c>
      <c r="F30" s="2994">
        <v>0.51339999999999997</v>
      </c>
      <c r="G30" s="2994">
        <v>0.51190000000000002</v>
      </c>
      <c r="H30" s="2994">
        <v>0.51570000000000005</v>
      </c>
      <c r="I30" s="2994">
        <v>0.5181</v>
      </c>
      <c r="J30" s="2994">
        <v>0.54379999999999995</v>
      </c>
      <c r="K30" s="2994">
        <v>0.58579999999999999</v>
      </c>
      <c r="L30" s="2994">
        <v>0.59770000000000001</v>
      </c>
      <c r="M30" s="2994">
        <v>0.52600000000000002</v>
      </c>
      <c r="N30" s="2994">
        <v>0.56289999999999996</v>
      </c>
      <c r="O30" s="2994">
        <v>0.51729999999999998</v>
      </c>
      <c r="P30" s="2994">
        <v>0.56220000000000003</v>
      </c>
      <c r="Q30" s="2994">
        <v>0.54379999999999995</v>
      </c>
      <c r="R30" s="2994">
        <v>0.52580000000000005</v>
      </c>
      <c r="S30" s="2994">
        <v>0.5252</v>
      </c>
      <c r="T30" s="2994">
        <v>0.59889999999999999</v>
      </c>
      <c r="U30" s="2994">
        <v>0.56879999999999997</v>
      </c>
      <c r="V30" s="2994">
        <v>0.46529999999999999</v>
      </c>
      <c r="W30" s="2994">
        <v>0.45519999999999999</v>
      </c>
      <c r="X30" s="2994">
        <v>0.48870000000000002</v>
      </c>
      <c r="Y30" s="2994">
        <v>0.48909999999999998</v>
      </c>
      <c r="Z30" s="2994">
        <v>0.50460000000000005</v>
      </c>
      <c r="AA30" s="2994">
        <v>0.50339999999999996</v>
      </c>
      <c r="AB30" s="2994">
        <v>0.50629999999999997</v>
      </c>
      <c r="AC30" s="2994">
        <v>0.50349999999999995</v>
      </c>
      <c r="AD30" s="2994">
        <v>0.49869999999999998</v>
      </c>
      <c r="AE30" s="2994">
        <v>0.49969999999999998</v>
      </c>
      <c r="AF30" s="2994">
        <v>0.49349999999999999</v>
      </c>
      <c r="AG30" s="2994">
        <v>0.49059999999999998</v>
      </c>
      <c r="AH30" s="2994">
        <v>0.4758</v>
      </c>
      <c r="AI30" s="2994">
        <v>0.49719999999999998</v>
      </c>
      <c r="AJ30" s="2994">
        <v>0.47320000000000001</v>
      </c>
      <c r="AK30" s="2994">
        <v>0.4325</v>
      </c>
      <c r="AL30" s="2994">
        <v>0.38629999999999998</v>
      </c>
      <c r="AM30" s="2994">
        <v>0.38240000000000002</v>
      </c>
      <c r="AN30" s="2994">
        <v>0.39050000000000001</v>
      </c>
      <c r="AO30" s="2994">
        <v>0.3962</v>
      </c>
      <c r="AP30" s="2994">
        <v>0.4088</v>
      </c>
      <c r="AQ30" s="2994">
        <v>0.4224</v>
      </c>
      <c r="AR30" s="2994">
        <v>0.39150000000000001</v>
      </c>
      <c r="AS30" s="2994">
        <v>0.33050000000000002</v>
      </c>
      <c r="AT30" s="2994">
        <v>0.3387</v>
      </c>
      <c r="AU30" s="2994">
        <v>0.33600000000000002</v>
      </c>
      <c r="AV30" s="2994">
        <v>0.3377</v>
      </c>
      <c r="AW30" s="2994">
        <v>0.35639999999999999</v>
      </c>
      <c r="AX30" s="2994">
        <v>0.3821</v>
      </c>
      <c r="AY30" s="2994">
        <v>0.38479999999999998</v>
      </c>
      <c r="AZ30" s="2994">
        <v>0.38579999999999998</v>
      </c>
      <c r="BA30" s="2994">
        <v>0.36759999999999998</v>
      </c>
      <c r="BB30" s="2994">
        <v>0.3301</v>
      </c>
      <c r="BC30" s="2994">
        <v>0.35799999999999998</v>
      </c>
      <c r="BD30" s="3471">
        <v>0.35759999999999997</v>
      </c>
      <c r="BE30" s="3471">
        <v>0.37840000000000001</v>
      </c>
      <c r="BF30" s="3471">
        <v>0.38159999999999999</v>
      </c>
    </row>
    <row r="31" spans="1:58">
      <c r="A31" s="1817" t="str">
        <f t="shared" si="0"/>
        <v>AfricaCauliflowers and broccoli</v>
      </c>
      <c r="B31" s="1818" t="s">
        <v>297</v>
      </c>
      <c r="C31" s="1818" t="s">
        <v>1343</v>
      </c>
      <c r="D31" s="3463" t="str">
        <f>VLOOKUP(B31,List_Yield!$G$4:$J$14,4,FALSE)</f>
        <v>Africa</v>
      </c>
      <c r="E31" s="3463" t="str">
        <f t="shared" si="1"/>
        <v>AfricaCauliflowers and broccoli</v>
      </c>
      <c r="F31" s="2994">
        <v>23.289000000000001</v>
      </c>
      <c r="G31" s="2994">
        <v>23.3508</v>
      </c>
      <c r="H31" s="2994">
        <v>24.103200000000001</v>
      </c>
      <c r="I31" s="2994">
        <v>24.0306</v>
      </c>
      <c r="J31" s="2994">
        <v>23.954000000000001</v>
      </c>
      <c r="K31" s="2994">
        <v>23.134599999999999</v>
      </c>
      <c r="L31" s="2994">
        <v>23.495100000000001</v>
      </c>
      <c r="M31" s="2994">
        <v>21.263000000000002</v>
      </c>
      <c r="N31" s="2994">
        <v>21.161799999999999</v>
      </c>
      <c r="O31" s="2994">
        <v>21.6675</v>
      </c>
      <c r="P31" s="2994">
        <v>22.1523</v>
      </c>
      <c r="Q31" s="2994">
        <v>19.400400000000001</v>
      </c>
      <c r="R31" s="2994">
        <v>20.0748</v>
      </c>
      <c r="S31" s="2994">
        <v>18.3598</v>
      </c>
      <c r="T31" s="2994">
        <v>18.165800000000001</v>
      </c>
      <c r="U31" s="2994">
        <v>19.3172</v>
      </c>
      <c r="V31" s="2994">
        <v>19.667000000000002</v>
      </c>
      <c r="W31" s="2994">
        <v>20.249600000000001</v>
      </c>
      <c r="X31" s="2994">
        <v>19.7592</v>
      </c>
      <c r="Y31" s="2994">
        <v>20.360700000000001</v>
      </c>
      <c r="Z31" s="2994">
        <v>19.503599999999999</v>
      </c>
      <c r="AA31" s="2994">
        <v>18.372499999999999</v>
      </c>
      <c r="AB31" s="2994">
        <v>16.940200000000001</v>
      </c>
      <c r="AC31" s="2994">
        <v>16.816700000000001</v>
      </c>
      <c r="AD31" s="2994">
        <v>17.299600000000002</v>
      </c>
      <c r="AE31" s="2994">
        <v>16.541799999999999</v>
      </c>
      <c r="AF31" s="2994">
        <v>19.287500000000001</v>
      </c>
      <c r="AG31" s="2994">
        <v>17.661999999999999</v>
      </c>
      <c r="AH31" s="2994">
        <v>16.325900000000001</v>
      </c>
      <c r="AI31" s="2994">
        <v>15.928900000000001</v>
      </c>
      <c r="AJ31" s="2994">
        <v>16.122399999999999</v>
      </c>
      <c r="AK31" s="2994">
        <v>16.2103</v>
      </c>
      <c r="AL31" s="2994">
        <v>17.156400000000001</v>
      </c>
      <c r="AM31" s="2994">
        <v>16.956099999999999</v>
      </c>
      <c r="AN31" s="2994">
        <v>16.871300000000002</v>
      </c>
      <c r="AO31" s="2994">
        <v>16.522500000000001</v>
      </c>
      <c r="AP31" s="2994">
        <v>18.484100000000002</v>
      </c>
      <c r="AQ31" s="2994">
        <v>18.131599999999999</v>
      </c>
      <c r="AR31" s="2994">
        <v>18.4023</v>
      </c>
      <c r="AS31" s="2994">
        <v>18.008299999999998</v>
      </c>
      <c r="AT31" s="2994">
        <v>18.378399999999999</v>
      </c>
      <c r="AU31" s="2994">
        <v>19.4238</v>
      </c>
      <c r="AV31" s="2994">
        <v>15.067600000000001</v>
      </c>
      <c r="AW31" s="2994">
        <v>19.322099999999999</v>
      </c>
      <c r="AX31" s="2994">
        <v>17.965800000000002</v>
      </c>
      <c r="AY31" s="2994">
        <v>20.355</v>
      </c>
      <c r="AZ31" s="2994">
        <v>19.9879</v>
      </c>
      <c r="BA31" s="2994">
        <v>20.234100000000002</v>
      </c>
      <c r="BB31" s="2994">
        <v>19.635300000000001</v>
      </c>
      <c r="BC31" s="2994">
        <v>21.080100000000002</v>
      </c>
      <c r="BD31" s="3471">
        <v>22.966200000000001</v>
      </c>
      <c r="BE31" s="3471">
        <v>22.717600000000001</v>
      </c>
      <c r="BF31" s="3471">
        <v>0</v>
      </c>
    </row>
    <row r="32" spans="1:58">
      <c r="A32" s="1817" t="str">
        <f t="shared" si="0"/>
        <v>AfricaCereals, nes</v>
      </c>
      <c r="B32" s="1818" t="s">
        <v>297</v>
      </c>
      <c r="C32" s="1818" t="s">
        <v>1344</v>
      </c>
      <c r="D32" s="3463" t="str">
        <f>VLOOKUP(B32,List_Yield!$G$4:$J$14,4,FALSE)</f>
        <v>Africa</v>
      </c>
      <c r="E32" s="3463" t="str">
        <f t="shared" si="1"/>
        <v>AfricaCereals, nes</v>
      </c>
      <c r="F32" s="2994">
        <v>0.57579999999999998</v>
      </c>
      <c r="G32" s="2994">
        <v>0.55220000000000002</v>
      </c>
      <c r="H32" s="2994">
        <v>0.57220000000000004</v>
      </c>
      <c r="I32" s="2994">
        <v>0.58689999999999998</v>
      </c>
      <c r="J32" s="2994">
        <v>0.60009999999999997</v>
      </c>
      <c r="K32" s="2994">
        <v>0.5948</v>
      </c>
      <c r="L32" s="2994">
        <v>0.60209999999999997</v>
      </c>
      <c r="M32" s="2994">
        <v>0.61539999999999995</v>
      </c>
      <c r="N32" s="2994">
        <v>0.60940000000000005</v>
      </c>
      <c r="O32" s="2994">
        <v>0.61099999999999999</v>
      </c>
      <c r="P32" s="2994">
        <v>0.6089</v>
      </c>
      <c r="Q32" s="2994">
        <v>0.62150000000000005</v>
      </c>
      <c r="R32" s="2994">
        <v>0.72629999999999995</v>
      </c>
      <c r="S32" s="2994">
        <v>0.67820000000000003</v>
      </c>
      <c r="T32" s="2994">
        <v>0.69040000000000001</v>
      </c>
      <c r="U32" s="2994">
        <v>0.69799999999999995</v>
      </c>
      <c r="V32" s="2994">
        <v>0.71930000000000005</v>
      </c>
      <c r="W32" s="2994">
        <v>0.77010000000000001</v>
      </c>
      <c r="X32" s="2994">
        <v>0.80840000000000001</v>
      </c>
      <c r="Y32" s="2994">
        <v>0.92979999999999996</v>
      </c>
      <c r="Z32" s="2994">
        <v>0.93899999999999995</v>
      </c>
      <c r="AA32" s="2994">
        <v>0.80989999999999995</v>
      </c>
      <c r="AB32" s="2994">
        <v>0.94279999999999997</v>
      </c>
      <c r="AC32" s="2994">
        <v>0.80479999999999996</v>
      </c>
      <c r="AD32" s="2994">
        <v>0.69040000000000001</v>
      </c>
      <c r="AE32" s="2994">
        <v>0.75080000000000002</v>
      </c>
      <c r="AF32" s="2994">
        <v>0.79020000000000001</v>
      </c>
      <c r="AG32" s="2994">
        <v>0.79649999999999999</v>
      </c>
      <c r="AH32" s="2994">
        <v>0.82069999999999999</v>
      </c>
      <c r="AI32" s="2994">
        <v>0.83950000000000002</v>
      </c>
      <c r="AJ32" s="2994">
        <v>1.3449</v>
      </c>
      <c r="AK32" s="2994">
        <v>0.85640000000000005</v>
      </c>
      <c r="AL32" s="2994">
        <v>0.92749999999999999</v>
      </c>
      <c r="AM32" s="2994">
        <v>0.87319999999999998</v>
      </c>
      <c r="AN32" s="2994">
        <v>0.7198</v>
      </c>
      <c r="AO32" s="2994">
        <v>0.83099999999999996</v>
      </c>
      <c r="AP32" s="2994">
        <v>0.9012</v>
      </c>
      <c r="AQ32" s="2994">
        <v>0.73529999999999995</v>
      </c>
      <c r="AR32" s="2994">
        <v>0.78</v>
      </c>
      <c r="AS32" s="2994">
        <v>0.79190000000000005</v>
      </c>
      <c r="AT32" s="2994">
        <v>0.82079999999999997</v>
      </c>
      <c r="AU32" s="2994">
        <v>0.86880000000000002</v>
      </c>
      <c r="AV32" s="2994">
        <v>0.72699999999999998</v>
      </c>
      <c r="AW32" s="2994">
        <v>0.73640000000000005</v>
      </c>
      <c r="AX32" s="2994">
        <v>0.96279999999999999</v>
      </c>
      <c r="AY32" s="2994">
        <v>1.0106999999999999</v>
      </c>
      <c r="AZ32" s="2994">
        <v>1.0392999999999999</v>
      </c>
      <c r="BA32" s="2994">
        <v>0.88880000000000003</v>
      </c>
      <c r="BB32" s="2994">
        <v>1.2513000000000001</v>
      </c>
      <c r="BC32" s="2994">
        <v>1.2596000000000001</v>
      </c>
      <c r="BD32" s="3471">
        <v>1.2514000000000001</v>
      </c>
      <c r="BE32" s="3471">
        <v>1.2819</v>
      </c>
      <c r="BF32" s="3471">
        <v>1.4802</v>
      </c>
    </row>
    <row r="33" spans="1:58">
      <c r="A33" s="1817" t="str">
        <f t="shared" si="0"/>
        <v>AfricaCherries</v>
      </c>
      <c r="B33" s="1818" t="s">
        <v>297</v>
      </c>
      <c r="C33" s="1818" t="s">
        <v>7304</v>
      </c>
      <c r="D33" s="3463" t="str">
        <f>VLOOKUP(B33,List_Yield!$G$4:$J$14,4,FALSE)</f>
        <v>Africa</v>
      </c>
      <c r="E33" s="3463" t="str">
        <f t="shared" si="1"/>
        <v>AfricaCherries</v>
      </c>
      <c r="F33" s="2994">
        <v>2.9125000000000001</v>
      </c>
      <c r="G33" s="2994">
        <v>2.3250000000000002</v>
      </c>
      <c r="H33" s="2994">
        <v>2.35</v>
      </c>
      <c r="I33" s="2994">
        <v>3.375</v>
      </c>
      <c r="J33" s="2994">
        <v>3.9262999999999999</v>
      </c>
      <c r="K33" s="2994">
        <v>3.0733000000000001</v>
      </c>
      <c r="L33" s="2994">
        <v>4.2066999999999997</v>
      </c>
      <c r="M33" s="2994">
        <v>2.84</v>
      </c>
      <c r="N33" s="2994">
        <v>4.42</v>
      </c>
      <c r="O33" s="2994">
        <v>4.7133000000000003</v>
      </c>
      <c r="P33" s="2994">
        <v>3.8666999999999998</v>
      </c>
      <c r="Q33" s="2994">
        <v>4.9470999999999998</v>
      </c>
      <c r="R33" s="2994">
        <v>2.4319000000000002</v>
      </c>
      <c r="S33" s="2994">
        <v>1.7506999999999999</v>
      </c>
      <c r="T33" s="2994">
        <v>1.5247999999999999</v>
      </c>
      <c r="U33" s="2994">
        <v>1.3714</v>
      </c>
      <c r="V33" s="2994">
        <v>1.268</v>
      </c>
      <c r="W33" s="2994">
        <v>1.3592</v>
      </c>
      <c r="X33" s="2994">
        <v>1.4430000000000001</v>
      </c>
      <c r="Y33" s="2994">
        <v>1.6537999999999999</v>
      </c>
      <c r="Z33" s="2994">
        <v>1.3888</v>
      </c>
      <c r="AA33" s="2994">
        <v>1.6057999999999999</v>
      </c>
      <c r="AB33" s="2994">
        <v>1.8562000000000001</v>
      </c>
      <c r="AC33" s="2994">
        <v>1.3069</v>
      </c>
      <c r="AD33" s="2994">
        <v>1.5834999999999999</v>
      </c>
      <c r="AE33" s="2994">
        <v>1.5761000000000001</v>
      </c>
      <c r="AF33" s="2994">
        <v>1.6132</v>
      </c>
      <c r="AG33" s="2994">
        <v>1.8989</v>
      </c>
      <c r="AH33" s="2994">
        <v>2.1499000000000001</v>
      </c>
      <c r="AI33" s="2994">
        <v>1.7441</v>
      </c>
      <c r="AJ33" s="2994">
        <v>2.2353999999999998</v>
      </c>
      <c r="AK33" s="2994">
        <v>3.5485000000000002</v>
      </c>
      <c r="AL33" s="2994">
        <v>4.6664000000000003</v>
      </c>
      <c r="AM33" s="2994">
        <v>1.8323</v>
      </c>
      <c r="AN33" s="2994">
        <v>2.2627999999999999</v>
      </c>
      <c r="AO33" s="2994">
        <v>2.1996000000000002</v>
      </c>
      <c r="AP33" s="2994">
        <v>2.3462999999999998</v>
      </c>
      <c r="AQ33" s="2994">
        <v>2.9420000000000002</v>
      </c>
      <c r="AR33" s="2994">
        <v>3.2786</v>
      </c>
      <c r="AS33" s="2994">
        <v>3.2237</v>
      </c>
      <c r="AT33" s="2994">
        <v>2.2488000000000001</v>
      </c>
      <c r="AU33" s="2994">
        <v>2.1436999999999999</v>
      </c>
      <c r="AV33" s="2994">
        <v>2.3512</v>
      </c>
      <c r="AW33" s="2994">
        <v>2.5958000000000001</v>
      </c>
      <c r="AX33" s="2994">
        <v>3.0537000000000001</v>
      </c>
      <c r="AY33" s="2994">
        <v>3.0912999999999999</v>
      </c>
      <c r="AZ33" s="2994">
        <v>2.5604</v>
      </c>
      <c r="BA33" s="2994">
        <v>3.0859999999999999</v>
      </c>
      <c r="BB33" s="2994">
        <v>3.3936999999999999</v>
      </c>
      <c r="BC33" s="2994">
        <v>3.1787999999999998</v>
      </c>
      <c r="BD33" s="3471">
        <v>3.6324999999999998</v>
      </c>
      <c r="BE33" s="3471">
        <v>3.9319000000000002</v>
      </c>
      <c r="BF33" s="3471">
        <v>0</v>
      </c>
    </row>
    <row r="34" spans="1:58">
      <c r="A34" s="1817" t="str">
        <f t="shared" si="0"/>
        <v>AfricaCherries, sour</v>
      </c>
      <c r="B34" s="1818" t="s">
        <v>297</v>
      </c>
      <c r="C34" s="1818" t="s">
        <v>7305</v>
      </c>
      <c r="D34" s="3463" t="str">
        <f>VLOOKUP(B34,List_Yield!$G$4:$J$14,4,FALSE)</f>
        <v>Africa</v>
      </c>
      <c r="E34" s="3463" t="str">
        <f t="shared" si="1"/>
        <v>AfricaCherries, sour</v>
      </c>
      <c r="F34" s="2994">
        <v>0</v>
      </c>
      <c r="G34" s="2994">
        <v>0</v>
      </c>
      <c r="H34" s="2994">
        <v>0</v>
      </c>
      <c r="I34" s="2994">
        <v>0</v>
      </c>
      <c r="J34" s="2994">
        <v>0</v>
      </c>
      <c r="K34" s="2994">
        <v>0</v>
      </c>
      <c r="L34" s="2994">
        <v>0</v>
      </c>
      <c r="M34" s="2994">
        <v>0</v>
      </c>
      <c r="N34" s="2994">
        <v>0</v>
      </c>
      <c r="O34" s="2994">
        <v>0</v>
      </c>
      <c r="P34" s="2994">
        <v>0</v>
      </c>
      <c r="Q34" s="2994">
        <v>0</v>
      </c>
      <c r="R34" s="2994">
        <v>0</v>
      </c>
      <c r="S34" s="2994">
        <v>0</v>
      </c>
      <c r="T34" s="2994">
        <v>0</v>
      </c>
      <c r="U34" s="2994">
        <v>0</v>
      </c>
      <c r="V34" s="2994">
        <v>0</v>
      </c>
      <c r="W34" s="2994">
        <v>0</v>
      </c>
      <c r="X34" s="2994">
        <v>0</v>
      </c>
      <c r="Y34" s="2994">
        <v>0</v>
      </c>
      <c r="Z34" s="2994">
        <v>0</v>
      </c>
      <c r="AA34" s="2994">
        <v>0</v>
      </c>
      <c r="AB34" s="2994">
        <v>0</v>
      </c>
      <c r="AC34" s="2994">
        <v>0</v>
      </c>
      <c r="AD34" s="2994">
        <v>0</v>
      </c>
      <c r="AE34" s="2994">
        <v>0</v>
      </c>
      <c r="AF34" s="2994">
        <v>0</v>
      </c>
      <c r="AG34" s="2994">
        <v>0</v>
      </c>
      <c r="AH34" s="2994">
        <v>0</v>
      </c>
      <c r="AI34" s="2994">
        <v>0</v>
      </c>
      <c r="AJ34" s="2994">
        <v>0</v>
      </c>
      <c r="AK34" s="2994">
        <v>0</v>
      </c>
      <c r="AL34" s="2994">
        <v>0</v>
      </c>
      <c r="AM34" s="2994">
        <v>0</v>
      </c>
      <c r="AN34" s="2994">
        <v>0</v>
      </c>
      <c r="AO34" s="2994">
        <v>0</v>
      </c>
      <c r="AP34" s="2994">
        <v>0</v>
      </c>
      <c r="AQ34" s="2994">
        <v>0</v>
      </c>
      <c r="AR34" s="2994">
        <v>0</v>
      </c>
      <c r="AS34" s="2994">
        <v>0</v>
      </c>
      <c r="AT34" s="2994">
        <v>0</v>
      </c>
      <c r="AU34" s="2994">
        <v>0</v>
      </c>
      <c r="AV34" s="2994">
        <v>0</v>
      </c>
      <c r="AW34" s="2994">
        <v>0</v>
      </c>
      <c r="AX34" s="2994">
        <v>0</v>
      </c>
      <c r="AY34" s="2994">
        <v>0</v>
      </c>
      <c r="AZ34" s="2994">
        <v>0</v>
      </c>
      <c r="BA34" s="2994">
        <v>0</v>
      </c>
      <c r="BB34" s="2994">
        <v>0</v>
      </c>
      <c r="BC34" s="2994">
        <v>0</v>
      </c>
      <c r="BD34" s="3471">
        <v>0</v>
      </c>
      <c r="BE34" s="3471">
        <v>0</v>
      </c>
      <c r="BF34" s="3471">
        <v>0</v>
      </c>
    </row>
    <row r="35" spans="1:58">
      <c r="A35" s="1817" t="str">
        <f t="shared" si="0"/>
        <v>AfricaChestnut</v>
      </c>
      <c r="B35" s="1818" t="s">
        <v>297</v>
      </c>
      <c r="C35" s="1818" t="s">
        <v>7306</v>
      </c>
      <c r="D35" s="3463" t="str">
        <f>VLOOKUP(B35,List_Yield!$G$4:$J$14,4,FALSE)</f>
        <v>Africa</v>
      </c>
      <c r="E35" s="3463" t="str">
        <f t="shared" si="1"/>
        <v>AfricaChestnut</v>
      </c>
      <c r="F35" s="2994">
        <v>0</v>
      </c>
      <c r="G35" s="2994">
        <v>0</v>
      </c>
      <c r="H35" s="2994">
        <v>0</v>
      </c>
      <c r="I35" s="2994">
        <v>0</v>
      </c>
      <c r="J35" s="2994">
        <v>0</v>
      </c>
      <c r="K35" s="2994">
        <v>0</v>
      </c>
      <c r="L35" s="2994">
        <v>0</v>
      </c>
      <c r="M35" s="2994">
        <v>0</v>
      </c>
      <c r="N35" s="2994">
        <v>0</v>
      </c>
      <c r="O35" s="2994">
        <v>0</v>
      </c>
      <c r="P35" s="2994">
        <v>0</v>
      </c>
      <c r="Q35" s="2994">
        <v>0</v>
      </c>
      <c r="R35" s="2994">
        <v>0</v>
      </c>
      <c r="S35" s="2994">
        <v>0</v>
      </c>
      <c r="T35" s="2994">
        <v>0</v>
      </c>
      <c r="U35" s="2994">
        <v>0</v>
      </c>
      <c r="V35" s="2994">
        <v>0</v>
      </c>
      <c r="W35" s="2994">
        <v>0</v>
      </c>
      <c r="X35" s="2994">
        <v>0</v>
      </c>
      <c r="Y35" s="2994">
        <v>0</v>
      </c>
      <c r="Z35" s="2994">
        <v>0</v>
      </c>
      <c r="AA35" s="2994">
        <v>0</v>
      </c>
      <c r="AB35" s="2994">
        <v>0</v>
      </c>
      <c r="AC35" s="2994">
        <v>0</v>
      </c>
      <c r="AD35" s="2994">
        <v>1</v>
      </c>
      <c r="AE35" s="2994">
        <v>1</v>
      </c>
      <c r="AF35" s="2994">
        <v>1</v>
      </c>
      <c r="AG35" s="2994">
        <v>1</v>
      </c>
      <c r="AH35" s="2994">
        <v>1</v>
      </c>
      <c r="AI35" s="2994">
        <v>1.5</v>
      </c>
      <c r="AJ35" s="2994">
        <v>1.59</v>
      </c>
      <c r="AK35" s="2994">
        <v>1.68</v>
      </c>
      <c r="AL35" s="2994">
        <v>1.6</v>
      </c>
      <c r="AM35" s="2994">
        <v>1.78</v>
      </c>
      <c r="AN35" s="2994">
        <v>2.29</v>
      </c>
      <c r="AO35" s="2994">
        <v>2.93</v>
      </c>
      <c r="AP35" s="2994">
        <v>2.97</v>
      </c>
      <c r="AQ35" s="2994">
        <v>2.83</v>
      </c>
      <c r="AR35" s="2994">
        <v>1.44</v>
      </c>
      <c r="AS35" s="2994">
        <v>1.47</v>
      </c>
      <c r="AT35" s="2994">
        <v>1.5</v>
      </c>
      <c r="AU35" s="2994">
        <v>1.49</v>
      </c>
      <c r="AV35" s="2994">
        <v>1.5</v>
      </c>
      <c r="AW35" s="2994">
        <v>1.55</v>
      </c>
      <c r="AX35" s="2994">
        <v>1.64</v>
      </c>
      <c r="AY35" s="2994">
        <v>1.66</v>
      </c>
      <c r="AZ35" s="2994">
        <v>1.77</v>
      </c>
      <c r="BA35" s="2994">
        <v>1.85</v>
      </c>
      <c r="BB35" s="2994">
        <v>1.68</v>
      </c>
      <c r="BC35" s="2994">
        <v>1.5333000000000001</v>
      </c>
      <c r="BD35" s="3471">
        <v>1.5846</v>
      </c>
      <c r="BE35" s="3471">
        <v>1.6288</v>
      </c>
      <c r="BF35" s="3471">
        <v>0</v>
      </c>
    </row>
    <row r="36" spans="1:58">
      <c r="A36" s="1817" t="str">
        <f t="shared" si="0"/>
        <v>AfricaChick peas</v>
      </c>
      <c r="B36" s="1818" t="s">
        <v>297</v>
      </c>
      <c r="C36" s="1818" t="s">
        <v>7307</v>
      </c>
      <c r="D36" s="3463" t="str">
        <f>VLOOKUP(B36,List_Yield!$G$4:$J$14,4,FALSE)</f>
        <v>Africa</v>
      </c>
      <c r="E36" s="3463" t="str">
        <f t="shared" si="1"/>
        <v>AfricaChick peas</v>
      </c>
      <c r="F36" s="2994">
        <v>0.49730000000000002</v>
      </c>
      <c r="G36" s="2994">
        <v>0.54669999999999996</v>
      </c>
      <c r="H36" s="2994">
        <v>0.59389999999999998</v>
      </c>
      <c r="I36" s="2994">
        <v>0.59819999999999995</v>
      </c>
      <c r="J36" s="2994">
        <v>0.67669999999999997</v>
      </c>
      <c r="K36" s="2994">
        <v>0.57909999999999995</v>
      </c>
      <c r="L36" s="2994">
        <v>0.5907</v>
      </c>
      <c r="M36" s="2994">
        <v>0.68610000000000004</v>
      </c>
      <c r="N36" s="2994">
        <v>0.6139</v>
      </c>
      <c r="O36" s="2994">
        <v>0.65259999999999996</v>
      </c>
      <c r="P36" s="2994">
        <v>0.43140000000000001</v>
      </c>
      <c r="Q36" s="2994">
        <v>0.57240000000000002</v>
      </c>
      <c r="R36" s="2994">
        <v>0.60699999999999998</v>
      </c>
      <c r="S36" s="2994">
        <v>0.71799999999999997</v>
      </c>
      <c r="T36" s="2994">
        <v>0.60219999999999996</v>
      </c>
      <c r="U36" s="2994">
        <v>0.56130000000000002</v>
      </c>
      <c r="V36" s="2994">
        <v>0.61880000000000002</v>
      </c>
      <c r="W36" s="2994">
        <v>0.61170000000000002</v>
      </c>
      <c r="X36" s="2994">
        <v>0.7167</v>
      </c>
      <c r="Y36" s="2994">
        <v>0.66569999999999996</v>
      </c>
      <c r="Z36" s="2994">
        <v>0.5917</v>
      </c>
      <c r="AA36" s="2994">
        <v>0.65490000000000004</v>
      </c>
      <c r="AB36" s="2994">
        <v>0.69220000000000004</v>
      </c>
      <c r="AC36" s="2994">
        <v>0.56420000000000003</v>
      </c>
      <c r="AD36" s="2994">
        <v>0.53500000000000003</v>
      </c>
      <c r="AE36" s="2994">
        <v>0.62250000000000005</v>
      </c>
      <c r="AF36" s="2994">
        <v>0.60450000000000004</v>
      </c>
      <c r="AG36" s="2994">
        <v>0.59319999999999995</v>
      </c>
      <c r="AH36" s="2994">
        <v>0.58420000000000005</v>
      </c>
      <c r="AI36" s="2994">
        <v>0.58899999999999997</v>
      </c>
      <c r="AJ36" s="2994">
        <v>0.71809999999999996</v>
      </c>
      <c r="AK36" s="2994">
        <v>0.53059999999999996</v>
      </c>
      <c r="AL36" s="2994">
        <v>0.48499999999999999</v>
      </c>
      <c r="AM36" s="2994">
        <v>0.47689999999999999</v>
      </c>
      <c r="AN36" s="2994">
        <v>0.4617</v>
      </c>
      <c r="AO36" s="2994">
        <v>0.67549999999999999</v>
      </c>
      <c r="AP36" s="2994">
        <v>0.64080000000000004</v>
      </c>
      <c r="AQ36" s="2994">
        <v>0.63060000000000005</v>
      </c>
      <c r="AR36" s="2994">
        <v>0.61129999999999995</v>
      </c>
      <c r="AS36" s="2994">
        <v>0.61550000000000005</v>
      </c>
      <c r="AT36" s="2994">
        <v>0.6885</v>
      </c>
      <c r="AU36" s="2994">
        <v>0.77470000000000006</v>
      </c>
      <c r="AV36" s="2994">
        <v>0.69289999999999996</v>
      </c>
      <c r="AW36" s="2994">
        <v>0.69099999999999995</v>
      </c>
      <c r="AX36" s="2994">
        <v>0.68320000000000003</v>
      </c>
      <c r="AY36" s="2994">
        <v>0.8085</v>
      </c>
      <c r="AZ36" s="2994">
        <v>0.82120000000000004</v>
      </c>
      <c r="BA36" s="2994">
        <v>0.8901</v>
      </c>
      <c r="BB36" s="2994">
        <v>0.9536</v>
      </c>
      <c r="BC36" s="2994">
        <v>1.0391999999999999</v>
      </c>
      <c r="BD36" s="3471">
        <v>1.1161000000000001</v>
      </c>
      <c r="BE36" s="3471">
        <v>1.1735</v>
      </c>
      <c r="BF36" s="3471">
        <v>1.0982000000000001</v>
      </c>
    </row>
    <row r="37" spans="1:58">
      <c r="A37" s="1817" t="str">
        <f t="shared" si="0"/>
        <v>AfricaChicory roots</v>
      </c>
      <c r="B37" s="1818" t="s">
        <v>297</v>
      </c>
      <c r="C37" s="1818" t="s">
        <v>7308</v>
      </c>
      <c r="D37" s="3463" t="str">
        <f>VLOOKUP(B37,List_Yield!$G$4:$J$14,4,FALSE)</f>
        <v>Africa</v>
      </c>
      <c r="E37" s="3463" t="str">
        <f t="shared" si="1"/>
        <v>AfricaChicory roots</v>
      </c>
      <c r="F37" s="2994">
        <v>2.5476000000000001</v>
      </c>
      <c r="G37" s="2994">
        <v>1.6285000000000001</v>
      </c>
      <c r="H37" s="2994">
        <v>1.8407</v>
      </c>
      <c r="I37" s="2994">
        <v>2.1193</v>
      </c>
      <c r="J37" s="2994">
        <v>2.1465999999999998</v>
      </c>
      <c r="K37" s="2994">
        <v>2.4093</v>
      </c>
      <c r="L37" s="2994">
        <v>2.06</v>
      </c>
      <c r="M37" s="2994">
        <v>2.2606000000000002</v>
      </c>
      <c r="N37" s="2994">
        <v>2.0802999999999998</v>
      </c>
      <c r="O37" s="2994">
        <v>2.1642000000000001</v>
      </c>
      <c r="P37" s="2994">
        <v>3.7242999999999999</v>
      </c>
      <c r="Q37" s="2994">
        <v>2.5642999999999998</v>
      </c>
      <c r="R37" s="2994">
        <v>1.1112</v>
      </c>
      <c r="S37" s="2994">
        <v>2.2105000000000001</v>
      </c>
      <c r="T37" s="2994">
        <v>1.7576000000000001</v>
      </c>
      <c r="U37" s="2994">
        <v>2.5003000000000002</v>
      </c>
      <c r="V37" s="2994">
        <v>1.929</v>
      </c>
      <c r="W37" s="2994">
        <v>2.4087999999999998</v>
      </c>
      <c r="X37" s="2994">
        <v>2.0520999999999998</v>
      </c>
      <c r="Y37" s="2994">
        <v>1.7445999999999999</v>
      </c>
      <c r="Z37" s="2994">
        <v>2.2189000000000001</v>
      </c>
      <c r="AA37" s="2994">
        <v>2.5585</v>
      </c>
      <c r="AB37" s="2994">
        <v>1.607</v>
      </c>
      <c r="AC37" s="2994">
        <v>2.8692000000000002</v>
      </c>
      <c r="AD37" s="2994">
        <v>1.778</v>
      </c>
      <c r="AE37" s="2994">
        <v>2.8609</v>
      </c>
      <c r="AF37" s="2994">
        <v>2.4081000000000001</v>
      </c>
      <c r="AG37" s="2994">
        <v>1.7132000000000001</v>
      </c>
      <c r="AH37" s="2994">
        <v>2.4900000000000002</v>
      </c>
      <c r="AI37" s="2994">
        <v>3.5181</v>
      </c>
      <c r="AJ37" s="2994">
        <v>2.1675</v>
      </c>
      <c r="AK37" s="2994">
        <v>2.4174000000000002</v>
      </c>
      <c r="AL37" s="2994">
        <v>2.7679999999999998</v>
      </c>
      <c r="AM37" s="2994">
        <v>4.5986000000000002</v>
      </c>
      <c r="AN37" s="2994">
        <v>4.3094999999999999</v>
      </c>
      <c r="AO37" s="2994">
        <v>4.3143000000000002</v>
      </c>
      <c r="AP37" s="2994">
        <v>4.3143000000000002</v>
      </c>
      <c r="AQ37" s="2994">
        <v>4.0762</v>
      </c>
      <c r="AR37" s="2994">
        <v>3.9340999999999999</v>
      </c>
      <c r="AS37" s="2994">
        <v>4.0785999999999998</v>
      </c>
      <c r="AT37" s="2994">
        <v>3.9365999999999999</v>
      </c>
      <c r="AU37" s="2994">
        <v>4.0019999999999998</v>
      </c>
      <c r="AV37" s="2994">
        <v>3.9365999999999999</v>
      </c>
      <c r="AW37" s="2994">
        <v>4.1136999999999997</v>
      </c>
      <c r="AX37" s="2994">
        <v>3.6015000000000001</v>
      </c>
      <c r="AY37" s="2994">
        <v>3.8010000000000002</v>
      </c>
      <c r="AZ37" s="2994">
        <v>3.9365999999999999</v>
      </c>
      <c r="BA37" s="2994">
        <v>3.6926999999999999</v>
      </c>
      <c r="BB37" s="2994">
        <v>3.2311999999999999</v>
      </c>
      <c r="BC37" s="2994">
        <v>5.2988999999999997</v>
      </c>
      <c r="BD37" s="3471">
        <v>5.6946000000000003</v>
      </c>
      <c r="BE37" s="3471">
        <v>5.6946000000000003</v>
      </c>
      <c r="BF37" s="3471">
        <v>0</v>
      </c>
    </row>
    <row r="38" spans="1:58">
      <c r="A38" s="1817" t="str">
        <f t="shared" si="0"/>
        <v>AfricaChillies and peppers, dry</v>
      </c>
      <c r="B38" s="1818" t="s">
        <v>297</v>
      </c>
      <c r="C38" s="1818" t="s">
        <v>7309</v>
      </c>
      <c r="D38" s="3463" t="str">
        <f>VLOOKUP(B38,List_Yield!$G$4:$J$14,4,FALSE)</f>
        <v>Africa</v>
      </c>
      <c r="E38" s="3463" t="str">
        <f t="shared" si="1"/>
        <v>AfricaChillies and peppers, dry</v>
      </c>
      <c r="F38" s="2994">
        <v>0.74880000000000002</v>
      </c>
      <c r="G38" s="2994">
        <v>0.75349999999999995</v>
      </c>
      <c r="H38" s="2994">
        <v>0.75560000000000005</v>
      </c>
      <c r="I38" s="2994">
        <v>0.7681</v>
      </c>
      <c r="J38" s="2994">
        <v>0.76239999999999997</v>
      </c>
      <c r="K38" s="2994">
        <v>0.77949999999999997</v>
      </c>
      <c r="L38" s="2994">
        <v>0.7954</v>
      </c>
      <c r="M38" s="2994">
        <v>0.79530000000000001</v>
      </c>
      <c r="N38" s="2994">
        <v>0.79459999999999997</v>
      </c>
      <c r="O38" s="2994">
        <v>0.80549999999999999</v>
      </c>
      <c r="P38" s="2994">
        <v>0.81110000000000004</v>
      </c>
      <c r="Q38" s="2994">
        <v>0.82379999999999998</v>
      </c>
      <c r="R38" s="2994">
        <v>0.81640000000000001</v>
      </c>
      <c r="S38" s="2994">
        <v>0.82489999999999997</v>
      </c>
      <c r="T38" s="2994">
        <v>0.82789999999999997</v>
      </c>
      <c r="U38" s="2994">
        <v>0.82240000000000002</v>
      </c>
      <c r="V38" s="2994">
        <v>0.83340000000000003</v>
      </c>
      <c r="W38" s="2994">
        <v>0.84760000000000002</v>
      </c>
      <c r="X38" s="2994">
        <v>0.86470000000000002</v>
      </c>
      <c r="Y38" s="2994">
        <v>0.84960000000000002</v>
      </c>
      <c r="Z38" s="2994">
        <v>0.85119999999999996</v>
      </c>
      <c r="AA38" s="2994">
        <v>0.86890000000000001</v>
      </c>
      <c r="AB38" s="2994">
        <v>0.85329999999999995</v>
      </c>
      <c r="AC38" s="2994">
        <v>0.82440000000000002</v>
      </c>
      <c r="AD38" s="2994">
        <v>0.7429</v>
      </c>
      <c r="AE38" s="2994">
        <v>0.76280000000000003</v>
      </c>
      <c r="AF38" s="2994">
        <v>0.76070000000000004</v>
      </c>
      <c r="AG38" s="2994">
        <v>0.77059999999999995</v>
      </c>
      <c r="AH38" s="2994">
        <v>0.79549999999999998</v>
      </c>
      <c r="AI38" s="2994">
        <v>0.81669999999999998</v>
      </c>
      <c r="AJ38" s="2994">
        <v>0.83130000000000004</v>
      </c>
      <c r="AK38" s="2994">
        <v>0.84150000000000003</v>
      </c>
      <c r="AL38" s="2994">
        <v>0.84250000000000003</v>
      </c>
      <c r="AM38" s="2994">
        <v>0.89119999999999999</v>
      </c>
      <c r="AN38" s="2994">
        <v>0.91420000000000001</v>
      </c>
      <c r="AO38" s="2994">
        <v>0.90710000000000002</v>
      </c>
      <c r="AP38" s="2994">
        <v>0.83479999999999999</v>
      </c>
      <c r="AQ38" s="2994">
        <v>0.90780000000000005</v>
      </c>
      <c r="AR38" s="2994">
        <v>0.74219999999999997</v>
      </c>
      <c r="AS38" s="2994">
        <v>0.91810000000000003</v>
      </c>
      <c r="AT38" s="2994">
        <v>0.91010000000000002</v>
      </c>
      <c r="AU38" s="2994">
        <v>0.87649999999999995</v>
      </c>
      <c r="AV38" s="2994">
        <v>0.98040000000000005</v>
      </c>
      <c r="AW38" s="2994">
        <v>0.96179999999999999</v>
      </c>
      <c r="AX38" s="2994">
        <v>0.95730000000000004</v>
      </c>
      <c r="AY38" s="2994">
        <v>0.94189999999999996</v>
      </c>
      <c r="AZ38" s="2994">
        <v>0.96930000000000005</v>
      </c>
      <c r="BA38" s="2994">
        <v>1.0842000000000001</v>
      </c>
      <c r="BB38" s="2994">
        <v>0.77790000000000004</v>
      </c>
      <c r="BC38" s="2994">
        <v>0.94389999999999996</v>
      </c>
      <c r="BD38" s="3471">
        <v>1.0785</v>
      </c>
      <c r="BE38" s="3471">
        <v>1.1309</v>
      </c>
      <c r="BF38" s="3471">
        <v>0</v>
      </c>
    </row>
    <row r="39" spans="1:58">
      <c r="A39" s="1817" t="str">
        <f t="shared" si="0"/>
        <v>AfricaChillies and peppers, green</v>
      </c>
      <c r="B39" s="1818" t="s">
        <v>297</v>
      </c>
      <c r="C39" s="1818" t="s">
        <v>7310</v>
      </c>
      <c r="D39" s="3463" t="str">
        <f>VLOOKUP(B39,List_Yield!$G$4:$J$14,4,FALSE)</f>
        <v>Africa</v>
      </c>
      <c r="E39" s="3463" t="str">
        <f t="shared" si="1"/>
        <v>AfricaChillies and peppers, green</v>
      </c>
      <c r="F39" s="2994">
        <v>6.5449000000000002</v>
      </c>
      <c r="G39" s="2994">
        <v>6.5799000000000003</v>
      </c>
      <c r="H39" s="2994">
        <v>6.6391</v>
      </c>
      <c r="I39" s="2994">
        <v>6.5275999999999996</v>
      </c>
      <c r="J39" s="2994">
        <v>6.6260000000000003</v>
      </c>
      <c r="K39" s="2994">
        <v>6.6973000000000003</v>
      </c>
      <c r="L39" s="2994">
        <v>6.6967999999999996</v>
      </c>
      <c r="M39" s="2994">
        <v>6.7435999999999998</v>
      </c>
      <c r="N39" s="2994">
        <v>6.9999000000000002</v>
      </c>
      <c r="O39" s="2994">
        <v>7.1646000000000001</v>
      </c>
      <c r="P39" s="2994">
        <v>7.1871999999999998</v>
      </c>
      <c r="Q39" s="2994">
        <v>6.2140000000000004</v>
      </c>
      <c r="R39" s="2994">
        <v>6.3967000000000001</v>
      </c>
      <c r="S39" s="2994">
        <v>6.5166000000000004</v>
      </c>
      <c r="T39" s="2994">
        <v>6.8724999999999996</v>
      </c>
      <c r="U39" s="2994">
        <v>7.0305</v>
      </c>
      <c r="V39" s="2994">
        <v>7.4032999999999998</v>
      </c>
      <c r="W39" s="2994">
        <v>7.6161000000000003</v>
      </c>
      <c r="X39" s="2994">
        <v>7.6067999999999998</v>
      </c>
      <c r="Y39" s="2994">
        <v>7.2984999999999998</v>
      </c>
      <c r="Z39" s="2994">
        <v>7.2580999999999998</v>
      </c>
      <c r="AA39" s="2994">
        <v>6.9862000000000002</v>
      </c>
      <c r="AB39" s="2994">
        <v>7.2950999999999997</v>
      </c>
      <c r="AC39" s="2994">
        <v>7.5895999999999999</v>
      </c>
      <c r="AD39" s="2994">
        <v>7.9786000000000001</v>
      </c>
      <c r="AE39" s="2994">
        <v>7.6867999999999999</v>
      </c>
      <c r="AF39" s="2994">
        <v>7.7939999999999996</v>
      </c>
      <c r="AG39" s="2994">
        <v>7.8765000000000001</v>
      </c>
      <c r="AH39" s="2994">
        <v>7.6467999999999998</v>
      </c>
      <c r="AI39" s="2994">
        <v>7.5816999999999997</v>
      </c>
      <c r="AJ39" s="2994">
        <v>7.8460999999999999</v>
      </c>
      <c r="AK39" s="2994">
        <v>7.8917999999999999</v>
      </c>
      <c r="AL39" s="2994">
        <v>6.2184999999999997</v>
      </c>
      <c r="AM39" s="2994">
        <v>6.1558999999999999</v>
      </c>
      <c r="AN39" s="2994">
        <v>5.9352999999999998</v>
      </c>
      <c r="AO39" s="2994">
        <v>6.2850999999999999</v>
      </c>
      <c r="AP39" s="2994">
        <v>6.5011999999999999</v>
      </c>
      <c r="AQ39" s="2994">
        <v>6.4149000000000003</v>
      </c>
      <c r="AR39" s="2994">
        <v>6.2953000000000001</v>
      </c>
      <c r="AS39" s="2994">
        <v>5.7004999999999999</v>
      </c>
      <c r="AT39" s="2994">
        <v>5.8133999999999997</v>
      </c>
      <c r="AU39" s="2994">
        <v>6.1440000000000001</v>
      </c>
      <c r="AV39" s="2994">
        <v>6.8197999999999999</v>
      </c>
      <c r="AW39" s="2994">
        <v>8.1237999999999992</v>
      </c>
      <c r="AX39" s="2994">
        <v>7.4621000000000004</v>
      </c>
      <c r="AY39" s="2994">
        <v>8.1489999999999991</v>
      </c>
      <c r="AZ39" s="2994">
        <v>8.3604000000000003</v>
      </c>
      <c r="BA39" s="2994">
        <v>8.1453000000000007</v>
      </c>
      <c r="BB39" s="2994">
        <v>9.0510000000000002</v>
      </c>
      <c r="BC39" s="2994">
        <v>8.7265999999999995</v>
      </c>
      <c r="BD39" s="3471">
        <v>7.8667999999999996</v>
      </c>
      <c r="BE39" s="3471">
        <v>7.9298000000000002</v>
      </c>
      <c r="BF39" s="3471">
        <v>0</v>
      </c>
    </row>
    <row r="40" spans="1:58">
      <c r="A40" s="1817" t="str">
        <f t="shared" si="0"/>
        <v>AfricaCinnamon (canella)</v>
      </c>
      <c r="B40" s="1818" t="s">
        <v>297</v>
      </c>
      <c r="C40" s="1818" t="s">
        <v>7311</v>
      </c>
      <c r="D40" s="3463" t="str">
        <f>VLOOKUP(B40,List_Yield!$G$4:$J$14,4,FALSE)</f>
        <v>Africa</v>
      </c>
      <c r="E40" s="3463" t="str">
        <f t="shared" si="1"/>
        <v>AfricaCinnamon (canella)</v>
      </c>
      <c r="F40" s="2994">
        <v>0.1676</v>
      </c>
      <c r="G40" s="2994">
        <v>0.1605</v>
      </c>
      <c r="H40" s="2994">
        <v>0.18890000000000001</v>
      </c>
      <c r="I40" s="2994">
        <v>0.19919999999999999</v>
      </c>
      <c r="J40" s="2994">
        <v>0.19689999999999999</v>
      </c>
      <c r="K40" s="2994">
        <v>0.20899999999999999</v>
      </c>
      <c r="L40" s="2994">
        <v>0.2036</v>
      </c>
      <c r="M40" s="2994">
        <v>0.21210000000000001</v>
      </c>
      <c r="N40" s="2994">
        <v>0.36820000000000003</v>
      </c>
      <c r="O40" s="2994">
        <v>0.26279999999999998</v>
      </c>
      <c r="P40" s="2994">
        <v>0.28539999999999999</v>
      </c>
      <c r="Q40" s="2994">
        <v>0.24260000000000001</v>
      </c>
      <c r="R40" s="2994">
        <v>0.24690000000000001</v>
      </c>
      <c r="S40" s="2994">
        <v>0.25640000000000002</v>
      </c>
      <c r="T40" s="2994">
        <v>0.19989999999999999</v>
      </c>
      <c r="U40" s="2994">
        <v>0.2009</v>
      </c>
      <c r="V40" s="2994">
        <v>0.2104</v>
      </c>
      <c r="W40" s="2994">
        <v>0.2218</v>
      </c>
      <c r="X40" s="2994">
        <v>0.45760000000000001</v>
      </c>
      <c r="Y40" s="2994">
        <v>0.34570000000000001</v>
      </c>
      <c r="Z40" s="2994">
        <v>0.4103</v>
      </c>
      <c r="AA40" s="2994">
        <v>0.32419999999999999</v>
      </c>
      <c r="AB40" s="2994">
        <v>0.31890000000000002</v>
      </c>
      <c r="AC40" s="2994">
        <v>0.5121</v>
      </c>
      <c r="AD40" s="2994">
        <v>0.34089999999999998</v>
      </c>
      <c r="AE40" s="2994">
        <v>0.371</v>
      </c>
      <c r="AF40" s="2994">
        <v>0.62570000000000003</v>
      </c>
      <c r="AG40" s="2994">
        <v>1.0734999999999999</v>
      </c>
      <c r="AH40" s="2994">
        <v>1.26</v>
      </c>
      <c r="AI40" s="2994">
        <v>1.0036</v>
      </c>
      <c r="AJ40" s="2994">
        <v>0.76649999999999996</v>
      </c>
      <c r="AK40" s="2994">
        <v>0.88349999999999995</v>
      </c>
      <c r="AL40" s="2994">
        <v>0.92959999999999998</v>
      </c>
      <c r="AM40" s="2994">
        <v>0.64480000000000004</v>
      </c>
      <c r="AN40" s="2994">
        <v>0.53410000000000002</v>
      </c>
      <c r="AO40" s="2994">
        <v>0.50260000000000005</v>
      </c>
      <c r="AP40" s="2994">
        <v>0.51559999999999995</v>
      </c>
      <c r="AQ40" s="2994">
        <v>0.52700000000000002</v>
      </c>
      <c r="AR40" s="2994">
        <v>0.52370000000000005</v>
      </c>
      <c r="AS40" s="2994">
        <v>0.48420000000000002</v>
      </c>
      <c r="AT40" s="2994">
        <v>0.49059999999999998</v>
      </c>
      <c r="AU40" s="2994">
        <v>0.4662</v>
      </c>
      <c r="AV40" s="2994">
        <v>0.51349999999999996</v>
      </c>
      <c r="AW40" s="2994">
        <v>0.58340000000000003</v>
      </c>
      <c r="AX40" s="2994">
        <v>0.58289999999999997</v>
      </c>
      <c r="AY40" s="2994">
        <v>0.63219999999999998</v>
      </c>
      <c r="AZ40" s="2994">
        <v>0.88090000000000002</v>
      </c>
      <c r="BA40" s="2994">
        <v>0.65100000000000002</v>
      </c>
      <c r="BB40" s="2994">
        <v>0.88129999999999997</v>
      </c>
      <c r="BC40" s="2994">
        <v>1.1409</v>
      </c>
      <c r="BD40" s="3471">
        <v>1.0385</v>
      </c>
      <c r="BE40" s="3471">
        <v>1.1234</v>
      </c>
      <c r="BF40" s="3471">
        <v>0</v>
      </c>
    </row>
    <row r="41" spans="1:58">
      <c r="A41" s="1817" t="str">
        <f t="shared" si="0"/>
        <v>AfricaCloves</v>
      </c>
      <c r="B41" s="1818" t="s">
        <v>297</v>
      </c>
      <c r="C41" s="1818" t="s">
        <v>7312</v>
      </c>
      <c r="D41" s="3463" t="str">
        <f>VLOOKUP(B41,List_Yield!$G$4:$J$14,4,FALSE)</f>
        <v>Africa</v>
      </c>
      <c r="E41" s="3463" t="str">
        <f t="shared" si="1"/>
        <v>AfricaCloves</v>
      </c>
      <c r="F41" s="2994">
        <v>0.34279999999999999</v>
      </c>
      <c r="G41" s="2994">
        <v>0.23319999999999999</v>
      </c>
      <c r="H41" s="2994">
        <v>0.29170000000000001</v>
      </c>
      <c r="I41" s="2994">
        <v>0.26169999999999999</v>
      </c>
      <c r="J41" s="2994">
        <v>0.28899999999999998</v>
      </c>
      <c r="K41" s="2994">
        <v>0.26240000000000002</v>
      </c>
      <c r="L41" s="2994">
        <v>0.43120000000000003</v>
      </c>
      <c r="M41" s="2994">
        <v>0.26190000000000002</v>
      </c>
      <c r="N41" s="2994">
        <v>0.2545</v>
      </c>
      <c r="O41" s="2994">
        <v>0.39610000000000001</v>
      </c>
      <c r="P41" s="2994">
        <v>0.27650000000000002</v>
      </c>
      <c r="Q41" s="2994">
        <v>0.25</v>
      </c>
      <c r="R41" s="2994">
        <v>0.215</v>
      </c>
      <c r="S41" s="2994">
        <v>0.50749999999999995</v>
      </c>
      <c r="T41" s="2994">
        <v>0.22889999999999999</v>
      </c>
      <c r="U41" s="2994">
        <v>0.31009999999999999</v>
      </c>
      <c r="V41" s="2994">
        <v>0.2545</v>
      </c>
      <c r="W41" s="2994">
        <v>0.20039999999999999</v>
      </c>
      <c r="X41" s="2994">
        <v>0.16309999999999999</v>
      </c>
      <c r="Y41" s="2994">
        <v>0.20569999999999999</v>
      </c>
      <c r="Z41" s="2994">
        <v>0.17899999999999999</v>
      </c>
      <c r="AA41" s="2994">
        <v>0.15579999999999999</v>
      </c>
      <c r="AB41" s="2994">
        <v>0.1222</v>
      </c>
      <c r="AC41" s="2994">
        <v>0.27900000000000003</v>
      </c>
      <c r="AD41" s="2994">
        <v>0.18579999999999999</v>
      </c>
      <c r="AE41" s="2994">
        <v>0.16850000000000001</v>
      </c>
      <c r="AF41" s="2994">
        <v>0.1079</v>
      </c>
      <c r="AG41" s="2994">
        <v>0.21540000000000001</v>
      </c>
      <c r="AH41" s="2994">
        <v>0.1241</v>
      </c>
      <c r="AI41" s="2994">
        <v>0.1371</v>
      </c>
      <c r="AJ41" s="2994">
        <v>0.26900000000000002</v>
      </c>
      <c r="AK41" s="2994">
        <v>0.15049999999999999</v>
      </c>
      <c r="AL41" s="2994">
        <v>0.21290000000000001</v>
      </c>
      <c r="AM41" s="2994">
        <v>0.21590000000000001</v>
      </c>
      <c r="AN41" s="2994">
        <v>0.18279999999999999</v>
      </c>
      <c r="AO41" s="2994">
        <v>0.24610000000000001</v>
      </c>
      <c r="AP41" s="2994">
        <v>0.1993</v>
      </c>
      <c r="AQ41" s="2994">
        <v>0.22309999999999999</v>
      </c>
      <c r="AR41" s="2994">
        <v>0.2258</v>
      </c>
      <c r="AS41" s="2994">
        <v>0.23050000000000001</v>
      </c>
      <c r="AT41" s="2994">
        <v>0.23419999999999999</v>
      </c>
      <c r="AU41" s="2994">
        <v>0.2382</v>
      </c>
      <c r="AV41" s="2994">
        <v>0.31</v>
      </c>
      <c r="AW41" s="2994">
        <v>0.30259999999999998</v>
      </c>
      <c r="AX41" s="2994">
        <v>0.36509999999999998</v>
      </c>
      <c r="AY41" s="2994">
        <v>0.38869999999999999</v>
      </c>
      <c r="AZ41" s="2994">
        <v>0.38800000000000001</v>
      </c>
      <c r="BA41" s="2994">
        <v>0.39610000000000001</v>
      </c>
      <c r="BB41" s="2994">
        <v>0.41489999999999999</v>
      </c>
      <c r="BC41" s="2994">
        <v>0.43230000000000002</v>
      </c>
      <c r="BD41" s="3471">
        <v>0.34010000000000001</v>
      </c>
      <c r="BE41" s="3471">
        <v>0.34749999999999998</v>
      </c>
      <c r="BF41" s="3471">
        <v>0</v>
      </c>
    </row>
    <row r="42" spans="1:58">
      <c r="A42" s="1817" t="str">
        <f t="shared" si="0"/>
        <v>AfricaCocoa, beans</v>
      </c>
      <c r="B42" s="1818" t="s">
        <v>297</v>
      </c>
      <c r="C42" s="1818" t="s">
        <v>7313</v>
      </c>
      <c r="D42" s="3463" t="str">
        <f>VLOOKUP(B42,List_Yield!$G$4:$J$14,4,FALSE)</f>
        <v>Africa</v>
      </c>
      <c r="E42" s="3463" t="str">
        <f t="shared" si="1"/>
        <v>AfricaCocoa, beans</v>
      </c>
      <c r="F42" s="2994">
        <v>0.25369999999999998</v>
      </c>
      <c r="G42" s="2994">
        <v>0.2581</v>
      </c>
      <c r="H42" s="2994">
        <v>0.27189999999999998</v>
      </c>
      <c r="I42" s="2994">
        <v>0.34549999999999997</v>
      </c>
      <c r="J42" s="2994">
        <v>0.25380000000000003</v>
      </c>
      <c r="K42" s="2994">
        <v>0.3216</v>
      </c>
      <c r="L42" s="2994">
        <v>0.31540000000000001</v>
      </c>
      <c r="M42" s="2994">
        <v>0.28589999999999999</v>
      </c>
      <c r="N42" s="2994">
        <v>0.31900000000000001</v>
      </c>
      <c r="O42" s="2994">
        <v>0.35049999999999998</v>
      </c>
      <c r="P42" s="2994">
        <v>0.3599</v>
      </c>
      <c r="Q42" s="2994">
        <v>0.32890000000000003</v>
      </c>
      <c r="R42" s="2994">
        <v>0.30320000000000003</v>
      </c>
      <c r="S42" s="2994">
        <v>0.32550000000000001</v>
      </c>
      <c r="T42" s="2994">
        <v>0.3155</v>
      </c>
      <c r="U42" s="2994">
        <v>0.27679999999999999</v>
      </c>
      <c r="V42" s="2994">
        <v>0.28689999999999999</v>
      </c>
      <c r="W42" s="2994">
        <v>0.27460000000000001</v>
      </c>
      <c r="X42" s="2994">
        <v>0.30170000000000002</v>
      </c>
      <c r="Y42" s="2994">
        <v>0.2989</v>
      </c>
      <c r="Z42" s="2994">
        <v>0.30480000000000002</v>
      </c>
      <c r="AA42" s="2994">
        <v>0.2742</v>
      </c>
      <c r="AB42" s="2994">
        <v>0.28310000000000002</v>
      </c>
      <c r="AC42" s="2994">
        <v>0.33310000000000001</v>
      </c>
      <c r="AD42" s="2994">
        <v>0.32029999999999997</v>
      </c>
      <c r="AE42" s="2994">
        <v>0.33739999999999998</v>
      </c>
      <c r="AF42" s="2994">
        <v>0.35339999999999999</v>
      </c>
      <c r="AG42" s="2994">
        <v>0.41449999999999998</v>
      </c>
      <c r="AH42" s="2994">
        <v>0.437</v>
      </c>
      <c r="AI42" s="2994">
        <v>0.42149999999999999</v>
      </c>
      <c r="AJ42" s="2994">
        <v>0.41560000000000002</v>
      </c>
      <c r="AK42" s="2994">
        <v>0.45</v>
      </c>
      <c r="AL42" s="2994">
        <v>0.43940000000000001</v>
      </c>
      <c r="AM42" s="2994">
        <v>0.45100000000000001</v>
      </c>
      <c r="AN42" s="2994">
        <v>0.45069999999999999</v>
      </c>
      <c r="AO42" s="2994">
        <v>0.52380000000000004</v>
      </c>
      <c r="AP42" s="2994">
        <v>0.4662</v>
      </c>
      <c r="AQ42" s="2994">
        <v>0.48039999999999999</v>
      </c>
      <c r="AR42" s="2994">
        <v>0.44040000000000001</v>
      </c>
      <c r="AS42" s="2994">
        <v>0.46439999999999998</v>
      </c>
      <c r="AT42" s="2994">
        <v>0.4541</v>
      </c>
      <c r="AU42" s="2994">
        <v>0.46410000000000001</v>
      </c>
      <c r="AV42" s="2994">
        <v>0.47510000000000002</v>
      </c>
      <c r="AW42" s="2994">
        <v>0.48130000000000001</v>
      </c>
      <c r="AX42" s="2994">
        <v>0.46929999999999999</v>
      </c>
      <c r="AY42" s="2994">
        <v>0.49270000000000003</v>
      </c>
      <c r="AZ42" s="2994">
        <v>0.42330000000000001</v>
      </c>
      <c r="BA42" s="2994">
        <v>0.44259999999999999</v>
      </c>
      <c r="BB42" s="2994">
        <v>0.4461</v>
      </c>
      <c r="BC42" s="2994">
        <v>0.45910000000000001</v>
      </c>
      <c r="BD42" s="3471">
        <v>0.4874</v>
      </c>
      <c r="BE42" s="3471">
        <v>0.51900000000000002</v>
      </c>
      <c r="BF42" s="3471">
        <v>0</v>
      </c>
    </row>
    <row r="43" spans="1:58">
      <c r="A43" s="1817" t="str">
        <f t="shared" si="0"/>
        <v>AfricaCoconuts</v>
      </c>
      <c r="B43" s="1818" t="s">
        <v>297</v>
      </c>
      <c r="C43" s="1818" t="s">
        <v>7314</v>
      </c>
      <c r="D43" s="3463" t="str">
        <f>VLOOKUP(B43,List_Yield!$G$4:$J$14,4,FALSE)</f>
        <v>Africa</v>
      </c>
      <c r="E43" s="3463" t="str">
        <f t="shared" si="1"/>
        <v>AfricaCoconuts</v>
      </c>
      <c r="F43" s="2994">
        <v>3.1939000000000002</v>
      </c>
      <c r="G43" s="2994">
        <v>3.0518000000000001</v>
      </c>
      <c r="H43" s="2994">
        <v>3.0901000000000001</v>
      </c>
      <c r="I43" s="2994">
        <v>3.056</v>
      </c>
      <c r="J43" s="2994">
        <v>2.8041</v>
      </c>
      <c r="K43" s="2994">
        <v>2.7942</v>
      </c>
      <c r="L43" s="2994">
        <v>3.0828000000000002</v>
      </c>
      <c r="M43" s="2994">
        <v>3.0630000000000002</v>
      </c>
      <c r="N43" s="2994">
        <v>2.7690000000000001</v>
      </c>
      <c r="O43" s="2994">
        <v>3.0882000000000001</v>
      </c>
      <c r="P43" s="2994">
        <v>3.0135000000000001</v>
      </c>
      <c r="Q43" s="2994">
        <v>2.8999000000000001</v>
      </c>
      <c r="R43" s="2994">
        <v>2.9765999999999999</v>
      </c>
      <c r="S43" s="2994">
        <v>2.9805999999999999</v>
      </c>
      <c r="T43" s="2994">
        <v>2.8820000000000001</v>
      </c>
      <c r="U43" s="2994">
        <v>2.8506999999999998</v>
      </c>
      <c r="V43" s="2994">
        <v>2.7664</v>
      </c>
      <c r="W43" s="2994">
        <v>2.8967999999999998</v>
      </c>
      <c r="X43" s="2994">
        <v>2.9704999999999999</v>
      </c>
      <c r="Y43" s="2994">
        <v>2.9346999999999999</v>
      </c>
      <c r="Z43" s="2994">
        <v>3.1442999999999999</v>
      </c>
      <c r="AA43" s="2994">
        <v>3.0194000000000001</v>
      </c>
      <c r="AB43" s="2994">
        <v>3.0449000000000002</v>
      </c>
      <c r="AC43" s="2994">
        <v>2.9847000000000001</v>
      </c>
      <c r="AD43" s="2994">
        <v>3.0137</v>
      </c>
      <c r="AE43" s="2994">
        <v>3.0215000000000001</v>
      </c>
      <c r="AF43" s="2994">
        <v>2.9003000000000001</v>
      </c>
      <c r="AG43" s="2994">
        <v>2.8342999999999998</v>
      </c>
      <c r="AH43" s="2994">
        <v>2.7964000000000002</v>
      </c>
      <c r="AI43" s="2994">
        <v>3.1267999999999998</v>
      </c>
      <c r="AJ43" s="2994">
        <v>3.0831</v>
      </c>
      <c r="AK43" s="2994">
        <v>3.1259999999999999</v>
      </c>
      <c r="AL43" s="2994">
        <v>2.9809999999999999</v>
      </c>
      <c r="AM43" s="2994">
        <v>2.8241999999999998</v>
      </c>
      <c r="AN43" s="2994">
        <v>2.8969999999999998</v>
      </c>
      <c r="AO43" s="2994">
        <v>2.5912999999999999</v>
      </c>
      <c r="AP43" s="2994">
        <v>2.5175999999999998</v>
      </c>
      <c r="AQ43" s="2994">
        <v>2.4769000000000001</v>
      </c>
      <c r="AR43" s="2994">
        <v>2.2688000000000001</v>
      </c>
      <c r="AS43" s="2994">
        <v>2.2486999999999999</v>
      </c>
      <c r="AT43" s="2994">
        <v>2.0951</v>
      </c>
      <c r="AU43" s="2994">
        <v>2.0438999999999998</v>
      </c>
      <c r="AV43" s="2994">
        <v>2.0087999999999999</v>
      </c>
      <c r="AW43" s="2994">
        <v>2.0390000000000001</v>
      </c>
      <c r="AX43" s="2994">
        <v>2.0083000000000002</v>
      </c>
      <c r="AY43" s="2994">
        <v>1.8736999999999999</v>
      </c>
      <c r="AZ43" s="2994">
        <v>1.8341000000000001</v>
      </c>
      <c r="BA43" s="2994">
        <v>1.8384</v>
      </c>
      <c r="BB43" s="2994">
        <v>1.7855000000000001</v>
      </c>
      <c r="BC43" s="2994">
        <v>1.7048000000000001</v>
      </c>
      <c r="BD43" s="3471">
        <v>1.6803999999999999</v>
      </c>
      <c r="BE43" s="3471">
        <v>1.7276</v>
      </c>
      <c r="BF43" s="3471">
        <v>1.7371000000000001</v>
      </c>
    </row>
    <row r="44" spans="1:58">
      <c r="A44" s="1817" t="str">
        <f t="shared" si="0"/>
        <v>AfricaCoffee, green</v>
      </c>
      <c r="B44" s="1818" t="s">
        <v>297</v>
      </c>
      <c r="C44" s="1818" t="s">
        <v>1347</v>
      </c>
      <c r="D44" s="3463" t="str">
        <f>VLOOKUP(B44,List_Yield!$G$4:$J$14,4,FALSE)</f>
        <v>Africa</v>
      </c>
      <c r="E44" s="3463" t="str">
        <f t="shared" si="1"/>
        <v>AfricaCoffee, green</v>
      </c>
      <c r="F44" s="2994">
        <v>0.40310000000000001</v>
      </c>
      <c r="G44" s="2994">
        <v>0.33960000000000001</v>
      </c>
      <c r="H44" s="2994">
        <v>0.36630000000000001</v>
      </c>
      <c r="I44" s="2994">
        <v>0.41560000000000002</v>
      </c>
      <c r="J44" s="2994">
        <v>0.37269999999999998</v>
      </c>
      <c r="K44" s="2994">
        <v>0.39879999999999999</v>
      </c>
      <c r="L44" s="2994">
        <v>0.35260000000000002</v>
      </c>
      <c r="M44" s="2994">
        <v>0.3962</v>
      </c>
      <c r="N44" s="2994">
        <v>0.41239999999999999</v>
      </c>
      <c r="O44" s="2994">
        <v>0.42370000000000002</v>
      </c>
      <c r="P44" s="2994">
        <v>0.40239999999999998</v>
      </c>
      <c r="Q44" s="2994">
        <v>0.41489999999999999</v>
      </c>
      <c r="R44" s="2994">
        <v>0.42559999999999998</v>
      </c>
      <c r="S44" s="2994">
        <v>0.38800000000000001</v>
      </c>
      <c r="T44" s="2994">
        <v>0.41689999999999999</v>
      </c>
      <c r="U44" s="2994">
        <v>0.38240000000000002</v>
      </c>
      <c r="V44" s="2994">
        <v>0.39400000000000002</v>
      </c>
      <c r="W44" s="2994">
        <v>0.33839999999999998</v>
      </c>
      <c r="X44" s="2994">
        <v>0.34889999999999999</v>
      </c>
      <c r="Y44" s="2994">
        <v>0.36159999999999998</v>
      </c>
      <c r="Z44" s="2994">
        <v>0.39560000000000001</v>
      </c>
      <c r="AA44" s="2994">
        <v>0.3619</v>
      </c>
      <c r="AB44" s="2994">
        <v>0.34370000000000001</v>
      </c>
      <c r="AC44" s="2994">
        <v>0.3291</v>
      </c>
      <c r="AD44" s="2994">
        <v>0.37419999999999998</v>
      </c>
      <c r="AE44" s="2994">
        <v>0.40649999999999997</v>
      </c>
      <c r="AF44" s="2994">
        <v>0.40210000000000001</v>
      </c>
      <c r="AG44" s="2994">
        <v>0.38850000000000001</v>
      </c>
      <c r="AH44" s="2994">
        <v>0.41120000000000001</v>
      </c>
      <c r="AI44" s="2994">
        <v>0.3866</v>
      </c>
      <c r="AJ44" s="2994">
        <v>0.40060000000000001</v>
      </c>
      <c r="AK44" s="2994">
        <v>0.41539999999999999</v>
      </c>
      <c r="AL44" s="2994">
        <v>0.37380000000000002</v>
      </c>
      <c r="AM44" s="2994">
        <v>0.43059999999999998</v>
      </c>
      <c r="AN44" s="2994">
        <v>0.4178</v>
      </c>
      <c r="AO44" s="2994">
        <v>0.48060000000000003</v>
      </c>
      <c r="AP44" s="2994">
        <v>0.45669999999999999</v>
      </c>
      <c r="AQ44" s="2994">
        <v>0.47510000000000002</v>
      </c>
      <c r="AR44" s="2994">
        <v>0.50160000000000005</v>
      </c>
      <c r="AS44" s="2994">
        <v>0.49309999999999998</v>
      </c>
      <c r="AT44" s="2994">
        <v>0.48399999999999999</v>
      </c>
      <c r="AU44" s="2994">
        <v>0.50870000000000004</v>
      </c>
      <c r="AV44" s="2994">
        <v>0.4289</v>
      </c>
      <c r="AW44" s="2994">
        <v>0.38579999999999998</v>
      </c>
      <c r="AX44" s="2994">
        <v>0.42659999999999998</v>
      </c>
      <c r="AY44" s="2994">
        <v>0.4098</v>
      </c>
      <c r="AZ44" s="2994">
        <v>0.41199999999999998</v>
      </c>
      <c r="BA44" s="2994">
        <v>0.41880000000000001</v>
      </c>
      <c r="BB44" s="2994">
        <v>0.42549999999999999</v>
      </c>
      <c r="BC44" s="2994">
        <v>0.47199999999999998</v>
      </c>
      <c r="BD44" s="3471">
        <v>0.54120000000000001</v>
      </c>
      <c r="BE44" s="3471">
        <v>0.50239999999999996</v>
      </c>
      <c r="BF44" s="3471">
        <v>0</v>
      </c>
    </row>
    <row r="45" spans="1:58">
      <c r="A45" s="1817" t="str">
        <f t="shared" si="0"/>
        <v>AfricaCoir</v>
      </c>
      <c r="B45" s="1818" t="s">
        <v>297</v>
      </c>
      <c r="C45" s="1818" t="s">
        <v>7315</v>
      </c>
      <c r="D45" s="3463" t="str">
        <f>VLOOKUP(B45,List_Yield!$G$4:$J$14,4,FALSE)</f>
        <v>Africa</v>
      </c>
      <c r="E45" s="3463" t="str">
        <f t="shared" si="1"/>
        <v>AfricaCoir</v>
      </c>
      <c r="F45" s="2994">
        <v>0</v>
      </c>
      <c r="G45" s="2994">
        <v>0</v>
      </c>
      <c r="H45" s="2994">
        <v>0</v>
      </c>
      <c r="I45" s="2994">
        <v>0</v>
      </c>
      <c r="J45" s="2994">
        <v>0</v>
      </c>
      <c r="K45" s="2994">
        <v>0</v>
      </c>
      <c r="L45" s="2994">
        <v>0</v>
      </c>
      <c r="M45" s="2994">
        <v>0</v>
      </c>
      <c r="N45" s="2994">
        <v>0</v>
      </c>
      <c r="O45" s="2994">
        <v>0</v>
      </c>
      <c r="P45" s="2994">
        <v>0</v>
      </c>
      <c r="Q45" s="2994">
        <v>0</v>
      </c>
      <c r="R45" s="2994">
        <v>0</v>
      </c>
      <c r="S45" s="2994">
        <v>0</v>
      </c>
      <c r="T45" s="2994">
        <v>0</v>
      </c>
      <c r="U45" s="2994">
        <v>0</v>
      </c>
      <c r="V45" s="2994">
        <v>0</v>
      </c>
      <c r="W45" s="2994">
        <v>0</v>
      </c>
      <c r="X45" s="2994">
        <v>0</v>
      </c>
      <c r="Y45" s="2994">
        <v>0</v>
      </c>
      <c r="Z45" s="2994">
        <v>0</v>
      </c>
      <c r="AA45" s="2994">
        <v>0</v>
      </c>
      <c r="AB45" s="2994">
        <v>0</v>
      </c>
      <c r="AC45" s="2994">
        <v>0</v>
      </c>
      <c r="AD45" s="2994">
        <v>0</v>
      </c>
      <c r="AE45" s="2994">
        <v>0</v>
      </c>
      <c r="AF45" s="2994">
        <v>0</v>
      </c>
      <c r="AG45" s="2994">
        <v>0</v>
      </c>
      <c r="AH45" s="2994">
        <v>0</v>
      </c>
      <c r="AI45" s="2994">
        <v>0</v>
      </c>
      <c r="AJ45" s="2994">
        <v>0</v>
      </c>
      <c r="AK45" s="2994">
        <v>0</v>
      </c>
      <c r="AL45" s="2994">
        <v>0</v>
      </c>
      <c r="AM45" s="2994">
        <v>0</v>
      </c>
      <c r="AN45" s="2994">
        <v>0</v>
      </c>
      <c r="AO45" s="2994">
        <v>0</v>
      </c>
      <c r="AP45" s="2994">
        <v>0</v>
      </c>
      <c r="AQ45" s="2994">
        <v>0</v>
      </c>
      <c r="AR45" s="2994">
        <v>0</v>
      </c>
      <c r="AS45" s="2994">
        <v>0</v>
      </c>
      <c r="AT45" s="2994">
        <v>0</v>
      </c>
      <c r="AU45" s="2994">
        <v>0</v>
      </c>
      <c r="AV45" s="2994">
        <v>0</v>
      </c>
      <c r="AW45" s="2994">
        <v>0</v>
      </c>
      <c r="AX45" s="2994">
        <v>0</v>
      </c>
      <c r="AY45" s="2994">
        <v>0</v>
      </c>
      <c r="AZ45" s="2994">
        <v>0</v>
      </c>
      <c r="BA45" s="2994">
        <v>0</v>
      </c>
      <c r="BB45" s="2994">
        <v>0</v>
      </c>
      <c r="BC45" s="2994">
        <v>0</v>
      </c>
      <c r="BD45" s="3471">
        <v>0</v>
      </c>
      <c r="BE45" s="3471">
        <v>0</v>
      </c>
      <c r="BF45" s="3471">
        <v>0</v>
      </c>
    </row>
    <row r="46" spans="1:58">
      <c r="A46" s="1817" t="str">
        <f t="shared" si="0"/>
        <v>AfricaCow peas, dry</v>
      </c>
      <c r="B46" s="1818" t="s">
        <v>297</v>
      </c>
      <c r="C46" s="1818" t="s">
        <v>1329</v>
      </c>
      <c r="D46" s="3463" t="str">
        <f>VLOOKUP(B46,List_Yield!$G$4:$J$14,4,FALSE)</f>
        <v>Africa</v>
      </c>
      <c r="E46" s="3463" t="str">
        <f t="shared" si="1"/>
        <v>AfricaCow peas, dry</v>
      </c>
      <c r="F46" s="2994">
        <v>0.32790000000000002</v>
      </c>
      <c r="G46" s="2994">
        <v>0.33</v>
      </c>
      <c r="H46" s="2994">
        <v>0.25480000000000003</v>
      </c>
      <c r="I46" s="2994">
        <v>0.26640000000000003</v>
      </c>
      <c r="J46" s="2994">
        <v>0.2571</v>
      </c>
      <c r="K46" s="2994">
        <v>0.2112</v>
      </c>
      <c r="L46" s="2994">
        <v>0.17879999999999999</v>
      </c>
      <c r="M46" s="2994">
        <v>0.21709999999999999</v>
      </c>
      <c r="N46" s="2994">
        <v>0.23380000000000001</v>
      </c>
      <c r="O46" s="2994">
        <v>0.2329</v>
      </c>
      <c r="P46" s="2994">
        <v>0.2157</v>
      </c>
      <c r="Q46" s="2994">
        <v>0.2109</v>
      </c>
      <c r="R46" s="2994">
        <v>0.1928</v>
      </c>
      <c r="S46" s="2994">
        <v>0.34489999999999998</v>
      </c>
      <c r="T46" s="2994">
        <v>0.30759999999999998</v>
      </c>
      <c r="U46" s="2994">
        <v>0.28499999999999998</v>
      </c>
      <c r="V46" s="2994">
        <v>0.30409999999999998</v>
      </c>
      <c r="W46" s="2994">
        <v>0.3488</v>
      </c>
      <c r="X46" s="2994">
        <v>0.39979999999999999</v>
      </c>
      <c r="Y46" s="2994">
        <v>0.32979999999999998</v>
      </c>
      <c r="Z46" s="2994">
        <v>0.37090000000000001</v>
      </c>
      <c r="AA46" s="2994">
        <v>0.32829999999999998</v>
      </c>
      <c r="AB46" s="2994">
        <v>0.33439999999999998</v>
      </c>
      <c r="AC46" s="2994">
        <v>0.29730000000000001</v>
      </c>
      <c r="AD46" s="2994">
        <v>0.29530000000000001</v>
      </c>
      <c r="AE46" s="2994">
        <v>0.3503</v>
      </c>
      <c r="AF46" s="2994">
        <v>0.31109999999999999</v>
      </c>
      <c r="AG46" s="2994">
        <v>0.36649999999999999</v>
      </c>
      <c r="AH46" s="2994">
        <v>0.4113</v>
      </c>
      <c r="AI46" s="2994">
        <v>0.37069999999999997</v>
      </c>
      <c r="AJ46" s="2994">
        <v>0.4012</v>
      </c>
      <c r="AK46" s="2994">
        <v>0.29970000000000002</v>
      </c>
      <c r="AL46" s="2994">
        <v>0.29749999999999999</v>
      </c>
      <c r="AM46" s="2994">
        <v>0.37459999999999999</v>
      </c>
      <c r="AN46" s="2994">
        <v>0.307</v>
      </c>
      <c r="AO46" s="2994">
        <v>0.32940000000000003</v>
      </c>
      <c r="AP46" s="2994">
        <v>0.32040000000000002</v>
      </c>
      <c r="AQ46" s="2994">
        <v>0.35470000000000002</v>
      </c>
      <c r="AR46" s="2994">
        <v>0.3856</v>
      </c>
      <c r="AS46" s="2994">
        <v>0.42059999999999997</v>
      </c>
      <c r="AT46" s="2994">
        <v>0.40579999999999999</v>
      </c>
      <c r="AU46" s="2994">
        <v>0.40400000000000003</v>
      </c>
      <c r="AV46" s="2994">
        <v>0.40670000000000001</v>
      </c>
      <c r="AW46" s="2994">
        <v>0.4375</v>
      </c>
      <c r="AX46" s="2994">
        <v>0.44269999999999998</v>
      </c>
      <c r="AY46" s="2994">
        <v>0.44390000000000002</v>
      </c>
      <c r="AZ46" s="2994">
        <v>0.43859999999999999</v>
      </c>
      <c r="BA46" s="2994">
        <v>0.47639999999999999</v>
      </c>
      <c r="BB46" s="2994">
        <v>0.49299999999999999</v>
      </c>
      <c r="BC46" s="2994">
        <v>0.57799999999999996</v>
      </c>
      <c r="BD46" s="3471">
        <v>0.44879999999999998</v>
      </c>
      <c r="BE46" s="3471">
        <v>0.49590000000000001</v>
      </c>
      <c r="BF46" s="3471">
        <v>0.48949999999999999</v>
      </c>
    </row>
    <row r="47" spans="1:58">
      <c r="A47" s="1817" t="str">
        <f t="shared" si="0"/>
        <v>AfricaCranberries</v>
      </c>
      <c r="B47" s="1818" t="s">
        <v>297</v>
      </c>
      <c r="C47" s="1818" t="s">
        <v>7316</v>
      </c>
      <c r="D47" s="3463" t="str">
        <f>VLOOKUP(B47,List_Yield!$G$4:$J$14,4,FALSE)</f>
        <v>Africa</v>
      </c>
      <c r="E47" s="3463" t="str">
        <f t="shared" si="1"/>
        <v>AfricaCranberries</v>
      </c>
      <c r="F47" s="2994">
        <v>0</v>
      </c>
      <c r="G47" s="2994">
        <v>0</v>
      </c>
      <c r="H47" s="2994">
        <v>0</v>
      </c>
      <c r="I47" s="2994">
        <v>0</v>
      </c>
      <c r="J47" s="2994">
        <v>0</v>
      </c>
      <c r="K47" s="2994">
        <v>0</v>
      </c>
      <c r="L47" s="2994">
        <v>0</v>
      </c>
      <c r="M47" s="2994">
        <v>0</v>
      </c>
      <c r="N47" s="2994">
        <v>0</v>
      </c>
      <c r="O47" s="2994">
        <v>0</v>
      </c>
      <c r="P47" s="2994">
        <v>0</v>
      </c>
      <c r="Q47" s="2994">
        <v>0</v>
      </c>
      <c r="R47" s="2994">
        <v>0</v>
      </c>
      <c r="S47" s="2994">
        <v>0</v>
      </c>
      <c r="T47" s="2994">
        <v>0</v>
      </c>
      <c r="U47" s="2994">
        <v>0</v>
      </c>
      <c r="V47" s="2994">
        <v>0</v>
      </c>
      <c r="W47" s="2994">
        <v>0</v>
      </c>
      <c r="X47" s="2994">
        <v>0</v>
      </c>
      <c r="Y47" s="2994">
        <v>0</v>
      </c>
      <c r="Z47" s="2994">
        <v>0</v>
      </c>
      <c r="AA47" s="2994">
        <v>0</v>
      </c>
      <c r="AB47" s="2994">
        <v>0</v>
      </c>
      <c r="AC47" s="2994">
        <v>0</v>
      </c>
      <c r="AD47" s="2994">
        <v>0</v>
      </c>
      <c r="AE47" s="2994">
        <v>0</v>
      </c>
      <c r="AF47" s="2994">
        <v>0</v>
      </c>
      <c r="AG47" s="2994">
        <v>0</v>
      </c>
      <c r="AH47" s="2994">
        <v>6.25</v>
      </c>
      <c r="AI47" s="2994">
        <v>6.125</v>
      </c>
      <c r="AJ47" s="2994">
        <v>6.25</v>
      </c>
      <c r="AK47" s="2994">
        <v>6.375</v>
      </c>
      <c r="AL47" s="2994">
        <v>8.25</v>
      </c>
      <c r="AM47" s="2994">
        <v>7</v>
      </c>
      <c r="AN47" s="2994">
        <v>6.5</v>
      </c>
      <c r="AO47" s="2994">
        <v>7.125</v>
      </c>
      <c r="AP47" s="2994">
        <v>7.625</v>
      </c>
      <c r="AQ47" s="2994">
        <v>8.125</v>
      </c>
      <c r="AR47" s="2994">
        <v>8.5</v>
      </c>
      <c r="AS47" s="2994">
        <v>6.25</v>
      </c>
      <c r="AT47" s="2994">
        <v>6.25</v>
      </c>
      <c r="AU47" s="2994">
        <v>9</v>
      </c>
      <c r="AV47" s="2994">
        <v>8.875</v>
      </c>
      <c r="AW47" s="2994">
        <v>9.5</v>
      </c>
      <c r="AX47" s="2994">
        <v>6.7272999999999996</v>
      </c>
      <c r="AY47" s="2994">
        <v>10.25</v>
      </c>
      <c r="AZ47" s="2994">
        <v>9.625</v>
      </c>
      <c r="BA47" s="2994">
        <v>10.75</v>
      </c>
      <c r="BB47" s="2994">
        <v>10.5</v>
      </c>
      <c r="BC47" s="2994">
        <v>10.875</v>
      </c>
      <c r="BD47" s="3471">
        <v>11.75</v>
      </c>
      <c r="BE47" s="3471">
        <v>11.75</v>
      </c>
      <c r="BF47" s="3471">
        <v>0</v>
      </c>
    </row>
    <row r="48" spans="1:58">
      <c r="A48" s="1817" t="str">
        <f t="shared" si="0"/>
        <v>AfricaCucumbers and gherkins</v>
      </c>
      <c r="B48" s="1818" t="s">
        <v>297</v>
      </c>
      <c r="C48" s="1818" t="s">
        <v>7317</v>
      </c>
      <c r="D48" s="3463" t="str">
        <f>VLOOKUP(B48,List_Yield!$G$4:$J$14,4,FALSE)</f>
        <v>Africa</v>
      </c>
      <c r="E48" s="3463" t="str">
        <f t="shared" si="1"/>
        <v>AfricaCucumbers and gherkins</v>
      </c>
      <c r="F48" s="2994">
        <v>11.9641</v>
      </c>
      <c r="G48" s="2994">
        <v>12.339600000000001</v>
      </c>
      <c r="H48" s="2994">
        <v>12.524900000000001</v>
      </c>
      <c r="I48" s="2994">
        <v>12.2225</v>
      </c>
      <c r="J48" s="2994">
        <v>12.544700000000001</v>
      </c>
      <c r="K48" s="2994">
        <v>13.2073</v>
      </c>
      <c r="L48" s="2994">
        <v>13.074400000000001</v>
      </c>
      <c r="M48" s="2994">
        <v>12.577400000000001</v>
      </c>
      <c r="N48" s="2994">
        <v>13.1799</v>
      </c>
      <c r="O48" s="2994">
        <v>13.5273</v>
      </c>
      <c r="P48" s="2994">
        <v>14.006</v>
      </c>
      <c r="Q48" s="2994">
        <v>13.1881</v>
      </c>
      <c r="R48" s="2994">
        <v>13.1462</v>
      </c>
      <c r="S48" s="2994">
        <v>14.2613</v>
      </c>
      <c r="T48" s="2994">
        <v>14.2469</v>
      </c>
      <c r="U48" s="2994">
        <v>15.4536</v>
      </c>
      <c r="V48" s="2994">
        <v>13.5863</v>
      </c>
      <c r="W48" s="2994">
        <v>14.1759</v>
      </c>
      <c r="X48" s="2994">
        <v>15.0207</v>
      </c>
      <c r="Y48" s="2994">
        <v>14.5596</v>
      </c>
      <c r="Z48" s="2994">
        <v>14.662699999999999</v>
      </c>
      <c r="AA48" s="2994">
        <v>14.630599999999999</v>
      </c>
      <c r="AB48" s="2994">
        <v>14.6592</v>
      </c>
      <c r="AC48" s="2994">
        <v>15.0953</v>
      </c>
      <c r="AD48" s="2994">
        <v>16.365300000000001</v>
      </c>
      <c r="AE48" s="2994">
        <v>16.950900000000001</v>
      </c>
      <c r="AF48" s="2994">
        <v>15.459</v>
      </c>
      <c r="AG48" s="2994">
        <v>16.1449</v>
      </c>
      <c r="AH48" s="2994">
        <v>16.752800000000001</v>
      </c>
      <c r="AI48" s="2994">
        <v>8.2777999999999992</v>
      </c>
      <c r="AJ48" s="2994">
        <v>7.0770999999999997</v>
      </c>
      <c r="AK48" s="2994">
        <v>6.5395000000000003</v>
      </c>
      <c r="AL48" s="2994">
        <v>5.4752999999999998</v>
      </c>
      <c r="AM48" s="2994">
        <v>5.5258000000000003</v>
      </c>
      <c r="AN48" s="2994">
        <v>5.5747</v>
      </c>
      <c r="AO48" s="2994">
        <v>5.6025999999999998</v>
      </c>
      <c r="AP48" s="2994">
        <v>5.6405000000000003</v>
      </c>
      <c r="AQ48" s="2994">
        <v>5.7404000000000002</v>
      </c>
      <c r="AR48" s="2994">
        <v>6.3564999999999996</v>
      </c>
      <c r="AS48" s="2994">
        <v>6.4192</v>
      </c>
      <c r="AT48" s="2994">
        <v>6.7976000000000001</v>
      </c>
      <c r="AU48" s="2994">
        <v>6.9596999999999998</v>
      </c>
      <c r="AV48" s="2994">
        <v>6.2870999999999997</v>
      </c>
      <c r="AW48" s="2994">
        <v>6.0266999999999999</v>
      </c>
      <c r="AX48" s="2994">
        <v>7.5385</v>
      </c>
      <c r="AY48" s="2994">
        <v>7.9412000000000003</v>
      </c>
      <c r="AZ48" s="2994">
        <v>6.9211999999999998</v>
      </c>
      <c r="BA48" s="2994">
        <v>5.1292999999999997</v>
      </c>
      <c r="BB48" s="2994">
        <v>4.9431000000000003</v>
      </c>
      <c r="BC48" s="2994">
        <v>5.1081000000000003</v>
      </c>
      <c r="BD48" s="3471">
        <v>4.8577000000000004</v>
      </c>
      <c r="BE48" s="3471">
        <v>4.7511999999999999</v>
      </c>
      <c r="BF48" s="3471">
        <v>0</v>
      </c>
    </row>
    <row r="49" spans="1:58">
      <c r="A49" s="1817" t="str">
        <f t="shared" si="0"/>
        <v>AfricaCurrants</v>
      </c>
      <c r="B49" s="1818" t="s">
        <v>297</v>
      </c>
      <c r="C49" s="1818" t="s">
        <v>7318</v>
      </c>
      <c r="D49" s="3463" t="str">
        <f>VLOOKUP(B49,List_Yield!$G$4:$J$14,4,FALSE)</f>
        <v>Africa</v>
      </c>
      <c r="E49" s="3463" t="str">
        <f t="shared" si="1"/>
        <v>AfricaCurrants</v>
      </c>
      <c r="F49" s="2994">
        <v>0</v>
      </c>
      <c r="G49" s="2994">
        <v>0</v>
      </c>
      <c r="H49" s="2994">
        <v>0</v>
      </c>
      <c r="I49" s="2994">
        <v>0</v>
      </c>
      <c r="J49" s="2994">
        <v>0</v>
      </c>
      <c r="K49" s="2994">
        <v>0</v>
      </c>
      <c r="L49" s="2994">
        <v>0</v>
      </c>
      <c r="M49" s="2994">
        <v>0</v>
      </c>
      <c r="N49" s="2994">
        <v>0</v>
      </c>
      <c r="O49" s="2994">
        <v>0</v>
      </c>
      <c r="P49" s="2994">
        <v>0</v>
      </c>
      <c r="Q49" s="2994">
        <v>0</v>
      </c>
      <c r="R49" s="2994">
        <v>0</v>
      </c>
      <c r="S49" s="2994">
        <v>0</v>
      </c>
      <c r="T49" s="2994">
        <v>0</v>
      </c>
      <c r="U49" s="2994">
        <v>0</v>
      </c>
      <c r="V49" s="2994">
        <v>0</v>
      </c>
      <c r="W49" s="2994">
        <v>0</v>
      </c>
      <c r="X49" s="2994">
        <v>0</v>
      </c>
      <c r="Y49" s="2994">
        <v>0</v>
      </c>
      <c r="Z49" s="2994">
        <v>0</v>
      </c>
      <c r="AA49" s="2994">
        <v>0</v>
      </c>
      <c r="AB49" s="2994">
        <v>0</v>
      </c>
      <c r="AC49" s="2994">
        <v>0</v>
      </c>
      <c r="AD49" s="2994">
        <v>0</v>
      </c>
      <c r="AE49" s="2994">
        <v>0</v>
      </c>
      <c r="AF49" s="2994">
        <v>0</v>
      </c>
      <c r="AG49" s="2994">
        <v>0</v>
      </c>
      <c r="AH49" s="2994">
        <v>0</v>
      </c>
      <c r="AI49" s="2994">
        <v>0</v>
      </c>
      <c r="AJ49" s="2994">
        <v>0</v>
      </c>
      <c r="AK49" s="2994">
        <v>0</v>
      </c>
      <c r="AL49" s="2994">
        <v>0</v>
      </c>
      <c r="AM49" s="2994">
        <v>0</v>
      </c>
      <c r="AN49" s="2994">
        <v>0</v>
      </c>
      <c r="AO49" s="2994">
        <v>0</v>
      </c>
      <c r="AP49" s="2994">
        <v>0</v>
      </c>
      <c r="AQ49" s="2994">
        <v>0</v>
      </c>
      <c r="AR49" s="2994">
        <v>0</v>
      </c>
      <c r="AS49" s="2994">
        <v>0</v>
      </c>
      <c r="AT49" s="2994">
        <v>0</v>
      </c>
      <c r="AU49" s="2994">
        <v>0</v>
      </c>
      <c r="AV49" s="2994">
        <v>0</v>
      </c>
      <c r="AW49" s="2994">
        <v>0</v>
      </c>
      <c r="AX49" s="2994">
        <v>0</v>
      </c>
      <c r="AY49" s="2994">
        <v>0</v>
      </c>
      <c r="AZ49" s="2994">
        <v>0</v>
      </c>
      <c r="BA49" s="2994">
        <v>0</v>
      </c>
      <c r="BB49" s="2994">
        <v>0</v>
      </c>
      <c r="BC49" s="2994">
        <v>0</v>
      </c>
      <c r="BD49" s="3471">
        <v>0</v>
      </c>
      <c r="BE49" s="3471">
        <v>0</v>
      </c>
      <c r="BF49" s="3471">
        <v>0</v>
      </c>
    </row>
    <row r="50" spans="1:58">
      <c r="A50" s="1817" t="str">
        <f t="shared" si="0"/>
        <v>AfricaDates</v>
      </c>
      <c r="B50" s="1818" t="s">
        <v>297</v>
      </c>
      <c r="C50" s="1818" t="s">
        <v>1348</v>
      </c>
      <c r="D50" s="3463" t="str">
        <f>VLOOKUP(B50,List_Yield!$G$4:$J$14,4,FALSE)</f>
        <v>Africa</v>
      </c>
      <c r="E50" s="3463" t="str">
        <f t="shared" si="1"/>
        <v>AfricaDates</v>
      </c>
      <c r="F50" s="2994">
        <v>8.1090999999999998</v>
      </c>
      <c r="G50" s="2994">
        <v>7.1776999999999997</v>
      </c>
      <c r="H50" s="2994">
        <v>6.9987000000000004</v>
      </c>
      <c r="I50" s="2994">
        <v>5.9641999999999999</v>
      </c>
      <c r="J50" s="2994">
        <v>6.7834000000000003</v>
      </c>
      <c r="K50" s="2994">
        <v>6.2492000000000001</v>
      </c>
      <c r="L50" s="2994">
        <v>5.8295000000000003</v>
      </c>
      <c r="M50" s="2994">
        <v>5.7503000000000002</v>
      </c>
      <c r="N50" s="2994">
        <v>7.1543999999999999</v>
      </c>
      <c r="O50" s="2994">
        <v>6.9463999999999997</v>
      </c>
      <c r="P50" s="2994">
        <v>6.2516999999999996</v>
      </c>
      <c r="Q50" s="2994">
        <v>6.6574999999999998</v>
      </c>
      <c r="R50" s="2994">
        <v>6.5811000000000002</v>
      </c>
      <c r="S50" s="2994">
        <v>6.8483000000000001</v>
      </c>
      <c r="T50" s="2994">
        <v>7.0338000000000003</v>
      </c>
      <c r="U50" s="2994">
        <v>7.0408999999999997</v>
      </c>
      <c r="V50" s="2994">
        <v>7.7873000000000001</v>
      </c>
      <c r="W50" s="2994">
        <v>6.7561</v>
      </c>
      <c r="X50" s="2994">
        <v>6.8171999999999997</v>
      </c>
      <c r="Y50" s="2994">
        <v>7.2565999999999997</v>
      </c>
      <c r="Z50" s="2994">
        <v>6.5137</v>
      </c>
      <c r="AA50" s="2994">
        <v>6.6383000000000001</v>
      </c>
      <c r="AB50" s="2994">
        <v>6.8978999999999999</v>
      </c>
      <c r="AC50" s="2994">
        <v>6.6731999999999996</v>
      </c>
      <c r="AD50" s="2994">
        <v>5.7579000000000002</v>
      </c>
      <c r="AE50" s="2994">
        <v>5.7660999999999998</v>
      </c>
      <c r="AF50" s="2994">
        <v>6.0635000000000003</v>
      </c>
      <c r="AG50" s="2994">
        <v>5.7904999999999998</v>
      </c>
      <c r="AH50" s="2994">
        <v>6.3503999999999996</v>
      </c>
      <c r="AI50" s="2994">
        <v>6.1425000000000001</v>
      </c>
      <c r="AJ50" s="2994">
        <v>6.1718000000000002</v>
      </c>
      <c r="AK50" s="2994">
        <v>6.2100999999999997</v>
      </c>
      <c r="AL50" s="2994">
        <v>6.4972000000000003</v>
      </c>
      <c r="AM50" s="2994">
        <v>6.3109999999999999</v>
      </c>
      <c r="AN50" s="2994">
        <v>5.9808000000000003</v>
      </c>
      <c r="AO50" s="2994">
        <v>6.1557000000000004</v>
      </c>
      <c r="AP50" s="2994">
        <v>6.25</v>
      </c>
      <c r="AQ50" s="2994">
        <v>6.8506999999999998</v>
      </c>
      <c r="AR50" s="2994">
        <v>7.0812999999999997</v>
      </c>
      <c r="AS50" s="2994">
        <v>7.6859000000000002</v>
      </c>
      <c r="AT50" s="2994">
        <v>7.2633999999999999</v>
      </c>
      <c r="AU50" s="2994">
        <v>7.3494999999999999</v>
      </c>
      <c r="AV50" s="2994">
        <v>7.4644000000000004</v>
      </c>
      <c r="AW50" s="2994">
        <v>7.1864999999999997</v>
      </c>
      <c r="AX50" s="2994">
        <v>6.9646999999999997</v>
      </c>
      <c r="AY50" s="2994">
        <v>7.2443</v>
      </c>
      <c r="AZ50" s="2994">
        <v>7.2211999999999996</v>
      </c>
      <c r="BA50" s="2994">
        <v>7.3071000000000002</v>
      </c>
      <c r="BB50" s="2994">
        <v>7.3384999999999998</v>
      </c>
      <c r="BC50" s="2994">
        <v>7.0433000000000003</v>
      </c>
      <c r="BD50" s="3471">
        <v>7.3240999999999996</v>
      </c>
      <c r="BE50" s="3471">
        <v>7.5989000000000004</v>
      </c>
      <c r="BF50" s="3471">
        <v>0</v>
      </c>
    </row>
    <row r="51" spans="1:58">
      <c r="A51" s="1817" t="str">
        <f t="shared" si="0"/>
        <v>AfricaEggplants (aubergines)</v>
      </c>
      <c r="B51" s="1818" t="s">
        <v>297</v>
      </c>
      <c r="C51" s="1818" t="s">
        <v>1349</v>
      </c>
      <c r="D51" s="3463" t="str">
        <f>VLOOKUP(B51,List_Yield!$G$4:$J$14,4,FALSE)</f>
        <v>Africa</v>
      </c>
      <c r="E51" s="3463" t="str">
        <f t="shared" si="1"/>
        <v>AfricaEggplants (aubergines)</v>
      </c>
      <c r="F51" s="2994">
        <v>16.937200000000001</v>
      </c>
      <c r="G51" s="2994">
        <v>17.6328</v>
      </c>
      <c r="H51" s="2994">
        <v>18.145600000000002</v>
      </c>
      <c r="I51" s="2994">
        <v>18.677900000000001</v>
      </c>
      <c r="J51" s="2994">
        <v>18.997399999999999</v>
      </c>
      <c r="K51" s="2994">
        <v>19.802800000000001</v>
      </c>
      <c r="L51" s="2994">
        <v>19.0489</v>
      </c>
      <c r="M51" s="2994">
        <v>18.541699999999999</v>
      </c>
      <c r="N51" s="2994">
        <v>18.5044</v>
      </c>
      <c r="O51" s="2994">
        <v>16.914999999999999</v>
      </c>
      <c r="P51" s="2994">
        <v>16.953099999999999</v>
      </c>
      <c r="Q51" s="2994">
        <v>12.603400000000001</v>
      </c>
      <c r="R51" s="2994">
        <v>13.452299999999999</v>
      </c>
      <c r="S51" s="2994">
        <v>13.5566</v>
      </c>
      <c r="T51" s="2994">
        <v>14.910500000000001</v>
      </c>
      <c r="U51" s="2994">
        <v>14.4762</v>
      </c>
      <c r="V51" s="2994">
        <v>15.1874</v>
      </c>
      <c r="W51" s="2994">
        <v>15.875</v>
      </c>
      <c r="X51" s="2994">
        <v>16.366</v>
      </c>
      <c r="Y51" s="2994">
        <v>13.918100000000001</v>
      </c>
      <c r="Z51" s="2994">
        <v>14.7013</v>
      </c>
      <c r="AA51" s="2994">
        <v>14.775</v>
      </c>
      <c r="AB51" s="2994">
        <v>15.252000000000001</v>
      </c>
      <c r="AC51" s="2994">
        <v>14.9231</v>
      </c>
      <c r="AD51" s="2994">
        <v>16.551600000000001</v>
      </c>
      <c r="AE51" s="2994">
        <v>19.082100000000001</v>
      </c>
      <c r="AF51" s="2994">
        <v>19.921399999999998</v>
      </c>
      <c r="AG51" s="2994">
        <v>18.967700000000001</v>
      </c>
      <c r="AH51" s="2994">
        <v>18.946200000000001</v>
      </c>
      <c r="AI51" s="2994">
        <v>19.118200000000002</v>
      </c>
      <c r="AJ51" s="2994">
        <v>19.240500000000001</v>
      </c>
      <c r="AK51" s="2994">
        <v>18.395399999999999</v>
      </c>
      <c r="AL51" s="2994">
        <v>17.999600000000001</v>
      </c>
      <c r="AM51" s="2994">
        <v>17.6906</v>
      </c>
      <c r="AN51" s="2994">
        <v>17.516999999999999</v>
      </c>
      <c r="AO51" s="2994">
        <v>18.933499999999999</v>
      </c>
      <c r="AP51" s="2994">
        <v>18.476700000000001</v>
      </c>
      <c r="AQ51" s="2994">
        <v>17.874099999999999</v>
      </c>
      <c r="AR51" s="2994">
        <v>17.529800000000002</v>
      </c>
      <c r="AS51" s="2994">
        <v>18.545500000000001</v>
      </c>
      <c r="AT51" s="2994">
        <v>19.543299999999999</v>
      </c>
      <c r="AU51" s="2994">
        <v>18.5184</v>
      </c>
      <c r="AV51" s="2994">
        <v>19.5259</v>
      </c>
      <c r="AW51" s="2994">
        <v>19.2971</v>
      </c>
      <c r="AX51" s="2994">
        <v>18.849399999999999</v>
      </c>
      <c r="AY51" s="2994">
        <v>19.631699999999999</v>
      </c>
      <c r="AZ51" s="2994">
        <v>18.898700000000002</v>
      </c>
      <c r="BA51" s="2994">
        <v>18.370999999999999</v>
      </c>
      <c r="BB51" s="2994">
        <v>21.470099999999999</v>
      </c>
      <c r="BC51" s="2994">
        <v>20.852</v>
      </c>
      <c r="BD51" s="3471">
        <v>20.227900000000002</v>
      </c>
      <c r="BE51" s="3471">
        <v>20.5059</v>
      </c>
      <c r="BF51" s="3471">
        <v>0</v>
      </c>
    </row>
    <row r="52" spans="1:58">
      <c r="A52" s="1817" t="str">
        <f t="shared" si="0"/>
        <v>AfricaFibre crops nes</v>
      </c>
      <c r="B52" s="1818" t="s">
        <v>297</v>
      </c>
      <c r="C52" s="1818" t="s">
        <v>7319</v>
      </c>
      <c r="D52" s="3463" t="str">
        <f>VLOOKUP(B52,List_Yield!$G$4:$J$14,4,FALSE)</f>
        <v>Africa</v>
      </c>
      <c r="E52" s="3463" t="str">
        <f t="shared" si="1"/>
        <v>AfricaFibre crops nes</v>
      </c>
      <c r="F52" s="2994">
        <v>0.21590000000000001</v>
      </c>
      <c r="G52" s="2994">
        <v>0.2056</v>
      </c>
      <c r="H52" s="2994">
        <v>0.21510000000000001</v>
      </c>
      <c r="I52" s="2994">
        <v>0.222</v>
      </c>
      <c r="J52" s="2994">
        <v>0.2079</v>
      </c>
      <c r="K52" s="2994">
        <v>0.19</v>
      </c>
      <c r="L52" s="2994">
        <v>0.1943</v>
      </c>
      <c r="M52" s="2994">
        <v>0.20519999999999999</v>
      </c>
      <c r="N52" s="2994">
        <v>0.1827</v>
      </c>
      <c r="O52" s="2994">
        <v>0.18459999999999999</v>
      </c>
      <c r="P52" s="2994">
        <v>0.18770000000000001</v>
      </c>
      <c r="Q52" s="2994">
        <v>0.1827</v>
      </c>
      <c r="R52" s="2994">
        <v>0.1804</v>
      </c>
      <c r="S52" s="2994">
        <v>0.18029999999999999</v>
      </c>
      <c r="T52" s="2994">
        <v>0.1827</v>
      </c>
      <c r="U52" s="2994">
        <v>0.1641</v>
      </c>
      <c r="V52" s="2994">
        <v>0.17030000000000001</v>
      </c>
      <c r="W52" s="2994">
        <v>0.16569999999999999</v>
      </c>
      <c r="X52" s="2994">
        <v>0.1663</v>
      </c>
      <c r="Y52" s="2994">
        <v>0.16900000000000001</v>
      </c>
      <c r="Z52" s="2994">
        <v>0.1696</v>
      </c>
      <c r="AA52" s="2994">
        <v>0.1726</v>
      </c>
      <c r="AB52" s="2994">
        <v>0.17330000000000001</v>
      </c>
      <c r="AC52" s="2994">
        <v>0.17599999999999999</v>
      </c>
      <c r="AD52" s="2994">
        <v>0.17730000000000001</v>
      </c>
      <c r="AE52" s="2994">
        <v>0.18010000000000001</v>
      </c>
      <c r="AF52" s="2994">
        <v>0.18279999999999999</v>
      </c>
      <c r="AG52" s="2994">
        <v>0.18290000000000001</v>
      </c>
      <c r="AH52" s="2994">
        <v>0.1842</v>
      </c>
      <c r="AI52" s="2994">
        <v>0.1835</v>
      </c>
      <c r="AJ52" s="2994">
        <v>0.17610000000000001</v>
      </c>
      <c r="AK52" s="2994">
        <v>0.16220000000000001</v>
      </c>
      <c r="AL52" s="2994">
        <v>0.1522</v>
      </c>
      <c r="AM52" s="2994">
        <v>0.1852</v>
      </c>
      <c r="AN52" s="2994">
        <v>0.18310000000000001</v>
      </c>
      <c r="AO52" s="2994">
        <v>0.18540000000000001</v>
      </c>
      <c r="AP52" s="2994">
        <v>0.19009999999999999</v>
      </c>
      <c r="AQ52" s="2994">
        <v>0.20610000000000001</v>
      </c>
      <c r="AR52" s="2994">
        <v>0.1744</v>
      </c>
      <c r="AS52" s="2994">
        <v>0.18840000000000001</v>
      </c>
      <c r="AT52" s="2994">
        <v>0.1827</v>
      </c>
      <c r="AU52" s="2994">
        <v>0.17549999999999999</v>
      </c>
      <c r="AV52" s="2994">
        <v>0.161</v>
      </c>
      <c r="AW52" s="2994">
        <v>0.1971</v>
      </c>
      <c r="AX52" s="2994">
        <v>0.18770000000000001</v>
      </c>
      <c r="AY52" s="2994">
        <v>0.1605</v>
      </c>
      <c r="AZ52" s="2994">
        <v>0.13789999999999999</v>
      </c>
      <c r="BA52" s="2994">
        <v>0.1573</v>
      </c>
      <c r="BB52" s="2994">
        <v>0.1022</v>
      </c>
      <c r="BC52" s="2994">
        <v>0.11899999999999999</v>
      </c>
      <c r="BD52" s="3471">
        <v>0.1346</v>
      </c>
      <c r="BE52" s="3471">
        <v>0.1384</v>
      </c>
      <c r="BF52" s="3471">
        <v>0</v>
      </c>
    </row>
    <row r="53" spans="1:58">
      <c r="A53" s="1817" t="str">
        <f t="shared" si="0"/>
        <v>AfricaFigs</v>
      </c>
      <c r="B53" s="1818" t="s">
        <v>297</v>
      </c>
      <c r="C53" s="1818" t="s">
        <v>7320</v>
      </c>
      <c r="D53" s="3463" t="str">
        <f>VLOOKUP(B53,List_Yield!$G$4:$J$14,4,FALSE)</f>
        <v>Africa</v>
      </c>
      <c r="E53" s="3463" t="str">
        <f t="shared" si="1"/>
        <v>AfricaFigs</v>
      </c>
      <c r="F53" s="2994">
        <v>2.6006</v>
      </c>
      <c r="G53" s="2994">
        <v>2.5590000000000002</v>
      </c>
      <c r="H53" s="2994">
        <v>2.5390000000000001</v>
      </c>
      <c r="I53" s="2994">
        <v>3.1781999999999999</v>
      </c>
      <c r="J53" s="2994">
        <v>3.3148</v>
      </c>
      <c r="K53" s="2994">
        <v>2.7515000000000001</v>
      </c>
      <c r="L53" s="2994">
        <v>2.8815</v>
      </c>
      <c r="M53" s="2994">
        <v>2.7812000000000001</v>
      </c>
      <c r="N53" s="2994">
        <v>3.5015999999999998</v>
      </c>
      <c r="O53" s="2994">
        <v>3.0089000000000001</v>
      </c>
      <c r="P53" s="2994">
        <v>2.8822000000000001</v>
      </c>
      <c r="Q53" s="2994">
        <v>2.7425999999999999</v>
      </c>
      <c r="R53" s="2994">
        <v>2.5758000000000001</v>
      </c>
      <c r="S53" s="2994">
        <v>2.5344000000000002</v>
      </c>
      <c r="T53" s="2994">
        <v>2.4077999999999999</v>
      </c>
      <c r="U53" s="2994">
        <v>2.5188999999999999</v>
      </c>
      <c r="V53" s="2994">
        <v>2.5790999999999999</v>
      </c>
      <c r="W53" s="2994">
        <v>2.5588000000000002</v>
      </c>
      <c r="X53" s="2994">
        <v>2.7934000000000001</v>
      </c>
      <c r="Y53" s="2994">
        <v>2.6724999999999999</v>
      </c>
      <c r="Z53" s="2994">
        <v>2.5853999999999999</v>
      </c>
      <c r="AA53" s="2994">
        <v>3.5926999999999998</v>
      </c>
      <c r="AB53" s="2994">
        <v>2.8464999999999998</v>
      </c>
      <c r="AC53" s="2994">
        <v>3.0202</v>
      </c>
      <c r="AD53" s="2994">
        <v>1.9474</v>
      </c>
      <c r="AE53" s="2994">
        <v>2.0665</v>
      </c>
      <c r="AF53" s="2994">
        <v>1.8932</v>
      </c>
      <c r="AG53" s="2994">
        <v>1.8032999999999999</v>
      </c>
      <c r="AH53" s="2994">
        <v>1.9518</v>
      </c>
      <c r="AI53" s="2994">
        <v>2.1141000000000001</v>
      </c>
      <c r="AJ53" s="2994">
        <v>1.8982000000000001</v>
      </c>
      <c r="AK53" s="2994">
        <v>2.7791999999999999</v>
      </c>
      <c r="AL53" s="2994">
        <v>2.7993000000000001</v>
      </c>
      <c r="AM53" s="2994">
        <v>2.7985000000000002</v>
      </c>
      <c r="AN53" s="2994">
        <v>3.3643000000000001</v>
      </c>
      <c r="AO53" s="2994">
        <v>2.7557</v>
      </c>
      <c r="AP53" s="2994">
        <v>2.8687999999999998</v>
      </c>
      <c r="AQ53" s="2994">
        <v>2.8935</v>
      </c>
      <c r="AR53" s="2994">
        <v>2.9375</v>
      </c>
      <c r="AS53" s="2994">
        <v>2.8210000000000002</v>
      </c>
      <c r="AT53" s="2994">
        <v>2.0838000000000001</v>
      </c>
      <c r="AU53" s="2994">
        <v>2.7511999999999999</v>
      </c>
      <c r="AV53" s="2994">
        <v>2.2797000000000001</v>
      </c>
      <c r="AW53" s="2994">
        <v>2.4007999999999998</v>
      </c>
      <c r="AX53" s="2994">
        <v>2.6858</v>
      </c>
      <c r="AY53" s="2994">
        <v>2.6579000000000002</v>
      </c>
      <c r="AZ53" s="2994">
        <v>2.2416999999999998</v>
      </c>
      <c r="BA53" s="2994">
        <v>3.4687999999999999</v>
      </c>
      <c r="BB53" s="2994">
        <v>3.5137999999999998</v>
      </c>
      <c r="BC53" s="2994">
        <v>3.044</v>
      </c>
      <c r="BD53" s="3471">
        <v>2.9950999999999999</v>
      </c>
      <c r="BE53" s="3471">
        <v>2.9005999999999998</v>
      </c>
      <c r="BF53" s="3471">
        <v>0</v>
      </c>
    </row>
    <row r="54" spans="1:58">
      <c r="A54" s="1817" t="str">
        <f t="shared" si="0"/>
        <v>AfricaFlax fibre and tow</v>
      </c>
      <c r="B54" s="1818" t="s">
        <v>297</v>
      </c>
      <c r="C54" s="1818" t="s">
        <v>7321</v>
      </c>
      <c r="D54" s="3463" t="str">
        <f>VLOOKUP(B54,List_Yield!$G$4:$J$14,4,FALSE)</f>
        <v>Africa</v>
      </c>
      <c r="E54" s="3463" t="str">
        <f t="shared" si="1"/>
        <v>AfricaFlax fibre and tow</v>
      </c>
      <c r="F54" s="2994">
        <v>0.79749999999999999</v>
      </c>
      <c r="G54" s="2994">
        <v>0.79069999999999996</v>
      </c>
      <c r="H54" s="2994">
        <v>0.78680000000000005</v>
      </c>
      <c r="I54" s="2994">
        <v>0.7984</v>
      </c>
      <c r="J54" s="2994">
        <v>0.74860000000000004</v>
      </c>
      <c r="K54" s="2994">
        <v>0.74990000000000001</v>
      </c>
      <c r="L54" s="2994">
        <v>0.75009999999999999</v>
      </c>
      <c r="M54" s="2994">
        <v>0.76839999999999997</v>
      </c>
      <c r="N54" s="2994">
        <v>0.73250000000000004</v>
      </c>
      <c r="O54" s="2994">
        <v>0.8649</v>
      </c>
      <c r="P54" s="2994">
        <v>0.79690000000000005</v>
      </c>
      <c r="Q54" s="2994">
        <v>0.80940000000000001</v>
      </c>
      <c r="R54" s="2994">
        <v>0.79349999999999998</v>
      </c>
      <c r="S54" s="2994">
        <v>0.81540000000000001</v>
      </c>
      <c r="T54" s="2994">
        <v>0.8579</v>
      </c>
      <c r="U54" s="2994">
        <v>0.87229999999999996</v>
      </c>
      <c r="V54" s="2994">
        <v>0.88570000000000004</v>
      </c>
      <c r="W54" s="2994">
        <v>0.90039999999999998</v>
      </c>
      <c r="X54" s="2994">
        <v>0.88229999999999997</v>
      </c>
      <c r="Y54" s="2994">
        <v>0.87219999999999998</v>
      </c>
      <c r="Z54" s="2994">
        <v>0.92949999999999999</v>
      </c>
      <c r="AA54" s="2994">
        <v>0.93689999999999996</v>
      </c>
      <c r="AB54" s="2994">
        <v>0.89590000000000003</v>
      </c>
      <c r="AC54" s="2994">
        <v>0.86960000000000004</v>
      </c>
      <c r="AD54" s="2994">
        <v>1.0379</v>
      </c>
      <c r="AE54" s="2994">
        <v>0.99670000000000003</v>
      </c>
      <c r="AF54" s="2994">
        <v>1.0204</v>
      </c>
      <c r="AG54" s="2994">
        <v>1.0452999999999999</v>
      </c>
      <c r="AH54" s="2994">
        <v>0.92989999999999995</v>
      </c>
      <c r="AI54" s="2994">
        <v>0.93140000000000001</v>
      </c>
      <c r="AJ54" s="2994">
        <v>0.91110000000000002</v>
      </c>
      <c r="AK54" s="2994">
        <v>0.91420000000000001</v>
      </c>
      <c r="AL54" s="2994">
        <v>0.92310000000000003</v>
      </c>
      <c r="AM54" s="2994">
        <v>0.88780000000000003</v>
      </c>
      <c r="AN54" s="2994">
        <v>0.86819999999999997</v>
      </c>
      <c r="AO54" s="2994">
        <v>0.94699999999999995</v>
      </c>
      <c r="AP54" s="2994">
        <v>0.96299999999999997</v>
      </c>
      <c r="AQ54" s="2994">
        <v>0.96430000000000005</v>
      </c>
      <c r="AR54" s="2994">
        <v>0.95169999999999999</v>
      </c>
      <c r="AS54" s="2994">
        <v>0.93330000000000002</v>
      </c>
      <c r="AT54" s="2994">
        <v>0.92979999999999996</v>
      </c>
      <c r="AU54" s="2994">
        <v>0.89500000000000002</v>
      </c>
      <c r="AV54" s="2994">
        <v>0.9375</v>
      </c>
      <c r="AW54" s="2994">
        <v>0.93459999999999999</v>
      </c>
      <c r="AX54" s="2994">
        <v>0.9375</v>
      </c>
      <c r="AY54" s="2994">
        <v>1.0112000000000001</v>
      </c>
      <c r="AZ54" s="2994">
        <v>1.0052000000000001</v>
      </c>
      <c r="BA54" s="2994">
        <v>0.83989999999999998</v>
      </c>
      <c r="BB54" s="2994">
        <v>0.82620000000000005</v>
      </c>
      <c r="BC54" s="2994">
        <v>0.82179999999999997</v>
      </c>
      <c r="BD54" s="3471">
        <v>0.82179999999999997</v>
      </c>
      <c r="BE54" s="3471">
        <v>0.82179999999999997</v>
      </c>
      <c r="BF54" s="3471">
        <v>0</v>
      </c>
    </row>
    <row r="55" spans="1:58">
      <c r="A55" s="1817" t="str">
        <f t="shared" si="0"/>
        <v>AfricaFonio</v>
      </c>
      <c r="B55" s="1818" t="s">
        <v>297</v>
      </c>
      <c r="C55" s="1818" t="s">
        <v>7322</v>
      </c>
      <c r="D55" s="3463" t="str">
        <f>VLOOKUP(B55,List_Yield!$G$4:$J$14,4,FALSE)</f>
        <v>Africa</v>
      </c>
      <c r="E55" s="3463" t="str">
        <f t="shared" si="1"/>
        <v>AfricaFonio</v>
      </c>
      <c r="F55" s="2994">
        <v>0.5796</v>
      </c>
      <c r="G55" s="2994">
        <v>0.65820000000000001</v>
      </c>
      <c r="H55" s="2994">
        <v>0.62829999999999997</v>
      </c>
      <c r="I55" s="2994">
        <v>0.64739999999999998</v>
      </c>
      <c r="J55" s="2994">
        <v>0.63190000000000002</v>
      </c>
      <c r="K55" s="2994">
        <v>0.64090000000000003</v>
      </c>
      <c r="L55" s="2994">
        <v>0.63990000000000002</v>
      </c>
      <c r="M55" s="2994">
        <v>0.63519999999999999</v>
      </c>
      <c r="N55" s="2994">
        <v>0.64059999999999995</v>
      </c>
      <c r="O55" s="2994">
        <v>0.6784</v>
      </c>
      <c r="P55" s="2994">
        <v>0.71150000000000002</v>
      </c>
      <c r="Q55" s="2994">
        <v>0.7117</v>
      </c>
      <c r="R55" s="2994">
        <v>0.70379999999999998</v>
      </c>
      <c r="S55" s="2994">
        <v>0.74529999999999996</v>
      </c>
      <c r="T55" s="2994">
        <v>0.79020000000000001</v>
      </c>
      <c r="U55" s="2994">
        <v>0.78790000000000004</v>
      </c>
      <c r="V55" s="2994">
        <v>0.77190000000000003</v>
      </c>
      <c r="W55" s="2994">
        <v>0.75349999999999995</v>
      </c>
      <c r="X55" s="2994">
        <v>0.73280000000000001</v>
      </c>
      <c r="Y55" s="2994">
        <v>0.7248</v>
      </c>
      <c r="Z55" s="2994">
        <v>0.75249999999999995</v>
      </c>
      <c r="AA55" s="2994">
        <v>0.7127</v>
      </c>
      <c r="AB55" s="2994">
        <v>0.79890000000000005</v>
      </c>
      <c r="AC55" s="2994">
        <v>0.79339999999999999</v>
      </c>
      <c r="AD55" s="2994">
        <v>0.87260000000000004</v>
      </c>
      <c r="AE55" s="2994">
        <v>0.8649</v>
      </c>
      <c r="AF55" s="2994">
        <v>0.82440000000000002</v>
      </c>
      <c r="AG55" s="2994">
        <v>0.83240000000000003</v>
      </c>
      <c r="AH55" s="2994">
        <v>0.74399999999999999</v>
      </c>
      <c r="AI55" s="2994">
        <v>0.6351</v>
      </c>
      <c r="AJ55" s="2994">
        <v>0.62139999999999995</v>
      </c>
      <c r="AK55" s="2994">
        <v>0.55459999999999998</v>
      </c>
      <c r="AL55" s="2994">
        <v>0.65949999999999998</v>
      </c>
      <c r="AM55" s="2994">
        <v>0.58030000000000004</v>
      </c>
      <c r="AN55" s="2994">
        <v>0.6512</v>
      </c>
      <c r="AO55" s="2994">
        <v>0.66520000000000001</v>
      </c>
      <c r="AP55" s="2994">
        <v>0.66159999999999997</v>
      </c>
      <c r="AQ55" s="2994">
        <v>0.69769999999999999</v>
      </c>
      <c r="AR55" s="2994">
        <v>0.7077</v>
      </c>
      <c r="AS55" s="2994">
        <v>0.85399999999999998</v>
      </c>
      <c r="AT55" s="2994">
        <v>0.78690000000000004</v>
      </c>
      <c r="AU55" s="2994">
        <v>0.76319999999999999</v>
      </c>
      <c r="AV55" s="2994">
        <v>0.78720000000000001</v>
      </c>
      <c r="AW55" s="2994">
        <v>0.75849999999999995</v>
      </c>
      <c r="AX55" s="2994">
        <v>0.76839999999999997</v>
      </c>
      <c r="AY55" s="2994">
        <v>0.79800000000000004</v>
      </c>
      <c r="AZ55" s="2994">
        <v>0.89500000000000002</v>
      </c>
      <c r="BA55" s="2994">
        <v>1.0669999999999999</v>
      </c>
      <c r="BB55" s="2994">
        <v>0.8952</v>
      </c>
      <c r="BC55" s="2994">
        <v>0.94830000000000003</v>
      </c>
      <c r="BD55" s="3471">
        <v>0.98850000000000005</v>
      </c>
      <c r="BE55" s="3471">
        <v>1.0375000000000001</v>
      </c>
      <c r="BF55" s="3471">
        <v>1.0592999999999999</v>
      </c>
    </row>
    <row r="56" spans="1:58">
      <c r="A56" s="1817" t="str">
        <f t="shared" si="0"/>
        <v>AfricaFruit, citrus nes</v>
      </c>
      <c r="B56" s="1818" t="s">
        <v>297</v>
      </c>
      <c r="C56" s="1818" t="s">
        <v>7323</v>
      </c>
      <c r="D56" s="3463" t="str">
        <f>VLOOKUP(B56,List_Yield!$G$4:$J$14,4,FALSE)</f>
        <v>Africa</v>
      </c>
      <c r="E56" s="3463" t="str">
        <f t="shared" si="1"/>
        <v>AfricaFruit, citrus nes</v>
      </c>
      <c r="F56" s="2994">
        <v>3.5630000000000002</v>
      </c>
      <c r="G56" s="2994">
        <v>3.5743999999999998</v>
      </c>
      <c r="H56" s="2994">
        <v>3.5809000000000002</v>
      </c>
      <c r="I56" s="2994">
        <v>3.5794000000000001</v>
      </c>
      <c r="J56" s="2994">
        <v>3.6101999999999999</v>
      </c>
      <c r="K56" s="2994">
        <v>3.6234000000000002</v>
      </c>
      <c r="L56" s="2994">
        <v>3.6097999999999999</v>
      </c>
      <c r="M56" s="2994">
        <v>3.5807000000000002</v>
      </c>
      <c r="N56" s="2994">
        <v>3.5346000000000002</v>
      </c>
      <c r="O56" s="2994">
        <v>3.3887999999999998</v>
      </c>
      <c r="P56" s="2994">
        <v>3.4977999999999998</v>
      </c>
      <c r="Q56" s="2994">
        <v>3.5689000000000002</v>
      </c>
      <c r="R56" s="2994">
        <v>3.5939000000000001</v>
      </c>
      <c r="S56" s="2994">
        <v>3.6274999999999999</v>
      </c>
      <c r="T56" s="2994">
        <v>3.6351</v>
      </c>
      <c r="U56" s="2994">
        <v>3.6410999999999998</v>
      </c>
      <c r="V56" s="2994">
        <v>3.6421999999999999</v>
      </c>
      <c r="W56" s="2994">
        <v>3.6223999999999998</v>
      </c>
      <c r="X56" s="2994">
        <v>3.5203000000000002</v>
      </c>
      <c r="Y56" s="2994">
        <v>3.5468999999999999</v>
      </c>
      <c r="Z56" s="2994">
        <v>3.5537999999999998</v>
      </c>
      <c r="AA56" s="2994">
        <v>3.5706000000000002</v>
      </c>
      <c r="AB56" s="2994">
        <v>3.7839</v>
      </c>
      <c r="AC56" s="2994">
        <v>3.7881</v>
      </c>
      <c r="AD56" s="2994">
        <v>3.6920999999999999</v>
      </c>
      <c r="AE56" s="2994">
        <v>3.7075999999999998</v>
      </c>
      <c r="AF56" s="2994">
        <v>3.7141000000000002</v>
      </c>
      <c r="AG56" s="2994">
        <v>3.7158000000000002</v>
      </c>
      <c r="AH56" s="2994">
        <v>3.7887</v>
      </c>
      <c r="AI56" s="2994">
        <v>3.8323</v>
      </c>
      <c r="AJ56" s="2994">
        <v>4.1715</v>
      </c>
      <c r="AK56" s="2994">
        <v>4.4741999999999997</v>
      </c>
      <c r="AL56" s="2994">
        <v>4.62</v>
      </c>
      <c r="AM56" s="2994">
        <v>4.4264000000000001</v>
      </c>
      <c r="AN56" s="2994">
        <v>4.4779999999999998</v>
      </c>
      <c r="AO56" s="2994">
        <v>4.5902000000000003</v>
      </c>
      <c r="AP56" s="2994">
        <v>4.6497999999999999</v>
      </c>
      <c r="AQ56" s="2994">
        <v>4.6959</v>
      </c>
      <c r="AR56" s="2994">
        <v>4.6684999999999999</v>
      </c>
      <c r="AS56" s="2994">
        <v>4.6859999999999999</v>
      </c>
      <c r="AT56" s="2994">
        <v>4.5263</v>
      </c>
      <c r="AU56" s="2994">
        <v>4.5445000000000002</v>
      </c>
      <c r="AV56" s="2994">
        <v>4.7046999999999999</v>
      </c>
      <c r="AW56" s="2994">
        <v>4.9550999999999998</v>
      </c>
      <c r="AX56" s="2994">
        <v>5.8780000000000001</v>
      </c>
      <c r="AY56" s="2994">
        <v>4.6616999999999997</v>
      </c>
      <c r="AZ56" s="2994">
        <v>4.7892999999999999</v>
      </c>
      <c r="BA56" s="2994">
        <v>5.0498000000000003</v>
      </c>
      <c r="BB56" s="2994">
        <v>5.2153</v>
      </c>
      <c r="BC56" s="2994">
        <v>5.1677</v>
      </c>
      <c r="BD56" s="3471">
        <v>5.1542000000000003</v>
      </c>
      <c r="BE56" s="3471">
        <v>5.1223999999999998</v>
      </c>
      <c r="BF56" s="3471">
        <v>0</v>
      </c>
    </row>
    <row r="57" spans="1:58">
      <c r="A57" s="1817" t="str">
        <f t="shared" si="0"/>
        <v>AfricaFruit, fresh nes</v>
      </c>
      <c r="B57" s="1818" t="s">
        <v>297</v>
      </c>
      <c r="C57" s="1818" t="s">
        <v>7324</v>
      </c>
      <c r="D57" s="3463" t="str">
        <f>VLOOKUP(B57,List_Yield!$G$4:$J$14,4,FALSE)</f>
        <v>Africa</v>
      </c>
      <c r="E57" s="3463" t="str">
        <f t="shared" si="1"/>
        <v>AfricaFruit, fresh nes</v>
      </c>
      <c r="F57" s="2994">
        <v>7.0705999999999998</v>
      </c>
      <c r="G57" s="2994">
        <v>7.1181000000000001</v>
      </c>
      <c r="H57" s="2994">
        <v>7.2478999999999996</v>
      </c>
      <c r="I57" s="2994">
        <v>7.2034000000000002</v>
      </c>
      <c r="J57" s="2994">
        <v>7.2843999999999998</v>
      </c>
      <c r="K57" s="2994">
        <v>7.1685999999999996</v>
      </c>
      <c r="L57" s="2994">
        <v>7.2371999999999996</v>
      </c>
      <c r="M57" s="2994">
        <v>7.3082000000000003</v>
      </c>
      <c r="N57" s="2994">
        <v>7.2927</v>
      </c>
      <c r="O57" s="2994">
        <v>7.3829000000000002</v>
      </c>
      <c r="P57" s="2994">
        <v>7.4142000000000001</v>
      </c>
      <c r="Q57" s="2994">
        <v>7.4569999999999999</v>
      </c>
      <c r="R57" s="2994">
        <v>7.4089999999999998</v>
      </c>
      <c r="S57" s="2994">
        <v>7.5514999999999999</v>
      </c>
      <c r="T57" s="2994">
        <v>7.4416000000000002</v>
      </c>
      <c r="U57" s="2994">
        <v>7.4222000000000001</v>
      </c>
      <c r="V57" s="2994">
        <v>7.3707000000000003</v>
      </c>
      <c r="W57" s="2994">
        <v>7.4583000000000004</v>
      </c>
      <c r="X57" s="2994">
        <v>7.5648</v>
      </c>
      <c r="Y57" s="2994">
        <v>7.4786000000000001</v>
      </c>
      <c r="Z57" s="2994">
        <v>7.5791000000000004</v>
      </c>
      <c r="AA57" s="2994">
        <v>7.6936999999999998</v>
      </c>
      <c r="AB57" s="2994">
        <v>7.6387</v>
      </c>
      <c r="AC57" s="2994">
        <v>7.6939000000000002</v>
      </c>
      <c r="AD57" s="2994">
        <v>6.1458000000000004</v>
      </c>
      <c r="AE57" s="2994">
        <v>6.1957000000000004</v>
      </c>
      <c r="AF57" s="2994">
        <v>6.2573999999999996</v>
      </c>
      <c r="AG57" s="2994">
        <v>6.3059000000000003</v>
      </c>
      <c r="AH57" s="2994">
        <v>6.3959999999999999</v>
      </c>
      <c r="AI57" s="2994">
        <v>6.2656999999999998</v>
      </c>
      <c r="AJ57" s="2994">
        <v>6.2123999999999997</v>
      </c>
      <c r="AK57" s="2994">
        <v>6.1567999999999996</v>
      </c>
      <c r="AL57" s="2994">
        <v>5.7485999999999997</v>
      </c>
      <c r="AM57" s="2994">
        <v>5.4557000000000002</v>
      </c>
      <c r="AN57" s="2994">
        <v>5.5175999999999998</v>
      </c>
      <c r="AO57" s="2994">
        <v>5.5715000000000003</v>
      </c>
      <c r="AP57" s="2994">
        <v>5.7103999999999999</v>
      </c>
      <c r="AQ57" s="2994">
        <v>5.6614000000000004</v>
      </c>
      <c r="AR57" s="2994">
        <v>5.3357000000000001</v>
      </c>
      <c r="AS57" s="2994">
        <v>5.4294000000000002</v>
      </c>
      <c r="AT57" s="2994">
        <v>5.3940999999999999</v>
      </c>
      <c r="AU57" s="2994">
        <v>5.5183999999999997</v>
      </c>
      <c r="AV57" s="2994">
        <v>5.5862999999999996</v>
      </c>
      <c r="AW57" s="2994">
        <v>5.9493999999999998</v>
      </c>
      <c r="AX57" s="2994">
        <v>6.3788</v>
      </c>
      <c r="AY57" s="2994">
        <v>6.2615999999999996</v>
      </c>
      <c r="AZ57" s="2994">
        <v>6.4103000000000003</v>
      </c>
      <c r="BA57" s="2994">
        <v>6.2286999999999999</v>
      </c>
      <c r="BB57" s="2994">
        <v>6.4128999999999996</v>
      </c>
      <c r="BC57" s="2994">
        <v>6.42</v>
      </c>
      <c r="BD57" s="3471">
        <v>6.3810000000000002</v>
      </c>
      <c r="BE57" s="3471">
        <v>6.3951000000000002</v>
      </c>
      <c r="BF57" s="3471">
        <v>0</v>
      </c>
    </row>
    <row r="58" spans="1:58">
      <c r="A58" s="1817" t="str">
        <f t="shared" si="0"/>
        <v>AfricaFruit, pome nes</v>
      </c>
      <c r="B58" s="1818" t="s">
        <v>297</v>
      </c>
      <c r="C58" s="1818" t="s">
        <v>7325</v>
      </c>
      <c r="D58" s="3463" t="str">
        <f>VLOOKUP(B58,List_Yield!$G$4:$J$14,4,FALSE)</f>
        <v>Africa</v>
      </c>
      <c r="E58" s="3463" t="str">
        <f t="shared" si="1"/>
        <v>AfricaFruit, pome nes</v>
      </c>
      <c r="F58" s="2994">
        <v>0</v>
      </c>
      <c r="G58" s="2994">
        <v>0</v>
      </c>
      <c r="H58" s="2994">
        <v>0</v>
      </c>
      <c r="I58" s="2994">
        <v>0</v>
      </c>
      <c r="J58" s="2994">
        <v>0</v>
      </c>
      <c r="K58" s="2994">
        <v>0</v>
      </c>
      <c r="L58" s="2994">
        <v>0</v>
      </c>
      <c r="M58" s="2994">
        <v>0</v>
      </c>
      <c r="N58" s="2994">
        <v>0</v>
      </c>
      <c r="O58" s="2994">
        <v>0</v>
      </c>
      <c r="P58" s="2994">
        <v>0</v>
      </c>
      <c r="Q58" s="2994">
        <v>0</v>
      </c>
      <c r="R58" s="2994">
        <v>0</v>
      </c>
      <c r="S58" s="2994">
        <v>0</v>
      </c>
      <c r="T58" s="2994">
        <v>0</v>
      </c>
      <c r="U58" s="2994">
        <v>0</v>
      </c>
      <c r="V58" s="2994">
        <v>0</v>
      </c>
      <c r="W58" s="2994">
        <v>0</v>
      </c>
      <c r="X58" s="2994">
        <v>0</v>
      </c>
      <c r="Y58" s="2994">
        <v>0</v>
      </c>
      <c r="Z58" s="2994">
        <v>0</v>
      </c>
      <c r="AA58" s="2994">
        <v>0</v>
      </c>
      <c r="AB58" s="2994">
        <v>0</v>
      </c>
      <c r="AC58" s="2994">
        <v>0</v>
      </c>
      <c r="AD58" s="2994">
        <v>0</v>
      </c>
      <c r="AE58" s="2994">
        <v>0</v>
      </c>
      <c r="AF58" s="2994">
        <v>0</v>
      </c>
      <c r="AG58" s="2994">
        <v>0</v>
      </c>
      <c r="AH58" s="2994">
        <v>0</v>
      </c>
      <c r="AI58" s="2994">
        <v>0</v>
      </c>
      <c r="AJ58" s="2994">
        <v>0</v>
      </c>
      <c r="AK58" s="2994">
        <v>0</v>
      </c>
      <c r="AL58" s="2994">
        <v>0</v>
      </c>
      <c r="AM58" s="2994">
        <v>0</v>
      </c>
      <c r="AN58" s="2994">
        <v>0</v>
      </c>
      <c r="AO58" s="2994">
        <v>0</v>
      </c>
      <c r="AP58" s="2994">
        <v>0</v>
      </c>
      <c r="AQ58" s="2994">
        <v>0</v>
      </c>
      <c r="AR58" s="2994">
        <v>0</v>
      </c>
      <c r="AS58" s="2994">
        <v>0</v>
      </c>
      <c r="AT58" s="2994">
        <v>0</v>
      </c>
      <c r="AU58" s="2994">
        <v>0</v>
      </c>
      <c r="AV58" s="2994">
        <v>0</v>
      </c>
      <c r="AW58" s="2994">
        <v>0</v>
      </c>
      <c r="AX58" s="2994">
        <v>0</v>
      </c>
      <c r="AY58" s="2994">
        <v>0</v>
      </c>
      <c r="AZ58" s="2994">
        <v>0</v>
      </c>
      <c r="BA58" s="2994">
        <v>0</v>
      </c>
      <c r="BB58" s="2994">
        <v>0</v>
      </c>
      <c r="BC58" s="2994">
        <v>0</v>
      </c>
      <c r="BD58" s="3471">
        <v>0</v>
      </c>
      <c r="BE58" s="3471">
        <v>0</v>
      </c>
      <c r="BF58" s="3471">
        <v>0</v>
      </c>
    </row>
    <row r="59" spans="1:58">
      <c r="A59" s="1817" t="str">
        <f t="shared" si="0"/>
        <v>AfricaFruit, stone nes</v>
      </c>
      <c r="B59" s="1818" t="s">
        <v>297</v>
      </c>
      <c r="C59" s="1818" t="s">
        <v>7326</v>
      </c>
      <c r="D59" s="3463" t="str">
        <f>VLOOKUP(B59,List_Yield!$G$4:$J$14,4,FALSE)</f>
        <v>Africa</v>
      </c>
      <c r="E59" s="3463" t="str">
        <f t="shared" si="1"/>
        <v>AfricaFruit, stone nes</v>
      </c>
      <c r="F59" s="2994">
        <v>0</v>
      </c>
      <c r="G59" s="2994">
        <v>0</v>
      </c>
      <c r="H59" s="2994">
        <v>0</v>
      </c>
      <c r="I59" s="2994">
        <v>0</v>
      </c>
      <c r="J59" s="2994">
        <v>0</v>
      </c>
      <c r="K59" s="2994">
        <v>0</v>
      </c>
      <c r="L59" s="2994">
        <v>0</v>
      </c>
      <c r="M59" s="2994">
        <v>0</v>
      </c>
      <c r="N59" s="2994">
        <v>0</v>
      </c>
      <c r="O59" s="2994">
        <v>0</v>
      </c>
      <c r="P59" s="2994">
        <v>0</v>
      </c>
      <c r="Q59" s="2994">
        <v>0</v>
      </c>
      <c r="R59" s="2994">
        <v>0</v>
      </c>
      <c r="S59" s="2994">
        <v>0</v>
      </c>
      <c r="T59" s="2994">
        <v>0</v>
      </c>
      <c r="U59" s="2994">
        <v>0</v>
      </c>
      <c r="V59" s="2994">
        <v>0</v>
      </c>
      <c r="W59" s="2994">
        <v>0</v>
      </c>
      <c r="X59" s="2994">
        <v>0</v>
      </c>
      <c r="Y59" s="2994">
        <v>0</v>
      </c>
      <c r="Z59" s="2994">
        <v>0</v>
      </c>
      <c r="AA59" s="2994">
        <v>0</v>
      </c>
      <c r="AB59" s="2994">
        <v>0</v>
      </c>
      <c r="AC59" s="2994">
        <v>289.23079999999999</v>
      </c>
      <c r="AD59" s="2994">
        <v>4.5281000000000002</v>
      </c>
      <c r="AE59" s="2994">
        <v>5.8624000000000001</v>
      </c>
      <c r="AF59" s="2994">
        <v>5.9550999999999998</v>
      </c>
      <c r="AG59" s="2994">
        <v>4.9428999999999998</v>
      </c>
      <c r="AH59" s="2994">
        <v>5.0995999999999997</v>
      </c>
      <c r="AI59" s="2994">
        <v>2.5390999999999999</v>
      </c>
      <c r="AJ59" s="2994">
        <v>2.6848999999999998</v>
      </c>
      <c r="AK59" s="2994">
        <v>2.9060000000000001</v>
      </c>
      <c r="AL59" s="2994">
        <v>2.8658999999999999</v>
      </c>
      <c r="AM59" s="2994">
        <v>2.8931</v>
      </c>
      <c r="AN59" s="2994">
        <v>2.7892999999999999</v>
      </c>
      <c r="AO59" s="2994">
        <v>2.9721000000000002</v>
      </c>
      <c r="AP59" s="2994">
        <v>3.2665000000000002</v>
      </c>
      <c r="AQ59" s="2994">
        <v>3.0762</v>
      </c>
      <c r="AR59" s="2994">
        <v>3.1175000000000002</v>
      </c>
      <c r="AS59" s="2994">
        <v>3.2944</v>
      </c>
      <c r="AT59" s="2994">
        <v>3.3130000000000002</v>
      </c>
      <c r="AU59" s="2994">
        <v>3.4478</v>
      </c>
      <c r="AV59" s="2994">
        <v>3.3946000000000001</v>
      </c>
      <c r="AW59" s="2994">
        <v>3.4055</v>
      </c>
      <c r="AX59" s="2994">
        <v>3.3691</v>
      </c>
      <c r="AY59" s="2994">
        <v>3.4660000000000002</v>
      </c>
      <c r="AZ59" s="2994">
        <v>3.1025999999999998</v>
      </c>
      <c r="BA59" s="2994">
        <v>3.3921999999999999</v>
      </c>
      <c r="BB59" s="2994">
        <v>3.7</v>
      </c>
      <c r="BC59" s="2994">
        <v>3.8039999999999998</v>
      </c>
      <c r="BD59" s="3471">
        <v>4.0522999999999998</v>
      </c>
      <c r="BE59" s="3471">
        <v>4.1323999999999996</v>
      </c>
      <c r="BF59" s="3471">
        <v>0</v>
      </c>
    </row>
    <row r="60" spans="1:58">
      <c r="A60" s="1817" t="str">
        <f t="shared" si="0"/>
        <v>AfricaFruit, tropical fresh nes</v>
      </c>
      <c r="B60" s="1818" t="s">
        <v>297</v>
      </c>
      <c r="C60" s="1818" t="s">
        <v>7327</v>
      </c>
      <c r="D60" s="3463" t="str">
        <f>VLOOKUP(B60,List_Yield!$G$4:$J$14,4,FALSE)</f>
        <v>Africa</v>
      </c>
      <c r="E60" s="3463" t="str">
        <f t="shared" si="1"/>
        <v>AfricaFruit, tropical fresh nes</v>
      </c>
      <c r="F60" s="2994">
        <v>5.1532999999999998</v>
      </c>
      <c r="G60" s="2994">
        <v>5.1634000000000002</v>
      </c>
      <c r="H60" s="2994">
        <v>4.9968000000000004</v>
      </c>
      <c r="I60" s="2994">
        <v>5.0213999999999999</v>
      </c>
      <c r="J60" s="2994">
        <v>5.4939</v>
      </c>
      <c r="K60" s="2994">
        <v>6.0979999999999999</v>
      </c>
      <c r="L60" s="2994">
        <v>6.0117000000000003</v>
      </c>
      <c r="M60" s="2994">
        <v>5.1772</v>
      </c>
      <c r="N60" s="2994">
        <v>5.1444999999999999</v>
      </c>
      <c r="O60" s="2994">
        <v>5.1585000000000001</v>
      </c>
      <c r="P60" s="2994">
        <v>5.2363999999999997</v>
      </c>
      <c r="Q60" s="2994">
        <v>5.3234000000000004</v>
      </c>
      <c r="R60" s="2994">
        <v>5.3474000000000004</v>
      </c>
      <c r="S60" s="2994">
        <v>5.4147999999999996</v>
      </c>
      <c r="T60" s="2994">
        <v>5.3520000000000003</v>
      </c>
      <c r="U60" s="2994">
        <v>3.8100999999999998</v>
      </c>
      <c r="V60" s="2994">
        <v>4.8973000000000004</v>
      </c>
      <c r="W60" s="2994">
        <v>4.8029000000000002</v>
      </c>
      <c r="X60" s="2994">
        <v>4.7375999999999996</v>
      </c>
      <c r="Y60" s="2994">
        <v>4.9020999999999999</v>
      </c>
      <c r="Z60" s="2994">
        <v>4.8407</v>
      </c>
      <c r="AA60" s="2994">
        <v>4.7888000000000002</v>
      </c>
      <c r="AB60" s="2994">
        <v>4.8326000000000002</v>
      </c>
      <c r="AC60" s="2994">
        <v>4.8334999999999999</v>
      </c>
      <c r="AD60" s="2994">
        <v>4.1260000000000003</v>
      </c>
      <c r="AE60" s="2994">
        <v>4.0810000000000004</v>
      </c>
      <c r="AF60" s="2994">
        <v>4.1443000000000003</v>
      </c>
      <c r="AG60" s="2994">
        <v>4.0488</v>
      </c>
      <c r="AH60" s="2994">
        <v>4.1879999999999997</v>
      </c>
      <c r="AI60" s="2994">
        <v>4.3164999999999996</v>
      </c>
      <c r="AJ60" s="2994">
        <v>4.2651000000000003</v>
      </c>
      <c r="AK60" s="2994">
        <v>4.1523000000000003</v>
      </c>
      <c r="AL60" s="2994">
        <v>4.0327999999999999</v>
      </c>
      <c r="AM60" s="2994">
        <v>3.9340000000000002</v>
      </c>
      <c r="AN60" s="2994">
        <v>4.0125999999999999</v>
      </c>
      <c r="AO60" s="2994">
        <v>4.1151</v>
      </c>
      <c r="AP60" s="2994">
        <v>3.8119999999999998</v>
      </c>
      <c r="AQ60" s="2994">
        <v>3.7704</v>
      </c>
      <c r="AR60" s="2994">
        <v>3.9346000000000001</v>
      </c>
      <c r="AS60" s="2994">
        <v>3.7494000000000001</v>
      </c>
      <c r="AT60" s="2994">
        <v>3.8241999999999998</v>
      </c>
      <c r="AU60" s="2994">
        <v>3.9615</v>
      </c>
      <c r="AV60" s="2994">
        <v>3.9217</v>
      </c>
      <c r="AW60" s="2994">
        <v>4.2297000000000002</v>
      </c>
      <c r="AX60" s="2994">
        <v>4.1535000000000002</v>
      </c>
      <c r="AY60" s="2994">
        <v>4.0960999999999999</v>
      </c>
      <c r="AZ60" s="2994">
        <v>4.1753</v>
      </c>
      <c r="BA60" s="2994">
        <v>4.2556000000000003</v>
      </c>
      <c r="BB60" s="2994">
        <v>4.3033000000000001</v>
      </c>
      <c r="BC60" s="2994">
        <v>4.3041999999999998</v>
      </c>
      <c r="BD60" s="3471">
        <v>4.2755000000000001</v>
      </c>
      <c r="BE60" s="3471">
        <v>4.2607999999999997</v>
      </c>
      <c r="BF60" s="3471">
        <v>0</v>
      </c>
    </row>
    <row r="61" spans="1:58">
      <c r="A61" s="1817" t="str">
        <f t="shared" si="0"/>
        <v>AfricaGarlic</v>
      </c>
      <c r="B61" s="1818" t="s">
        <v>297</v>
      </c>
      <c r="C61" s="1818" t="s">
        <v>7328</v>
      </c>
      <c r="D61" s="3463" t="str">
        <f>VLOOKUP(B61,List_Yield!$G$4:$J$14,4,FALSE)</f>
        <v>Africa</v>
      </c>
      <c r="E61" s="3463" t="str">
        <f t="shared" ref="E61:E124" si="2">CONCATENATE(D61,C61)</f>
        <v>AfricaGarlic</v>
      </c>
      <c r="F61" s="2994">
        <v>10.4878</v>
      </c>
      <c r="G61" s="2994">
        <v>10.8271</v>
      </c>
      <c r="H61" s="2994">
        <v>12.4322</v>
      </c>
      <c r="I61" s="2994">
        <v>10.3451</v>
      </c>
      <c r="J61" s="2994">
        <v>11.559100000000001</v>
      </c>
      <c r="K61" s="2994">
        <v>13.2128</v>
      </c>
      <c r="L61" s="2994">
        <v>11.668200000000001</v>
      </c>
      <c r="M61" s="2994">
        <v>12.1265</v>
      </c>
      <c r="N61" s="2994">
        <v>25.432700000000001</v>
      </c>
      <c r="O61" s="2994">
        <v>25.360099999999999</v>
      </c>
      <c r="P61" s="2994">
        <v>18.822600000000001</v>
      </c>
      <c r="Q61" s="2994">
        <v>21.321999999999999</v>
      </c>
      <c r="R61" s="2994">
        <v>26.452100000000002</v>
      </c>
      <c r="S61" s="2994">
        <v>23.063099999999999</v>
      </c>
      <c r="T61" s="2994">
        <v>16.0534</v>
      </c>
      <c r="U61" s="2994">
        <v>17.216200000000001</v>
      </c>
      <c r="V61" s="2994">
        <v>19.943100000000001</v>
      </c>
      <c r="W61" s="2994">
        <v>16.682700000000001</v>
      </c>
      <c r="X61" s="2994">
        <v>16.438600000000001</v>
      </c>
      <c r="Y61" s="2994">
        <v>16.700600000000001</v>
      </c>
      <c r="Z61" s="2994">
        <v>15.6996</v>
      </c>
      <c r="AA61" s="2994">
        <v>15.570600000000001</v>
      </c>
      <c r="AB61" s="2994">
        <v>17.186800000000002</v>
      </c>
      <c r="AC61" s="2994">
        <v>14.537599999999999</v>
      </c>
      <c r="AD61" s="2994">
        <v>9.7091999999999992</v>
      </c>
      <c r="AE61" s="2994">
        <v>9.0588999999999995</v>
      </c>
      <c r="AF61" s="2994">
        <v>10.6584</v>
      </c>
      <c r="AG61" s="2994">
        <v>10.331</v>
      </c>
      <c r="AH61" s="2994">
        <v>10.7537</v>
      </c>
      <c r="AI61" s="2994">
        <v>12.778700000000001</v>
      </c>
      <c r="AJ61" s="2994">
        <v>14.760999999999999</v>
      </c>
      <c r="AK61" s="2994">
        <v>13.0091</v>
      </c>
      <c r="AL61" s="2994">
        <v>15.0885</v>
      </c>
      <c r="AM61" s="2994">
        <v>9.5254999999999992</v>
      </c>
      <c r="AN61" s="2994">
        <v>9.7678999999999991</v>
      </c>
      <c r="AO61" s="2994">
        <v>12.8977</v>
      </c>
      <c r="AP61" s="2994">
        <v>10.714399999999999</v>
      </c>
      <c r="AQ61" s="2994">
        <v>10.7721</v>
      </c>
      <c r="AR61" s="2994">
        <v>11.7189</v>
      </c>
      <c r="AS61" s="2994">
        <v>12.1569</v>
      </c>
      <c r="AT61" s="2994">
        <v>12.211600000000001</v>
      </c>
      <c r="AU61" s="2994">
        <v>12.122999999999999</v>
      </c>
      <c r="AV61" s="2994">
        <v>10.731299999999999</v>
      </c>
      <c r="AW61" s="2994">
        <v>11.587899999999999</v>
      </c>
      <c r="AX61" s="2994">
        <v>10.849600000000001</v>
      </c>
      <c r="AY61" s="2994">
        <v>9.2906999999999993</v>
      </c>
      <c r="AZ61" s="2994">
        <v>10.2226</v>
      </c>
      <c r="BA61" s="2994">
        <v>13.2826</v>
      </c>
      <c r="BB61" s="2994">
        <v>10.981999999999999</v>
      </c>
      <c r="BC61" s="2994">
        <v>11.730700000000001</v>
      </c>
      <c r="BD61" s="3471">
        <v>11.6555</v>
      </c>
      <c r="BE61" s="3471">
        <v>12.195</v>
      </c>
      <c r="BF61" s="3471">
        <v>0</v>
      </c>
    </row>
    <row r="62" spans="1:58">
      <c r="A62" s="1817" t="str">
        <f t="shared" si="0"/>
        <v>AfricaGinger</v>
      </c>
      <c r="B62" s="1818" t="s">
        <v>297</v>
      </c>
      <c r="C62" s="1818" t="s">
        <v>7329</v>
      </c>
      <c r="D62" s="3463" t="str">
        <f>VLOOKUP(B62,List_Yield!$G$4:$J$14,4,FALSE)</f>
        <v>Africa</v>
      </c>
      <c r="E62" s="3463" t="str">
        <f t="shared" si="2"/>
        <v>AfricaGinger</v>
      </c>
      <c r="F62" s="2994">
        <v>0.5</v>
      </c>
      <c r="G62" s="2994">
        <v>0.5</v>
      </c>
      <c r="H62" s="2994">
        <v>0.5</v>
      </c>
      <c r="I62" s="2994">
        <v>0.5</v>
      </c>
      <c r="J62" s="2994">
        <v>0.5</v>
      </c>
      <c r="K62" s="2994">
        <v>0.5</v>
      </c>
      <c r="L62" s="2994">
        <v>0.5</v>
      </c>
      <c r="M62" s="2994">
        <v>0.5</v>
      </c>
      <c r="N62" s="2994">
        <v>0.5</v>
      </c>
      <c r="O62" s="2994">
        <v>0.5</v>
      </c>
      <c r="P62" s="2994">
        <v>0.5</v>
      </c>
      <c r="Q62" s="2994">
        <v>0.5</v>
      </c>
      <c r="R62" s="2994">
        <v>0.5</v>
      </c>
      <c r="S62" s="2994">
        <v>0.5</v>
      </c>
      <c r="T62" s="2994">
        <v>0.5</v>
      </c>
      <c r="U62" s="2994">
        <v>0.5</v>
      </c>
      <c r="V62" s="2994">
        <v>0.5</v>
      </c>
      <c r="W62" s="2994">
        <v>0.5</v>
      </c>
      <c r="X62" s="2994">
        <v>0.5</v>
      </c>
      <c r="Y62" s="2994">
        <v>0.5</v>
      </c>
      <c r="Z62" s="2994">
        <v>0.5</v>
      </c>
      <c r="AA62" s="2994">
        <v>0.6</v>
      </c>
      <c r="AB62" s="2994">
        <v>0.53669999999999995</v>
      </c>
      <c r="AC62" s="2994">
        <v>0.52500000000000002</v>
      </c>
      <c r="AD62" s="2994">
        <v>0.5202</v>
      </c>
      <c r="AE62" s="2994">
        <v>0.51149999999999995</v>
      </c>
      <c r="AF62" s="2994">
        <v>0.50890000000000002</v>
      </c>
      <c r="AG62" s="2994">
        <v>0.51049999999999995</v>
      </c>
      <c r="AH62" s="2994">
        <v>0.51280000000000003</v>
      </c>
      <c r="AI62" s="2994">
        <v>0.52539999999999998</v>
      </c>
      <c r="AJ62" s="2994">
        <v>0.52039999999999997</v>
      </c>
      <c r="AK62" s="2994">
        <v>0.53910000000000002</v>
      </c>
      <c r="AL62" s="2994">
        <v>0.56710000000000005</v>
      </c>
      <c r="AM62" s="2994">
        <v>0.57150000000000001</v>
      </c>
      <c r="AN62" s="2994">
        <v>0.56620000000000004</v>
      </c>
      <c r="AO62" s="2994">
        <v>0.57609999999999995</v>
      </c>
      <c r="AP62" s="2994">
        <v>0.5736</v>
      </c>
      <c r="AQ62" s="2994">
        <v>0.5998</v>
      </c>
      <c r="AR62" s="2994">
        <v>0.68500000000000005</v>
      </c>
      <c r="AS62" s="2994">
        <v>0.70589999999999997</v>
      </c>
      <c r="AT62" s="2994">
        <v>0.74</v>
      </c>
      <c r="AU62" s="2994">
        <v>0.7369</v>
      </c>
      <c r="AV62" s="2994">
        <v>0.75280000000000002</v>
      </c>
      <c r="AW62" s="2994">
        <v>0.78810000000000002</v>
      </c>
      <c r="AX62" s="2994">
        <v>0.79039999999999999</v>
      </c>
      <c r="AY62" s="2994">
        <v>0.81540000000000001</v>
      </c>
      <c r="AZ62" s="2994">
        <v>3.5861000000000001</v>
      </c>
      <c r="BA62" s="2994">
        <v>3.3877999999999999</v>
      </c>
      <c r="BB62" s="2994">
        <v>3.6594000000000002</v>
      </c>
      <c r="BC62" s="2994">
        <v>3.7000999999999999</v>
      </c>
      <c r="BD62" s="3471">
        <v>3.8454999999999999</v>
      </c>
      <c r="BE62" s="3471">
        <v>3.8546999999999998</v>
      </c>
      <c r="BF62" s="3471">
        <v>0</v>
      </c>
    </row>
    <row r="63" spans="1:58">
      <c r="A63" s="1817" t="str">
        <f t="shared" si="0"/>
        <v>AfricaGooseberries</v>
      </c>
      <c r="B63" s="1818" t="s">
        <v>297</v>
      </c>
      <c r="C63" s="1818" t="s">
        <v>7330</v>
      </c>
      <c r="D63" s="3463" t="str">
        <f>VLOOKUP(B63,List_Yield!$G$4:$J$14,4,FALSE)</f>
        <v>Africa</v>
      </c>
      <c r="E63" s="3463" t="str">
        <f t="shared" si="2"/>
        <v>AfricaGooseberries</v>
      </c>
      <c r="F63" s="2994">
        <v>0</v>
      </c>
      <c r="G63" s="2994">
        <v>0</v>
      </c>
      <c r="H63" s="2994">
        <v>0</v>
      </c>
      <c r="I63" s="2994">
        <v>0</v>
      </c>
      <c r="J63" s="2994">
        <v>0</v>
      </c>
      <c r="K63" s="2994">
        <v>0</v>
      </c>
      <c r="L63" s="2994">
        <v>0</v>
      </c>
      <c r="M63" s="2994">
        <v>0</v>
      </c>
      <c r="N63" s="2994">
        <v>0</v>
      </c>
      <c r="O63" s="2994">
        <v>0</v>
      </c>
      <c r="P63" s="2994">
        <v>0</v>
      </c>
      <c r="Q63" s="2994">
        <v>0</v>
      </c>
      <c r="R63" s="2994">
        <v>0</v>
      </c>
      <c r="S63" s="2994">
        <v>0</v>
      </c>
      <c r="T63" s="2994">
        <v>0</v>
      </c>
      <c r="U63" s="2994">
        <v>0</v>
      </c>
      <c r="V63" s="2994">
        <v>0</v>
      </c>
      <c r="W63" s="2994">
        <v>0</v>
      </c>
      <c r="X63" s="2994">
        <v>0</v>
      </c>
      <c r="Y63" s="2994">
        <v>0</v>
      </c>
      <c r="Z63" s="2994">
        <v>0</v>
      </c>
      <c r="AA63" s="2994">
        <v>0</v>
      </c>
      <c r="AB63" s="2994">
        <v>0</v>
      </c>
      <c r="AC63" s="2994">
        <v>0</v>
      </c>
      <c r="AD63" s="2994">
        <v>0</v>
      </c>
      <c r="AE63" s="2994">
        <v>0</v>
      </c>
      <c r="AF63" s="2994">
        <v>0</v>
      </c>
      <c r="AG63" s="2994">
        <v>0</v>
      </c>
      <c r="AH63" s="2994">
        <v>0</v>
      </c>
      <c r="AI63" s="2994">
        <v>0</v>
      </c>
      <c r="AJ63" s="2994">
        <v>0</v>
      </c>
      <c r="AK63" s="2994">
        <v>0</v>
      </c>
      <c r="AL63" s="2994">
        <v>0</v>
      </c>
      <c r="AM63" s="2994">
        <v>0</v>
      </c>
      <c r="AN63" s="2994">
        <v>0</v>
      </c>
      <c r="AO63" s="2994">
        <v>0</v>
      </c>
      <c r="AP63" s="2994">
        <v>0</v>
      </c>
      <c r="AQ63" s="2994">
        <v>0</v>
      </c>
      <c r="AR63" s="2994">
        <v>0</v>
      </c>
      <c r="AS63" s="2994">
        <v>0</v>
      </c>
      <c r="AT63" s="2994">
        <v>0</v>
      </c>
      <c r="AU63" s="2994">
        <v>0</v>
      </c>
      <c r="AV63" s="2994">
        <v>0</v>
      </c>
      <c r="AW63" s="2994">
        <v>0</v>
      </c>
      <c r="AX63" s="2994">
        <v>0</v>
      </c>
      <c r="AY63" s="2994">
        <v>0</v>
      </c>
      <c r="AZ63" s="2994">
        <v>0</v>
      </c>
      <c r="BA63" s="2994">
        <v>0</v>
      </c>
      <c r="BB63" s="2994">
        <v>0</v>
      </c>
      <c r="BC63" s="2994">
        <v>0</v>
      </c>
      <c r="BD63" s="3471">
        <v>0</v>
      </c>
      <c r="BE63" s="3471">
        <v>0</v>
      </c>
      <c r="BF63" s="3471">
        <v>0</v>
      </c>
    </row>
    <row r="64" spans="1:58">
      <c r="A64" s="1817" t="str">
        <f t="shared" si="0"/>
        <v>AfricaGrain, mixed</v>
      </c>
      <c r="B64" s="1818" t="s">
        <v>297</v>
      </c>
      <c r="C64" s="1818" t="s">
        <v>7331</v>
      </c>
      <c r="D64" s="3463" t="str">
        <f>VLOOKUP(B64,List_Yield!$G$4:$J$14,4,FALSE)</f>
        <v>Africa</v>
      </c>
      <c r="E64" s="3463" t="str">
        <f t="shared" si="2"/>
        <v>AfricaGrain, mixed</v>
      </c>
      <c r="F64" s="2994">
        <v>0</v>
      </c>
      <c r="G64" s="2994">
        <v>0</v>
      </c>
      <c r="H64" s="2994">
        <v>0</v>
      </c>
      <c r="I64" s="2994">
        <v>0</v>
      </c>
      <c r="J64" s="2994">
        <v>0</v>
      </c>
      <c r="K64" s="2994">
        <v>0</v>
      </c>
      <c r="L64" s="2994">
        <v>0</v>
      </c>
      <c r="M64" s="2994">
        <v>0</v>
      </c>
      <c r="N64" s="2994">
        <v>0</v>
      </c>
      <c r="O64" s="2994">
        <v>0</v>
      </c>
      <c r="P64" s="2994">
        <v>0</v>
      </c>
      <c r="Q64" s="2994">
        <v>0</v>
      </c>
      <c r="R64" s="2994">
        <v>0</v>
      </c>
      <c r="S64" s="2994">
        <v>0</v>
      </c>
      <c r="T64" s="2994">
        <v>0</v>
      </c>
      <c r="U64" s="2994">
        <v>0</v>
      </c>
      <c r="V64" s="2994">
        <v>0</v>
      </c>
      <c r="W64" s="2994">
        <v>0</v>
      </c>
      <c r="X64" s="2994">
        <v>0</v>
      </c>
      <c r="Y64" s="2994">
        <v>0</v>
      </c>
      <c r="Z64" s="2994">
        <v>0</v>
      </c>
      <c r="AA64" s="2994">
        <v>0</v>
      </c>
      <c r="AB64" s="2994">
        <v>0</v>
      </c>
      <c r="AC64" s="2994">
        <v>0</v>
      </c>
      <c r="AD64" s="2994">
        <v>0</v>
      </c>
      <c r="AE64" s="2994">
        <v>0</v>
      </c>
      <c r="AF64" s="2994">
        <v>0</v>
      </c>
      <c r="AG64" s="2994">
        <v>0</v>
      </c>
      <c r="AH64" s="2994">
        <v>0</v>
      </c>
      <c r="AI64" s="2994">
        <v>0</v>
      </c>
      <c r="AJ64" s="2994">
        <v>0</v>
      </c>
      <c r="AK64" s="2994">
        <v>0</v>
      </c>
      <c r="AL64" s="2994">
        <v>0</v>
      </c>
      <c r="AM64" s="2994">
        <v>0</v>
      </c>
      <c r="AN64" s="2994">
        <v>0</v>
      </c>
      <c r="AO64" s="2994">
        <v>0</v>
      </c>
      <c r="AP64" s="2994">
        <v>0</v>
      </c>
      <c r="AQ64" s="2994">
        <v>0</v>
      </c>
      <c r="AR64" s="2994">
        <v>0</v>
      </c>
      <c r="AS64" s="2994">
        <v>0</v>
      </c>
      <c r="AT64" s="2994">
        <v>0</v>
      </c>
      <c r="AU64" s="2994">
        <v>0</v>
      </c>
      <c r="AV64" s="2994">
        <v>0</v>
      </c>
      <c r="AW64" s="2994">
        <v>0</v>
      </c>
      <c r="AX64" s="2994">
        <v>0</v>
      </c>
      <c r="AY64" s="2994">
        <v>0</v>
      </c>
      <c r="AZ64" s="2994">
        <v>0</v>
      </c>
      <c r="BA64" s="2994">
        <v>0</v>
      </c>
      <c r="BB64" s="2994">
        <v>0</v>
      </c>
      <c r="BC64" s="2994">
        <v>0</v>
      </c>
      <c r="BD64" s="3471">
        <v>0</v>
      </c>
      <c r="BE64" s="3471">
        <v>0</v>
      </c>
      <c r="BF64" s="3471">
        <v>0</v>
      </c>
    </row>
    <row r="65" spans="1:58">
      <c r="A65" s="1817" t="str">
        <f t="shared" si="0"/>
        <v>AfricaGrapefruit (inc. pomelos)</v>
      </c>
      <c r="B65" s="1818" t="s">
        <v>297</v>
      </c>
      <c r="C65" s="1818" t="s">
        <v>1351</v>
      </c>
      <c r="D65" s="3463" t="str">
        <f>VLOOKUP(B65,List_Yield!$G$4:$J$14,4,FALSE)</f>
        <v>Africa</v>
      </c>
      <c r="E65" s="3463" t="str">
        <f t="shared" si="2"/>
        <v>AfricaGrapefruit (inc. pomelos)</v>
      </c>
      <c r="F65" s="2994">
        <v>14.3117</v>
      </c>
      <c r="G65" s="2994">
        <v>14.5892</v>
      </c>
      <c r="H65" s="2994">
        <v>14.3971</v>
      </c>
      <c r="I65" s="2994">
        <v>14.569699999999999</v>
      </c>
      <c r="J65" s="2994">
        <v>14.2827</v>
      </c>
      <c r="K65" s="2994">
        <v>15.2692</v>
      </c>
      <c r="L65" s="2994">
        <v>15.629200000000001</v>
      </c>
      <c r="M65" s="2994">
        <v>15.3466</v>
      </c>
      <c r="N65" s="2994">
        <v>15.5732</v>
      </c>
      <c r="O65" s="2994">
        <v>15.484</v>
      </c>
      <c r="P65" s="2994">
        <v>15.622999999999999</v>
      </c>
      <c r="Q65" s="2994">
        <v>17.1968</v>
      </c>
      <c r="R65" s="2994">
        <v>16.202999999999999</v>
      </c>
      <c r="S65" s="2994">
        <v>15.987399999999999</v>
      </c>
      <c r="T65" s="2994">
        <v>14.7447</v>
      </c>
      <c r="U65" s="2994">
        <v>15.039400000000001</v>
      </c>
      <c r="V65" s="2994">
        <v>14.988</v>
      </c>
      <c r="W65" s="2994">
        <v>16.421500000000002</v>
      </c>
      <c r="X65" s="2994">
        <v>16.4587</v>
      </c>
      <c r="Y65" s="2994">
        <v>16.2956</v>
      </c>
      <c r="Z65" s="2994">
        <v>16.607099999999999</v>
      </c>
      <c r="AA65" s="2994">
        <v>14.6471</v>
      </c>
      <c r="AB65" s="2994">
        <v>14.469799999999999</v>
      </c>
      <c r="AC65" s="2994">
        <v>14.608499999999999</v>
      </c>
      <c r="AD65" s="2994">
        <v>12.690300000000001</v>
      </c>
      <c r="AE65" s="2994">
        <v>13.8469</v>
      </c>
      <c r="AF65" s="2994">
        <v>14.902699999999999</v>
      </c>
      <c r="AG65" s="2994">
        <v>14.5608</v>
      </c>
      <c r="AH65" s="2994">
        <v>15.091900000000001</v>
      </c>
      <c r="AI65" s="2994">
        <v>13.5649</v>
      </c>
      <c r="AJ65" s="2994">
        <v>14.138999999999999</v>
      </c>
      <c r="AK65" s="2994">
        <v>13.536899999999999</v>
      </c>
      <c r="AL65" s="2994">
        <v>12.8132</v>
      </c>
      <c r="AM65" s="2994">
        <v>13.8589</v>
      </c>
      <c r="AN65" s="2994">
        <v>13.620100000000001</v>
      </c>
      <c r="AO65" s="2994">
        <v>14.3774</v>
      </c>
      <c r="AP65" s="2994">
        <v>13.6418</v>
      </c>
      <c r="AQ65" s="2994">
        <v>15.2918</v>
      </c>
      <c r="AR65" s="2994">
        <v>16.0778</v>
      </c>
      <c r="AS65" s="2994">
        <v>17.719899999999999</v>
      </c>
      <c r="AT65" s="2994">
        <v>16.2728</v>
      </c>
      <c r="AU65" s="2994">
        <v>15.9916</v>
      </c>
      <c r="AV65" s="2994">
        <v>16.809100000000001</v>
      </c>
      <c r="AW65" s="2994">
        <v>16.6752</v>
      </c>
      <c r="AX65" s="2994">
        <v>17.065799999999999</v>
      </c>
      <c r="AY65" s="2994">
        <v>17.3232</v>
      </c>
      <c r="AZ65" s="2994">
        <v>16.8093</v>
      </c>
      <c r="BA65" s="2994">
        <v>16.606100000000001</v>
      </c>
      <c r="BB65" s="2994">
        <v>17.452500000000001</v>
      </c>
      <c r="BC65" s="2994">
        <v>16.169899999999998</v>
      </c>
      <c r="BD65" s="3471">
        <v>17.061800000000002</v>
      </c>
      <c r="BE65" s="3471">
        <v>16.098199999999999</v>
      </c>
      <c r="BF65" s="3471">
        <v>0</v>
      </c>
    </row>
    <row r="66" spans="1:58">
      <c r="A66" s="1817" t="str">
        <f t="shared" ref="A66:A129" si="3">CONCATENATE(B66,C66)</f>
        <v>AfricaGrapes</v>
      </c>
      <c r="B66" s="1818" t="s">
        <v>297</v>
      </c>
      <c r="C66" s="1818" t="s">
        <v>1352</v>
      </c>
      <c r="D66" s="3463" t="str">
        <f>VLOOKUP(B66,List_Yield!$G$4:$J$14,4,FALSE)</f>
        <v>Africa</v>
      </c>
      <c r="E66" s="3463" t="str">
        <f t="shared" si="2"/>
        <v>AfricaGrapes</v>
      </c>
      <c r="F66" s="2994">
        <v>5.5987999999999998</v>
      </c>
      <c r="G66" s="2994">
        <v>5.3311000000000002</v>
      </c>
      <c r="H66" s="2994">
        <v>5.5838000000000001</v>
      </c>
      <c r="I66" s="2994">
        <v>4.9690000000000003</v>
      </c>
      <c r="J66" s="2994">
        <v>6.2990000000000004</v>
      </c>
      <c r="K66" s="2994">
        <v>4.2172000000000001</v>
      </c>
      <c r="L66" s="2994">
        <v>4.1016000000000004</v>
      </c>
      <c r="M66" s="2994">
        <v>5.5503</v>
      </c>
      <c r="N66" s="2994">
        <v>4.8461999999999996</v>
      </c>
      <c r="O66" s="2994">
        <v>4.6116999999999999</v>
      </c>
      <c r="P66" s="2994">
        <v>5.3536000000000001</v>
      </c>
      <c r="Q66" s="2994">
        <v>4.5880000000000001</v>
      </c>
      <c r="R66" s="2994">
        <v>4.9055999999999997</v>
      </c>
      <c r="S66" s="2994">
        <v>5.0076000000000001</v>
      </c>
      <c r="T66" s="2994">
        <v>4.8882000000000003</v>
      </c>
      <c r="U66" s="2994">
        <v>4.7331000000000003</v>
      </c>
      <c r="V66" s="2994">
        <v>3.9579</v>
      </c>
      <c r="W66" s="2994">
        <v>4.0232999999999999</v>
      </c>
      <c r="X66" s="2994">
        <v>4.7385999999999999</v>
      </c>
      <c r="Y66" s="2994">
        <v>5.0841000000000003</v>
      </c>
      <c r="Z66" s="2994">
        <v>5.2771999999999997</v>
      </c>
      <c r="AA66" s="2994">
        <v>5.0136000000000003</v>
      </c>
      <c r="AB66" s="2994">
        <v>5.6589999999999998</v>
      </c>
      <c r="AC66" s="2994">
        <v>6.085</v>
      </c>
      <c r="AD66" s="2994">
        <v>6.2804000000000002</v>
      </c>
      <c r="AE66" s="2994">
        <v>6.7378999999999998</v>
      </c>
      <c r="AF66" s="2994">
        <v>6.7656999999999998</v>
      </c>
      <c r="AG66" s="2994">
        <v>7.2447999999999997</v>
      </c>
      <c r="AH66" s="2994">
        <v>7.5605000000000002</v>
      </c>
      <c r="AI66" s="2994">
        <v>8.0128000000000004</v>
      </c>
      <c r="AJ66" s="2994">
        <v>8.1477000000000004</v>
      </c>
      <c r="AK66" s="2994">
        <v>8.5077999999999996</v>
      </c>
      <c r="AL66" s="2994">
        <v>8.1976999999999993</v>
      </c>
      <c r="AM66" s="2994">
        <v>8.3539999999999992</v>
      </c>
      <c r="AN66" s="2994">
        <v>8.7759999999999998</v>
      </c>
      <c r="AO66" s="2994">
        <v>9.7207000000000008</v>
      </c>
      <c r="AP66" s="2994">
        <v>9.8231999999999999</v>
      </c>
      <c r="AQ66" s="2994">
        <v>9.5081000000000007</v>
      </c>
      <c r="AR66" s="2994">
        <v>10.8028</v>
      </c>
      <c r="AS66" s="2994">
        <v>10.423999999999999</v>
      </c>
      <c r="AT66" s="2994">
        <v>9.5510999999999999</v>
      </c>
      <c r="AU66" s="2994">
        <v>10.2508</v>
      </c>
      <c r="AV66" s="2994">
        <v>11.432600000000001</v>
      </c>
      <c r="AW66" s="2994">
        <v>11.837400000000001</v>
      </c>
      <c r="AX66" s="2994">
        <v>11.726000000000001</v>
      </c>
      <c r="AY66" s="2994">
        <v>11.708500000000001</v>
      </c>
      <c r="AZ66" s="2994">
        <v>11.3268</v>
      </c>
      <c r="BA66" s="2994">
        <v>12.0985</v>
      </c>
      <c r="BB66" s="2994">
        <v>12.0632</v>
      </c>
      <c r="BC66" s="2994">
        <v>12.3621</v>
      </c>
      <c r="BD66" s="3471">
        <v>11.4618</v>
      </c>
      <c r="BE66" s="3471">
        <v>12.090199999999999</v>
      </c>
      <c r="BF66" s="3471">
        <v>0</v>
      </c>
    </row>
    <row r="67" spans="1:58">
      <c r="A67" s="1817" t="str">
        <f t="shared" si="3"/>
        <v>AfricaGroundnuts, with shell</v>
      </c>
      <c r="B67" s="1818" t="s">
        <v>297</v>
      </c>
      <c r="C67" s="1818" t="s">
        <v>1353</v>
      </c>
      <c r="D67" s="3463" t="str">
        <f>VLOOKUP(B67,List_Yield!$G$4:$J$14,4,FALSE)</f>
        <v>Africa</v>
      </c>
      <c r="E67" s="3463" t="str">
        <f t="shared" si="2"/>
        <v>AfricaGroundnuts, with shell</v>
      </c>
      <c r="F67" s="2994">
        <v>0.83099999999999996</v>
      </c>
      <c r="G67" s="2994">
        <v>0.89849999999999997</v>
      </c>
      <c r="H67" s="2994">
        <v>0.84760000000000002</v>
      </c>
      <c r="I67" s="2994">
        <v>0.80920000000000003</v>
      </c>
      <c r="J67" s="2994">
        <v>0.80640000000000001</v>
      </c>
      <c r="K67" s="2994">
        <v>0.76100000000000001</v>
      </c>
      <c r="L67" s="2994">
        <v>0.77659999999999996</v>
      </c>
      <c r="M67" s="2994">
        <v>0.75839999999999996</v>
      </c>
      <c r="N67" s="2994">
        <v>0.8286</v>
      </c>
      <c r="O67" s="2994">
        <v>0.73099999999999998</v>
      </c>
      <c r="P67" s="2994">
        <v>0.76849999999999996</v>
      </c>
      <c r="Q67" s="2994">
        <v>0.70540000000000003</v>
      </c>
      <c r="R67" s="2994">
        <v>0.61699999999999999</v>
      </c>
      <c r="S67" s="2994">
        <v>0.90839999999999999</v>
      </c>
      <c r="T67" s="2994">
        <v>0.71220000000000006</v>
      </c>
      <c r="U67" s="2994">
        <v>0.79759999999999998</v>
      </c>
      <c r="V67" s="2994">
        <v>0.73029999999999995</v>
      </c>
      <c r="W67" s="2994">
        <v>0.77639999999999998</v>
      </c>
      <c r="X67" s="2994">
        <v>0.71819999999999995</v>
      </c>
      <c r="Y67" s="2994">
        <v>0.68359999999999999</v>
      </c>
      <c r="Z67" s="2994">
        <v>0.7288</v>
      </c>
      <c r="AA67" s="2994">
        <v>0.71840000000000004</v>
      </c>
      <c r="AB67" s="2994">
        <v>0.60940000000000005</v>
      </c>
      <c r="AC67" s="2994">
        <v>0.61329999999999996</v>
      </c>
      <c r="AD67" s="2994">
        <v>0.76370000000000005</v>
      </c>
      <c r="AE67" s="2994">
        <v>0.80230000000000001</v>
      </c>
      <c r="AF67" s="2994">
        <v>0.78039999999999998</v>
      </c>
      <c r="AG67" s="2994">
        <v>0.85680000000000001</v>
      </c>
      <c r="AH67" s="2994">
        <v>0.83199999999999996</v>
      </c>
      <c r="AI67" s="2994">
        <v>0.81530000000000002</v>
      </c>
      <c r="AJ67" s="2994">
        <v>0.82099999999999995</v>
      </c>
      <c r="AK67" s="2994">
        <v>0.74270000000000003</v>
      </c>
      <c r="AL67" s="2994">
        <v>0.79969999999999997</v>
      </c>
      <c r="AM67" s="2994">
        <v>0.78649999999999998</v>
      </c>
      <c r="AN67" s="2994">
        <v>0.77490000000000003</v>
      </c>
      <c r="AO67" s="2994">
        <v>0.84109999999999996</v>
      </c>
      <c r="AP67" s="2994">
        <v>0.83909999999999996</v>
      </c>
      <c r="AQ67" s="2994">
        <v>0.83320000000000005</v>
      </c>
      <c r="AR67" s="2994">
        <v>1.0024999999999999</v>
      </c>
      <c r="AS67" s="2994">
        <v>0.95499999999999996</v>
      </c>
      <c r="AT67" s="2994">
        <v>0.97719999999999996</v>
      </c>
      <c r="AU67" s="2994">
        <v>0.95040000000000002</v>
      </c>
      <c r="AV67" s="2994">
        <v>0.97289999999999999</v>
      </c>
      <c r="AW67" s="2994">
        <v>0.97670000000000001</v>
      </c>
      <c r="AX67" s="2994">
        <v>0.98780000000000001</v>
      </c>
      <c r="AY67" s="2994">
        <v>1.0824</v>
      </c>
      <c r="AZ67" s="2994">
        <v>0.9002</v>
      </c>
      <c r="BA67" s="2994">
        <v>0.91810000000000003</v>
      </c>
      <c r="BB67" s="2994">
        <v>0.9385</v>
      </c>
      <c r="BC67" s="2994">
        <v>0.98939999999999995</v>
      </c>
      <c r="BD67" s="3471">
        <v>0.91459999999999997</v>
      </c>
      <c r="BE67" s="3471">
        <v>0.91149999999999998</v>
      </c>
      <c r="BF67" s="3471">
        <v>0.93079999999999996</v>
      </c>
    </row>
    <row r="68" spans="1:58">
      <c r="A68" s="1817" t="str">
        <f t="shared" si="3"/>
        <v>AfricaHazelnuts, with shell</v>
      </c>
      <c r="B68" s="1818" t="s">
        <v>297</v>
      </c>
      <c r="C68" s="1818" t="s">
        <v>7332</v>
      </c>
      <c r="D68" s="3463" t="str">
        <f>VLOOKUP(B68,List_Yield!$G$4:$J$14,4,FALSE)</f>
        <v>Africa</v>
      </c>
      <c r="E68" s="3463" t="str">
        <f t="shared" si="2"/>
        <v>AfricaHazelnuts, with shell</v>
      </c>
      <c r="F68" s="2994">
        <v>0</v>
      </c>
      <c r="G68" s="2994">
        <v>0</v>
      </c>
      <c r="H68" s="2994">
        <v>0</v>
      </c>
      <c r="I68" s="2994">
        <v>0</v>
      </c>
      <c r="J68" s="2994">
        <v>0</v>
      </c>
      <c r="K68" s="2994">
        <v>0</v>
      </c>
      <c r="L68" s="2994">
        <v>0</v>
      </c>
      <c r="M68" s="2994">
        <v>0</v>
      </c>
      <c r="N68" s="2994">
        <v>0</v>
      </c>
      <c r="O68" s="2994">
        <v>0</v>
      </c>
      <c r="P68" s="2994">
        <v>0</v>
      </c>
      <c r="Q68" s="2994">
        <v>0</v>
      </c>
      <c r="R68" s="2994">
        <v>0</v>
      </c>
      <c r="S68" s="2994">
        <v>0</v>
      </c>
      <c r="T68" s="2994">
        <v>0</v>
      </c>
      <c r="U68" s="2994">
        <v>0</v>
      </c>
      <c r="V68" s="2994">
        <v>0</v>
      </c>
      <c r="W68" s="2994">
        <v>0</v>
      </c>
      <c r="X68" s="2994">
        <v>0</v>
      </c>
      <c r="Y68" s="2994">
        <v>0</v>
      </c>
      <c r="Z68" s="2994">
        <v>0</v>
      </c>
      <c r="AA68" s="2994">
        <v>0</v>
      </c>
      <c r="AB68" s="2994">
        <v>0</v>
      </c>
      <c r="AC68" s="2994">
        <v>0</v>
      </c>
      <c r="AD68" s="2994">
        <v>0</v>
      </c>
      <c r="AE68" s="2994">
        <v>0</v>
      </c>
      <c r="AF68" s="2994">
        <v>0</v>
      </c>
      <c r="AG68" s="2994">
        <v>0</v>
      </c>
      <c r="AH68" s="2994">
        <v>5</v>
      </c>
      <c r="AI68" s="2994">
        <v>4.3333000000000004</v>
      </c>
      <c r="AJ68" s="2994">
        <v>4.0286</v>
      </c>
      <c r="AK68" s="2994">
        <v>3.8717999999999999</v>
      </c>
      <c r="AL68" s="2994">
        <v>3.9722</v>
      </c>
      <c r="AM68" s="2994">
        <v>3.9750000000000001</v>
      </c>
      <c r="AN68" s="2994">
        <v>4.3902000000000001</v>
      </c>
      <c r="AO68" s="2994">
        <v>5.4286000000000003</v>
      </c>
      <c r="AP68" s="2994">
        <v>5.95</v>
      </c>
      <c r="AQ68" s="2994">
        <v>7.2</v>
      </c>
      <c r="AR68" s="2994">
        <v>3.6</v>
      </c>
      <c r="AS68" s="2994">
        <v>3.65</v>
      </c>
      <c r="AT68" s="2994">
        <v>3.6</v>
      </c>
      <c r="AU68" s="2994">
        <v>3.5</v>
      </c>
      <c r="AV68" s="2994">
        <v>3.6749999999999998</v>
      </c>
      <c r="AW68" s="2994">
        <v>3.1019999999999999</v>
      </c>
      <c r="AX68" s="2994">
        <v>2.7450999999999999</v>
      </c>
      <c r="AY68" s="2994">
        <v>0.92110000000000003</v>
      </c>
      <c r="AZ68" s="2994">
        <v>0.93330000000000002</v>
      </c>
      <c r="BA68" s="2994">
        <v>0.97319999999999995</v>
      </c>
      <c r="BB68" s="2994">
        <v>0.94940000000000002</v>
      </c>
      <c r="BC68" s="2994">
        <v>0.96319999999999995</v>
      </c>
      <c r="BD68" s="3471">
        <v>1.1772</v>
      </c>
      <c r="BE68" s="3471">
        <v>1.2062999999999999</v>
      </c>
      <c r="BF68" s="3471">
        <v>0</v>
      </c>
    </row>
    <row r="69" spans="1:58">
      <c r="A69" s="1817" t="str">
        <f t="shared" si="3"/>
        <v>AfricaHemp tow waste</v>
      </c>
      <c r="B69" s="1818" t="s">
        <v>297</v>
      </c>
      <c r="C69" s="1818" t="s">
        <v>7333</v>
      </c>
      <c r="D69" s="3463" t="str">
        <f>VLOOKUP(B69,List_Yield!$G$4:$J$14,4,FALSE)</f>
        <v>Africa</v>
      </c>
      <c r="E69" s="3463" t="str">
        <f t="shared" si="2"/>
        <v>AfricaHemp tow waste</v>
      </c>
      <c r="F69" s="2994">
        <v>0</v>
      </c>
      <c r="G69" s="2994">
        <v>0</v>
      </c>
      <c r="H69" s="2994">
        <v>0</v>
      </c>
      <c r="I69" s="2994">
        <v>0</v>
      </c>
      <c r="J69" s="2994">
        <v>0</v>
      </c>
      <c r="K69" s="2994">
        <v>0</v>
      </c>
      <c r="L69" s="2994">
        <v>0</v>
      </c>
      <c r="M69" s="2994">
        <v>0</v>
      </c>
      <c r="N69" s="2994">
        <v>0</v>
      </c>
      <c r="O69" s="2994">
        <v>0</v>
      </c>
      <c r="P69" s="2994">
        <v>0</v>
      </c>
      <c r="Q69" s="2994">
        <v>0</v>
      </c>
      <c r="R69" s="2994">
        <v>0</v>
      </c>
      <c r="S69" s="2994">
        <v>0</v>
      </c>
      <c r="T69" s="2994">
        <v>0</v>
      </c>
      <c r="U69" s="2994">
        <v>0</v>
      </c>
      <c r="V69" s="2994">
        <v>0</v>
      </c>
      <c r="W69" s="2994">
        <v>0</v>
      </c>
      <c r="X69" s="2994">
        <v>0</v>
      </c>
      <c r="Y69" s="2994">
        <v>0</v>
      </c>
      <c r="Z69" s="2994">
        <v>0</v>
      </c>
      <c r="AA69" s="2994">
        <v>0</v>
      </c>
      <c r="AB69" s="2994">
        <v>0</v>
      </c>
      <c r="AC69" s="2994">
        <v>0</v>
      </c>
      <c r="AD69" s="2994">
        <v>0</v>
      </c>
      <c r="AE69" s="2994">
        <v>0</v>
      </c>
      <c r="AF69" s="2994">
        <v>0</v>
      </c>
      <c r="AG69" s="2994">
        <v>0</v>
      </c>
      <c r="AH69" s="2994">
        <v>0</v>
      </c>
      <c r="AI69" s="2994">
        <v>0</v>
      </c>
      <c r="AJ69" s="2994">
        <v>0</v>
      </c>
      <c r="AK69" s="2994">
        <v>0</v>
      </c>
      <c r="AL69" s="2994">
        <v>0</v>
      </c>
      <c r="AM69" s="2994">
        <v>0</v>
      </c>
      <c r="AN69" s="2994">
        <v>0</v>
      </c>
      <c r="AO69" s="2994">
        <v>0</v>
      </c>
      <c r="AP69" s="2994">
        <v>0</v>
      </c>
      <c r="AQ69" s="2994">
        <v>0</v>
      </c>
      <c r="AR69" s="2994">
        <v>0</v>
      </c>
      <c r="AS69" s="2994">
        <v>0</v>
      </c>
      <c r="AT69" s="2994">
        <v>0</v>
      </c>
      <c r="AU69" s="2994">
        <v>0</v>
      </c>
      <c r="AV69" s="2994">
        <v>0</v>
      </c>
      <c r="AW69" s="2994">
        <v>0</v>
      </c>
      <c r="AX69" s="2994">
        <v>0</v>
      </c>
      <c r="AY69" s="2994">
        <v>0</v>
      </c>
      <c r="AZ69" s="2994">
        <v>0</v>
      </c>
      <c r="BA69" s="2994">
        <v>0</v>
      </c>
      <c r="BB69" s="2994">
        <v>0</v>
      </c>
      <c r="BC69" s="2994">
        <v>0</v>
      </c>
      <c r="BD69" s="3471">
        <v>0</v>
      </c>
      <c r="BE69" s="3471">
        <v>0</v>
      </c>
      <c r="BF69" s="3471">
        <v>0</v>
      </c>
    </row>
    <row r="70" spans="1:58">
      <c r="A70" s="1817" t="str">
        <f t="shared" si="3"/>
        <v>AfricaHempseed</v>
      </c>
      <c r="B70" s="1818" t="s">
        <v>297</v>
      </c>
      <c r="C70" s="1818" t="s">
        <v>7334</v>
      </c>
      <c r="D70" s="3463" t="str">
        <f>VLOOKUP(B70,List_Yield!$G$4:$J$14,4,FALSE)</f>
        <v>Africa</v>
      </c>
      <c r="E70" s="3463" t="str">
        <f t="shared" si="2"/>
        <v>AfricaHempseed</v>
      </c>
      <c r="F70" s="2994">
        <v>0</v>
      </c>
      <c r="G70" s="2994">
        <v>0</v>
      </c>
      <c r="H70" s="2994">
        <v>0</v>
      </c>
      <c r="I70" s="2994">
        <v>0</v>
      </c>
      <c r="J70" s="2994">
        <v>0</v>
      </c>
      <c r="K70" s="2994">
        <v>0</v>
      </c>
      <c r="L70" s="2994">
        <v>0</v>
      </c>
      <c r="M70" s="2994">
        <v>0</v>
      </c>
      <c r="N70" s="2994">
        <v>0</v>
      </c>
      <c r="O70" s="2994">
        <v>0</v>
      </c>
      <c r="P70" s="2994">
        <v>0</v>
      </c>
      <c r="Q70" s="2994">
        <v>0</v>
      </c>
      <c r="R70" s="2994">
        <v>0</v>
      </c>
      <c r="S70" s="2994">
        <v>0</v>
      </c>
      <c r="T70" s="2994">
        <v>0</v>
      </c>
      <c r="U70" s="2994">
        <v>0</v>
      </c>
      <c r="V70" s="2994">
        <v>0</v>
      </c>
      <c r="W70" s="2994">
        <v>0</v>
      </c>
      <c r="X70" s="2994">
        <v>0</v>
      </c>
      <c r="Y70" s="2994">
        <v>0</v>
      </c>
      <c r="Z70" s="2994">
        <v>0</v>
      </c>
      <c r="AA70" s="2994">
        <v>0</v>
      </c>
      <c r="AB70" s="2994">
        <v>0</v>
      </c>
      <c r="AC70" s="2994">
        <v>0</v>
      </c>
      <c r="AD70" s="2994">
        <v>0</v>
      </c>
      <c r="AE70" s="2994">
        <v>0</v>
      </c>
      <c r="AF70" s="2994">
        <v>0</v>
      </c>
      <c r="AG70" s="2994">
        <v>0</v>
      </c>
      <c r="AH70" s="2994">
        <v>0</v>
      </c>
      <c r="AI70" s="2994">
        <v>0</v>
      </c>
      <c r="AJ70" s="2994">
        <v>0</v>
      </c>
      <c r="AK70" s="2994">
        <v>0</v>
      </c>
      <c r="AL70" s="2994">
        <v>0</v>
      </c>
      <c r="AM70" s="2994">
        <v>0</v>
      </c>
      <c r="AN70" s="2994">
        <v>0</v>
      </c>
      <c r="AO70" s="2994">
        <v>0</v>
      </c>
      <c r="AP70" s="2994">
        <v>0</v>
      </c>
      <c r="AQ70" s="2994">
        <v>0</v>
      </c>
      <c r="AR70" s="2994">
        <v>0</v>
      </c>
      <c r="AS70" s="2994">
        <v>0</v>
      </c>
      <c r="AT70" s="2994">
        <v>0</v>
      </c>
      <c r="AU70" s="2994">
        <v>0</v>
      </c>
      <c r="AV70" s="2994">
        <v>0</v>
      </c>
      <c r="AW70" s="2994">
        <v>0</v>
      </c>
      <c r="AX70" s="2994">
        <v>0</v>
      </c>
      <c r="AY70" s="2994">
        <v>0</v>
      </c>
      <c r="AZ70" s="2994">
        <v>0</v>
      </c>
      <c r="BA70" s="2994">
        <v>0</v>
      </c>
      <c r="BB70" s="2994">
        <v>0</v>
      </c>
      <c r="BC70" s="2994">
        <v>0</v>
      </c>
      <c r="BD70" s="3471">
        <v>0</v>
      </c>
      <c r="BE70" s="3471">
        <v>0</v>
      </c>
      <c r="BF70" s="3471">
        <v>0</v>
      </c>
    </row>
    <row r="71" spans="1:58">
      <c r="A71" s="1817" t="str">
        <f t="shared" si="3"/>
        <v>AfricaHops</v>
      </c>
      <c r="B71" s="1818" t="s">
        <v>297</v>
      </c>
      <c r="C71" s="1818" t="s">
        <v>7335</v>
      </c>
      <c r="D71" s="3463" t="str">
        <f>VLOOKUP(B71,List_Yield!$G$4:$J$14,4,FALSE)</f>
        <v>Africa</v>
      </c>
      <c r="E71" s="3463" t="str">
        <f t="shared" si="2"/>
        <v>AfricaHops</v>
      </c>
      <c r="F71" s="2994">
        <v>0.91</v>
      </c>
      <c r="G71" s="2994">
        <v>0.9</v>
      </c>
      <c r="H71" s="2994">
        <v>0.97689999999999999</v>
      </c>
      <c r="I71" s="2994">
        <v>0.9</v>
      </c>
      <c r="J71" s="2994">
        <v>0.98570000000000002</v>
      </c>
      <c r="K71" s="2994">
        <v>0.91</v>
      </c>
      <c r="L71" s="2994">
        <v>0.45</v>
      </c>
      <c r="M71" s="2994">
        <v>0.59</v>
      </c>
      <c r="N71" s="2994">
        <v>0.64170000000000005</v>
      </c>
      <c r="O71" s="2994">
        <v>0.75829999999999997</v>
      </c>
      <c r="P71" s="2994">
        <v>0.7</v>
      </c>
      <c r="Q71" s="2994">
        <v>0.34620000000000001</v>
      </c>
      <c r="R71" s="2994">
        <v>0.32140000000000002</v>
      </c>
      <c r="S71" s="2994">
        <v>0.3145</v>
      </c>
      <c r="T71" s="2994">
        <v>0.37190000000000001</v>
      </c>
      <c r="U71" s="2994">
        <v>0.41270000000000001</v>
      </c>
      <c r="V71" s="2994">
        <v>0.39800000000000002</v>
      </c>
      <c r="W71" s="2994">
        <v>0.53110000000000002</v>
      </c>
      <c r="X71" s="2994">
        <v>0.66510000000000002</v>
      </c>
      <c r="Y71" s="2994">
        <v>0.66090000000000004</v>
      </c>
      <c r="Z71" s="2994">
        <v>0.6522</v>
      </c>
      <c r="AA71" s="2994">
        <v>0.6522</v>
      </c>
      <c r="AB71" s="2994">
        <v>0.6522</v>
      </c>
      <c r="AC71" s="2994">
        <v>0.6522</v>
      </c>
      <c r="AD71" s="2994">
        <v>0.6522</v>
      </c>
      <c r="AE71" s="2994">
        <v>0.6522</v>
      </c>
      <c r="AF71" s="2994">
        <v>0.67390000000000005</v>
      </c>
      <c r="AG71" s="2994">
        <v>0.69569999999999999</v>
      </c>
      <c r="AH71" s="2994">
        <v>0.71740000000000004</v>
      </c>
      <c r="AI71" s="2994">
        <v>1.0141</v>
      </c>
      <c r="AJ71" s="2994">
        <v>0.62729999999999997</v>
      </c>
      <c r="AK71" s="2994">
        <v>0.7</v>
      </c>
      <c r="AL71" s="2994">
        <v>1.0298</v>
      </c>
      <c r="AM71" s="2994">
        <v>1.042</v>
      </c>
      <c r="AN71" s="2994">
        <v>1.0276000000000001</v>
      </c>
      <c r="AO71" s="2994">
        <v>1.0591999999999999</v>
      </c>
      <c r="AP71" s="2994">
        <v>1.0556000000000001</v>
      </c>
      <c r="AQ71" s="2994">
        <v>1.0489999999999999</v>
      </c>
      <c r="AR71" s="2994">
        <v>1.0475000000000001</v>
      </c>
      <c r="AS71" s="2994">
        <v>1.0898000000000001</v>
      </c>
      <c r="AT71" s="2994">
        <v>1.3229</v>
      </c>
      <c r="AU71" s="2994">
        <v>1.1958</v>
      </c>
      <c r="AV71" s="2994">
        <v>1.1926000000000001</v>
      </c>
      <c r="AW71" s="2994">
        <v>1.1813</v>
      </c>
      <c r="AX71" s="2994">
        <v>0.99239999999999995</v>
      </c>
      <c r="AY71" s="2994">
        <v>1.0086999999999999</v>
      </c>
      <c r="AZ71" s="2994">
        <v>1.2769999999999999</v>
      </c>
      <c r="BA71" s="2994">
        <v>1.2350000000000001</v>
      </c>
      <c r="BB71" s="2994">
        <v>1.2810999999999999</v>
      </c>
      <c r="BC71" s="2994">
        <v>1.2885</v>
      </c>
      <c r="BD71" s="3471">
        <v>1.2790999999999999</v>
      </c>
      <c r="BE71" s="3471">
        <v>0.95340000000000003</v>
      </c>
      <c r="BF71" s="3471">
        <v>0</v>
      </c>
    </row>
    <row r="72" spans="1:58">
      <c r="A72" s="1817" t="str">
        <f t="shared" si="3"/>
        <v>AfricaJojoba seed</v>
      </c>
      <c r="B72" s="1818" t="s">
        <v>297</v>
      </c>
      <c r="C72" s="1818" t="s">
        <v>7336</v>
      </c>
      <c r="D72" s="3463" t="str">
        <f>VLOOKUP(B72,List_Yield!$G$4:$J$14,4,FALSE)</f>
        <v>Africa</v>
      </c>
      <c r="E72" s="3463" t="str">
        <f t="shared" si="2"/>
        <v>AfricaJojoba seed</v>
      </c>
      <c r="F72" s="2994">
        <v>0</v>
      </c>
      <c r="G72" s="2994">
        <v>0</v>
      </c>
      <c r="H72" s="2994">
        <v>0</v>
      </c>
      <c r="I72" s="2994">
        <v>0</v>
      </c>
      <c r="J72" s="2994">
        <v>0</v>
      </c>
      <c r="K72" s="2994">
        <v>0</v>
      </c>
      <c r="L72" s="2994">
        <v>0</v>
      </c>
      <c r="M72" s="2994">
        <v>0</v>
      </c>
      <c r="N72" s="2994">
        <v>0</v>
      </c>
      <c r="O72" s="2994">
        <v>0</v>
      </c>
      <c r="P72" s="2994">
        <v>0</v>
      </c>
      <c r="Q72" s="2994">
        <v>0</v>
      </c>
      <c r="R72" s="2994">
        <v>0</v>
      </c>
      <c r="S72" s="2994">
        <v>0</v>
      </c>
      <c r="T72" s="2994">
        <v>0</v>
      </c>
      <c r="U72" s="2994">
        <v>0</v>
      </c>
      <c r="V72" s="2994">
        <v>0</v>
      </c>
      <c r="W72" s="2994">
        <v>0</v>
      </c>
      <c r="X72" s="2994">
        <v>0</v>
      </c>
      <c r="Y72" s="2994">
        <v>0</v>
      </c>
      <c r="Z72" s="2994">
        <v>0</v>
      </c>
      <c r="AA72" s="2994">
        <v>0</v>
      </c>
      <c r="AB72" s="2994">
        <v>0</v>
      </c>
      <c r="AC72" s="2994">
        <v>0</v>
      </c>
      <c r="AD72" s="2994">
        <v>0</v>
      </c>
      <c r="AE72" s="2994">
        <v>0</v>
      </c>
      <c r="AF72" s="2994">
        <v>0</v>
      </c>
      <c r="AG72" s="2994">
        <v>0</v>
      </c>
      <c r="AH72" s="2994">
        <v>0</v>
      </c>
      <c r="AI72" s="2994">
        <v>0</v>
      </c>
      <c r="AJ72" s="2994">
        <v>0</v>
      </c>
      <c r="AK72" s="2994">
        <v>0</v>
      </c>
      <c r="AL72" s="2994">
        <v>0</v>
      </c>
      <c r="AM72" s="2994">
        <v>0</v>
      </c>
      <c r="AN72" s="2994">
        <v>0</v>
      </c>
      <c r="AO72" s="2994">
        <v>0</v>
      </c>
      <c r="AP72" s="2994">
        <v>0</v>
      </c>
      <c r="AQ72" s="2994">
        <v>0</v>
      </c>
      <c r="AR72" s="2994">
        <v>0</v>
      </c>
      <c r="AS72" s="2994">
        <v>0</v>
      </c>
      <c r="AT72" s="2994">
        <v>0</v>
      </c>
      <c r="AU72" s="2994">
        <v>0</v>
      </c>
      <c r="AV72" s="2994">
        <v>0</v>
      </c>
      <c r="AW72" s="2994">
        <v>0</v>
      </c>
      <c r="AX72" s="2994">
        <v>0</v>
      </c>
      <c r="AY72" s="2994">
        <v>0</v>
      </c>
      <c r="AZ72" s="2994">
        <v>0</v>
      </c>
      <c r="BA72" s="2994">
        <v>0</v>
      </c>
      <c r="BB72" s="2994">
        <v>0</v>
      </c>
      <c r="BC72" s="2994">
        <v>0</v>
      </c>
      <c r="BD72" s="3471">
        <v>0</v>
      </c>
      <c r="BE72" s="3471">
        <v>0</v>
      </c>
      <c r="BF72" s="3471">
        <v>0</v>
      </c>
    </row>
    <row r="73" spans="1:58">
      <c r="A73" s="1817" t="str">
        <f t="shared" si="3"/>
        <v>AfricaJute</v>
      </c>
      <c r="B73" s="1818" t="s">
        <v>297</v>
      </c>
      <c r="C73" s="1818" t="s">
        <v>7337</v>
      </c>
      <c r="D73" s="3463" t="str">
        <f>VLOOKUP(B73,List_Yield!$G$4:$J$14,4,FALSE)</f>
        <v>Africa</v>
      </c>
      <c r="E73" s="3463" t="str">
        <f t="shared" si="2"/>
        <v>AfricaJute</v>
      </c>
      <c r="F73" s="2994">
        <v>1.7142999999999999</v>
      </c>
      <c r="G73" s="2994">
        <v>1.7142999999999999</v>
      </c>
      <c r="H73" s="2994">
        <v>1.7142999999999999</v>
      </c>
      <c r="I73" s="2994">
        <v>1.7142999999999999</v>
      </c>
      <c r="J73" s="2994">
        <v>1.7142999999999999</v>
      </c>
      <c r="K73" s="2994">
        <v>1.8889</v>
      </c>
      <c r="L73" s="2994">
        <v>1.7778</v>
      </c>
      <c r="M73" s="2994">
        <v>1.8332999999999999</v>
      </c>
      <c r="N73" s="2994">
        <v>1.9091</v>
      </c>
      <c r="O73" s="2994">
        <v>2.5537999999999998</v>
      </c>
      <c r="P73" s="2994">
        <v>2.6714000000000002</v>
      </c>
      <c r="Q73" s="2994">
        <v>2.2222</v>
      </c>
      <c r="R73" s="2994">
        <v>2.1311</v>
      </c>
      <c r="S73" s="2994">
        <v>2.0369999999999999</v>
      </c>
      <c r="T73" s="2994">
        <v>2.2909000000000002</v>
      </c>
      <c r="U73" s="2994">
        <v>2.2589000000000001</v>
      </c>
      <c r="V73" s="2994">
        <v>2.0198999999999998</v>
      </c>
      <c r="W73" s="2994">
        <v>1.9770000000000001</v>
      </c>
      <c r="X73" s="2994">
        <v>1.9610000000000001</v>
      </c>
      <c r="Y73" s="2994">
        <v>1.8841000000000001</v>
      </c>
      <c r="Z73" s="2994">
        <v>2.2263000000000002</v>
      </c>
      <c r="AA73" s="2994">
        <v>2.3115999999999999</v>
      </c>
      <c r="AB73" s="2994">
        <v>2.3115999999999999</v>
      </c>
      <c r="AC73" s="2994">
        <v>2.3115999999999999</v>
      </c>
      <c r="AD73" s="2994">
        <v>2.3115999999999999</v>
      </c>
      <c r="AE73" s="2994">
        <v>2.1444999999999999</v>
      </c>
      <c r="AF73" s="2994">
        <v>2.1436999999999999</v>
      </c>
      <c r="AG73" s="2994">
        <v>2.1429999999999998</v>
      </c>
      <c r="AH73" s="2994">
        <v>2.1432000000000002</v>
      </c>
      <c r="AI73" s="2994">
        <v>1.9764999999999999</v>
      </c>
      <c r="AJ73" s="2994">
        <v>1.9416</v>
      </c>
      <c r="AK73" s="2994">
        <v>1.8652</v>
      </c>
      <c r="AL73" s="2994">
        <v>1.8902000000000001</v>
      </c>
      <c r="AM73" s="2994">
        <v>1.7072000000000001</v>
      </c>
      <c r="AN73" s="2994">
        <v>1.8080000000000001</v>
      </c>
      <c r="AO73" s="2994">
        <v>1.8814</v>
      </c>
      <c r="AP73" s="2994">
        <v>2.0516999999999999</v>
      </c>
      <c r="AQ73" s="2994">
        <v>2.0061</v>
      </c>
      <c r="AR73" s="2994">
        <v>1.8243</v>
      </c>
      <c r="AS73" s="2994">
        <v>1.7935000000000001</v>
      </c>
      <c r="AT73" s="2994">
        <v>1.7577</v>
      </c>
      <c r="AU73" s="2994">
        <v>1.6057999999999999</v>
      </c>
      <c r="AV73" s="2994">
        <v>1.5199</v>
      </c>
      <c r="AW73" s="2994">
        <v>1.9932000000000001</v>
      </c>
      <c r="AX73" s="2994">
        <v>2.2315999999999998</v>
      </c>
      <c r="AY73" s="2994">
        <v>1.7696000000000001</v>
      </c>
      <c r="AZ73" s="2994">
        <v>1.6813</v>
      </c>
      <c r="BA73" s="2994">
        <v>1.8001</v>
      </c>
      <c r="BB73" s="2994">
        <v>1.3097000000000001</v>
      </c>
      <c r="BC73" s="2994">
        <v>1.4322999999999999</v>
      </c>
      <c r="BD73" s="3471">
        <v>1.4593</v>
      </c>
      <c r="BE73" s="3471">
        <v>1.5027999999999999</v>
      </c>
      <c r="BF73" s="3471">
        <v>0</v>
      </c>
    </row>
    <row r="74" spans="1:58">
      <c r="A74" s="1817" t="str">
        <f t="shared" si="3"/>
        <v>AfricaKapok fruit</v>
      </c>
      <c r="B74" s="1818" t="s">
        <v>297</v>
      </c>
      <c r="C74" s="1818" t="s">
        <v>7338</v>
      </c>
      <c r="D74" s="3463" t="str">
        <f>VLOOKUP(B74,List_Yield!$G$4:$J$14,4,FALSE)</f>
        <v>Africa</v>
      </c>
      <c r="E74" s="3463" t="str">
        <f t="shared" si="2"/>
        <v>AfricaKapok fruit</v>
      </c>
      <c r="F74" s="2994">
        <v>0</v>
      </c>
      <c r="G74" s="2994">
        <v>0</v>
      </c>
      <c r="H74" s="2994">
        <v>0</v>
      </c>
      <c r="I74" s="2994">
        <v>0</v>
      </c>
      <c r="J74" s="2994">
        <v>0</v>
      </c>
      <c r="K74" s="2994">
        <v>0</v>
      </c>
      <c r="L74" s="2994">
        <v>0</v>
      </c>
      <c r="M74" s="2994">
        <v>0</v>
      </c>
      <c r="N74" s="2994">
        <v>0</v>
      </c>
      <c r="O74" s="2994">
        <v>0</v>
      </c>
      <c r="P74" s="2994">
        <v>0</v>
      </c>
      <c r="Q74" s="2994">
        <v>0</v>
      </c>
      <c r="R74" s="2994">
        <v>0</v>
      </c>
      <c r="S74" s="2994">
        <v>0</v>
      </c>
      <c r="T74" s="2994">
        <v>0</v>
      </c>
      <c r="U74" s="2994">
        <v>0</v>
      </c>
      <c r="V74" s="2994">
        <v>0</v>
      </c>
      <c r="W74" s="2994">
        <v>0</v>
      </c>
      <c r="X74" s="2994">
        <v>0</v>
      </c>
      <c r="Y74" s="2994">
        <v>0</v>
      </c>
      <c r="Z74" s="2994">
        <v>0</v>
      </c>
      <c r="AA74" s="2994">
        <v>0</v>
      </c>
      <c r="AB74" s="2994">
        <v>0</v>
      </c>
      <c r="AC74" s="2994">
        <v>0</v>
      </c>
      <c r="AD74" s="2994">
        <v>0</v>
      </c>
      <c r="AE74" s="2994">
        <v>0</v>
      </c>
      <c r="AF74" s="2994">
        <v>0</v>
      </c>
      <c r="AG74" s="2994">
        <v>0</v>
      </c>
      <c r="AH74" s="2994">
        <v>0</v>
      </c>
      <c r="AI74" s="2994">
        <v>0</v>
      </c>
      <c r="AJ74" s="2994">
        <v>0</v>
      </c>
      <c r="AK74" s="2994">
        <v>0</v>
      </c>
      <c r="AL74" s="2994">
        <v>0</v>
      </c>
      <c r="AM74" s="2994">
        <v>0</v>
      </c>
      <c r="AN74" s="2994">
        <v>0</v>
      </c>
      <c r="AO74" s="2994">
        <v>0</v>
      </c>
      <c r="AP74" s="2994">
        <v>0</v>
      </c>
      <c r="AQ74" s="2994">
        <v>0</v>
      </c>
      <c r="AR74" s="2994">
        <v>0</v>
      </c>
      <c r="AS74" s="2994">
        <v>0</v>
      </c>
      <c r="AT74" s="2994">
        <v>0</v>
      </c>
      <c r="AU74" s="2994">
        <v>0</v>
      </c>
      <c r="AV74" s="2994">
        <v>0</v>
      </c>
      <c r="AW74" s="2994">
        <v>0</v>
      </c>
      <c r="AX74" s="2994">
        <v>0</v>
      </c>
      <c r="AY74" s="2994">
        <v>0</v>
      </c>
      <c r="AZ74" s="2994">
        <v>0</v>
      </c>
      <c r="BA74" s="2994">
        <v>0</v>
      </c>
      <c r="BB74" s="2994">
        <v>0</v>
      </c>
      <c r="BC74" s="2994">
        <v>0</v>
      </c>
      <c r="BD74" s="3471">
        <v>0</v>
      </c>
      <c r="BE74" s="3471">
        <v>0</v>
      </c>
      <c r="BF74" s="3471">
        <v>0</v>
      </c>
    </row>
    <row r="75" spans="1:58">
      <c r="A75" s="1817" t="str">
        <f t="shared" si="3"/>
        <v>AfricaKarite nuts (sheanuts)</v>
      </c>
      <c r="B75" s="1818" t="s">
        <v>297</v>
      </c>
      <c r="C75" s="1818" t="s">
        <v>7339</v>
      </c>
      <c r="D75" s="3463" t="str">
        <f>VLOOKUP(B75,List_Yield!$G$4:$J$14,4,FALSE)</f>
        <v>Africa</v>
      </c>
      <c r="E75" s="3463" t="str">
        <f t="shared" si="2"/>
        <v>AfricaKarite nuts (sheanuts)</v>
      </c>
      <c r="F75" s="2994">
        <v>1.9887999999999999</v>
      </c>
      <c r="G75" s="2994">
        <v>1.855</v>
      </c>
      <c r="H75" s="2994">
        <v>1.7696000000000001</v>
      </c>
      <c r="I75" s="2994">
        <v>1.9503999999999999</v>
      </c>
      <c r="J75" s="2994">
        <v>1.8543000000000001</v>
      </c>
      <c r="K75" s="2994">
        <v>1.9338</v>
      </c>
      <c r="L75" s="2994">
        <v>1.8211999999999999</v>
      </c>
      <c r="M75" s="2994">
        <v>1.8789</v>
      </c>
      <c r="N75" s="2994">
        <v>1.8421000000000001</v>
      </c>
      <c r="O75" s="2994">
        <v>1.8535999999999999</v>
      </c>
      <c r="P75" s="2994">
        <v>1.8514999999999999</v>
      </c>
      <c r="Q75" s="2994">
        <v>1.7941</v>
      </c>
      <c r="R75" s="2994">
        <v>1.78</v>
      </c>
      <c r="S75" s="2994">
        <v>1.7754000000000001</v>
      </c>
      <c r="T75" s="2994">
        <v>1.7716000000000001</v>
      </c>
      <c r="U75" s="2994">
        <v>1.8294999999999999</v>
      </c>
      <c r="V75" s="2994">
        <v>1.7827999999999999</v>
      </c>
      <c r="W75" s="2994">
        <v>1.7467999999999999</v>
      </c>
      <c r="X75" s="2994">
        <v>1.7568999999999999</v>
      </c>
      <c r="Y75" s="2994">
        <v>1.7881</v>
      </c>
      <c r="Z75" s="2994">
        <v>1.794</v>
      </c>
      <c r="AA75" s="2994">
        <v>1.7341</v>
      </c>
      <c r="AB75" s="2994">
        <v>1.8734999999999999</v>
      </c>
      <c r="AC75" s="2994">
        <v>1.837</v>
      </c>
      <c r="AD75" s="2994">
        <v>1.9902</v>
      </c>
      <c r="AE75" s="2994">
        <v>1.9362999999999999</v>
      </c>
      <c r="AF75" s="2994">
        <v>1.9653</v>
      </c>
      <c r="AG75" s="2994">
        <v>2.0287999999999999</v>
      </c>
      <c r="AH75" s="2994">
        <v>1.9032</v>
      </c>
      <c r="AI75" s="2994">
        <v>1.879</v>
      </c>
      <c r="AJ75" s="2994">
        <v>1.8786</v>
      </c>
      <c r="AK75" s="2994">
        <v>1.9373</v>
      </c>
      <c r="AL75" s="2994">
        <v>1.8367</v>
      </c>
      <c r="AM75" s="2994">
        <v>2.0017999999999998</v>
      </c>
      <c r="AN75" s="2994">
        <v>1.9589000000000001</v>
      </c>
      <c r="AO75" s="2994">
        <v>1.8918999999999999</v>
      </c>
      <c r="AP75" s="2994">
        <v>1.8898999999999999</v>
      </c>
      <c r="AQ75" s="2994">
        <v>1.8896999999999999</v>
      </c>
      <c r="AR75" s="2994">
        <v>1.8993</v>
      </c>
      <c r="AS75" s="2994">
        <v>1.8286</v>
      </c>
      <c r="AT75" s="2994">
        <v>1.8355999999999999</v>
      </c>
      <c r="AU75" s="2994">
        <v>1.6987000000000001</v>
      </c>
      <c r="AV75" s="2994">
        <v>1.7952999999999999</v>
      </c>
      <c r="AW75" s="2994">
        <v>1.7865</v>
      </c>
      <c r="AX75" s="2994">
        <v>1.8268</v>
      </c>
      <c r="AY75" s="2994">
        <v>1.8960999999999999</v>
      </c>
      <c r="AZ75" s="2994">
        <v>1.8776999999999999</v>
      </c>
      <c r="BA75" s="2994">
        <v>1.9157</v>
      </c>
      <c r="BB75" s="2994">
        <v>1.4252</v>
      </c>
      <c r="BC75" s="2994">
        <v>1.3903000000000001</v>
      </c>
      <c r="BD75" s="3471">
        <v>1.3796999999999999</v>
      </c>
      <c r="BE75" s="3471">
        <v>1.3864000000000001</v>
      </c>
      <c r="BF75" s="3471">
        <v>1.37</v>
      </c>
    </row>
    <row r="76" spans="1:58">
      <c r="A76" s="1817" t="str">
        <f t="shared" si="3"/>
        <v>AfricaKiwi fruit</v>
      </c>
      <c r="B76" s="1818" t="s">
        <v>297</v>
      </c>
      <c r="C76" s="1818" t="s">
        <v>7340</v>
      </c>
      <c r="D76" s="3463" t="str">
        <f>VLOOKUP(B76,List_Yield!$G$4:$J$14,4,FALSE)</f>
        <v>Africa</v>
      </c>
      <c r="E76" s="3463" t="str">
        <f t="shared" si="2"/>
        <v>AfricaKiwi fruit</v>
      </c>
      <c r="F76" s="2994">
        <v>0</v>
      </c>
      <c r="G76" s="2994">
        <v>0</v>
      </c>
      <c r="H76" s="2994">
        <v>0</v>
      </c>
      <c r="I76" s="2994">
        <v>0</v>
      </c>
      <c r="J76" s="2994">
        <v>0</v>
      </c>
      <c r="K76" s="2994">
        <v>0</v>
      </c>
      <c r="L76" s="2994">
        <v>0</v>
      </c>
      <c r="M76" s="2994">
        <v>0</v>
      </c>
      <c r="N76" s="2994">
        <v>0</v>
      </c>
      <c r="O76" s="2994">
        <v>0</v>
      </c>
      <c r="P76" s="2994">
        <v>0</v>
      </c>
      <c r="Q76" s="2994">
        <v>0</v>
      </c>
      <c r="R76" s="2994">
        <v>0</v>
      </c>
      <c r="S76" s="2994">
        <v>0</v>
      </c>
      <c r="T76" s="2994">
        <v>0</v>
      </c>
      <c r="U76" s="2994">
        <v>0</v>
      </c>
      <c r="V76" s="2994">
        <v>0</v>
      </c>
      <c r="W76" s="2994">
        <v>0</v>
      </c>
      <c r="X76" s="2994">
        <v>0</v>
      </c>
      <c r="Y76" s="2994">
        <v>0</v>
      </c>
      <c r="Z76" s="2994">
        <v>0</v>
      </c>
      <c r="AA76" s="2994">
        <v>0</v>
      </c>
      <c r="AB76" s="2994">
        <v>0</v>
      </c>
      <c r="AC76" s="2994">
        <v>0</v>
      </c>
      <c r="AD76" s="2994">
        <v>0</v>
      </c>
      <c r="AE76" s="2994">
        <v>0</v>
      </c>
      <c r="AF76" s="2994">
        <v>0</v>
      </c>
      <c r="AG76" s="2994">
        <v>0</v>
      </c>
      <c r="AH76" s="2994">
        <v>0</v>
      </c>
      <c r="AI76" s="2994">
        <v>0</v>
      </c>
      <c r="AJ76" s="2994">
        <v>0</v>
      </c>
      <c r="AK76" s="2994">
        <v>0</v>
      </c>
      <c r="AL76" s="2994">
        <v>0</v>
      </c>
      <c r="AM76" s="2994">
        <v>0</v>
      </c>
      <c r="AN76" s="2994">
        <v>0</v>
      </c>
      <c r="AO76" s="2994">
        <v>0</v>
      </c>
      <c r="AP76" s="2994">
        <v>0</v>
      </c>
      <c r="AQ76" s="2994">
        <v>0</v>
      </c>
      <c r="AR76" s="2994">
        <v>0</v>
      </c>
      <c r="AS76" s="2994">
        <v>6.25</v>
      </c>
      <c r="AT76" s="2994">
        <v>5</v>
      </c>
      <c r="AU76" s="2994">
        <v>6.25</v>
      </c>
      <c r="AV76" s="2994">
        <v>5.25</v>
      </c>
      <c r="AW76" s="2994">
        <v>6.75</v>
      </c>
      <c r="AX76" s="2994">
        <v>6.5</v>
      </c>
      <c r="AY76" s="2994">
        <v>7.25</v>
      </c>
      <c r="AZ76" s="2994">
        <v>6.75</v>
      </c>
      <c r="BA76" s="2994">
        <v>7.75</v>
      </c>
      <c r="BB76" s="2994">
        <v>7.25</v>
      </c>
      <c r="BC76" s="2994">
        <v>7.75</v>
      </c>
      <c r="BD76" s="3471">
        <v>8.25</v>
      </c>
      <c r="BE76" s="3471">
        <v>8.5</v>
      </c>
      <c r="BF76" s="3471">
        <v>0</v>
      </c>
    </row>
    <row r="77" spans="1:58">
      <c r="A77" s="1817" t="str">
        <f t="shared" si="3"/>
        <v>AfricaKola nuts</v>
      </c>
      <c r="B77" s="1818" t="s">
        <v>297</v>
      </c>
      <c r="C77" s="1818" t="s">
        <v>7341</v>
      </c>
      <c r="D77" s="3463" t="str">
        <f>VLOOKUP(B77,List_Yield!$G$4:$J$14,4,FALSE)</f>
        <v>Africa</v>
      </c>
      <c r="E77" s="3463" t="str">
        <f t="shared" si="2"/>
        <v>AfricaKola nuts</v>
      </c>
      <c r="F77" s="2994">
        <v>1.2355</v>
      </c>
      <c r="G77" s="2994">
        <v>1.2484</v>
      </c>
      <c r="H77" s="2994">
        <v>1.2343999999999999</v>
      </c>
      <c r="I77" s="2994">
        <v>1.2758</v>
      </c>
      <c r="J77" s="2994">
        <v>1.2522</v>
      </c>
      <c r="K77" s="2994">
        <v>1.2566999999999999</v>
      </c>
      <c r="L77" s="2994">
        <v>1.3382000000000001</v>
      </c>
      <c r="M77" s="2994">
        <v>1.4559</v>
      </c>
      <c r="N77" s="2994">
        <v>1.4931000000000001</v>
      </c>
      <c r="O77" s="2994">
        <v>1.6322000000000001</v>
      </c>
      <c r="P77" s="2994">
        <v>1.6752</v>
      </c>
      <c r="Q77" s="2994">
        <v>1.5287999999999999</v>
      </c>
      <c r="R77" s="2994">
        <v>1.577</v>
      </c>
      <c r="S77" s="2994">
        <v>1.6808000000000001</v>
      </c>
      <c r="T77" s="2994">
        <v>1.6961999999999999</v>
      </c>
      <c r="U77" s="2994">
        <v>1.5407</v>
      </c>
      <c r="V77" s="2994">
        <v>1.6</v>
      </c>
      <c r="W77" s="2994">
        <v>1.6178999999999999</v>
      </c>
      <c r="X77" s="2994">
        <v>1.6214</v>
      </c>
      <c r="Y77" s="2994">
        <v>1.6607000000000001</v>
      </c>
      <c r="Z77" s="2994">
        <v>1.7007000000000001</v>
      </c>
      <c r="AA77" s="2994">
        <v>1.698</v>
      </c>
      <c r="AB77" s="2994">
        <v>1.6055999999999999</v>
      </c>
      <c r="AC77" s="2994">
        <v>1.5565</v>
      </c>
      <c r="AD77" s="2994">
        <v>0.66859999999999997</v>
      </c>
      <c r="AE77" s="2994">
        <v>0.67210000000000003</v>
      </c>
      <c r="AF77" s="2994">
        <v>0.67989999999999995</v>
      </c>
      <c r="AG77" s="2994">
        <v>0.64090000000000003</v>
      </c>
      <c r="AH77" s="2994">
        <v>0.66090000000000004</v>
      </c>
      <c r="AI77" s="2994">
        <v>0.65139999999999998</v>
      </c>
      <c r="AJ77" s="2994">
        <v>0.7208</v>
      </c>
      <c r="AK77" s="2994">
        <v>0.69379999999999997</v>
      </c>
      <c r="AL77" s="2994">
        <v>0.71489999999999998</v>
      </c>
      <c r="AM77" s="2994">
        <v>0.59889999999999999</v>
      </c>
      <c r="AN77" s="2994">
        <v>0.51</v>
      </c>
      <c r="AO77" s="2994">
        <v>0.57909999999999995</v>
      </c>
      <c r="AP77" s="2994">
        <v>0.60299999999999998</v>
      </c>
      <c r="AQ77" s="2994">
        <v>0.64980000000000004</v>
      </c>
      <c r="AR77" s="2994">
        <v>0.60809999999999997</v>
      </c>
      <c r="AS77" s="2994">
        <v>0.58940000000000003</v>
      </c>
      <c r="AT77" s="2994">
        <v>0.6361</v>
      </c>
      <c r="AU77" s="2994">
        <v>0.54139999999999999</v>
      </c>
      <c r="AV77" s="2994">
        <v>0.59130000000000005</v>
      </c>
      <c r="AW77" s="2994">
        <v>0.57599999999999996</v>
      </c>
      <c r="AX77" s="2994">
        <v>0.60670000000000002</v>
      </c>
      <c r="AY77" s="2994">
        <v>0.58289999999999997</v>
      </c>
      <c r="AZ77" s="2994">
        <v>0.55549999999999999</v>
      </c>
      <c r="BA77" s="2994">
        <v>0.58699999999999997</v>
      </c>
      <c r="BB77" s="2994">
        <v>0.52239999999999998</v>
      </c>
      <c r="BC77" s="2994">
        <v>0.54430000000000001</v>
      </c>
      <c r="BD77" s="3471">
        <v>0.56659999999999999</v>
      </c>
      <c r="BE77" s="3471">
        <v>0.56850000000000001</v>
      </c>
      <c r="BF77" s="3471">
        <v>0</v>
      </c>
    </row>
    <row r="78" spans="1:58">
      <c r="A78" s="1817" t="str">
        <f t="shared" si="3"/>
        <v>AfricaLeeks, other alliaceous vegetables</v>
      </c>
      <c r="B78" s="1818" t="s">
        <v>297</v>
      </c>
      <c r="C78" s="1818" t="s">
        <v>7342</v>
      </c>
      <c r="D78" s="3463" t="str">
        <f>VLOOKUP(B78,List_Yield!$G$4:$J$14,4,FALSE)</f>
        <v>Africa</v>
      </c>
      <c r="E78" s="3463" t="str">
        <f t="shared" si="2"/>
        <v>AfricaLeeks, other alliaceous vegetables</v>
      </c>
      <c r="F78" s="2994">
        <v>0</v>
      </c>
      <c r="G78" s="2994">
        <v>0</v>
      </c>
      <c r="H78" s="2994">
        <v>0</v>
      </c>
      <c r="I78" s="2994">
        <v>0</v>
      </c>
      <c r="J78" s="2994">
        <v>0</v>
      </c>
      <c r="K78" s="2994">
        <v>0</v>
      </c>
      <c r="L78" s="2994">
        <v>0</v>
      </c>
      <c r="M78" s="2994">
        <v>0</v>
      </c>
      <c r="N78" s="2994">
        <v>0</v>
      </c>
      <c r="O78" s="2994">
        <v>0</v>
      </c>
      <c r="P78" s="2994">
        <v>0</v>
      </c>
      <c r="Q78" s="2994">
        <v>0</v>
      </c>
      <c r="R78" s="2994">
        <v>0</v>
      </c>
      <c r="S78" s="2994">
        <v>0</v>
      </c>
      <c r="T78" s="2994">
        <v>0</v>
      </c>
      <c r="U78" s="2994">
        <v>0</v>
      </c>
      <c r="V78" s="2994">
        <v>0</v>
      </c>
      <c r="W78" s="2994">
        <v>0</v>
      </c>
      <c r="X78" s="2994">
        <v>0</v>
      </c>
      <c r="Y78" s="2994">
        <v>0</v>
      </c>
      <c r="Z78" s="2994">
        <v>0</v>
      </c>
      <c r="AA78" s="2994">
        <v>0</v>
      </c>
      <c r="AB78" s="2994">
        <v>0</v>
      </c>
      <c r="AC78" s="2994">
        <v>1.14E-2</v>
      </c>
      <c r="AD78" s="2994">
        <v>1.14E-2</v>
      </c>
      <c r="AE78" s="2994">
        <v>7.3800000000000004E-2</v>
      </c>
      <c r="AF78" s="2994">
        <v>8.2299999999999998E-2</v>
      </c>
      <c r="AG78" s="2994">
        <v>0.12809999999999999</v>
      </c>
      <c r="AH78" s="2994">
        <v>0.13639999999999999</v>
      </c>
      <c r="AI78" s="2994">
        <v>0.54159999999999997</v>
      </c>
      <c r="AJ78" s="2994">
        <v>0.50209999999999999</v>
      </c>
      <c r="AK78" s="2994">
        <v>0.67930000000000001</v>
      </c>
      <c r="AL78" s="2994">
        <v>0.75429999999999997</v>
      </c>
      <c r="AM78" s="2994">
        <v>0.79059999999999997</v>
      </c>
      <c r="AN78" s="2994">
        <v>0.85880000000000001</v>
      </c>
      <c r="AO78" s="2994">
        <v>0.85199999999999998</v>
      </c>
      <c r="AP78" s="2994">
        <v>0.85499999999999998</v>
      </c>
      <c r="AQ78" s="2994">
        <v>0.86260000000000003</v>
      </c>
      <c r="AR78" s="2994">
        <v>0.83720000000000006</v>
      </c>
      <c r="AS78" s="2994">
        <v>0.99170000000000003</v>
      </c>
      <c r="AT78" s="2994">
        <v>1.1145</v>
      </c>
      <c r="AU78" s="2994">
        <v>1.1516999999999999</v>
      </c>
      <c r="AV78" s="2994">
        <v>1.1264000000000001</v>
      </c>
      <c r="AW78" s="2994">
        <v>0.94040000000000001</v>
      </c>
      <c r="AX78" s="2994">
        <v>0.88</v>
      </c>
      <c r="AY78" s="2994">
        <v>0.81979999999999997</v>
      </c>
      <c r="AZ78" s="2994">
        <v>0.79690000000000005</v>
      </c>
      <c r="BA78" s="2994">
        <v>0.88160000000000005</v>
      </c>
      <c r="BB78" s="2994">
        <v>2.6778</v>
      </c>
      <c r="BC78" s="2994">
        <v>0.90669999999999995</v>
      </c>
      <c r="BD78" s="3471">
        <v>0.97960000000000003</v>
      </c>
      <c r="BE78" s="3471">
        <v>0.94640000000000002</v>
      </c>
      <c r="BF78" s="3471">
        <v>0</v>
      </c>
    </row>
    <row r="79" spans="1:58">
      <c r="A79" s="1817" t="str">
        <f t="shared" si="3"/>
        <v>AfricaLemons and limes</v>
      </c>
      <c r="B79" s="1818" t="s">
        <v>297</v>
      </c>
      <c r="C79" s="1818" t="s">
        <v>7343</v>
      </c>
      <c r="D79" s="3463" t="str">
        <f>VLOOKUP(B79,List_Yield!$G$4:$J$14,4,FALSE)</f>
        <v>Africa</v>
      </c>
      <c r="E79" s="3463" t="str">
        <f t="shared" si="2"/>
        <v>AfricaLemons and limes</v>
      </c>
      <c r="F79" s="2994">
        <v>14.079499999999999</v>
      </c>
      <c r="G79" s="2994">
        <v>13.6197</v>
      </c>
      <c r="H79" s="2994">
        <v>13.010199999999999</v>
      </c>
      <c r="I79" s="2994">
        <v>14.951000000000001</v>
      </c>
      <c r="J79" s="2994">
        <v>13.347300000000001</v>
      </c>
      <c r="K79" s="2994">
        <v>12.7218</v>
      </c>
      <c r="L79" s="2994">
        <v>13.1867</v>
      </c>
      <c r="M79" s="2994">
        <v>10.0753</v>
      </c>
      <c r="N79" s="2994">
        <v>11.4206</v>
      </c>
      <c r="O79" s="2994">
        <v>10.989000000000001</v>
      </c>
      <c r="P79" s="2994">
        <v>10.515700000000001</v>
      </c>
      <c r="Q79" s="2994">
        <v>9.9534000000000002</v>
      </c>
      <c r="R79" s="2994">
        <v>10.085699999999999</v>
      </c>
      <c r="S79" s="2994">
        <v>10.1312</v>
      </c>
      <c r="T79" s="2994">
        <v>11.5661</v>
      </c>
      <c r="U79" s="2994">
        <v>10.2011</v>
      </c>
      <c r="V79" s="2994">
        <v>10.7127</v>
      </c>
      <c r="W79" s="2994">
        <v>11.085800000000001</v>
      </c>
      <c r="X79" s="2994">
        <v>10.9834</v>
      </c>
      <c r="Y79" s="2994">
        <v>10.5314</v>
      </c>
      <c r="Z79" s="2994">
        <v>10.643800000000001</v>
      </c>
      <c r="AA79" s="2994">
        <v>13.8322</v>
      </c>
      <c r="AB79" s="2994">
        <v>14.495100000000001</v>
      </c>
      <c r="AC79" s="2994">
        <v>11.2911</v>
      </c>
      <c r="AD79" s="2994">
        <v>10.2904</v>
      </c>
      <c r="AE79" s="2994">
        <v>11.7118</v>
      </c>
      <c r="AF79" s="2994">
        <v>11.655799999999999</v>
      </c>
      <c r="AG79" s="2994">
        <v>11.821099999999999</v>
      </c>
      <c r="AH79" s="2994">
        <v>11.755100000000001</v>
      </c>
      <c r="AI79" s="2994">
        <v>15.1686</v>
      </c>
      <c r="AJ79" s="2994">
        <v>15.273999999999999</v>
      </c>
      <c r="AK79" s="2994">
        <v>13.4049</v>
      </c>
      <c r="AL79" s="2994">
        <v>13.959</v>
      </c>
      <c r="AM79" s="2994">
        <v>13.982900000000001</v>
      </c>
      <c r="AN79" s="2994">
        <v>13.7027</v>
      </c>
      <c r="AO79" s="2994">
        <v>14.1251</v>
      </c>
      <c r="AP79" s="2994">
        <v>12.899699999999999</v>
      </c>
      <c r="AQ79" s="2994">
        <v>12.6656</v>
      </c>
      <c r="AR79" s="2994">
        <v>12.5825</v>
      </c>
      <c r="AS79" s="2994">
        <v>12.9198</v>
      </c>
      <c r="AT79" s="2994">
        <v>12.8224</v>
      </c>
      <c r="AU79" s="2994">
        <v>13.9481</v>
      </c>
      <c r="AV79" s="2994">
        <v>14.4855</v>
      </c>
      <c r="AW79" s="2994">
        <v>15.0871</v>
      </c>
      <c r="AX79" s="2994">
        <v>14.5936</v>
      </c>
      <c r="AY79" s="2994">
        <v>11.576499999999999</v>
      </c>
      <c r="AZ79" s="2994">
        <v>11.241899999999999</v>
      </c>
      <c r="BA79" s="2994">
        <v>14.7753</v>
      </c>
      <c r="BB79" s="2994">
        <v>21.3704</v>
      </c>
      <c r="BC79" s="2994">
        <v>14.2431</v>
      </c>
      <c r="BD79" s="3471">
        <v>14.480700000000001</v>
      </c>
      <c r="BE79" s="3471">
        <v>14.642099999999999</v>
      </c>
      <c r="BF79" s="3471">
        <v>0</v>
      </c>
    </row>
    <row r="80" spans="1:58">
      <c r="A80" s="1817" t="str">
        <f t="shared" si="3"/>
        <v>AfricaLentils</v>
      </c>
      <c r="B80" s="1818" t="s">
        <v>297</v>
      </c>
      <c r="C80" s="1818" t="s">
        <v>7344</v>
      </c>
      <c r="D80" s="3463" t="str">
        <f>VLOOKUP(B80,List_Yield!$G$4:$J$14,4,FALSE)</f>
        <v>Africa</v>
      </c>
      <c r="E80" s="3463" t="str">
        <f t="shared" si="2"/>
        <v>AfricaLentils</v>
      </c>
      <c r="F80" s="2994">
        <v>0.55820000000000003</v>
      </c>
      <c r="G80" s="2994">
        <v>0.71309999999999996</v>
      </c>
      <c r="H80" s="2994">
        <v>0.69740000000000002</v>
      </c>
      <c r="I80" s="2994">
        <v>0.67410000000000003</v>
      </c>
      <c r="J80" s="2994">
        <v>0.73150000000000004</v>
      </c>
      <c r="K80" s="2994">
        <v>0.62019999999999997</v>
      </c>
      <c r="L80" s="2994">
        <v>0.59409999999999996</v>
      </c>
      <c r="M80" s="2994">
        <v>0.67610000000000003</v>
      </c>
      <c r="N80" s="2994">
        <v>0.56879999999999997</v>
      </c>
      <c r="O80" s="2994">
        <v>0.55940000000000001</v>
      </c>
      <c r="P80" s="2994">
        <v>0.67449999999999999</v>
      </c>
      <c r="Q80" s="2994">
        <v>0.66110000000000002</v>
      </c>
      <c r="R80" s="2994">
        <v>0.67530000000000001</v>
      </c>
      <c r="S80" s="2994">
        <v>0.66090000000000004</v>
      </c>
      <c r="T80" s="2994">
        <v>0.62929999999999997</v>
      </c>
      <c r="U80" s="2994">
        <v>0.77229999999999999</v>
      </c>
      <c r="V80" s="2994">
        <v>0.61</v>
      </c>
      <c r="W80" s="2994">
        <v>0.61160000000000003</v>
      </c>
      <c r="X80" s="2994">
        <v>0.60970000000000002</v>
      </c>
      <c r="Y80" s="2994">
        <v>0.55049999999999999</v>
      </c>
      <c r="Z80" s="2994">
        <v>0.68479999999999996</v>
      </c>
      <c r="AA80" s="2994">
        <v>0.67900000000000005</v>
      </c>
      <c r="AB80" s="2994">
        <v>0.55459999999999998</v>
      </c>
      <c r="AC80" s="2994">
        <v>0.4612</v>
      </c>
      <c r="AD80" s="2994">
        <v>0.54920000000000002</v>
      </c>
      <c r="AE80" s="2994">
        <v>0.76270000000000004</v>
      </c>
      <c r="AF80" s="2994">
        <v>0.53820000000000001</v>
      </c>
      <c r="AG80" s="2994">
        <v>0.66579999999999995</v>
      </c>
      <c r="AH80" s="2994">
        <v>0.61140000000000005</v>
      </c>
      <c r="AI80" s="2994">
        <v>0.72140000000000004</v>
      </c>
      <c r="AJ80" s="2994">
        <v>1.2209000000000001</v>
      </c>
      <c r="AK80" s="2994">
        <v>0.60619999999999996</v>
      </c>
      <c r="AL80" s="2994">
        <v>0.56930000000000003</v>
      </c>
      <c r="AM80" s="2994">
        <v>0.73399999999999999</v>
      </c>
      <c r="AN80" s="2994">
        <v>0.50180000000000002</v>
      </c>
      <c r="AO80" s="2994">
        <v>0.60499999999999998</v>
      </c>
      <c r="AP80" s="2994">
        <v>0.62370000000000003</v>
      </c>
      <c r="AQ80" s="2994">
        <v>0.54369999999999996</v>
      </c>
      <c r="AR80" s="2994">
        <v>0.45979999999999999</v>
      </c>
      <c r="AS80" s="2994">
        <v>0.54400000000000004</v>
      </c>
      <c r="AT80" s="2994">
        <v>0.5796</v>
      </c>
      <c r="AU80" s="2994">
        <v>0.66920000000000002</v>
      </c>
      <c r="AV80" s="2994">
        <v>0.65869999999999995</v>
      </c>
      <c r="AW80" s="2994">
        <v>0.65559999999999996</v>
      </c>
      <c r="AX80" s="2994">
        <v>0.56699999999999995</v>
      </c>
      <c r="AY80" s="2994">
        <v>0.68079999999999996</v>
      </c>
      <c r="AZ80" s="2994">
        <v>0.69320000000000004</v>
      </c>
      <c r="BA80" s="2994">
        <v>0.72330000000000005</v>
      </c>
      <c r="BB80" s="2994">
        <v>1.014</v>
      </c>
      <c r="BC80" s="2994">
        <v>0.91649999999999998</v>
      </c>
      <c r="BD80" s="3471">
        <v>1.0245</v>
      </c>
      <c r="BE80" s="3471">
        <v>0.98250000000000004</v>
      </c>
      <c r="BF80" s="3471">
        <v>1.0436000000000001</v>
      </c>
    </row>
    <row r="81" spans="1:58">
      <c r="A81" s="1817" t="str">
        <f t="shared" si="3"/>
        <v>AfricaLettuce and chicory</v>
      </c>
      <c r="B81" s="1818" t="s">
        <v>297</v>
      </c>
      <c r="C81" s="1818" t="s">
        <v>7345</v>
      </c>
      <c r="D81" s="3463" t="str">
        <f>VLOOKUP(B81,List_Yield!$G$4:$J$14,4,FALSE)</f>
        <v>Africa</v>
      </c>
      <c r="E81" s="3463" t="str">
        <f t="shared" si="2"/>
        <v>AfricaLettuce and chicory</v>
      </c>
      <c r="F81" s="2994">
        <v>14.5731</v>
      </c>
      <c r="G81" s="2994">
        <v>14.7308</v>
      </c>
      <c r="H81" s="2994">
        <v>16.361000000000001</v>
      </c>
      <c r="I81" s="2994">
        <v>15.984500000000001</v>
      </c>
      <c r="J81" s="2994">
        <v>17.481100000000001</v>
      </c>
      <c r="K81" s="2994">
        <v>19.121700000000001</v>
      </c>
      <c r="L81" s="2994">
        <v>18.552900000000001</v>
      </c>
      <c r="M81" s="2994">
        <v>20.614699999999999</v>
      </c>
      <c r="N81" s="2994">
        <v>18.403500000000001</v>
      </c>
      <c r="O81" s="2994">
        <v>20.811900000000001</v>
      </c>
      <c r="P81" s="2994">
        <v>20.765899999999998</v>
      </c>
      <c r="Q81" s="2994">
        <v>17.7727</v>
      </c>
      <c r="R81" s="2994">
        <v>17.380600000000001</v>
      </c>
      <c r="S81" s="2994">
        <v>17.732600000000001</v>
      </c>
      <c r="T81" s="2994">
        <v>18.7407</v>
      </c>
      <c r="U81" s="2994">
        <v>19.532299999999999</v>
      </c>
      <c r="V81" s="2994">
        <v>19.172899999999998</v>
      </c>
      <c r="W81" s="2994">
        <v>19.452100000000002</v>
      </c>
      <c r="X81" s="2994">
        <v>20.892800000000001</v>
      </c>
      <c r="Y81" s="2994">
        <v>18.147400000000001</v>
      </c>
      <c r="Z81" s="2994">
        <v>20.4072</v>
      </c>
      <c r="AA81" s="2994">
        <v>20.974799999999998</v>
      </c>
      <c r="AB81" s="2994">
        <v>18.311199999999999</v>
      </c>
      <c r="AC81" s="2994">
        <v>18.541899999999998</v>
      </c>
      <c r="AD81" s="2994">
        <v>19.379799999999999</v>
      </c>
      <c r="AE81" s="2994">
        <v>19.039100000000001</v>
      </c>
      <c r="AF81" s="2994">
        <v>20.446999999999999</v>
      </c>
      <c r="AG81" s="2994">
        <v>19.479500000000002</v>
      </c>
      <c r="AH81" s="2994">
        <v>19.935700000000001</v>
      </c>
      <c r="AI81" s="2994">
        <v>18.050799999999999</v>
      </c>
      <c r="AJ81" s="2994">
        <v>18.584800000000001</v>
      </c>
      <c r="AK81" s="2994">
        <v>18.884</v>
      </c>
      <c r="AL81" s="2994">
        <v>16.9467</v>
      </c>
      <c r="AM81" s="2994">
        <v>17.4819</v>
      </c>
      <c r="AN81" s="2994">
        <v>17.523</v>
      </c>
      <c r="AO81" s="2994">
        <v>17.214200000000002</v>
      </c>
      <c r="AP81" s="2994">
        <v>16.928100000000001</v>
      </c>
      <c r="AQ81" s="2994">
        <v>18.075800000000001</v>
      </c>
      <c r="AR81" s="2994">
        <v>19.032599999999999</v>
      </c>
      <c r="AS81" s="2994">
        <v>19.299199999999999</v>
      </c>
      <c r="AT81" s="2994">
        <v>18.927</v>
      </c>
      <c r="AU81" s="2994">
        <v>17.518599999999999</v>
      </c>
      <c r="AV81" s="2994">
        <v>18.607700000000001</v>
      </c>
      <c r="AW81" s="2994">
        <v>16.958100000000002</v>
      </c>
      <c r="AX81" s="2994">
        <v>18.7361</v>
      </c>
      <c r="AY81" s="2994">
        <v>18.209</v>
      </c>
      <c r="AZ81" s="2994">
        <v>18.523800000000001</v>
      </c>
      <c r="BA81" s="2994">
        <v>18.327500000000001</v>
      </c>
      <c r="BB81" s="2994">
        <v>16.470300000000002</v>
      </c>
      <c r="BC81" s="2994">
        <v>18.2667</v>
      </c>
      <c r="BD81" s="3471">
        <v>18.493500000000001</v>
      </c>
      <c r="BE81" s="3471">
        <v>19.530799999999999</v>
      </c>
      <c r="BF81" s="3471">
        <v>0</v>
      </c>
    </row>
    <row r="82" spans="1:58">
      <c r="A82" s="1817" t="str">
        <f t="shared" si="3"/>
        <v>AfricaLinseed</v>
      </c>
      <c r="B82" s="1818" t="s">
        <v>297</v>
      </c>
      <c r="C82" s="1818" t="s">
        <v>1355</v>
      </c>
      <c r="D82" s="3463" t="str">
        <f>VLOOKUP(B82,List_Yield!$G$4:$J$14,4,FALSE)</f>
        <v>Africa</v>
      </c>
      <c r="E82" s="3463" t="str">
        <f t="shared" si="2"/>
        <v>AfricaLinseed</v>
      </c>
      <c r="F82" s="2994">
        <v>0.5212</v>
      </c>
      <c r="G82" s="2994">
        <v>0.54849999999999999</v>
      </c>
      <c r="H82" s="2994">
        <v>0.5625</v>
      </c>
      <c r="I82" s="2994">
        <v>0.56479999999999997</v>
      </c>
      <c r="J82" s="2994">
        <v>0.54400000000000004</v>
      </c>
      <c r="K82" s="2994">
        <v>0.54369999999999996</v>
      </c>
      <c r="L82" s="2994">
        <v>0.53849999999999998</v>
      </c>
      <c r="M82" s="2994">
        <v>0.56759999999999999</v>
      </c>
      <c r="N82" s="2994">
        <v>0.58409999999999995</v>
      </c>
      <c r="O82" s="2994">
        <v>0.58840000000000003</v>
      </c>
      <c r="P82" s="2994">
        <v>0.57420000000000004</v>
      </c>
      <c r="Q82" s="2994">
        <v>0.63539999999999996</v>
      </c>
      <c r="R82" s="2994">
        <v>0.4783</v>
      </c>
      <c r="S82" s="2994">
        <v>0.59609999999999996</v>
      </c>
      <c r="T82" s="2994">
        <v>0.53639999999999999</v>
      </c>
      <c r="U82" s="2994">
        <v>0.62290000000000001</v>
      </c>
      <c r="V82" s="2994">
        <v>0.75870000000000004</v>
      </c>
      <c r="W82" s="2994">
        <v>0.80769999999999997</v>
      </c>
      <c r="X82" s="2994">
        <v>0.79749999999999999</v>
      </c>
      <c r="Y82" s="2994">
        <v>0.74480000000000002</v>
      </c>
      <c r="Z82" s="2994">
        <v>0.66620000000000001</v>
      </c>
      <c r="AA82" s="2994">
        <v>0.62570000000000003</v>
      </c>
      <c r="AB82" s="2994">
        <v>0.53649999999999998</v>
      </c>
      <c r="AC82" s="2994">
        <v>0.71079999999999999</v>
      </c>
      <c r="AD82" s="2994">
        <v>0.50190000000000001</v>
      </c>
      <c r="AE82" s="2994">
        <v>0.72260000000000002</v>
      </c>
      <c r="AF82" s="2994">
        <v>0.65639999999999998</v>
      </c>
      <c r="AG82" s="2994">
        <v>0.75739999999999996</v>
      </c>
      <c r="AH82" s="2994">
        <v>0.73099999999999998</v>
      </c>
      <c r="AI82" s="2994">
        <v>0.69620000000000004</v>
      </c>
      <c r="AJ82" s="2994">
        <v>0.70040000000000002</v>
      </c>
      <c r="AK82" s="2994">
        <v>0.63500000000000001</v>
      </c>
      <c r="AL82" s="2994">
        <v>0.65200000000000002</v>
      </c>
      <c r="AM82" s="2994">
        <v>0.66439999999999999</v>
      </c>
      <c r="AN82" s="2994">
        <v>0.62680000000000002</v>
      </c>
      <c r="AO82" s="2994">
        <v>0.76</v>
      </c>
      <c r="AP82" s="2994">
        <v>0.61719999999999997</v>
      </c>
      <c r="AQ82" s="2994">
        <v>0.64990000000000003</v>
      </c>
      <c r="AR82" s="2994">
        <v>0.62970000000000004</v>
      </c>
      <c r="AS82" s="2994">
        <v>0.69650000000000001</v>
      </c>
      <c r="AT82" s="2994">
        <v>0.65129999999999999</v>
      </c>
      <c r="AU82" s="2994">
        <v>0.62309999999999999</v>
      </c>
      <c r="AV82" s="2994">
        <v>0.64570000000000005</v>
      </c>
      <c r="AW82" s="2994">
        <v>0.6804</v>
      </c>
      <c r="AX82" s="2994">
        <v>0.68179999999999996</v>
      </c>
      <c r="AY82" s="2994">
        <v>0.66839999999999999</v>
      </c>
      <c r="AZ82" s="2994">
        <v>0.71789999999999998</v>
      </c>
      <c r="BA82" s="2994">
        <v>1.1379999999999999</v>
      </c>
      <c r="BB82" s="2994">
        <v>1.0820000000000001</v>
      </c>
      <c r="BC82" s="2994">
        <v>0.92130000000000001</v>
      </c>
      <c r="BD82" s="3471">
        <v>0.98609999999999998</v>
      </c>
      <c r="BE82" s="3471">
        <v>0.96989999999999998</v>
      </c>
      <c r="BF82" s="3471">
        <v>1.0173000000000001</v>
      </c>
    </row>
    <row r="83" spans="1:58">
      <c r="A83" s="1817" t="str">
        <f t="shared" si="3"/>
        <v>AfricaLupins</v>
      </c>
      <c r="B83" s="1818" t="s">
        <v>297</v>
      </c>
      <c r="C83" s="1818" t="s">
        <v>7346</v>
      </c>
      <c r="D83" s="3463" t="str">
        <f>VLOOKUP(B83,List_Yield!$G$4:$J$14,4,FALSE)</f>
        <v>Africa</v>
      </c>
      <c r="E83" s="3463" t="str">
        <f t="shared" si="2"/>
        <v>AfricaLupins</v>
      </c>
      <c r="F83" s="2994">
        <v>0.30430000000000001</v>
      </c>
      <c r="G83" s="2994">
        <v>0.27850000000000003</v>
      </c>
      <c r="H83" s="2994">
        <v>0.27610000000000001</v>
      </c>
      <c r="I83" s="2994">
        <v>0.32090000000000002</v>
      </c>
      <c r="J83" s="2994">
        <v>0.27800000000000002</v>
      </c>
      <c r="K83" s="2994">
        <v>0.25340000000000001</v>
      </c>
      <c r="L83" s="2994">
        <v>0.28100000000000003</v>
      </c>
      <c r="M83" s="2994">
        <v>0.27410000000000001</v>
      </c>
      <c r="N83" s="2994">
        <v>0.15759999999999999</v>
      </c>
      <c r="O83" s="2994">
        <v>0.27079999999999999</v>
      </c>
      <c r="P83" s="2994">
        <v>0.1925</v>
      </c>
      <c r="Q83" s="2994">
        <v>0.21390000000000001</v>
      </c>
      <c r="R83" s="2994">
        <v>0.1898</v>
      </c>
      <c r="S83" s="2994">
        <v>0.1956</v>
      </c>
      <c r="T83" s="2994">
        <v>0.31</v>
      </c>
      <c r="U83" s="2994">
        <v>0.43790000000000001</v>
      </c>
      <c r="V83" s="2994">
        <v>0.48499999999999999</v>
      </c>
      <c r="W83" s="2994">
        <v>0.2964</v>
      </c>
      <c r="X83" s="2994">
        <v>0.43690000000000001</v>
      </c>
      <c r="Y83" s="2994">
        <v>0.62909999999999999</v>
      </c>
      <c r="Z83" s="2994">
        <v>0.60940000000000005</v>
      </c>
      <c r="AA83" s="2994">
        <v>0.64729999999999999</v>
      </c>
      <c r="AB83" s="2994">
        <v>0.58709999999999996</v>
      </c>
      <c r="AC83" s="2994">
        <v>0.61570000000000003</v>
      </c>
      <c r="AD83" s="2994">
        <v>0.73719999999999997</v>
      </c>
      <c r="AE83" s="2994">
        <v>0.67410000000000003</v>
      </c>
      <c r="AF83" s="2994">
        <v>0.64219999999999999</v>
      </c>
      <c r="AG83" s="2994">
        <v>0.60419999999999996</v>
      </c>
      <c r="AH83" s="2994">
        <v>0.57589999999999997</v>
      </c>
      <c r="AI83" s="2994">
        <v>0.65149999999999997</v>
      </c>
      <c r="AJ83" s="2994">
        <v>0.70369999999999999</v>
      </c>
      <c r="AK83" s="2994">
        <v>0.66469999999999996</v>
      </c>
      <c r="AL83" s="2994">
        <v>0.69530000000000003</v>
      </c>
      <c r="AM83" s="2994">
        <v>0.60129999999999995</v>
      </c>
      <c r="AN83" s="2994">
        <v>0.75429999999999997</v>
      </c>
      <c r="AO83" s="2994">
        <v>0.72929999999999995</v>
      </c>
      <c r="AP83" s="2994">
        <v>0.69</v>
      </c>
      <c r="AQ83" s="2994">
        <v>0.6865</v>
      </c>
      <c r="AR83" s="2994">
        <v>0.73870000000000002</v>
      </c>
      <c r="AS83" s="2994">
        <v>0.81269999999999998</v>
      </c>
      <c r="AT83" s="2994">
        <v>0.77139999999999997</v>
      </c>
      <c r="AU83" s="2994">
        <v>0.72699999999999998</v>
      </c>
      <c r="AV83" s="2994">
        <v>0.4622</v>
      </c>
      <c r="AW83" s="2994">
        <v>0.4335</v>
      </c>
      <c r="AX83" s="2994">
        <v>0.60160000000000002</v>
      </c>
      <c r="AY83" s="2994">
        <v>0.5897</v>
      </c>
      <c r="AZ83" s="2994">
        <v>1.0391999999999999</v>
      </c>
      <c r="BA83" s="2994">
        <v>1.532</v>
      </c>
      <c r="BB83" s="2994">
        <v>1.8447</v>
      </c>
      <c r="BC83" s="2994">
        <v>1.4862</v>
      </c>
      <c r="BD83" s="3471">
        <v>1.4938</v>
      </c>
      <c r="BE83" s="3471">
        <v>1.5317000000000001</v>
      </c>
      <c r="BF83" s="3471">
        <v>1.5255000000000001</v>
      </c>
    </row>
    <row r="84" spans="1:58">
      <c r="A84" s="1817" t="str">
        <f t="shared" si="3"/>
        <v>AfricaMaize</v>
      </c>
      <c r="B84" s="1818" t="s">
        <v>297</v>
      </c>
      <c r="C84" s="1818" t="s">
        <v>1356</v>
      </c>
      <c r="D84" s="3463" t="str">
        <f>VLOOKUP(B84,List_Yield!$G$4:$J$14,4,FALSE)</f>
        <v>Africa</v>
      </c>
      <c r="E84" s="3463" t="str">
        <f t="shared" si="2"/>
        <v>AfricaMaize</v>
      </c>
      <c r="F84" s="2994">
        <v>1.0444</v>
      </c>
      <c r="G84" s="2994">
        <v>1.1112</v>
      </c>
      <c r="H84" s="2994">
        <v>1.1093999999999999</v>
      </c>
      <c r="I84" s="2994">
        <v>0.97960000000000003</v>
      </c>
      <c r="J84" s="2994">
        <v>1.0271999999999999</v>
      </c>
      <c r="K84" s="2994">
        <v>1.0729</v>
      </c>
      <c r="L84" s="2994">
        <v>1.3685</v>
      </c>
      <c r="M84" s="2994">
        <v>1.0752999999999999</v>
      </c>
      <c r="N84" s="2994">
        <v>1.1412</v>
      </c>
      <c r="O84" s="2994">
        <v>1.1382000000000001</v>
      </c>
      <c r="P84" s="2994">
        <v>1.3476999999999999</v>
      </c>
      <c r="Q84" s="2994">
        <v>1.3791</v>
      </c>
      <c r="R84" s="2994">
        <v>1.0653999999999999</v>
      </c>
      <c r="S84" s="2994">
        <v>1.4604999999999999</v>
      </c>
      <c r="T84" s="2994">
        <v>1.4206000000000001</v>
      </c>
      <c r="U84" s="2994">
        <v>1.3861000000000001</v>
      </c>
      <c r="V84" s="2994">
        <v>1.5093000000000001</v>
      </c>
      <c r="W84" s="2994">
        <v>1.5377000000000001</v>
      </c>
      <c r="X84" s="2994">
        <v>1.3985000000000001</v>
      </c>
      <c r="Y84" s="2994">
        <v>1.5579000000000001</v>
      </c>
      <c r="Z84" s="2994">
        <v>1.8503000000000001</v>
      </c>
      <c r="AA84" s="2994">
        <v>1.4669000000000001</v>
      </c>
      <c r="AB84" s="2994">
        <v>1.1567000000000001</v>
      </c>
      <c r="AC84" s="2994">
        <v>1.2020999999999999</v>
      </c>
      <c r="AD84" s="2994">
        <v>1.4991000000000001</v>
      </c>
      <c r="AE84" s="2994">
        <v>1.4493</v>
      </c>
      <c r="AF84" s="2994">
        <v>1.3411999999999999</v>
      </c>
      <c r="AG84" s="2994">
        <v>1.5071000000000001</v>
      </c>
      <c r="AH84" s="2994">
        <v>1.6927000000000001</v>
      </c>
      <c r="AI84" s="2994">
        <v>1.5116000000000001</v>
      </c>
      <c r="AJ84" s="2994">
        <v>1.4926999999999999</v>
      </c>
      <c r="AK84" s="2994">
        <v>1.1365000000000001</v>
      </c>
      <c r="AL84" s="2994">
        <v>1.5557000000000001</v>
      </c>
      <c r="AM84" s="2994">
        <v>1.6307</v>
      </c>
      <c r="AN84" s="2994">
        <v>1.3958999999999999</v>
      </c>
      <c r="AO84" s="2994">
        <v>1.7316</v>
      </c>
      <c r="AP84" s="2994">
        <v>1.6302000000000001</v>
      </c>
      <c r="AQ84" s="2994">
        <v>1.5966</v>
      </c>
      <c r="AR84" s="2994">
        <v>1.7445999999999999</v>
      </c>
      <c r="AS84" s="2994">
        <v>1.8230999999999999</v>
      </c>
      <c r="AT84" s="2994">
        <v>1.7276</v>
      </c>
      <c r="AU84" s="2994">
        <v>1.7448999999999999</v>
      </c>
      <c r="AV84" s="2994">
        <v>1.6132</v>
      </c>
      <c r="AW84" s="2994">
        <v>1.7289000000000001</v>
      </c>
      <c r="AX84" s="2994">
        <v>1.7130000000000001</v>
      </c>
      <c r="AY84" s="2994">
        <v>1.7798</v>
      </c>
      <c r="AZ84" s="2994">
        <v>1.7403</v>
      </c>
      <c r="BA84" s="2994">
        <v>1.9192</v>
      </c>
      <c r="BB84" s="2994">
        <v>2.0038</v>
      </c>
      <c r="BC84" s="2994">
        <v>2.0661999999999998</v>
      </c>
      <c r="BD84" s="3471">
        <v>1.9239999999999999</v>
      </c>
      <c r="BE84" s="3471">
        <v>2.0565000000000002</v>
      </c>
      <c r="BF84" s="3471">
        <v>2.0449000000000002</v>
      </c>
    </row>
    <row r="85" spans="1:58">
      <c r="A85" s="1817" t="str">
        <f t="shared" si="3"/>
        <v>AfricaMaize, green</v>
      </c>
      <c r="B85" s="1818" t="s">
        <v>297</v>
      </c>
      <c r="C85" s="1818" t="s">
        <v>1357</v>
      </c>
      <c r="D85" s="3463" t="str">
        <f>VLOOKUP(B85,List_Yield!$G$4:$J$14,4,FALSE)</f>
        <v>Africa</v>
      </c>
      <c r="E85" s="3463" t="str">
        <f t="shared" si="2"/>
        <v>AfricaMaize, green</v>
      </c>
      <c r="F85" s="2994">
        <v>2.5247999999999999</v>
      </c>
      <c r="G85" s="2994">
        <v>2.6667999999999998</v>
      </c>
      <c r="H85" s="2994">
        <v>2.8651</v>
      </c>
      <c r="I85" s="2994">
        <v>2.4857999999999998</v>
      </c>
      <c r="J85" s="2994">
        <v>2.6322999999999999</v>
      </c>
      <c r="K85" s="2994">
        <v>2.7052999999999998</v>
      </c>
      <c r="L85" s="2994">
        <v>2.6292</v>
      </c>
      <c r="M85" s="2994">
        <v>2.76</v>
      </c>
      <c r="N85" s="2994">
        <v>2.6964000000000001</v>
      </c>
      <c r="O85" s="2994">
        <v>2.7324999999999999</v>
      </c>
      <c r="P85" s="2994">
        <v>2.9129999999999998</v>
      </c>
      <c r="Q85" s="2994">
        <v>2.5236000000000001</v>
      </c>
      <c r="R85" s="2994">
        <v>2.9893000000000001</v>
      </c>
      <c r="S85" s="2994">
        <v>3.0672000000000001</v>
      </c>
      <c r="T85" s="2994">
        <v>3.4011999999999998</v>
      </c>
      <c r="U85" s="2994">
        <v>3.2342</v>
      </c>
      <c r="V85" s="2994">
        <v>3.3182999999999998</v>
      </c>
      <c r="W85" s="2994">
        <v>3.1257999999999999</v>
      </c>
      <c r="X85" s="2994">
        <v>3.2921999999999998</v>
      </c>
      <c r="Y85" s="2994">
        <v>3.4418000000000002</v>
      </c>
      <c r="Z85" s="2994">
        <v>3.4323000000000001</v>
      </c>
      <c r="AA85" s="2994">
        <v>3.2509000000000001</v>
      </c>
      <c r="AB85" s="2994">
        <v>3.1307999999999998</v>
      </c>
      <c r="AC85" s="2994">
        <v>3.2227999999999999</v>
      </c>
      <c r="AD85" s="2994">
        <v>3.1916000000000002</v>
      </c>
      <c r="AE85" s="2994">
        <v>3.1537000000000002</v>
      </c>
      <c r="AF85" s="2994">
        <v>3.5783</v>
      </c>
      <c r="AG85" s="2994">
        <v>3.5358999999999998</v>
      </c>
      <c r="AH85" s="2994">
        <v>3.5461999999999998</v>
      </c>
      <c r="AI85" s="2994">
        <v>3.6221000000000001</v>
      </c>
      <c r="AJ85" s="2994">
        <v>3.7302</v>
      </c>
      <c r="AK85" s="2994">
        <v>3.7244000000000002</v>
      </c>
      <c r="AL85" s="2994">
        <v>4.1924000000000001</v>
      </c>
      <c r="AM85" s="2994">
        <v>4.0434000000000001</v>
      </c>
      <c r="AN85" s="2994">
        <v>3.1890999999999998</v>
      </c>
      <c r="AO85" s="2994">
        <v>2.7519999999999998</v>
      </c>
      <c r="AP85" s="2994">
        <v>2.7894000000000001</v>
      </c>
      <c r="AQ85" s="2994">
        <v>2.7461000000000002</v>
      </c>
      <c r="AR85" s="2994">
        <v>2.6612</v>
      </c>
      <c r="AS85" s="2994">
        <v>2.7374999999999998</v>
      </c>
      <c r="AT85" s="2994">
        <v>2.9632999999999998</v>
      </c>
      <c r="AU85" s="2994">
        <v>3.4782999999999999</v>
      </c>
      <c r="AV85" s="2994">
        <v>3.4110999999999998</v>
      </c>
      <c r="AW85" s="2994">
        <v>3.6375000000000002</v>
      </c>
      <c r="AX85" s="2994">
        <v>3.4060000000000001</v>
      </c>
      <c r="AY85" s="2994">
        <v>3.4918</v>
      </c>
      <c r="AZ85" s="2994">
        <v>3.5632999999999999</v>
      </c>
      <c r="BA85" s="2994">
        <v>3.8441000000000001</v>
      </c>
      <c r="BB85" s="2994">
        <v>3.6892</v>
      </c>
      <c r="BC85" s="2994">
        <v>3.71</v>
      </c>
      <c r="BD85" s="3471">
        <v>3.7294999999999998</v>
      </c>
      <c r="BE85" s="3471">
        <v>3.7284000000000002</v>
      </c>
      <c r="BF85" s="3471">
        <v>0</v>
      </c>
    </row>
    <row r="86" spans="1:58">
      <c r="A86" s="1817" t="str">
        <f t="shared" si="3"/>
        <v>AfricaMangoes, mangosteens, guavas</v>
      </c>
      <c r="B86" s="1818" t="s">
        <v>297</v>
      </c>
      <c r="C86" s="1818" t="s">
        <v>1358</v>
      </c>
      <c r="D86" s="3463" t="str">
        <f>VLOOKUP(B86,List_Yield!$G$4:$J$14,4,FALSE)</f>
        <v>Africa</v>
      </c>
      <c r="E86" s="3463" t="str">
        <f t="shared" si="2"/>
        <v>AfricaMangoes, mangosteens, guavas</v>
      </c>
      <c r="F86" s="2994">
        <v>7.1196999999999999</v>
      </c>
      <c r="G86" s="2994">
        <v>7.4703999999999997</v>
      </c>
      <c r="H86" s="2994">
        <v>7.5928000000000004</v>
      </c>
      <c r="I86" s="2994">
        <v>7.6978</v>
      </c>
      <c r="J86" s="2994">
        <v>7.2866999999999997</v>
      </c>
      <c r="K86" s="2994">
        <v>7.4794</v>
      </c>
      <c r="L86" s="2994">
        <v>7.2887000000000004</v>
      </c>
      <c r="M86" s="2994">
        <v>7.2062999999999997</v>
      </c>
      <c r="N86" s="2994">
        <v>7.3879000000000001</v>
      </c>
      <c r="O86" s="2994">
        <v>7.1631999999999998</v>
      </c>
      <c r="P86" s="2994">
        <v>7.3338999999999999</v>
      </c>
      <c r="Q86" s="2994">
        <v>7.2903000000000002</v>
      </c>
      <c r="R86" s="2994">
        <v>7.5006000000000004</v>
      </c>
      <c r="S86" s="2994">
        <v>8.0768000000000004</v>
      </c>
      <c r="T86" s="2994">
        <v>7.6245000000000003</v>
      </c>
      <c r="U86" s="2994">
        <v>7.8712</v>
      </c>
      <c r="V86" s="2994">
        <v>7.4374000000000002</v>
      </c>
      <c r="W86" s="2994">
        <v>7.5957999999999997</v>
      </c>
      <c r="X86" s="2994">
        <v>7.7119999999999997</v>
      </c>
      <c r="Y86" s="2994">
        <v>7.5355999999999996</v>
      </c>
      <c r="Z86" s="2994">
        <v>7.4753999999999996</v>
      </c>
      <c r="AA86" s="2994">
        <v>7.5589000000000004</v>
      </c>
      <c r="AB86" s="2994">
        <v>7.6714000000000002</v>
      </c>
      <c r="AC86" s="2994">
        <v>7.5510000000000002</v>
      </c>
      <c r="AD86" s="2994">
        <v>6.9678000000000004</v>
      </c>
      <c r="AE86" s="2994">
        <v>6.8875999999999999</v>
      </c>
      <c r="AF86" s="2994">
        <v>6.7853000000000003</v>
      </c>
      <c r="AG86" s="2994">
        <v>6.6123000000000003</v>
      </c>
      <c r="AH86" s="2994">
        <v>6.9212999999999996</v>
      </c>
      <c r="AI86" s="2994">
        <v>6.7359</v>
      </c>
      <c r="AJ86" s="2994">
        <v>6.6814999999999998</v>
      </c>
      <c r="AK86" s="2994">
        <v>6.4276999999999997</v>
      </c>
      <c r="AL86" s="2994">
        <v>6.6131000000000002</v>
      </c>
      <c r="AM86" s="2994">
        <v>6.3982000000000001</v>
      </c>
      <c r="AN86" s="2994">
        <v>6.4901999999999997</v>
      </c>
      <c r="AO86" s="2994">
        <v>6.4665999999999997</v>
      </c>
      <c r="AP86" s="2994">
        <v>6.3785999999999996</v>
      </c>
      <c r="AQ86" s="2994">
        <v>6.3741000000000003</v>
      </c>
      <c r="AR86" s="2994">
        <v>5.9356</v>
      </c>
      <c r="AS86" s="2994">
        <v>5.9181999999999997</v>
      </c>
      <c r="AT86" s="2994">
        <v>6.0004999999999997</v>
      </c>
      <c r="AU86" s="2994">
        <v>6.1121999999999996</v>
      </c>
      <c r="AV86" s="2994">
        <v>6.5983000000000001</v>
      </c>
      <c r="AW86" s="2994">
        <v>6.8749000000000002</v>
      </c>
      <c r="AX86" s="2994">
        <v>7.2889999999999997</v>
      </c>
      <c r="AY86" s="2994">
        <v>7.4222999999999999</v>
      </c>
      <c r="AZ86" s="2994">
        <v>7.3590999999999998</v>
      </c>
      <c r="BA86" s="2994">
        <v>7.1166</v>
      </c>
      <c r="BB86" s="2994">
        <v>7.0864000000000003</v>
      </c>
      <c r="BC86" s="2994">
        <v>7.1913</v>
      </c>
      <c r="BD86" s="3471">
        <v>6.9634999999999998</v>
      </c>
      <c r="BE86" s="3471">
        <v>10.313000000000001</v>
      </c>
      <c r="BF86" s="3471">
        <v>0</v>
      </c>
    </row>
    <row r="87" spans="1:58">
      <c r="A87" s="1817" t="str">
        <f t="shared" si="3"/>
        <v>AfricaManila fibre (abaca)</v>
      </c>
      <c r="B87" s="1818" t="s">
        <v>297</v>
      </c>
      <c r="C87" s="1818" t="s">
        <v>7347</v>
      </c>
      <c r="D87" s="3463" t="str">
        <f>VLOOKUP(B87,List_Yield!$G$4:$J$14,4,FALSE)</f>
        <v>Africa</v>
      </c>
      <c r="E87" s="3463" t="str">
        <f t="shared" si="2"/>
        <v>AfricaManila fibre (abaca)</v>
      </c>
      <c r="F87" s="2994">
        <v>0.4</v>
      </c>
      <c r="G87" s="2994">
        <v>0.4</v>
      </c>
      <c r="H87" s="2994">
        <v>0.5</v>
      </c>
      <c r="I87" s="2994">
        <v>0.5</v>
      </c>
      <c r="J87" s="2994">
        <v>0.42599999999999999</v>
      </c>
      <c r="K87" s="2994">
        <v>0.25700000000000001</v>
      </c>
      <c r="L87" s="2994">
        <v>0.11799999999999999</v>
      </c>
      <c r="M87" s="2994">
        <v>0.3</v>
      </c>
      <c r="N87" s="2994">
        <v>0.4</v>
      </c>
      <c r="O87" s="2994">
        <v>0.4</v>
      </c>
      <c r="P87" s="2994">
        <v>0.4</v>
      </c>
      <c r="Q87" s="2994">
        <v>0.40910000000000002</v>
      </c>
      <c r="R87" s="2994">
        <v>0.40910000000000002</v>
      </c>
      <c r="S87" s="2994">
        <v>0.41820000000000002</v>
      </c>
      <c r="T87" s="2994">
        <v>0.41820000000000002</v>
      </c>
      <c r="U87" s="2994">
        <v>0.4</v>
      </c>
      <c r="V87" s="2994">
        <v>0.4</v>
      </c>
      <c r="W87" s="2994">
        <v>0.4</v>
      </c>
      <c r="X87" s="2994">
        <v>0.4083</v>
      </c>
      <c r="Y87" s="2994">
        <v>0.35</v>
      </c>
      <c r="Z87" s="2994">
        <v>0.36430000000000001</v>
      </c>
      <c r="AA87" s="2994">
        <v>0.31879999999999997</v>
      </c>
      <c r="AB87" s="2994">
        <v>0.32500000000000001</v>
      </c>
      <c r="AC87" s="2994">
        <v>0.3206</v>
      </c>
      <c r="AD87" s="2994">
        <v>0.32350000000000001</v>
      </c>
      <c r="AE87" s="2994">
        <v>0.3412</v>
      </c>
      <c r="AF87" s="2994">
        <v>0.32350000000000001</v>
      </c>
      <c r="AG87" s="2994">
        <v>0.32350000000000001</v>
      </c>
      <c r="AH87" s="2994">
        <v>0.30559999999999998</v>
      </c>
      <c r="AI87" s="2994">
        <v>0.28999999999999998</v>
      </c>
      <c r="AJ87" s="2994">
        <v>0.33169999999999999</v>
      </c>
      <c r="AK87" s="2994">
        <v>0.2928</v>
      </c>
      <c r="AL87" s="2994">
        <v>0.26669999999999999</v>
      </c>
      <c r="AM87" s="2994">
        <v>0.35110000000000002</v>
      </c>
      <c r="AN87" s="2994">
        <v>0.39439999999999997</v>
      </c>
      <c r="AO87" s="2994">
        <v>0.48720000000000002</v>
      </c>
      <c r="AP87" s="2994">
        <v>0.30499999999999999</v>
      </c>
      <c r="AQ87" s="2994">
        <v>0.2467</v>
      </c>
      <c r="AR87" s="2994">
        <v>0.25829999999999997</v>
      </c>
      <c r="AS87" s="2994">
        <v>0.23780000000000001</v>
      </c>
      <c r="AT87" s="2994">
        <v>0.26440000000000002</v>
      </c>
      <c r="AU87" s="2994">
        <v>0.2722</v>
      </c>
      <c r="AV87" s="2994">
        <v>0.20330000000000001</v>
      </c>
      <c r="AW87" s="2994">
        <v>0.21390000000000001</v>
      </c>
      <c r="AX87" s="2994">
        <v>0.22889999999999999</v>
      </c>
      <c r="AY87" s="2994">
        <v>0.1956</v>
      </c>
      <c r="AZ87" s="2994">
        <v>0.15110000000000001</v>
      </c>
      <c r="BA87" s="2994">
        <v>0.1739</v>
      </c>
      <c r="BB87" s="2994">
        <v>0.13639999999999999</v>
      </c>
      <c r="BC87" s="2994">
        <v>0.13220000000000001</v>
      </c>
      <c r="BD87" s="3471">
        <v>0.1522</v>
      </c>
      <c r="BE87" s="3471">
        <v>0.1522</v>
      </c>
      <c r="BF87" s="3471">
        <v>0</v>
      </c>
    </row>
    <row r="88" spans="1:58">
      <c r="A88" s="1817" t="str">
        <f t="shared" si="3"/>
        <v>AfricaMaté</v>
      </c>
      <c r="B88" s="1818" t="s">
        <v>297</v>
      </c>
      <c r="C88" s="1818" t="s">
        <v>2268</v>
      </c>
      <c r="D88" s="3463" t="str">
        <f>VLOOKUP(B88,List_Yield!$G$4:$J$14,4,FALSE)</f>
        <v>Africa</v>
      </c>
      <c r="E88" s="3463" t="str">
        <f t="shared" si="2"/>
        <v>AfricaMaté</v>
      </c>
      <c r="F88" s="2994">
        <v>0</v>
      </c>
      <c r="G88" s="2994">
        <v>0</v>
      </c>
      <c r="H88" s="2994">
        <v>0</v>
      </c>
      <c r="I88" s="2994">
        <v>0</v>
      </c>
      <c r="J88" s="2994">
        <v>0</v>
      </c>
      <c r="K88" s="2994">
        <v>0</v>
      </c>
      <c r="L88" s="2994">
        <v>0</v>
      </c>
      <c r="M88" s="2994">
        <v>0</v>
      </c>
      <c r="N88" s="2994">
        <v>0</v>
      </c>
      <c r="O88" s="2994">
        <v>0</v>
      </c>
      <c r="P88" s="2994">
        <v>0</v>
      </c>
      <c r="Q88" s="2994">
        <v>0</v>
      </c>
      <c r="R88" s="2994">
        <v>0</v>
      </c>
      <c r="S88" s="2994">
        <v>0</v>
      </c>
      <c r="T88" s="2994">
        <v>0</v>
      </c>
      <c r="U88" s="2994">
        <v>0</v>
      </c>
      <c r="V88" s="2994">
        <v>0</v>
      </c>
      <c r="W88" s="2994">
        <v>0</v>
      </c>
      <c r="X88" s="2994">
        <v>0</v>
      </c>
      <c r="Y88" s="2994">
        <v>0</v>
      </c>
      <c r="Z88" s="2994">
        <v>0</v>
      </c>
      <c r="AA88" s="2994">
        <v>0</v>
      </c>
      <c r="AB88" s="2994">
        <v>0</v>
      </c>
      <c r="AC88" s="2994">
        <v>0</v>
      </c>
      <c r="AD88" s="2994">
        <v>0</v>
      </c>
      <c r="AE88" s="2994">
        <v>0</v>
      </c>
      <c r="AF88" s="2994">
        <v>0</v>
      </c>
      <c r="AG88" s="2994">
        <v>0</v>
      </c>
      <c r="AH88" s="2994">
        <v>0</v>
      </c>
      <c r="AI88" s="2994">
        <v>0</v>
      </c>
      <c r="AJ88" s="2994">
        <v>0</v>
      </c>
      <c r="AK88" s="2994">
        <v>0</v>
      </c>
      <c r="AL88" s="2994">
        <v>0</v>
      </c>
      <c r="AM88" s="2994">
        <v>0</v>
      </c>
      <c r="AN88" s="2994">
        <v>0</v>
      </c>
      <c r="AO88" s="2994">
        <v>0</v>
      </c>
      <c r="AP88" s="2994">
        <v>0</v>
      </c>
      <c r="AQ88" s="2994">
        <v>0</v>
      </c>
      <c r="AR88" s="2994">
        <v>0</v>
      </c>
      <c r="AS88" s="2994">
        <v>0</v>
      </c>
      <c r="AT88" s="2994">
        <v>0</v>
      </c>
      <c r="AU88" s="2994">
        <v>0</v>
      </c>
      <c r="AV88" s="2994">
        <v>0</v>
      </c>
      <c r="AW88" s="2994">
        <v>0</v>
      </c>
      <c r="AX88" s="2994">
        <v>0</v>
      </c>
      <c r="AY88" s="2994">
        <v>0</v>
      </c>
      <c r="AZ88" s="2994">
        <v>0</v>
      </c>
      <c r="BA88" s="2994">
        <v>0</v>
      </c>
      <c r="BB88" s="2994">
        <v>0</v>
      </c>
      <c r="BC88" s="2994">
        <v>0</v>
      </c>
      <c r="BD88" s="3471">
        <v>0</v>
      </c>
      <c r="BE88" s="3471">
        <v>0</v>
      </c>
      <c r="BF88" s="3471">
        <v>0</v>
      </c>
    </row>
    <row r="89" spans="1:58">
      <c r="A89" s="1817" t="str">
        <f t="shared" si="3"/>
        <v>AfricaMelons, other (inc.cantaloupes)</v>
      </c>
      <c r="B89" s="1818" t="s">
        <v>297</v>
      </c>
      <c r="C89" s="1818" t="s">
        <v>7348</v>
      </c>
      <c r="D89" s="3463" t="str">
        <f>VLOOKUP(B89,List_Yield!$G$4:$J$14,4,FALSE)</f>
        <v>Africa</v>
      </c>
      <c r="E89" s="3463" t="str">
        <f t="shared" si="2"/>
        <v>AfricaMelons, other (inc.cantaloupes)</v>
      </c>
      <c r="F89" s="2994">
        <v>17.386700000000001</v>
      </c>
      <c r="G89" s="2994">
        <v>19.6556</v>
      </c>
      <c r="H89" s="2994">
        <v>20.824300000000001</v>
      </c>
      <c r="I89" s="2994">
        <v>18.305900000000001</v>
      </c>
      <c r="J89" s="2994">
        <v>18.151800000000001</v>
      </c>
      <c r="K89" s="2994">
        <v>17.752700000000001</v>
      </c>
      <c r="L89" s="2994">
        <v>17.640799999999999</v>
      </c>
      <c r="M89" s="2994">
        <v>18.080300000000001</v>
      </c>
      <c r="N89" s="2994">
        <v>16.789000000000001</v>
      </c>
      <c r="O89" s="2994">
        <v>16.4602</v>
      </c>
      <c r="P89" s="2994">
        <v>18.0306</v>
      </c>
      <c r="Q89" s="2994">
        <v>17.404800000000002</v>
      </c>
      <c r="R89" s="2994">
        <v>17.4757</v>
      </c>
      <c r="S89" s="2994">
        <v>17.005099999999999</v>
      </c>
      <c r="T89" s="2994">
        <v>17.401</v>
      </c>
      <c r="U89" s="2994">
        <v>15.5404</v>
      </c>
      <c r="V89" s="2994">
        <v>14.616899999999999</v>
      </c>
      <c r="W89" s="2994">
        <v>14.9808</v>
      </c>
      <c r="X89" s="2994">
        <v>15.6928</v>
      </c>
      <c r="Y89" s="2994">
        <v>14.924099999999999</v>
      </c>
      <c r="Z89" s="2994">
        <v>15.188700000000001</v>
      </c>
      <c r="AA89" s="2994">
        <v>15.8264</v>
      </c>
      <c r="AB89" s="2994">
        <v>16.297699999999999</v>
      </c>
      <c r="AC89" s="2994">
        <v>15.387499999999999</v>
      </c>
      <c r="AD89" s="2994">
        <v>17.327000000000002</v>
      </c>
      <c r="AE89" s="2994">
        <v>15.723100000000001</v>
      </c>
      <c r="AF89" s="2994">
        <v>16.150400000000001</v>
      </c>
      <c r="AG89" s="2994">
        <v>16.311599999999999</v>
      </c>
      <c r="AH89" s="2994">
        <v>16.7805</v>
      </c>
      <c r="AI89" s="2994">
        <v>16.9483</v>
      </c>
      <c r="AJ89" s="2994">
        <v>16.246600000000001</v>
      </c>
      <c r="AK89" s="2994">
        <v>14.2819</v>
      </c>
      <c r="AL89" s="2994">
        <v>16.021599999999999</v>
      </c>
      <c r="AM89" s="2994">
        <v>16.7562</v>
      </c>
      <c r="AN89" s="2994">
        <v>16.6539</v>
      </c>
      <c r="AO89" s="2994">
        <v>19.535799999999998</v>
      </c>
      <c r="AP89" s="2994">
        <v>18.108000000000001</v>
      </c>
      <c r="AQ89" s="2994">
        <v>17.551500000000001</v>
      </c>
      <c r="AR89" s="2994">
        <v>19.6751</v>
      </c>
      <c r="AS89" s="2994">
        <v>18.855599999999999</v>
      </c>
      <c r="AT89" s="2994">
        <v>19.782</v>
      </c>
      <c r="AU89" s="2994">
        <v>19.216899999999999</v>
      </c>
      <c r="AV89" s="2994">
        <v>18.238099999999999</v>
      </c>
      <c r="AW89" s="2994">
        <v>20.6556</v>
      </c>
      <c r="AX89" s="2994">
        <v>19.331399999999999</v>
      </c>
      <c r="AY89" s="2994">
        <v>19.688500000000001</v>
      </c>
      <c r="AZ89" s="2994">
        <v>23.271899999999999</v>
      </c>
      <c r="BA89" s="2994">
        <v>22.3309</v>
      </c>
      <c r="BB89" s="2994">
        <v>23.7624</v>
      </c>
      <c r="BC89" s="2994">
        <v>21.971399999999999</v>
      </c>
      <c r="BD89" s="3471">
        <v>22.994199999999999</v>
      </c>
      <c r="BE89" s="3471">
        <v>23.431999999999999</v>
      </c>
      <c r="BF89" s="3471">
        <v>0</v>
      </c>
    </row>
    <row r="90" spans="1:58">
      <c r="A90" s="1817" t="str">
        <f t="shared" si="3"/>
        <v>AfricaMelonseed</v>
      </c>
      <c r="B90" s="1818" t="s">
        <v>297</v>
      </c>
      <c r="C90" s="1818" t="s">
        <v>7349</v>
      </c>
      <c r="D90" s="3463" t="str">
        <f>VLOOKUP(B90,List_Yield!$G$4:$J$14,4,FALSE)</f>
        <v>Africa</v>
      </c>
      <c r="E90" s="3463" t="str">
        <f t="shared" si="2"/>
        <v>AfricaMelonseed</v>
      </c>
      <c r="F90" s="2994">
        <v>0.53569999999999995</v>
      </c>
      <c r="G90" s="2994">
        <v>0.53549999999999998</v>
      </c>
      <c r="H90" s="2994">
        <v>0.60509999999999997</v>
      </c>
      <c r="I90" s="2994">
        <v>0.56920000000000004</v>
      </c>
      <c r="J90" s="2994">
        <v>0.60040000000000004</v>
      </c>
      <c r="K90" s="2994">
        <v>0.53390000000000004</v>
      </c>
      <c r="L90" s="2994">
        <v>0.55900000000000005</v>
      </c>
      <c r="M90" s="2994">
        <v>0.39550000000000002</v>
      </c>
      <c r="N90" s="2994">
        <v>0.45900000000000002</v>
      </c>
      <c r="O90" s="2994">
        <v>0.36499999999999999</v>
      </c>
      <c r="P90" s="2994">
        <v>0.4451</v>
      </c>
      <c r="Q90" s="2994">
        <v>0.57199999999999995</v>
      </c>
      <c r="R90" s="2994">
        <v>0.60740000000000005</v>
      </c>
      <c r="S90" s="2994">
        <v>0.9758</v>
      </c>
      <c r="T90" s="2994">
        <v>1.0539000000000001</v>
      </c>
      <c r="U90" s="2994">
        <v>1.0861000000000001</v>
      </c>
      <c r="V90" s="2994">
        <v>1.0472999999999999</v>
      </c>
      <c r="W90" s="2994">
        <v>1.0148999999999999</v>
      </c>
      <c r="X90" s="2994">
        <v>1.1433</v>
      </c>
      <c r="Y90" s="2994">
        <v>1.2424999999999999</v>
      </c>
      <c r="Z90" s="2994">
        <v>1.1414</v>
      </c>
      <c r="AA90" s="2994">
        <v>1.3285</v>
      </c>
      <c r="AB90" s="2994">
        <v>1.2869999999999999</v>
      </c>
      <c r="AC90" s="2994">
        <v>1.0899000000000001</v>
      </c>
      <c r="AD90" s="2994">
        <v>1.0338000000000001</v>
      </c>
      <c r="AE90" s="2994">
        <v>1.1327</v>
      </c>
      <c r="AF90" s="2994">
        <v>1.1132</v>
      </c>
      <c r="AG90" s="2994">
        <v>1.0203</v>
      </c>
      <c r="AH90" s="2994">
        <v>1.1091</v>
      </c>
      <c r="AI90" s="2994">
        <v>0.87</v>
      </c>
      <c r="AJ90" s="2994">
        <v>0.89119999999999999</v>
      </c>
      <c r="AK90" s="2994">
        <v>0.87970000000000004</v>
      </c>
      <c r="AL90" s="2994">
        <v>0.751</v>
      </c>
      <c r="AM90" s="2994">
        <v>0.7581</v>
      </c>
      <c r="AN90" s="2994">
        <v>0.79520000000000002</v>
      </c>
      <c r="AO90" s="2994">
        <v>0.80700000000000005</v>
      </c>
      <c r="AP90" s="2994">
        <v>0.88270000000000004</v>
      </c>
      <c r="AQ90" s="2994">
        <v>0.78849999999999998</v>
      </c>
      <c r="AR90" s="2994">
        <v>0.5786</v>
      </c>
      <c r="AS90" s="2994">
        <v>0.58140000000000003</v>
      </c>
      <c r="AT90" s="2994">
        <v>0.58520000000000005</v>
      </c>
      <c r="AU90" s="2994">
        <v>0.6099</v>
      </c>
      <c r="AV90" s="2994">
        <v>0.61670000000000003</v>
      </c>
      <c r="AW90" s="2994">
        <v>0.62280000000000002</v>
      </c>
      <c r="AX90" s="2994">
        <v>0.63680000000000003</v>
      </c>
      <c r="AY90" s="2994">
        <v>0.63109999999999999</v>
      </c>
      <c r="AZ90" s="2994">
        <v>0.63680000000000003</v>
      </c>
      <c r="BA90" s="2994">
        <v>0.6603</v>
      </c>
      <c r="BB90" s="2994">
        <v>0.74009999999999998</v>
      </c>
      <c r="BC90" s="2994">
        <v>0.88839999999999997</v>
      </c>
      <c r="BD90" s="3471">
        <v>0.8357</v>
      </c>
      <c r="BE90" s="3471">
        <v>0.84379999999999999</v>
      </c>
      <c r="BF90" s="3471">
        <v>0.84840000000000004</v>
      </c>
    </row>
    <row r="91" spans="1:58">
      <c r="A91" s="1817" t="str">
        <f t="shared" si="3"/>
        <v>AfricaMillet</v>
      </c>
      <c r="B91" s="1818" t="s">
        <v>297</v>
      </c>
      <c r="C91" s="1818" t="s">
        <v>1359</v>
      </c>
      <c r="D91" s="3463" t="str">
        <f>VLOOKUP(B91,List_Yield!$G$4:$J$14,4,FALSE)</f>
        <v>Africa</v>
      </c>
      <c r="E91" s="3463" t="str">
        <f t="shared" si="2"/>
        <v>AfricaMillet</v>
      </c>
      <c r="F91" s="2994">
        <v>0.57630000000000003</v>
      </c>
      <c r="G91" s="2994">
        <v>0.57669999999999999</v>
      </c>
      <c r="H91" s="2994">
        <v>0.60540000000000005</v>
      </c>
      <c r="I91" s="2994">
        <v>0.60409999999999997</v>
      </c>
      <c r="J91" s="2994">
        <v>0.56340000000000001</v>
      </c>
      <c r="K91" s="2994">
        <v>0.51490000000000002</v>
      </c>
      <c r="L91" s="2994">
        <v>0.59330000000000005</v>
      </c>
      <c r="M91" s="2994">
        <v>0.57169999999999999</v>
      </c>
      <c r="N91" s="2994">
        <v>0.62270000000000003</v>
      </c>
      <c r="O91" s="2994">
        <v>0.59430000000000005</v>
      </c>
      <c r="P91" s="2994">
        <v>0.56679999999999997</v>
      </c>
      <c r="Q91" s="2994">
        <v>0.55220000000000002</v>
      </c>
      <c r="R91" s="2994">
        <v>0.55820000000000003</v>
      </c>
      <c r="S91" s="2994">
        <v>0.68940000000000001</v>
      </c>
      <c r="T91" s="2994">
        <v>0.64829999999999999</v>
      </c>
      <c r="U91" s="2994">
        <v>0.61450000000000005</v>
      </c>
      <c r="V91" s="2994">
        <v>0.59319999999999995</v>
      </c>
      <c r="W91" s="2994">
        <v>0.67589999999999995</v>
      </c>
      <c r="X91" s="2994">
        <v>0.63700000000000001</v>
      </c>
      <c r="Y91" s="2994">
        <v>0.60119999999999996</v>
      </c>
      <c r="Z91" s="2994">
        <v>0.73260000000000003</v>
      </c>
      <c r="AA91" s="2994">
        <v>0.71440000000000003</v>
      </c>
      <c r="AB91" s="2994">
        <v>0.69389999999999996</v>
      </c>
      <c r="AC91" s="2994">
        <v>0.63429999999999997</v>
      </c>
      <c r="AD91" s="2994">
        <v>0.77780000000000005</v>
      </c>
      <c r="AE91" s="2994">
        <v>0.68630000000000002</v>
      </c>
      <c r="AF91" s="2994">
        <v>0.67200000000000004</v>
      </c>
      <c r="AG91" s="2994">
        <v>0.69140000000000001</v>
      </c>
      <c r="AH91" s="2994">
        <v>0.69630000000000003</v>
      </c>
      <c r="AI91" s="2994">
        <v>0.67789999999999995</v>
      </c>
      <c r="AJ91" s="2994">
        <v>0.66259999999999997</v>
      </c>
      <c r="AK91" s="2994">
        <v>0.6331</v>
      </c>
      <c r="AL91" s="2994">
        <v>0.63029999999999997</v>
      </c>
      <c r="AM91" s="2994">
        <v>0.61329999999999996</v>
      </c>
      <c r="AN91" s="2994">
        <v>0.62729999999999997</v>
      </c>
      <c r="AO91" s="2994">
        <v>0.66990000000000005</v>
      </c>
      <c r="AP91" s="2994">
        <v>0.62639999999999996</v>
      </c>
      <c r="AQ91" s="2994">
        <v>0.68189999999999995</v>
      </c>
      <c r="AR91" s="2994">
        <v>0.6855</v>
      </c>
      <c r="AS91" s="2994">
        <v>0.64900000000000002</v>
      </c>
      <c r="AT91" s="2994">
        <v>0.71379999999999999</v>
      </c>
      <c r="AU91" s="2994">
        <v>0.69489999999999996</v>
      </c>
      <c r="AV91" s="2994">
        <v>0.75849999999999995</v>
      </c>
      <c r="AW91" s="2994">
        <v>0.75390000000000001</v>
      </c>
      <c r="AX91" s="2994">
        <v>0.8175</v>
      </c>
      <c r="AY91" s="2994">
        <v>0.82969999999999999</v>
      </c>
      <c r="AZ91" s="2994">
        <v>0.81659999999999999</v>
      </c>
      <c r="BA91" s="2994">
        <v>0.89470000000000005</v>
      </c>
      <c r="BB91" s="2994">
        <v>0.70020000000000004</v>
      </c>
      <c r="BC91" s="2994">
        <v>0.74609999999999999</v>
      </c>
      <c r="BD91" s="3471">
        <v>0.51719999999999999</v>
      </c>
      <c r="BE91" s="3471">
        <v>0.80049999999999999</v>
      </c>
      <c r="BF91" s="3471">
        <v>0.72130000000000005</v>
      </c>
    </row>
    <row r="92" spans="1:58">
      <c r="A92" s="1817" t="str">
        <f t="shared" si="3"/>
        <v>AfricaMushrooms and truffles</v>
      </c>
      <c r="B92" s="1818" t="s">
        <v>297</v>
      </c>
      <c r="C92" s="1818" t="s">
        <v>7350</v>
      </c>
      <c r="D92" s="3463" t="str">
        <f>VLOOKUP(B92,List_Yield!$G$4:$J$14,4,FALSE)</f>
        <v>Africa</v>
      </c>
      <c r="E92" s="3463" t="str">
        <f t="shared" si="2"/>
        <v>AfricaMushrooms and truffles</v>
      </c>
      <c r="F92" s="2994">
        <v>0</v>
      </c>
      <c r="G92" s="2994">
        <v>0</v>
      </c>
      <c r="H92" s="2994">
        <v>0</v>
      </c>
      <c r="I92" s="2994">
        <v>0</v>
      </c>
      <c r="J92" s="2994">
        <v>0</v>
      </c>
      <c r="K92" s="2994">
        <v>0</v>
      </c>
      <c r="L92" s="2994">
        <v>0</v>
      </c>
      <c r="M92" s="2994">
        <v>0</v>
      </c>
      <c r="N92" s="2994">
        <v>0</v>
      </c>
      <c r="O92" s="2994">
        <v>0</v>
      </c>
      <c r="P92" s="2994">
        <v>0</v>
      </c>
      <c r="Q92" s="2994">
        <v>0</v>
      </c>
      <c r="R92" s="2994">
        <v>0</v>
      </c>
      <c r="S92" s="2994">
        <v>0</v>
      </c>
      <c r="T92" s="2994">
        <v>0</v>
      </c>
      <c r="U92" s="2994">
        <v>0</v>
      </c>
      <c r="V92" s="2994">
        <v>0</v>
      </c>
      <c r="W92" s="2994">
        <v>0</v>
      </c>
      <c r="X92" s="2994">
        <v>0</v>
      </c>
      <c r="Y92" s="2994">
        <v>0</v>
      </c>
      <c r="Z92" s="2994">
        <v>0</v>
      </c>
      <c r="AA92" s="2994">
        <v>0</v>
      </c>
      <c r="AB92" s="2994">
        <v>0</v>
      </c>
      <c r="AC92" s="2994">
        <v>0</v>
      </c>
      <c r="AD92" s="2994">
        <v>0</v>
      </c>
      <c r="AE92" s="2994">
        <v>0</v>
      </c>
      <c r="AF92" s="2994">
        <v>0</v>
      </c>
      <c r="AG92" s="2994">
        <v>0</v>
      </c>
      <c r="AH92" s="2994">
        <v>0</v>
      </c>
      <c r="AI92" s="2994">
        <v>0</v>
      </c>
      <c r="AJ92" s="2994">
        <v>0</v>
      </c>
      <c r="AK92" s="2994">
        <v>0</v>
      </c>
      <c r="AL92" s="2994">
        <v>0</v>
      </c>
      <c r="AM92" s="2994">
        <v>0</v>
      </c>
      <c r="AN92" s="2994">
        <v>0</v>
      </c>
      <c r="AO92" s="2994">
        <v>0</v>
      </c>
      <c r="AP92" s="2994">
        <v>0</v>
      </c>
      <c r="AQ92" s="2994">
        <v>0</v>
      </c>
      <c r="AR92" s="2994">
        <v>0</v>
      </c>
      <c r="AS92" s="2994">
        <v>0</v>
      </c>
      <c r="AT92" s="2994">
        <v>0</v>
      </c>
      <c r="AU92" s="2994">
        <v>0</v>
      </c>
      <c r="AV92" s="2994">
        <v>0</v>
      </c>
      <c r="AW92" s="2994">
        <v>0</v>
      </c>
      <c r="AX92" s="2994">
        <v>0</v>
      </c>
      <c r="AY92" s="2994">
        <v>0</v>
      </c>
      <c r="AZ92" s="2994">
        <v>0</v>
      </c>
      <c r="BA92" s="2994">
        <v>0</v>
      </c>
      <c r="BB92" s="2994">
        <v>0</v>
      </c>
      <c r="BC92" s="2994">
        <v>0</v>
      </c>
      <c r="BD92" s="3471">
        <v>0</v>
      </c>
      <c r="BE92" s="3471">
        <v>0</v>
      </c>
      <c r="BF92" s="3471">
        <v>0</v>
      </c>
    </row>
    <row r="93" spans="1:58">
      <c r="A93" s="1817" t="str">
        <f t="shared" si="3"/>
        <v>AfricaMustard seed</v>
      </c>
      <c r="B93" s="1818" t="s">
        <v>297</v>
      </c>
      <c r="C93" s="1818" t="s">
        <v>7351</v>
      </c>
      <c r="D93" s="3463" t="str">
        <f>VLOOKUP(B93,List_Yield!$G$4:$J$14,4,FALSE)</f>
        <v>Africa</v>
      </c>
      <c r="E93" s="3463" t="str">
        <f t="shared" si="2"/>
        <v>AfricaMustard seed</v>
      </c>
      <c r="F93" s="2994">
        <v>0</v>
      </c>
      <c r="G93" s="2994">
        <v>0</v>
      </c>
      <c r="H93" s="2994">
        <v>0</v>
      </c>
      <c r="I93" s="2994">
        <v>0</v>
      </c>
      <c r="J93" s="2994">
        <v>0</v>
      </c>
      <c r="K93" s="2994">
        <v>0</v>
      </c>
      <c r="L93" s="2994">
        <v>0</v>
      </c>
      <c r="M93" s="2994">
        <v>0</v>
      </c>
      <c r="N93" s="2994">
        <v>0</v>
      </c>
      <c r="O93" s="2994">
        <v>0</v>
      </c>
      <c r="P93" s="2994">
        <v>0</v>
      </c>
      <c r="Q93" s="2994">
        <v>0</v>
      </c>
      <c r="R93" s="2994">
        <v>0</v>
      </c>
      <c r="S93" s="2994">
        <v>0</v>
      </c>
      <c r="T93" s="2994">
        <v>0</v>
      </c>
      <c r="U93" s="2994">
        <v>0</v>
      </c>
      <c r="V93" s="2994">
        <v>0</v>
      </c>
      <c r="W93" s="2994">
        <v>0</v>
      </c>
      <c r="X93" s="2994">
        <v>0</v>
      </c>
      <c r="Y93" s="2994">
        <v>0</v>
      </c>
      <c r="Z93" s="2994">
        <v>0</v>
      </c>
      <c r="AA93" s="2994">
        <v>0</v>
      </c>
      <c r="AB93" s="2994">
        <v>0</v>
      </c>
      <c r="AC93" s="2994">
        <v>0</v>
      </c>
      <c r="AD93" s="2994">
        <v>0</v>
      </c>
      <c r="AE93" s="2994">
        <v>0</v>
      </c>
      <c r="AF93" s="2994">
        <v>0</v>
      </c>
      <c r="AG93" s="2994">
        <v>0</v>
      </c>
      <c r="AH93" s="2994">
        <v>0</v>
      </c>
      <c r="AI93" s="2994">
        <v>0</v>
      </c>
      <c r="AJ93" s="2994">
        <v>0</v>
      </c>
      <c r="AK93" s="2994">
        <v>0</v>
      </c>
      <c r="AL93" s="2994">
        <v>0</v>
      </c>
      <c r="AM93" s="2994">
        <v>0.625</v>
      </c>
      <c r="AN93" s="2994">
        <v>0.6</v>
      </c>
      <c r="AO93" s="2994">
        <v>0.64090000000000003</v>
      </c>
      <c r="AP93" s="2994">
        <v>0.55530000000000002</v>
      </c>
      <c r="AQ93" s="2994">
        <v>0.51429999999999998</v>
      </c>
      <c r="AR93" s="2994">
        <v>0.53280000000000005</v>
      </c>
      <c r="AS93" s="2994">
        <v>0.53390000000000004</v>
      </c>
      <c r="AT93" s="2994">
        <v>0.48509999999999998</v>
      </c>
      <c r="AU93" s="2994">
        <v>0.58930000000000005</v>
      </c>
      <c r="AV93" s="2994">
        <v>0.61619999999999997</v>
      </c>
      <c r="AW93" s="2994">
        <v>0.56569999999999998</v>
      </c>
      <c r="AX93" s="2994">
        <v>0.49859999999999999</v>
      </c>
      <c r="AY93" s="2994">
        <v>0.48770000000000002</v>
      </c>
      <c r="AZ93" s="2994">
        <v>0.57040000000000002</v>
      </c>
      <c r="BA93" s="2994">
        <v>0.66559999999999997</v>
      </c>
      <c r="BB93" s="2994">
        <v>0.60050000000000003</v>
      </c>
      <c r="BC93" s="2994">
        <v>0.64059999999999995</v>
      </c>
      <c r="BD93" s="3471">
        <v>0.63919999999999999</v>
      </c>
      <c r="BE93" s="3471">
        <v>0.625</v>
      </c>
      <c r="BF93" s="3471">
        <v>0.625</v>
      </c>
    </row>
    <row r="94" spans="1:58">
      <c r="A94" s="1817" t="str">
        <f t="shared" si="3"/>
        <v>AfricaNutmeg, mace and cardamoms</v>
      </c>
      <c r="B94" s="1818" t="s">
        <v>297</v>
      </c>
      <c r="C94" s="1818" t="s">
        <v>7352</v>
      </c>
      <c r="D94" s="3463" t="str">
        <f>VLOOKUP(B94,List_Yield!$G$4:$J$14,4,FALSE)</f>
        <v>Africa</v>
      </c>
      <c r="E94" s="3463" t="str">
        <f t="shared" si="2"/>
        <v>AfricaNutmeg, mace and cardamoms</v>
      </c>
      <c r="F94" s="2994">
        <v>0.2</v>
      </c>
      <c r="G94" s="2994">
        <v>0.2</v>
      </c>
      <c r="H94" s="2994">
        <v>0.2</v>
      </c>
      <c r="I94" s="2994">
        <v>0.2</v>
      </c>
      <c r="J94" s="2994">
        <v>0.2</v>
      </c>
      <c r="K94" s="2994">
        <v>0.2</v>
      </c>
      <c r="L94" s="2994">
        <v>0.2</v>
      </c>
      <c r="M94" s="2994">
        <v>0.22800000000000001</v>
      </c>
      <c r="N94" s="2994">
        <v>0.25700000000000001</v>
      </c>
      <c r="O94" s="2994">
        <v>0.215</v>
      </c>
      <c r="P94" s="2994">
        <v>0.20100000000000001</v>
      </c>
      <c r="Q94" s="2994">
        <v>0.161</v>
      </c>
      <c r="R94" s="2994">
        <v>0.33639999999999998</v>
      </c>
      <c r="S94" s="2994">
        <v>0.32800000000000001</v>
      </c>
      <c r="T94" s="2994">
        <v>0.40400000000000003</v>
      </c>
      <c r="U94" s="2994">
        <v>0.24399999999999999</v>
      </c>
      <c r="V94" s="2994">
        <v>0.2</v>
      </c>
      <c r="W94" s="2994">
        <v>0.20080000000000001</v>
      </c>
      <c r="X94" s="2994">
        <v>0.28179999999999999</v>
      </c>
      <c r="Y94" s="2994">
        <v>0.21110000000000001</v>
      </c>
      <c r="Z94" s="2994">
        <v>0.29759999999999998</v>
      </c>
      <c r="AA94" s="2994">
        <v>0.3322</v>
      </c>
      <c r="AB94" s="2994">
        <v>0.21110000000000001</v>
      </c>
      <c r="AC94" s="2994">
        <v>0.1943</v>
      </c>
      <c r="AD94" s="2994">
        <v>0.15939999999999999</v>
      </c>
      <c r="AE94" s="2994">
        <v>0.16719999999999999</v>
      </c>
      <c r="AF94" s="2994">
        <v>0.29899999999999999</v>
      </c>
      <c r="AG94" s="2994">
        <v>0.21870000000000001</v>
      </c>
      <c r="AH94" s="2994">
        <v>0.25240000000000001</v>
      </c>
      <c r="AI94" s="2994">
        <v>0.33750000000000002</v>
      </c>
      <c r="AJ94" s="2994">
        <v>0.29749999999999999</v>
      </c>
      <c r="AK94" s="2994">
        <v>0.2762</v>
      </c>
      <c r="AL94" s="2994">
        <v>0.33229999999999998</v>
      </c>
      <c r="AM94" s="2994">
        <v>0.36309999999999998</v>
      </c>
      <c r="AN94" s="2994">
        <v>0.38009999999999999</v>
      </c>
      <c r="AO94" s="2994">
        <v>0.3947</v>
      </c>
      <c r="AP94" s="2994">
        <v>0.2908</v>
      </c>
      <c r="AQ94" s="2994">
        <v>0.30719999999999997</v>
      </c>
      <c r="AR94" s="2994">
        <v>0.29870000000000002</v>
      </c>
      <c r="AS94" s="2994">
        <v>0.29870000000000002</v>
      </c>
      <c r="AT94" s="2994">
        <v>0.29699999999999999</v>
      </c>
      <c r="AU94" s="2994">
        <v>0.28220000000000001</v>
      </c>
      <c r="AV94" s="2994">
        <v>0.36630000000000001</v>
      </c>
      <c r="AW94" s="2994">
        <v>0.39800000000000002</v>
      </c>
      <c r="AX94" s="2994">
        <v>0.25169999999999998</v>
      </c>
      <c r="AY94" s="2994">
        <v>0.25679999999999997</v>
      </c>
      <c r="AZ94" s="2994">
        <v>0.43869999999999998</v>
      </c>
      <c r="BA94" s="2994">
        <v>0.36730000000000002</v>
      </c>
      <c r="BB94" s="2994">
        <v>0.40279999999999999</v>
      </c>
      <c r="BC94" s="2994">
        <v>0.4572</v>
      </c>
      <c r="BD94" s="3471">
        <v>0.48859999999999998</v>
      </c>
      <c r="BE94" s="3471">
        <v>0.49130000000000001</v>
      </c>
      <c r="BF94" s="3471">
        <v>0</v>
      </c>
    </row>
    <row r="95" spans="1:58">
      <c r="A95" s="1817" t="str">
        <f t="shared" si="3"/>
        <v>AfricaNuts, nes</v>
      </c>
      <c r="B95" s="1818" t="s">
        <v>297</v>
      </c>
      <c r="C95" s="1818" t="s">
        <v>7353</v>
      </c>
      <c r="D95" s="3463" t="str">
        <f>VLOOKUP(B95,List_Yield!$G$4:$J$14,4,FALSE)</f>
        <v>Africa</v>
      </c>
      <c r="E95" s="3463" t="str">
        <f t="shared" si="2"/>
        <v>AfricaNuts, nes</v>
      </c>
      <c r="F95" s="2994">
        <v>3.7805</v>
      </c>
      <c r="G95" s="2994">
        <v>3.8136999999999999</v>
      </c>
      <c r="H95" s="2994">
        <v>3.6833999999999998</v>
      </c>
      <c r="I95" s="2994">
        <v>3.8854000000000002</v>
      </c>
      <c r="J95" s="2994">
        <v>3.7780999999999998</v>
      </c>
      <c r="K95" s="2994">
        <v>3.8088000000000002</v>
      </c>
      <c r="L95" s="2994">
        <v>3.8401999999999998</v>
      </c>
      <c r="M95" s="2994">
        <v>3.8715999999999999</v>
      </c>
      <c r="N95" s="2994">
        <v>3.891</v>
      </c>
      <c r="O95" s="2994">
        <v>3.8940000000000001</v>
      </c>
      <c r="P95" s="2994">
        <v>3.988</v>
      </c>
      <c r="Q95" s="2994">
        <v>4.3251999999999997</v>
      </c>
      <c r="R95" s="2994">
        <v>4.6074999999999999</v>
      </c>
      <c r="S95" s="2994">
        <v>4.7824</v>
      </c>
      <c r="T95" s="2994">
        <v>5.0533000000000001</v>
      </c>
      <c r="U95" s="2994">
        <v>4.7876000000000003</v>
      </c>
      <c r="V95" s="2994">
        <v>5.1917999999999997</v>
      </c>
      <c r="W95" s="2994">
        <v>5.3464999999999998</v>
      </c>
      <c r="X95" s="2994">
        <v>5.4701000000000004</v>
      </c>
      <c r="Y95" s="2994">
        <v>5.4782999999999999</v>
      </c>
      <c r="Z95" s="2994">
        <v>5.4837999999999996</v>
      </c>
      <c r="AA95" s="2994">
        <v>5.6852999999999998</v>
      </c>
      <c r="AB95" s="2994">
        <v>5.6711999999999998</v>
      </c>
      <c r="AC95" s="2994">
        <v>5.6687000000000003</v>
      </c>
      <c r="AD95" s="2994">
        <v>1.0286</v>
      </c>
      <c r="AE95" s="2994">
        <v>1.0502</v>
      </c>
      <c r="AF95" s="2994">
        <v>1.0339</v>
      </c>
      <c r="AG95" s="2994">
        <v>1.0586</v>
      </c>
      <c r="AH95" s="2994">
        <v>1.0599000000000001</v>
      </c>
      <c r="AI95" s="2994">
        <v>0.99409999999999998</v>
      </c>
      <c r="AJ95" s="2994">
        <v>1.1072</v>
      </c>
      <c r="AK95" s="2994">
        <v>1.1242000000000001</v>
      </c>
      <c r="AL95" s="2994">
        <v>1.0637000000000001</v>
      </c>
      <c r="AM95" s="2994">
        <v>1.1668000000000001</v>
      </c>
      <c r="AN95" s="2994">
        <v>1.266</v>
      </c>
      <c r="AO95" s="2994">
        <v>1.4153</v>
      </c>
      <c r="AP95" s="2994">
        <v>1.4930000000000001</v>
      </c>
      <c r="AQ95" s="2994">
        <v>1.34</v>
      </c>
      <c r="AR95" s="2994">
        <v>1.4097</v>
      </c>
      <c r="AS95" s="2994">
        <v>1.3835</v>
      </c>
      <c r="AT95" s="2994">
        <v>1.3376999999999999</v>
      </c>
      <c r="AU95" s="2994">
        <v>1.4026000000000001</v>
      </c>
      <c r="AV95" s="2994">
        <v>1.3944000000000001</v>
      </c>
      <c r="AW95" s="2994">
        <v>1.2967</v>
      </c>
      <c r="AX95" s="2994">
        <v>1.4336</v>
      </c>
      <c r="AY95" s="2994">
        <v>1.218</v>
      </c>
      <c r="AZ95" s="2994">
        <v>1.3464</v>
      </c>
      <c r="BA95" s="2994">
        <v>1.5368999999999999</v>
      </c>
      <c r="BB95" s="2994">
        <v>1.448</v>
      </c>
      <c r="BC95" s="2994">
        <v>1.419</v>
      </c>
      <c r="BD95" s="3471">
        <v>1.5779000000000001</v>
      </c>
      <c r="BE95" s="3471">
        <v>1.5919000000000001</v>
      </c>
      <c r="BF95" s="3471">
        <v>0</v>
      </c>
    </row>
    <row r="96" spans="1:58">
      <c r="A96" s="1817" t="str">
        <f t="shared" si="3"/>
        <v>AfricaOats</v>
      </c>
      <c r="B96" s="1818" t="s">
        <v>297</v>
      </c>
      <c r="C96" s="1818" t="s">
        <v>1323</v>
      </c>
      <c r="D96" s="3463" t="str">
        <f>VLOOKUP(B96,List_Yield!$G$4:$J$14,4,FALSE)</f>
        <v>Africa</v>
      </c>
      <c r="E96" s="3463" t="str">
        <f t="shared" si="2"/>
        <v>AfricaOats</v>
      </c>
      <c r="F96" s="2994">
        <v>0.79769999999999996</v>
      </c>
      <c r="G96" s="2994">
        <v>0.92069999999999996</v>
      </c>
      <c r="H96" s="2994">
        <v>0.879</v>
      </c>
      <c r="I96" s="2994">
        <v>0.95130000000000003</v>
      </c>
      <c r="J96" s="2994">
        <v>0.90210000000000001</v>
      </c>
      <c r="K96" s="2994">
        <v>0.76729999999999998</v>
      </c>
      <c r="L96" s="2994">
        <v>1.1394</v>
      </c>
      <c r="M96" s="2994">
        <v>0.99480000000000002</v>
      </c>
      <c r="N96" s="2994">
        <v>0.80500000000000005</v>
      </c>
      <c r="O96" s="2994">
        <v>0.9304</v>
      </c>
      <c r="P96" s="2994">
        <v>0.84650000000000003</v>
      </c>
      <c r="Q96" s="2994">
        <v>0.8286</v>
      </c>
      <c r="R96" s="2994">
        <v>0.83540000000000003</v>
      </c>
      <c r="S96" s="2994">
        <v>0.93620000000000003</v>
      </c>
      <c r="T96" s="2994">
        <v>0.97019999999999995</v>
      </c>
      <c r="U96" s="2994">
        <v>0.91090000000000004</v>
      </c>
      <c r="V96" s="2994">
        <v>0.59909999999999997</v>
      </c>
      <c r="W96" s="2994">
        <v>0.76649999999999996</v>
      </c>
      <c r="X96" s="2994">
        <v>0.79400000000000004</v>
      </c>
      <c r="Y96" s="2994">
        <v>0.82899999999999996</v>
      </c>
      <c r="Z96" s="2994">
        <v>0.78549999999999998</v>
      </c>
      <c r="AA96" s="2994">
        <v>0.86209999999999998</v>
      </c>
      <c r="AB96" s="2994">
        <v>0.85060000000000002</v>
      </c>
      <c r="AC96" s="2994">
        <v>0.76559999999999995</v>
      </c>
      <c r="AD96" s="2994">
        <v>0.72650000000000003</v>
      </c>
      <c r="AE96" s="2994">
        <v>0.874</v>
      </c>
      <c r="AF96" s="2994">
        <v>0.76829999999999998</v>
      </c>
      <c r="AG96" s="2994">
        <v>0.70930000000000004</v>
      </c>
      <c r="AH96" s="2994">
        <v>0.84299999999999997</v>
      </c>
      <c r="AI96" s="2994">
        <v>0.87150000000000005</v>
      </c>
      <c r="AJ96" s="2994">
        <v>1.1413</v>
      </c>
      <c r="AK96" s="2994">
        <v>0.81710000000000005</v>
      </c>
      <c r="AL96" s="2994">
        <v>0.77749999999999997</v>
      </c>
      <c r="AM96" s="2994">
        <v>1.0434000000000001</v>
      </c>
      <c r="AN96" s="2994">
        <v>0.84460000000000002</v>
      </c>
      <c r="AO96" s="2994">
        <v>1.141</v>
      </c>
      <c r="AP96" s="2994">
        <v>0.8629</v>
      </c>
      <c r="AQ96" s="2994">
        <v>0.84930000000000005</v>
      </c>
      <c r="AR96" s="2994">
        <v>0.81130000000000002</v>
      </c>
      <c r="AS96" s="2994">
        <v>0.83050000000000002</v>
      </c>
      <c r="AT96" s="2994">
        <v>1.0275000000000001</v>
      </c>
      <c r="AU96" s="2994">
        <v>1.0938000000000001</v>
      </c>
      <c r="AV96" s="2994">
        <v>1.0827</v>
      </c>
      <c r="AW96" s="2994">
        <v>1.2009000000000001</v>
      </c>
      <c r="AX96" s="2994">
        <v>1.1347</v>
      </c>
      <c r="AY96" s="2994">
        <v>1.1095999999999999</v>
      </c>
      <c r="AZ96" s="2994">
        <v>1.0481</v>
      </c>
      <c r="BA96" s="2994">
        <v>0.90990000000000004</v>
      </c>
      <c r="BB96" s="2994">
        <v>1.2434000000000001</v>
      </c>
      <c r="BC96" s="2994">
        <v>1.2104999999999999</v>
      </c>
      <c r="BD96" s="3471">
        <v>1.5019</v>
      </c>
      <c r="BE96" s="3471">
        <v>1.4188000000000001</v>
      </c>
      <c r="BF96" s="3471">
        <v>1.5263</v>
      </c>
    </row>
    <row r="97" spans="1:58">
      <c r="A97" s="1817" t="str">
        <f t="shared" si="3"/>
        <v>AfricaOil, palm fruit</v>
      </c>
      <c r="B97" s="1818" t="s">
        <v>297</v>
      </c>
      <c r="C97" s="1818" t="s">
        <v>7354</v>
      </c>
      <c r="D97" s="3463" t="str">
        <f>VLOOKUP(B97,List_Yield!$G$4:$J$14,4,FALSE)</f>
        <v>Africa</v>
      </c>
      <c r="E97" s="3463" t="str">
        <f t="shared" si="2"/>
        <v>AfricaOil, palm fruit</v>
      </c>
      <c r="F97" s="2994">
        <v>3.3431999999999999</v>
      </c>
      <c r="G97" s="2994">
        <v>3.4049999999999998</v>
      </c>
      <c r="H97" s="2994">
        <v>3.3974000000000002</v>
      </c>
      <c r="I97" s="2994">
        <v>3.3668999999999998</v>
      </c>
      <c r="J97" s="2994">
        <v>3.3127</v>
      </c>
      <c r="K97" s="2994">
        <v>3.3003</v>
      </c>
      <c r="L97" s="2994">
        <v>3.5562999999999998</v>
      </c>
      <c r="M97" s="2994">
        <v>3.6080999999999999</v>
      </c>
      <c r="N97" s="2994">
        <v>3.5710000000000002</v>
      </c>
      <c r="O97" s="2994">
        <v>3.6044</v>
      </c>
      <c r="P97" s="2994">
        <v>3.6149</v>
      </c>
      <c r="Q97" s="2994">
        <v>3.7113999999999998</v>
      </c>
      <c r="R97" s="2994">
        <v>3.6962999999999999</v>
      </c>
      <c r="S97" s="2994">
        <v>3.7368000000000001</v>
      </c>
      <c r="T97" s="2994">
        <v>3.7814000000000001</v>
      </c>
      <c r="U97" s="2994">
        <v>3.7374999999999998</v>
      </c>
      <c r="V97" s="2994">
        <v>3.6168999999999998</v>
      </c>
      <c r="W97" s="2994">
        <v>3.7753999999999999</v>
      </c>
      <c r="X97" s="2994">
        <v>3.5969000000000002</v>
      </c>
      <c r="Y97" s="2994">
        <v>3.6644000000000001</v>
      </c>
      <c r="Z97" s="2994">
        <v>3.6892999999999998</v>
      </c>
      <c r="AA97" s="2994">
        <v>3.7105999999999999</v>
      </c>
      <c r="AB97" s="2994">
        <v>3.698</v>
      </c>
      <c r="AC97" s="2994">
        <v>3.6126999999999998</v>
      </c>
      <c r="AD97" s="2994">
        <v>3.6476999999999999</v>
      </c>
      <c r="AE97" s="2994">
        <v>3.7477</v>
      </c>
      <c r="AF97" s="2994">
        <v>3.7046000000000001</v>
      </c>
      <c r="AG97" s="2994">
        <v>3.6960000000000002</v>
      </c>
      <c r="AH97" s="2994">
        <v>3.8111999999999999</v>
      </c>
      <c r="AI97" s="2994">
        <v>3.8488000000000002</v>
      </c>
      <c r="AJ97" s="2994">
        <v>3.7363</v>
      </c>
      <c r="AK97" s="2994">
        <v>3.7023000000000001</v>
      </c>
      <c r="AL97" s="2994">
        <v>3.7056</v>
      </c>
      <c r="AM97" s="2994">
        <v>3.6817000000000002</v>
      </c>
      <c r="AN97" s="2994">
        <v>3.6573000000000002</v>
      </c>
      <c r="AO97" s="2994">
        <v>3.6985999999999999</v>
      </c>
      <c r="AP97" s="2994">
        <v>3.5762</v>
      </c>
      <c r="AQ97" s="2994">
        <v>3.6574</v>
      </c>
      <c r="AR97" s="2994">
        <v>3.6817000000000002</v>
      </c>
      <c r="AS97" s="2994">
        <v>3.6297999999999999</v>
      </c>
      <c r="AT97" s="2994">
        <v>3.5916000000000001</v>
      </c>
      <c r="AU97" s="2994">
        <v>3.6225999999999998</v>
      </c>
      <c r="AV97" s="2994">
        <v>3.6217999999999999</v>
      </c>
      <c r="AW97" s="2994">
        <v>3.6812</v>
      </c>
      <c r="AX97" s="2994">
        <v>3.6604999999999999</v>
      </c>
      <c r="AY97" s="2994">
        <v>3.8757999999999999</v>
      </c>
      <c r="AZ97" s="2994">
        <v>3.8319999999999999</v>
      </c>
      <c r="BA97" s="2994">
        <v>3.8058000000000001</v>
      </c>
      <c r="BB97" s="2994">
        <v>3.9045999999999998</v>
      </c>
      <c r="BC97" s="2994">
        <v>3.8475000000000001</v>
      </c>
      <c r="BD97" s="3471">
        <v>3.8978000000000002</v>
      </c>
      <c r="BE97" s="3471">
        <v>3.9973999999999998</v>
      </c>
      <c r="BF97" s="3471">
        <v>4.5121000000000002</v>
      </c>
    </row>
    <row r="98" spans="1:58">
      <c r="A98" s="1817" t="str">
        <f t="shared" si="3"/>
        <v>AfricaOilseeds nes</v>
      </c>
      <c r="B98" s="1818" t="s">
        <v>297</v>
      </c>
      <c r="C98" s="1818" t="s">
        <v>7355</v>
      </c>
      <c r="D98" s="3463" t="str">
        <f>VLOOKUP(B98,List_Yield!$G$4:$J$14,4,FALSE)</f>
        <v>Africa</v>
      </c>
      <c r="E98" s="3463" t="str">
        <f t="shared" si="2"/>
        <v>AfricaOilseeds nes</v>
      </c>
      <c r="F98" s="2994">
        <v>0.4587</v>
      </c>
      <c r="G98" s="2994">
        <v>0.43259999999999998</v>
      </c>
      <c r="H98" s="2994">
        <v>0.45729999999999998</v>
      </c>
      <c r="I98" s="2994">
        <v>0.44540000000000002</v>
      </c>
      <c r="J98" s="2994">
        <v>0.45250000000000001</v>
      </c>
      <c r="K98" s="2994">
        <v>0.45450000000000002</v>
      </c>
      <c r="L98" s="2994">
        <v>0.46610000000000001</v>
      </c>
      <c r="M98" s="2994">
        <v>0.44190000000000002</v>
      </c>
      <c r="N98" s="2994">
        <v>0.43130000000000002</v>
      </c>
      <c r="O98" s="2994">
        <v>0.42720000000000002</v>
      </c>
      <c r="P98" s="2994">
        <v>0.42549999999999999</v>
      </c>
      <c r="Q98" s="2994">
        <v>0.4133</v>
      </c>
      <c r="R98" s="2994">
        <v>0.4088</v>
      </c>
      <c r="S98" s="2994">
        <v>0.37940000000000002</v>
      </c>
      <c r="T98" s="2994">
        <v>0.40339999999999998</v>
      </c>
      <c r="U98" s="2994">
        <v>0.38040000000000002</v>
      </c>
      <c r="V98" s="2994">
        <v>0.44600000000000001</v>
      </c>
      <c r="W98" s="2994">
        <v>0.49959999999999999</v>
      </c>
      <c r="X98" s="2994">
        <v>0.47610000000000002</v>
      </c>
      <c r="Y98" s="2994">
        <v>0.52700000000000002</v>
      </c>
      <c r="Z98" s="2994">
        <v>0.44269999999999998</v>
      </c>
      <c r="AA98" s="2994">
        <v>0.49959999999999999</v>
      </c>
      <c r="AB98" s="2994">
        <v>0.47049999999999997</v>
      </c>
      <c r="AC98" s="2994">
        <v>0.44540000000000002</v>
      </c>
      <c r="AD98" s="2994">
        <v>0.45750000000000002</v>
      </c>
      <c r="AE98" s="2994">
        <v>0.46150000000000002</v>
      </c>
      <c r="AF98" s="2994">
        <v>0.48830000000000001</v>
      </c>
      <c r="AG98" s="2994">
        <v>0.48899999999999999</v>
      </c>
      <c r="AH98" s="2994">
        <v>0.47139999999999999</v>
      </c>
      <c r="AI98" s="2994">
        <v>0.67810000000000004</v>
      </c>
      <c r="AJ98" s="2994">
        <v>0.67059999999999997</v>
      </c>
      <c r="AK98" s="2994">
        <v>0.64759999999999995</v>
      </c>
      <c r="AL98" s="2994">
        <v>0.67110000000000003</v>
      </c>
      <c r="AM98" s="2994">
        <v>0.61670000000000003</v>
      </c>
      <c r="AN98" s="2994">
        <v>0.66279999999999994</v>
      </c>
      <c r="AO98" s="2994">
        <v>0.56730000000000003</v>
      </c>
      <c r="AP98" s="2994">
        <v>0.56269999999999998</v>
      </c>
      <c r="AQ98" s="2994">
        <v>0.51990000000000003</v>
      </c>
      <c r="AR98" s="2994">
        <v>0.48859999999999998</v>
      </c>
      <c r="AS98" s="2994">
        <v>0.52</v>
      </c>
      <c r="AT98" s="2994">
        <v>0.51449999999999996</v>
      </c>
      <c r="AU98" s="2994">
        <v>0.53720000000000001</v>
      </c>
      <c r="AV98" s="2994">
        <v>0.51429999999999998</v>
      </c>
      <c r="AW98" s="2994">
        <v>0.55900000000000005</v>
      </c>
      <c r="AX98" s="2994">
        <v>0.58709999999999996</v>
      </c>
      <c r="AY98" s="2994">
        <v>0.6421</v>
      </c>
      <c r="AZ98" s="2994">
        <v>0.63670000000000004</v>
      </c>
      <c r="BA98" s="2994">
        <v>0.71809999999999996</v>
      </c>
      <c r="BB98" s="2994">
        <v>0.72350000000000003</v>
      </c>
      <c r="BC98" s="2994">
        <v>0.71399999999999997</v>
      </c>
      <c r="BD98" s="3471">
        <v>0.70269999999999999</v>
      </c>
      <c r="BE98" s="3471">
        <v>0.75970000000000004</v>
      </c>
      <c r="BF98" s="3471">
        <v>0.7651</v>
      </c>
    </row>
    <row r="99" spans="1:58">
      <c r="A99" s="1817" t="str">
        <f t="shared" si="3"/>
        <v>AfricaOkra</v>
      </c>
      <c r="B99" s="1818" t="s">
        <v>297</v>
      </c>
      <c r="C99" s="1818" t="s">
        <v>7356</v>
      </c>
      <c r="D99" s="3463" t="str">
        <f>VLOOKUP(B99,List_Yield!$G$4:$J$14,4,FALSE)</f>
        <v>Africa</v>
      </c>
      <c r="E99" s="3463" t="str">
        <f t="shared" si="2"/>
        <v>AfricaOkra</v>
      </c>
      <c r="F99" s="2994">
        <v>1.8574999999999999</v>
      </c>
      <c r="G99" s="2994">
        <v>1.9125000000000001</v>
      </c>
      <c r="H99" s="2994">
        <v>1.9674</v>
      </c>
      <c r="I99" s="2994">
        <v>2.0139</v>
      </c>
      <c r="J99" s="2994">
        <v>2.0169000000000001</v>
      </c>
      <c r="K99" s="2994">
        <v>2.0649000000000002</v>
      </c>
      <c r="L99" s="2994">
        <v>2.1271</v>
      </c>
      <c r="M99" s="2994">
        <v>2.1756000000000002</v>
      </c>
      <c r="N99" s="2994">
        <v>2.2313000000000001</v>
      </c>
      <c r="O99" s="2994">
        <v>2.2559</v>
      </c>
      <c r="P99" s="2994">
        <v>2.2953000000000001</v>
      </c>
      <c r="Q99" s="2994">
        <v>2.7183000000000002</v>
      </c>
      <c r="R99" s="2994">
        <v>2.7098</v>
      </c>
      <c r="S99" s="2994">
        <v>2.8877000000000002</v>
      </c>
      <c r="T99" s="2994">
        <v>2.8094999999999999</v>
      </c>
      <c r="U99" s="2994">
        <v>2.6223000000000001</v>
      </c>
      <c r="V99" s="2994">
        <v>2.5966999999999998</v>
      </c>
      <c r="W99" s="2994">
        <v>2.4832999999999998</v>
      </c>
      <c r="X99" s="2994">
        <v>2.5739999999999998</v>
      </c>
      <c r="Y99" s="2994">
        <v>2.6541000000000001</v>
      </c>
      <c r="Z99" s="2994">
        <v>2.5379999999999998</v>
      </c>
      <c r="AA99" s="2994">
        <v>2.6017000000000001</v>
      </c>
      <c r="AB99" s="2994">
        <v>2.6867999999999999</v>
      </c>
      <c r="AC99" s="2994">
        <v>2.7315999999999998</v>
      </c>
      <c r="AD99" s="2994">
        <v>2.5459000000000001</v>
      </c>
      <c r="AE99" s="2994">
        <v>2.5205000000000002</v>
      </c>
      <c r="AF99" s="2994">
        <v>2.5518000000000001</v>
      </c>
      <c r="AG99" s="2994">
        <v>2.4434999999999998</v>
      </c>
      <c r="AH99" s="2994">
        <v>3.3982999999999999</v>
      </c>
      <c r="AI99" s="2994">
        <v>2.6160000000000001</v>
      </c>
      <c r="AJ99" s="2994">
        <v>2.5493000000000001</v>
      </c>
      <c r="AK99" s="2994">
        <v>2.3353000000000002</v>
      </c>
      <c r="AL99" s="2994">
        <v>2.4592000000000001</v>
      </c>
      <c r="AM99" s="2994">
        <v>2.3090000000000002</v>
      </c>
      <c r="AN99" s="2994">
        <v>1.9863</v>
      </c>
      <c r="AO99" s="2994">
        <v>1.6637</v>
      </c>
      <c r="AP99" s="2994">
        <v>3.0002</v>
      </c>
      <c r="AQ99" s="2994">
        <v>3.1640000000000001</v>
      </c>
      <c r="AR99" s="2994">
        <v>3.5103</v>
      </c>
      <c r="AS99" s="2994">
        <v>3.0211000000000001</v>
      </c>
      <c r="AT99" s="2994">
        <v>3.3344999999999998</v>
      </c>
      <c r="AU99" s="2994">
        <v>3.3653</v>
      </c>
      <c r="AV99" s="2994">
        <v>3.4832000000000001</v>
      </c>
      <c r="AW99" s="2994">
        <v>3.306</v>
      </c>
      <c r="AX99" s="2994">
        <v>3.3677999999999999</v>
      </c>
      <c r="AY99" s="2994">
        <v>3.3008999999999999</v>
      </c>
      <c r="AZ99" s="2994">
        <v>3.5381</v>
      </c>
      <c r="BA99" s="2994">
        <v>3.3925999999999998</v>
      </c>
      <c r="BB99" s="2994">
        <v>3.4224999999999999</v>
      </c>
      <c r="BC99" s="2994">
        <v>3.39</v>
      </c>
      <c r="BD99" s="3471">
        <v>3.4796</v>
      </c>
      <c r="BE99" s="3471">
        <v>3.552</v>
      </c>
      <c r="BF99" s="3471">
        <v>0</v>
      </c>
    </row>
    <row r="100" spans="1:58">
      <c r="A100" s="1817" t="str">
        <f t="shared" si="3"/>
        <v>AfricaOlives</v>
      </c>
      <c r="B100" s="1818" t="s">
        <v>297</v>
      </c>
      <c r="C100" s="1818" t="s">
        <v>1361</v>
      </c>
      <c r="D100" s="3463" t="str">
        <f>VLOOKUP(B100,List_Yield!$G$4:$J$14,4,FALSE)</f>
        <v>Africa</v>
      </c>
      <c r="E100" s="3463" t="str">
        <f t="shared" si="2"/>
        <v>AfricaOlives</v>
      </c>
      <c r="F100" s="2994">
        <v>0.76280000000000003</v>
      </c>
      <c r="G100" s="2994">
        <v>0.68969999999999998</v>
      </c>
      <c r="H100" s="2994">
        <v>0.54549999999999998</v>
      </c>
      <c r="I100" s="2994">
        <v>0.53510000000000002</v>
      </c>
      <c r="J100" s="2994">
        <v>0.84889999999999999</v>
      </c>
      <c r="K100" s="2994">
        <v>1.0739000000000001</v>
      </c>
      <c r="L100" s="2994">
        <v>0.83240000000000003</v>
      </c>
      <c r="M100" s="2994">
        <v>0.87319999999999998</v>
      </c>
      <c r="N100" s="2994">
        <v>0.79310000000000003</v>
      </c>
      <c r="O100" s="2994">
        <v>0.62109999999999999</v>
      </c>
      <c r="P100" s="2994">
        <v>0.84560000000000002</v>
      </c>
      <c r="Q100" s="2994">
        <v>0.51170000000000004</v>
      </c>
      <c r="R100" s="2994">
        <v>0.69259999999999999</v>
      </c>
      <c r="S100" s="2994">
        <v>0.62260000000000004</v>
      </c>
      <c r="T100" s="2994">
        <v>0.86380000000000001</v>
      </c>
      <c r="U100" s="2994">
        <v>0.60850000000000004</v>
      </c>
      <c r="V100" s="2994">
        <v>0.57699999999999996</v>
      </c>
      <c r="W100" s="2994">
        <v>0.49249999999999999</v>
      </c>
      <c r="X100" s="2994">
        <v>0.56059999999999999</v>
      </c>
      <c r="Y100" s="2994">
        <v>0.69820000000000004</v>
      </c>
      <c r="Z100" s="2994">
        <v>0.55010000000000003</v>
      </c>
      <c r="AA100" s="2994">
        <v>0.58079999999999998</v>
      </c>
      <c r="AB100" s="2994">
        <v>0.7419</v>
      </c>
      <c r="AC100" s="2994">
        <v>0.58699999999999997</v>
      </c>
      <c r="AD100" s="2994">
        <v>0.64790000000000003</v>
      </c>
      <c r="AE100" s="2994">
        <v>0.70850000000000002</v>
      </c>
      <c r="AF100" s="2994">
        <v>0.66049999999999998</v>
      </c>
      <c r="AG100" s="2994">
        <v>0.44450000000000001</v>
      </c>
      <c r="AH100" s="2994">
        <v>0.76719999999999999</v>
      </c>
      <c r="AI100" s="2994">
        <v>0.755</v>
      </c>
      <c r="AJ100" s="2994">
        <v>1.0482</v>
      </c>
      <c r="AK100" s="2994">
        <v>0.73860000000000003</v>
      </c>
      <c r="AL100" s="2994">
        <v>0.89259999999999995</v>
      </c>
      <c r="AM100" s="2994">
        <v>0.62670000000000003</v>
      </c>
      <c r="AN100" s="2994">
        <v>0.57879999999999998</v>
      </c>
      <c r="AO100" s="2994">
        <v>1.3577999999999999</v>
      </c>
      <c r="AP100" s="2994">
        <v>0.9002</v>
      </c>
      <c r="AQ100" s="2994">
        <v>1.0141</v>
      </c>
      <c r="AR100" s="2994">
        <v>1.0572999999999999</v>
      </c>
      <c r="AS100" s="2994">
        <v>0.7107</v>
      </c>
      <c r="AT100" s="2994">
        <v>0.53910000000000002</v>
      </c>
      <c r="AU100" s="2994">
        <v>0.67589999999999995</v>
      </c>
      <c r="AV100" s="2994">
        <v>1.115</v>
      </c>
      <c r="AW100" s="2994">
        <v>0.76890000000000003</v>
      </c>
      <c r="AX100" s="2994">
        <v>0.93159999999999998</v>
      </c>
      <c r="AY100" s="2994">
        <v>1.0277000000000001</v>
      </c>
      <c r="AZ100" s="2994">
        <v>0.92490000000000006</v>
      </c>
      <c r="BA100" s="2994">
        <v>1.0238</v>
      </c>
      <c r="BB100" s="2994">
        <v>0.9325</v>
      </c>
      <c r="BC100" s="2994">
        <v>1.0377000000000001</v>
      </c>
      <c r="BD100" s="3471">
        <v>0.98229999999999995</v>
      </c>
      <c r="BE100" s="3471">
        <v>1.0033000000000001</v>
      </c>
      <c r="BF100" s="3471">
        <v>0.96179999999999999</v>
      </c>
    </row>
    <row r="101" spans="1:58">
      <c r="A101" s="1817" t="str">
        <f t="shared" si="3"/>
        <v>AfricaOnions, dry</v>
      </c>
      <c r="B101" s="1818" t="s">
        <v>297</v>
      </c>
      <c r="C101" s="1818" t="s">
        <v>1362</v>
      </c>
      <c r="D101" s="3463" t="str">
        <f>VLOOKUP(B101,List_Yield!$G$4:$J$14,4,FALSE)</f>
        <v>Africa</v>
      </c>
      <c r="E101" s="3463" t="str">
        <f t="shared" si="2"/>
        <v>AfricaOnions, dry</v>
      </c>
      <c r="F101" s="2994">
        <v>13.289899999999999</v>
      </c>
      <c r="G101" s="2994">
        <v>14.381399999999999</v>
      </c>
      <c r="H101" s="2994">
        <v>14.7681</v>
      </c>
      <c r="I101" s="2994">
        <v>14.582599999999999</v>
      </c>
      <c r="J101" s="2994">
        <v>14.780900000000001</v>
      </c>
      <c r="K101" s="2994">
        <v>13.9175</v>
      </c>
      <c r="L101" s="2994">
        <v>13.3071</v>
      </c>
      <c r="M101" s="2994">
        <v>12.0472</v>
      </c>
      <c r="N101" s="2994">
        <v>12.379300000000001</v>
      </c>
      <c r="O101" s="2994">
        <v>11.152799999999999</v>
      </c>
      <c r="P101" s="2994">
        <v>11.906599999999999</v>
      </c>
      <c r="Q101" s="2994">
        <v>11.037599999999999</v>
      </c>
      <c r="R101" s="2994">
        <v>11.3523</v>
      </c>
      <c r="S101" s="2994">
        <v>12.354100000000001</v>
      </c>
      <c r="T101" s="2994">
        <v>12.163</v>
      </c>
      <c r="U101" s="2994">
        <v>11.383900000000001</v>
      </c>
      <c r="V101" s="2994">
        <v>11.545999999999999</v>
      </c>
      <c r="W101" s="2994">
        <v>12.172000000000001</v>
      </c>
      <c r="X101" s="2994">
        <v>12.862</v>
      </c>
      <c r="Y101" s="2994">
        <v>13.822100000000001</v>
      </c>
      <c r="Z101" s="2994">
        <v>13.5497</v>
      </c>
      <c r="AA101" s="2994">
        <v>13.564299999999999</v>
      </c>
      <c r="AB101" s="2994">
        <v>13.467499999999999</v>
      </c>
      <c r="AC101" s="2994">
        <v>13.488899999999999</v>
      </c>
      <c r="AD101" s="2994">
        <v>13.8408</v>
      </c>
      <c r="AE101" s="2994">
        <v>14.4133</v>
      </c>
      <c r="AF101" s="2994">
        <v>13.774699999999999</v>
      </c>
      <c r="AG101" s="2994">
        <v>13.2263</v>
      </c>
      <c r="AH101" s="2994">
        <v>13.316599999999999</v>
      </c>
      <c r="AI101" s="2994">
        <v>14.3734</v>
      </c>
      <c r="AJ101" s="2994">
        <v>14.324999999999999</v>
      </c>
      <c r="AK101" s="2994">
        <v>13.9933</v>
      </c>
      <c r="AL101" s="2994">
        <v>14.725099999999999</v>
      </c>
      <c r="AM101" s="2994">
        <v>13.6402</v>
      </c>
      <c r="AN101" s="2994">
        <v>12.5441</v>
      </c>
      <c r="AO101" s="2994">
        <v>12.6206</v>
      </c>
      <c r="AP101" s="2994">
        <v>13.1424</v>
      </c>
      <c r="AQ101" s="2994">
        <v>14.0784</v>
      </c>
      <c r="AR101" s="2994">
        <v>14.0535</v>
      </c>
      <c r="AS101" s="2994">
        <v>13.367900000000001</v>
      </c>
      <c r="AT101" s="2994">
        <v>14.459899999999999</v>
      </c>
      <c r="AU101" s="2994">
        <v>14.542199999999999</v>
      </c>
      <c r="AV101" s="2994">
        <v>14.333299999999999</v>
      </c>
      <c r="AW101" s="2994">
        <v>16.295100000000001</v>
      </c>
      <c r="AX101" s="2994">
        <v>16.8767</v>
      </c>
      <c r="AY101" s="2994">
        <v>15.977399999999999</v>
      </c>
      <c r="AZ101" s="2994">
        <v>16.032299999999999</v>
      </c>
      <c r="BA101" s="2994">
        <v>15.951000000000001</v>
      </c>
      <c r="BB101" s="2994">
        <v>15.7318</v>
      </c>
      <c r="BC101" s="2994">
        <v>15.608499999999999</v>
      </c>
      <c r="BD101" s="3471">
        <v>14.475</v>
      </c>
      <c r="BE101" s="3471">
        <v>14.2112</v>
      </c>
      <c r="BF101" s="3471">
        <v>0</v>
      </c>
    </row>
    <row r="102" spans="1:58">
      <c r="A102" s="1817" t="str">
        <f t="shared" si="3"/>
        <v>AfricaOnions, shallots, green</v>
      </c>
      <c r="B102" s="1818" t="s">
        <v>297</v>
      </c>
      <c r="C102" s="1818" t="s">
        <v>7357</v>
      </c>
      <c r="D102" s="3463" t="str">
        <f>VLOOKUP(B102,List_Yield!$G$4:$J$14,4,FALSE)</f>
        <v>Africa</v>
      </c>
      <c r="E102" s="3463" t="str">
        <f t="shared" si="2"/>
        <v>AfricaOnions, shallots, green</v>
      </c>
      <c r="F102" s="2994">
        <v>7.1228999999999996</v>
      </c>
      <c r="G102" s="2994">
        <v>7.1936999999999998</v>
      </c>
      <c r="H102" s="2994">
        <v>7.3994999999999997</v>
      </c>
      <c r="I102" s="2994">
        <v>7.7873999999999999</v>
      </c>
      <c r="J102" s="2994">
        <v>8.0998999999999999</v>
      </c>
      <c r="K102" s="2994">
        <v>7.9592999999999998</v>
      </c>
      <c r="L102" s="2994">
        <v>8.3059999999999992</v>
      </c>
      <c r="M102" s="2994">
        <v>8.2238000000000007</v>
      </c>
      <c r="N102" s="2994">
        <v>8.3828999999999994</v>
      </c>
      <c r="O102" s="2994">
        <v>8.8133999999999997</v>
      </c>
      <c r="P102" s="2994">
        <v>9.0045999999999999</v>
      </c>
      <c r="Q102" s="2994">
        <v>8.2814999999999994</v>
      </c>
      <c r="R102" s="2994">
        <v>7.0561999999999996</v>
      </c>
      <c r="S102" s="2994">
        <v>7.0742000000000003</v>
      </c>
      <c r="T102" s="2994">
        <v>7.7820999999999998</v>
      </c>
      <c r="U102" s="2994">
        <v>8.1882999999999999</v>
      </c>
      <c r="V102" s="2994">
        <v>8.4916999999999998</v>
      </c>
      <c r="W102" s="2994">
        <v>8.3077000000000005</v>
      </c>
      <c r="X102" s="2994">
        <v>8.2225000000000001</v>
      </c>
      <c r="Y102" s="2994">
        <v>7.9824000000000002</v>
      </c>
      <c r="Z102" s="2994">
        <v>8.9330999999999996</v>
      </c>
      <c r="AA102" s="2994">
        <v>9.2705000000000002</v>
      </c>
      <c r="AB102" s="2994">
        <v>8.7246000000000006</v>
      </c>
      <c r="AC102" s="2994">
        <v>8.5596999999999994</v>
      </c>
      <c r="AD102" s="2994">
        <v>8.3521999999999998</v>
      </c>
      <c r="AE102" s="2994">
        <v>8.4536999999999995</v>
      </c>
      <c r="AF102" s="2994">
        <v>9.0856999999999992</v>
      </c>
      <c r="AG102" s="2994">
        <v>9.5213999999999999</v>
      </c>
      <c r="AH102" s="2994">
        <v>9.6776</v>
      </c>
      <c r="AI102" s="2994">
        <v>8.8940999999999999</v>
      </c>
      <c r="AJ102" s="2994">
        <v>11.0167</v>
      </c>
      <c r="AK102" s="2994">
        <v>11.537100000000001</v>
      </c>
      <c r="AL102" s="2994">
        <v>12.0466</v>
      </c>
      <c r="AM102" s="2994">
        <v>12.0938</v>
      </c>
      <c r="AN102" s="2994">
        <v>10.8461</v>
      </c>
      <c r="AO102" s="2994">
        <v>10.407299999999999</v>
      </c>
      <c r="AP102" s="2994">
        <v>10.2768</v>
      </c>
      <c r="AQ102" s="2994">
        <v>10.289099999999999</v>
      </c>
      <c r="AR102" s="2994">
        <v>10.1127</v>
      </c>
      <c r="AS102" s="2994">
        <v>10.395799999999999</v>
      </c>
      <c r="AT102" s="2994">
        <v>11.3376</v>
      </c>
      <c r="AU102" s="2994">
        <v>13.209199999999999</v>
      </c>
      <c r="AV102" s="2994">
        <v>12.413</v>
      </c>
      <c r="AW102" s="2994">
        <v>12.7979</v>
      </c>
      <c r="AX102" s="2994">
        <v>11.478899999999999</v>
      </c>
      <c r="AY102" s="2994">
        <v>13.497999999999999</v>
      </c>
      <c r="AZ102" s="2994">
        <v>12.3469</v>
      </c>
      <c r="BA102" s="2994">
        <v>14.0954</v>
      </c>
      <c r="BB102" s="2994">
        <v>10.2621</v>
      </c>
      <c r="BC102" s="2994">
        <v>13.3735</v>
      </c>
      <c r="BD102" s="3471">
        <v>13.7456</v>
      </c>
      <c r="BE102" s="3471">
        <v>13.836600000000001</v>
      </c>
      <c r="BF102" s="3471">
        <v>0</v>
      </c>
    </row>
    <row r="103" spans="1:58">
      <c r="A103" s="1817" t="str">
        <f t="shared" si="3"/>
        <v>AfricaOranges</v>
      </c>
      <c r="B103" s="1818" t="s">
        <v>297</v>
      </c>
      <c r="C103" s="1818" t="s">
        <v>1363</v>
      </c>
      <c r="D103" s="3463" t="str">
        <f>VLOOKUP(B103,List_Yield!$G$4:$J$14,4,FALSE)</f>
        <v>Africa</v>
      </c>
      <c r="E103" s="3463" t="str">
        <f t="shared" si="2"/>
        <v>AfricaOranges</v>
      </c>
      <c r="F103" s="2994">
        <v>12.213699999999999</v>
      </c>
      <c r="G103" s="2994">
        <v>13.360799999999999</v>
      </c>
      <c r="H103" s="2994">
        <v>13.158200000000001</v>
      </c>
      <c r="I103" s="2994">
        <v>13.6577</v>
      </c>
      <c r="J103" s="2994">
        <v>12.6233</v>
      </c>
      <c r="K103" s="2994">
        <v>13.630100000000001</v>
      </c>
      <c r="L103" s="2994">
        <v>14.1471</v>
      </c>
      <c r="M103" s="2994">
        <v>13.865399999999999</v>
      </c>
      <c r="N103" s="2994">
        <v>13.7867</v>
      </c>
      <c r="O103" s="2994">
        <v>13.641400000000001</v>
      </c>
      <c r="P103" s="2994">
        <v>13.329000000000001</v>
      </c>
      <c r="Q103" s="2994">
        <v>13.962</v>
      </c>
      <c r="R103" s="2994">
        <v>14.555</v>
      </c>
      <c r="S103" s="2994">
        <v>14.149900000000001</v>
      </c>
      <c r="T103" s="2994">
        <v>13.3766</v>
      </c>
      <c r="U103" s="2994">
        <v>13.0947</v>
      </c>
      <c r="V103" s="2994">
        <v>12.4763</v>
      </c>
      <c r="W103" s="2994">
        <v>14.6006</v>
      </c>
      <c r="X103" s="2994">
        <v>15.214600000000001</v>
      </c>
      <c r="Y103" s="2994">
        <v>14.2888</v>
      </c>
      <c r="Z103" s="2994">
        <v>14.2905</v>
      </c>
      <c r="AA103" s="2994">
        <v>15.336600000000001</v>
      </c>
      <c r="AB103" s="2994">
        <v>15.9399</v>
      </c>
      <c r="AC103" s="2994">
        <v>15.697100000000001</v>
      </c>
      <c r="AD103" s="2994">
        <v>12.1303</v>
      </c>
      <c r="AE103" s="2994">
        <v>12.168799999999999</v>
      </c>
      <c r="AF103" s="2994">
        <v>12.263500000000001</v>
      </c>
      <c r="AG103" s="2994">
        <v>12.482900000000001</v>
      </c>
      <c r="AH103" s="2994">
        <v>13.356400000000001</v>
      </c>
      <c r="AI103" s="2994">
        <v>13.211600000000001</v>
      </c>
      <c r="AJ103" s="2994">
        <v>14.387499999999999</v>
      </c>
      <c r="AK103" s="2994">
        <v>13.4655</v>
      </c>
      <c r="AL103" s="2994">
        <v>12.366199999999999</v>
      </c>
      <c r="AM103" s="2994">
        <v>13.256600000000001</v>
      </c>
      <c r="AN103" s="2994">
        <v>12.6258</v>
      </c>
      <c r="AO103" s="2994">
        <v>13.9116</v>
      </c>
      <c r="AP103" s="2994">
        <v>13.0398</v>
      </c>
      <c r="AQ103" s="2994">
        <v>13.774100000000001</v>
      </c>
      <c r="AR103" s="2994">
        <v>13.779299999999999</v>
      </c>
      <c r="AS103" s="2994">
        <v>13.7315</v>
      </c>
      <c r="AT103" s="2994">
        <v>13.9331</v>
      </c>
      <c r="AU103" s="2994">
        <v>14.329700000000001</v>
      </c>
      <c r="AV103" s="2994">
        <v>15.506500000000001</v>
      </c>
      <c r="AW103" s="2994">
        <v>15.347300000000001</v>
      </c>
      <c r="AX103" s="2994">
        <v>16.669</v>
      </c>
      <c r="AY103" s="2994">
        <v>17.382899999999999</v>
      </c>
      <c r="AZ103" s="2994">
        <v>17.360700000000001</v>
      </c>
      <c r="BA103" s="2994">
        <v>17.295100000000001</v>
      </c>
      <c r="BB103" s="2994">
        <v>18.116499999999998</v>
      </c>
      <c r="BC103" s="2994">
        <v>18.659400000000002</v>
      </c>
      <c r="BD103" s="3471">
        <v>19.513200000000001</v>
      </c>
      <c r="BE103" s="3471">
        <v>19.866399999999999</v>
      </c>
      <c r="BF103" s="3471">
        <v>0</v>
      </c>
    </row>
    <row r="104" spans="1:58">
      <c r="A104" s="1817" t="str">
        <f t="shared" si="3"/>
        <v>AfricaPapayas</v>
      </c>
      <c r="B104" s="1818" t="s">
        <v>297</v>
      </c>
      <c r="C104" s="1818" t="s">
        <v>7358</v>
      </c>
      <c r="D104" s="3463" t="str">
        <f>VLOOKUP(B104,List_Yield!$G$4:$J$14,4,FALSE)</f>
        <v>Africa</v>
      </c>
      <c r="E104" s="3463" t="str">
        <f t="shared" si="2"/>
        <v>AfricaPapayas</v>
      </c>
      <c r="F104" s="2994">
        <v>8.9846000000000004</v>
      </c>
      <c r="G104" s="2994">
        <v>9.0161999999999995</v>
      </c>
      <c r="H104" s="2994">
        <v>8.9959000000000007</v>
      </c>
      <c r="I104" s="2994">
        <v>9.048</v>
      </c>
      <c r="J104" s="2994">
        <v>9.1396999999999995</v>
      </c>
      <c r="K104" s="2994">
        <v>9.1669999999999998</v>
      </c>
      <c r="L104" s="2994">
        <v>9.1760999999999999</v>
      </c>
      <c r="M104" s="2994">
        <v>9.2262000000000004</v>
      </c>
      <c r="N104" s="2994">
        <v>9.2408000000000001</v>
      </c>
      <c r="O104" s="2994">
        <v>9.3863000000000003</v>
      </c>
      <c r="P104" s="2994">
        <v>9.4047000000000001</v>
      </c>
      <c r="Q104" s="2994">
        <v>9.4343000000000004</v>
      </c>
      <c r="R104" s="2994">
        <v>9.4085999999999999</v>
      </c>
      <c r="S104" s="2994">
        <v>9.4685000000000006</v>
      </c>
      <c r="T104" s="2994">
        <v>9.2437000000000005</v>
      </c>
      <c r="U104" s="2994">
        <v>9.2469000000000001</v>
      </c>
      <c r="V104" s="2994">
        <v>9.2554999999999996</v>
      </c>
      <c r="W104" s="2994">
        <v>9.1532999999999998</v>
      </c>
      <c r="X104" s="2994">
        <v>9.3460999999999999</v>
      </c>
      <c r="Y104" s="2994">
        <v>8.9954000000000001</v>
      </c>
      <c r="Z104" s="2994">
        <v>9.0696999999999992</v>
      </c>
      <c r="AA104" s="2994">
        <v>9.0439000000000007</v>
      </c>
      <c r="AB104" s="2994">
        <v>9.1341000000000001</v>
      </c>
      <c r="AC104" s="2994">
        <v>9.1792999999999996</v>
      </c>
      <c r="AD104" s="2994">
        <v>9.2178000000000004</v>
      </c>
      <c r="AE104" s="2994">
        <v>9.2341999999999995</v>
      </c>
      <c r="AF104" s="2994">
        <v>9.2826000000000004</v>
      </c>
      <c r="AG104" s="2994">
        <v>9.2987000000000002</v>
      </c>
      <c r="AH104" s="2994">
        <v>9.6524000000000001</v>
      </c>
      <c r="AI104" s="2994">
        <v>9.5662000000000003</v>
      </c>
      <c r="AJ104" s="2994">
        <v>9.7286000000000001</v>
      </c>
      <c r="AK104" s="2994">
        <v>9.7769999999999992</v>
      </c>
      <c r="AL104" s="2994">
        <v>9.6722000000000001</v>
      </c>
      <c r="AM104" s="2994">
        <v>9.7048000000000005</v>
      </c>
      <c r="AN104" s="2994">
        <v>9.4349000000000007</v>
      </c>
      <c r="AO104" s="2994">
        <v>9.3041999999999998</v>
      </c>
      <c r="AP104" s="2994">
        <v>9.5457999999999998</v>
      </c>
      <c r="AQ104" s="2994">
        <v>9.5393000000000008</v>
      </c>
      <c r="AR104" s="2994">
        <v>9.2234999999999996</v>
      </c>
      <c r="AS104" s="2994">
        <v>9.1502999999999997</v>
      </c>
      <c r="AT104" s="2994">
        <v>9.1804000000000006</v>
      </c>
      <c r="AU104" s="2994">
        <v>9.3859999999999992</v>
      </c>
      <c r="AV104" s="2994">
        <v>9.6057000000000006</v>
      </c>
      <c r="AW104" s="2994">
        <v>10.017099999999999</v>
      </c>
      <c r="AX104" s="2994">
        <v>9.7827999999999999</v>
      </c>
      <c r="AY104" s="2994">
        <v>9.7967999999999993</v>
      </c>
      <c r="AZ104" s="2994">
        <v>9.5610999999999997</v>
      </c>
      <c r="BA104" s="2994">
        <v>9.3347999999999995</v>
      </c>
      <c r="BB104" s="2994">
        <v>9.6998999999999995</v>
      </c>
      <c r="BC104" s="2994">
        <v>9.6742000000000008</v>
      </c>
      <c r="BD104" s="3471">
        <v>8.8428000000000004</v>
      </c>
      <c r="BE104" s="3471">
        <v>9.8792000000000009</v>
      </c>
      <c r="BF104" s="3471">
        <v>0</v>
      </c>
    </row>
    <row r="105" spans="1:58">
      <c r="A105" s="1817" t="str">
        <f t="shared" si="3"/>
        <v>AfricaPeaches and nectarines</v>
      </c>
      <c r="B105" s="1818" t="s">
        <v>297</v>
      </c>
      <c r="C105" s="1818" t="s">
        <v>1364</v>
      </c>
      <c r="D105" s="3463" t="str">
        <f>VLOOKUP(B105,List_Yield!$G$4:$J$14,4,FALSE)</f>
        <v>Africa</v>
      </c>
      <c r="E105" s="3463" t="str">
        <f t="shared" si="2"/>
        <v>AfricaPeaches and nectarines</v>
      </c>
      <c r="F105" s="2994">
        <v>4.4786000000000001</v>
      </c>
      <c r="G105" s="2994">
        <v>4.2068000000000003</v>
      </c>
      <c r="H105" s="2994">
        <v>5.3253000000000004</v>
      </c>
      <c r="I105" s="2994">
        <v>6.2960000000000003</v>
      </c>
      <c r="J105" s="2994">
        <v>6.6589999999999998</v>
      </c>
      <c r="K105" s="2994">
        <v>7.1608000000000001</v>
      </c>
      <c r="L105" s="2994">
        <v>7.1553000000000004</v>
      </c>
      <c r="M105" s="2994">
        <v>6.4473000000000003</v>
      </c>
      <c r="N105" s="2994">
        <v>6.9762000000000004</v>
      </c>
      <c r="O105" s="2994">
        <v>6.5896999999999997</v>
      </c>
      <c r="P105" s="2994">
        <v>7.0551000000000004</v>
      </c>
      <c r="Q105" s="2994">
        <v>7.1151</v>
      </c>
      <c r="R105" s="2994">
        <v>7.2774999999999999</v>
      </c>
      <c r="S105" s="2994">
        <v>7.3391999999999999</v>
      </c>
      <c r="T105" s="2994">
        <v>6.8273000000000001</v>
      </c>
      <c r="U105" s="2994">
        <v>7.4386000000000001</v>
      </c>
      <c r="V105" s="2994">
        <v>7.2782999999999998</v>
      </c>
      <c r="W105" s="2994">
        <v>6.8198999999999996</v>
      </c>
      <c r="X105" s="2994">
        <v>6.8216999999999999</v>
      </c>
      <c r="Y105" s="2994">
        <v>7.3475000000000001</v>
      </c>
      <c r="Z105" s="2994">
        <v>6.8646000000000003</v>
      </c>
      <c r="AA105" s="2994">
        <v>6.4687000000000001</v>
      </c>
      <c r="AB105" s="2994">
        <v>6.1935000000000002</v>
      </c>
      <c r="AC105" s="2994">
        <v>6.8902000000000001</v>
      </c>
      <c r="AD105" s="2994">
        <v>5.8617999999999997</v>
      </c>
      <c r="AE105" s="2994">
        <v>5.7545999999999999</v>
      </c>
      <c r="AF105" s="2994">
        <v>6.3228</v>
      </c>
      <c r="AG105" s="2994">
        <v>5.7709000000000001</v>
      </c>
      <c r="AH105" s="2994">
        <v>6.0075000000000003</v>
      </c>
      <c r="AI105" s="2994">
        <v>5.4473000000000003</v>
      </c>
      <c r="AJ105" s="2994">
        <v>5.6970000000000001</v>
      </c>
      <c r="AK105" s="2994">
        <v>6.1821999999999999</v>
      </c>
      <c r="AL105" s="2994">
        <v>6.4812000000000003</v>
      </c>
      <c r="AM105" s="2994">
        <v>6.4931999999999999</v>
      </c>
      <c r="AN105" s="2994">
        <v>7.1829999999999998</v>
      </c>
      <c r="AO105" s="2994">
        <v>7.4823000000000004</v>
      </c>
      <c r="AP105" s="2994">
        <v>8.2634000000000007</v>
      </c>
      <c r="AQ105" s="2994">
        <v>8.7431000000000001</v>
      </c>
      <c r="AR105" s="2994">
        <v>7.6219999999999999</v>
      </c>
      <c r="AS105" s="2994">
        <v>7.1920999999999999</v>
      </c>
      <c r="AT105" s="2994">
        <v>6.8491</v>
      </c>
      <c r="AU105" s="2994">
        <v>8.3336000000000006</v>
      </c>
      <c r="AV105" s="2994">
        <v>8.9213000000000005</v>
      </c>
      <c r="AW105" s="2994">
        <v>9.0690000000000008</v>
      </c>
      <c r="AX105" s="2994">
        <v>9.6763999999999992</v>
      </c>
      <c r="AY105" s="2994">
        <v>10.648</v>
      </c>
      <c r="AZ105" s="2994">
        <v>9.8851999999999993</v>
      </c>
      <c r="BA105" s="2994">
        <v>10.182700000000001</v>
      </c>
      <c r="BB105" s="2994">
        <v>10.0779</v>
      </c>
      <c r="BC105" s="2994">
        <v>9.2759999999999998</v>
      </c>
      <c r="BD105" s="3471">
        <v>10.3218</v>
      </c>
      <c r="BE105" s="3471">
        <v>10.4595</v>
      </c>
      <c r="BF105" s="3471">
        <v>0</v>
      </c>
    </row>
    <row r="106" spans="1:58">
      <c r="A106" s="1817" t="str">
        <f t="shared" si="3"/>
        <v>AfricaPears</v>
      </c>
      <c r="B106" s="1818" t="s">
        <v>297</v>
      </c>
      <c r="C106" s="1818" t="s">
        <v>7359</v>
      </c>
      <c r="D106" s="3463" t="str">
        <f>VLOOKUP(B106,List_Yield!$G$4:$J$14,4,FALSE)</f>
        <v>Africa</v>
      </c>
      <c r="E106" s="3463" t="str">
        <f t="shared" si="2"/>
        <v>AfricaPears</v>
      </c>
      <c r="F106" s="2994">
        <v>8.6832999999999991</v>
      </c>
      <c r="G106" s="2994">
        <v>8.6323000000000008</v>
      </c>
      <c r="H106" s="2994">
        <v>9.5634999999999994</v>
      </c>
      <c r="I106" s="2994">
        <v>11.34</v>
      </c>
      <c r="J106" s="2994">
        <v>11.361599999999999</v>
      </c>
      <c r="K106" s="2994">
        <v>11.881</v>
      </c>
      <c r="L106" s="2994">
        <v>11.950900000000001</v>
      </c>
      <c r="M106" s="2994">
        <v>11.1661</v>
      </c>
      <c r="N106" s="2994">
        <v>11.921799999999999</v>
      </c>
      <c r="O106" s="2994">
        <v>11.5099</v>
      </c>
      <c r="P106" s="2994">
        <v>11.34</v>
      </c>
      <c r="Q106" s="2994">
        <v>14.116400000000001</v>
      </c>
      <c r="R106" s="2994">
        <v>12.948600000000001</v>
      </c>
      <c r="S106" s="2994">
        <v>10.760300000000001</v>
      </c>
      <c r="T106" s="2994">
        <v>10.8469</v>
      </c>
      <c r="U106" s="2994">
        <v>11.437099999999999</v>
      </c>
      <c r="V106" s="2994">
        <v>12.256500000000001</v>
      </c>
      <c r="W106" s="2994">
        <v>10.220700000000001</v>
      </c>
      <c r="X106" s="2994">
        <v>12.113099999999999</v>
      </c>
      <c r="Y106" s="2994">
        <v>10.7845</v>
      </c>
      <c r="Z106" s="2994">
        <v>11.2074</v>
      </c>
      <c r="AA106" s="2994">
        <v>11.2651</v>
      </c>
      <c r="AB106" s="2994">
        <v>11.8391</v>
      </c>
      <c r="AC106" s="2994">
        <v>10.201000000000001</v>
      </c>
      <c r="AD106" s="2994">
        <v>8.8267000000000007</v>
      </c>
      <c r="AE106" s="2994">
        <v>7.6791999999999998</v>
      </c>
      <c r="AF106" s="2994">
        <v>9.9260999999999999</v>
      </c>
      <c r="AG106" s="2994">
        <v>9.7492000000000001</v>
      </c>
      <c r="AH106" s="2994">
        <v>9.7074999999999996</v>
      </c>
      <c r="AI106" s="2994">
        <v>8.8779000000000003</v>
      </c>
      <c r="AJ106" s="2994">
        <v>8.9124999999999996</v>
      </c>
      <c r="AK106" s="2994">
        <v>10.191800000000001</v>
      </c>
      <c r="AL106" s="2994">
        <v>10.4176</v>
      </c>
      <c r="AM106" s="2994">
        <v>9.1875999999999998</v>
      </c>
      <c r="AN106" s="2994">
        <v>9.0185999999999993</v>
      </c>
      <c r="AO106" s="2994">
        <v>9.4030000000000005</v>
      </c>
      <c r="AP106" s="2994">
        <v>11.077500000000001</v>
      </c>
      <c r="AQ106" s="2994">
        <v>10.3965</v>
      </c>
      <c r="AR106" s="2994">
        <v>10.8832</v>
      </c>
      <c r="AS106" s="2994">
        <v>10.9168</v>
      </c>
      <c r="AT106" s="2994">
        <v>10.589399999999999</v>
      </c>
      <c r="AU106" s="2994">
        <v>12.242699999999999</v>
      </c>
      <c r="AV106" s="2994">
        <v>12.3451</v>
      </c>
      <c r="AW106" s="2994">
        <v>12.3765</v>
      </c>
      <c r="AX106" s="2994">
        <v>12.0435</v>
      </c>
      <c r="AY106" s="2994">
        <v>12.536899999999999</v>
      </c>
      <c r="AZ106" s="2994">
        <v>12.0617</v>
      </c>
      <c r="BA106" s="2994">
        <v>11.950200000000001</v>
      </c>
      <c r="BB106" s="2994">
        <v>12.2719</v>
      </c>
      <c r="BC106" s="2994">
        <v>12.777100000000001</v>
      </c>
      <c r="BD106" s="3471">
        <v>12.413500000000001</v>
      </c>
      <c r="BE106" s="3471">
        <v>12.074299999999999</v>
      </c>
      <c r="BF106" s="3471">
        <v>0</v>
      </c>
    </row>
    <row r="107" spans="1:58">
      <c r="A107" s="1817" t="str">
        <f t="shared" si="3"/>
        <v>AfricaPeas, dry</v>
      </c>
      <c r="B107" s="1818" t="s">
        <v>297</v>
      </c>
      <c r="C107" s="1818" t="s">
        <v>1365</v>
      </c>
      <c r="D107" s="3463" t="str">
        <f>VLOOKUP(B107,List_Yield!$G$4:$J$14,4,FALSE)</f>
        <v>Africa</v>
      </c>
      <c r="E107" s="3463" t="str">
        <f t="shared" si="2"/>
        <v>AfricaPeas, dry</v>
      </c>
      <c r="F107" s="2994">
        <v>0.67869999999999997</v>
      </c>
      <c r="G107" s="2994">
        <v>0.77449999999999997</v>
      </c>
      <c r="H107" s="2994">
        <v>0.71160000000000001</v>
      </c>
      <c r="I107" s="2994">
        <v>0.74409999999999998</v>
      </c>
      <c r="J107" s="2994">
        <v>0.7208</v>
      </c>
      <c r="K107" s="2994">
        <v>0.71430000000000005</v>
      </c>
      <c r="L107" s="2994">
        <v>0.71760000000000002</v>
      </c>
      <c r="M107" s="2994">
        <v>0.72740000000000005</v>
      </c>
      <c r="N107" s="2994">
        <v>0.74860000000000004</v>
      </c>
      <c r="O107" s="2994">
        <v>0.73799999999999999</v>
      </c>
      <c r="P107" s="2994">
        <v>0.77969999999999995</v>
      </c>
      <c r="Q107" s="2994">
        <v>0.73019999999999996</v>
      </c>
      <c r="R107" s="2994">
        <v>0.53449999999999998</v>
      </c>
      <c r="S107" s="2994">
        <v>0.67679999999999996</v>
      </c>
      <c r="T107" s="2994">
        <v>0.62319999999999998</v>
      </c>
      <c r="U107" s="2994">
        <v>0.65700000000000003</v>
      </c>
      <c r="V107" s="2994">
        <v>0.5958</v>
      </c>
      <c r="W107" s="2994">
        <v>0.62580000000000002</v>
      </c>
      <c r="X107" s="2994">
        <v>0.76249999999999996</v>
      </c>
      <c r="Y107" s="2994">
        <v>0.84989999999999999</v>
      </c>
      <c r="Z107" s="2994">
        <v>0.6764</v>
      </c>
      <c r="AA107" s="2994">
        <v>0.72050000000000003</v>
      </c>
      <c r="AB107" s="2994">
        <v>0.63859999999999995</v>
      </c>
      <c r="AC107" s="2994">
        <v>0.59289999999999998</v>
      </c>
      <c r="AD107" s="2994">
        <v>0.58830000000000005</v>
      </c>
      <c r="AE107" s="2994">
        <v>0.58379999999999999</v>
      </c>
      <c r="AF107" s="2994">
        <v>0.59140000000000004</v>
      </c>
      <c r="AG107" s="2994">
        <v>0.60270000000000001</v>
      </c>
      <c r="AH107" s="2994">
        <v>0.6139</v>
      </c>
      <c r="AI107" s="2994">
        <v>0.66190000000000004</v>
      </c>
      <c r="AJ107" s="2994">
        <v>0.82469999999999999</v>
      </c>
      <c r="AK107" s="2994">
        <v>0.55449999999999999</v>
      </c>
      <c r="AL107" s="2994">
        <v>0.65190000000000003</v>
      </c>
      <c r="AM107" s="2994">
        <v>0.54610000000000003</v>
      </c>
      <c r="AN107" s="2994">
        <v>0.64510000000000001</v>
      </c>
      <c r="AO107" s="2994">
        <v>0.61150000000000004</v>
      </c>
      <c r="AP107" s="2994">
        <v>0.6351</v>
      </c>
      <c r="AQ107" s="2994">
        <v>0.59040000000000004</v>
      </c>
      <c r="AR107" s="2994">
        <v>0.57569999999999999</v>
      </c>
      <c r="AS107" s="2994">
        <v>0.60370000000000001</v>
      </c>
      <c r="AT107" s="2994">
        <v>0.59279999999999999</v>
      </c>
      <c r="AU107" s="2994">
        <v>0.73709999999999998</v>
      </c>
      <c r="AV107" s="2994">
        <v>0.63719999999999999</v>
      </c>
      <c r="AW107" s="2994">
        <v>0.70240000000000002</v>
      </c>
      <c r="AX107" s="2994">
        <v>0.6593</v>
      </c>
      <c r="AY107" s="2994">
        <v>0.68459999999999999</v>
      </c>
      <c r="AZ107" s="2994">
        <v>0.74439999999999995</v>
      </c>
      <c r="BA107" s="2994">
        <v>0.76270000000000004</v>
      </c>
      <c r="BB107" s="2994">
        <v>0.7651</v>
      </c>
      <c r="BC107" s="2994">
        <v>0.79749999999999999</v>
      </c>
      <c r="BD107" s="3471">
        <v>0.81369999999999998</v>
      </c>
      <c r="BE107" s="3471">
        <v>0.83599999999999997</v>
      </c>
      <c r="BF107" s="3471">
        <v>0.88629999999999998</v>
      </c>
    </row>
    <row r="108" spans="1:58">
      <c r="A108" s="1817" t="str">
        <f t="shared" si="3"/>
        <v>AfricaPeas, green</v>
      </c>
      <c r="B108" s="1818" t="s">
        <v>297</v>
      </c>
      <c r="C108" s="1818" t="s">
        <v>1366</v>
      </c>
      <c r="D108" s="3463" t="str">
        <f>VLOOKUP(B108,List_Yield!$G$4:$J$14,4,FALSE)</f>
        <v>Africa</v>
      </c>
      <c r="E108" s="3463" t="str">
        <f t="shared" si="2"/>
        <v>AfricaPeas, green</v>
      </c>
      <c r="F108" s="2994">
        <v>4.4409999999999998</v>
      </c>
      <c r="G108" s="2994">
        <v>5.7664</v>
      </c>
      <c r="H108" s="2994">
        <v>5.8026</v>
      </c>
      <c r="I108" s="2994">
        <v>5.7946</v>
      </c>
      <c r="J108" s="2994">
        <v>4.1428000000000003</v>
      </c>
      <c r="K108" s="2994">
        <v>5.7708000000000004</v>
      </c>
      <c r="L108" s="2994">
        <v>4.3764000000000003</v>
      </c>
      <c r="M108" s="2994">
        <v>4.7343000000000002</v>
      </c>
      <c r="N108" s="2994">
        <v>4.7847999999999997</v>
      </c>
      <c r="O108" s="2994">
        <v>4.5547000000000004</v>
      </c>
      <c r="P108" s="2994">
        <v>4.4177</v>
      </c>
      <c r="Q108" s="2994">
        <v>4.9752999999999998</v>
      </c>
      <c r="R108" s="2994">
        <v>4.7525000000000004</v>
      </c>
      <c r="S108" s="2994">
        <v>4.7381000000000002</v>
      </c>
      <c r="T108" s="2994">
        <v>5.0430000000000001</v>
      </c>
      <c r="U108" s="2994">
        <v>5.1258999999999997</v>
      </c>
      <c r="V108" s="2994">
        <v>4.8421000000000003</v>
      </c>
      <c r="W108" s="2994">
        <v>4.3772000000000002</v>
      </c>
      <c r="X108" s="2994">
        <v>4.4065000000000003</v>
      </c>
      <c r="Y108" s="2994">
        <v>4.298</v>
      </c>
      <c r="Z108" s="2994">
        <v>4.4173</v>
      </c>
      <c r="AA108" s="2994">
        <v>4.8376999999999999</v>
      </c>
      <c r="AB108" s="2994">
        <v>5.3407999999999998</v>
      </c>
      <c r="AC108" s="2994">
        <v>5.0968999999999998</v>
      </c>
      <c r="AD108" s="2994">
        <v>5.3041</v>
      </c>
      <c r="AE108" s="2994">
        <v>4.9303999999999997</v>
      </c>
      <c r="AF108" s="2994">
        <v>4.9852999999999996</v>
      </c>
      <c r="AG108" s="2994">
        <v>4.8613</v>
      </c>
      <c r="AH108" s="2994">
        <v>5.3939000000000004</v>
      </c>
      <c r="AI108" s="2994">
        <v>5.9523000000000001</v>
      </c>
      <c r="AJ108" s="2994">
        <v>5.4576000000000002</v>
      </c>
      <c r="AK108" s="2994">
        <v>4.7671999999999999</v>
      </c>
      <c r="AL108" s="2994">
        <v>4.7244999999999999</v>
      </c>
      <c r="AM108" s="2994">
        <v>5.0621</v>
      </c>
      <c r="AN108" s="2994">
        <v>6.1280000000000001</v>
      </c>
      <c r="AO108" s="2994">
        <v>5.3742000000000001</v>
      </c>
      <c r="AP108" s="2994">
        <v>5.1144999999999996</v>
      </c>
      <c r="AQ108" s="2994">
        <v>5.0637999999999996</v>
      </c>
      <c r="AR108" s="2994">
        <v>5.2595999999999998</v>
      </c>
      <c r="AS108" s="2994">
        <v>6.3014999999999999</v>
      </c>
      <c r="AT108" s="2994">
        <v>5.7533000000000003</v>
      </c>
      <c r="AU108" s="2994">
        <v>5.9629000000000003</v>
      </c>
      <c r="AV108" s="2994">
        <v>5.9789000000000003</v>
      </c>
      <c r="AW108" s="2994">
        <v>6.6406000000000001</v>
      </c>
      <c r="AX108" s="2994">
        <v>6.0593000000000004</v>
      </c>
      <c r="AY108" s="2994">
        <v>5.9794999999999998</v>
      </c>
      <c r="AZ108" s="2994">
        <v>6.1637000000000004</v>
      </c>
      <c r="BA108" s="2994">
        <v>6.3483999999999998</v>
      </c>
      <c r="BB108" s="2994">
        <v>6.5167999999999999</v>
      </c>
      <c r="BC108" s="2994">
        <v>6.5136000000000003</v>
      </c>
      <c r="BD108" s="3471">
        <v>6.2321</v>
      </c>
      <c r="BE108" s="3471">
        <v>6.8338999999999999</v>
      </c>
      <c r="BF108" s="3471">
        <v>0</v>
      </c>
    </row>
    <row r="109" spans="1:58">
      <c r="A109" s="1817" t="str">
        <f t="shared" si="3"/>
        <v>AfricaPepper (piper spp.)</v>
      </c>
      <c r="B109" s="1818" t="s">
        <v>297</v>
      </c>
      <c r="C109" s="1818" t="s">
        <v>7360</v>
      </c>
      <c r="D109" s="3463" t="str">
        <f>VLOOKUP(B109,List_Yield!$G$4:$J$14,4,FALSE)</f>
        <v>Africa</v>
      </c>
      <c r="E109" s="3463" t="str">
        <f t="shared" si="2"/>
        <v>AfricaPepper (piper spp.)</v>
      </c>
      <c r="F109" s="2994">
        <v>0.24010000000000001</v>
      </c>
      <c r="G109" s="2994">
        <v>0.22009999999999999</v>
      </c>
      <c r="H109" s="2994">
        <v>0.25969999999999999</v>
      </c>
      <c r="I109" s="2994">
        <v>0.2787</v>
      </c>
      <c r="J109" s="2994">
        <v>0.22900000000000001</v>
      </c>
      <c r="K109" s="2994">
        <v>0.24049999999999999</v>
      </c>
      <c r="L109" s="2994">
        <v>0.25509999999999999</v>
      </c>
      <c r="M109" s="2994">
        <v>0.27100000000000002</v>
      </c>
      <c r="N109" s="2994">
        <v>0.25800000000000001</v>
      </c>
      <c r="O109" s="2994">
        <v>0.33710000000000001</v>
      </c>
      <c r="P109" s="2994">
        <v>0.33150000000000002</v>
      </c>
      <c r="Q109" s="2994">
        <v>0.34</v>
      </c>
      <c r="R109" s="2994">
        <v>0.48049999999999998</v>
      </c>
      <c r="S109" s="2994">
        <v>0.46960000000000002</v>
      </c>
      <c r="T109" s="2994">
        <v>0.48159999999999997</v>
      </c>
      <c r="U109" s="2994">
        <v>0.59970000000000001</v>
      </c>
      <c r="V109" s="2994">
        <v>0.67600000000000005</v>
      </c>
      <c r="W109" s="2994">
        <v>0.46910000000000002</v>
      </c>
      <c r="X109" s="2994">
        <v>0.47249999999999998</v>
      </c>
      <c r="Y109" s="2994">
        <v>0.48730000000000001</v>
      </c>
      <c r="Z109" s="2994">
        <v>0.51790000000000003</v>
      </c>
      <c r="AA109" s="2994">
        <v>0.45669999999999999</v>
      </c>
      <c r="AB109" s="2994">
        <v>0.4551</v>
      </c>
      <c r="AC109" s="2994">
        <v>0.45100000000000001</v>
      </c>
      <c r="AD109" s="2994">
        <v>0.45900000000000002</v>
      </c>
      <c r="AE109" s="2994">
        <v>0.48849999999999999</v>
      </c>
      <c r="AF109" s="2994">
        <v>0.51419999999999999</v>
      </c>
      <c r="AG109" s="2994">
        <v>0.52380000000000004</v>
      </c>
      <c r="AH109" s="2994">
        <v>0.58240000000000003</v>
      </c>
      <c r="AI109" s="2994">
        <v>0.37940000000000002</v>
      </c>
      <c r="AJ109" s="2994">
        <v>0.45889999999999997</v>
      </c>
      <c r="AK109" s="2994">
        <v>0.51729999999999998</v>
      </c>
      <c r="AL109" s="2994">
        <v>0.52869999999999995</v>
      </c>
      <c r="AM109" s="2994">
        <v>0.56299999999999994</v>
      </c>
      <c r="AN109" s="2994">
        <v>0.52759999999999996</v>
      </c>
      <c r="AO109" s="2994">
        <v>0.57750000000000001</v>
      </c>
      <c r="AP109" s="2994">
        <v>0.53110000000000002</v>
      </c>
      <c r="AQ109" s="2994">
        <v>0.5454</v>
      </c>
      <c r="AR109" s="2994">
        <v>0.55249999999999999</v>
      </c>
      <c r="AS109" s="2994">
        <v>0.57389999999999997</v>
      </c>
      <c r="AT109" s="2994">
        <v>0.59470000000000001</v>
      </c>
      <c r="AU109" s="2994">
        <v>0.59850000000000003</v>
      </c>
      <c r="AV109" s="2994">
        <v>0.60580000000000001</v>
      </c>
      <c r="AW109" s="2994">
        <v>0.72970000000000002</v>
      </c>
      <c r="AX109" s="2994">
        <v>0.54079999999999995</v>
      </c>
      <c r="AY109" s="2994">
        <v>0.55300000000000005</v>
      </c>
      <c r="AZ109" s="2994">
        <v>0.68559999999999999</v>
      </c>
      <c r="BA109" s="2994">
        <v>0.62590000000000001</v>
      </c>
      <c r="BB109" s="2994">
        <v>0.5988</v>
      </c>
      <c r="BC109" s="2994">
        <v>0.72160000000000002</v>
      </c>
      <c r="BD109" s="3471">
        <v>0.71730000000000005</v>
      </c>
      <c r="BE109" s="3471">
        <v>0.78690000000000004</v>
      </c>
      <c r="BF109" s="3471">
        <v>0</v>
      </c>
    </row>
    <row r="110" spans="1:58">
      <c r="A110" s="1817" t="str">
        <f t="shared" si="3"/>
        <v>AfricaPeppermint</v>
      </c>
      <c r="B110" s="1818" t="s">
        <v>297</v>
      </c>
      <c r="C110" s="1818" t="s">
        <v>7361</v>
      </c>
      <c r="D110" s="3463" t="str">
        <f>VLOOKUP(B110,List_Yield!$G$4:$J$14,4,FALSE)</f>
        <v>Africa</v>
      </c>
      <c r="E110" s="3463" t="str">
        <f t="shared" si="2"/>
        <v>AfricaPeppermint</v>
      </c>
      <c r="F110" s="2994">
        <v>0</v>
      </c>
      <c r="G110" s="2994">
        <v>0</v>
      </c>
      <c r="H110" s="2994">
        <v>0</v>
      </c>
      <c r="I110" s="2994">
        <v>0</v>
      </c>
      <c r="J110" s="2994">
        <v>0</v>
      </c>
      <c r="K110" s="2994">
        <v>0</v>
      </c>
      <c r="L110" s="2994">
        <v>0</v>
      </c>
      <c r="M110" s="2994">
        <v>0</v>
      </c>
      <c r="N110" s="2994">
        <v>0</v>
      </c>
      <c r="O110" s="2994">
        <v>0</v>
      </c>
      <c r="P110" s="2994">
        <v>0</v>
      </c>
      <c r="Q110" s="2994">
        <v>0</v>
      </c>
      <c r="R110" s="2994">
        <v>0</v>
      </c>
      <c r="S110" s="2994">
        <v>0</v>
      </c>
      <c r="T110" s="2994">
        <v>0</v>
      </c>
      <c r="U110" s="2994">
        <v>0</v>
      </c>
      <c r="V110" s="2994">
        <v>0</v>
      </c>
      <c r="W110" s="2994">
        <v>0</v>
      </c>
      <c r="X110" s="2994">
        <v>0</v>
      </c>
      <c r="Y110" s="2994">
        <v>0</v>
      </c>
      <c r="Z110" s="2994">
        <v>0</v>
      </c>
      <c r="AA110" s="2994">
        <v>0</v>
      </c>
      <c r="AB110" s="2994">
        <v>0</v>
      </c>
      <c r="AC110" s="2994">
        <v>0</v>
      </c>
      <c r="AD110" s="2994">
        <v>0</v>
      </c>
      <c r="AE110" s="2994">
        <v>22.7273</v>
      </c>
      <c r="AF110" s="2994">
        <v>22.222200000000001</v>
      </c>
      <c r="AG110" s="2994">
        <v>23.076899999999998</v>
      </c>
      <c r="AH110" s="2994">
        <v>23.306000000000001</v>
      </c>
      <c r="AI110" s="2994">
        <v>22.6</v>
      </c>
      <c r="AJ110" s="2994">
        <v>23.307300000000001</v>
      </c>
      <c r="AK110" s="2994">
        <v>23.157900000000001</v>
      </c>
      <c r="AL110" s="2994">
        <v>22.918500000000002</v>
      </c>
      <c r="AM110" s="2994">
        <v>23.3643</v>
      </c>
      <c r="AN110" s="2994">
        <v>23.333300000000001</v>
      </c>
      <c r="AO110" s="2994">
        <v>24.186</v>
      </c>
      <c r="AP110" s="2994">
        <v>21.265499999999999</v>
      </c>
      <c r="AQ110" s="2994">
        <v>23.374500000000001</v>
      </c>
      <c r="AR110" s="2994">
        <v>33.6417</v>
      </c>
      <c r="AS110" s="2994">
        <v>21.311399999999999</v>
      </c>
      <c r="AT110" s="2994">
        <v>14.9453</v>
      </c>
      <c r="AU110" s="2994">
        <v>20.082899999999999</v>
      </c>
      <c r="AV110" s="2994">
        <v>27.217700000000001</v>
      </c>
      <c r="AW110" s="2994">
        <v>20.9922</v>
      </c>
      <c r="AX110" s="2994">
        <v>19.731200000000001</v>
      </c>
      <c r="AY110" s="2994">
        <v>25.020900000000001</v>
      </c>
      <c r="AZ110" s="2994">
        <v>22.5717</v>
      </c>
      <c r="BA110" s="2994">
        <v>21.974499999999999</v>
      </c>
      <c r="BB110" s="2994">
        <v>19.0579</v>
      </c>
      <c r="BC110" s="2994">
        <v>27.979800000000001</v>
      </c>
      <c r="BD110" s="3471">
        <v>26.032499999999999</v>
      </c>
      <c r="BE110" s="3471">
        <v>24.720400000000001</v>
      </c>
      <c r="BF110" s="3471">
        <v>0</v>
      </c>
    </row>
    <row r="111" spans="1:58">
      <c r="A111" s="1817" t="str">
        <f t="shared" si="3"/>
        <v>AfricaPersimmons</v>
      </c>
      <c r="B111" s="1818" t="s">
        <v>297</v>
      </c>
      <c r="C111" s="1818" t="s">
        <v>7362</v>
      </c>
      <c r="D111" s="3463" t="str">
        <f>VLOOKUP(B111,List_Yield!$G$4:$J$14,4,FALSE)</f>
        <v>Africa</v>
      </c>
      <c r="E111" s="3463" t="str">
        <f t="shared" si="2"/>
        <v>AfricaPersimmons</v>
      </c>
      <c r="F111" s="2994">
        <v>0</v>
      </c>
      <c r="G111" s="2994">
        <v>0</v>
      </c>
      <c r="H111" s="2994">
        <v>0</v>
      </c>
      <c r="I111" s="2994">
        <v>0</v>
      </c>
      <c r="J111" s="2994">
        <v>0</v>
      </c>
      <c r="K111" s="2994">
        <v>0</v>
      </c>
      <c r="L111" s="2994">
        <v>0</v>
      </c>
      <c r="M111" s="2994">
        <v>0</v>
      </c>
      <c r="N111" s="2994">
        <v>0</v>
      </c>
      <c r="O111" s="2994">
        <v>0</v>
      </c>
      <c r="P111" s="2994">
        <v>0</v>
      </c>
      <c r="Q111" s="2994">
        <v>0</v>
      </c>
      <c r="R111" s="2994">
        <v>0</v>
      </c>
      <c r="S111" s="2994">
        <v>0</v>
      </c>
      <c r="T111" s="2994">
        <v>0</v>
      </c>
      <c r="U111" s="2994">
        <v>0</v>
      </c>
      <c r="V111" s="2994">
        <v>0</v>
      </c>
      <c r="W111" s="2994">
        <v>0</v>
      </c>
      <c r="X111" s="2994">
        <v>0</v>
      </c>
      <c r="Y111" s="2994">
        <v>0</v>
      </c>
      <c r="Z111" s="2994">
        <v>0</v>
      </c>
      <c r="AA111" s="2994">
        <v>0</v>
      </c>
      <c r="AB111" s="2994">
        <v>0</v>
      </c>
      <c r="AC111" s="2994">
        <v>0</v>
      </c>
      <c r="AD111" s="2994">
        <v>0</v>
      </c>
      <c r="AE111" s="2994">
        <v>0</v>
      </c>
      <c r="AF111" s="2994">
        <v>0</v>
      </c>
      <c r="AG111" s="2994">
        <v>0</v>
      </c>
      <c r="AH111" s="2994">
        <v>0</v>
      </c>
      <c r="AI111" s="2994">
        <v>0</v>
      </c>
      <c r="AJ111" s="2994">
        <v>0</v>
      </c>
      <c r="AK111" s="2994">
        <v>0</v>
      </c>
      <c r="AL111" s="2994">
        <v>0</v>
      </c>
      <c r="AM111" s="2994">
        <v>0</v>
      </c>
      <c r="AN111" s="2994">
        <v>0</v>
      </c>
      <c r="AO111" s="2994">
        <v>0</v>
      </c>
      <c r="AP111" s="2994">
        <v>0</v>
      </c>
      <c r="AQ111" s="2994">
        <v>0</v>
      </c>
      <c r="AR111" s="2994">
        <v>0</v>
      </c>
      <c r="AS111" s="2994">
        <v>0</v>
      </c>
      <c r="AT111" s="2994">
        <v>0</v>
      </c>
      <c r="AU111" s="2994">
        <v>0</v>
      </c>
      <c r="AV111" s="2994">
        <v>0</v>
      </c>
      <c r="AW111" s="2994">
        <v>0</v>
      </c>
      <c r="AX111" s="2994">
        <v>0</v>
      </c>
      <c r="AY111" s="2994">
        <v>0</v>
      </c>
      <c r="AZ111" s="2994">
        <v>0</v>
      </c>
      <c r="BA111" s="2994">
        <v>0</v>
      </c>
      <c r="BB111" s="2994">
        <v>0</v>
      </c>
      <c r="BC111" s="2994">
        <v>0</v>
      </c>
      <c r="BD111" s="3471">
        <v>0</v>
      </c>
      <c r="BE111" s="3471">
        <v>0</v>
      </c>
      <c r="BF111" s="3471">
        <v>0</v>
      </c>
    </row>
    <row r="112" spans="1:58">
      <c r="A112" s="1817" t="str">
        <f t="shared" si="3"/>
        <v>AfricaPigeon peas</v>
      </c>
      <c r="B112" s="1818" t="s">
        <v>297</v>
      </c>
      <c r="C112" s="1818" t="s">
        <v>7363</v>
      </c>
      <c r="D112" s="3463" t="str">
        <f>VLOOKUP(B112,List_Yield!$G$4:$J$14,4,FALSE)</f>
        <v>Africa</v>
      </c>
      <c r="E112" s="3463" t="str">
        <f t="shared" si="2"/>
        <v>AfricaPigeon peas</v>
      </c>
      <c r="F112" s="2994">
        <v>0.52829999999999999</v>
      </c>
      <c r="G112" s="2994">
        <v>0.53210000000000002</v>
      </c>
      <c r="H112" s="2994">
        <v>0.52990000000000004</v>
      </c>
      <c r="I112" s="2994">
        <v>0.49919999999999998</v>
      </c>
      <c r="J112" s="2994">
        <v>0.53890000000000005</v>
      </c>
      <c r="K112" s="2994">
        <v>0.49819999999999998</v>
      </c>
      <c r="L112" s="2994">
        <v>0.55659999999999998</v>
      </c>
      <c r="M112" s="2994">
        <v>0.51519999999999999</v>
      </c>
      <c r="N112" s="2994">
        <v>0.59160000000000001</v>
      </c>
      <c r="O112" s="2994">
        <v>0.5877</v>
      </c>
      <c r="P112" s="2994">
        <v>0.56330000000000002</v>
      </c>
      <c r="Q112" s="2994">
        <v>0.53090000000000004</v>
      </c>
      <c r="R112" s="2994">
        <v>0.56469999999999998</v>
      </c>
      <c r="S112" s="2994">
        <v>0.55230000000000001</v>
      </c>
      <c r="T112" s="2994">
        <v>0.5877</v>
      </c>
      <c r="U112" s="2994">
        <v>0.57750000000000001</v>
      </c>
      <c r="V112" s="2994">
        <v>0.5554</v>
      </c>
      <c r="W112" s="2994">
        <v>0.56859999999999999</v>
      </c>
      <c r="X112" s="2994">
        <v>0.56769999999999998</v>
      </c>
      <c r="Y112" s="2994">
        <v>0.62960000000000005</v>
      </c>
      <c r="Z112" s="2994">
        <v>0.61409999999999998</v>
      </c>
      <c r="AA112" s="2994">
        <v>0.61799999999999999</v>
      </c>
      <c r="AB112" s="2994">
        <v>0.62280000000000002</v>
      </c>
      <c r="AC112" s="2994">
        <v>0.54990000000000006</v>
      </c>
      <c r="AD112" s="2994">
        <v>0.60150000000000003</v>
      </c>
      <c r="AE112" s="2994">
        <v>0.59360000000000002</v>
      </c>
      <c r="AF112" s="2994">
        <v>0.60250000000000004</v>
      </c>
      <c r="AG112" s="2994">
        <v>0.65569999999999995</v>
      </c>
      <c r="AH112" s="2994">
        <v>0.52539999999999998</v>
      </c>
      <c r="AI112" s="2994">
        <v>0.63270000000000004</v>
      </c>
      <c r="AJ112" s="2994">
        <v>0.55069999999999997</v>
      </c>
      <c r="AK112" s="2994">
        <v>0.56740000000000002</v>
      </c>
      <c r="AL112" s="2994">
        <v>0.61109999999999998</v>
      </c>
      <c r="AM112" s="2994">
        <v>0.64939999999999998</v>
      </c>
      <c r="AN112" s="2994">
        <v>0.61260000000000003</v>
      </c>
      <c r="AO112" s="2994">
        <v>0.59</v>
      </c>
      <c r="AP112" s="2994">
        <v>0.61229999999999996</v>
      </c>
      <c r="AQ112" s="2994">
        <v>0.58950000000000002</v>
      </c>
      <c r="AR112" s="2994">
        <v>0.67730000000000001</v>
      </c>
      <c r="AS112" s="2994">
        <v>0.63529999999999998</v>
      </c>
      <c r="AT112" s="2994">
        <v>0.67710000000000004</v>
      </c>
      <c r="AU112" s="2994">
        <v>0.70750000000000002</v>
      </c>
      <c r="AV112" s="2994">
        <v>0.70379999999999998</v>
      </c>
      <c r="AW112" s="2994">
        <v>0.67879999999999996</v>
      </c>
      <c r="AX112" s="2994">
        <v>0.62580000000000002</v>
      </c>
      <c r="AY112" s="2994">
        <v>0.75039999999999996</v>
      </c>
      <c r="AZ112" s="2994">
        <v>0.85470000000000002</v>
      </c>
      <c r="BA112" s="2994">
        <v>0.75349999999999995</v>
      </c>
      <c r="BB112" s="2994">
        <v>0.88349999999999995</v>
      </c>
      <c r="BC112" s="2994">
        <v>0.87170000000000003</v>
      </c>
      <c r="BD112" s="3471">
        <v>0.92169999999999996</v>
      </c>
      <c r="BE112" s="3471">
        <v>0.83799999999999997</v>
      </c>
      <c r="BF112" s="3471">
        <v>0.89659999999999995</v>
      </c>
    </row>
    <row r="113" spans="1:58">
      <c r="A113" s="1817" t="str">
        <f t="shared" si="3"/>
        <v>AfricaPineapples</v>
      </c>
      <c r="B113" s="1818" t="s">
        <v>297</v>
      </c>
      <c r="C113" s="1818" t="s">
        <v>1325</v>
      </c>
      <c r="D113" s="3463" t="str">
        <f>VLOOKUP(B113,List_Yield!$G$4:$J$14,4,FALSE)</f>
        <v>Africa</v>
      </c>
      <c r="E113" s="3463" t="str">
        <f t="shared" si="2"/>
        <v>AfricaPineapples</v>
      </c>
      <c r="F113" s="2994">
        <v>7.5</v>
      </c>
      <c r="G113" s="2994">
        <v>7.4386000000000001</v>
      </c>
      <c r="H113" s="2994">
        <v>7.4153000000000002</v>
      </c>
      <c r="I113" s="2994">
        <v>7.5609000000000002</v>
      </c>
      <c r="J113" s="2994">
        <v>7.3882000000000003</v>
      </c>
      <c r="K113" s="2994">
        <v>7.5818000000000003</v>
      </c>
      <c r="L113" s="2994">
        <v>7.7281000000000004</v>
      </c>
      <c r="M113" s="2994">
        <v>7.7961999999999998</v>
      </c>
      <c r="N113" s="2994">
        <v>7.7469999999999999</v>
      </c>
      <c r="O113" s="2994">
        <v>8.1948000000000008</v>
      </c>
      <c r="P113" s="2994">
        <v>8.4998000000000005</v>
      </c>
      <c r="Q113" s="2994">
        <v>8.6954999999999991</v>
      </c>
      <c r="R113" s="2994">
        <v>8.8411000000000008</v>
      </c>
      <c r="S113" s="2994">
        <v>9.0419</v>
      </c>
      <c r="T113" s="2994">
        <v>9.3520000000000003</v>
      </c>
      <c r="U113" s="2994">
        <v>9.9153000000000002</v>
      </c>
      <c r="V113" s="2994">
        <v>9.7307000000000006</v>
      </c>
      <c r="W113" s="2994">
        <v>10.130599999999999</v>
      </c>
      <c r="X113" s="2994">
        <v>10.0222</v>
      </c>
      <c r="Y113" s="2994">
        <v>10.2879</v>
      </c>
      <c r="Z113" s="2994">
        <v>10.3569</v>
      </c>
      <c r="AA113" s="2994">
        <v>10.163600000000001</v>
      </c>
      <c r="AB113" s="2994">
        <v>10.0715</v>
      </c>
      <c r="AC113" s="2994">
        <v>10.299099999999999</v>
      </c>
      <c r="AD113" s="2994">
        <v>11.0946</v>
      </c>
      <c r="AE113" s="2994">
        <v>11.321</v>
      </c>
      <c r="AF113" s="2994">
        <v>10.803100000000001</v>
      </c>
      <c r="AG113" s="2994">
        <v>10.846</v>
      </c>
      <c r="AH113" s="2994">
        <v>10.867100000000001</v>
      </c>
      <c r="AI113" s="2994">
        <v>10.8208</v>
      </c>
      <c r="AJ113" s="2994">
        <v>10.6426</v>
      </c>
      <c r="AK113" s="2994">
        <v>11.1739</v>
      </c>
      <c r="AL113" s="2994">
        <v>10.3675</v>
      </c>
      <c r="AM113" s="2994">
        <v>9.1668000000000003</v>
      </c>
      <c r="AN113" s="2994">
        <v>9.4887999999999995</v>
      </c>
      <c r="AO113" s="2994">
        <v>9.6598000000000006</v>
      </c>
      <c r="AP113" s="2994">
        <v>10.9451</v>
      </c>
      <c r="AQ113" s="2994">
        <v>11.5411</v>
      </c>
      <c r="AR113" s="2994">
        <v>11.400499999999999</v>
      </c>
      <c r="AS113" s="2994">
        <v>9.4934999999999992</v>
      </c>
      <c r="AT113" s="2994">
        <v>9.9852000000000007</v>
      </c>
      <c r="AU113" s="2994">
        <v>11.5844</v>
      </c>
      <c r="AV113" s="2994">
        <v>10.785</v>
      </c>
      <c r="AW113" s="2994">
        <v>11.8178</v>
      </c>
      <c r="AX113" s="2994">
        <v>10.744400000000001</v>
      </c>
      <c r="AY113" s="2994">
        <v>10.378299999999999</v>
      </c>
      <c r="AZ113" s="2994">
        <v>10.6937</v>
      </c>
      <c r="BA113" s="2994">
        <v>10.112500000000001</v>
      </c>
      <c r="BB113" s="2994">
        <v>10.7706</v>
      </c>
      <c r="BC113" s="2994">
        <v>10.6174</v>
      </c>
      <c r="BD113" s="3471">
        <v>10.4374</v>
      </c>
      <c r="BE113" s="3471">
        <v>10.520899999999999</v>
      </c>
      <c r="BF113" s="3471">
        <v>0</v>
      </c>
    </row>
    <row r="114" spans="1:58">
      <c r="A114" s="1817" t="str">
        <f t="shared" si="3"/>
        <v>AfricaPistachios</v>
      </c>
      <c r="B114" s="1818" t="s">
        <v>297</v>
      </c>
      <c r="C114" s="1818" t="s">
        <v>7364</v>
      </c>
      <c r="D114" s="3463" t="str">
        <f>VLOOKUP(B114,List_Yield!$G$4:$J$14,4,FALSE)</f>
        <v>Africa</v>
      </c>
      <c r="E114" s="3463" t="str">
        <f t="shared" si="2"/>
        <v>AfricaPistachios</v>
      </c>
      <c r="F114" s="2994">
        <v>0</v>
      </c>
      <c r="G114" s="2994">
        <v>0</v>
      </c>
      <c r="H114" s="2994">
        <v>0</v>
      </c>
      <c r="I114" s="2994">
        <v>0</v>
      </c>
      <c r="J114" s="2994">
        <v>0</v>
      </c>
      <c r="K114" s="2994">
        <v>0</v>
      </c>
      <c r="L114" s="2994">
        <v>0</v>
      </c>
      <c r="M114" s="2994">
        <v>0</v>
      </c>
      <c r="N114" s="2994">
        <v>0</v>
      </c>
      <c r="O114" s="2994">
        <v>0.01</v>
      </c>
      <c r="P114" s="2994">
        <v>9.4000000000000004E-3</v>
      </c>
      <c r="Q114" s="2994">
        <v>8.8000000000000005E-3</v>
      </c>
      <c r="R114" s="2994">
        <v>0.01</v>
      </c>
      <c r="S114" s="2994">
        <v>1.15E-2</v>
      </c>
      <c r="T114" s="2994">
        <v>8.2000000000000007E-3</v>
      </c>
      <c r="U114" s="2994">
        <v>7.3000000000000001E-3</v>
      </c>
      <c r="V114" s="2994">
        <v>6.7999999999999996E-3</v>
      </c>
      <c r="W114" s="2994">
        <v>6.7000000000000002E-3</v>
      </c>
      <c r="X114" s="2994">
        <v>5.8999999999999999E-3</v>
      </c>
      <c r="Y114" s="2994">
        <v>1.14E-2</v>
      </c>
      <c r="Z114" s="2994">
        <v>9.1999999999999998E-3</v>
      </c>
      <c r="AA114" s="2994">
        <v>7.7999999999999996E-3</v>
      </c>
      <c r="AB114" s="2994">
        <v>8.3999999999999995E-3</v>
      </c>
      <c r="AC114" s="2994">
        <v>0.01</v>
      </c>
      <c r="AD114" s="2994">
        <v>1.09E-2</v>
      </c>
      <c r="AE114" s="2994">
        <v>1.2500000000000001E-2</v>
      </c>
      <c r="AF114" s="2994">
        <v>1.29E-2</v>
      </c>
      <c r="AG114" s="2994">
        <v>1.2699999999999999E-2</v>
      </c>
      <c r="AH114" s="2994">
        <v>1.7600000000000001E-2</v>
      </c>
      <c r="AI114" s="2994">
        <v>3.2300000000000002E-2</v>
      </c>
      <c r="AJ114" s="2994">
        <v>2.8299999999999999E-2</v>
      </c>
      <c r="AK114" s="2994">
        <v>3.0300000000000001E-2</v>
      </c>
      <c r="AL114" s="2994">
        <v>3.0800000000000001E-2</v>
      </c>
      <c r="AM114" s="2994">
        <v>3.1300000000000001E-2</v>
      </c>
      <c r="AN114" s="2994">
        <v>3.4099999999999998E-2</v>
      </c>
      <c r="AO114" s="2994">
        <v>0.04</v>
      </c>
      <c r="AP114" s="2994">
        <v>5.3800000000000001E-2</v>
      </c>
      <c r="AQ114" s="2994">
        <v>6.0999999999999999E-2</v>
      </c>
      <c r="AR114" s="2994">
        <v>6.6500000000000004E-2</v>
      </c>
      <c r="AS114" s="2994">
        <v>9.01E-2</v>
      </c>
      <c r="AT114" s="2994">
        <v>6.6799999999999998E-2</v>
      </c>
      <c r="AU114" s="2994">
        <v>7.1300000000000002E-2</v>
      </c>
      <c r="AV114" s="2994">
        <v>6.9599999999999995E-2</v>
      </c>
      <c r="AW114" s="2994">
        <v>6.7199999999999996E-2</v>
      </c>
      <c r="AX114" s="2994">
        <v>6.6299999999999998E-2</v>
      </c>
      <c r="AY114" s="2994">
        <v>6.3700000000000007E-2</v>
      </c>
      <c r="AZ114" s="2994">
        <v>6.5699999999999995E-2</v>
      </c>
      <c r="BA114" s="2994">
        <v>6.6400000000000001E-2</v>
      </c>
      <c r="BB114" s="2994">
        <v>6.6199999999999995E-2</v>
      </c>
      <c r="BC114" s="2994">
        <v>6.1800000000000001E-2</v>
      </c>
      <c r="BD114" s="3471">
        <v>7.1400000000000005E-2</v>
      </c>
      <c r="BE114" s="3471">
        <v>6.54E-2</v>
      </c>
      <c r="BF114" s="3471">
        <v>0</v>
      </c>
    </row>
    <row r="115" spans="1:58">
      <c r="A115" s="1817" t="str">
        <f t="shared" si="3"/>
        <v>AfricaPlantains</v>
      </c>
      <c r="B115" s="1818" t="s">
        <v>297</v>
      </c>
      <c r="C115" s="1818" t="s">
        <v>1367</v>
      </c>
      <c r="D115" s="3463" t="str">
        <f>VLOOKUP(B115,List_Yield!$G$4:$J$14,4,FALSE)</f>
        <v>Africa</v>
      </c>
      <c r="E115" s="3463" t="str">
        <f t="shared" si="2"/>
        <v>AfricaPlantains</v>
      </c>
      <c r="F115" s="2994">
        <v>4.6337000000000002</v>
      </c>
      <c r="G115" s="2994">
        <v>4.7572999999999999</v>
      </c>
      <c r="H115" s="2994">
        <v>4.7077999999999998</v>
      </c>
      <c r="I115" s="2994">
        <v>4.8063000000000002</v>
      </c>
      <c r="J115" s="2994">
        <v>4.7637</v>
      </c>
      <c r="K115" s="2994">
        <v>4.8704000000000001</v>
      </c>
      <c r="L115" s="2994">
        <v>5.2271000000000001</v>
      </c>
      <c r="M115" s="2994">
        <v>5.1654</v>
      </c>
      <c r="N115" s="2994">
        <v>5.3817000000000004</v>
      </c>
      <c r="O115" s="2994">
        <v>5.7858999999999998</v>
      </c>
      <c r="P115" s="2994">
        <v>5.8399000000000001</v>
      </c>
      <c r="Q115" s="2994">
        <v>5.8993000000000002</v>
      </c>
      <c r="R115" s="2994">
        <v>5.9905999999999997</v>
      </c>
      <c r="S115" s="2994">
        <v>5.9328000000000003</v>
      </c>
      <c r="T115" s="2994">
        <v>5.9744999999999999</v>
      </c>
      <c r="U115" s="2994">
        <v>5.4580000000000002</v>
      </c>
      <c r="V115" s="2994">
        <v>5.4379999999999997</v>
      </c>
      <c r="W115" s="2994">
        <v>5.5274999999999999</v>
      </c>
      <c r="X115" s="2994">
        <v>4.8379000000000003</v>
      </c>
      <c r="Y115" s="2994">
        <v>4.9261999999999997</v>
      </c>
      <c r="Z115" s="2994">
        <v>5.0467000000000004</v>
      </c>
      <c r="AA115" s="2994">
        <v>5.1967999999999996</v>
      </c>
      <c r="AB115" s="2994">
        <v>4.8178000000000001</v>
      </c>
      <c r="AC115" s="2994">
        <v>4.7389000000000001</v>
      </c>
      <c r="AD115" s="2994">
        <v>4.9320000000000004</v>
      </c>
      <c r="AE115" s="2994">
        <v>4.9440999999999997</v>
      </c>
      <c r="AF115" s="2994">
        <v>5.3541999999999996</v>
      </c>
      <c r="AG115" s="2994">
        <v>5.1912000000000003</v>
      </c>
      <c r="AH115" s="2994">
        <v>5.3681000000000001</v>
      </c>
      <c r="AI115" s="2994">
        <v>5.2553000000000001</v>
      </c>
      <c r="AJ115" s="2994">
        <v>5.3226000000000004</v>
      </c>
      <c r="AK115" s="2994">
        <v>5.2202000000000002</v>
      </c>
      <c r="AL115" s="2994">
        <v>5.2686000000000002</v>
      </c>
      <c r="AM115" s="2994">
        <v>5.3273000000000001</v>
      </c>
      <c r="AN115" s="2994">
        <v>5.5289999999999999</v>
      </c>
      <c r="AO115" s="2994">
        <v>5.5068000000000001</v>
      </c>
      <c r="AP115" s="2994">
        <v>5.6497000000000002</v>
      </c>
      <c r="AQ115" s="2994">
        <v>5.5871000000000004</v>
      </c>
      <c r="AR115" s="2994">
        <v>5.4</v>
      </c>
      <c r="AS115" s="2994">
        <v>5.3262</v>
      </c>
      <c r="AT115" s="2994">
        <v>5.1898</v>
      </c>
      <c r="AU115" s="2994">
        <v>5.4484000000000004</v>
      </c>
      <c r="AV115" s="2994">
        <v>5.298</v>
      </c>
      <c r="AW115" s="2994">
        <v>5.4584000000000001</v>
      </c>
      <c r="AX115" s="2994">
        <v>5.6376999999999997</v>
      </c>
      <c r="AY115" s="2994">
        <v>5.7111999999999998</v>
      </c>
      <c r="AZ115" s="2994">
        <v>5.9866000000000001</v>
      </c>
      <c r="BA115" s="2994">
        <v>6.0330000000000004</v>
      </c>
      <c r="BB115" s="2994">
        <v>6.1863000000000001</v>
      </c>
      <c r="BC115" s="2994">
        <v>6.0071000000000003</v>
      </c>
      <c r="BD115" s="3471">
        <v>6.1039000000000003</v>
      </c>
      <c r="BE115" s="3471">
        <v>6.0758000000000001</v>
      </c>
      <c r="BF115" s="3471">
        <v>0</v>
      </c>
    </row>
    <row r="116" spans="1:58">
      <c r="A116" s="1817" t="str">
        <f t="shared" si="3"/>
        <v>AfricaPlums and sloes</v>
      </c>
      <c r="B116" s="1818" t="s">
        <v>297</v>
      </c>
      <c r="C116" s="1818" t="s">
        <v>7365</v>
      </c>
      <c r="D116" s="3463" t="str">
        <f>VLOOKUP(B116,List_Yield!$G$4:$J$14,4,FALSE)</f>
        <v>Africa</v>
      </c>
      <c r="E116" s="3463" t="str">
        <f t="shared" si="2"/>
        <v>AfricaPlums and sloes</v>
      </c>
      <c r="F116" s="2994">
        <v>3.9647000000000001</v>
      </c>
      <c r="G116" s="2994">
        <v>3.9836</v>
      </c>
      <c r="H116" s="2994">
        <v>3.9556</v>
      </c>
      <c r="I116" s="2994">
        <v>4.2912999999999997</v>
      </c>
      <c r="J116" s="2994">
        <v>4.8348000000000004</v>
      </c>
      <c r="K116" s="2994">
        <v>4.1783999999999999</v>
      </c>
      <c r="L116" s="2994">
        <v>4.3060999999999998</v>
      </c>
      <c r="M116" s="2994">
        <v>3.7945000000000002</v>
      </c>
      <c r="N116" s="2994">
        <v>4.5773999999999999</v>
      </c>
      <c r="O116" s="2994">
        <v>4.0057999999999998</v>
      </c>
      <c r="P116" s="2994">
        <v>4.5389999999999997</v>
      </c>
      <c r="Q116" s="2994">
        <v>4.9912999999999998</v>
      </c>
      <c r="R116" s="2994">
        <v>4.6550000000000002</v>
      </c>
      <c r="S116" s="2994">
        <v>5.2613000000000003</v>
      </c>
      <c r="T116" s="2994">
        <v>4.9568000000000003</v>
      </c>
      <c r="U116" s="2994">
        <v>4.7847999999999997</v>
      </c>
      <c r="V116" s="2994">
        <v>4.9181999999999997</v>
      </c>
      <c r="W116" s="2994">
        <v>4.9161000000000001</v>
      </c>
      <c r="X116" s="2994">
        <v>5.4805000000000001</v>
      </c>
      <c r="Y116" s="2994">
        <v>5.5206999999999997</v>
      </c>
      <c r="Z116" s="2994">
        <v>5.2849000000000004</v>
      </c>
      <c r="AA116" s="2994">
        <v>6.1101999999999999</v>
      </c>
      <c r="AB116" s="2994">
        <v>6.3564999999999996</v>
      </c>
      <c r="AC116" s="2994">
        <v>6.3990999999999998</v>
      </c>
      <c r="AD116" s="2994">
        <v>4.8514999999999997</v>
      </c>
      <c r="AE116" s="2994">
        <v>5.4420000000000002</v>
      </c>
      <c r="AF116" s="2994">
        <v>5.5388000000000002</v>
      </c>
      <c r="AG116" s="2994">
        <v>6.2394999999999996</v>
      </c>
      <c r="AH116" s="2994">
        <v>6.4130000000000003</v>
      </c>
      <c r="AI116" s="2994">
        <v>6.1359000000000004</v>
      </c>
      <c r="AJ116" s="2994">
        <v>5.6174999999999997</v>
      </c>
      <c r="AK116" s="2994">
        <v>5.8341000000000003</v>
      </c>
      <c r="AL116" s="2994">
        <v>5.9450000000000003</v>
      </c>
      <c r="AM116" s="2994">
        <v>6.3947000000000003</v>
      </c>
      <c r="AN116" s="2994">
        <v>6.2030000000000003</v>
      </c>
      <c r="AO116" s="2994">
        <v>6.6950000000000003</v>
      </c>
      <c r="AP116" s="2994">
        <v>6.3703000000000003</v>
      </c>
      <c r="AQ116" s="2994">
        <v>5.7159000000000004</v>
      </c>
      <c r="AR116" s="2994">
        <v>6.2899000000000003</v>
      </c>
      <c r="AS116" s="2994">
        <v>5.3144999999999998</v>
      </c>
      <c r="AT116" s="2994">
        <v>5.5354000000000001</v>
      </c>
      <c r="AU116" s="2994">
        <v>4.8376999999999999</v>
      </c>
      <c r="AV116" s="2994">
        <v>6.8156999999999996</v>
      </c>
      <c r="AW116" s="2994">
        <v>6.8098000000000001</v>
      </c>
      <c r="AX116" s="2994">
        <v>6.6685999999999996</v>
      </c>
      <c r="AY116" s="2994">
        <v>7.0201000000000002</v>
      </c>
      <c r="AZ116" s="2994">
        <v>6.3361999999999998</v>
      </c>
      <c r="BA116" s="2994">
        <v>6.3874000000000004</v>
      </c>
      <c r="BB116" s="2994">
        <v>6.6524999999999999</v>
      </c>
      <c r="BC116" s="2994">
        <v>6.5109000000000004</v>
      </c>
      <c r="BD116" s="3471">
        <v>6.9238</v>
      </c>
      <c r="BE116" s="3471">
        <v>6.9863</v>
      </c>
      <c r="BF116" s="3471">
        <v>0</v>
      </c>
    </row>
    <row r="117" spans="1:58">
      <c r="A117" s="1817" t="str">
        <f t="shared" si="3"/>
        <v>AfricaPopcorn</v>
      </c>
      <c r="B117" s="1818" t="s">
        <v>297</v>
      </c>
      <c r="C117" s="1818" t="s">
        <v>7366</v>
      </c>
      <c r="D117" s="3463" t="str">
        <f>VLOOKUP(B117,List_Yield!$G$4:$J$14,4,FALSE)</f>
        <v>Africa</v>
      </c>
      <c r="E117" s="3463" t="str">
        <f t="shared" si="2"/>
        <v>AfricaPopcorn</v>
      </c>
      <c r="F117" s="2994">
        <v>0</v>
      </c>
      <c r="G117" s="2994">
        <v>0</v>
      </c>
      <c r="H117" s="2994">
        <v>0</v>
      </c>
      <c r="I117" s="2994">
        <v>0</v>
      </c>
      <c r="J117" s="2994">
        <v>0</v>
      </c>
      <c r="K117" s="2994">
        <v>0</v>
      </c>
      <c r="L117" s="2994">
        <v>0</v>
      </c>
      <c r="M117" s="2994">
        <v>0</v>
      </c>
      <c r="N117" s="2994">
        <v>0</v>
      </c>
      <c r="O117" s="2994">
        <v>0</v>
      </c>
      <c r="P117" s="2994">
        <v>0</v>
      </c>
      <c r="Q117" s="2994">
        <v>0</v>
      </c>
      <c r="R117" s="2994">
        <v>0</v>
      </c>
      <c r="S117" s="2994">
        <v>0</v>
      </c>
      <c r="T117" s="2994">
        <v>0</v>
      </c>
      <c r="U117" s="2994">
        <v>0</v>
      </c>
      <c r="V117" s="2994">
        <v>0</v>
      </c>
      <c r="W117" s="2994">
        <v>0</v>
      </c>
      <c r="X117" s="2994">
        <v>0</v>
      </c>
      <c r="Y117" s="2994">
        <v>0</v>
      </c>
      <c r="Z117" s="2994">
        <v>0</v>
      </c>
      <c r="AA117" s="2994">
        <v>0</v>
      </c>
      <c r="AB117" s="2994">
        <v>0</v>
      </c>
      <c r="AC117" s="2994">
        <v>0</v>
      </c>
      <c r="AD117" s="2994">
        <v>0</v>
      </c>
      <c r="AE117" s="2994">
        <v>0</v>
      </c>
      <c r="AF117" s="2994">
        <v>0</v>
      </c>
      <c r="AG117" s="2994">
        <v>0</v>
      </c>
      <c r="AH117" s="2994">
        <v>0</v>
      </c>
      <c r="AI117" s="2994">
        <v>0</v>
      </c>
      <c r="AJ117" s="2994">
        <v>0</v>
      </c>
      <c r="AK117" s="2994">
        <v>0</v>
      </c>
      <c r="AL117" s="2994">
        <v>0</v>
      </c>
      <c r="AM117" s="2994">
        <v>0</v>
      </c>
      <c r="AN117" s="2994">
        <v>0</v>
      </c>
      <c r="AO117" s="2994">
        <v>0</v>
      </c>
      <c r="AP117" s="2994">
        <v>0</v>
      </c>
      <c r="AQ117" s="2994">
        <v>0</v>
      </c>
      <c r="AR117" s="2994">
        <v>0</v>
      </c>
      <c r="AS117" s="2994">
        <v>0</v>
      </c>
      <c r="AT117" s="2994">
        <v>0</v>
      </c>
      <c r="AU117" s="2994">
        <v>0</v>
      </c>
      <c r="AV117" s="2994">
        <v>0</v>
      </c>
      <c r="AW117" s="2994">
        <v>0</v>
      </c>
      <c r="AX117" s="2994">
        <v>0</v>
      </c>
      <c r="AY117" s="2994">
        <v>0</v>
      </c>
      <c r="AZ117" s="2994">
        <v>0</v>
      </c>
      <c r="BA117" s="2994">
        <v>0</v>
      </c>
      <c r="BB117" s="2994">
        <v>0</v>
      </c>
      <c r="BC117" s="2994">
        <v>0</v>
      </c>
      <c r="BD117" s="3471">
        <v>0</v>
      </c>
      <c r="BE117" s="3471">
        <v>0</v>
      </c>
      <c r="BF117" s="3471">
        <v>0</v>
      </c>
    </row>
    <row r="118" spans="1:58">
      <c r="A118" s="1817" t="str">
        <f t="shared" si="3"/>
        <v>AfricaPoppy seed</v>
      </c>
      <c r="B118" s="1818" t="s">
        <v>297</v>
      </c>
      <c r="C118" s="1818" t="s">
        <v>7367</v>
      </c>
      <c r="D118" s="3463" t="str">
        <f>VLOOKUP(B118,List_Yield!$G$4:$J$14,4,FALSE)</f>
        <v>Africa</v>
      </c>
      <c r="E118" s="3463" t="str">
        <f t="shared" si="2"/>
        <v>AfricaPoppy seed</v>
      </c>
      <c r="F118" s="2994">
        <v>0</v>
      </c>
      <c r="G118" s="2994">
        <v>0</v>
      </c>
      <c r="H118" s="2994">
        <v>0</v>
      </c>
      <c r="I118" s="2994">
        <v>0</v>
      </c>
      <c r="J118" s="2994">
        <v>0</v>
      </c>
      <c r="K118" s="2994">
        <v>0</v>
      </c>
      <c r="L118" s="2994">
        <v>0</v>
      </c>
      <c r="M118" s="2994">
        <v>0</v>
      </c>
      <c r="N118" s="2994">
        <v>0</v>
      </c>
      <c r="O118" s="2994">
        <v>0</v>
      </c>
      <c r="P118" s="2994">
        <v>0</v>
      </c>
      <c r="Q118" s="2994">
        <v>0</v>
      </c>
      <c r="R118" s="2994">
        <v>0</v>
      </c>
      <c r="S118" s="2994">
        <v>0</v>
      </c>
      <c r="T118" s="2994">
        <v>0</v>
      </c>
      <c r="U118" s="2994">
        <v>0</v>
      </c>
      <c r="V118" s="2994">
        <v>0</v>
      </c>
      <c r="W118" s="2994">
        <v>0</v>
      </c>
      <c r="X118" s="2994">
        <v>0</v>
      </c>
      <c r="Y118" s="2994">
        <v>0</v>
      </c>
      <c r="Z118" s="2994">
        <v>0</v>
      </c>
      <c r="AA118" s="2994">
        <v>0</v>
      </c>
      <c r="AB118" s="2994">
        <v>0</v>
      </c>
      <c r="AC118" s="2994">
        <v>0</v>
      </c>
      <c r="AD118" s="2994">
        <v>0</v>
      </c>
      <c r="AE118" s="2994">
        <v>0</v>
      </c>
      <c r="AF118" s="2994">
        <v>0</v>
      </c>
      <c r="AG118" s="2994">
        <v>0</v>
      </c>
      <c r="AH118" s="2994">
        <v>0</v>
      </c>
      <c r="AI118" s="2994">
        <v>0</v>
      </c>
      <c r="AJ118" s="2994">
        <v>0</v>
      </c>
      <c r="AK118" s="2994">
        <v>0</v>
      </c>
      <c r="AL118" s="2994">
        <v>0</v>
      </c>
      <c r="AM118" s="2994">
        <v>0</v>
      </c>
      <c r="AN118" s="2994">
        <v>0</v>
      </c>
      <c r="AO118" s="2994">
        <v>0</v>
      </c>
      <c r="AP118" s="2994">
        <v>0</v>
      </c>
      <c r="AQ118" s="2994">
        <v>0</v>
      </c>
      <c r="AR118" s="2994">
        <v>0</v>
      </c>
      <c r="AS118" s="2994">
        <v>0</v>
      </c>
      <c r="AT118" s="2994">
        <v>0</v>
      </c>
      <c r="AU118" s="2994">
        <v>0</v>
      </c>
      <c r="AV118" s="2994">
        <v>0</v>
      </c>
      <c r="AW118" s="2994">
        <v>0</v>
      </c>
      <c r="AX118" s="2994">
        <v>0</v>
      </c>
      <c r="AY118" s="2994">
        <v>0</v>
      </c>
      <c r="AZ118" s="2994">
        <v>0</v>
      </c>
      <c r="BA118" s="2994">
        <v>0</v>
      </c>
      <c r="BB118" s="2994">
        <v>0</v>
      </c>
      <c r="BC118" s="2994">
        <v>0</v>
      </c>
      <c r="BD118" s="3471">
        <v>0</v>
      </c>
      <c r="BE118" s="3471">
        <v>0</v>
      </c>
      <c r="BF118" s="3471">
        <v>0</v>
      </c>
    </row>
    <row r="119" spans="1:58">
      <c r="A119" s="1817" t="str">
        <f t="shared" si="3"/>
        <v>AfricaPotatoes</v>
      </c>
      <c r="B119" s="1818" t="s">
        <v>297</v>
      </c>
      <c r="C119" s="1818" t="s">
        <v>1368</v>
      </c>
      <c r="D119" s="3463" t="str">
        <f>VLOOKUP(B119,List_Yield!$G$4:$J$14,4,FALSE)</f>
        <v>Africa</v>
      </c>
      <c r="E119" s="3463" t="str">
        <f t="shared" si="2"/>
        <v>AfricaPotatoes</v>
      </c>
      <c r="F119" s="2994">
        <v>8.1798999999999999</v>
      </c>
      <c r="G119" s="2994">
        <v>7.7205000000000004</v>
      </c>
      <c r="H119" s="2994">
        <v>7.8658999999999999</v>
      </c>
      <c r="I119" s="2994">
        <v>7.9028</v>
      </c>
      <c r="J119" s="2994">
        <v>8.1914999999999996</v>
      </c>
      <c r="K119" s="2994">
        <v>8.3493999999999993</v>
      </c>
      <c r="L119" s="2994">
        <v>8.2691999999999997</v>
      </c>
      <c r="M119" s="2994">
        <v>8.5806000000000004</v>
      </c>
      <c r="N119" s="2994">
        <v>8.2050999999999998</v>
      </c>
      <c r="O119" s="2994">
        <v>8.7582000000000004</v>
      </c>
      <c r="P119" s="2994">
        <v>8.1387</v>
      </c>
      <c r="Q119" s="2994">
        <v>8.9002999999999997</v>
      </c>
      <c r="R119" s="2994">
        <v>8.5143000000000004</v>
      </c>
      <c r="S119" s="2994">
        <v>8.4566999999999997</v>
      </c>
      <c r="T119" s="2994">
        <v>8.5599000000000007</v>
      </c>
      <c r="U119" s="2994">
        <v>8.3345000000000002</v>
      </c>
      <c r="V119" s="2994">
        <v>8.6782000000000004</v>
      </c>
      <c r="W119" s="2994">
        <v>8.4991000000000003</v>
      </c>
      <c r="X119" s="2994">
        <v>8.9143000000000008</v>
      </c>
      <c r="Y119" s="2994">
        <v>8.9844000000000008</v>
      </c>
      <c r="Z119" s="2994">
        <v>8.4486000000000008</v>
      </c>
      <c r="AA119" s="2994">
        <v>8.3492999999999995</v>
      </c>
      <c r="AB119" s="2994">
        <v>8.6323000000000008</v>
      </c>
      <c r="AC119" s="2994">
        <v>8.8277000000000001</v>
      </c>
      <c r="AD119" s="2994">
        <v>9.6974</v>
      </c>
      <c r="AE119" s="2994">
        <v>9.7722999999999995</v>
      </c>
      <c r="AF119" s="2994">
        <v>10.752800000000001</v>
      </c>
      <c r="AG119" s="2994">
        <v>10.667400000000001</v>
      </c>
      <c r="AH119" s="2994">
        <v>10.763</v>
      </c>
      <c r="AI119" s="2994">
        <v>10.7753</v>
      </c>
      <c r="AJ119" s="2994">
        <v>10.8429</v>
      </c>
      <c r="AK119" s="2994">
        <v>11.0181</v>
      </c>
      <c r="AL119" s="2994">
        <v>11.1776</v>
      </c>
      <c r="AM119" s="2994">
        <v>11.1593</v>
      </c>
      <c r="AN119" s="2994">
        <v>11.930099999999999</v>
      </c>
      <c r="AO119" s="2994">
        <v>11.924899999999999</v>
      </c>
      <c r="AP119" s="2994">
        <v>11.311</v>
      </c>
      <c r="AQ119" s="2994">
        <v>12.239699999999999</v>
      </c>
      <c r="AR119" s="2994">
        <v>10.731999999999999</v>
      </c>
      <c r="AS119" s="2994">
        <v>10.5161</v>
      </c>
      <c r="AT119" s="2994">
        <v>10.9466</v>
      </c>
      <c r="AU119" s="2994">
        <v>10.8546</v>
      </c>
      <c r="AV119" s="2994">
        <v>10.945499999999999</v>
      </c>
      <c r="AW119" s="2994">
        <v>10.666</v>
      </c>
      <c r="AX119" s="2994">
        <v>11.2075</v>
      </c>
      <c r="AY119" s="2994">
        <v>12.0093</v>
      </c>
      <c r="AZ119" s="2994">
        <v>11.7438</v>
      </c>
      <c r="BA119" s="2994">
        <v>13.2422</v>
      </c>
      <c r="BB119" s="2994">
        <v>12.7355</v>
      </c>
      <c r="BC119" s="2994">
        <v>14.116099999999999</v>
      </c>
      <c r="BD119" s="3471">
        <v>14.1617</v>
      </c>
      <c r="BE119" s="3471">
        <v>14.9292</v>
      </c>
      <c r="BF119" s="3471">
        <v>15.059200000000001</v>
      </c>
    </row>
    <row r="120" spans="1:58">
      <c r="A120" s="1817" t="str">
        <f t="shared" si="3"/>
        <v>AfricaPulses, nes</v>
      </c>
      <c r="B120" s="1818" t="s">
        <v>297</v>
      </c>
      <c r="C120" s="1818" t="s">
        <v>1369</v>
      </c>
      <c r="D120" s="3463" t="str">
        <f>VLOOKUP(B120,List_Yield!$G$4:$J$14,4,FALSE)</f>
        <v>Africa</v>
      </c>
      <c r="E120" s="3463" t="str">
        <f t="shared" si="2"/>
        <v>AfricaPulses, nes</v>
      </c>
      <c r="F120" s="2994">
        <v>0.50570000000000004</v>
      </c>
      <c r="G120" s="2994">
        <v>0.5403</v>
      </c>
      <c r="H120" s="2994">
        <v>0.52639999999999998</v>
      </c>
      <c r="I120" s="2994">
        <v>0.53490000000000004</v>
      </c>
      <c r="J120" s="2994">
        <v>0.53720000000000001</v>
      </c>
      <c r="K120" s="2994">
        <v>0.51639999999999997</v>
      </c>
      <c r="L120" s="2994">
        <v>0.51329999999999998</v>
      </c>
      <c r="M120" s="2994">
        <v>0.51239999999999997</v>
      </c>
      <c r="N120" s="2994">
        <v>0.52059999999999995</v>
      </c>
      <c r="O120" s="2994">
        <v>0.50390000000000001</v>
      </c>
      <c r="P120" s="2994">
        <v>0.5081</v>
      </c>
      <c r="Q120" s="2994">
        <v>0.51780000000000004</v>
      </c>
      <c r="R120" s="2994">
        <v>0.52849999999999997</v>
      </c>
      <c r="S120" s="2994">
        <v>0.50319999999999998</v>
      </c>
      <c r="T120" s="2994">
        <v>0.52239999999999998</v>
      </c>
      <c r="U120" s="2994">
        <v>0.52190000000000003</v>
      </c>
      <c r="V120" s="2994">
        <v>0.4854</v>
      </c>
      <c r="W120" s="2994">
        <v>0.48759999999999998</v>
      </c>
      <c r="X120" s="2994">
        <v>0.49430000000000002</v>
      </c>
      <c r="Y120" s="2994">
        <v>0.50109999999999999</v>
      </c>
      <c r="Z120" s="2994">
        <v>0.46889999999999998</v>
      </c>
      <c r="AA120" s="2994">
        <v>0.50700000000000001</v>
      </c>
      <c r="AB120" s="2994">
        <v>0.56559999999999999</v>
      </c>
      <c r="AC120" s="2994">
        <v>0.47189999999999999</v>
      </c>
      <c r="AD120" s="2994">
        <v>0.45050000000000001</v>
      </c>
      <c r="AE120" s="2994">
        <v>0.52590000000000003</v>
      </c>
      <c r="AF120" s="2994">
        <v>0.45369999999999999</v>
      </c>
      <c r="AG120" s="2994">
        <v>0.43290000000000001</v>
      </c>
      <c r="AH120" s="2994">
        <v>0.44979999999999998</v>
      </c>
      <c r="AI120" s="2994">
        <v>0.41749999999999998</v>
      </c>
      <c r="AJ120" s="2994">
        <v>0.40479999999999999</v>
      </c>
      <c r="AK120" s="2994">
        <v>0.39300000000000002</v>
      </c>
      <c r="AL120" s="2994">
        <v>0.36990000000000001</v>
      </c>
      <c r="AM120" s="2994">
        <v>0.42009999999999997</v>
      </c>
      <c r="AN120" s="2994">
        <v>0.42749999999999999</v>
      </c>
      <c r="AO120" s="2994">
        <v>0.47639999999999999</v>
      </c>
      <c r="AP120" s="2994">
        <v>0.4612</v>
      </c>
      <c r="AQ120" s="2994">
        <v>0.49590000000000001</v>
      </c>
      <c r="AR120" s="2994">
        <v>0.54430000000000001</v>
      </c>
      <c r="AS120" s="2994">
        <v>0.55659999999999998</v>
      </c>
      <c r="AT120" s="2994">
        <v>0.53610000000000002</v>
      </c>
      <c r="AU120" s="2994">
        <v>0.63080000000000003</v>
      </c>
      <c r="AV120" s="2994">
        <v>0.61960000000000004</v>
      </c>
      <c r="AW120" s="2994">
        <v>0.58089999999999997</v>
      </c>
      <c r="AX120" s="2994">
        <v>0.55910000000000004</v>
      </c>
      <c r="AY120" s="2994">
        <v>0.56000000000000005</v>
      </c>
      <c r="AZ120" s="2994">
        <v>0.58489999999999998</v>
      </c>
      <c r="BA120" s="2994">
        <v>0.57130000000000003</v>
      </c>
      <c r="BB120" s="2994">
        <v>0.61160000000000003</v>
      </c>
      <c r="BC120" s="2994">
        <v>0.62260000000000004</v>
      </c>
      <c r="BD120" s="3471">
        <v>0.65310000000000001</v>
      </c>
      <c r="BE120" s="3471">
        <v>0.66890000000000005</v>
      </c>
      <c r="BF120" s="3471">
        <v>0.67259999999999998</v>
      </c>
    </row>
    <row r="121" spans="1:58">
      <c r="A121" s="1817" t="str">
        <f t="shared" si="3"/>
        <v>AfricaPumpkins, squash and gourds</v>
      </c>
      <c r="B121" s="1818" t="s">
        <v>297</v>
      </c>
      <c r="C121" s="1818" t="s">
        <v>7368</v>
      </c>
      <c r="D121" s="3463" t="str">
        <f>VLOOKUP(B121,List_Yield!$G$4:$J$14,4,FALSE)</f>
        <v>Africa</v>
      </c>
      <c r="E121" s="3463" t="str">
        <f t="shared" si="2"/>
        <v>AfricaPumpkins, squash and gourds</v>
      </c>
      <c r="F121" s="2994">
        <v>13.270300000000001</v>
      </c>
      <c r="G121" s="2994">
        <v>13.487500000000001</v>
      </c>
      <c r="H121" s="2994">
        <v>13.760899999999999</v>
      </c>
      <c r="I121" s="2994">
        <v>13.6355</v>
      </c>
      <c r="J121" s="2994">
        <v>13.980600000000001</v>
      </c>
      <c r="K121" s="2994">
        <v>14.2043</v>
      </c>
      <c r="L121" s="2994">
        <v>13.893800000000001</v>
      </c>
      <c r="M121" s="2994">
        <v>14.2141</v>
      </c>
      <c r="N121" s="2994">
        <v>14.476100000000001</v>
      </c>
      <c r="O121" s="2994">
        <v>14.296099999999999</v>
      </c>
      <c r="P121" s="2994">
        <v>14.485099999999999</v>
      </c>
      <c r="Q121" s="2994">
        <v>14.270099999999999</v>
      </c>
      <c r="R121" s="2994">
        <v>13.693099999999999</v>
      </c>
      <c r="S121" s="2994">
        <v>13.871700000000001</v>
      </c>
      <c r="T121" s="2994">
        <v>13.9198</v>
      </c>
      <c r="U121" s="2994">
        <v>14.239800000000001</v>
      </c>
      <c r="V121" s="2994">
        <v>14.728</v>
      </c>
      <c r="W121" s="2994">
        <v>14.281499999999999</v>
      </c>
      <c r="X121" s="2994">
        <v>14.630100000000001</v>
      </c>
      <c r="Y121" s="2994">
        <v>14.3794</v>
      </c>
      <c r="Z121" s="2994">
        <v>14.0357</v>
      </c>
      <c r="AA121" s="2994">
        <v>13.825100000000001</v>
      </c>
      <c r="AB121" s="2994">
        <v>13.649800000000001</v>
      </c>
      <c r="AC121" s="2994">
        <v>13.7491</v>
      </c>
      <c r="AD121" s="2994">
        <v>13.4459</v>
      </c>
      <c r="AE121" s="2994">
        <v>13.8264</v>
      </c>
      <c r="AF121" s="2994">
        <v>13.668799999999999</v>
      </c>
      <c r="AG121" s="2994">
        <v>13.4694</v>
      </c>
      <c r="AH121" s="2994">
        <v>13.309699999999999</v>
      </c>
      <c r="AI121" s="2994">
        <v>11.7311</v>
      </c>
      <c r="AJ121" s="2994">
        <v>11.204700000000001</v>
      </c>
      <c r="AK121" s="2994">
        <v>10.0108</v>
      </c>
      <c r="AL121" s="2994">
        <v>9.3893000000000004</v>
      </c>
      <c r="AM121" s="2994">
        <v>8.3623999999999992</v>
      </c>
      <c r="AN121" s="2994">
        <v>7.8022</v>
      </c>
      <c r="AO121" s="2994">
        <v>7.9057000000000004</v>
      </c>
      <c r="AP121" s="2994">
        <v>8.5541999999999998</v>
      </c>
      <c r="AQ121" s="2994">
        <v>7.8064999999999998</v>
      </c>
      <c r="AR121" s="2994">
        <v>7.5052000000000003</v>
      </c>
      <c r="AS121" s="2994">
        <v>7.5514999999999999</v>
      </c>
      <c r="AT121" s="2994">
        <v>7.5678999999999998</v>
      </c>
      <c r="AU121" s="2994">
        <v>7.4836999999999998</v>
      </c>
      <c r="AV121" s="2994">
        <v>7.5389999999999997</v>
      </c>
      <c r="AW121" s="2994">
        <v>7.2374999999999998</v>
      </c>
      <c r="AX121" s="2994">
        <v>7.0237999999999996</v>
      </c>
      <c r="AY121" s="2994">
        <v>6.9854000000000003</v>
      </c>
      <c r="AZ121" s="2994">
        <v>7.3400999999999996</v>
      </c>
      <c r="BA121" s="2994">
        <v>7.5231000000000003</v>
      </c>
      <c r="BB121" s="2994">
        <v>5.2656000000000001</v>
      </c>
      <c r="BC121" s="2994">
        <v>7.1688999999999998</v>
      </c>
      <c r="BD121" s="3471">
        <v>7.1741000000000001</v>
      </c>
      <c r="BE121" s="3471">
        <v>7.0860000000000003</v>
      </c>
      <c r="BF121" s="3471">
        <v>0</v>
      </c>
    </row>
    <row r="122" spans="1:58">
      <c r="A122" s="1817" t="str">
        <f t="shared" si="3"/>
        <v>AfricaPyrethrum, dried</v>
      </c>
      <c r="B122" s="1818" t="s">
        <v>297</v>
      </c>
      <c r="C122" s="1818" t="s">
        <v>7369</v>
      </c>
      <c r="D122" s="3463" t="str">
        <f>VLOOKUP(B122,List_Yield!$G$4:$J$14,4,FALSE)</f>
        <v>Africa</v>
      </c>
      <c r="E122" s="3463" t="str">
        <f t="shared" si="2"/>
        <v>AfricaPyrethrum, dried</v>
      </c>
      <c r="F122" s="2994">
        <v>0.25</v>
      </c>
      <c r="G122" s="2994">
        <v>0.27610000000000001</v>
      </c>
      <c r="H122" s="2994">
        <v>0.20979999999999999</v>
      </c>
      <c r="I122" s="2994">
        <v>0.19769999999999999</v>
      </c>
      <c r="J122" s="2994">
        <v>0.2006</v>
      </c>
      <c r="K122" s="2994">
        <v>0.2923</v>
      </c>
      <c r="L122" s="2994">
        <v>0.28449999999999998</v>
      </c>
      <c r="M122" s="2994">
        <v>0.30409999999999998</v>
      </c>
      <c r="N122" s="2994">
        <v>0.2235</v>
      </c>
      <c r="O122" s="2994">
        <v>0.1862</v>
      </c>
      <c r="P122" s="2994">
        <v>0.21590000000000001</v>
      </c>
      <c r="Q122" s="2994">
        <v>0.3054</v>
      </c>
      <c r="R122" s="2994">
        <v>0.25790000000000002</v>
      </c>
      <c r="S122" s="2994">
        <v>0.24690000000000001</v>
      </c>
      <c r="T122" s="2994">
        <v>0.21540000000000001</v>
      </c>
      <c r="U122" s="2994">
        <v>0.17749999999999999</v>
      </c>
      <c r="V122" s="2994">
        <v>0.15260000000000001</v>
      </c>
      <c r="W122" s="2994">
        <v>0.16389999999999999</v>
      </c>
      <c r="X122" s="2994">
        <v>0.24160000000000001</v>
      </c>
      <c r="Y122" s="2994">
        <v>0.40560000000000002</v>
      </c>
      <c r="Z122" s="2994">
        <v>0.62519999999999998</v>
      </c>
      <c r="AA122" s="2994">
        <v>0.87729999999999997</v>
      </c>
      <c r="AB122" s="2994">
        <v>1.1100000000000001</v>
      </c>
      <c r="AC122" s="2994">
        <v>0.93879999999999997</v>
      </c>
      <c r="AD122" s="2994">
        <v>0.81159999999999999</v>
      </c>
      <c r="AE122" s="2994">
        <v>0.4899</v>
      </c>
      <c r="AF122" s="2994">
        <v>0.499</v>
      </c>
      <c r="AG122" s="2994">
        <v>0.51949999999999996</v>
      </c>
      <c r="AH122" s="2994">
        <v>0.59230000000000005</v>
      </c>
      <c r="AI122" s="2994">
        <v>0.60170000000000001</v>
      </c>
      <c r="AJ122" s="2994">
        <v>0.65110000000000001</v>
      </c>
      <c r="AK122" s="2994">
        <v>0.6976</v>
      </c>
      <c r="AL122" s="2994">
        <v>0.6976</v>
      </c>
      <c r="AM122" s="2994">
        <v>0.65290000000000004</v>
      </c>
      <c r="AN122" s="2994">
        <v>0.58520000000000005</v>
      </c>
      <c r="AO122" s="2994">
        <v>0.47260000000000002</v>
      </c>
      <c r="AP122" s="2994">
        <v>0.39589999999999997</v>
      </c>
      <c r="AQ122" s="2994">
        <v>0.48130000000000001</v>
      </c>
      <c r="AR122" s="2994">
        <v>0.62380000000000002</v>
      </c>
      <c r="AS122" s="2994">
        <v>0.54620000000000002</v>
      </c>
      <c r="AT122" s="2994">
        <v>0.45340000000000003</v>
      </c>
      <c r="AU122" s="2994">
        <v>0.48180000000000001</v>
      </c>
      <c r="AV122" s="2994">
        <v>0.59319999999999995</v>
      </c>
      <c r="AW122" s="2994">
        <v>0.64970000000000006</v>
      </c>
      <c r="AX122" s="2994">
        <v>0.60470000000000002</v>
      </c>
      <c r="AY122" s="2994">
        <v>0.46560000000000001</v>
      </c>
      <c r="AZ122" s="2994">
        <v>0.49569999999999997</v>
      </c>
      <c r="BA122" s="2994">
        <v>0.50539999999999996</v>
      </c>
      <c r="BB122" s="2994">
        <v>0.4526</v>
      </c>
      <c r="BC122" s="2994">
        <v>0.1651</v>
      </c>
      <c r="BD122" s="3471">
        <v>0.1555</v>
      </c>
      <c r="BE122" s="3471">
        <v>0.15179999999999999</v>
      </c>
      <c r="BF122" s="3471">
        <v>0</v>
      </c>
    </row>
    <row r="123" spans="1:58">
      <c r="A123" s="1817" t="str">
        <f t="shared" si="3"/>
        <v>AfricaQuinces</v>
      </c>
      <c r="B123" s="1818" t="s">
        <v>297</v>
      </c>
      <c r="C123" s="1818" t="s">
        <v>7370</v>
      </c>
      <c r="D123" s="3463" t="str">
        <f>VLOOKUP(B123,List_Yield!$G$4:$J$14,4,FALSE)</f>
        <v>Africa</v>
      </c>
      <c r="E123" s="3463" t="str">
        <f t="shared" si="2"/>
        <v>AfricaQuinces</v>
      </c>
      <c r="F123" s="2994">
        <v>14.15</v>
      </c>
      <c r="G123" s="2994">
        <v>13.345499999999999</v>
      </c>
      <c r="H123" s="2994">
        <v>14.095499999999999</v>
      </c>
      <c r="I123" s="2994">
        <v>14.677300000000001</v>
      </c>
      <c r="J123" s="2994">
        <v>15.7409</v>
      </c>
      <c r="K123" s="2994">
        <v>17.533300000000001</v>
      </c>
      <c r="L123" s="2994">
        <v>19.375</v>
      </c>
      <c r="M123" s="2994">
        <v>17.6615</v>
      </c>
      <c r="N123" s="2994">
        <v>18</v>
      </c>
      <c r="O123" s="2994">
        <v>9.8963000000000001</v>
      </c>
      <c r="P123" s="2994">
        <v>16.070399999999999</v>
      </c>
      <c r="Q123" s="2994">
        <v>21.944400000000002</v>
      </c>
      <c r="R123" s="2994">
        <v>25.76</v>
      </c>
      <c r="S123" s="2994">
        <v>19.745699999999999</v>
      </c>
      <c r="T123" s="2994">
        <v>21.145600000000002</v>
      </c>
      <c r="U123" s="2994">
        <v>21.642900000000001</v>
      </c>
      <c r="V123" s="2994">
        <v>20.234000000000002</v>
      </c>
      <c r="W123" s="2994">
        <v>19.149100000000001</v>
      </c>
      <c r="X123" s="2994">
        <v>15.0077</v>
      </c>
      <c r="Y123" s="2994">
        <v>14.4026</v>
      </c>
      <c r="Z123" s="2994">
        <v>16.0655</v>
      </c>
      <c r="AA123" s="2994">
        <v>16.1309</v>
      </c>
      <c r="AB123" s="2994">
        <v>16.4346</v>
      </c>
      <c r="AC123" s="2994">
        <v>18.191600000000001</v>
      </c>
      <c r="AD123" s="2994">
        <v>7.7919</v>
      </c>
      <c r="AE123" s="2994">
        <v>7.7514000000000003</v>
      </c>
      <c r="AF123" s="2994">
        <v>7.8269000000000002</v>
      </c>
      <c r="AG123" s="2994">
        <v>7.4798999999999998</v>
      </c>
      <c r="AH123" s="2994">
        <v>7.7637</v>
      </c>
      <c r="AI123" s="2994">
        <v>9.5593000000000004</v>
      </c>
      <c r="AJ123" s="2994">
        <v>9.8529999999999998</v>
      </c>
      <c r="AK123" s="2994">
        <v>9.6484000000000005</v>
      </c>
      <c r="AL123" s="2994">
        <v>8.4197000000000006</v>
      </c>
      <c r="AM123" s="2994">
        <v>9.7721999999999998</v>
      </c>
      <c r="AN123" s="2994">
        <v>8.2935999999999996</v>
      </c>
      <c r="AO123" s="2994">
        <v>8.0533000000000001</v>
      </c>
      <c r="AP123" s="2994">
        <v>8.2087000000000003</v>
      </c>
      <c r="AQ123" s="2994">
        <v>9.3508999999999993</v>
      </c>
      <c r="AR123" s="2994">
        <v>9.3727</v>
      </c>
      <c r="AS123" s="2994">
        <v>6.6269999999999998</v>
      </c>
      <c r="AT123" s="2994">
        <v>7.4264999999999999</v>
      </c>
      <c r="AU123" s="2994">
        <v>8.2830999999999992</v>
      </c>
      <c r="AV123" s="2994">
        <v>8.5960000000000001</v>
      </c>
      <c r="AW123" s="2994">
        <v>9.8043999999999993</v>
      </c>
      <c r="AX123" s="2994">
        <v>7.6128</v>
      </c>
      <c r="AY123" s="2994">
        <v>7.5021000000000004</v>
      </c>
      <c r="AZ123" s="2994">
        <v>7.5792999999999999</v>
      </c>
      <c r="BA123" s="2994">
        <v>7.0975000000000001</v>
      </c>
      <c r="BB123" s="2994">
        <v>8.5754999999999999</v>
      </c>
      <c r="BC123" s="2994">
        <v>8.2562999999999995</v>
      </c>
      <c r="BD123" s="3471">
        <v>7.6730999999999998</v>
      </c>
      <c r="BE123" s="3471">
        <v>10.378500000000001</v>
      </c>
      <c r="BF123" s="3471">
        <v>0</v>
      </c>
    </row>
    <row r="124" spans="1:58">
      <c r="A124" s="1817" t="str">
        <f t="shared" si="3"/>
        <v>AfricaQuinoa</v>
      </c>
      <c r="B124" s="1818" t="s">
        <v>297</v>
      </c>
      <c r="C124" s="1818" t="s">
        <v>1385</v>
      </c>
      <c r="D124" s="3463" t="str">
        <f>VLOOKUP(B124,List_Yield!$G$4:$J$14,4,FALSE)</f>
        <v>Africa</v>
      </c>
      <c r="E124" s="3463" t="str">
        <f t="shared" si="2"/>
        <v>AfricaQuinoa</v>
      </c>
      <c r="F124" s="2994">
        <v>0</v>
      </c>
      <c r="G124" s="2994">
        <v>0</v>
      </c>
      <c r="H124" s="2994">
        <v>0</v>
      </c>
      <c r="I124" s="2994">
        <v>0</v>
      </c>
      <c r="J124" s="2994">
        <v>0</v>
      </c>
      <c r="K124" s="2994">
        <v>0</v>
      </c>
      <c r="L124" s="2994">
        <v>0</v>
      </c>
      <c r="M124" s="2994">
        <v>0</v>
      </c>
      <c r="N124" s="2994">
        <v>0</v>
      </c>
      <c r="O124" s="2994">
        <v>0</v>
      </c>
      <c r="P124" s="2994">
        <v>0</v>
      </c>
      <c r="Q124" s="2994">
        <v>0</v>
      </c>
      <c r="R124" s="2994">
        <v>0</v>
      </c>
      <c r="S124" s="2994">
        <v>0</v>
      </c>
      <c r="T124" s="2994">
        <v>0</v>
      </c>
      <c r="U124" s="2994">
        <v>0</v>
      </c>
      <c r="V124" s="2994">
        <v>0</v>
      </c>
      <c r="W124" s="2994">
        <v>0</v>
      </c>
      <c r="X124" s="2994">
        <v>0</v>
      </c>
      <c r="Y124" s="2994">
        <v>0</v>
      </c>
      <c r="Z124" s="2994">
        <v>0</v>
      </c>
      <c r="AA124" s="2994">
        <v>0</v>
      </c>
      <c r="AB124" s="2994">
        <v>0</v>
      </c>
      <c r="AC124" s="2994">
        <v>0</v>
      </c>
      <c r="AD124" s="2994">
        <v>0</v>
      </c>
      <c r="AE124" s="2994">
        <v>0</v>
      </c>
      <c r="AF124" s="2994">
        <v>0</v>
      </c>
      <c r="AG124" s="2994">
        <v>0</v>
      </c>
      <c r="AH124" s="2994">
        <v>0</v>
      </c>
      <c r="AI124" s="2994">
        <v>0</v>
      </c>
      <c r="AJ124" s="2994">
        <v>0</v>
      </c>
      <c r="AK124" s="2994">
        <v>0</v>
      </c>
      <c r="AL124" s="2994">
        <v>0</v>
      </c>
      <c r="AM124" s="2994">
        <v>0</v>
      </c>
      <c r="AN124" s="2994">
        <v>0</v>
      </c>
      <c r="AO124" s="2994">
        <v>0</v>
      </c>
      <c r="AP124" s="2994">
        <v>0</v>
      </c>
      <c r="AQ124" s="2994">
        <v>0</v>
      </c>
      <c r="AR124" s="2994">
        <v>0</v>
      </c>
      <c r="AS124" s="2994">
        <v>0</v>
      </c>
      <c r="AT124" s="2994">
        <v>0</v>
      </c>
      <c r="AU124" s="2994">
        <v>0</v>
      </c>
      <c r="AV124" s="2994">
        <v>0</v>
      </c>
      <c r="AW124" s="2994">
        <v>0</v>
      </c>
      <c r="AX124" s="2994">
        <v>0</v>
      </c>
      <c r="AY124" s="2994">
        <v>0</v>
      </c>
      <c r="AZ124" s="2994">
        <v>0</v>
      </c>
      <c r="BA124" s="2994">
        <v>0</v>
      </c>
      <c r="BB124" s="2994">
        <v>0</v>
      </c>
      <c r="BC124" s="2994">
        <v>0</v>
      </c>
      <c r="BD124" s="3471">
        <v>0</v>
      </c>
      <c r="BE124" s="3471">
        <v>0</v>
      </c>
      <c r="BF124" s="3471">
        <v>0</v>
      </c>
    </row>
    <row r="125" spans="1:58">
      <c r="A125" s="1817" t="str">
        <f t="shared" si="3"/>
        <v>AfricaRamie</v>
      </c>
      <c r="B125" s="1818" t="s">
        <v>297</v>
      </c>
      <c r="C125" s="1818" t="s">
        <v>7371</v>
      </c>
      <c r="D125" s="3463" t="str">
        <f>VLOOKUP(B125,List_Yield!$G$4:$J$14,4,FALSE)</f>
        <v>Africa</v>
      </c>
      <c r="E125" s="3463" t="str">
        <f t="shared" ref="E125:E188" si="4">CONCATENATE(D125,C125)</f>
        <v>AfricaRamie</v>
      </c>
      <c r="F125" s="2994">
        <v>0</v>
      </c>
      <c r="G125" s="2994">
        <v>0</v>
      </c>
      <c r="H125" s="2994">
        <v>0</v>
      </c>
      <c r="I125" s="2994">
        <v>0</v>
      </c>
      <c r="J125" s="2994">
        <v>0</v>
      </c>
      <c r="K125" s="2994">
        <v>0</v>
      </c>
      <c r="L125" s="2994">
        <v>0</v>
      </c>
      <c r="M125" s="2994">
        <v>0</v>
      </c>
      <c r="N125" s="2994">
        <v>0</v>
      </c>
      <c r="O125" s="2994">
        <v>0</v>
      </c>
      <c r="P125" s="2994">
        <v>0</v>
      </c>
      <c r="Q125" s="2994">
        <v>0</v>
      </c>
      <c r="R125" s="2994">
        <v>0</v>
      </c>
      <c r="S125" s="2994">
        <v>0</v>
      </c>
      <c r="T125" s="2994">
        <v>0</v>
      </c>
      <c r="U125" s="2994">
        <v>0</v>
      </c>
      <c r="V125" s="2994">
        <v>0</v>
      </c>
      <c r="W125" s="2994">
        <v>0</v>
      </c>
      <c r="X125" s="2994">
        <v>0</v>
      </c>
      <c r="Y125" s="2994">
        <v>0</v>
      </c>
      <c r="Z125" s="2994">
        <v>0</v>
      </c>
      <c r="AA125" s="2994">
        <v>0</v>
      </c>
      <c r="AB125" s="2994">
        <v>0</v>
      </c>
      <c r="AC125" s="2994">
        <v>0</v>
      </c>
      <c r="AD125" s="2994">
        <v>0</v>
      </c>
      <c r="AE125" s="2994">
        <v>0</v>
      </c>
      <c r="AF125" s="2994">
        <v>0</v>
      </c>
      <c r="AG125" s="2994">
        <v>0</v>
      </c>
      <c r="AH125" s="2994">
        <v>0</v>
      </c>
      <c r="AI125" s="2994">
        <v>0</v>
      </c>
      <c r="AJ125" s="2994">
        <v>0</v>
      </c>
      <c r="AK125" s="2994">
        <v>0</v>
      </c>
      <c r="AL125" s="2994">
        <v>0</v>
      </c>
      <c r="AM125" s="2994">
        <v>0</v>
      </c>
      <c r="AN125" s="2994">
        <v>0</v>
      </c>
      <c r="AO125" s="2994">
        <v>0</v>
      </c>
      <c r="AP125" s="2994">
        <v>0</v>
      </c>
      <c r="AQ125" s="2994">
        <v>0</v>
      </c>
      <c r="AR125" s="2994">
        <v>0</v>
      </c>
      <c r="AS125" s="2994">
        <v>0</v>
      </c>
      <c r="AT125" s="2994">
        <v>0</v>
      </c>
      <c r="AU125" s="2994">
        <v>0</v>
      </c>
      <c r="AV125" s="2994">
        <v>0</v>
      </c>
      <c r="AW125" s="2994">
        <v>0</v>
      </c>
      <c r="AX125" s="2994">
        <v>0</v>
      </c>
      <c r="AY125" s="2994">
        <v>0</v>
      </c>
      <c r="AZ125" s="2994">
        <v>0</v>
      </c>
      <c r="BA125" s="2994">
        <v>0</v>
      </c>
      <c r="BB125" s="2994">
        <v>0</v>
      </c>
      <c r="BC125" s="2994">
        <v>0</v>
      </c>
      <c r="BD125" s="3471">
        <v>0</v>
      </c>
      <c r="BE125" s="3471">
        <v>0</v>
      </c>
      <c r="BF125" s="3471">
        <v>0</v>
      </c>
    </row>
    <row r="126" spans="1:58">
      <c r="A126" s="1817" t="str">
        <f t="shared" si="3"/>
        <v>AfricaRapeseed</v>
      </c>
      <c r="B126" s="1818" t="s">
        <v>297</v>
      </c>
      <c r="C126" s="1818" t="s">
        <v>7372</v>
      </c>
      <c r="D126" s="3463" t="str">
        <f>VLOOKUP(B126,List_Yield!$G$4:$J$14,4,FALSE)</f>
        <v>Africa</v>
      </c>
      <c r="E126" s="3463" t="str">
        <f t="shared" si="4"/>
        <v>AfricaRapeseed</v>
      </c>
      <c r="F126" s="2994">
        <v>0.4</v>
      </c>
      <c r="G126" s="2994">
        <v>0.4</v>
      </c>
      <c r="H126" s="2994">
        <v>0.4</v>
      </c>
      <c r="I126" s="2994">
        <v>0.4</v>
      </c>
      <c r="J126" s="2994">
        <v>0.4</v>
      </c>
      <c r="K126" s="2994">
        <v>0.4</v>
      </c>
      <c r="L126" s="2994">
        <v>0.4</v>
      </c>
      <c r="M126" s="2994">
        <v>0.4</v>
      </c>
      <c r="N126" s="2994">
        <v>0.4</v>
      </c>
      <c r="O126" s="2994">
        <v>0.40200000000000002</v>
      </c>
      <c r="P126" s="2994">
        <v>0.40200000000000002</v>
      </c>
      <c r="Q126" s="2994">
        <v>0.40200000000000002</v>
      </c>
      <c r="R126" s="2994">
        <v>0.40379999999999999</v>
      </c>
      <c r="S126" s="2994">
        <v>0.40379999999999999</v>
      </c>
      <c r="T126" s="2994">
        <v>0.40379999999999999</v>
      </c>
      <c r="U126" s="2994">
        <v>0.4</v>
      </c>
      <c r="V126" s="2994">
        <v>0.4</v>
      </c>
      <c r="W126" s="2994">
        <v>0.4</v>
      </c>
      <c r="X126" s="2994">
        <v>0.8</v>
      </c>
      <c r="Y126" s="2994">
        <v>1.0769</v>
      </c>
      <c r="Z126" s="2994">
        <v>1.1708000000000001</v>
      </c>
      <c r="AA126" s="2994">
        <v>0.96040000000000003</v>
      </c>
      <c r="AB126" s="2994">
        <v>0.95230000000000004</v>
      </c>
      <c r="AC126" s="2994">
        <v>1.071</v>
      </c>
      <c r="AD126" s="2994">
        <v>1.0523</v>
      </c>
      <c r="AE126" s="2994">
        <v>1.0358000000000001</v>
      </c>
      <c r="AF126" s="2994">
        <v>1.1303000000000001</v>
      </c>
      <c r="AG126" s="2994">
        <v>0.94920000000000004</v>
      </c>
      <c r="AH126" s="2994">
        <v>0.93959999999999999</v>
      </c>
      <c r="AI126" s="2994">
        <v>0.85199999999999998</v>
      </c>
      <c r="AJ126" s="2994">
        <v>0.77600000000000002</v>
      </c>
      <c r="AK126" s="2994">
        <v>0.75329999999999997</v>
      </c>
      <c r="AL126" s="2994">
        <v>1.5033000000000001</v>
      </c>
      <c r="AM126" s="2994">
        <v>1.3373999999999999</v>
      </c>
      <c r="AN126" s="2994">
        <v>1.0974999999999999</v>
      </c>
      <c r="AO126" s="2994">
        <v>1.4013</v>
      </c>
      <c r="AP126" s="2994">
        <v>0.75109999999999999</v>
      </c>
      <c r="AQ126" s="2994">
        <v>1.5516000000000001</v>
      </c>
      <c r="AR126" s="2994">
        <v>1.365</v>
      </c>
      <c r="AS126" s="2994">
        <v>1.1281000000000001</v>
      </c>
      <c r="AT126" s="2994">
        <v>1.0506</v>
      </c>
      <c r="AU126" s="2994">
        <v>1.2558</v>
      </c>
      <c r="AV126" s="2994">
        <v>1.1315999999999999</v>
      </c>
      <c r="AW126" s="2994">
        <v>1.0295000000000001</v>
      </c>
      <c r="AX126" s="2994">
        <v>1.0931999999999999</v>
      </c>
      <c r="AY126" s="2994">
        <v>1.2039</v>
      </c>
      <c r="AZ126" s="2994">
        <v>1.1862999999999999</v>
      </c>
      <c r="BA126" s="2994">
        <v>1.3081</v>
      </c>
      <c r="BB126" s="2994">
        <v>1.3251999999999999</v>
      </c>
      <c r="BC126" s="2994">
        <v>1.4315</v>
      </c>
      <c r="BD126" s="3471">
        <v>1.6382000000000001</v>
      </c>
      <c r="BE126" s="3471">
        <v>1.7881</v>
      </c>
      <c r="BF126" s="3471">
        <v>1.6561999999999999</v>
      </c>
    </row>
    <row r="127" spans="1:58">
      <c r="A127" s="1817" t="str">
        <f t="shared" si="3"/>
        <v>AfricaRaspberries</v>
      </c>
      <c r="B127" s="1818" t="s">
        <v>297</v>
      </c>
      <c r="C127" s="1818" t="s">
        <v>7373</v>
      </c>
      <c r="D127" s="3463" t="str">
        <f>VLOOKUP(B127,List_Yield!$G$4:$J$14,4,FALSE)</f>
        <v>Africa</v>
      </c>
      <c r="E127" s="3463" t="str">
        <f t="shared" si="4"/>
        <v>AfricaRaspberries</v>
      </c>
      <c r="F127" s="2994">
        <v>0</v>
      </c>
      <c r="G127" s="2994">
        <v>0</v>
      </c>
      <c r="H127" s="2994">
        <v>0</v>
      </c>
      <c r="I127" s="2994">
        <v>0</v>
      </c>
      <c r="J127" s="2994">
        <v>0</v>
      </c>
      <c r="K127" s="2994">
        <v>0</v>
      </c>
      <c r="L127" s="2994">
        <v>0</v>
      </c>
      <c r="M127" s="2994">
        <v>0</v>
      </c>
      <c r="N127" s="2994">
        <v>0</v>
      </c>
      <c r="O127" s="2994">
        <v>0</v>
      </c>
      <c r="P127" s="2994">
        <v>0</v>
      </c>
      <c r="Q127" s="2994">
        <v>0</v>
      </c>
      <c r="R127" s="2994">
        <v>0</v>
      </c>
      <c r="S127" s="2994">
        <v>0</v>
      </c>
      <c r="T127" s="2994">
        <v>0</v>
      </c>
      <c r="U127" s="2994">
        <v>0</v>
      </c>
      <c r="V127" s="2994">
        <v>0</v>
      </c>
      <c r="W127" s="2994">
        <v>0</v>
      </c>
      <c r="X127" s="2994">
        <v>0</v>
      </c>
      <c r="Y127" s="2994">
        <v>0</v>
      </c>
      <c r="Z127" s="2994">
        <v>0</v>
      </c>
      <c r="AA127" s="2994">
        <v>0</v>
      </c>
      <c r="AB127" s="2994">
        <v>0</v>
      </c>
      <c r="AC127" s="2994">
        <v>0</v>
      </c>
      <c r="AD127" s="2994">
        <v>3.125</v>
      </c>
      <c r="AE127" s="2994">
        <v>3.125</v>
      </c>
      <c r="AF127" s="2994">
        <v>3.125</v>
      </c>
      <c r="AG127" s="2994">
        <v>4.375</v>
      </c>
      <c r="AH127" s="2994">
        <v>4.375</v>
      </c>
      <c r="AI127" s="2994">
        <v>3.5625</v>
      </c>
      <c r="AJ127" s="2994">
        <v>3.0303</v>
      </c>
      <c r="AK127" s="2994">
        <v>2.8357999999999999</v>
      </c>
      <c r="AL127" s="2994">
        <v>2.8551000000000002</v>
      </c>
      <c r="AM127" s="2994">
        <v>3.1714000000000002</v>
      </c>
      <c r="AN127" s="2994">
        <v>2.7879</v>
      </c>
      <c r="AO127" s="2994">
        <v>3.4478</v>
      </c>
      <c r="AP127" s="2994">
        <v>3.5205000000000002</v>
      </c>
      <c r="AQ127" s="2994">
        <v>3.7423999999999999</v>
      </c>
      <c r="AR127" s="2994">
        <v>3.6857000000000002</v>
      </c>
      <c r="AS127" s="2994">
        <v>3.8235000000000001</v>
      </c>
      <c r="AT127" s="2994">
        <v>3.3433000000000002</v>
      </c>
      <c r="AU127" s="2994">
        <v>3.7681</v>
      </c>
      <c r="AV127" s="2994">
        <v>4.0999999999999996</v>
      </c>
      <c r="AW127" s="2994">
        <v>4.3939000000000004</v>
      </c>
      <c r="AX127" s="2994">
        <v>4.1830999999999996</v>
      </c>
      <c r="AY127" s="2994">
        <v>4.3333000000000004</v>
      </c>
      <c r="AZ127" s="2994">
        <v>4.9545000000000003</v>
      </c>
      <c r="BA127" s="2994">
        <v>4.8788</v>
      </c>
      <c r="BB127" s="2994">
        <v>5.4696999999999996</v>
      </c>
      <c r="BC127" s="2994">
        <v>5.6093999999999999</v>
      </c>
      <c r="BD127" s="3471">
        <v>5.4428999999999998</v>
      </c>
      <c r="BE127" s="3471">
        <v>5.4428999999999998</v>
      </c>
      <c r="BF127" s="3471">
        <v>0</v>
      </c>
    </row>
    <row r="128" spans="1:58">
      <c r="A128" s="1817" t="str">
        <f t="shared" si="3"/>
        <v>AfricaRice, paddy</v>
      </c>
      <c r="B128" s="1818" t="s">
        <v>297</v>
      </c>
      <c r="C128" s="1818" t="s">
        <v>1370</v>
      </c>
      <c r="D128" s="3463" t="str">
        <f>VLOOKUP(B128,List_Yield!$G$4:$J$14,4,FALSE)</f>
        <v>Africa</v>
      </c>
      <c r="E128" s="3463" t="str">
        <f t="shared" si="4"/>
        <v>AfricaRice, paddy</v>
      </c>
      <c r="F128" s="2994">
        <v>1.552</v>
      </c>
      <c r="G128" s="2994">
        <v>1.8008</v>
      </c>
      <c r="H128" s="2994">
        <v>1.9113</v>
      </c>
      <c r="I128" s="2994">
        <v>1.8306</v>
      </c>
      <c r="J128" s="2994">
        <v>1.7467999999999999</v>
      </c>
      <c r="K128" s="2994">
        <v>1.7178</v>
      </c>
      <c r="L128" s="2994">
        <v>1.8655999999999999</v>
      </c>
      <c r="M128" s="2994">
        <v>1.901</v>
      </c>
      <c r="N128" s="2994">
        <v>1.9571000000000001</v>
      </c>
      <c r="O128" s="2994">
        <v>1.9220999999999999</v>
      </c>
      <c r="P128" s="2994">
        <v>1.8835</v>
      </c>
      <c r="Q128" s="2994">
        <v>1.8974</v>
      </c>
      <c r="R128" s="2994">
        <v>1.8491</v>
      </c>
      <c r="S128" s="2994">
        <v>1.8936999999999999</v>
      </c>
      <c r="T128" s="2994">
        <v>1.8960999999999999</v>
      </c>
      <c r="U128" s="2994">
        <v>1.8224</v>
      </c>
      <c r="V128" s="2994">
        <v>1.7804</v>
      </c>
      <c r="W128" s="2994">
        <v>1.8103</v>
      </c>
      <c r="X128" s="2994">
        <v>1.7833000000000001</v>
      </c>
      <c r="Y128" s="2994">
        <v>1.8290999999999999</v>
      </c>
      <c r="Z128" s="2994">
        <v>1.7849999999999999</v>
      </c>
      <c r="AA128" s="2994">
        <v>1.8130999999999999</v>
      </c>
      <c r="AB128" s="2994">
        <v>1.8812</v>
      </c>
      <c r="AC128" s="2994">
        <v>1.8742000000000001</v>
      </c>
      <c r="AD128" s="2994">
        <v>1.9394</v>
      </c>
      <c r="AE128" s="2994">
        <v>1.956</v>
      </c>
      <c r="AF128" s="2994">
        <v>2.0112000000000001</v>
      </c>
      <c r="AG128" s="2994">
        <v>1.9133</v>
      </c>
      <c r="AH128" s="2994">
        <v>2.0124</v>
      </c>
      <c r="AI128" s="2994">
        <v>2.1040999999999999</v>
      </c>
      <c r="AJ128" s="2994">
        <v>2.0813000000000001</v>
      </c>
      <c r="AK128" s="2994">
        <v>2.0935999999999999</v>
      </c>
      <c r="AL128" s="2994">
        <v>2.19</v>
      </c>
      <c r="AM128" s="2994">
        <v>2.0524</v>
      </c>
      <c r="AN128" s="2994">
        <v>2.1335999999999999</v>
      </c>
      <c r="AO128" s="2994">
        <v>2.2604000000000002</v>
      </c>
      <c r="AP128" s="2994">
        <v>2.2048999999999999</v>
      </c>
      <c r="AQ128" s="2994">
        <v>2.0977000000000001</v>
      </c>
      <c r="AR128" s="2994">
        <v>2.3123</v>
      </c>
      <c r="AS128" s="2994">
        <v>2.3111999999999999</v>
      </c>
      <c r="AT128" s="2994">
        <v>2.2054</v>
      </c>
      <c r="AU128" s="2994">
        <v>2.2498</v>
      </c>
      <c r="AV128" s="2994">
        <v>2.3130999999999999</v>
      </c>
      <c r="AW128" s="2994">
        <v>2.2854000000000001</v>
      </c>
      <c r="AX128" s="2994">
        <v>2.3330000000000002</v>
      </c>
      <c r="AY128" s="2994">
        <v>2.419</v>
      </c>
      <c r="AZ128" s="2994">
        <v>2.4676999999999998</v>
      </c>
      <c r="BA128" s="2994">
        <v>2.6074000000000002</v>
      </c>
      <c r="BB128" s="2994">
        <v>2.5844999999999998</v>
      </c>
      <c r="BC128" s="2994">
        <v>2.5937000000000001</v>
      </c>
      <c r="BD128" s="3471">
        <v>2.4127999999999998</v>
      </c>
      <c r="BE128" s="3471">
        <v>2.6225000000000001</v>
      </c>
      <c r="BF128" s="3471">
        <v>2.6821000000000002</v>
      </c>
    </row>
    <row r="129" spans="1:58">
      <c r="A129" s="1817" t="str">
        <f t="shared" si="3"/>
        <v>AfricaRoots and tubers, nes</v>
      </c>
      <c r="B129" s="1818" t="s">
        <v>297</v>
      </c>
      <c r="C129" s="1818" t="s">
        <v>7374</v>
      </c>
      <c r="D129" s="3463" t="str">
        <f>VLOOKUP(B129,List_Yield!$G$4:$J$14,4,FALSE)</f>
        <v>Africa</v>
      </c>
      <c r="E129" s="3463" t="str">
        <f t="shared" si="4"/>
        <v>AfricaRoots and tubers, nes</v>
      </c>
      <c r="F129" s="2994">
        <v>3.24</v>
      </c>
      <c r="G129" s="2994">
        <v>3.2951000000000001</v>
      </c>
      <c r="H129" s="2994">
        <v>3.3065000000000002</v>
      </c>
      <c r="I129" s="2994">
        <v>3.3184999999999998</v>
      </c>
      <c r="J129" s="2994">
        <v>3.3344</v>
      </c>
      <c r="K129" s="2994">
        <v>3.3538000000000001</v>
      </c>
      <c r="L129" s="2994">
        <v>3.3506999999999998</v>
      </c>
      <c r="M129" s="2994">
        <v>3.3601999999999999</v>
      </c>
      <c r="N129" s="2994">
        <v>3.3325999999999998</v>
      </c>
      <c r="O129" s="2994">
        <v>3.3386</v>
      </c>
      <c r="P129" s="2994">
        <v>3.3368000000000002</v>
      </c>
      <c r="Q129" s="2994">
        <v>3.3477000000000001</v>
      </c>
      <c r="R129" s="2994">
        <v>3.6450999999999998</v>
      </c>
      <c r="S129" s="2994">
        <v>3.9053</v>
      </c>
      <c r="T129" s="2994">
        <v>4.3147000000000002</v>
      </c>
      <c r="U129" s="2994">
        <v>4.6848000000000001</v>
      </c>
      <c r="V129" s="2994">
        <v>5.2550999999999997</v>
      </c>
      <c r="W129" s="2994">
        <v>5.9352999999999998</v>
      </c>
      <c r="X129" s="2994">
        <v>6.2331000000000003</v>
      </c>
      <c r="Y129" s="2994">
        <v>6.3254000000000001</v>
      </c>
      <c r="Z129" s="2994">
        <v>6.4739000000000004</v>
      </c>
      <c r="AA129" s="2994">
        <v>6.5911</v>
      </c>
      <c r="AB129" s="2994">
        <v>6.9002999999999997</v>
      </c>
      <c r="AC129" s="2994">
        <v>6.4960000000000004</v>
      </c>
      <c r="AD129" s="2994">
        <v>6.6215000000000002</v>
      </c>
      <c r="AE129" s="2994">
        <v>6.8182999999999998</v>
      </c>
      <c r="AF129" s="2994">
        <v>7.0730000000000004</v>
      </c>
      <c r="AG129" s="2994">
        <v>7.2396000000000003</v>
      </c>
      <c r="AH129" s="2994">
        <v>6.9861000000000004</v>
      </c>
      <c r="AI129" s="2994">
        <v>7.1744000000000003</v>
      </c>
      <c r="AJ129" s="2994">
        <v>7.0781999999999998</v>
      </c>
      <c r="AK129" s="2994">
        <v>7.0727000000000002</v>
      </c>
      <c r="AL129" s="2994">
        <v>6.8121999999999998</v>
      </c>
      <c r="AM129" s="2994">
        <v>6.9268000000000001</v>
      </c>
      <c r="AN129" s="2994">
        <v>7.1750999999999996</v>
      </c>
      <c r="AO129" s="2994">
        <v>7.3411</v>
      </c>
      <c r="AP129" s="2994">
        <v>7.0877999999999997</v>
      </c>
      <c r="AQ129" s="2994">
        <v>7.4394</v>
      </c>
      <c r="AR129" s="2994">
        <v>7.4085000000000001</v>
      </c>
      <c r="AS129" s="2994">
        <v>7.4433999999999996</v>
      </c>
      <c r="AT129" s="2994">
        <v>7.4196999999999997</v>
      </c>
      <c r="AU129" s="2994">
        <v>7.43</v>
      </c>
      <c r="AV129" s="2994">
        <v>7.4459999999999997</v>
      </c>
      <c r="AW129" s="2994">
        <v>7.4157000000000002</v>
      </c>
      <c r="AX129" s="2994">
        <v>7.4573</v>
      </c>
      <c r="AY129" s="2994">
        <v>7.6184000000000003</v>
      </c>
      <c r="AZ129" s="2994">
        <v>7.0414000000000003</v>
      </c>
      <c r="BA129" s="2994">
        <v>7.6193</v>
      </c>
      <c r="BB129" s="2994">
        <v>7.0071000000000003</v>
      </c>
      <c r="BC129" s="2994">
        <v>7.1166</v>
      </c>
      <c r="BD129" s="3471">
        <v>7.2081999999999997</v>
      </c>
      <c r="BE129" s="3471">
        <v>7.2618</v>
      </c>
      <c r="BF129" s="3471">
        <v>7.3197000000000001</v>
      </c>
    </row>
    <row r="130" spans="1:58">
      <c r="A130" s="1817" t="str">
        <f t="shared" ref="A130:A193" si="5">CONCATENATE(B130,C130)</f>
        <v>AfricaRubber, natural</v>
      </c>
      <c r="B130" s="1818" t="s">
        <v>297</v>
      </c>
      <c r="C130" s="1818" t="s">
        <v>7375</v>
      </c>
      <c r="D130" s="3463" t="str">
        <f>VLOOKUP(B130,List_Yield!$G$4:$J$14,4,FALSE)</f>
        <v>Africa</v>
      </c>
      <c r="E130" s="3463" t="str">
        <f t="shared" si="4"/>
        <v>AfricaRubber, natural</v>
      </c>
      <c r="F130" s="2994">
        <v>0.48899999999999999</v>
      </c>
      <c r="G130" s="2994">
        <v>0.51580000000000004</v>
      </c>
      <c r="H130" s="2994">
        <v>0.53759999999999997</v>
      </c>
      <c r="I130" s="2994">
        <v>0.55320000000000003</v>
      </c>
      <c r="J130" s="2994">
        <v>0.53069999999999995</v>
      </c>
      <c r="K130" s="2994">
        <v>0.55100000000000005</v>
      </c>
      <c r="L130" s="2994">
        <v>0.57569999999999999</v>
      </c>
      <c r="M130" s="2994">
        <v>0.6109</v>
      </c>
      <c r="N130" s="2994">
        <v>0.64470000000000005</v>
      </c>
      <c r="O130" s="2994">
        <v>0.66339999999999999</v>
      </c>
      <c r="P130" s="2994">
        <v>0.65869999999999995</v>
      </c>
      <c r="Q130" s="2994">
        <v>0.66300000000000003</v>
      </c>
      <c r="R130" s="2994">
        <v>0.68910000000000005</v>
      </c>
      <c r="S130" s="2994">
        <v>0.72219999999999995</v>
      </c>
      <c r="T130" s="2994">
        <v>0.69099999999999995</v>
      </c>
      <c r="U130" s="2994">
        <v>0.73950000000000005</v>
      </c>
      <c r="V130" s="2994">
        <v>0.74729999999999996</v>
      </c>
      <c r="W130" s="2994">
        <v>0.7157</v>
      </c>
      <c r="X130" s="2994">
        <v>0.68500000000000005</v>
      </c>
      <c r="Y130" s="2994">
        <v>0.65990000000000004</v>
      </c>
      <c r="Z130" s="2994">
        <v>0.71850000000000003</v>
      </c>
      <c r="AA130" s="2994">
        <v>0.65869999999999995</v>
      </c>
      <c r="AB130" s="2994">
        <v>0.70309999999999995</v>
      </c>
      <c r="AC130" s="2994">
        <v>0.76449999999999996</v>
      </c>
      <c r="AD130" s="2994">
        <v>0.80069999999999997</v>
      </c>
      <c r="AE130" s="2994">
        <v>0.82440000000000002</v>
      </c>
      <c r="AF130" s="2994">
        <v>0.87490000000000001</v>
      </c>
      <c r="AG130" s="2994">
        <v>0.82789999999999997</v>
      </c>
      <c r="AH130" s="2994">
        <v>0.77339999999999998</v>
      </c>
      <c r="AI130" s="2994">
        <v>0.77439999999999998</v>
      </c>
      <c r="AJ130" s="2994">
        <v>0.70679999999999998</v>
      </c>
      <c r="AK130" s="2994">
        <v>0.66090000000000004</v>
      </c>
      <c r="AL130" s="2994">
        <v>0.67479999999999996</v>
      </c>
      <c r="AM130" s="2994">
        <v>0.55810000000000004</v>
      </c>
      <c r="AN130" s="2994">
        <v>0.59289999999999998</v>
      </c>
      <c r="AO130" s="2994">
        <v>0.70209999999999995</v>
      </c>
      <c r="AP130" s="2994">
        <v>0.71850000000000003</v>
      </c>
      <c r="AQ130" s="2994">
        <v>0.71150000000000002</v>
      </c>
      <c r="AR130" s="2994">
        <v>0.746</v>
      </c>
      <c r="AS130" s="2994">
        <v>0.71120000000000005</v>
      </c>
      <c r="AT130" s="2994">
        <v>0.70230000000000004</v>
      </c>
      <c r="AU130" s="2994">
        <v>0.69499999999999995</v>
      </c>
      <c r="AV130" s="2994">
        <v>0.70430000000000004</v>
      </c>
      <c r="AW130" s="2994">
        <v>0.72619999999999996</v>
      </c>
      <c r="AX130" s="2994">
        <v>0.76539999999999997</v>
      </c>
      <c r="AY130" s="2994">
        <v>0.73250000000000004</v>
      </c>
      <c r="AZ130" s="2994">
        <v>0.75060000000000004</v>
      </c>
      <c r="BA130" s="2994">
        <v>0.71879999999999999</v>
      </c>
      <c r="BB130" s="2994">
        <v>0.74</v>
      </c>
      <c r="BC130" s="2994">
        <v>0.79269999999999996</v>
      </c>
      <c r="BD130" s="3471">
        <v>0.8</v>
      </c>
      <c r="BE130" s="3471">
        <v>0.82410000000000005</v>
      </c>
      <c r="BF130" s="3471">
        <v>0</v>
      </c>
    </row>
    <row r="131" spans="1:58">
      <c r="A131" s="1817" t="str">
        <f t="shared" si="5"/>
        <v>AfricaRye</v>
      </c>
      <c r="B131" s="1818" t="s">
        <v>297</v>
      </c>
      <c r="C131" s="1818" t="s">
        <v>1327</v>
      </c>
      <c r="D131" s="3463" t="str">
        <f>VLOOKUP(B131,List_Yield!$G$4:$J$14,4,FALSE)</f>
        <v>Africa</v>
      </c>
      <c r="E131" s="3463" t="str">
        <f t="shared" si="4"/>
        <v>AfricaRye</v>
      </c>
      <c r="F131" s="2994">
        <v>0.19489999999999999</v>
      </c>
      <c r="G131" s="2994">
        <v>0.157</v>
      </c>
      <c r="H131" s="2994">
        <v>0.20910000000000001</v>
      </c>
      <c r="I131" s="2994">
        <v>0.18090000000000001</v>
      </c>
      <c r="J131" s="2994">
        <v>0.1192</v>
      </c>
      <c r="K131" s="2994">
        <v>6.5799999999999997E-2</v>
      </c>
      <c r="L131" s="2994">
        <v>0.1067</v>
      </c>
      <c r="M131" s="2994">
        <v>8.0500000000000002E-2</v>
      </c>
      <c r="N131" s="2994">
        <v>8.0600000000000005E-2</v>
      </c>
      <c r="O131" s="2994">
        <v>0.45660000000000001</v>
      </c>
      <c r="P131" s="2994">
        <v>0.26469999999999999</v>
      </c>
      <c r="Q131" s="2994">
        <v>0.33610000000000001</v>
      </c>
      <c r="R131" s="2994">
        <v>0.41410000000000002</v>
      </c>
      <c r="S131" s="2994">
        <v>0.2379</v>
      </c>
      <c r="T131" s="2994">
        <v>0.2616</v>
      </c>
      <c r="U131" s="2994">
        <v>0.28710000000000002</v>
      </c>
      <c r="V131" s="2994">
        <v>0.27189999999999998</v>
      </c>
      <c r="W131" s="2994">
        <v>0.40260000000000001</v>
      </c>
      <c r="X131" s="2994">
        <v>0.30809999999999998</v>
      </c>
      <c r="Y131" s="2994">
        <v>0.28010000000000002</v>
      </c>
      <c r="Z131" s="2994">
        <v>0.27650000000000002</v>
      </c>
      <c r="AA131" s="2994">
        <v>0.28189999999999998</v>
      </c>
      <c r="AB131" s="2994">
        <v>0.27529999999999999</v>
      </c>
      <c r="AC131" s="2994">
        <v>0.2387</v>
      </c>
      <c r="AD131" s="2994">
        <v>0.128</v>
      </c>
      <c r="AE131" s="2994">
        <v>0.1336</v>
      </c>
      <c r="AF131" s="2994">
        <v>0.1429</v>
      </c>
      <c r="AG131" s="2994">
        <v>0.1053</v>
      </c>
      <c r="AH131" s="2994">
        <v>0.21079999999999999</v>
      </c>
      <c r="AI131" s="2994">
        <v>0.30120000000000002</v>
      </c>
      <c r="AJ131" s="2994">
        <v>0.2838</v>
      </c>
      <c r="AK131" s="2994">
        <v>0.44059999999999999</v>
      </c>
      <c r="AL131" s="2994">
        <v>0.40460000000000002</v>
      </c>
      <c r="AM131" s="2994">
        <v>0.4143</v>
      </c>
      <c r="AN131" s="2994">
        <v>0.45639999999999997</v>
      </c>
      <c r="AO131" s="2994">
        <v>0.47310000000000002</v>
      </c>
      <c r="AP131" s="2994">
        <v>0.53010000000000002</v>
      </c>
      <c r="AQ131" s="2994">
        <v>0.54349999999999998</v>
      </c>
      <c r="AR131" s="2994">
        <v>1.5766</v>
      </c>
      <c r="AS131" s="2994">
        <v>1.7022999999999999</v>
      </c>
      <c r="AT131" s="2994">
        <v>1.702</v>
      </c>
      <c r="AU131" s="2994">
        <v>1.7384999999999999</v>
      </c>
      <c r="AV131" s="2994">
        <v>1.7174</v>
      </c>
      <c r="AW131" s="2994">
        <v>1.7021999999999999</v>
      </c>
      <c r="AX131" s="2994">
        <v>1.7844</v>
      </c>
      <c r="AY131" s="2994">
        <v>1.8502000000000001</v>
      </c>
      <c r="AZ131" s="2994">
        <v>1.8433999999999999</v>
      </c>
      <c r="BA131" s="2994">
        <v>1.8452</v>
      </c>
      <c r="BB131" s="2994">
        <v>1.8537999999999999</v>
      </c>
      <c r="BC131" s="2994">
        <v>1.8327</v>
      </c>
      <c r="BD131" s="3471">
        <v>1.8361000000000001</v>
      </c>
      <c r="BE131" s="3471">
        <v>1.8031999999999999</v>
      </c>
      <c r="BF131" s="3471">
        <v>1.8023</v>
      </c>
    </row>
    <row r="132" spans="1:58">
      <c r="A132" s="1817" t="str">
        <f t="shared" si="5"/>
        <v>AfricaSafflower seed</v>
      </c>
      <c r="B132" s="1818" t="s">
        <v>297</v>
      </c>
      <c r="C132" s="1818" t="s">
        <v>7376</v>
      </c>
      <c r="D132" s="3463" t="str">
        <f>VLOOKUP(B132,List_Yield!$G$4:$J$14,4,FALSE)</f>
        <v>Africa</v>
      </c>
      <c r="E132" s="3463" t="str">
        <f t="shared" si="4"/>
        <v>AfricaSafflower seed</v>
      </c>
      <c r="F132" s="2994">
        <v>0.53700000000000003</v>
      </c>
      <c r="G132" s="2994">
        <v>0.53039999999999998</v>
      </c>
      <c r="H132" s="2994">
        <v>0.52759999999999996</v>
      </c>
      <c r="I132" s="2994">
        <v>0.52200000000000002</v>
      </c>
      <c r="J132" s="2994">
        <v>0.51719999999999999</v>
      </c>
      <c r="K132" s="2994">
        <v>0.51600000000000001</v>
      </c>
      <c r="L132" s="2994">
        <v>0.52669999999999995</v>
      </c>
      <c r="M132" s="2994">
        <v>0.54069999999999996</v>
      </c>
      <c r="N132" s="2994">
        <v>0.55730000000000002</v>
      </c>
      <c r="O132" s="2994">
        <v>0.58260000000000001</v>
      </c>
      <c r="P132" s="2994">
        <v>0.61839999999999995</v>
      </c>
      <c r="Q132" s="2994">
        <v>0.38440000000000002</v>
      </c>
      <c r="R132" s="2994">
        <v>0.38030000000000003</v>
      </c>
      <c r="S132" s="2994">
        <v>0.46879999999999999</v>
      </c>
      <c r="T132" s="2994">
        <v>0.3906</v>
      </c>
      <c r="U132" s="2994">
        <v>0.46879999999999999</v>
      </c>
      <c r="V132" s="2994">
        <v>0.46879999999999999</v>
      </c>
      <c r="W132" s="2994">
        <v>0.46879999999999999</v>
      </c>
      <c r="X132" s="2994">
        <v>0.46879999999999999</v>
      </c>
      <c r="Y132" s="2994">
        <v>0.47689999999999999</v>
      </c>
      <c r="Z132" s="2994">
        <v>0.47689999999999999</v>
      </c>
      <c r="AA132" s="2994">
        <v>0.48480000000000001</v>
      </c>
      <c r="AB132" s="2994">
        <v>0.48480000000000001</v>
      </c>
      <c r="AC132" s="2994">
        <v>0.48480000000000001</v>
      </c>
      <c r="AD132" s="2994">
        <v>0.48480000000000001</v>
      </c>
      <c r="AE132" s="2994">
        <v>0.48870000000000002</v>
      </c>
      <c r="AF132" s="2994">
        <v>0.49249999999999999</v>
      </c>
      <c r="AG132" s="2994">
        <v>0.49630000000000002</v>
      </c>
      <c r="AH132" s="2994">
        <v>0.5</v>
      </c>
      <c r="AI132" s="2994">
        <v>0.49230000000000002</v>
      </c>
      <c r="AJ132" s="2994">
        <v>0.50370000000000004</v>
      </c>
      <c r="AK132" s="2994">
        <v>0.50719999999999998</v>
      </c>
      <c r="AL132" s="2994">
        <v>0.5</v>
      </c>
      <c r="AM132" s="2994">
        <v>0.51060000000000005</v>
      </c>
      <c r="AN132" s="2994">
        <v>0.50270000000000004</v>
      </c>
      <c r="AO132" s="2994">
        <v>0.67700000000000005</v>
      </c>
      <c r="AP132" s="2994">
        <v>0.3775</v>
      </c>
      <c r="AQ132" s="2994">
        <v>0.36380000000000001</v>
      </c>
      <c r="AR132" s="2994">
        <v>0.43330000000000002</v>
      </c>
      <c r="AS132" s="2994">
        <v>0.46250000000000002</v>
      </c>
      <c r="AT132" s="2994">
        <v>0.45140000000000002</v>
      </c>
      <c r="AU132" s="2994">
        <v>0.42420000000000002</v>
      </c>
      <c r="AV132" s="2994">
        <v>0.41210000000000002</v>
      </c>
      <c r="AW132" s="2994">
        <v>0.44190000000000002</v>
      </c>
      <c r="AX132" s="2994">
        <v>0.45989999999999998</v>
      </c>
      <c r="AY132" s="2994">
        <v>0.45369999999999999</v>
      </c>
      <c r="AZ132" s="2994">
        <v>0.54310000000000003</v>
      </c>
      <c r="BA132" s="2994">
        <v>0.55740000000000001</v>
      </c>
      <c r="BB132" s="2994">
        <v>0.58450000000000002</v>
      </c>
      <c r="BC132" s="2994">
        <v>0.63490000000000002</v>
      </c>
      <c r="BD132" s="3471">
        <v>0.67769999999999997</v>
      </c>
      <c r="BE132" s="3471">
        <v>0.74409999999999998</v>
      </c>
      <c r="BF132" s="3471">
        <v>0.64419999999999999</v>
      </c>
    </row>
    <row r="133" spans="1:58">
      <c r="A133" s="1817" t="str">
        <f t="shared" si="5"/>
        <v>AfricaSeed cotton</v>
      </c>
      <c r="B133" s="1818" t="s">
        <v>297</v>
      </c>
      <c r="C133" s="1818" t="s">
        <v>1371</v>
      </c>
      <c r="D133" s="3463" t="str">
        <f>VLOOKUP(B133,List_Yield!$G$4:$J$14,4,FALSE)</f>
        <v>Africa</v>
      </c>
      <c r="E133" s="3463" t="str">
        <f t="shared" si="4"/>
        <v>AfricaSeed cotton</v>
      </c>
      <c r="F133" s="2994">
        <v>0.57650000000000001</v>
      </c>
      <c r="G133" s="2994">
        <v>0.73089999999999999</v>
      </c>
      <c r="H133" s="2994">
        <v>0.71319999999999995</v>
      </c>
      <c r="I133" s="2994">
        <v>0.70209999999999995</v>
      </c>
      <c r="J133" s="2994">
        <v>0.70720000000000005</v>
      </c>
      <c r="K133" s="2994">
        <v>0.69379999999999997</v>
      </c>
      <c r="L133" s="2994">
        <v>0.70420000000000005</v>
      </c>
      <c r="M133" s="2994">
        <v>0.71150000000000002</v>
      </c>
      <c r="N133" s="2994">
        <v>0.83840000000000003</v>
      </c>
      <c r="O133" s="2994">
        <v>0.80020000000000002</v>
      </c>
      <c r="P133" s="2994">
        <v>0.77100000000000002</v>
      </c>
      <c r="Q133" s="2994">
        <v>0.77410000000000001</v>
      </c>
      <c r="R133" s="2994">
        <v>0.72250000000000003</v>
      </c>
      <c r="S133" s="2994">
        <v>0.8236</v>
      </c>
      <c r="T133" s="2994">
        <v>0.78879999999999995</v>
      </c>
      <c r="U133" s="2994">
        <v>0.73580000000000001</v>
      </c>
      <c r="V133" s="2994">
        <v>0.75719999999999998</v>
      </c>
      <c r="W133" s="2994">
        <v>0.75609999999999999</v>
      </c>
      <c r="X133" s="2994">
        <v>0.8569</v>
      </c>
      <c r="Y133" s="2994">
        <v>0.90269999999999995</v>
      </c>
      <c r="Z133" s="2994">
        <v>0.94010000000000005</v>
      </c>
      <c r="AA133" s="2994">
        <v>0.95469999999999999</v>
      </c>
      <c r="AB133" s="2994">
        <v>0.92179999999999995</v>
      </c>
      <c r="AC133" s="2994">
        <v>0.93100000000000005</v>
      </c>
      <c r="AD133" s="2994">
        <v>1.0587</v>
      </c>
      <c r="AE133" s="2994">
        <v>1.0233000000000001</v>
      </c>
      <c r="AF133" s="2994">
        <v>1.0213000000000001</v>
      </c>
      <c r="AG133" s="2994">
        <v>1.0088999999999999</v>
      </c>
      <c r="AH133" s="2994">
        <v>1.0088999999999999</v>
      </c>
      <c r="AI133" s="2994">
        <v>0.98309999999999997</v>
      </c>
      <c r="AJ133" s="2994">
        <v>0.93049999999999999</v>
      </c>
      <c r="AK133" s="2994">
        <v>0.95030000000000003</v>
      </c>
      <c r="AL133" s="2994">
        <v>1.0421</v>
      </c>
      <c r="AM133" s="2994">
        <v>0.95469999999999999</v>
      </c>
      <c r="AN133" s="2994">
        <v>0.97729999999999995</v>
      </c>
      <c r="AO133" s="2994">
        <v>1.0471999999999999</v>
      </c>
      <c r="AP133" s="2994">
        <v>0.99570000000000003</v>
      </c>
      <c r="AQ133" s="2994">
        <v>0.9405</v>
      </c>
      <c r="AR133" s="2994">
        <v>0.95589999999999997</v>
      </c>
      <c r="AS133" s="2994">
        <v>0.93799999999999994</v>
      </c>
      <c r="AT133" s="2994">
        <v>0.98240000000000005</v>
      </c>
      <c r="AU133" s="2994">
        <v>0.94169999999999998</v>
      </c>
      <c r="AV133" s="2994">
        <v>0.97409999999999997</v>
      </c>
      <c r="AW133" s="2994">
        <v>0.98970000000000002</v>
      </c>
      <c r="AX133" s="2994">
        <v>0.96260000000000001</v>
      </c>
      <c r="AY133" s="2994">
        <v>1.0013000000000001</v>
      </c>
      <c r="AZ133" s="2994">
        <v>0.92559999999999998</v>
      </c>
      <c r="BA133" s="2994">
        <v>0.96179999999999999</v>
      </c>
      <c r="BB133" s="2994">
        <v>0.90580000000000005</v>
      </c>
      <c r="BC133" s="2994">
        <v>1.0368999999999999</v>
      </c>
      <c r="BD133" s="3471">
        <v>1.0448</v>
      </c>
      <c r="BE133" s="3471">
        <v>1.0004</v>
      </c>
      <c r="BF133" s="3471">
        <v>0.97799999999999998</v>
      </c>
    </row>
    <row r="134" spans="1:58">
      <c r="A134" s="1817" t="str">
        <f t="shared" si="5"/>
        <v>AfricaSesame seed</v>
      </c>
      <c r="B134" s="1818" t="s">
        <v>297</v>
      </c>
      <c r="C134" s="1818" t="s">
        <v>1319</v>
      </c>
      <c r="D134" s="3463" t="str">
        <f>VLOOKUP(B134,List_Yield!$G$4:$J$14,4,FALSE)</f>
        <v>Africa</v>
      </c>
      <c r="E134" s="3463" t="str">
        <f t="shared" si="4"/>
        <v>AfricaSesame seed</v>
      </c>
      <c r="F134" s="2994">
        <v>0.42870000000000003</v>
      </c>
      <c r="G134" s="2994">
        <v>0.3876</v>
      </c>
      <c r="H134" s="2994">
        <v>0.35470000000000002</v>
      </c>
      <c r="I134" s="2994">
        <v>0.3604</v>
      </c>
      <c r="J134" s="2994">
        <v>0.36570000000000003</v>
      </c>
      <c r="K134" s="2994">
        <v>0.33529999999999999</v>
      </c>
      <c r="L134" s="2994">
        <v>0.33889999999999998</v>
      </c>
      <c r="M134" s="2994">
        <v>0.31259999999999999</v>
      </c>
      <c r="N134" s="2994">
        <v>0.33650000000000002</v>
      </c>
      <c r="O134" s="2994">
        <v>0.38500000000000001</v>
      </c>
      <c r="P134" s="2994">
        <v>0.38350000000000001</v>
      </c>
      <c r="Q134" s="2994">
        <v>0.3276</v>
      </c>
      <c r="R134" s="2994">
        <v>0.32669999999999999</v>
      </c>
      <c r="S134" s="2994">
        <v>0.32579999999999998</v>
      </c>
      <c r="T134" s="2994">
        <v>0.31409999999999999</v>
      </c>
      <c r="U134" s="2994">
        <v>0.3201</v>
      </c>
      <c r="V134" s="2994">
        <v>0.31440000000000001</v>
      </c>
      <c r="W134" s="2994">
        <v>0.29780000000000001</v>
      </c>
      <c r="X134" s="2994">
        <v>0.31140000000000001</v>
      </c>
      <c r="Y134" s="2994">
        <v>0.3044</v>
      </c>
      <c r="Z134" s="2994">
        <v>0.33300000000000002</v>
      </c>
      <c r="AA134" s="2994">
        <v>0.3533</v>
      </c>
      <c r="AB134" s="2994">
        <v>0.28489999999999999</v>
      </c>
      <c r="AC134" s="2994">
        <v>0.26440000000000002</v>
      </c>
      <c r="AD134" s="2994">
        <v>0.22850000000000001</v>
      </c>
      <c r="AE134" s="2994">
        <v>0.30330000000000001</v>
      </c>
      <c r="AF134" s="2994">
        <v>0.31</v>
      </c>
      <c r="AG134" s="2994">
        <v>0.25829999999999997</v>
      </c>
      <c r="AH134" s="2994">
        <v>0.24210000000000001</v>
      </c>
      <c r="AI134" s="2994">
        <v>0.34589999999999999</v>
      </c>
      <c r="AJ134" s="2994">
        <v>0.33350000000000002</v>
      </c>
      <c r="AK134" s="2994">
        <v>0.2868</v>
      </c>
      <c r="AL134" s="2994">
        <v>0.25319999999999998</v>
      </c>
      <c r="AM134" s="2994">
        <v>0.23619999999999999</v>
      </c>
      <c r="AN134" s="2994">
        <v>0.29470000000000002</v>
      </c>
      <c r="AO134" s="2994">
        <v>0.29530000000000001</v>
      </c>
      <c r="AP134" s="2994">
        <v>0.27210000000000001</v>
      </c>
      <c r="AQ134" s="2994">
        <v>0.2913</v>
      </c>
      <c r="AR134" s="2994">
        <v>0.23849999999999999</v>
      </c>
      <c r="AS134" s="2994">
        <v>0.23930000000000001</v>
      </c>
      <c r="AT134" s="2994">
        <v>0.30630000000000002</v>
      </c>
      <c r="AU134" s="2994">
        <v>0.32419999999999999</v>
      </c>
      <c r="AV134" s="2994">
        <v>0.34310000000000002</v>
      </c>
      <c r="AW134" s="2994">
        <v>0.36349999999999999</v>
      </c>
      <c r="AX134" s="2994">
        <v>0.37290000000000001</v>
      </c>
      <c r="AY134" s="2994">
        <v>0.37059999999999998</v>
      </c>
      <c r="AZ134" s="2994">
        <v>0.44169999999999998</v>
      </c>
      <c r="BA134" s="2994">
        <v>0.40300000000000002</v>
      </c>
      <c r="BB134" s="2994">
        <v>0.44950000000000001</v>
      </c>
      <c r="BC134" s="2994">
        <v>0.46239999999999998</v>
      </c>
      <c r="BD134" s="3471">
        <v>0.48559999999999998</v>
      </c>
      <c r="BE134" s="3471">
        <v>0.52910000000000001</v>
      </c>
      <c r="BF134" s="3471">
        <v>0.4466</v>
      </c>
    </row>
    <row r="135" spans="1:58">
      <c r="A135" s="1817" t="str">
        <f t="shared" si="5"/>
        <v>AfricaSisal</v>
      </c>
      <c r="B135" s="1818" t="s">
        <v>297</v>
      </c>
      <c r="C135" s="1818" t="s">
        <v>1372</v>
      </c>
      <c r="D135" s="3463" t="str">
        <f>VLOOKUP(B135,List_Yield!$G$4:$J$14,4,FALSE)</f>
        <v>Africa</v>
      </c>
      <c r="E135" s="3463" t="str">
        <f t="shared" si="4"/>
        <v>AfricaSisal</v>
      </c>
      <c r="F135" s="2994">
        <v>0.86650000000000005</v>
      </c>
      <c r="G135" s="2994">
        <v>0.93310000000000004</v>
      </c>
      <c r="H135" s="2994">
        <v>0.93110000000000004</v>
      </c>
      <c r="I135" s="2994">
        <v>0.9677</v>
      </c>
      <c r="J135" s="2994">
        <v>0.95509999999999995</v>
      </c>
      <c r="K135" s="2994">
        <v>0.93820000000000003</v>
      </c>
      <c r="L135" s="2994">
        <v>0.87619999999999998</v>
      </c>
      <c r="M135" s="2994">
        <v>0.84960000000000002</v>
      </c>
      <c r="N135" s="2994">
        <v>0.88449999999999995</v>
      </c>
      <c r="O135" s="2994">
        <v>0.86350000000000005</v>
      </c>
      <c r="P135" s="2994">
        <v>0.88800000000000001</v>
      </c>
      <c r="Q135" s="2994">
        <v>0.8327</v>
      </c>
      <c r="R135" s="2994">
        <v>0.90959999999999996</v>
      </c>
      <c r="S135" s="2994">
        <v>0.93610000000000004</v>
      </c>
      <c r="T135" s="2994">
        <v>0.81020000000000003</v>
      </c>
      <c r="U135" s="2994">
        <v>0.85270000000000001</v>
      </c>
      <c r="V135" s="2994">
        <v>0.84370000000000001</v>
      </c>
      <c r="W135" s="2994">
        <v>0.70820000000000005</v>
      </c>
      <c r="X135" s="2994">
        <v>0.73950000000000005</v>
      </c>
      <c r="Y135" s="2994">
        <v>0.70630000000000004</v>
      </c>
      <c r="Z135" s="2994">
        <v>0.70660000000000001</v>
      </c>
      <c r="AA135" s="2994">
        <v>0.77149999999999996</v>
      </c>
      <c r="AB135" s="2994">
        <v>0.69840000000000002</v>
      </c>
      <c r="AC135" s="2994">
        <v>0.74829999999999997</v>
      </c>
      <c r="AD135" s="2994">
        <v>0.75129999999999997</v>
      </c>
      <c r="AE135" s="2994">
        <v>0.67830000000000001</v>
      </c>
      <c r="AF135" s="2994">
        <v>0.67700000000000005</v>
      </c>
      <c r="AG135" s="2994">
        <v>0.83140000000000003</v>
      </c>
      <c r="AH135" s="2994">
        <v>0.77939999999999998</v>
      </c>
      <c r="AI135" s="2994">
        <v>0.77149999999999996</v>
      </c>
      <c r="AJ135" s="2994">
        <v>0.81889999999999996</v>
      </c>
      <c r="AK135" s="2994">
        <v>0.78800000000000003</v>
      </c>
      <c r="AL135" s="2994">
        <v>0.86599999999999999</v>
      </c>
      <c r="AM135" s="2994">
        <v>0.85940000000000005</v>
      </c>
      <c r="AN135" s="2994">
        <v>0.81679999999999997</v>
      </c>
      <c r="AO135" s="2994">
        <v>0.76539999999999997</v>
      </c>
      <c r="AP135" s="2994">
        <v>0.8962</v>
      </c>
      <c r="AQ135" s="2994">
        <v>0.67369999999999997</v>
      </c>
      <c r="AR135" s="2994">
        <v>0.7016</v>
      </c>
      <c r="AS135" s="2994">
        <v>0.66759999999999997</v>
      </c>
      <c r="AT135" s="2994">
        <v>0.69410000000000005</v>
      </c>
      <c r="AU135" s="2994">
        <v>0.76559999999999995</v>
      </c>
      <c r="AV135" s="2994">
        <v>0.69569999999999999</v>
      </c>
      <c r="AW135" s="2994">
        <v>0.8115</v>
      </c>
      <c r="AX135" s="2994">
        <v>0.67930000000000001</v>
      </c>
      <c r="AY135" s="2994">
        <v>0.85040000000000004</v>
      </c>
      <c r="AZ135" s="2994">
        <v>0.78339999999999999</v>
      </c>
      <c r="BA135" s="2994">
        <v>0.6784</v>
      </c>
      <c r="BB135" s="2994">
        <v>0.56340000000000001</v>
      </c>
      <c r="BC135" s="2994">
        <v>0.61560000000000004</v>
      </c>
      <c r="BD135" s="3471">
        <v>0.66920000000000002</v>
      </c>
      <c r="BE135" s="3471">
        <v>0.61170000000000002</v>
      </c>
      <c r="BF135" s="3471">
        <v>0</v>
      </c>
    </row>
    <row r="136" spans="1:58">
      <c r="A136" s="1817" t="str">
        <f t="shared" si="5"/>
        <v>AfricaSorghum</v>
      </c>
      <c r="B136" s="1818" t="s">
        <v>297</v>
      </c>
      <c r="C136" s="1818" t="s">
        <v>1373</v>
      </c>
      <c r="D136" s="3463" t="str">
        <f>VLOOKUP(B136,List_Yield!$G$4:$J$14,4,FALSE)</f>
        <v>Africa</v>
      </c>
      <c r="E136" s="3463" t="str">
        <f t="shared" si="4"/>
        <v>AfricaSorghum</v>
      </c>
      <c r="F136" s="2994">
        <v>0.80910000000000004</v>
      </c>
      <c r="G136" s="2994">
        <v>0.83450000000000002</v>
      </c>
      <c r="H136" s="2994">
        <v>0.79400000000000004</v>
      </c>
      <c r="I136" s="2994">
        <v>0.78010000000000002</v>
      </c>
      <c r="J136" s="2994">
        <v>0.75539999999999996</v>
      </c>
      <c r="K136" s="2994">
        <v>0.72909999999999997</v>
      </c>
      <c r="L136" s="2994">
        <v>0.78879999999999995</v>
      </c>
      <c r="M136" s="2994">
        <v>0.71150000000000002</v>
      </c>
      <c r="N136" s="2994">
        <v>0.66100000000000003</v>
      </c>
      <c r="O136" s="2994">
        <v>0.75890000000000002</v>
      </c>
      <c r="P136" s="2994">
        <v>0.77890000000000004</v>
      </c>
      <c r="Q136" s="2994">
        <v>0.74080000000000001</v>
      </c>
      <c r="R136" s="2994">
        <v>0.70779999999999998</v>
      </c>
      <c r="S136" s="2994">
        <v>0.89259999999999995</v>
      </c>
      <c r="T136" s="2994">
        <v>0.85799999999999998</v>
      </c>
      <c r="U136" s="2994">
        <v>0.75719999999999998</v>
      </c>
      <c r="V136" s="2994">
        <v>0.80330000000000001</v>
      </c>
      <c r="W136" s="2994">
        <v>0.79790000000000005</v>
      </c>
      <c r="X136" s="2994">
        <v>0.85360000000000003</v>
      </c>
      <c r="Y136" s="2994">
        <v>0.92</v>
      </c>
      <c r="Z136" s="2994">
        <v>0.97399999999999998</v>
      </c>
      <c r="AA136" s="2994">
        <v>0.88500000000000001</v>
      </c>
      <c r="AB136" s="2994">
        <v>0.86409999999999998</v>
      </c>
      <c r="AC136" s="2994">
        <v>0.76100000000000001</v>
      </c>
      <c r="AD136" s="2994">
        <v>0.82240000000000002</v>
      </c>
      <c r="AE136" s="2994">
        <v>0.85899999999999999</v>
      </c>
      <c r="AF136" s="2994">
        <v>0.80710000000000004</v>
      </c>
      <c r="AG136" s="2994">
        <v>0.88539999999999996</v>
      </c>
      <c r="AH136" s="2994">
        <v>0.76949999999999996</v>
      </c>
      <c r="AI136" s="2994">
        <v>0.72799999999999998</v>
      </c>
      <c r="AJ136" s="2994">
        <v>0.81620000000000004</v>
      </c>
      <c r="AK136" s="2994">
        <v>0.77669999999999995</v>
      </c>
      <c r="AL136" s="2994">
        <v>0.7591</v>
      </c>
      <c r="AM136" s="2994">
        <v>0.77380000000000004</v>
      </c>
      <c r="AN136" s="2994">
        <v>0.82389999999999997</v>
      </c>
      <c r="AO136" s="2994">
        <v>0.87090000000000001</v>
      </c>
      <c r="AP136" s="2994">
        <v>0.7903</v>
      </c>
      <c r="AQ136" s="2994">
        <v>0.87819999999999998</v>
      </c>
      <c r="AR136" s="2994">
        <v>0.86329999999999996</v>
      </c>
      <c r="AS136" s="2994">
        <v>0.86519999999999997</v>
      </c>
      <c r="AT136" s="2994">
        <v>0.88129999999999997</v>
      </c>
      <c r="AU136" s="2994">
        <v>0.86850000000000005</v>
      </c>
      <c r="AV136" s="2994">
        <v>0.91180000000000005</v>
      </c>
      <c r="AW136" s="2994">
        <v>0.94330000000000003</v>
      </c>
      <c r="AX136" s="2994">
        <v>0.86809999999999998</v>
      </c>
      <c r="AY136" s="2994">
        <v>0.97230000000000005</v>
      </c>
      <c r="AZ136" s="2994">
        <v>0.94879999999999998</v>
      </c>
      <c r="BA136" s="2994">
        <v>0.92900000000000005</v>
      </c>
      <c r="BB136" s="2994">
        <v>0.8952</v>
      </c>
      <c r="BC136" s="2994">
        <v>0.96760000000000002</v>
      </c>
      <c r="BD136" s="3471">
        <v>0.94679999999999997</v>
      </c>
      <c r="BE136" s="3471">
        <v>1.0089999999999999</v>
      </c>
      <c r="BF136" s="3471">
        <v>0.96860000000000002</v>
      </c>
    </row>
    <row r="137" spans="1:58">
      <c r="A137" s="1817" t="str">
        <f t="shared" si="5"/>
        <v>AfricaSoybeans</v>
      </c>
      <c r="B137" s="1818" t="s">
        <v>297</v>
      </c>
      <c r="C137" s="1818" t="s">
        <v>1333</v>
      </c>
      <c r="D137" s="3463" t="str">
        <f>VLOOKUP(B137,List_Yield!$G$4:$J$14,4,FALSE)</f>
        <v>Africa</v>
      </c>
      <c r="E137" s="3463" t="str">
        <f t="shared" si="4"/>
        <v>AfricaSoybeans</v>
      </c>
      <c r="F137" s="2994">
        <v>0.37580000000000002</v>
      </c>
      <c r="G137" s="2994">
        <v>0.39350000000000002</v>
      </c>
      <c r="H137" s="2994">
        <v>0.39489999999999997</v>
      </c>
      <c r="I137" s="2994">
        <v>0.36919999999999997</v>
      </c>
      <c r="J137" s="2994">
        <v>0.34799999999999998</v>
      </c>
      <c r="K137" s="2994">
        <v>0.37459999999999999</v>
      </c>
      <c r="L137" s="2994">
        <v>0.41889999999999999</v>
      </c>
      <c r="M137" s="2994">
        <v>0.4163</v>
      </c>
      <c r="N137" s="2994">
        <v>0.45939999999999998</v>
      </c>
      <c r="O137" s="2994">
        <v>0.43659999999999999</v>
      </c>
      <c r="P137" s="2994">
        <v>0.41210000000000002</v>
      </c>
      <c r="Q137" s="2994">
        <v>0.43120000000000003</v>
      </c>
      <c r="R137" s="2994">
        <v>0.43690000000000001</v>
      </c>
      <c r="S137" s="2994">
        <v>0.54210000000000003</v>
      </c>
      <c r="T137" s="2994">
        <v>0.55520000000000003</v>
      </c>
      <c r="U137" s="2994">
        <v>0.59850000000000003</v>
      </c>
      <c r="V137" s="2994">
        <v>0.66210000000000002</v>
      </c>
      <c r="W137" s="2994">
        <v>0.84989999999999999</v>
      </c>
      <c r="X137" s="2994">
        <v>0.82410000000000005</v>
      </c>
      <c r="Y137" s="2994">
        <v>0.80289999999999995</v>
      </c>
      <c r="Z137" s="2994">
        <v>0.7944</v>
      </c>
      <c r="AA137" s="2994">
        <v>0.79910000000000003</v>
      </c>
      <c r="AB137" s="2994">
        <v>0.92290000000000005</v>
      </c>
      <c r="AC137" s="2994">
        <v>0.92400000000000004</v>
      </c>
      <c r="AD137" s="2994">
        <v>1.0185999999999999</v>
      </c>
      <c r="AE137" s="2994">
        <v>0.94020000000000004</v>
      </c>
      <c r="AF137" s="2994">
        <v>0.84519999999999995</v>
      </c>
      <c r="AG137" s="2994">
        <v>0.81130000000000002</v>
      </c>
      <c r="AH137" s="2994">
        <v>0.70469999999999999</v>
      </c>
      <c r="AI137" s="2994">
        <v>0.67779999999999996</v>
      </c>
      <c r="AJ137" s="2994">
        <v>0.83389999999999997</v>
      </c>
      <c r="AK137" s="2994">
        <v>0.58150000000000002</v>
      </c>
      <c r="AL137" s="2994">
        <v>0.6573</v>
      </c>
      <c r="AM137" s="2994">
        <v>0.65500000000000003</v>
      </c>
      <c r="AN137" s="2994">
        <v>0.68520000000000003</v>
      </c>
      <c r="AO137" s="2994">
        <v>0.89119999999999999</v>
      </c>
      <c r="AP137" s="2994">
        <v>0.90969999999999995</v>
      </c>
      <c r="AQ137" s="2994">
        <v>0.99260000000000004</v>
      </c>
      <c r="AR137" s="2994">
        <v>1.0289999999999999</v>
      </c>
      <c r="AS137" s="2994">
        <v>1.0584</v>
      </c>
      <c r="AT137" s="2994">
        <v>1.0953999999999999</v>
      </c>
      <c r="AU137" s="2994">
        <v>1.0327</v>
      </c>
      <c r="AV137" s="2994">
        <v>0.99239999999999995</v>
      </c>
      <c r="AW137" s="2994">
        <v>1.0255000000000001</v>
      </c>
      <c r="AX137" s="2994">
        <v>1.0886</v>
      </c>
      <c r="AY137" s="2994">
        <v>1.1332</v>
      </c>
      <c r="AZ137" s="2994">
        <v>1.0195000000000001</v>
      </c>
      <c r="BA137" s="2994">
        <v>1.1355999999999999</v>
      </c>
      <c r="BB137" s="2994">
        <v>1.1373</v>
      </c>
      <c r="BC137" s="2994">
        <v>1.2909999999999999</v>
      </c>
      <c r="BD137" s="3471">
        <v>1.2291000000000001</v>
      </c>
      <c r="BE137" s="3471">
        <v>1.2028000000000001</v>
      </c>
      <c r="BF137" s="3471">
        <v>1.2499</v>
      </c>
    </row>
    <row r="138" spans="1:58">
      <c r="A138" s="1817" t="str">
        <f t="shared" si="5"/>
        <v>AfricaSpices, nes</v>
      </c>
      <c r="B138" s="1818" t="s">
        <v>297</v>
      </c>
      <c r="C138" s="1818" t="s">
        <v>7377</v>
      </c>
      <c r="D138" s="3463" t="str">
        <f>VLOOKUP(B138,List_Yield!$G$4:$J$14,4,FALSE)</f>
        <v>Africa</v>
      </c>
      <c r="E138" s="3463" t="str">
        <f t="shared" si="4"/>
        <v>AfricaSpices, nes</v>
      </c>
      <c r="F138" s="2994">
        <v>1.8313999999999999</v>
      </c>
      <c r="G138" s="2994">
        <v>1.7829999999999999</v>
      </c>
      <c r="H138" s="2994">
        <v>1.7363999999999999</v>
      </c>
      <c r="I138" s="2994">
        <v>1.7298</v>
      </c>
      <c r="J138" s="2994">
        <v>1.8047</v>
      </c>
      <c r="K138" s="2994">
        <v>1.6662999999999999</v>
      </c>
      <c r="L138" s="2994">
        <v>1.9093</v>
      </c>
      <c r="M138" s="2994">
        <v>1.7199</v>
      </c>
      <c r="N138" s="2994">
        <v>1.4615</v>
      </c>
      <c r="O138" s="2994">
        <v>1.4186000000000001</v>
      </c>
      <c r="P138" s="2994">
        <v>1.3372999999999999</v>
      </c>
      <c r="Q138" s="2994">
        <v>1.3340000000000001</v>
      </c>
      <c r="R138" s="2994">
        <v>1.3740000000000001</v>
      </c>
      <c r="S138" s="2994">
        <v>1.3987000000000001</v>
      </c>
      <c r="T138" s="2994">
        <v>1.2927</v>
      </c>
      <c r="U138" s="2994">
        <v>1.3856999999999999</v>
      </c>
      <c r="V138" s="2994">
        <v>1.4605999999999999</v>
      </c>
      <c r="W138" s="2994">
        <v>1.3441000000000001</v>
      </c>
      <c r="X138" s="2994">
        <v>1.3644000000000001</v>
      </c>
      <c r="Y138" s="2994">
        <v>1.6001000000000001</v>
      </c>
      <c r="Z138" s="2994">
        <v>1.5516000000000001</v>
      </c>
      <c r="AA138" s="2994">
        <v>1.5390999999999999</v>
      </c>
      <c r="AB138" s="2994">
        <v>1.4118999999999999</v>
      </c>
      <c r="AC138" s="2994">
        <v>1.5777000000000001</v>
      </c>
      <c r="AD138" s="2994">
        <v>1.1656</v>
      </c>
      <c r="AE138" s="2994">
        <v>1.1775</v>
      </c>
      <c r="AF138" s="2994">
        <v>1.2837000000000001</v>
      </c>
      <c r="AG138" s="2994">
        <v>1.252</v>
      </c>
      <c r="AH138" s="2994">
        <v>1.3133999999999999</v>
      </c>
      <c r="AI138" s="2994">
        <v>1.2777000000000001</v>
      </c>
      <c r="AJ138" s="2994">
        <v>1.1565000000000001</v>
      </c>
      <c r="AK138" s="2994">
        <v>1.1831</v>
      </c>
      <c r="AL138" s="2994">
        <v>1.1960999999999999</v>
      </c>
      <c r="AM138" s="2994">
        <v>1.1166</v>
      </c>
      <c r="AN138" s="2994">
        <v>1.1447000000000001</v>
      </c>
      <c r="AO138" s="2994">
        <v>1.1772</v>
      </c>
      <c r="AP138" s="2994">
        <v>1.1100000000000001</v>
      </c>
      <c r="AQ138" s="2994">
        <v>1.083</v>
      </c>
      <c r="AR138" s="2994">
        <v>1.0883</v>
      </c>
      <c r="AS138" s="2994">
        <v>1.0872999999999999</v>
      </c>
      <c r="AT138" s="2994">
        <v>1.1647000000000001</v>
      </c>
      <c r="AU138" s="2994">
        <v>1.1667000000000001</v>
      </c>
      <c r="AV138" s="2994">
        <v>1.1584000000000001</v>
      </c>
      <c r="AW138" s="2994">
        <v>1.2206999999999999</v>
      </c>
      <c r="AX138" s="2994">
        <v>0.93799999999999994</v>
      </c>
      <c r="AY138" s="2994">
        <v>0.93720000000000003</v>
      </c>
      <c r="AZ138" s="2994">
        <v>0.99519999999999997</v>
      </c>
      <c r="BA138" s="2994">
        <v>0.95</v>
      </c>
      <c r="BB138" s="2994">
        <v>1.2864</v>
      </c>
      <c r="BC138" s="2994">
        <v>1.3404</v>
      </c>
      <c r="BD138" s="3471">
        <v>1.2696000000000001</v>
      </c>
      <c r="BE138" s="3471">
        <v>1.1403000000000001</v>
      </c>
      <c r="BF138" s="3471">
        <v>0</v>
      </c>
    </row>
    <row r="139" spans="1:58">
      <c r="A139" s="1817" t="str">
        <f t="shared" si="5"/>
        <v>AfricaSpinach</v>
      </c>
      <c r="B139" s="1818" t="s">
        <v>297</v>
      </c>
      <c r="C139" s="1818" t="s">
        <v>7378</v>
      </c>
      <c r="D139" s="3463" t="str">
        <f>VLOOKUP(B139,List_Yield!$G$4:$J$14,4,FALSE)</f>
        <v>Africa</v>
      </c>
      <c r="E139" s="3463" t="str">
        <f t="shared" si="4"/>
        <v>AfricaSpinach</v>
      </c>
      <c r="F139" s="2994">
        <v>12.3134</v>
      </c>
      <c r="G139" s="2994">
        <v>13.716799999999999</v>
      </c>
      <c r="H139" s="2994">
        <v>14.1593</v>
      </c>
      <c r="I139" s="2994">
        <v>13.6441</v>
      </c>
      <c r="J139" s="2994">
        <v>14.3239</v>
      </c>
      <c r="K139" s="2994">
        <v>14.090400000000001</v>
      </c>
      <c r="L139" s="2994">
        <v>13.1694</v>
      </c>
      <c r="M139" s="2994">
        <v>14.7209</v>
      </c>
      <c r="N139" s="2994">
        <v>14.7105</v>
      </c>
      <c r="O139" s="2994">
        <v>13.914</v>
      </c>
      <c r="P139" s="2994">
        <v>13.9674</v>
      </c>
      <c r="Q139" s="2994">
        <v>12.3902</v>
      </c>
      <c r="R139" s="2994">
        <v>12.5227</v>
      </c>
      <c r="S139" s="2994">
        <v>13.7186</v>
      </c>
      <c r="T139" s="2994">
        <v>13.4091</v>
      </c>
      <c r="U139" s="2994">
        <v>13.815200000000001</v>
      </c>
      <c r="V139" s="2994">
        <v>14.1272</v>
      </c>
      <c r="W139" s="2994">
        <v>14.4168</v>
      </c>
      <c r="X139" s="2994">
        <v>14.581200000000001</v>
      </c>
      <c r="Y139" s="2994">
        <v>15.724500000000001</v>
      </c>
      <c r="Z139" s="2994">
        <v>15.9284</v>
      </c>
      <c r="AA139" s="2994">
        <v>15.1335</v>
      </c>
      <c r="AB139" s="2994">
        <v>15.526300000000001</v>
      </c>
      <c r="AC139" s="2994">
        <v>16.304300000000001</v>
      </c>
      <c r="AD139" s="2994">
        <v>15.1852</v>
      </c>
      <c r="AE139" s="2994">
        <v>16.1952</v>
      </c>
      <c r="AF139" s="2994">
        <v>17.093499999999999</v>
      </c>
      <c r="AG139" s="2994">
        <v>15.8621</v>
      </c>
      <c r="AH139" s="2994">
        <v>15.431800000000001</v>
      </c>
      <c r="AI139" s="2994">
        <v>13.6228</v>
      </c>
      <c r="AJ139" s="2994">
        <v>13.9298</v>
      </c>
      <c r="AK139" s="2994">
        <v>13.272</v>
      </c>
      <c r="AL139" s="2994">
        <v>13.0655</v>
      </c>
      <c r="AM139" s="2994">
        <v>15.0336</v>
      </c>
      <c r="AN139" s="2994">
        <v>15.359400000000001</v>
      </c>
      <c r="AO139" s="2994">
        <v>15.486000000000001</v>
      </c>
      <c r="AP139" s="2994">
        <v>14.819000000000001</v>
      </c>
      <c r="AQ139" s="2994">
        <v>14.826599999999999</v>
      </c>
      <c r="AR139" s="2994">
        <v>14.1403</v>
      </c>
      <c r="AS139" s="2994">
        <v>14.7874</v>
      </c>
      <c r="AT139" s="2994">
        <v>15.5669</v>
      </c>
      <c r="AU139" s="2994">
        <v>15.9138</v>
      </c>
      <c r="AV139" s="2994">
        <v>14.876899999999999</v>
      </c>
      <c r="AW139" s="2994">
        <v>16.029800000000002</v>
      </c>
      <c r="AX139" s="2994">
        <v>15.9953</v>
      </c>
      <c r="AY139" s="2994">
        <v>10.1868</v>
      </c>
      <c r="AZ139" s="2994">
        <v>10.099500000000001</v>
      </c>
      <c r="BA139" s="2994">
        <v>12.010199999999999</v>
      </c>
      <c r="BB139" s="2994">
        <v>18.5778</v>
      </c>
      <c r="BC139" s="2994">
        <v>16.760300000000001</v>
      </c>
      <c r="BD139" s="3471">
        <v>12.2361</v>
      </c>
      <c r="BE139" s="3471">
        <v>14.205399999999999</v>
      </c>
      <c r="BF139" s="3471">
        <v>0</v>
      </c>
    </row>
    <row r="140" spans="1:58">
      <c r="A140" s="1817" t="str">
        <f t="shared" si="5"/>
        <v>AfricaStrawberries</v>
      </c>
      <c r="B140" s="1818" t="s">
        <v>297</v>
      </c>
      <c r="C140" s="1818" t="s">
        <v>1374</v>
      </c>
      <c r="D140" s="3463" t="str">
        <f>VLOOKUP(B140,List_Yield!$G$4:$J$14,4,FALSE)</f>
        <v>Africa</v>
      </c>
      <c r="E140" s="3463" t="str">
        <f t="shared" si="4"/>
        <v>AfricaStrawberries</v>
      </c>
      <c r="F140" s="2994">
        <v>2.95</v>
      </c>
      <c r="G140" s="2994">
        <v>3.165</v>
      </c>
      <c r="H140" s="2994">
        <v>4.2359999999999998</v>
      </c>
      <c r="I140" s="2994">
        <v>3.016</v>
      </c>
      <c r="J140" s="2994">
        <v>3.78</v>
      </c>
      <c r="K140" s="2994">
        <v>3.5720000000000001</v>
      </c>
      <c r="L140" s="2994">
        <v>3.49</v>
      </c>
      <c r="M140" s="2994">
        <v>3.94</v>
      </c>
      <c r="N140" s="2994">
        <v>3.6240000000000001</v>
      </c>
      <c r="O140" s="2994">
        <v>3.968</v>
      </c>
      <c r="P140" s="2994">
        <v>3.92</v>
      </c>
      <c r="Q140" s="2994">
        <v>4.2175000000000002</v>
      </c>
      <c r="R140" s="2994">
        <v>5.4760999999999997</v>
      </c>
      <c r="S140" s="2994">
        <v>5.4218000000000002</v>
      </c>
      <c r="T140" s="2994">
        <v>4.7389000000000001</v>
      </c>
      <c r="U140" s="2994">
        <v>4.5713999999999997</v>
      </c>
      <c r="V140" s="2994">
        <v>4.5258000000000003</v>
      </c>
      <c r="W140" s="2994">
        <v>4.6692</v>
      </c>
      <c r="X140" s="2994">
        <v>4.4088000000000003</v>
      </c>
      <c r="Y140" s="2994">
        <v>4.8859000000000004</v>
      </c>
      <c r="Z140" s="2994">
        <v>4.8943000000000003</v>
      </c>
      <c r="AA140" s="2994">
        <v>6.7739000000000003</v>
      </c>
      <c r="AB140" s="2994">
        <v>7.9714</v>
      </c>
      <c r="AC140" s="2994">
        <v>8.0436999999999994</v>
      </c>
      <c r="AD140" s="2994">
        <v>8.9044000000000008</v>
      </c>
      <c r="AE140" s="2994">
        <v>12.997299999999999</v>
      </c>
      <c r="AF140" s="2994">
        <v>12.244300000000001</v>
      </c>
      <c r="AG140" s="2994">
        <v>11.874000000000001</v>
      </c>
      <c r="AH140" s="2994">
        <v>12.703099999999999</v>
      </c>
      <c r="AI140" s="2994">
        <v>13.9054</v>
      </c>
      <c r="AJ140" s="2994">
        <v>12.7249</v>
      </c>
      <c r="AK140" s="2994">
        <v>12.425000000000001</v>
      </c>
      <c r="AL140" s="2994">
        <v>12.4587</v>
      </c>
      <c r="AM140" s="2994">
        <v>12.4414</v>
      </c>
      <c r="AN140" s="2994">
        <v>14.007300000000001</v>
      </c>
      <c r="AO140" s="2994">
        <v>17.8659</v>
      </c>
      <c r="AP140" s="2994">
        <v>21.322199999999999</v>
      </c>
      <c r="AQ140" s="2994">
        <v>22.639900000000001</v>
      </c>
      <c r="AR140" s="2994">
        <v>25.186800000000002</v>
      </c>
      <c r="AS140" s="2994">
        <v>30.186199999999999</v>
      </c>
      <c r="AT140" s="2994">
        <v>26.622299999999999</v>
      </c>
      <c r="AU140" s="2994">
        <v>27.854900000000001</v>
      </c>
      <c r="AV140" s="2994">
        <v>29.533100000000001</v>
      </c>
      <c r="AW140" s="2994">
        <v>29.982099999999999</v>
      </c>
      <c r="AX140" s="2994">
        <v>29.381499999999999</v>
      </c>
      <c r="AY140" s="2994">
        <v>18.212900000000001</v>
      </c>
      <c r="AZ140" s="2994">
        <v>16.280999999999999</v>
      </c>
      <c r="BA140" s="2994">
        <v>36.909199999999998</v>
      </c>
      <c r="BB140" s="2994">
        <v>61.187399999999997</v>
      </c>
      <c r="BC140" s="2994">
        <v>42.424700000000001</v>
      </c>
      <c r="BD140" s="3471">
        <v>39.8386</v>
      </c>
      <c r="BE140" s="3471">
        <v>38.637099999999997</v>
      </c>
      <c r="BF140" s="3471">
        <v>0</v>
      </c>
    </row>
    <row r="141" spans="1:58">
      <c r="A141" s="1817" t="str">
        <f t="shared" si="5"/>
        <v>AfricaString beans</v>
      </c>
      <c r="B141" s="1818" t="s">
        <v>297</v>
      </c>
      <c r="C141" s="1818" t="s">
        <v>7379</v>
      </c>
      <c r="D141" s="3463" t="str">
        <f>VLOOKUP(B141,List_Yield!$G$4:$J$14,4,FALSE)</f>
        <v>Africa</v>
      </c>
      <c r="E141" s="3463" t="str">
        <f t="shared" si="4"/>
        <v>AfricaString beans</v>
      </c>
      <c r="F141" s="2994">
        <v>0</v>
      </c>
      <c r="G141" s="2994">
        <v>0</v>
      </c>
      <c r="H141" s="2994">
        <v>0</v>
      </c>
      <c r="I141" s="2994">
        <v>0</v>
      </c>
      <c r="J141" s="2994">
        <v>0</v>
      </c>
      <c r="K141" s="2994">
        <v>0</v>
      </c>
      <c r="L141" s="2994">
        <v>0</v>
      </c>
      <c r="M141" s="2994">
        <v>0</v>
      </c>
      <c r="N141" s="2994">
        <v>0</v>
      </c>
      <c r="O141" s="2994">
        <v>0</v>
      </c>
      <c r="P141" s="2994">
        <v>0</v>
      </c>
      <c r="Q141" s="2994">
        <v>0</v>
      </c>
      <c r="R141" s="2994">
        <v>0</v>
      </c>
      <c r="S141" s="2994">
        <v>0</v>
      </c>
      <c r="T141" s="2994">
        <v>0</v>
      </c>
      <c r="U141" s="2994">
        <v>0</v>
      </c>
      <c r="V141" s="2994">
        <v>0</v>
      </c>
      <c r="W141" s="2994">
        <v>0</v>
      </c>
      <c r="X141" s="2994">
        <v>0</v>
      </c>
      <c r="Y141" s="2994">
        <v>0</v>
      </c>
      <c r="Z141" s="2994">
        <v>0</v>
      </c>
      <c r="AA141" s="2994">
        <v>0</v>
      </c>
      <c r="AB141" s="2994">
        <v>0</v>
      </c>
      <c r="AC141" s="2994">
        <v>0</v>
      </c>
      <c r="AD141" s="2994">
        <v>0</v>
      </c>
      <c r="AE141" s="2994">
        <v>0</v>
      </c>
      <c r="AF141" s="2994">
        <v>0</v>
      </c>
      <c r="AG141" s="2994">
        <v>0</v>
      </c>
      <c r="AH141" s="2994">
        <v>5</v>
      </c>
      <c r="AI141" s="2994">
        <v>5.08</v>
      </c>
      <c r="AJ141" s="2994">
        <v>5.0606</v>
      </c>
      <c r="AK141" s="2994">
        <v>5.0608000000000004</v>
      </c>
      <c r="AL141" s="2994">
        <v>5.1020000000000003</v>
      </c>
      <c r="AM141" s="2994">
        <v>5.0362</v>
      </c>
      <c r="AN141" s="2994">
        <v>7.1403999999999996</v>
      </c>
      <c r="AO141" s="2994">
        <v>7.5762999999999998</v>
      </c>
      <c r="AP141" s="2994">
        <v>11.3034</v>
      </c>
      <c r="AQ141" s="2994">
        <v>14.103899999999999</v>
      </c>
      <c r="AR141" s="2994">
        <v>17.4194</v>
      </c>
      <c r="AS141" s="2994">
        <v>12.8887</v>
      </c>
      <c r="AT141" s="2994">
        <v>12.7864</v>
      </c>
      <c r="AU141" s="2994">
        <v>14.348599999999999</v>
      </c>
      <c r="AV141" s="2994">
        <v>16.3506</v>
      </c>
      <c r="AW141" s="2994">
        <v>15.4438</v>
      </c>
      <c r="AX141" s="2994">
        <v>15.761200000000001</v>
      </c>
      <c r="AY141" s="2994">
        <v>17.600000000000001</v>
      </c>
      <c r="AZ141" s="2994">
        <v>19.382200000000001</v>
      </c>
      <c r="BA141" s="2994">
        <v>19.691400000000002</v>
      </c>
      <c r="BB141" s="2994">
        <v>20.179600000000001</v>
      </c>
      <c r="BC141" s="2994">
        <v>22.2347</v>
      </c>
      <c r="BD141" s="3471">
        <v>16.683199999999999</v>
      </c>
      <c r="BE141" s="3471">
        <v>19.3889</v>
      </c>
      <c r="BF141" s="3471">
        <v>0</v>
      </c>
    </row>
    <row r="142" spans="1:58">
      <c r="A142" s="1817" t="str">
        <f t="shared" si="5"/>
        <v>AfricaSugar beet</v>
      </c>
      <c r="B142" s="1818" t="s">
        <v>297</v>
      </c>
      <c r="C142" s="1818" t="s">
        <v>1332</v>
      </c>
      <c r="D142" s="3463" t="str">
        <f>VLOOKUP(B142,List_Yield!$G$4:$J$14,4,FALSE)</f>
        <v>Africa</v>
      </c>
      <c r="E142" s="3463" t="str">
        <f t="shared" si="4"/>
        <v>AfricaSugar beet</v>
      </c>
      <c r="F142" s="2994">
        <v>19.633299999999998</v>
      </c>
      <c r="G142" s="2994">
        <v>20.683800000000002</v>
      </c>
      <c r="H142" s="2994">
        <v>19.406300000000002</v>
      </c>
      <c r="I142" s="2994">
        <v>17.343399999999999</v>
      </c>
      <c r="J142" s="2994">
        <v>14.528499999999999</v>
      </c>
      <c r="K142" s="2994">
        <v>24.291499999999999</v>
      </c>
      <c r="L142" s="2994">
        <v>18.169</v>
      </c>
      <c r="M142" s="2994">
        <v>27.622800000000002</v>
      </c>
      <c r="N142" s="2994">
        <v>27.566700000000001</v>
      </c>
      <c r="O142" s="2994">
        <v>30.1448</v>
      </c>
      <c r="P142" s="2994">
        <v>35.930900000000001</v>
      </c>
      <c r="Q142" s="2994">
        <v>27.1128</v>
      </c>
      <c r="R142" s="2994">
        <v>27.605399999999999</v>
      </c>
      <c r="S142" s="2994">
        <v>32.639899999999997</v>
      </c>
      <c r="T142" s="2994">
        <v>27.9819</v>
      </c>
      <c r="U142" s="2994">
        <v>33.997</v>
      </c>
      <c r="V142" s="2994">
        <v>30.303899999999999</v>
      </c>
      <c r="W142" s="2994">
        <v>38.538200000000003</v>
      </c>
      <c r="X142" s="2994">
        <v>33.548699999999997</v>
      </c>
      <c r="Y142" s="2994">
        <v>34.032800000000002</v>
      </c>
      <c r="Z142" s="2994">
        <v>35.979700000000001</v>
      </c>
      <c r="AA142" s="2994">
        <v>38.713299999999997</v>
      </c>
      <c r="AB142" s="2994">
        <v>36.840800000000002</v>
      </c>
      <c r="AC142" s="2994">
        <v>43.372700000000002</v>
      </c>
      <c r="AD142" s="2994">
        <v>37.5246</v>
      </c>
      <c r="AE142" s="2994">
        <v>43.5505</v>
      </c>
      <c r="AF142" s="2994">
        <v>44.805300000000003</v>
      </c>
      <c r="AG142" s="2994">
        <v>46.962299999999999</v>
      </c>
      <c r="AH142" s="2994">
        <v>44.805500000000002</v>
      </c>
      <c r="AI142" s="2994">
        <v>45.853400000000001</v>
      </c>
      <c r="AJ142" s="2994">
        <v>46.139600000000002</v>
      </c>
      <c r="AK142" s="2994">
        <v>51.3583</v>
      </c>
      <c r="AL142" s="2994">
        <v>48.453699999999998</v>
      </c>
      <c r="AM142" s="2994">
        <v>48.921900000000001</v>
      </c>
      <c r="AN142" s="2994">
        <v>46.047600000000003</v>
      </c>
      <c r="AO142" s="2994">
        <v>46.512999999999998</v>
      </c>
      <c r="AP142" s="2994">
        <v>42.060200000000002</v>
      </c>
      <c r="AQ142" s="2994">
        <v>51.4651</v>
      </c>
      <c r="AR142" s="2994">
        <v>50.395099999999999</v>
      </c>
      <c r="AS142" s="2994">
        <v>51.936100000000003</v>
      </c>
      <c r="AT142" s="2994">
        <v>50.5062</v>
      </c>
      <c r="AU142" s="2994">
        <v>49.589599999999997</v>
      </c>
      <c r="AV142" s="2994">
        <v>50.966999999999999</v>
      </c>
      <c r="AW142" s="2994">
        <v>51.043999999999997</v>
      </c>
      <c r="AX142" s="2994">
        <v>48.1462</v>
      </c>
      <c r="AY142" s="2994">
        <v>50.594000000000001</v>
      </c>
      <c r="AZ142" s="2994">
        <v>51.331699999999998</v>
      </c>
      <c r="BA142" s="2994">
        <v>48.804900000000004</v>
      </c>
      <c r="BB142" s="2994">
        <v>50.003300000000003</v>
      </c>
      <c r="BC142" s="2994">
        <v>57.749200000000002</v>
      </c>
      <c r="BD142" s="3471">
        <v>52.724899999999998</v>
      </c>
      <c r="BE142" s="3471">
        <v>51.927399999999999</v>
      </c>
      <c r="BF142" s="3471">
        <v>53.157699999999998</v>
      </c>
    </row>
    <row r="143" spans="1:58">
      <c r="A143" s="1817" t="str">
        <f t="shared" si="5"/>
        <v>AfricaSugar cane</v>
      </c>
      <c r="B143" s="1818" t="s">
        <v>297</v>
      </c>
      <c r="C143" s="1818" t="s">
        <v>1375</v>
      </c>
      <c r="D143" s="3463" t="str">
        <f>VLOOKUP(B143,List_Yield!$G$4:$J$14,4,FALSE)</f>
        <v>Africa</v>
      </c>
      <c r="E143" s="3463" t="str">
        <f t="shared" si="4"/>
        <v>AfricaSugar cane</v>
      </c>
      <c r="F143" s="2994">
        <v>65.898799999999994</v>
      </c>
      <c r="G143" s="2994">
        <v>66.807100000000005</v>
      </c>
      <c r="H143" s="2994">
        <v>64.688199999999995</v>
      </c>
      <c r="I143" s="2994">
        <v>62.631100000000004</v>
      </c>
      <c r="J143" s="2994">
        <v>59.363300000000002</v>
      </c>
      <c r="K143" s="2994">
        <v>64.882499999999993</v>
      </c>
      <c r="L143" s="2994">
        <v>68.231200000000001</v>
      </c>
      <c r="M143" s="2994">
        <v>64.065600000000003</v>
      </c>
      <c r="N143" s="2994">
        <v>67.271699999999996</v>
      </c>
      <c r="O143" s="2994">
        <v>63.083599999999997</v>
      </c>
      <c r="P143" s="2994">
        <v>68.293599999999998</v>
      </c>
      <c r="Q143" s="2994">
        <v>70.150599999999997</v>
      </c>
      <c r="R143" s="2994">
        <v>68.082599999999999</v>
      </c>
      <c r="S143" s="2994">
        <v>66.884500000000003</v>
      </c>
      <c r="T143" s="2994">
        <v>63.945799999999998</v>
      </c>
      <c r="U143" s="2994">
        <v>67.008300000000006</v>
      </c>
      <c r="V143" s="2994">
        <v>65.750399999999999</v>
      </c>
      <c r="W143" s="2994">
        <v>65.563000000000002</v>
      </c>
      <c r="X143" s="2994">
        <v>65.456299999999999</v>
      </c>
      <c r="Y143" s="2994">
        <v>61.421399999999998</v>
      </c>
      <c r="Z143" s="2994">
        <v>65.725800000000007</v>
      </c>
      <c r="AA143" s="2994">
        <v>64.771600000000007</v>
      </c>
      <c r="AB143" s="2994">
        <v>57.898299999999999</v>
      </c>
      <c r="AC143" s="2994">
        <v>61.5623</v>
      </c>
      <c r="AD143" s="2994">
        <v>58.5092</v>
      </c>
      <c r="AE143" s="2994">
        <v>59.144100000000002</v>
      </c>
      <c r="AF143" s="2994">
        <v>60.141500000000001</v>
      </c>
      <c r="AG143" s="2994">
        <v>60.3429</v>
      </c>
      <c r="AH143" s="2994">
        <v>62.185899999999997</v>
      </c>
      <c r="AI143" s="2994">
        <v>61.079300000000003</v>
      </c>
      <c r="AJ143" s="2994">
        <v>63.554299999999998</v>
      </c>
      <c r="AK143" s="2994">
        <v>57.286700000000003</v>
      </c>
      <c r="AL143" s="2994">
        <v>54.852400000000003</v>
      </c>
      <c r="AM143" s="2994">
        <v>59.975700000000003</v>
      </c>
      <c r="AN143" s="2994">
        <v>62.171999999999997</v>
      </c>
      <c r="AO143" s="2994">
        <v>64.579499999999996</v>
      </c>
      <c r="AP143" s="2994">
        <v>66.927599999999998</v>
      </c>
      <c r="AQ143" s="2994">
        <v>67.174099999999996</v>
      </c>
      <c r="AR143" s="2994">
        <v>64.5501</v>
      </c>
      <c r="AS143" s="2994">
        <v>66.368700000000004</v>
      </c>
      <c r="AT143" s="2994">
        <v>64.827500000000001</v>
      </c>
      <c r="AU143" s="2994">
        <v>66.542400000000001</v>
      </c>
      <c r="AV143" s="2994">
        <v>65.382900000000006</v>
      </c>
      <c r="AW143" s="2994">
        <v>64.973500000000001</v>
      </c>
      <c r="AX143" s="2994">
        <v>66.432100000000005</v>
      </c>
      <c r="AY143" s="2994">
        <v>67.342799999999997</v>
      </c>
      <c r="AZ143" s="2994">
        <v>64.236099999999993</v>
      </c>
      <c r="BA143" s="2994">
        <v>64.434799999999996</v>
      </c>
      <c r="BB143" s="2994">
        <v>63.953099999999999</v>
      </c>
      <c r="BC143" s="2994">
        <v>63.501800000000003</v>
      </c>
      <c r="BD143" s="3471">
        <v>64.163799999999995</v>
      </c>
      <c r="BE143" s="3471">
        <v>62.953099999999999</v>
      </c>
      <c r="BF143" s="3471">
        <v>63.3581</v>
      </c>
    </row>
    <row r="144" spans="1:58">
      <c r="A144" s="1817" t="str">
        <f t="shared" si="5"/>
        <v>AfricaSugar crops, nes</v>
      </c>
      <c r="B144" s="1818" t="s">
        <v>297</v>
      </c>
      <c r="C144" s="1818" t="s">
        <v>7380</v>
      </c>
      <c r="D144" s="3463" t="str">
        <f>VLOOKUP(B144,List_Yield!$G$4:$J$14,4,FALSE)</f>
        <v>Africa</v>
      </c>
      <c r="E144" s="3463" t="str">
        <f t="shared" si="4"/>
        <v>AfricaSugar crops, nes</v>
      </c>
      <c r="F144" s="2994">
        <v>0</v>
      </c>
      <c r="G144" s="2994">
        <v>0</v>
      </c>
      <c r="H144" s="2994">
        <v>0</v>
      </c>
      <c r="I144" s="2994">
        <v>0</v>
      </c>
      <c r="J144" s="2994">
        <v>0</v>
      </c>
      <c r="K144" s="2994">
        <v>0</v>
      </c>
      <c r="L144" s="2994">
        <v>0</v>
      </c>
      <c r="M144" s="2994">
        <v>0</v>
      </c>
      <c r="N144" s="2994">
        <v>0</v>
      </c>
      <c r="O144" s="2994">
        <v>0</v>
      </c>
      <c r="P144" s="2994">
        <v>0</v>
      </c>
      <c r="Q144" s="2994">
        <v>0</v>
      </c>
      <c r="R144" s="2994">
        <v>0</v>
      </c>
      <c r="S144" s="2994">
        <v>0</v>
      </c>
      <c r="T144" s="2994">
        <v>0</v>
      </c>
      <c r="U144" s="2994">
        <v>0</v>
      </c>
      <c r="V144" s="2994">
        <v>0</v>
      </c>
      <c r="W144" s="2994">
        <v>0</v>
      </c>
      <c r="X144" s="2994">
        <v>0</v>
      </c>
      <c r="Y144" s="2994">
        <v>0</v>
      </c>
      <c r="Z144" s="2994">
        <v>0</v>
      </c>
      <c r="AA144" s="2994">
        <v>0</v>
      </c>
      <c r="AB144" s="2994">
        <v>0</v>
      </c>
      <c r="AC144" s="2994">
        <v>0</v>
      </c>
      <c r="AD144" s="2994">
        <v>0</v>
      </c>
      <c r="AE144" s="2994">
        <v>0</v>
      </c>
      <c r="AF144" s="2994">
        <v>0</v>
      </c>
      <c r="AG144" s="2994">
        <v>0</v>
      </c>
      <c r="AH144" s="2994">
        <v>0</v>
      </c>
      <c r="AI144" s="2994">
        <v>0</v>
      </c>
      <c r="AJ144" s="2994">
        <v>0</v>
      </c>
      <c r="AK144" s="2994">
        <v>0</v>
      </c>
      <c r="AL144" s="2994">
        <v>0</v>
      </c>
      <c r="AM144" s="2994">
        <v>0</v>
      </c>
      <c r="AN144" s="2994">
        <v>0</v>
      </c>
      <c r="AO144" s="2994">
        <v>0</v>
      </c>
      <c r="AP144" s="2994">
        <v>0</v>
      </c>
      <c r="AQ144" s="2994">
        <v>0</v>
      </c>
      <c r="AR144" s="2994">
        <v>0</v>
      </c>
      <c r="AS144" s="2994">
        <v>0</v>
      </c>
      <c r="AT144" s="2994">
        <v>0</v>
      </c>
      <c r="AU144" s="2994">
        <v>0</v>
      </c>
      <c r="AV144" s="2994">
        <v>0</v>
      </c>
      <c r="AW144" s="2994">
        <v>0</v>
      </c>
      <c r="AX144" s="2994">
        <v>0</v>
      </c>
      <c r="AY144" s="2994">
        <v>0</v>
      </c>
      <c r="AZ144" s="2994">
        <v>0</v>
      </c>
      <c r="BA144" s="2994">
        <v>0</v>
      </c>
      <c r="BB144" s="2994">
        <v>0</v>
      </c>
      <c r="BC144" s="2994">
        <v>0</v>
      </c>
      <c r="BD144" s="3471">
        <v>0</v>
      </c>
      <c r="BE144" s="3471">
        <v>0</v>
      </c>
      <c r="BF144" s="3471">
        <v>0</v>
      </c>
    </row>
    <row r="145" spans="1:58">
      <c r="A145" s="1817" t="str">
        <f t="shared" si="5"/>
        <v>AfricaSunflower seed</v>
      </c>
      <c r="B145" s="1818" t="s">
        <v>297</v>
      </c>
      <c r="C145" s="1818" t="s">
        <v>1376</v>
      </c>
      <c r="D145" s="3463" t="str">
        <f>VLOOKUP(B145,List_Yield!$G$4:$J$14,4,FALSE)</f>
        <v>Africa</v>
      </c>
      <c r="E145" s="3463" t="str">
        <f t="shared" si="4"/>
        <v>AfricaSunflower seed</v>
      </c>
      <c r="F145" s="2994">
        <v>0.56440000000000001</v>
      </c>
      <c r="G145" s="2994">
        <v>0.59550000000000003</v>
      </c>
      <c r="H145" s="2994">
        <v>0.56120000000000003</v>
      </c>
      <c r="I145" s="2994">
        <v>0.53480000000000005</v>
      </c>
      <c r="J145" s="2994">
        <v>0.51219999999999999</v>
      </c>
      <c r="K145" s="2994">
        <v>0.55100000000000005</v>
      </c>
      <c r="L145" s="2994">
        <v>0.67449999999999999</v>
      </c>
      <c r="M145" s="2994">
        <v>0.52070000000000005</v>
      </c>
      <c r="N145" s="2994">
        <v>0.52100000000000002</v>
      </c>
      <c r="O145" s="2994">
        <v>0.56879999999999997</v>
      </c>
      <c r="P145" s="2994">
        <v>0.69199999999999995</v>
      </c>
      <c r="Q145" s="2994">
        <v>0.76219999999999999</v>
      </c>
      <c r="R145" s="2994">
        <v>0.70179999999999998</v>
      </c>
      <c r="S145" s="2994">
        <v>0.90710000000000002</v>
      </c>
      <c r="T145" s="2994">
        <v>0.79049999999999998</v>
      </c>
      <c r="U145" s="2994">
        <v>0.83650000000000002</v>
      </c>
      <c r="V145" s="2994">
        <v>0.97560000000000002</v>
      </c>
      <c r="W145" s="2994">
        <v>0.76219999999999999</v>
      </c>
      <c r="X145" s="2994">
        <v>0.7893</v>
      </c>
      <c r="Y145" s="2994">
        <v>0.94650000000000001</v>
      </c>
      <c r="Z145" s="2994">
        <v>1.1852</v>
      </c>
      <c r="AA145" s="2994">
        <v>0.80420000000000003</v>
      </c>
      <c r="AB145" s="2994">
        <v>0.68169999999999997</v>
      </c>
      <c r="AC145" s="2994">
        <v>0.56659999999999999</v>
      </c>
      <c r="AD145" s="2994">
        <v>0.70760000000000001</v>
      </c>
      <c r="AE145" s="2994">
        <v>0.72160000000000002</v>
      </c>
      <c r="AF145" s="2994">
        <v>0.79690000000000005</v>
      </c>
      <c r="AG145" s="2994">
        <v>0.8</v>
      </c>
      <c r="AH145" s="2994">
        <v>0.78900000000000003</v>
      </c>
      <c r="AI145" s="2994">
        <v>0.91600000000000004</v>
      </c>
      <c r="AJ145" s="2994">
        <v>0.81359999999999999</v>
      </c>
      <c r="AK145" s="2994">
        <v>0.50390000000000001</v>
      </c>
      <c r="AL145" s="2994">
        <v>0.61360000000000003</v>
      </c>
      <c r="AM145" s="2994">
        <v>0.75029999999999997</v>
      </c>
      <c r="AN145" s="2994">
        <v>0.74409999999999998</v>
      </c>
      <c r="AO145" s="2994">
        <v>1.0003</v>
      </c>
      <c r="AP145" s="2994">
        <v>0.84289999999999998</v>
      </c>
      <c r="AQ145" s="2994">
        <v>0.92359999999999998</v>
      </c>
      <c r="AR145" s="2994">
        <v>1.1659999999999999</v>
      </c>
      <c r="AS145" s="2994">
        <v>1.0705</v>
      </c>
      <c r="AT145" s="2994">
        <v>1.0521</v>
      </c>
      <c r="AU145" s="2994">
        <v>1.1375</v>
      </c>
      <c r="AV145" s="2994">
        <v>0.96960000000000002</v>
      </c>
      <c r="AW145" s="2994">
        <v>0.99990000000000001</v>
      </c>
      <c r="AX145" s="2994">
        <v>1.006</v>
      </c>
      <c r="AY145" s="2994">
        <v>0.91869999999999996</v>
      </c>
      <c r="AZ145" s="2994">
        <v>0.84730000000000005</v>
      </c>
      <c r="BA145" s="2994">
        <v>1.1228</v>
      </c>
      <c r="BB145" s="2994">
        <v>1.0037</v>
      </c>
      <c r="BC145" s="2994">
        <v>0.99199999999999999</v>
      </c>
      <c r="BD145" s="3471">
        <v>1.1577</v>
      </c>
      <c r="BE145" s="3471">
        <v>1.1895</v>
      </c>
      <c r="BF145" s="3471">
        <v>1.1273</v>
      </c>
    </row>
    <row r="146" spans="1:58">
      <c r="A146" s="1817" t="str">
        <f t="shared" si="5"/>
        <v>AfricaSweet potatoes</v>
      </c>
      <c r="B146" s="1818" t="s">
        <v>297</v>
      </c>
      <c r="C146" s="1818" t="s">
        <v>1377</v>
      </c>
      <c r="D146" s="3463" t="str">
        <f>VLOOKUP(B146,List_Yield!$G$4:$J$14,4,FALSE)</f>
        <v>Africa</v>
      </c>
      <c r="E146" s="3463" t="str">
        <f t="shared" si="4"/>
        <v>AfricaSweet potatoes</v>
      </c>
      <c r="F146" s="2994">
        <v>5.2812000000000001</v>
      </c>
      <c r="G146" s="2994">
        <v>5.2801999999999998</v>
      </c>
      <c r="H146" s="2994">
        <v>5.1505000000000001</v>
      </c>
      <c r="I146" s="2994">
        <v>5.0537999999999998</v>
      </c>
      <c r="J146" s="2994">
        <v>4.9436</v>
      </c>
      <c r="K146" s="2994">
        <v>5.3834</v>
      </c>
      <c r="L146" s="2994">
        <v>6.0769000000000002</v>
      </c>
      <c r="M146" s="2994">
        <v>5.9462000000000002</v>
      </c>
      <c r="N146" s="2994">
        <v>4.8319999999999999</v>
      </c>
      <c r="O146" s="2994">
        <v>4.7988999999999997</v>
      </c>
      <c r="P146" s="2994">
        <v>4.2403000000000004</v>
      </c>
      <c r="Q146" s="2994">
        <v>3.8982000000000001</v>
      </c>
      <c r="R146" s="2994">
        <v>4.3032000000000004</v>
      </c>
      <c r="S146" s="2994">
        <v>4.4471999999999996</v>
      </c>
      <c r="T146" s="2994">
        <v>4.5027999999999997</v>
      </c>
      <c r="U146" s="2994">
        <v>4.5580999999999996</v>
      </c>
      <c r="V146" s="2994">
        <v>4.5929000000000002</v>
      </c>
      <c r="W146" s="2994">
        <v>4.7671000000000001</v>
      </c>
      <c r="X146" s="2994">
        <v>5.3852000000000002</v>
      </c>
      <c r="Y146" s="2994">
        <v>5.3817000000000004</v>
      </c>
      <c r="Z146" s="2994">
        <v>5.1147</v>
      </c>
      <c r="AA146" s="2994">
        <v>5.2705000000000002</v>
      </c>
      <c r="AB146" s="2994">
        <v>4.9177999999999997</v>
      </c>
      <c r="AC146" s="2994">
        <v>5.0625</v>
      </c>
      <c r="AD146" s="2994">
        <v>4.7351000000000001</v>
      </c>
      <c r="AE146" s="2994">
        <v>4.8926999999999996</v>
      </c>
      <c r="AF146" s="2994">
        <v>4.6863999999999999</v>
      </c>
      <c r="AG146" s="2994">
        <v>4.8585000000000003</v>
      </c>
      <c r="AH146" s="2994">
        <v>4.5522999999999998</v>
      </c>
      <c r="AI146" s="2994">
        <v>4.2531999999999996</v>
      </c>
      <c r="AJ146" s="2994">
        <v>4.5720999999999998</v>
      </c>
      <c r="AK146" s="2994">
        <v>4.5068999999999999</v>
      </c>
      <c r="AL146" s="2994">
        <v>4.5477999999999996</v>
      </c>
      <c r="AM146" s="2994">
        <v>4.5365000000000002</v>
      </c>
      <c r="AN146" s="2994">
        <v>4.2548000000000004</v>
      </c>
      <c r="AO146" s="2994">
        <v>3.9251999999999998</v>
      </c>
      <c r="AP146" s="2994">
        <v>4.2695999999999996</v>
      </c>
      <c r="AQ146" s="2994">
        <v>4.2779999999999996</v>
      </c>
      <c r="AR146" s="2994">
        <v>4.1010999999999997</v>
      </c>
      <c r="AS146" s="2994">
        <v>3.7757000000000001</v>
      </c>
      <c r="AT146" s="2994">
        <v>3.9912000000000001</v>
      </c>
      <c r="AU146" s="2994">
        <v>4.2618999999999998</v>
      </c>
      <c r="AV146" s="2994">
        <v>4.2713999999999999</v>
      </c>
      <c r="AW146" s="2994">
        <v>4.2492999999999999</v>
      </c>
      <c r="AX146" s="2994">
        <v>4.4943999999999997</v>
      </c>
      <c r="AY146" s="2994">
        <v>4.4732000000000003</v>
      </c>
      <c r="AZ146" s="2994">
        <v>4.3802000000000003</v>
      </c>
      <c r="BA146" s="2994">
        <v>4.9995000000000003</v>
      </c>
      <c r="BB146" s="2994">
        <v>4.4637000000000002</v>
      </c>
      <c r="BC146" s="2994">
        <v>4.8005000000000004</v>
      </c>
      <c r="BD146" s="3471">
        <v>5.0210999999999997</v>
      </c>
      <c r="BE146" s="3471">
        <v>5.1681999999999997</v>
      </c>
      <c r="BF146" s="3471">
        <v>5.3636999999999997</v>
      </c>
    </row>
    <row r="147" spans="1:58">
      <c r="A147" s="1817" t="str">
        <f t="shared" si="5"/>
        <v>AfricaTallowtree seed</v>
      </c>
      <c r="B147" s="1818" t="s">
        <v>297</v>
      </c>
      <c r="C147" s="1818" t="s">
        <v>7381</v>
      </c>
      <c r="D147" s="3463" t="str">
        <f>VLOOKUP(B147,List_Yield!$G$4:$J$14,4,FALSE)</f>
        <v>Africa</v>
      </c>
      <c r="E147" s="3463" t="str">
        <f t="shared" si="4"/>
        <v>AfricaTallowtree seed</v>
      </c>
      <c r="F147" s="2994">
        <v>0</v>
      </c>
      <c r="G147" s="2994">
        <v>0</v>
      </c>
      <c r="H147" s="2994">
        <v>0</v>
      </c>
      <c r="I147" s="2994">
        <v>0</v>
      </c>
      <c r="J147" s="2994">
        <v>0</v>
      </c>
      <c r="K147" s="2994">
        <v>0</v>
      </c>
      <c r="L147" s="2994">
        <v>0</v>
      </c>
      <c r="M147" s="2994">
        <v>0</v>
      </c>
      <c r="N147" s="2994">
        <v>0</v>
      </c>
      <c r="O147" s="2994">
        <v>0</v>
      </c>
      <c r="P147" s="2994">
        <v>0</v>
      </c>
      <c r="Q147" s="2994">
        <v>0</v>
      </c>
      <c r="R147" s="2994">
        <v>0</v>
      </c>
      <c r="S147" s="2994">
        <v>0</v>
      </c>
      <c r="T147" s="2994">
        <v>0</v>
      </c>
      <c r="U147" s="2994">
        <v>0</v>
      </c>
      <c r="V147" s="2994">
        <v>0</v>
      </c>
      <c r="W147" s="2994">
        <v>0</v>
      </c>
      <c r="X147" s="2994">
        <v>0</v>
      </c>
      <c r="Y147" s="2994">
        <v>0</v>
      </c>
      <c r="Z147" s="2994">
        <v>0</v>
      </c>
      <c r="AA147" s="2994">
        <v>0</v>
      </c>
      <c r="AB147" s="2994">
        <v>0</v>
      </c>
      <c r="AC147" s="2994">
        <v>0</v>
      </c>
      <c r="AD147" s="2994">
        <v>0</v>
      </c>
      <c r="AE147" s="2994">
        <v>0</v>
      </c>
      <c r="AF147" s="2994">
        <v>0</v>
      </c>
      <c r="AG147" s="2994">
        <v>0</v>
      </c>
      <c r="AH147" s="2994">
        <v>0</v>
      </c>
      <c r="AI147" s="2994">
        <v>0</v>
      </c>
      <c r="AJ147" s="2994">
        <v>0</v>
      </c>
      <c r="AK147" s="2994">
        <v>0</v>
      </c>
      <c r="AL147" s="2994">
        <v>0</v>
      </c>
      <c r="AM147" s="2994">
        <v>0</v>
      </c>
      <c r="AN147" s="2994">
        <v>0</v>
      </c>
      <c r="AO147" s="2994">
        <v>0</v>
      </c>
      <c r="AP147" s="2994">
        <v>0</v>
      </c>
      <c r="AQ147" s="2994">
        <v>0</v>
      </c>
      <c r="AR147" s="2994">
        <v>0</v>
      </c>
      <c r="AS147" s="2994">
        <v>0</v>
      </c>
      <c r="AT147" s="2994">
        <v>0</v>
      </c>
      <c r="AU147" s="2994">
        <v>0</v>
      </c>
      <c r="AV147" s="2994">
        <v>0</v>
      </c>
      <c r="AW147" s="2994">
        <v>0</v>
      </c>
      <c r="AX147" s="2994">
        <v>0</v>
      </c>
      <c r="AY147" s="2994">
        <v>0</v>
      </c>
      <c r="AZ147" s="2994">
        <v>0</v>
      </c>
      <c r="BA147" s="2994">
        <v>0</v>
      </c>
      <c r="BB147" s="2994">
        <v>0</v>
      </c>
      <c r="BC147" s="2994">
        <v>0</v>
      </c>
      <c r="BD147" s="3471">
        <v>0</v>
      </c>
      <c r="BE147" s="3471">
        <v>0</v>
      </c>
      <c r="BF147" s="3471">
        <v>0</v>
      </c>
    </row>
    <row r="148" spans="1:58">
      <c r="A148" s="1817" t="str">
        <f t="shared" si="5"/>
        <v>AfricaTangerines, mandarins, clementines, satsumas</v>
      </c>
      <c r="B148" s="1818" t="s">
        <v>297</v>
      </c>
      <c r="C148" s="1818" t="s">
        <v>7382</v>
      </c>
      <c r="D148" s="3463" t="str">
        <f>VLOOKUP(B148,List_Yield!$G$4:$J$14,4,FALSE)</f>
        <v>Africa</v>
      </c>
      <c r="E148" s="3463" t="str">
        <f t="shared" si="4"/>
        <v>AfricaTangerines, mandarins, clementines, satsumas</v>
      </c>
      <c r="F148" s="2994">
        <v>10.0654</v>
      </c>
      <c r="G148" s="2994">
        <v>10.918699999999999</v>
      </c>
      <c r="H148" s="2994">
        <v>10.427300000000001</v>
      </c>
      <c r="I148" s="2994">
        <v>11.274800000000001</v>
      </c>
      <c r="J148" s="2994">
        <v>11.7463</v>
      </c>
      <c r="K148" s="2994">
        <v>13.4328</v>
      </c>
      <c r="L148" s="2994">
        <v>14.725199999999999</v>
      </c>
      <c r="M148" s="2994">
        <v>14.5572</v>
      </c>
      <c r="N148" s="2994">
        <v>14.967700000000001</v>
      </c>
      <c r="O148" s="2994">
        <v>15.4686</v>
      </c>
      <c r="P148" s="2994">
        <v>16.892099999999999</v>
      </c>
      <c r="Q148" s="2994">
        <v>17.541699999999999</v>
      </c>
      <c r="R148" s="2994">
        <v>17.208500000000001</v>
      </c>
      <c r="S148" s="2994">
        <v>18.906300000000002</v>
      </c>
      <c r="T148" s="2994">
        <v>15.163399999999999</v>
      </c>
      <c r="U148" s="2994">
        <v>16.400500000000001</v>
      </c>
      <c r="V148" s="2994">
        <v>19.664200000000001</v>
      </c>
      <c r="W148" s="2994">
        <v>22.927199999999999</v>
      </c>
      <c r="X148" s="2994">
        <v>22.498100000000001</v>
      </c>
      <c r="Y148" s="2994">
        <v>20.6325</v>
      </c>
      <c r="Z148" s="2994">
        <v>21.955300000000001</v>
      </c>
      <c r="AA148" s="2994">
        <v>24.1465</v>
      </c>
      <c r="AB148" s="2994">
        <v>20.461099999999998</v>
      </c>
      <c r="AC148" s="2994">
        <v>19.209399999999999</v>
      </c>
      <c r="AD148" s="2994">
        <v>11.7654</v>
      </c>
      <c r="AE148" s="2994">
        <v>13.092599999999999</v>
      </c>
      <c r="AF148" s="2994">
        <v>11.97</v>
      </c>
      <c r="AG148" s="2994">
        <v>12.155099999999999</v>
      </c>
      <c r="AH148" s="2994">
        <v>14.4886</v>
      </c>
      <c r="AI148" s="2994">
        <v>11.038600000000001</v>
      </c>
      <c r="AJ148" s="2994">
        <v>12.554600000000001</v>
      </c>
      <c r="AK148" s="2994">
        <v>11.023899999999999</v>
      </c>
      <c r="AL148" s="2994">
        <v>9.8328000000000007</v>
      </c>
      <c r="AM148" s="2994">
        <v>12.415900000000001</v>
      </c>
      <c r="AN148" s="2994">
        <v>11.6845</v>
      </c>
      <c r="AO148" s="2994">
        <v>13.847899999999999</v>
      </c>
      <c r="AP148" s="2994">
        <v>13.631</v>
      </c>
      <c r="AQ148" s="2994">
        <v>14.2834</v>
      </c>
      <c r="AR148" s="2994">
        <v>14.994300000000001</v>
      </c>
      <c r="AS148" s="2994">
        <v>15.1256</v>
      </c>
      <c r="AT148" s="2994">
        <v>13.1043</v>
      </c>
      <c r="AU148" s="2994">
        <v>14.507999999999999</v>
      </c>
      <c r="AV148" s="2994">
        <v>15.503500000000001</v>
      </c>
      <c r="AW148" s="2994">
        <v>15.2095</v>
      </c>
      <c r="AX148" s="2994">
        <v>16.4727</v>
      </c>
      <c r="AY148" s="2994">
        <v>16.2456</v>
      </c>
      <c r="AZ148" s="2994">
        <v>15.486800000000001</v>
      </c>
      <c r="BA148" s="2994">
        <v>15.302099999999999</v>
      </c>
      <c r="BB148" s="2994">
        <v>16.631499999999999</v>
      </c>
      <c r="BC148" s="2994">
        <v>14.0123</v>
      </c>
      <c r="BD148" s="3471">
        <v>16.874099999999999</v>
      </c>
      <c r="BE148" s="3471">
        <v>17.478400000000001</v>
      </c>
      <c r="BF148" s="3471">
        <v>0</v>
      </c>
    </row>
    <row r="149" spans="1:58">
      <c r="A149" s="1817" t="str">
        <f t="shared" si="5"/>
        <v>AfricaTaro (cocoyam)</v>
      </c>
      <c r="B149" s="1818" t="s">
        <v>297</v>
      </c>
      <c r="C149" s="1818" t="s">
        <v>7383</v>
      </c>
      <c r="D149" s="3463" t="str">
        <f>VLOOKUP(B149,List_Yield!$G$4:$J$14,4,FALSE)</f>
        <v>Africa</v>
      </c>
      <c r="E149" s="3463" t="str">
        <f t="shared" si="4"/>
        <v>AfricaTaro (cocoyam)</v>
      </c>
      <c r="F149" s="2994">
        <v>4.8287000000000004</v>
      </c>
      <c r="G149" s="2994">
        <v>4.6707999999999998</v>
      </c>
      <c r="H149" s="2994">
        <v>4.8292999999999999</v>
      </c>
      <c r="I149" s="2994">
        <v>4.5915999999999997</v>
      </c>
      <c r="J149" s="2994">
        <v>4.7675000000000001</v>
      </c>
      <c r="K149" s="2994">
        <v>4.8654999999999999</v>
      </c>
      <c r="L149" s="2994">
        <v>4.4207999999999998</v>
      </c>
      <c r="M149" s="2994">
        <v>4.4138999999999999</v>
      </c>
      <c r="N149" s="2994">
        <v>4.4976000000000003</v>
      </c>
      <c r="O149" s="2994">
        <v>3.6284999999999998</v>
      </c>
      <c r="P149" s="2994">
        <v>3.4371</v>
      </c>
      <c r="Q149" s="2994">
        <v>3.3536999999999999</v>
      </c>
      <c r="R149" s="2994">
        <v>3.6244999999999998</v>
      </c>
      <c r="S149" s="2994">
        <v>3.4203999999999999</v>
      </c>
      <c r="T149" s="2994">
        <v>3.2654000000000001</v>
      </c>
      <c r="U149" s="2994">
        <v>3.0611000000000002</v>
      </c>
      <c r="V149" s="2994">
        <v>2.9864999999999999</v>
      </c>
      <c r="W149" s="2994">
        <v>2.6871</v>
      </c>
      <c r="X149" s="2994">
        <v>2.6518999999999999</v>
      </c>
      <c r="Y149" s="2994">
        <v>3.2827999999999999</v>
      </c>
      <c r="Z149" s="2994">
        <v>3.2189000000000001</v>
      </c>
      <c r="AA149" s="2994">
        <v>3.1202999999999999</v>
      </c>
      <c r="AB149" s="2994">
        <v>3.5185</v>
      </c>
      <c r="AC149" s="2994">
        <v>2.4352</v>
      </c>
      <c r="AD149" s="2994">
        <v>2.8833000000000002</v>
      </c>
      <c r="AE149" s="2994">
        <v>3.5472999999999999</v>
      </c>
      <c r="AF149" s="2994">
        <v>3.6038999999999999</v>
      </c>
      <c r="AG149" s="2994">
        <v>4.1314000000000002</v>
      </c>
      <c r="AH149" s="2994">
        <v>3.9020999999999999</v>
      </c>
      <c r="AI149" s="2994">
        <v>3.5884999999999998</v>
      </c>
      <c r="AJ149" s="2994">
        <v>4.0362</v>
      </c>
      <c r="AK149" s="2994">
        <v>3.8033000000000001</v>
      </c>
      <c r="AL149" s="2994">
        <v>3.9386000000000001</v>
      </c>
      <c r="AM149" s="2994">
        <v>3.8555000000000001</v>
      </c>
      <c r="AN149" s="2994">
        <v>4.0282</v>
      </c>
      <c r="AO149" s="2994">
        <v>4.2736000000000001</v>
      </c>
      <c r="AP149" s="2994">
        <v>5.9233000000000002</v>
      </c>
      <c r="AQ149" s="2994">
        <v>6.1576000000000004</v>
      </c>
      <c r="AR149" s="2994">
        <v>6.0675999999999997</v>
      </c>
      <c r="AS149" s="2994">
        <v>6.0781000000000001</v>
      </c>
      <c r="AT149" s="2994">
        <v>5.9813999999999998</v>
      </c>
      <c r="AU149" s="2994">
        <v>6.0871000000000004</v>
      </c>
      <c r="AV149" s="2994">
        <v>6.2638999999999996</v>
      </c>
      <c r="AW149" s="2994">
        <v>6.4276</v>
      </c>
      <c r="AX149" s="2994">
        <v>6.6957000000000004</v>
      </c>
      <c r="AY149" s="2994">
        <v>6.7164999999999999</v>
      </c>
      <c r="AZ149" s="2994">
        <v>6.3940000000000001</v>
      </c>
      <c r="BA149" s="2994">
        <v>7.0041000000000002</v>
      </c>
      <c r="BB149" s="2994">
        <v>6.2375999999999996</v>
      </c>
      <c r="BC149" s="2994">
        <v>5.9260000000000002</v>
      </c>
      <c r="BD149" s="3471">
        <v>6.5773999999999999</v>
      </c>
      <c r="BE149" s="3471">
        <v>6.6025</v>
      </c>
      <c r="BF149" s="3471">
        <v>6.5707000000000004</v>
      </c>
    </row>
    <row r="150" spans="1:58">
      <c r="A150" s="1817" t="str">
        <f t="shared" si="5"/>
        <v>AfricaTea</v>
      </c>
      <c r="B150" s="1818" t="s">
        <v>297</v>
      </c>
      <c r="C150" s="1818" t="s">
        <v>1379</v>
      </c>
      <c r="D150" s="3463" t="str">
        <f>VLOOKUP(B150,List_Yield!$G$4:$J$14,4,FALSE)</f>
        <v>Africa</v>
      </c>
      <c r="E150" s="3463" t="str">
        <f t="shared" si="4"/>
        <v>AfricaTea</v>
      </c>
      <c r="F150" s="2994">
        <v>0.8538</v>
      </c>
      <c r="G150" s="2994">
        <v>0.84040000000000004</v>
      </c>
      <c r="H150" s="2994">
        <v>0.83819999999999995</v>
      </c>
      <c r="I150" s="2994">
        <v>0.8649</v>
      </c>
      <c r="J150" s="2994">
        <v>0.89670000000000005</v>
      </c>
      <c r="K150" s="2994">
        <v>1.0489999999999999</v>
      </c>
      <c r="L150" s="2994">
        <v>0.95440000000000003</v>
      </c>
      <c r="M150" s="2994">
        <v>1.0329999999999999</v>
      </c>
      <c r="N150" s="2994">
        <v>1.0710999999999999</v>
      </c>
      <c r="O150" s="2994">
        <v>1.0557000000000001</v>
      </c>
      <c r="P150" s="2994">
        <v>0.96030000000000004</v>
      </c>
      <c r="Q150" s="2994">
        <v>1.1356999999999999</v>
      </c>
      <c r="R150" s="2994">
        <v>1.1102000000000001</v>
      </c>
      <c r="S150" s="2994">
        <v>1.0421</v>
      </c>
      <c r="T150" s="2994">
        <v>1.0277000000000001</v>
      </c>
      <c r="U150" s="2994">
        <v>1.0069999999999999</v>
      </c>
      <c r="V150" s="2994">
        <v>1.1605000000000001</v>
      </c>
      <c r="W150" s="2994">
        <v>1.1402000000000001</v>
      </c>
      <c r="X150" s="2994">
        <v>1.2285999999999999</v>
      </c>
      <c r="Y150" s="2994">
        <v>1.1798999999999999</v>
      </c>
      <c r="Z150" s="2994">
        <v>1.1669</v>
      </c>
      <c r="AA150" s="2994">
        <v>1.2511000000000001</v>
      </c>
      <c r="AB150" s="2994">
        <v>1.3043</v>
      </c>
      <c r="AC150" s="2994">
        <v>1.3481000000000001</v>
      </c>
      <c r="AD150" s="2994">
        <v>1.5392999999999999</v>
      </c>
      <c r="AE150" s="2994">
        <v>1.5278</v>
      </c>
      <c r="AF150" s="2994">
        <v>1.5598000000000001</v>
      </c>
      <c r="AG150" s="2994">
        <v>1.6429</v>
      </c>
      <c r="AH150" s="2994">
        <v>1.7519</v>
      </c>
      <c r="AI150" s="2994">
        <v>1.7154</v>
      </c>
      <c r="AJ150" s="2994">
        <v>1.6311</v>
      </c>
      <c r="AK150" s="2994">
        <v>1.4984</v>
      </c>
      <c r="AL150" s="2994">
        <v>1.6817</v>
      </c>
      <c r="AM150" s="2994">
        <v>1.62</v>
      </c>
      <c r="AN150" s="2994">
        <v>1.774</v>
      </c>
      <c r="AO150" s="2994">
        <v>1.8241000000000001</v>
      </c>
      <c r="AP150" s="2994">
        <v>1.6435999999999999</v>
      </c>
      <c r="AQ150" s="2994">
        <v>2.0465</v>
      </c>
      <c r="AR150" s="2994">
        <v>1.8587</v>
      </c>
      <c r="AS150" s="2994">
        <v>1.8369</v>
      </c>
      <c r="AT150" s="2994">
        <v>2.0491999999999999</v>
      </c>
      <c r="AU150" s="2994">
        <v>1.9151</v>
      </c>
      <c r="AV150" s="2994">
        <v>1.9922</v>
      </c>
      <c r="AW150" s="2994">
        <v>2.0756999999999999</v>
      </c>
      <c r="AX150" s="2994">
        <v>2.0657999999999999</v>
      </c>
      <c r="AY150" s="2994">
        <v>1.911</v>
      </c>
      <c r="AZ150" s="2994">
        <v>2.1739000000000002</v>
      </c>
      <c r="BA150" s="2994">
        <v>1.9702999999999999</v>
      </c>
      <c r="BB150" s="2994">
        <v>1.8440000000000001</v>
      </c>
      <c r="BC150" s="2994">
        <v>2.0855000000000001</v>
      </c>
      <c r="BD150" s="3471">
        <v>1.8855999999999999</v>
      </c>
      <c r="BE150" s="3471">
        <v>1.8935999999999999</v>
      </c>
      <c r="BF150" s="3471">
        <v>0</v>
      </c>
    </row>
    <row r="151" spans="1:58">
      <c r="A151" s="1817" t="str">
        <f t="shared" si="5"/>
        <v>AfricaTobacco, unmanufactured</v>
      </c>
      <c r="B151" s="1818" t="s">
        <v>297</v>
      </c>
      <c r="C151" s="1818" t="s">
        <v>1321</v>
      </c>
      <c r="D151" s="3463" t="str">
        <f>VLOOKUP(B151,List_Yield!$G$4:$J$14,4,FALSE)</f>
        <v>Africa</v>
      </c>
      <c r="E151" s="3463" t="str">
        <f t="shared" si="4"/>
        <v>AfricaTobacco, unmanufactured</v>
      </c>
      <c r="F151" s="2994">
        <v>0.75849999999999995</v>
      </c>
      <c r="G151" s="2994">
        <v>0.75529999999999997</v>
      </c>
      <c r="H151" s="2994">
        <v>0.62619999999999998</v>
      </c>
      <c r="I151" s="2994">
        <v>0.88580000000000003</v>
      </c>
      <c r="J151" s="2994">
        <v>0.7752</v>
      </c>
      <c r="K151" s="2994">
        <v>0.90439999999999998</v>
      </c>
      <c r="L151" s="2994">
        <v>0.83379999999999999</v>
      </c>
      <c r="M151" s="2994">
        <v>0.79190000000000005</v>
      </c>
      <c r="N151" s="2994">
        <v>0.99929999999999997</v>
      </c>
      <c r="O151" s="2994">
        <v>0.73029999999999995</v>
      </c>
      <c r="P151" s="2994">
        <v>0.78280000000000005</v>
      </c>
      <c r="Q151" s="2994">
        <v>0.7742</v>
      </c>
      <c r="R151" s="2994">
        <v>0.8054</v>
      </c>
      <c r="S151" s="2994">
        <v>0.7792</v>
      </c>
      <c r="T151" s="2994">
        <v>0.81069999999999998</v>
      </c>
      <c r="U151" s="2994">
        <v>0.90090000000000003</v>
      </c>
      <c r="V151" s="2994">
        <v>0.87119999999999997</v>
      </c>
      <c r="W151" s="2994">
        <v>0.83</v>
      </c>
      <c r="X151" s="2994">
        <v>0.96509999999999996</v>
      </c>
      <c r="Y151" s="2994">
        <v>1.0116000000000001</v>
      </c>
      <c r="Z151" s="2994">
        <v>0.91710000000000003</v>
      </c>
      <c r="AA151" s="2994">
        <v>0.99270000000000003</v>
      </c>
      <c r="AB151" s="2994">
        <v>0.94110000000000005</v>
      </c>
      <c r="AC151" s="2994">
        <v>1.0575000000000001</v>
      </c>
      <c r="AD151" s="2994">
        <v>0.98050000000000004</v>
      </c>
      <c r="AE151" s="2994">
        <v>0.97640000000000005</v>
      </c>
      <c r="AF151" s="2994">
        <v>0.99429999999999996</v>
      </c>
      <c r="AG151" s="2994">
        <v>1.0328999999999999</v>
      </c>
      <c r="AH151" s="2994">
        <v>1.1595</v>
      </c>
      <c r="AI151" s="2994">
        <v>1.1513</v>
      </c>
      <c r="AJ151" s="2994">
        <v>1.2043999999999999</v>
      </c>
      <c r="AK151" s="2994">
        <v>1.1919</v>
      </c>
      <c r="AL151" s="2994">
        <v>1.1673</v>
      </c>
      <c r="AM151" s="2994">
        <v>1.2225999999999999</v>
      </c>
      <c r="AN151" s="2994">
        <v>1.274</v>
      </c>
      <c r="AO151" s="2994">
        <v>1.2281</v>
      </c>
      <c r="AP151" s="2994">
        <v>1.3088</v>
      </c>
      <c r="AQ151" s="2994">
        <v>1.3726</v>
      </c>
      <c r="AR151" s="2994">
        <v>1.1319999999999999</v>
      </c>
      <c r="AS151" s="2994">
        <v>1.2134</v>
      </c>
      <c r="AT151" s="2994">
        <v>1.2037</v>
      </c>
      <c r="AU151" s="2994">
        <v>1.18</v>
      </c>
      <c r="AV151" s="2994">
        <v>1.1068</v>
      </c>
      <c r="AW151" s="2994">
        <v>1.0193000000000001</v>
      </c>
      <c r="AX151" s="2994">
        <v>1.0902000000000001</v>
      </c>
      <c r="AY151" s="2994">
        <v>1.0053000000000001</v>
      </c>
      <c r="AZ151" s="2994">
        <v>1.1644000000000001</v>
      </c>
      <c r="BA151" s="2994">
        <v>1.0216000000000001</v>
      </c>
      <c r="BB151" s="2994">
        <v>1.0082</v>
      </c>
      <c r="BC151" s="2994">
        <v>1.01</v>
      </c>
      <c r="BD151" s="3471">
        <v>0.99709999999999999</v>
      </c>
      <c r="BE151" s="3471">
        <v>0.98229999999999995</v>
      </c>
      <c r="BF151" s="3471">
        <v>0</v>
      </c>
    </row>
    <row r="152" spans="1:58">
      <c r="A152" s="1817" t="str">
        <f t="shared" si="5"/>
        <v>AfricaTomatoes</v>
      </c>
      <c r="B152" s="1818" t="s">
        <v>297</v>
      </c>
      <c r="C152" s="1818" t="s">
        <v>1380</v>
      </c>
      <c r="D152" s="3463" t="str">
        <f>VLOOKUP(B152,List_Yield!$G$4:$J$14,4,FALSE)</f>
        <v>Africa</v>
      </c>
      <c r="E152" s="3463" t="str">
        <f t="shared" si="4"/>
        <v>AfricaTomatoes</v>
      </c>
      <c r="F152" s="2994">
        <v>12.336499999999999</v>
      </c>
      <c r="G152" s="2994">
        <v>12.962899999999999</v>
      </c>
      <c r="H152" s="2994">
        <v>12.888400000000001</v>
      </c>
      <c r="I152" s="2994">
        <v>13.1953</v>
      </c>
      <c r="J152" s="2994">
        <v>13.452500000000001</v>
      </c>
      <c r="K152" s="2994">
        <v>13.2691</v>
      </c>
      <c r="L152" s="2994">
        <v>12.445</v>
      </c>
      <c r="M152" s="2994">
        <v>12.7056</v>
      </c>
      <c r="N152" s="2994">
        <v>13.228400000000001</v>
      </c>
      <c r="O152" s="2994">
        <v>12.8909</v>
      </c>
      <c r="P152" s="2994">
        <v>12.7288</v>
      </c>
      <c r="Q152" s="2994">
        <v>12.302300000000001</v>
      </c>
      <c r="R152" s="2994">
        <v>11.9529</v>
      </c>
      <c r="S152" s="2994">
        <v>12.885899999999999</v>
      </c>
      <c r="T152" s="2994">
        <v>14.1204</v>
      </c>
      <c r="U152" s="2994">
        <v>13.5572</v>
      </c>
      <c r="V152" s="2994">
        <v>13.8969</v>
      </c>
      <c r="W152" s="2994">
        <v>13.705299999999999</v>
      </c>
      <c r="X152" s="2994">
        <v>13.900600000000001</v>
      </c>
      <c r="Y152" s="2994">
        <v>14.9193</v>
      </c>
      <c r="Z152" s="2994">
        <v>14.928100000000001</v>
      </c>
      <c r="AA152" s="2994">
        <v>15.227600000000001</v>
      </c>
      <c r="AB152" s="2994">
        <v>15.132099999999999</v>
      </c>
      <c r="AC152" s="2994">
        <v>15.8873</v>
      </c>
      <c r="AD152" s="2994">
        <v>17.130099999999999</v>
      </c>
      <c r="AE152" s="2994">
        <v>18.798400000000001</v>
      </c>
      <c r="AF152" s="2994">
        <v>19.867000000000001</v>
      </c>
      <c r="AG152" s="2994">
        <v>17.6433</v>
      </c>
      <c r="AH152" s="2994">
        <v>17.264700000000001</v>
      </c>
      <c r="AI152" s="2994">
        <v>18.563800000000001</v>
      </c>
      <c r="AJ152" s="2994">
        <v>18.421199999999999</v>
      </c>
      <c r="AK152" s="2994">
        <v>19.805099999999999</v>
      </c>
      <c r="AL152" s="2994">
        <v>19.821899999999999</v>
      </c>
      <c r="AM152" s="2994">
        <v>19.325800000000001</v>
      </c>
      <c r="AN152" s="2994">
        <v>20.049099999999999</v>
      </c>
      <c r="AO152" s="2994">
        <v>21.145</v>
      </c>
      <c r="AP152" s="2994">
        <v>19.809100000000001</v>
      </c>
      <c r="AQ152" s="2994">
        <v>19.273399999999999</v>
      </c>
      <c r="AR152" s="2994">
        <v>20.245699999999999</v>
      </c>
      <c r="AS152" s="2994">
        <v>18.3202</v>
      </c>
      <c r="AT152" s="2994">
        <v>18.47</v>
      </c>
      <c r="AU152" s="2994">
        <v>18.301400000000001</v>
      </c>
      <c r="AV152" s="2994">
        <v>19.1953</v>
      </c>
      <c r="AW152" s="2994">
        <v>20.135100000000001</v>
      </c>
      <c r="AX152" s="2994">
        <v>19.647200000000002</v>
      </c>
      <c r="AY152" s="2994">
        <v>20.7986</v>
      </c>
      <c r="AZ152" s="2994">
        <v>20.5288</v>
      </c>
      <c r="BA152" s="2994">
        <v>20.16</v>
      </c>
      <c r="BB152" s="2994">
        <v>19.677800000000001</v>
      </c>
      <c r="BC152" s="2994">
        <v>18.329799999999999</v>
      </c>
      <c r="BD152" s="3471">
        <v>18.972200000000001</v>
      </c>
      <c r="BE152" s="3471">
        <v>17.749600000000001</v>
      </c>
      <c r="BF152" s="3471">
        <v>0</v>
      </c>
    </row>
    <row r="153" spans="1:58">
      <c r="A153" s="1817" t="str">
        <f t="shared" si="5"/>
        <v>AfricaTriticale</v>
      </c>
      <c r="B153" s="1818" t="s">
        <v>297</v>
      </c>
      <c r="C153" s="1818" t="s">
        <v>1335</v>
      </c>
      <c r="D153" s="3463" t="str">
        <f>VLOOKUP(B153,List_Yield!$G$4:$J$14,4,FALSE)</f>
        <v>Africa</v>
      </c>
      <c r="E153" s="3463" t="str">
        <f t="shared" si="4"/>
        <v>AfricaTriticale</v>
      </c>
      <c r="F153" s="2994">
        <v>0</v>
      </c>
      <c r="G153" s="2994">
        <v>0</v>
      </c>
      <c r="H153" s="2994">
        <v>0</v>
      </c>
      <c r="I153" s="2994">
        <v>0</v>
      </c>
      <c r="J153" s="2994">
        <v>0</v>
      </c>
      <c r="K153" s="2994">
        <v>0</v>
      </c>
      <c r="L153" s="2994">
        <v>0</v>
      </c>
      <c r="M153" s="2994">
        <v>0</v>
      </c>
      <c r="N153" s="2994">
        <v>0</v>
      </c>
      <c r="O153" s="2994">
        <v>0</v>
      </c>
      <c r="P153" s="2994">
        <v>0</v>
      </c>
      <c r="Q153" s="2994">
        <v>0</v>
      </c>
      <c r="R153" s="2994">
        <v>0</v>
      </c>
      <c r="S153" s="2994">
        <v>0</v>
      </c>
      <c r="T153" s="2994">
        <v>0</v>
      </c>
      <c r="U153" s="2994">
        <v>0</v>
      </c>
      <c r="V153" s="2994">
        <v>0</v>
      </c>
      <c r="W153" s="2994">
        <v>0</v>
      </c>
      <c r="X153" s="2994">
        <v>0</v>
      </c>
      <c r="Y153" s="2994">
        <v>0</v>
      </c>
      <c r="Z153" s="2994">
        <v>0</v>
      </c>
      <c r="AA153" s="2994">
        <v>0</v>
      </c>
      <c r="AB153" s="2994">
        <v>0</v>
      </c>
      <c r="AC153" s="2994">
        <v>0</v>
      </c>
      <c r="AD153" s="2994">
        <v>0</v>
      </c>
      <c r="AE153" s="2994">
        <v>0</v>
      </c>
      <c r="AF153" s="2994">
        <v>0</v>
      </c>
      <c r="AG153" s="2994">
        <v>1</v>
      </c>
      <c r="AH153" s="2994">
        <v>1.2016</v>
      </c>
      <c r="AI153" s="2994">
        <v>2.1795</v>
      </c>
      <c r="AJ153" s="2994">
        <v>2.6945999999999999</v>
      </c>
      <c r="AK153" s="2994">
        <v>2.6172</v>
      </c>
      <c r="AL153" s="2994">
        <v>1.9589000000000001</v>
      </c>
      <c r="AM153" s="2994">
        <v>0.91339999999999999</v>
      </c>
      <c r="AN153" s="2994">
        <v>1.5049999999999999</v>
      </c>
      <c r="AO153" s="2994">
        <v>2.4979</v>
      </c>
      <c r="AP153" s="2994">
        <v>1.5123</v>
      </c>
      <c r="AQ153" s="2994">
        <v>2.2067000000000001</v>
      </c>
      <c r="AR153" s="2994">
        <v>1.7471000000000001</v>
      </c>
      <c r="AS153" s="2994">
        <v>1.4476</v>
      </c>
      <c r="AT153" s="2994">
        <v>1.4955000000000001</v>
      </c>
      <c r="AU153" s="2994">
        <v>0.5</v>
      </c>
      <c r="AV153" s="2994">
        <v>2.3332999999999999</v>
      </c>
      <c r="AW153" s="2994">
        <v>1.6</v>
      </c>
      <c r="AX153" s="2994">
        <v>1.6667000000000001</v>
      </c>
      <c r="AY153" s="2994">
        <v>1.8667</v>
      </c>
      <c r="AZ153" s="2994">
        <v>2.1</v>
      </c>
      <c r="BA153" s="2994">
        <v>2.0821999999999998</v>
      </c>
      <c r="BB153" s="2994">
        <v>2.4037999999999999</v>
      </c>
      <c r="BC153" s="2994">
        <v>2.101</v>
      </c>
      <c r="BD153" s="3471">
        <v>2.3172999999999999</v>
      </c>
      <c r="BE153" s="3471">
        <v>2.0076999999999998</v>
      </c>
      <c r="BF153" s="3471">
        <v>2.0076999999999998</v>
      </c>
    </row>
    <row r="154" spans="1:58">
      <c r="A154" s="1817" t="str">
        <f t="shared" si="5"/>
        <v>AfricaTung nuts</v>
      </c>
      <c r="B154" s="1818" t="s">
        <v>297</v>
      </c>
      <c r="C154" s="1818" t="s">
        <v>7384</v>
      </c>
      <c r="D154" s="3463" t="str">
        <f>VLOOKUP(B154,List_Yield!$G$4:$J$14,4,FALSE)</f>
        <v>Africa</v>
      </c>
      <c r="E154" s="3463" t="str">
        <f t="shared" si="4"/>
        <v>AfricaTung nuts</v>
      </c>
      <c r="F154" s="2994">
        <v>0.91349999999999998</v>
      </c>
      <c r="G154" s="2994">
        <v>0.73409999999999997</v>
      </c>
      <c r="H154" s="2994">
        <v>0.89329999999999998</v>
      </c>
      <c r="I154" s="2994">
        <v>0.92500000000000004</v>
      </c>
      <c r="J154" s="2994">
        <v>1.0599000000000001</v>
      </c>
      <c r="K154" s="2994">
        <v>0.93059999999999998</v>
      </c>
      <c r="L154" s="2994">
        <v>1.0036</v>
      </c>
      <c r="M154" s="2994">
        <v>0.71760000000000002</v>
      </c>
      <c r="N154" s="2994">
        <v>0.74490000000000001</v>
      </c>
      <c r="O154" s="2994">
        <v>0.83730000000000004</v>
      </c>
      <c r="P154" s="2994">
        <v>0.76439999999999997</v>
      </c>
      <c r="Q154" s="2994">
        <v>0.60029999999999994</v>
      </c>
      <c r="R154" s="2994">
        <v>0.59970000000000001</v>
      </c>
      <c r="S154" s="2994">
        <v>0.56899999999999995</v>
      </c>
      <c r="T154" s="2994">
        <v>0.77210000000000001</v>
      </c>
      <c r="U154" s="2994">
        <v>0.54139999999999999</v>
      </c>
      <c r="V154" s="2994">
        <v>0.54310000000000003</v>
      </c>
      <c r="W154" s="2994">
        <v>0.54490000000000005</v>
      </c>
      <c r="X154" s="2994">
        <v>0.53490000000000004</v>
      </c>
      <c r="Y154" s="2994">
        <v>0.56220000000000003</v>
      </c>
      <c r="Z154" s="2994">
        <v>0.56230000000000002</v>
      </c>
      <c r="AA154" s="2994">
        <v>0.55359999999999998</v>
      </c>
      <c r="AB154" s="2994">
        <v>0.56899999999999995</v>
      </c>
      <c r="AC154" s="2994">
        <v>0.58330000000000004</v>
      </c>
      <c r="AD154" s="2994">
        <v>0.58330000000000004</v>
      </c>
      <c r="AE154" s="2994">
        <v>0.59019999999999995</v>
      </c>
      <c r="AF154" s="2994">
        <v>0.5968</v>
      </c>
      <c r="AG154" s="2994">
        <v>0.60319999999999996</v>
      </c>
      <c r="AH154" s="2994">
        <v>0.61539999999999995</v>
      </c>
      <c r="AI154" s="2994">
        <v>0.5665</v>
      </c>
      <c r="AJ154" s="2994">
        <v>0.56369999999999998</v>
      </c>
      <c r="AK154" s="2994">
        <v>0.622</v>
      </c>
      <c r="AL154" s="2994">
        <v>0.62690000000000001</v>
      </c>
      <c r="AM154" s="2994">
        <v>0.60940000000000005</v>
      </c>
      <c r="AN154" s="2994">
        <v>0.62119999999999997</v>
      </c>
      <c r="AO154" s="2994">
        <v>0.63239999999999996</v>
      </c>
      <c r="AP154" s="2994">
        <v>0.63239999999999996</v>
      </c>
      <c r="AQ154" s="2994">
        <v>0.63770000000000004</v>
      </c>
      <c r="AR154" s="2994">
        <v>0.64790000000000003</v>
      </c>
      <c r="AS154" s="2994">
        <v>0.61609999999999998</v>
      </c>
      <c r="AT154" s="2994">
        <v>0.63229999999999997</v>
      </c>
      <c r="AU154" s="2994">
        <v>0.61550000000000005</v>
      </c>
      <c r="AV154" s="2994">
        <v>0.62929999999999997</v>
      </c>
      <c r="AW154" s="2994">
        <v>0.64790000000000003</v>
      </c>
      <c r="AX154" s="2994">
        <v>0.65039999999999998</v>
      </c>
      <c r="AY154" s="2994">
        <v>0.78639999999999999</v>
      </c>
      <c r="AZ154" s="2994">
        <v>0.85950000000000004</v>
      </c>
      <c r="BA154" s="2994">
        <v>0.83250000000000002</v>
      </c>
      <c r="BB154" s="2994">
        <v>0.82709999999999995</v>
      </c>
      <c r="BC154" s="2994">
        <v>0.85850000000000004</v>
      </c>
      <c r="BD154" s="3471">
        <v>0.84509999999999996</v>
      </c>
      <c r="BE154" s="3471">
        <v>0.85809999999999997</v>
      </c>
      <c r="BF154" s="3471">
        <v>0.85899999999999999</v>
      </c>
    </row>
    <row r="155" spans="1:58">
      <c r="A155" s="1817" t="str">
        <f t="shared" si="5"/>
        <v>AfricaVanilla</v>
      </c>
      <c r="B155" s="1818" t="s">
        <v>297</v>
      </c>
      <c r="C155" s="1818" t="s">
        <v>7385</v>
      </c>
      <c r="D155" s="3463" t="str">
        <f>VLOOKUP(B155,List_Yield!$G$4:$J$14,4,FALSE)</f>
        <v>Africa</v>
      </c>
      <c r="E155" s="3463" t="str">
        <f t="shared" si="4"/>
        <v>AfricaVanilla</v>
      </c>
      <c r="F155" s="2994">
        <v>0.12959999999999999</v>
      </c>
      <c r="G155" s="2994">
        <v>0.10249999999999999</v>
      </c>
      <c r="H155" s="2994">
        <v>0.17169999999999999</v>
      </c>
      <c r="I155" s="2994">
        <v>0.18429999999999999</v>
      </c>
      <c r="J155" s="2994">
        <v>0.1789</v>
      </c>
      <c r="K155" s="2994">
        <v>0.21870000000000001</v>
      </c>
      <c r="L155" s="2994">
        <v>0.22040000000000001</v>
      </c>
      <c r="M155" s="2994">
        <v>0.16700000000000001</v>
      </c>
      <c r="N155" s="2994">
        <v>0.22339999999999999</v>
      </c>
      <c r="O155" s="2994">
        <v>0.19159999999999999</v>
      </c>
      <c r="P155" s="2994">
        <v>0.26669999999999999</v>
      </c>
      <c r="Q155" s="2994">
        <v>0.18440000000000001</v>
      </c>
      <c r="R155" s="2994">
        <v>0.1489</v>
      </c>
      <c r="S155" s="2994">
        <v>0.21879999999999999</v>
      </c>
      <c r="T155" s="2994">
        <v>0.23719999999999999</v>
      </c>
      <c r="U155" s="2994">
        <v>0.1128</v>
      </c>
      <c r="V155" s="2994">
        <v>0.15870000000000001</v>
      </c>
      <c r="W155" s="2994">
        <v>0.15629999999999999</v>
      </c>
      <c r="X155" s="2994">
        <v>9.8199999999999996E-2</v>
      </c>
      <c r="Y155" s="2994">
        <v>4.4600000000000001E-2</v>
      </c>
      <c r="Z155" s="2994">
        <v>6.3600000000000004E-2</v>
      </c>
      <c r="AA155" s="2994">
        <v>8.1799999999999998E-2</v>
      </c>
      <c r="AB155" s="2994">
        <v>7.4899999999999994E-2</v>
      </c>
      <c r="AC155" s="2994">
        <v>9.3200000000000005E-2</v>
      </c>
      <c r="AD155" s="2994">
        <v>5.9200000000000003E-2</v>
      </c>
      <c r="AE155" s="2994">
        <v>3.2399999999999998E-2</v>
      </c>
      <c r="AF155" s="2994">
        <v>6.3399999999999998E-2</v>
      </c>
      <c r="AG155" s="2994">
        <v>6.4100000000000004E-2</v>
      </c>
      <c r="AH155" s="2994">
        <v>5.9200000000000003E-2</v>
      </c>
      <c r="AI155" s="2994">
        <v>4.02E-2</v>
      </c>
      <c r="AJ155" s="2994">
        <v>4.87E-2</v>
      </c>
      <c r="AK155" s="2994">
        <v>3.5400000000000001E-2</v>
      </c>
      <c r="AL155" s="2994">
        <v>5.6300000000000003E-2</v>
      </c>
      <c r="AM155" s="2994">
        <v>4.1399999999999999E-2</v>
      </c>
      <c r="AN155" s="2994">
        <v>4.1399999999999999E-2</v>
      </c>
      <c r="AO155" s="2994">
        <v>4.1099999999999998E-2</v>
      </c>
      <c r="AP155" s="2994">
        <v>4.1799999999999997E-2</v>
      </c>
      <c r="AQ155" s="2994">
        <v>4.82E-2</v>
      </c>
      <c r="AR155" s="2994">
        <v>5.0299999999999997E-2</v>
      </c>
      <c r="AS155" s="2994">
        <v>4.1500000000000002E-2</v>
      </c>
      <c r="AT155" s="2994">
        <v>4.3700000000000003E-2</v>
      </c>
      <c r="AU155" s="2994">
        <v>4.2599999999999999E-2</v>
      </c>
      <c r="AV155" s="2994">
        <v>2.8899999999999999E-2</v>
      </c>
      <c r="AW155" s="2994">
        <v>4.1200000000000001E-2</v>
      </c>
      <c r="AX155" s="2994">
        <v>4.6199999999999998E-2</v>
      </c>
      <c r="AY155" s="2994">
        <v>4.53E-2</v>
      </c>
      <c r="AZ155" s="2994">
        <v>4.8099999999999997E-2</v>
      </c>
      <c r="BA155" s="2994">
        <v>5.33E-2</v>
      </c>
      <c r="BB155" s="2994">
        <v>5.16E-2</v>
      </c>
      <c r="BC155" s="2994">
        <v>5.2900000000000003E-2</v>
      </c>
      <c r="BD155" s="3471">
        <v>5.21E-2</v>
      </c>
      <c r="BE155" s="3471">
        <v>5.9499999999999997E-2</v>
      </c>
      <c r="BF155" s="3471">
        <v>0</v>
      </c>
    </row>
    <row r="156" spans="1:58">
      <c r="A156" s="1817" t="str">
        <f t="shared" si="5"/>
        <v>AfricaVegetables, fresh nes</v>
      </c>
      <c r="B156" s="1818" t="s">
        <v>297</v>
      </c>
      <c r="C156" s="1818" t="s">
        <v>7386</v>
      </c>
      <c r="D156" s="3463" t="str">
        <f>VLOOKUP(B156,List_Yield!$G$4:$J$14,4,FALSE)</f>
        <v>Africa</v>
      </c>
      <c r="E156" s="3463" t="str">
        <f t="shared" si="4"/>
        <v>AfricaVegetables, fresh nes</v>
      </c>
      <c r="F156" s="2994">
        <v>5.7354000000000003</v>
      </c>
      <c r="G156" s="2994">
        <v>5.7431000000000001</v>
      </c>
      <c r="H156" s="2994">
        <v>5.7393999999999998</v>
      </c>
      <c r="I156" s="2994">
        <v>5.7420999999999998</v>
      </c>
      <c r="J156" s="2994">
        <v>5.7443999999999997</v>
      </c>
      <c r="K156" s="2994">
        <v>5.6569000000000003</v>
      </c>
      <c r="L156" s="2994">
        <v>5.7386999999999997</v>
      </c>
      <c r="M156" s="2994">
        <v>5.7797000000000001</v>
      </c>
      <c r="N156" s="2994">
        <v>5.7689000000000004</v>
      </c>
      <c r="O156" s="2994">
        <v>5.6809000000000003</v>
      </c>
      <c r="P156" s="2994">
        <v>5.7149000000000001</v>
      </c>
      <c r="Q156" s="2994">
        <v>5.6055999999999999</v>
      </c>
      <c r="R156" s="2994">
        <v>5.6439000000000004</v>
      </c>
      <c r="S156" s="2994">
        <v>5.6551999999999998</v>
      </c>
      <c r="T156" s="2994">
        <v>5.6825999999999999</v>
      </c>
      <c r="U156" s="2994">
        <v>5.7054</v>
      </c>
      <c r="V156" s="2994">
        <v>5.7568000000000001</v>
      </c>
      <c r="W156" s="2994">
        <v>5.7539999999999996</v>
      </c>
      <c r="X156" s="2994">
        <v>5.7561999999999998</v>
      </c>
      <c r="Y156" s="2994">
        <v>5.8788</v>
      </c>
      <c r="Z156" s="2994">
        <v>5.9438000000000004</v>
      </c>
      <c r="AA156" s="2994">
        <v>5.9847000000000001</v>
      </c>
      <c r="AB156" s="2994">
        <v>5.9869000000000003</v>
      </c>
      <c r="AC156" s="2994">
        <v>5.9711999999999996</v>
      </c>
      <c r="AD156" s="2994">
        <v>5.8978000000000002</v>
      </c>
      <c r="AE156" s="2994">
        <v>6.0271999999999997</v>
      </c>
      <c r="AF156" s="2994">
        <v>6.1410999999999998</v>
      </c>
      <c r="AG156" s="2994">
        <v>6.2088999999999999</v>
      </c>
      <c r="AH156" s="2994">
        <v>6.2130000000000001</v>
      </c>
      <c r="AI156" s="2994">
        <v>6.1733000000000002</v>
      </c>
      <c r="AJ156" s="2994">
        <v>6.4854000000000003</v>
      </c>
      <c r="AK156" s="2994">
        <v>6.4474</v>
      </c>
      <c r="AL156" s="2994">
        <v>6.6337999999999999</v>
      </c>
      <c r="AM156" s="2994">
        <v>6.2916999999999996</v>
      </c>
      <c r="AN156" s="2994">
        <v>6.3440000000000003</v>
      </c>
      <c r="AO156" s="2994">
        <v>6.3803000000000001</v>
      </c>
      <c r="AP156" s="2994">
        <v>6.2541000000000002</v>
      </c>
      <c r="AQ156" s="2994">
        <v>6.1966999999999999</v>
      </c>
      <c r="AR156" s="2994">
        <v>6.1970000000000001</v>
      </c>
      <c r="AS156" s="2994">
        <v>6.4783999999999997</v>
      </c>
      <c r="AT156" s="2994">
        <v>6.9086999999999996</v>
      </c>
      <c r="AU156" s="2994">
        <v>6.1920000000000002</v>
      </c>
      <c r="AV156" s="2994">
        <v>6.4916999999999998</v>
      </c>
      <c r="AW156" s="2994">
        <v>5.8772000000000002</v>
      </c>
      <c r="AX156" s="2994">
        <v>6.1185</v>
      </c>
      <c r="AY156" s="2994">
        <v>6.6763000000000003</v>
      </c>
      <c r="AZ156" s="2994">
        <v>6.8159000000000001</v>
      </c>
      <c r="BA156" s="2994">
        <v>6.8783000000000003</v>
      </c>
      <c r="BB156" s="2994">
        <v>6.3929999999999998</v>
      </c>
      <c r="BC156" s="2994">
        <v>6.5754000000000001</v>
      </c>
      <c r="BD156" s="3471">
        <v>7.0587999999999997</v>
      </c>
      <c r="BE156" s="3471">
        <v>7.2046000000000001</v>
      </c>
      <c r="BF156" s="3471">
        <v>0</v>
      </c>
    </row>
    <row r="157" spans="1:58">
      <c r="A157" s="1817" t="str">
        <f t="shared" si="5"/>
        <v>AfricaVegetables, leguminous nes</v>
      </c>
      <c r="B157" s="1818" t="s">
        <v>297</v>
      </c>
      <c r="C157" s="1818" t="s">
        <v>7387</v>
      </c>
      <c r="D157" s="3463" t="str">
        <f>VLOOKUP(B157,List_Yield!$G$4:$J$14,4,FALSE)</f>
        <v>Africa</v>
      </c>
      <c r="E157" s="3463" t="str">
        <f t="shared" si="4"/>
        <v>AfricaVegetables, leguminous nes</v>
      </c>
      <c r="F157" s="2994">
        <v>3.7309999999999999</v>
      </c>
      <c r="G157" s="2994">
        <v>3.6309</v>
      </c>
      <c r="H157" s="2994">
        <v>3.7258</v>
      </c>
      <c r="I157" s="2994">
        <v>3.9994000000000001</v>
      </c>
      <c r="J157" s="2994">
        <v>3.5632000000000001</v>
      </c>
      <c r="K157" s="2994">
        <v>3.5541999999999998</v>
      </c>
      <c r="L157" s="2994">
        <v>3.3698000000000001</v>
      </c>
      <c r="M157" s="2994">
        <v>3.5165999999999999</v>
      </c>
      <c r="N157" s="2994">
        <v>3.2824</v>
      </c>
      <c r="O157" s="2994">
        <v>3.1846000000000001</v>
      </c>
      <c r="P157" s="2994">
        <v>3.1821999999999999</v>
      </c>
      <c r="Q157" s="2994">
        <v>2.8290000000000002</v>
      </c>
      <c r="R157" s="2994">
        <v>2.9142000000000001</v>
      </c>
      <c r="S157" s="2994">
        <v>2.9716999999999998</v>
      </c>
      <c r="T157" s="2994">
        <v>3.1474000000000002</v>
      </c>
      <c r="U157" s="2994">
        <v>3.1818</v>
      </c>
      <c r="V157" s="2994">
        <v>3.2465999999999999</v>
      </c>
      <c r="W157" s="2994">
        <v>3.4481999999999999</v>
      </c>
      <c r="X157" s="2994">
        <v>3.4820000000000002</v>
      </c>
      <c r="Y157" s="2994">
        <v>3.4981</v>
      </c>
      <c r="Z157" s="2994">
        <v>3.5701000000000001</v>
      </c>
      <c r="AA157" s="2994">
        <v>3.7898000000000001</v>
      </c>
      <c r="AB157" s="2994">
        <v>3.9293</v>
      </c>
      <c r="AC157" s="2994">
        <v>3.8296000000000001</v>
      </c>
      <c r="AD157" s="2994">
        <v>4.6917</v>
      </c>
      <c r="AE157" s="2994">
        <v>4.641</v>
      </c>
      <c r="AF157" s="2994">
        <v>4.6452999999999998</v>
      </c>
      <c r="AG157" s="2994">
        <v>4.8635000000000002</v>
      </c>
      <c r="AH157" s="2994">
        <v>5.2226999999999997</v>
      </c>
      <c r="AI157" s="2994">
        <v>4.9703999999999997</v>
      </c>
      <c r="AJ157" s="2994">
        <v>5.306</v>
      </c>
      <c r="AK157" s="2994">
        <v>5.9863999999999997</v>
      </c>
      <c r="AL157" s="2994">
        <v>4.7712000000000003</v>
      </c>
      <c r="AM157" s="2994">
        <v>5.1531000000000002</v>
      </c>
      <c r="AN157" s="2994">
        <v>6.1150000000000002</v>
      </c>
      <c r="AO157" s="2994">
        <v>6.0804</v>
      </c>
      <c r="AP157" s="2994">
        <v>6.0667</v>
      </c>
      <c r="AQ157" s="2994">
        <v>6.5705999999999998</v>
      </c>
      <c r="AR157" s="2994">
        <v>7.4623999999999997</v>
      </c>
      <c r="AS157" s="2994">
        <v>6.0697999999999999</v>
      </c>
      <c r="AT157" s="2994">
        <v>7.1832000000000003</v>
      </c>
      <c r="AU157" s="2994">
        <v>7.6721000000000004</v>
      </c>
      <c r="AV157" s="2994">
        <v>8.6646000000000001</v>
      </c>
      <c r="AW157" s="2994">
        <v>9.0696999999999992</v>
      </c>
      <c r="AX157" s="2994">
        <v>8.7630999999999997</v>
      </c>
      <c r="AY157" s="2994">
        <v>8.3795000000000002</v>
      </c>
      <c r="AZ157" s="2994">
        <v>8.6752000000000002</v>
      </c>
      <c r="BA157" s="2994">
        <v>10.9008</v>
      </c>
      <c r="BB157" s="2994">
        <v>11.839399999999999</v>
      </c>
      <c r="BC157" s="2994">
        <v>10.5291</v>
      </c>
      <c r="BD157" s="3471">
        <v>8.9720999999999993</v>
      </c>
      <c r="BE157" s="3471">
        <v>7.7065999999999999</v>
      </c>
      <c r="BF157" s="3471">
        <v>0</v>
      </c>
    </row>
    <row r="158" spans="1:58">
      <c r="A158" s="1817" t="str">
        <f t="shared" si="5"/>
        <v>AfricaVetches</v>
      </c>
      <c r="B158" s="1818" t="s">
        <v>297</v>
      </c>
      <c r="C158" s="1818" t="s">
        <v>1382</v>
      </c>
      <c r="D158" s="3463" t="str">
        <f>VLOOKUP(B158,List_Yield!$G$4:$J$14,4,FALSE)</f>
        <v>Africa</v>
      </c>
      <c r="E158" s="3463" t="str">
        <f t="shared" si="4"/>
        <v>AfricaVetches</v>
      </c>
      <c r="F158" s="2994">
        <v>0.54759999999999998</v>
      </c>
      <c r="G158" s="2994">
        <v>0.6966</v>
      </c>
      <c r="H158" s="2994">
        <v>0.56950000000000001</v>
      </c>
      <c r="I158" s="2994">
        <v>0.58209999999999995</v>
      </c>
      <c r="J158" s="2994">
        <v>0.61180000000000001</v>
      </c>
      <c r="K158" s="2994">
        <v>0.59619999999999995</v>
      </c>
      <c r="L158" s="2994">
        <v>0.66720000000000002</v>
      </c>
      <c r="M158" s="2994">
        <v>0.7712</v>
      </c>
      <c r="N158" s="2994">
        <v>0.55200000000000005</v>
      </c>
      <c r="O158" s="2994">
        <v>0.59060000000000001</v>
      </c>
      <c r="P158" s="2994">
        <v>0.73350000000000004</v>
      </c>
      <c r="Q158" s="2994">
        <v>0.70489999999999997</v>
      </c>
      <c r="R158" s="2994">
        <v>0.62949999999999995</v>
      </c>
      <c r="S158" s="2994">
        <v>0.68640000000000001</v>
      </c>
      <c r="T158" s="2994">
        <v>0.6482</v>
      </c>
      <c r="U158" s="2994">
        <v>0.5</v>
      </c>
      <c r="V158" s="2994">
        <v>0.39329999999999998</v>
      </c>
      <c r="W158" s="2994">
        <v>0.50690000000000002</v>
      </c>
      <c r="X158" s="2994">
        <v>0.78159999999999996</v>
      </c>
      <c r="Y158" s="2994">
        <v>0.87609999999999999</v>
      </c>
      <c r="Z158" s="2994">
        <v>0.73399999999999999</v>
      </c>
      <c r="AA158" s="2994">
        <v>0.61009999999999998</v>
      </c>
      <c r="AB158" s="2994">
        <v>0.84709999999999996</v>
      </c>
      <c r="AC158" s="2994">
        <v>0.59850000000000003</v>
      </c>
      <c r="AD158" s="2994">
        <v>0.56659999999999999</v>
      </c>
      <c r="AE158" s="2994">
        <v>0.67390000000000005</v>
      </c>
      <c r="AF158" s="2994">
        <v>0.65690000000000004</v>
      </c>
      <c r="AG158" s="2994">
        <v>0.66810000000000003</v>
      </c>
      <c r="AH158" s="2994">
        <v>0.6724</v>
      </c>
      <c r="AI158" s="2994">
        <v>0.95020000000000004</v>
      </c>
      <c r="AJ158" s="2994">
        <v>1.1144000000000001</v>
      </c>
      <c r="AK158" s="2994">
        <v>0.62890000000000001</v>
      </c>
      <c r="AL158" s="2994">
        <v>0.53680000000000005</v>
      </c>
      <c r="AM158" s="2994">
        <v>0.57299999999999995</v>
      </c>
      <c r="AN158" s="2994">
        <v>0.68059999999999998</v>
      </c>
      <c r="AO158" s="2994">
        <v>0.93220000000000003</v>
      </c>
      <c r="AP158" s="2994">
        <v>0.996</v>
      </c>
      <c r="AQ158" s="2994">
        <v>0.85119999999999996</v>
      </c>
      <c r="AR158" s="2994">
        <v>0.7147</v>
      </c>
      <c r="AS158" s="2994">
        <v>0.80130000000000001</v>
      </c>
      <c r="AT158" s="2994">
        <v>0.74239999999999995</v>
      </c>
      <c r="AU158" s="2994">
        <v>0.94620000000000004</v>
      </c>
      <c r="AV158" s="2994">
        <v>0.79730000000000001</v>
      </c>
      <c r="AW158" s="2994">
        <v>0.77470000000000006</v>
      </c>
      <c r="AX158" s="2994">
        <v>0.97850000000000004</v>
      </c>
      <c r="AY158" s="2994">
        <v>1.1007</v>
      </c>
      <c r="AZ158" s="2994">
        <v>1.3522000000000001</v>
      </c>
      <c r="BA158" s="2994">
        <v>1.1841999999999999</v>
      </c>
      <c r="BB158" s="2994">
        <v>1.393</v>
      </c>
      <c r="BC158" s="2994">
        <v>1.4472</v>
      </c>
      <c r="BD158" s="3471">
        <v>1.6303000000000001</v>
      </c>
      <c r="BE158" s="3471">
        <v>1.5326</v>
      </c>
      <c r="BF158" s="3471">
        <v>1.5905</v>
      </c>
    </row>
    <row r="159" spans="1:58">
      <c r="A159" s="1817" t="str">
        <f t="shared" si="5"/>
        <v>AfricaWalnuts, with shell</v>
      </c>
      <c r="B159" s="1818" t="s">
        <v>297</v>
      </c>
      <c r="C159" s="1818" t="s">
        <v>7388</v>
      </c>
      <c r="D159" s="3463" t="str">
        <f>VLOOKUP(B159,List_Yield!$G$4:$J$14,4,FALSE)</f>
        <v>Africa</v>
      </c>
      <c r="E159" s="3463" t="str">
        <f t="shared" si="4"/>
        <v>AfricaWalnuts, with shell</v>
      </c>
      <c r="F159" s="2994">
        <v>0</v>
      </c>
      <c r="G159" s="2994">
        <v>0</v>
      </c>
      <c r="H159" s="2994">
        <v>0</v>
      </c>
      <c r="I159" s="2994">
        <v>0</v>
      </c>
      <c r="J159" s="2994">
        <v>0</v>
      </c>
      <c r="K159" s="2994">
        <v>0</v>
      </c>
      <c r="L159" s="2994">
        <v>0</v>
      </c>
      <c r="M159" s="2994">
        <v>0</v>
      </c>
      <c r="N159" s="2994">
        <v>0</v>
      </c>
      <c r="O159" s="2994">
        <v>0</v>
      </c>
      <c r="P159" s="2994">
        <v>0</v>
      </c>
      <c r="Q159" s="2994">
        <v>0</v>
      </c>
      <c r="R159" s="2994">
        <v>0</v>
      </c>
      <c r="S159" s="2994">
        <v>0</v>
      </c>
      <c r="T159" s="2994">
        <v>0</v>
      </c>
      <c r="U159" s="2994">
        <v>0</v>
      </c>
      <c r="V159" s="2994">
        <v>0</v>
      </c>
      <c r="W159" s="2994">
        <v>0</v>
      </c>
      <c r="X159" s="2994">
        <v>0</v>
      </c>
      <c r="Y159" s="2994">
        <v>0</v>
      </c>
      <c r="Z159" s="2994">
        <v>0</v>
      </c>
      <c r="AA159" s="2994">
        <v>0</v>
      </c>
      <c r="AB159" s="2994">
        <v>0</v>
      </c>
      <c r="AC159" s="2994">
        <v>0</v>
      </c>
      <c r="AD159" s="2994">
        <v>0.4</v>
      </c>
      <c r="AE159" s="2994">
        <v>0.36</v>
      </c>
      <c r="AF159" s="2994">
        <v>0.32</v>
      </c>
      <c r="AG159" s="2994">
        <v>0.3</v>
      </c>
      <c r="AH159" s="2994">
        <v>0.28999999999999998</v>
      </c>
      <c r="AI159" s="2994">
        <v>0.2913</v>
      </c>
      <c r="AJ159" s="2994">
        <v>0.29959999999999998</v>
      </c>
      <c r="AK159" s="2994">
        <v>0.15790000000000001</v>
      </c>
      <c r="AL159" s="2994">
        <v>0.23080000000000001</v>
      </c>
      <c r="AM159" s="2994">
        <v>0.57689999999999997</v>
      </c>
      <c r="AN159" s="2994">
        <v>0.44</v>
      </c>
      <c r="AO159" s="2994">
        <v>0.875</v>
      </c>
      <c r="AP159" s="2994">
        <v>0.86839999999999995</v>
      </c>
      <c r="AQ159" s="2994">
        <v>0.65790000000000004</v>
      </c>
      <c r="AR159" s="2994">
        <v>1.5038</v>
      </c>
      <c r="AS159" s="2994">
        <v>2.99</v>
      </c>
      <c r="AT159" s="2994">
        <v>4.5480999999999998</v>
      </c>
      <c r="AU159" s="2994">
        <v>3.5148999999999999</v>
      </c>
      <c r="AV159" s="2994">
        <v>3.0988000000000002</v>
      </c>
      <c r="AW159" s="2994">
        <v>3.3936000000000002</v>
      </c>
      <c r="AX159" s="2994">
        <v>3.73</v>
      </c>
      <c r="AY159" s="2994">
        <v>3.3748999999999998</v>
      </c>
      <c r="AZ159" s="2994">
        <v>4.0327999999999999</v>
      </c>
      <c r="BA159" s="2994">
        <v>3.9872999999999998</v>
      </c>
      <c r="BB159" s="2994">
        <v>3.6070000000000002</v>
      </c>
      <c r="BC159" s="2994">
        <v>3.44</v>
      </c>
      <c r="BD159" s="3471">
        <v>3.2389000000000001</v>
      </c>
      <c r="BE159" s="3471">
        <v>3.379</v>
      </c>
      <c r="BF159" s="3471">
        <v>0</v>
      </c>
    </row>
    <row r="160" spans="1:58">
      <c r="A160" s="1817" t="str">
        <f t="shared" si="5"/>
        <v>AfricaWatermelons</v>
      </c>
      <c r="B160" s="1818" t="s">
        <v>297</v>
      </c>
      <c r="C160" s="1818" t="s">
        <v>7389</v>
      </c>
      <c r="D160" s="3463" t="str">
        <f>VLOOKUP(B160,List_Yield!$G$4:$J$14,4,FALSE)</f>
        <v>Africa</v>
      </c>
      <c r="E160" s="3463" t="str">
        <f t="shared" si="4"/>
        <v>AfricaWatermelons</v>
      </c>
      <c r="F160" s="2994">
        <v>17.3231</v>
      </c>
      <c r="G160" s="2994">
        <v>17.612200000000001</v>
      </c>
      <c r="H160" s="2994">
        <v>18.5503</v>
      </c>
      <c r="I160" s="2994">
        <v>18.139399999999998</v>
      </c>
      <c r="J160" s="2994">
        <v>17.437200000000001</v>
      </c>
      <c r="K160" s="2994">
        <v>19.181999999999999</v>
      </c>
      <c r="L160" s="2994">
        <v>18.921399999999998</v>
      </c>
      <c r="M160" s="2994">
        <v>18.343299999999999</v>
      </c>
      <c r="N160" s="2994">
        <v>17.617699999999999</v>
      </c>
      <c r="O160" s="2994">
        <v>16.946100000000001</v>
      </c>
      <c r="P160" s="2994">
        <v>16.3005</v>
      </c>
      <c r="Q160" s="2994">
        <v>16.971599999999999</v>
      </c>
      <c r="R160" s="2994">
        <v>17.790500000000002</v>
      </c>
      <c r="S160" s="2994">
        <v>18.402100000000001</v>
      </c>
      <c r="T160" s="2994">
        <v>19.216200000000001</v>
      </c>
      <c r="U160" s="2994">
        <v>18.387699999999999</v>
      </c>
      <c r="V160" s="2994">
        <v>17.0686</v>
      </c>
      <c r="W160" s="2994">
        <v>18.094100000000001</v>
      </c>
      <c r="X160" s="2994">
        <v>16.883299999999998</v>
      </c>
      <c r="Y160" s="2994">
        <v>16.553100000000001</v>
      </c>
      <c r="Z160" s="2994">
        <v>18.041399999999999</v>
      </c>
      <c r="AA160" s="2994">
        <v>17.1325</v>
      </c>
      <c r="AB160" s="2994">
        <v>17.578600000000002</v>
      </c>
      <c r="AC160" s="2994">
        <v>18.3384</v>
      </c>
      <c r="AD160" s="2994">
        <v>17.7973</v>
      </c>
      <c r="AE160" s="2994">
        <v>16.690200000000001</v>
      </c>
      <c r="AF160" s="2994">
        <v>18.569500000000001</v>
      </c>
      <c r="AG160" s="2994">
        <v>16.773199999999999</v>
      </c>
      <c r="AH160" s="2994">
        <v>16.660599999999999</v>
      </c>
      <c r="AI160" s="2994">
        <v>16.163799999999998</v>
      </c>
      <c r="AJ160" s="2994">
        <v>16.273800000000001</v>
      </c>
      <c r="AK160" s="2994">
        <v>16.1114</v>
      </c>
      <c r="AL160" s="2994">
        <v>17.533999999999999</v>
      </c>
      <c r="AM160" s="2994">
        <v>17.337700000000002</v>
      </c>
      <c r="AN160" s="2994">
        <v>17.095300000000002</v>
      </c>
      <c r="AO160" s="2994">
        <v>18.805099999999999</v>
      </c>
      <c r="AP160" s="2994">
        <v>20.098700000000001</v>
      </c>
      <c r="AQ160" s="2994">
        <v>18.972200000000001</v>
      </c>
      <c r="AR160" s="2994">
        <v>18.4633</v>
      </c>
      <c r="AS160" s="2994">
        <v>19.302900000000001</v>
      </c>
      <c r="AT160" s="2994">
        <v>20.197700000000001</v>
      </c>
      <c r="AU160" s="2994">
        <v>20.1587</v>
      </c>
      <c r="AV160" s="2994">
        <v>20.954699999999999</v>
      </c>
      <c r="AW160" s="2994">
        <v>21.195900000000002</v>
      </c>
      <c r="AX160" s="2994">
        <v>22.119900000000001</v>
      </c>
      <c r="AY160" s="2994">
        <v>22.9954</v>
      </c>
      <c r="AZ160" s="2994">
        <v>24.0474</v>
      </c>
      <c r="BA160" s="2994">
        <v>23.040600000000001</v>
      </c>
      <c r="BB160" s="2994">
        <v>21.813300000000002</v>
      </c>
      <c r="BC160" s="2994">
        <v>22.369499999999999</v>
      </c>
      <c r="BD160" s="3471">
        <v>23.2545</v>
      </c>
      <c r="BE160" s="3471">
        <v>24.0763</v>
      </c>
      <c r="BF160" s="3471">
        <v>0</v>
      </c>
    </row>
    <row r="161" spans="1:58">
      <c r="A161" s="1817" t="str">
        <f t="shared" si="5"/>
        <v>AfricaWheat</v>
      </c>
      <c r="B161" s="1818" t="s">
        <v>297</v>
      </c>
      <c r="C161" s="1818" t="s">
        <v>1383</v>
      </c>
      <c r="D161" s="3463" t="str">
        <f>VLOOKUP(B161,List_Yield!$G$4:$J$14,4,FALSE)</f>
        <v>Africa</v>
      </c>
      <c r="E161" s="3463" t="str">
        <f t="shared" si="4"/>
        <v>AfricaWheat</v>
      </c>
      <c r="F161" s="2994">
        <v>0.69299999999999995</v>
      </c>
      <c r="G161" s="2994">
        <v>0.92359999999999998</v>
      </c>
      <c r="H161" s="2994">
        <v>0.89900000000000002</v>
      </c>
      <c r="I161" s="2994">
        <v>0.87360000000000004</v>
      </c>
      <c r="J161" s="2994">
        <v>0.82869999999999999</v>
      </c>
      <c r="K161" s="2994">
        <v>0.76039999999999996</v>
      </c>
      <c r="L161" s="2994">
        <v>0.84230000000000005</v>
      </c>
      <c r="M161" s="2994">
        <v>0.99219999999999997</v>
      </c>
      <c r="N161" s="2994">
        <v>0.81030000000000002</v>
      </c>
      <c r="O161" s="2994">
        <v>0.87029999999999996</v>
      </c>
      <c r="P161" s="2994">
        <v>0.98280000000000001</v>
      </c>
      <c r="Q161" s="2994">
        <v>0.99180000000000001</v>
      </c>
      <c r="R161" s="2994">
        <v>0.94020000000000004</v>
      </c>
      <c r="S161" s="2994">
        <v>0.97109999999999996</v>
      </c>
      <c r="T161" s="2994">
        <v>1.1004</v>
      </c>
      <c r="U161" s="2994">
        <v>1.1176999999999999</v>
      </c>
      <c r="V161" s="2994">
        <v>0.92689999999999995</v>
      </c>
      <c r="W161" s="2994">
        <v>1.0459000000000001</v>
      </c>
      <c r="X161" s="2994">
        <v>1.0458000000000001</v>
      </c>
      <c r="Y161" s="2994">
        <v>1.0988</v>
      </c>
      <c r="Z161" s="2994">
        <v>1.1339999999999999</v>
      </c>
      <c r="AA161" s="2994">
        <v>1.2749999999999999</v>
      </c>
      <c r="AB161" s="2994">
        <v>1.1231</v>
      </c>
      <c r="AC161" s="2994">
        <v>1.1437999999999999</v>
      </c>
      <c r="AD161" s="2994">
        <v>1.2476</v>
      </c>
      <c r="AE161" s="2994">
        <v>1.4428000000000001</v>
      </c>
      <c r="AF161" s="2994">
        <v>1.5013000000000001</v>
      </c>
      <c r="AG161" s="2994">
        <v>1.7497</v>
      </c>
      <c r="AH161" s="2994">
        <v>1.4811000000000001</v>
      </c>
      <c r="AI161" s="2994">
        <v>1.5981000000000001</v>
      </c>
      <c r="AJ161" s="2994">
        <v>1.8953</v>
      </c>
      <c r="AK161" s="2994">
        <v>1.6548</v>
      </c>
      <c r="AL161" s="2994">
        <v>1.6274999999999999</v>
      </c>
      <c r="AM161" s="2994">
        <v>1.915</v>
      </c>
      <c r="AN161" s="2994">
        <v>1.6213</v>
      </c>
      <c r="AO161" s="2994">
        <v>2.0282</v>
      </c>
      <c r="AP161" s="2994">
        <v>1.7985</v>
      </c>
      <c r="AQ161" s="2994">
        <v>1.8645</v>
      </c>
      <c r="AR161" s="2994">
        <v>1.8099000000000001</v>
      </c>
      <c r="AS161" s="2994">
        <v>1.7524999999999999</v>
      </c>
      <c r="AT161" s="2994">
        <v>2.0230000000000001</v>
      </c>
      <c r="AU161" s="2994">
        <v>2.1265999999999998</v>
      </c>
      <c r="AV161" s="2994">
        <v>2.2052999999999998</v>
      </c>
      <c r="AW161" s="2994">
        <v>2.2054999999999998</v>
      </c>
      <c r="AX161" s="2994">
        <v>2.1353</v>
      </c>
      <c r="AY161" s="2994">
        <v>2.4571999999999998</v>
      </c>
      <c r="AZ161" s="2994">
        <v>2.0442999999999998</v>
      </c>
      <c r="BA161" s="2994">
        <v>2.2847</v>
      </c>
      <c r="BB161" s="2994">
        <v>2.5251999999999999</v>
      </c>
      <c r="BC161" s="2994">
        <v>2.3060999999999998</v>
      </c>
      <c r="BD161" s="3471">
        <v>2.5705</v>
      </c>
      <c r="BE161" s="3471">
        <v>2.4161000000000001</v>
      </c>
      <c r="BF161" s="3471">
        <v>2.7839</v>
      </c>
    </row>
    <row r="162" spans="1:58">
      <c r="A162" s="1817" t="str">
        <f t="shared" si="5"/>
        <v>AfricaYams</v>
      </c>
      <c r="B162" s="1818" t="s">
        <v>297</v>
      </c>
      <c r="C162" s="1818" t="s">
        <v>7390</v>
      </c>
      <c r="D162" s="3463" t="str">
        <f>VLOOKUP(B162,List_Yield!$G$4:$J$14,4,FALSE)</f>
        <v>Africa</v>
      </c>
      <c r="E162" s="3463" t="str">
        <f t="shared" si="4"/>
        <v>AfricaYams</v>
      </c>
      <c r="F162" s="2994">
        <v>7.1656000000000004</v>
      </c>
      <c r="G162" s="2994">
        <v>7.1348000000000003</v>
      </c>
      <c r="H162" s="2994">
        <v>7.3444000000000003</v>
      </c>
      <c r="I162" s="2994">
        <v>7.4637000000000002</v>
      </c>
      <c r="J162" s="2994">
        <v>8.0128000000000004</v>
      </c>
      <c r="K162" s="2994">
        <v>8.3566000000000003</v>
      </c>
      <c r="L162" s="2994">
        <v>8.9305000000000003</v>
      </c>
      <c r="M162" s="2994">
        <v>7.5934999999999997</v>
      </c>
      <c r="N162" s="2994">
        <v>8.5683000000000007</v>
      </c>
      <c r="O162" s="2994">
        <v>8.4430999999999994</v>
      </c>
      <c r="P162" s="2994">
        <v>7.3872</v>
      </c>
      <c r="Q162" s="2994">
        <v>7.0445000000000002</v>
      </c>
      <c r="R162" s="2994">
        <v>7.0610999999999997</v>
      </c>
      <c r="S162" s="2994">
        <v>8.7126000000000001</v>
      </c>
      <c r="T162" s="2994">
        <v>9.2173999999999996</v>
      </c>
      <c r="U162" s="2994">
        <v>8.2919</v>
      </c>
      <c r="V162" s="2994">
        <v>8.6061999999999994</v>
      </c>
      <c r="W162" s="2994">
        <v>8.8957999999999995</v>
      </c>
      <c r="X162" s="2994">
        <v>8.3991000000000007</v>
      </c>
      <c r="Y162" s="2994">
        <v>8.8459000000000003</v>
      </c>
      <c r="Z162" s="2994">
        <v>6.5609000000000002</v>
      </c>
      <c r="AA162" s="2994">
        <v>6.5477999999999996</v>
      </c>
      <c r="AB162" s="2994">
        <v>6.4844999999999997</v>
      </c>
      <c r="AC162" s="2994">
        <v>6.8087</v>
      </c>
      <c r="AD162" s="2994">
        <v>6.6654999999999998</v>
      </c>
      <c r="AE162" s="2994">
        <v>6.7545999999999999</v>
      </c>
      <c r="AF162" s="2994">
        <v>7.0976999999999997</v>
      </c>
      <c r="AG162" s="2994">
        <v>8.7928999999999995</v>
      </c>
      <c r="AH162" s="2994">
        <v>9.1516000000000002</v>
      </c>
      <c r="AI162" s="2994">
        <v>9.7187999999999999</v>
      </c>
      <c r="AJ162" s="2994">
        <v>9.9812999999999992</v>
      </c>
      <c r="AK162" s="2994">
        <v>10.4724</v>
      </c>
      <c r="AL162" s="2994">
        <v>10.8101</v>
      </c>
      <c r="AM162" s="2994">
        <v>10.732200000000001</v>
      </c>
      <c r="AN162" s="2994">
        <v>10.3796</v>
      </c>
      <c r="AO162" s="2994">
        <v>10.301299999999999</v>
      </c>
      <c r="AP162" s="2994">
        <v>10.618499999999999</v>
      </c>
      <c r="AQ162" s="2994">
        <v>9.3613</v>
      </c>
      <c r="AR162" s="2994">
        <v>9.8193999999999999</v>
      </c>
      <c r="AS162" s="2994">
        <v>9.7859999999999996</v>
      </c>
      <c r="AT162" s="2994">
        <v>9.7056000000000004</v>
      </c>
      <c r="AU162" s="2994">
        <v>9.8574999999999999</v>
      </c>
      <c r="AV162" s="2994">
        <v>10.189399999999999</v>
      </c>
      <c r="AW162" s="2994">
        <v>10.6713</v>
      </c>
      <c r="AX162" s="2994">
        <v>10.7285</v>
      </c>
      <c r="AY162" s="2994">
        <v>11.2859</v>
      </c>
      <c r="AZ162" s="2994">
        <v>9.8170999999999999</v>
      </c>
      <c r="BA162" s="2994">
        <v>10.8504</v>
      </c>
      <c r="BB162" s="2994">
        <v>10.093400000000001</v>
      </c>
      <c r="BC162" s="2994">
        <v>10.9351</v>
      </c>
      <c r="BD162" s="3471">
        <v>11.602600000000001</v>
      </c>
      <c r="BE162" s="3471">
        <v>11.9261</v>
      </c>
      <c r="BF162" s="3471">
        <v>12.0244</v>
      </c>
    </row>
    <row r="163" spans="1:58">
      <c r="A163" s="1817" t="str">
        <f t="shared" si="5"/>
        <v>AfricaYautia (cocoyam)</v>
      </c>
      <c r="B163" s="1818" t="s">
        <v>297</v>
      </c>
      <c r="C163" s="1818" t="s">
        <v>7391</v>
      </c>
      <c r="D163" s="3463" t="str">
        <f>VLOOKUP(B163,List_Yield!$G$4:$J$14,4,FALSE)</f>
        <v>Africa</v>
      </c>
      <c r="E163" s="3463" t="str">
        <f t="shared" si="4"/>
        <v>AfricaYautia (cocoyam)</v>
      </c>
      <c r="F163" s="2994">
        <v>0</v>
      </c>
      <c r="G163" s="2994">
        <v>0</v>
      </c>
      <c r="H163" s="2994">
        <v>0</v>
      </c>
      <c r="I163" s="2994">
        <v>0</v>
      </c>
      <c r="J163" s="2994">
        <v>0</v>
      </c>
      <c r="K163" s="2994">
        <v>0</v>
      </c>
      <c r="L163" s="2994">
        <v>0</v>
      </c>
      <c r="M163" s="2994">
        <v>0</v>
      </c>
      <c r="N163" s="2994">
        <v>0</v>
      </c>
      <c r="O163" s="2994">
        <v>0</v>
      </c>
      <c r="P163" s="2994">
        <v>0</v>
      </c>
      <c r="Q163" s="2994">
        <v>0</v>
      </c>
      <c r="R163" s="2994">
        <v>0</v>
      </c>
      <c r="S163" s="2994">
        <v>0</v>
      </c>
      <c r="T163" s="2994">
        <v>0</v>
      </c>
      <c r="U163" s="2994">
        <v>0</v>
      </c>
      <c r="V163" s="2994">
        <v>0</v>
      </c>
      <c r="W163" s="2994">
        <v>0</v>
      </c>
      <c r="X163" s="2994">
        <v>0</v>
      </c>
      <c r="Y163" s="2994">
        <v>0</v>
      </c>
      <c r="Z163" s="2994">
        <v>0</v>
      </c>
      <c r="AA163" s="2994">
        <v>0</v>
      </c>
      <c r="AB163" s="2994">
        <v>0</v>
      </c>
      <c r="AC163" s="2994">
        <v>0</v>
      </c>
      <c r="AD163" s="2994">
        <v>0</v>
      </c>
      <c r="AE163" s="2994">
        <v>0</v>
      </c>
      <c r="AF163" s="2994">
        <v>0</v>
      </c>
      <c r="AG163" s="2994">
        <v>0</v>
      </c>
      <c r="AH163" s="2994">
        <v>0</v>
      </c>
      <c r="AI163" s="2994">
        <v>0</v>
      </c>
      <c r="AJ163" s="2994">
        <v>0</v>
      </c>
      <c r="AK163" s="2994">
        <v>0</v>
      </c>
      <c r="AL163" s="2994">
        <v>0</v>
      </c>
      <c r="AM163" s="2994">
        <v>0</v>
      </c>
      <c r="AN163" s="2994">
        <v>0</v>
      </c>
      <c r="AO163" s="2994">
        <v>0</v>
      </c>
      <c r="AP163" s="2994">
        <v>0</v>
      </c>
      <c r="AQ163" s="2994">
        <v>0</v>
      </c>
      <c r="AR163" s="2994">
        <v>0</v>
      </c>
      <c r="AS163" s="2994">
        <v>0</v>
      </c>
      <c r="AT163" s="2994">
        <v>0</v>
      </c>
      <c r="AU163" s="2994">
        <v>0</v>
      </c>
      <c r="AV163" s="2994">
        <v>0</v>
      </c>
      <c r="AW163" s="2994">
        <v>0</v>
      </c>
      <c r="AX163" s="2994">
        <v>0</v>
      </c>
      <c r="AY163" s="2994">
        <v>0</v>
      </c>
      <c r="AZ163" s="2994">
        <v>0</v>
      </c>
      <c r="BA163" s="2994">
        <v>0</v>
      </c>
      <c r="BB163" s="2994">
        <v>0</v>
      </c>
      <c r="BC163" s="2994">
        <v>0</v>
      </c>
      <c r="BD163" s="3471">
        <v>0</v>
      </c>
      <c r="BE163" s="3471">
        <v>0</v>
      </c>
      <c r="BF163" s="3471">
        <v>0</v>
      </c>
    </row>
    <row r="164" spans="1:58">
      <c r="A164" s="1817" t="str">
        <f t="shared" si="5"/>
        <v>AfricaCereals,Total + (Total)</v>
      </c>
      <c r="B164" s="1818" t="s">
        <v>297</v>
      </c>
      <c r="C164" s="2746" t="s">
        <v>7231</v>
      </c>
      <c r="D164" s="3463" t="str">
        <f>VLOOKUP(B164,List_Yield!$G$4:$J$14,4,FALSE)</f>
        <v>Africa</v>
      </c>
      <c r="E164" s="3463" t="str">
        <f t="shared" si="4"/>
        <v>AfricaCereals,Total + (Total)</v>
      </c>
      <c r="F164" s="2994">
        <v>0.81020000000000003</v>
      </c>
      <c r="G164" s="2994">
        <v>0.91069999999999995</v>
      </c>
      <c r="H164" s="2994">
        <v>0.89929999999999999</v>
      </c>
      <c r="I164" s="2994">
        <v>0.85499999999999998</v>
      </c>
      <c r="J164" s="2994">
        <v>0.84289999999999998</v>
      </c>
      <c r="K164" s="2994">
        <v>0.8165</v>
      </c>
      <c r="L164" s="2994">
        <v>0.96030000000000004</v>
      </c>
      <c r="M164" s="2994">
        <v>0.91579999999999995</v>
      </c>
      <c r="N164" s="2994">
        <v>0.87519999999999998</v>
      </c>
      <c r="O164" s="2994">
        <v>0.90749999999999997</v>
      </c>
      <c r="P164" s="2994">
        <v>0.98570000000000002</v>
      </c>
      <c r="Q164" s="2994">
        <v>1.0064</v>
      </c>
      <c r="R164" s="2994">
        <v>0.86950000000000005</v>
      </c>
      <c r="S164" s="2994">
        <v>1.0773999999999999</v>
      </c>
      <c r="T164" s="2994">
        <v>1.0809</v>
      </c>
      <c r="U164" s="2994">
        <v>1.0383</v>
      </c>
      <c r="V164" s="2994">
        <v>1.0325</v>
      </c>
      <c r="W164" s="2994">
        <v>1.0922000000000001</v>
      </c>
      <c r="X164" s="2994">
        <v>1.0608</v>
      </c>
      <c r="Y164" s="2994">
        <v>1.1309</v>
      </c>
      <c r="Z164" s="2994">
        <v>1.2414000000000001</v>
      </c>
      <c r="AA164" s="2994">
        <v>1.1617</v>
      </c>
      <c r="AB164" s="2994">
        <v>1.0266</v>
      </c>
      <c r="AC164" s="2994">
        <v>0.99609999999999999</v>
      </c>
      <c r="AD164" s="2994">
        <v>1.1414</v>
      </c>
      <c r="AE164" s="2994">
        <v>1.1559999999999999</v>
      </c>
      <c r="AF164" s="2994">
        <v>1.1121000000000001</v>
      </c>
      <c r="AG164" s="2994">
        <v>1.2058</v>
      </c>
      <c r="AH164" s="2994">
        <v>1.2330000000000001</v>
      </c>
      <c r="AI164" s="2994">
        <v>1.181</v>
      </c>
      <c r="AJ164" s="2994">
        <v>1.2401</v>
      </c>
      <c r="AK164" s="2994">
        <v>1.042</v>
      </c>
      <c r="AL164" s="2994">
        <v>1.1691</v>
      </c>
      <c r="AM164" s="2994">
        <v>1.2089000000000001</v>
      </c>
      <c r="AN164" s="2994">
        <v>1.1142000000000001</v>
      </c>
      <c r="AO164" s="2994">
        <v>1.3312999999999999</v>
      </c>
      <c r="AP164" s="2994">
        <v>1.2025999999999999</v>
      </c>
      <c r="AQ164" s="2994">
        <v>1.2298</v>
      </c>
      <c r="AR164" s="2994">
        <v>1.2709999999999999</v>
      </c>
      <c r="AS164" s="2994">
        <v>1.2692000000000001</v>
      </c>
      <c r="AT164" s="2994">
        <v>1.2919</v>
      </c>
      <c r="AU164" s="2994">
        <v>1.3176000000000001</v>
      </c>
      <c r="AV164" s="2994">
        <v>1.3224</v>
      </c>
      <c r="AW164" s="2994">
        <v>1.3834</v>
      </c>
      <c r="AX164" s="2994">
        <v>1.3344</v>
      </c>
      <c r="AY164" s="2994">
        <v>1.4488000000000001</v>
      </c>
      <c r="AZ164" s="2994">
        <v>1.3612</v>
      </c>
      <c r="BA164" s="2994">
        <v>1.4637</v>
      </c>
      <c r="BB164" s="2994">
        <v>1.5364</v>
      </c>
      <c r="BC164" s="2994">
        <v>1.5497000000000001</v>
      </c>
      <c r="BD164" s="3471">
        <v>1.4870000000000001</v>
      </c>
      <c r="BE164" s="3471">
        <v>1.6171</v>
      </c>
      <c r="BF164" s="3471">
        <v>1.6278999999999999</v>
      </c>
    </row>
    <row r="165" spans="1:58">
      <c r="A165" s="1817" t="str">
        <f t="shared" si="5"/>
        <v>AfricaPulses,Total + (Total)</v>
      </c>
      <c r="B165" s="1818" t="s">
        <v>297</v>
      </c>
      <c r="C165" s="1818" t="s">
        <v>7228</v>
      </c>
      <c r="D165" s="3463" t="str">
        <f>VLOOKUP(B165,List_Yield!$G$4:$J$14,4,FALSE)</f>
        <v>Africa</v>
      </c>
      <c r="E165" s="3463" t="str">
        <f t="shared" si="4"/>
        <v>AfricaPulses,Total + (Total)</v>
      </c>
      <c r="F165" s="2994">
        <v>0.49880000000000002</v>
      </c>
      <c r="G165" s="2994">
        <v>0.53459999999999996</v>
      </c>
      <c r="H165" s="2994">
        <v>0.4662</v>
      </c>
      <c r="I165" s="2994">
        <v>0.49630000000000002</v>
      </c>
      <c r="J165" s="2994">
        <v>0.49430000000000002</v>
      </c>
      <c r="K165" s="2994">
        <v>0.45700000000000002</v>
      </c>
      <c r="L165" s="2994">
        <v>0.40970000000000001</v>
      </c>
      <c r="M165" s="2994">
        <v>0.46039999999999998</v>
      </c>
      <c r="N165" s="2994">
        <v>0.43990000000000001</v>
      </c>
      <c r="O165" s="2994">
        <v>0.45229999999999998</v>
      </c>
      <c r="P165" s="2994">
        <v>0.44879999999999998</v>
      </c>
      <c r="Q165" s="2994">
        <v>0.50419999999999998</v>
      </c>
      <c r="R165" s="2994">
        <v>0.44800000000000001</v>
      </c>
      <c r="S165" s="2994">
        <v>0.53120000000000001</v>
      </c>
      <c r="T165" s="2994">
        <v>0.51549999999999996</v>
      </c>
      <c r="U165" s="2994">
        <v>0.52190000000000003</v>
      </c>
      <c r="V165" s="2994">
        <v>0.54169999999999996</v>
      </c>
      <c r="W165" s="2994">
        <v>0.55189999999999995</v>
      </c>
      <c r="X165" s="2994">
        <v>0.58740000000000003</v>
      </c>
      <c r="Y165" s="2994">
        <v>0.5665</v>
      </c>
      <c r="Z165" s="2994">
        <v>0.56620000000000004</v>
      </c>
      <c r="AA165" s="2994">
        <v>0.55689999999999995</v>
      </c>
      <c r="AB165" s="2994">
        <v>0.58779999999999999</v>
      </c>
      <c r="AC165" s="2994">
        <v>0.53090000000000004</v>
      </c>
      <c r="AD165" s="2994">
        <v>0.52</v>
      </c>
      <c r="AE165" s="2994">
        <v>0.55579999999999996</v>
      </c>
      <c r="AF165" s="2994">
        <v>0.52990000000000004</v>
      </c>
      <c r="AG165" s="2994">
        <v>0.54710000000000003</v>
      </c>
      <c r="AH165" s="2994">
        <v>0.56810000000000005</v>
      </c>
      <c r="AI165" s="2994">
        <v>0.56140000000000001</v>
      </c>
      <c r="AJ165" s="2994">
        <v>0.59540000000000004</v>
      </c>
      <c r="AK165" s="2994">
        <v>0.4657</v>
      </c>
      <c r="AL165" s="2994">
        <v>0.46929999999999999</v>
      </c>
      <c r="AM165" s="2994">
        <v>0.496</v>
      </c>
      <c r="AN165" s="2994">
        <v>0.47170000000000001</v>
      </c>
      <c r="AO165" s="2994">
        <v>0.4909</v>
      </c>
      <c r="AP165" s="2994">
        <v>0.47760000000000002</v>
      </c>
      <c r="AQ165" s="2994">
        <v>0.49659999999999999</v>
      </c>
      <c r="AR165" s="2994">
        <v>0.52039999999999997</v>
      </c>
      <c r="AS165" s="2994">
        <v>0.55769999999999997</v>
      </c>
      <c r="AT165" s="2994">
        <v>0.55149999999999999</v>
      </c>
      <c r="AU165" s="2994">
        <v>0.56520000000000004</v>
      </c>
      <c r="AV165" s="2994">
        <v>0.53969999999999996</v>
      </c>
      <c r="AW165" s="2994">
        <v>0.55320000000000003</v>
      </c>
      <c r="AX165" s="2994">
        <v>0.54459999999999997</v>
      </c>
      <c r="AY165" s="2994">
        <v>0.57079999999999997</v>
      </c>
      <c r="AZ165" s="2994">
        <v>0.58009999999999995</v>
      </c>
      <c r="BA165" s="2994">
        <v>0.58940000000000003</v>
      </c>
      <c r="BB165" s="2994">
        <v>0.63819999999999999</v>
      </c>
      <c r="BC165" s="2994">
        <v>0.66690000000000005</v>
      </c>
      <c r="BD165" s="3471">
        <v>0.62629999999999997</v>
      </c>
      <c r="BE165" s="3471">
        <v>0.65500000000000003</v>
      </c>
      <c r="BF165" s="3471">
        <v>0.62019999999999997</v>
      </c>
    </row>
    <row r="166" spans="1:58">
      <c r="A166" s="1817" t="str">
        <f t="shared" si="5"/>
        <v>AfricaRoots and Tubers,Total + (Total)</v>
      </c>
      <c r="B166" s="1818" t="s">
        <v>297</v>
      </c>
      <c r="C166" s="1818" t="s">
        <v>7234</v>
      </c>
      <c r="D166" s="3463" t="str">
        <f>VLOOKUP(B166,List_Yield!$G$4:$J$14,4,FALSE)</f>
        <v>Africa</v>
      </c>
      <c r="E166" s="3463" t="str">
        <f t="shared" si="4"/>
        <v>AfricaRoots and Tubers,Total + (Total)</v>
      </c>
      <c r="F166" s="2994">
        <v>5.7790999999999997</v>
      </c>
      <c r="G166" s="2994">
        <v>5.7336</v>
      </c>
      <c r="H166" s="2994">
        <v>5.8255999999999997</v>
      </c>
      <c r="I166" s="2994">
        <v>5.8441999999999998</v>
      </c>
      <c r="J166" s="2994">
        <v>6.0487000000000002</v>
      </c>
      <c r="K166" s="2994">
        <v>6.1406000000000001</v>
      </c>
      <c r="L166" s="2994">
        <v>6.2005999999999997</v>
      </c>
      <c r="M166" s="2994">
        <v>6.1265999999999998</v>
      </c>
      <c r="N166" s="2994">
        <v>6.1912000000000003</v>
      </c>
      <c r="O166" s="2994">
        <v>6.2348999999999997</v>
      </c>
      <c r="P166" s="2994">
        <v>5.8703000000000003</v>
      </c>
      <c r="Q166" s="2994">
        <v>5.8221999999999996</v>
      </c>
      <c r="R166" s="2994">
        <v>5.8520000000000003</v>
      </c>
      <c r="S166" s="2994">
        <v>6.0053999999999998</v>
      </c>
      <c r="T166" s="2994">
        <v>6.4109999999999996</v>
      </c>
      <c r="U166" s="2994">
        <v>6.4132999999999996</v>
      </c>
      <c r="V166" s="2994">
        <v>6.6132999999999997</v>
      </c>
      <c r="W166" s="2994">
        <v>6.5679999999999996</v>
      </c>
      <c r="X166" s="2994">
        <v>6.7809999999999997</v>
      </c>
      <c r="Y166" s="2994">
        <v>6.8589000000000002</v>
      </c>
      <c r="Z166" s="2994">
        <v>6.6722000000000001</v>
      </c>
      <c r="AA166" s="2994">
        <v>6.6801000000000004</v>
      </c>
      <c r="AB166" s="2994">
        <v>6.7214999999999998</v>
      </c>
      <c r="AC166" s="2994">
        <v>6.6816000000000004</v>
      </c>
      <c r="AD166" s="2994">
        <v>7.0761000000000003</v>
      </c>
      <c r="AE166" s="2994">
        <v>7.1551999999999998</v>
      </c>
      <c r="AF166" s="2994">
        <v>7.1845999999999997</v>
      </c>
      <c r="AG166" s="2994">
        <v>7.5521000000000003</v>
      </c>
      <c r="AH166" s="2994">
        <v>7.5236999999999998</v>
      </c>
      <c r="AI166" s="2994">
        <v>7.8491</v>
      </c>
      <c r="AJ166" s="2994">
        <v>7.9828999999999999</v>
      </c>
      <c r="AK166" s="2994">
        <v>8.0244</v>
      </c>
      <c r="AL166" s="2994">
        <v>8.1563999999999997</v>
      </c>
      <c r="AM166" s="2994">
        <v>8.0709999999999997</v>
      </c>
      <c r="AN166" s="2994">
        <v>8.1057000000000006</v>
      </c>
      <c r="AO166" s="2994">
        <v>8.1193000000000008</v>
      </c>
      <c r="AP166" s="2994">
        <v>8.4268999999999998</v>
      </c>
      <c r="AQ166" s="2994">
        <v>8.1407000000000007</v>
      </c>
      <c r="AR166" s="2994">
        <v>8.1220999999999997</v>
      </c>
      <c r="AS166" s="2994">
        <v>8.1469000000000005</v>
      </c>
      <c r="AT166" s="2994">
        <v>8.2783999999999995</v>
      </c>
      <c r="AU166" s="2994">
        <v>8.3407</v>
      </c>
      <c r="AV166" s="2994">
        <v>8.4001999999999999</v>
      </c>
      <c r="AW166" s="2994">
        <v>8.5814000000000004</v>
      </c>
      <c r="AX166" s="2994">
        <v>8.8064</v>
      </c>
      <c r="AY166" s="2994">
        <v>9.1739999999999995</v>
      </c>
      <c r="AZ166" s="2994">
        <v>8.73</v>
      </c>
      <c r="BA166" s="2994">
        <v>9.4208999999999996</v>
      </c>
      <c r="BB166" s="2994">
        <v>8.9720999999999993</v>
      </c>
      <c r="BC166" s="2994">
        <v>9.6050000000000004</v>
      </c>
      <c r="BD166" s="3471">
        <v>10.0318</v>
      </c>
      <c r="BE166" s="3471">
        <v>10.180099999999999</v>
      </c>
      <c r="BF166" s="3471">
        <v>10.4839</v>
      </c>
    </row>
    <row r="167" spans="1:58">
      <c r="A167" s="1817" t="str">
        <f t="shared" si="5"/>
        <v>Northern AmericaAgave fibres nes</v>
      </c>
      <c r="B167" s="1818" t="s">
        <v>1318</v>
      </c>
      <c r="C167" s="1818" t="s">
        <v>7282</v>
      </c>
      <c r="D167" s="3463" t="str">
        <f>VLOOKUP(B167,List_Yield!$G$4:$J$14,4,FALSE)</f>
        <v>North America</v>
      </c>
      <c r="E167" s="3463" t="str">
        <f t="shared" si="4"/>
        <v>North AmericaAgave fibres nes</v>
      </c>
      <c r="F167" s="2994">
        <v>0</v>
      </c>
      <c r="G167" s="2994">
        <v>0</v>
      </c>
      <c r="H167" s="2994">
        <v>0</v>
      </c>
      <c r="I167" s="2994">
        <v>0</v>
      </c>
      <c r="J167" s="2994">
        <v>0</v>
      </c>
      <c r="K167" s="2994">
        <v>0</v>
      </c>
      <c r="L167" s="2994">
        <v>0</v>
      </c>
      <c r="M167" s="2994">
        <v>0</v>
      </c>
      <c r="N167" s="2994">
        <v>0</v>
      </c>
      <c r="O167" s="2994">
        <v>0</v>
      </c>
      <c r="P167" s="2994">
        <v>0</v>
      </c>
      <c r="Q167" s="2994">
        <v>0</v>
      </c>
      <c r="R167" s="2994">
        <v>0</v>
      </c>
      <c r="S167" s="2994">
        <v>0</v>
      </c>
      <c r="T167" s="2994">
        <v>0</v>
      </c>
      <c r="U167" s="2994">
        <v>0</v>
      </c>
      <c r="V167" s="2994">
        <v>0</v>
      </c>
      <c r="W167" s="2994">
        <v>0</v>
      </c>
      <c r="X167" s="2994">
        <v>0</v>
      </c>
      <c r="Y167" s="2994">
        <v>0</v>
      </c>
      <c r="Z167" s="2994">
        <v>0</v>
      </c>
      <c r="AA167" s="2994">
        <v>0</v>
      </c>
      <c r="AB167" s="2994">
        <v>0</v>
      </c>
      <c r="AC167" s="2994">
        <v>0</v>
      </c>
      <c r="AD167" s="2994">
        <v>0</v>
      </c>
      <c r="AE167" s="2994">
        <v>0</v>
      </c>
      <c r="AF167" s="2994">
        <v>0</v>
      </c>
      <c r="AG167" s="2994">
        <v>0</v>
      </c>
      <c r="AH167" s="2994">
        <v>0</v>
      </c>
      <c r="AI167" s="2994">
        <v>0</v>
      </c>
      <c r="AJ167" s="2994">
        <v>0</v>
      </c>
      <c r="AK167" s="2994">
        <v>0</v>
      </c>
      <c r="AL167" s="2994">
        <v>0</v>
      </c>
      <c r="AM167" s="2994">
        <v>0</v>
      </c>
      <c r="AN167" s="2994">
        <v>0</v>
      </c>
      <c r="AO167" s="2994">
        <v>0</v>
      </c>
      <c r="AP167" s="2994">
        <v>0</v>
      </c>
      <c r="AQ167" s="2994">
        <v>0</v>
      </c>
      <c r="AR167" s="2994">
        <v>0</v>
      </c>
      <c r="AS167" s="2994">
        <v>0</v>
      </c>
      <c r="AT167" s="2994">
        <v>0</v>
      </c>
      <c r="AU167" s="2994">
        <v>0</v>
      </c>
      <c r="AV167" s="2994">
        <v>0</v>
      </c>
      <c r="AW167" s="2994">
        <v>0</v>
      </c>
      <c r="AX167" s="2994">
        <v>0</v>
      </c>
      <c r="AY167" s="2994">
        <v>0</v>
      </c>
      <c r="AZ167" s="2994">
        <v>0</v>
      </c>
      <c r="BA167" s="2994">
        <v>0</v>
      </c>
      <c r="BB167" s="2994">
        <v>0</v>
      </c>
      <c r="BC167" s="2994">
        <v>0</v>
      </c>
      <c r="BD167" s="3471">
        <v>0</v>
      </c>
      <c r="BE167" s="3471">
        <v>0</v>
      </c>
      <c r="BF167" s="3471">
        <v>0</v>
      </c>
    </row>
    <row r="168" spans="1:58">
      <c r="A168" s="1817" t="str">
        <f t="shared" si="5"/>
        <v>Northern AmericaAlmonds, with shell</v>
      </c>
      <c r="B168" s="1818" t="s">
        <v>1318</v>
      </c>
      <c r="C168" s="1818" t="s">
        <v>7283</v>
      </c>
      <c r="D168" s="3463" t="str">
        <f>VLOOKUP(B168,List_Yield!$G$4:$J$14,4,FALSE)</f>
        <v>North America</v>
      </c>
      <c r="E168" s="3463" t="str">
        <f t="shared" si="4"/>
        <v>North AmericaAlmonds, with shell</v>
      </c>
      <c r="F168" s="2994">
        <v>1.6669</v>
      </c>
      <c r="G168" s="2994">
        <v>1.1557999999999999</v>
      </c>
      <c r="H168" s="2994">
        <v>1.3684000000000001</v>
      </c>
      <c r="I168" s="2994">
        <v>1.6516999999999999</v>
      </c>
      <c r="J168" s="2994">
        <v>1.3932</v>
      </c>
      <c r="K168" s="2994">
        <v>1.6126</v>
      </c>
      <c r="L168" s="2994">
        <v>1.3781000000000001</v>
      </c>
      <c r="M168" s="2994">
        <v>1.2362</v>
      </c>
      <c r="N168" s="2994">
        <v>1.8354999999999999</v>
      </c>
      <c r="O168" s="2994">
        <v>1.6359999999999999</v>
      </c>
      <c r="P168" s="2994">
        <v>1.5994999999999999</v>
      </c>
      <c r="Q168" s="2994">
        <v>1.4088000000000001</v>
      </c>
      <c r="R168" s="2994">
        <v>1.4063000000000001</v>
      </c>
      <c r="S168" s="2994">
        <v>1.8326</v>
      </c>
      <c r="T168" s="2994">
        <v>1.4417</v>
      </c>
      <c r="U168" s="2994">
        <v>2.0251999999999999</v>
      </c>
      <c r="V168" s="2994">
        <v>2.0188000000000001</v>
      </c>
      <c r="W168" s="2994">
        <v>1.0396000000000001</v>
      </c>
      <c r="X168" s="2994">
        <v>2.1006</v>
      </c>
      <c r="Y168" s="2994">
        <v>1.8137000000000001</v>
      </c>
      <c r="Z168" s="2994">
        <v>2.298</v>
      </c>
      <c r="AA168" s="2994">
        <v>1.8748</v>
      </c>
      <c r="AB168" s="2994">
        <v>1.2356</v>
      </c>
      <c r="AC168" s="2994">
        <v>2.8473000000000002</v>
      </c>
      <c r="AD168" s="2994">
        <v>2.1267999999999998</v>
      </c>
      <c r="AE168" s="2994">
        <v>1.125</v>
      </c>
      <c r="AF168" s="2994">
        <v>2.9630000000000001</v>
      </c>
      <c r="AG168" s="2994">
        <v>2.6356000000000002</v>
      </c>
      <c r="AH168" s="2994">
        <v>2.2317</v>
      </c>
      <c r="AI168" s="2994">
        <v>3.0049000000000001</v>
      </c>
      <c r="AJ168" s="2994">
        <v>2.2648000000000001</v>
      </c>
      <c r="AK168" s="2994">
        <v>2.5400999999999998</v>
      </c>
      <c r="AL168" s="2994">
        <v>2.1766999999999999</v>
      </c>
      <c r="AM168" s="2994">
        <v>3.0246</v>
      </c>
      <c r="AN168" s="2994">
        <v>1.6315999999999999</v>
      </c>
      <c r="AO168" s="2994">
        <v>2.2258</v>
      </c>
      <c r="AP168" s="2994">
        <v>3.0295000000000001</v>
      </c>
      <c r="AQ168" s="2994">
        <v>2.0838000000000001</v>
      </c>
      <c r="AR168" s="2994">
        <v>3.2063000000000001</v>
      </c>
      <c r="AS168" s="2994">
        <v>2.6341999999999999</v>
      </c>
      <c r="AT168" s="2994">
        <v>2.8401999999999998</v>
      </c>
      <c r="AU168" s="2994">
        <v>3.6274999999999999</v>
      </c>
      <c r="AV168" s="2994">
        <v>3.5325000000000002</v>
      </c>
      <c r="AW168" s="2994">
        <v>3.4074</v>
      </c>
      <c r="AX168" s="2994">
        <v>2.9969000000000001</v>
      </c>
      <c r="AY168" s="2994">
        <v>3.6049000000000002</v>
      </c>
      <c r="AZ168" s="2994">
        <v>4.6829999999999998</v>
      </c>
      <c r="BA168" s="2994">
        <v>5.1238000000000001</v>
      </c>
      <c r="BB168" s="2994">
        <v>3.9887000000000001</v>
      </c>
      <c r="BC168" s="2994">
        <v>4.8521999999999998</v>
      </c>
      <c r="BD168" s="3471">
        <v>2.3774999999999999</v>
      </c>
      <c r="BE168" s="3471">
        <v>2.2814000000000001</v>
      </c>
      <c r="BF168" s="3471">
        <v>0</v>
      </c>
    </row>
    <row r="169" spans="1:58">
      <c r="A169" s="1817" t="str">
        <f t="shared" si="5"/>
        <v>Northern AmericaAnise, badian, fennel, coriander</v>
      </c>
      <c r="B169" s="1818" t="s">
        <v>1318</v>
      </c>
      <c r="C169" s="1818" t="s">
        <v>7284</v>
      </c>
      <c r="D169" s="3463" t="str">
        <f>VLOOKUP(B169,List_Yield!$G$4:$J$14,4,FALSE)</f>
        <v>North America</v>
      </c>
      <c r="E169" s="3463" t="str">
        <f t="shared" si="4"/>
        <v>North AmericaAnise, badian, fennel, coriander</v>
      </c>
      <c r="F169" s="2994">
        <v>0</v>
      </c>
      <c r="G169" s="2994">
        <v>0</v>
      </c>
      <c r="H169" s="2994">
        <v>0</v>
      </c>
      <c r="I169" s="2994">
        <v>0</v>
      </c>
      <c r="J169" s="2994">
        <v>0</v>
      </c>
      <c r="K169" s="2994">
        <v>0</v>
      </c>
      <c r="L169" s="2994">
        <v>0</v>
      </c>
      <c r="M169" s="2994">
        <v>0</v>
      </c>
      <c r="N169" s="2994">
        <v>0</v>
      </c>
      <c r="O169" s="2994">
        <v>0</v>
      </c>
      <c r="P169" s="2994">
        <v>0</v>
      </c>
      <c r="Q169" s="2994">
        <v>0</v>
      </c>
      <c r="R169" s="2994">
        <v>0</v>
      </c>
      <c r="S169" s="2994">
        <v>0</v>
      </c>
      <c r="T169" s="2994">
        <v>0</v>
      </c>
      <c r="U169" s="2994">
        <v>0</v>
      </c>
      <c r="V169" s="2994">
        <v>0</v>
      </c>
      <c r="W169" s="2994">
        <v>0</v>
      </c>
      <c r="X169" s="2994">
        <v>0</v>
      </c>
      <c r="Y169" s="2994">
        <v>0</v>
      </c>
      <c r="Z169" s="2994">
        <v>0</v>
      </c>
      <c r="AA169" s="2994">
        <v>0</v>
      </c>
      <c r="AB169" s="2994">
        <v>0</v>
      </c>
      <c r="AC169" s="2994">
        <v>0</v>
      </c>
      <c r="AD169" s="2994">
        <v>0</v>
      </c>
      <c r="AE169" s="2994">
        <v>0</v>
      </c>
      <c r="AF169" s="2994">
        <v>0</v>
      </c>
      <c r="AG169" s="2994">
        <v>0</v>
      </c>
      <c r="AH169" s="2994">
        <v>0</v>
      </c>
      <c r="AI169" s="2994">
        <v>0</v>
      </c>
      <c r="AJ169" s="2994">
        <v>0</v>
      </c>
      <c r="AK169" s="2994">
        <v>0</v>
      </c>
      <c r="AL169" s="2994">
        <v>0</v>
      </c>
      <c r="AM169" s="2994">
        <v>0</v>
      </c>
      <c r="AN169" s="2994">
        <v>0</v>
      </c>
      <c r="AO169" s="2994">
        <v>0</v>
      </c>
      <c r="AP169" s="2994">
        <v>0</v>
      </c>
      <c r="AQ169" s="2994">
        <v>0</v>
      </c>
      <c r="AR169" s="2994">
        <v>0</v>
      </c>
      <c r="AS169" s="2994">
        <v>0</v>
      </c>
      <c r="AT169" s="2994">
        <v>0.32790000000000002</v>
      </c>
      <c r="AU169" s="2994">
        <v>0.56720000000000004</v>
      </c>
      <c r="AV169" s="2994">
        <v>0.56340000000000001</v>
      </c>
      <c r="AW169" s="2994">
        <v>0.73760000000000003</v>
      </c>
      <c r="AX169" s="2994">
        <v>0.95699999999999996</v>
      </c>
      <c r="AY169" s="2994">
        <v>0.52839999999999998</v>
      </c>
      <c r="AZ169" s="2994">
        <v>0.76390000000000002</v>
      </c>
      <c r="BA169" s="2994">
        <v>0.65439999999999998</v>
      </c>
      <c r="BB169" s="2994">
        <v>0.70179999999999998</v>
      </c>
      <c r="BC169" s="2994">
        <v>0.70179999999999998</v>
      </c>
      <c r="BD169" s="3471">
        <v>0.70179999999999998</v>
      </c>
      <c r="BE169" s="3471">
        <v>0.70689999999999997</v>
      </c>
      <c r="BF169" s="3471">
        <v>0</v>
      </c>
    </row>
    <row r="170" spans="1:58">
      <c r="A170" s="1817" t="str">
        <f t="shared" si="5"/>
        <v>Northern AmericaApples</v>
      </c>
      <c r="B170" s="1818" t="s">
        <v>1318</v>
      </c>
      <c r="C170" s="1818" t="s">
        <v>7285</v>
      </c>
      <c r="D170" s="3463" t="str">
        <f>VLOOKUP(B170,List_Yield!$G$4:$J$14,4,FALSE)</f>
        <v>North America</v>
      </c>
      <c r="E170" s="3463" t="str">
        <f t="shared" si="4"/>
        <v>North AmericaApples</v>
      </c>
      <c r="F170" s="2994">
        <v>13.463699999999999</v>
      </c>
      <c r="G170" s="2994">
        <v>13.5053</v>
      </c>
      <c r="H170" s="2994">
        <v>13.5474</v>
      </c>
      <c r="I170" s="2994">
        <v>14.7742</v>
      </c>
      <c r="J170" s="2994">
        <v>14.820600000000001</v>
      </c>
      <c r="K170" s="2994">
        <v>14.4122</v>
      </c>
      <c r="L170" s="2994">
        <v>13.888500000000001</v>
      </c>
      <c r="M170" s="2994">
        <v>14.232100000000001</v>
      </c>
      <c r="N170" s="2994">
        <v>17.2638</v>
      </c>
      <c r="O170" s="2994">
        <v>16.334700000000002</v>
      </c>
      <c r="P170" s="2994">
        <v>16.4008</v>
      </c>
      <c r="Q170" s="2994">
        <v>15.189</v>
      </c>
      <c r="R170" s="2994">
        <v>16.299800000000001</v>
      </c>
      <c r="S170" s="2994">
        <v>17.0367</v>
      </c>
      <c r="T170" s="2994">
        <v>18.9971</v>
      </c>
      <c r="U170" s="2994">
        <v>16.540099999999999</v>
      </c>
      <c r="V170" s="2994">
        <v>17.127199999999998</v>
      </c>
      <c r="W170" s="2994">
        <v>18.850100000000001</v>
      </c>
      <c r="X170" s="2994">
        <v>19.9556</v>
      </c>
      <c r="Y170" s="2994">
        <v>20.728400000000001</v>
      </c>
      <c r="Z170" s="2994">
        <v>19.469100000000001</v>
      </c>
      <c r="AA170" s="2994">
        <v>20.018699999999999</v>
      </c>
      <c r="AB170" s="2994">
        <v>20.312100000000001</v>
      </c>
      <c r="AC170" s="2994">
        <v>20.416799999999999</v>
      </c>
      <c r="AD170" s="2994">
        <v>19.532399999999999</v>
      </c>
      <c r="AE170" s="2994">
        <v>19.374500000000001</v>
      </c>
      <c r="AF170" s="2994">
        <v>25.172000000000001</v>
      </c>
      <c r="AG170" s="2994">
        <v>21.3752</v>
      </c>
      <c r="AH170" s="2994">
        <v>22.353200000000001</v>
      </c>
      <c r="AI170" s="2994">
        <v>21.9222</v>
      </c>
      <c r="AJ170" s="2994">
        <v>23.047799999999999</v>
      </c>
      <c r="AK170" s="2994">
        <v>24.7698</v>
      </c>
      <c r="AL170" s="2994">
        <v>24.3629</v>
      </c>
      <c r="AM170" s="2994">
        <v>26.322600000000001</v>
      </c>
      <c r="AN170" s="2994">
        <v>24.692</v>
      </c>
      <c r="AO170" s="2994">
        <v>23.892800000000001</v>
      </c>
      <c r="AP170" s="2994">
        <v>23.864100000000001</v>
      </c>
      <c r="AQ170" s="2994">
        <v>26.699000000000002</v>
      </c>
      <c r="AR170" s="2994">
        <v>25.6038</v>
      </c>
      <c r="AS170" s="2994">
        <v>26.2315</v>
      </c>
      <c r="AT170" s="2994">
        <v>24.612100000000002</v>
      </c>
      <c r="AU170" s="2994">
        <v>23.555399999999999</v>
      </c>
      <c r="AV170" s="2994">
        <v>24.21</v>
      </c>
      <c r="AW170" s="2994">
        <v>29.0778</v>
      </c>
      <c r="AX170" s="2994">
        <v>27.812100000000001</v>
      </c>
      <c r="AY170" s="2994">
        <v>28.6463</v>
      </c>
      <c r="AZ170" s="2994">
        <v>28.351700000000001</v>
      </c>
      <c r="BA170" s="2994">
        <v>30.0366</v>
      </c>
      <c r="BB170" s="2994">
        <v>30.6374</v>
      </c>
      <c r="BC170" s="2994">
        <v>29.655799999999999</v>
      </c>
      <c r="BD170" s="3471">
        <v>31.166499999999999</v>
      </c>
      <c r="BE170" s="3471">
        <v>29.564800000000002</v>
      </c>
      <c r="BF170" s="3471">
        <v>0</v>
      </c>
    </row>
    <row r="171" spans="1:58">
      <c r="A171" s="1817" t="str">
        <f t="shared" si="5"/>
        <v>Northern AmericaApricots</v>
      </c>
      <c r="B171" s="1818" t="s">
        <v>1318</v>
      </c>
      <c r="C171" s="1818" t="s">
        <v>7286</v>
      </c>
      <c r="D171" s="3463" t="str">
        <f>VLOOKUP(B171,List_Yield!$G$4:$J$14,4,FALSE)</f>
        <v>North America</v>
      </c>
      <c r="E171" s="3463" t="str">
        <f t="shared" si="4"/>
        <v>North AmericaApricots</v>
      </c>
      <c r="F171" s="2994">
        <v>10.569000000000001</v>
      </c>
      <c r="G171" s="2994">
        <v>9.5536999999999992</v>
      </c>
      <c r="H171" s="2994">
        <v>11.4816</v>
      </c>
      <c r="I171" s="2994">
        <v>12.126099999999999</v>
      </c>
      <c r="J171" s="2994">
        <v>13.2394</v>
      </c>
      <c r="K171" s="2994">
        <v>11.352499999999999</v>
      </c>
      <c r="L171" s="2994">
        <v>8.9250000000000007</v>
      </c>
      <c r="M171" s="2994">
        <v>9.1251999999999995</v>
      </c>
      <c r="N171" s="2994">
        <v>14.0337</v>
      </c>
      <c r="O171" s="2994">
        <v>11.406599999999999</v>
      </c>
      <c r="P171" s="2994">
        <v>12.821300000000001</v>
      </c>
      <c r="Q171" s="2994">
        <v>9.2377000000000002</v>
      </c>
      <c r="R171" s="2994">
        <v>11.918799999999999</v>
      </c>
      <c r="S171" s="2994">
        <v>7.0540000000000003</v>
      </c>
      <c r="T171" s="2994">
        <v>13.577</v>
      </c>
      <c r="U171" s="2994">
        <v>12.0616</v>
      </c>
      <c r="V171" s="2994">
        <v>11.5947</v>
      </c>
      <c r="W171" s="2994">
        <v>10.0703</v>
      </c>
      <c r="X171" s="2994">
        <v>12.830500000000001</v>
      </c>
      <c r="Y171" s="2994">
        <v>11.480700000000001</v>
      </c>
      <c r="Z171" s="2994">
        <v>8.4573999999999998</v>
      </c>
      <c r="AA171" s="2994">
        <v>11.398300000000001</v>
      </c>
      <c r="AB171" s="2994">
        <v>9.3557000000000006</v>
      </c>
      <c r="AC171" s="2994">
        <v>13.1965</v>
      </c>
      <c r="AD171" s="2994">
        <v>14.177</v>
      </c>
      <c r="AE171" s="2994">
        <v>6.1833</v>
      </c>
      <c r="AF171" s="2994">
        <v>12.787699999999999</v>
      </c>
      <c r="AG171" s="2994">
        <v>11.4984</v>
      </c>
      <c r="AH171" s="2994">
        <v>14.313499999999999</v>
      </c>
      <c r="AI171" s="2994">
        <v>14.4739</v>
      </c>
      <c r="AJ171" s="2994">
        <v>11.379200000000001</v>
      </c>
      <c r="AK171" s="2994">
        <v>11.976900000000001</v>
      </c>
      <c r="AL171" s="2994">
        <v>10.3139</v>
      </c>
      <c r="AM171" s="2994">
        <v>15.882</v>
      </c>
      <c r="AN171" s="2994">
        <v>6.4272999999999998</v>
      </c>
      <c r="AO171" s="2994">
        <v>8.1123999999999992</v>
      </c>
      <c r="AP171" s="2994">
        <v>14.4391</v>
      </c>
      <c r="AQ171" s="2994">
        <v>12.227</v>
      </c>
      <c r="AR171" s="2994">
        <v>9.8350000000000009</v>
      </c>
      <c r="AS171" s="2994">
        <v>9.5968</v>
      </c>
      <c r="AT171" s="2994">
        <v>9.4423999999999992</v>
      </c>
      <c r="AU171" s="2994">
        <v>11.449199999999999</v>
      </c>
      <c r="AV171" s="2994">
        <v>12.0809</v>
      </c>
      <c r="AW171" s="2994">
        <v>12.881500000000001</v>
      </c>
      <c r="AX171" s="2994">
        <v>11.5131</v>
      </c>
      <c r="AY171" s="2994">
        <v>6.4458000000000002</v>
      </c>
      <c r="AZ171" s="2994">
        <v>15.4679</v>
      </c>
      <c r="BA171" s="2994">
        <v>14.363099999999999</v>
      </c>
      <c r="BB171" s="2994">
        <v>12.406700000000001</v>
      </c>
      <c r="BC171" s="2994">
        <v>12.1508</v>
      </c>
      <c r="BD171" s="3471">
        <v>12.141</v>
      </c>
      <c r="BE171" s="3471">
        <v>11.1059</v>
      </c>
      <c r="BF171" s="3471">
        <v>0</v>
      </c>
    </row>
    <row r="172" spans="1:58">
      <c r="A172" s="1817" t="str">
        <f t="shared" si="5"/>
        <v>Northern AmericaAreca nuts</v>
      </c>
      <c r="B172" s="1818" t="s">
        <v>1318</v>
      </c>
      <c r="C172" s="1818" t="s">
        <v>7287</v>
      </c>
      <c r="D172" s="3463" t="str">
        <f>VLOOKUP(B172,List_Yield!$G$4:$J$14,4,FALSE)</f>
        <v>North America</v>
      </c>
      <c r="E172" s="3463" t="str">
        <f t="shared" si="4"/>
        <v>North AmericaAreca nuts</v>
      </c>
      <c r="F172" s="2994">
        <v>0</v>
      </c>
      <c r="G172" s="2994">
        <v>0</v>
      </c>
      <c r="H172" s="2994">
        <v>0</v>
      </c>
      <c r="I172" s="2994">
        <v>0</v>
      </c>
      <c r="J172" s="2994">
        <v>0</v>
      </c>
      <c r="K172" s="2994">
        <v>0</v>
      </c>
      <c r="L172" s="2994">
        <v>0</v>
      </c>
      <c r="M172" s="2994">
        <v>0</v>
      </c>
      <c r="N172" s="2994">
        <v>0</v>
      </c>
      <c r="O172" s="2994">
        <v>0</v>
      </c>
      <c r="P172" s="2994">
        <v>0</v>
      </c>
      <c r="Q172" s="2994">
        <v>0</v>
      </c>
      <c r="R172" s="2994">
        <v>0</v>
      </c>
      <c r="S172" s="2994">
        <v>0</v>
      </c>
      <c r="T172" s="2994">
        <v>0</v>
      </c>
      <c r="U172" s="2994">
        <v>0</v>
      </c>
      <c r="V172" s="2994">
        <v>0</v>
      </c>
      <c r="W172" s="2994">
        <v>0</v>
      </c>
      <c r="X172" s="2994">
        <v>0</v>
      </c>
      <c r="Y172" s="2994">
        <v>0</v>
      </c>
      <c r="Z172" s="2994">
        <v>0</v>
      </c>
      <c r="AA172" s="2994">
        <v>0</v>
      </c>
      <c r="AB172" s="2994">
        <v>0</v>
      </c>
      <c r="AC172" s="2994">
        <v>0</v>
      </c>
      <c r="AD172" s="2994">
        <v>0</v>
      </c>
      <c r="AE172" s="2994">
        <v>0</v>
      </c>
      <c r="AF172" s="2994">
        <v>0</v>
      </c>
      <c r="AG172" s="2994">
        <v>0</v>
      </c>
      <c r="AH172" s="2994">
        <v>0</v>
      </c>
      <c r="AI172" s="2994">
        <v>0</v>
      </c>
      <c r="AJ172" s="2994">
        <v>0</v>
      </c>
      <c r="AK172" s="2994">
        <v>0</v>
      </c>
      <c r="AL172" s="2994">
        <v>0</v>
      </c>
      <c r="AM172" s="2994">
        <v>0</v>
      </c>
      <c r="AN172" s="2994">
        <v>0</v>
      </c>
      <c r="AO172" s="2994">
        <v>0</v>
      </c>
      <c r="AP172" s="2994">
        <v>0</v>
      </c>
      <c r="AQ172" s="2994">
        <v>0</v>
      </c>
      <c r="AR172" s="2994">
        <v>0</v>
      </c>
      <c r="AS172" s="2994">
        <v>0</v>
      </c>
      <c r="AT172" s="2994">
        <v>0</v>
      </c>
      <c r="AU172" s="2994">
        <v>0</v>
      </c>
      <c r="AV172" s="2994">
        <v>0</v>
      </c>
      <c r="AW172" s="2994">
        <v>0</v>
      </c>
      <c r="AX172" s="2994">
        <v>0</v>
      </c>
      <c r="AY172" s="2994">
        <v>0</v>
      </c>
      <c r="AZ172" s="2994">
        <v>0</v>
      </c>
      <c r="BA172" s="2994">
        <v>0</v>
      </c>
      <c r="BB172" s="2994">
        <v>0</v>
      </c>
      <c r="BC172" s="2994">
        <v>0</v>
      </c>
      <c r="BD172" s="3471">
        <v>0</v>
      </c>
      <c r="BE172" s="3471">
        <v>0</v>
      </c>
      <c r="BF172" s="3471">
        <v>0</v>
      </c>
    </row>
    <row r="173" spans="1:58">
      <c r="A173" s="1817" t="str">
        <f t="shared" si="5"/>
        <v>Northern AmericaArtichokes</v>
      </c>
      <c r="B173" s="1818" t="s">
        <v>1318</v>
      </c>
      <c r="C173" s="1818" t="s">
        <v>7288</v>
      </c>
      <c r="D173" s="3463" t="str">
        <f>VLOOKUP(B173,List_Yield!$G$4:$J$14,4,FALSE)</f>
        <v>North America</v>
      </c>
      <c r="E173" s="3463" t="str">
        <f t="shared" si="4"/>
        <v>North AmericaArtichokes</v>
      </c>
      <c r="F173" s="2994">
        <v>6.7247000000000003</v>
      </c>
      <c r="G173" s="2994">
        <v>6.1656000000000004</v>
      </c>
      <c r="H173" s="2994">
        <v>6.726</v>
      </c>
      <c r="I173" s="2994">
        <v>7.2914000000000003</v>
      </c>
      <c r="J173" s="2994">
        <v>7.8460999999999999</v>
      </c>
      <c r="K173" s="2994">
        <v>8.4120000000000008</v>
      </c>
      <c r="L173" s="2994">
        <v>8.5229999999999997</v>
      </c>
      <c r="M173" s="2994">
        <v>6.7251000000000003</v>
      </c>
      <c r="N173" s="2994">
        <v>7.2916999999999996</v>
      </c>
      <c r="O173" s="2994">
        <v>6.8380000000000001</v>
      </c>
      <c r="P173" s="2994">
        <v>8.0709999999999997</v>
      </c>
      <c r="Q173" s="2994">
        <v>7.1694000000000004</v>
      </c>
      <c r="R173" s="2994">
        <v>5.6044</v>
      </c>
      <c r="S173" s="2994">
        <v>7.2847999999999997</v>
      </c>
      <c r="T173" s="2994">
        <v>8.0654000000000003</v>
      </c>
      <c r="U173" s="2994">
        <v>8.5219000000000005</v>
      </c>
      <c r="V173" s="2994">
        <v>7.399</v>
      </c>
      <c r="W173" s="2994">
        <v>5.9443000000000001</v>
      </c>
      <c r="X173" s="2994">
        <v>10.088699999999999</v>
      </c>
      <c r="Y173" s="2994">
        <v>11.4411</v>
      </c>
      <c r="Z173" s="2994">
        <v>14.6492</v>
      </c>
      <c r="AA173" s="2994">
        <v>11.370200000000001</v>
      </c>
      <c r="AB173" s="2994">
        <v>8.4484999999999992</v>
      </c>
      <c r="AC173" s="2994">
        <v>9.9659999999999993</v>
      </c>
      <c r="AD173" s="2994">
        <v>12.4642</v>
      </c>
      <c r="AE173" s="2994">
        <v>8.8246000000000002</v>
      </c>
      <c r="AF173" s="2994">
        <v>12.257400000000001</v>
      </c>
      <c r="AG173" s="2994">
        <v>11.7441</v>
      </c>
      <c r="AH173" s="2994">
        <v>12.736599999999999</v>
      </c>
      <c r="AI173" s="2994">
        <v>12.589499999999999</v>
      </c>
      <c r="AJ173" s="2994">
        <v>13.796799999999999</v>
      </c>
      <c r="AK173" s="2994">
        <v>12.890599999999999</v>
      </c>
      <c r="AL173" s="2994">
        <v>12.338699999999999</v>
      </c>
      <c r="AM173" s="2994">
        <v>14.583299999999999</v>
      </c>
      <c r="AN173" s="2994">
        <v>10.3134</v>
      </c>
      <c r="AO173" s="2994">
        <v>11.207700000000001</v>
      </c>
      <c r="AP173" s="2994">
        <v>11.206200000000001</v>
      </c>
      <c r="AQ173" s="2994">
        <v>10.0763</v>
      </c>
      <c r="AR173" s="2994">
        <v>12.853899999999999</v>
      </c>
      <c r="AS173" s="2994">
        <v>12.8933</v>
      </c>
      <c r="AT173" s="2994">
        <v>14</v>
      </c>
      <c r="AU173" s="2994">
        <v>12.8825</v>
      </c>
      <c r="AV173" s="2994">
        <v>15.7113</v>
      </c>
      <c r="AW173" s="2994">
        <v>12.309200000000001</v>
      </c>
      <c r="AX173" s="2994">
        <v>12.3188</v>
      </c>
      <c r="AY173" s="2994">
        <v>9.6760999999999999</v>
      </c>
      <c r="AZ173" s="2994">
        <v>12.313599999999999</v>
      </c>
      <c r="BA173" s="2994">
        <v>14.575799999999999</v>
      </c>
      <c r="BB173" s="2994">
        <v>14.0115</v>
      </c>
      <c r="BC173" s="2994">
        <v>13.4674</v>
      </c>
      <c r="BD173" s="3471">
        <v>15.1538</v>
      </c>
      <c r="BE173" s="3471">
        <v>16.234200000000001</v>
      </c>
      <c r="BF173" s="3471">
        <v>0</v>
      </c>
    </row>
    <row r="174" spans="1:58">
      <c r="A174" s="1817" t="str">
        <f t="shared" si="5"/>
        <v>Northern AmericaAsparagus</v>
      </c>
      <c r="B174" s="1818" t="s">
        <v>1318</v>
      </c>
      <c r="C174" s="1818" t="s">
        <v>7289</v>
      </c>
      <c r="D174" s="3463" t="str">
        <f>VLOOKUP(B174,List_Yield!$G$4:$J$14,4,FALSE)</f>
        <v>North America</v>
      </c>
      <c r="E174" s="3463" t="str">
        <f t="shared" si="4"/>
        <v>North AmericaAsparagus</v>
      </c>
      <c r="F174" s="2994">
        <v>2.7692999999999999</v>
      </c>
      <c r="G174" s="2994">
        <v>2.8208000000000002</v>
      </c>
      <c r="H174" s="2994">
        <v>2.8654000000000002</v>
      </c>
      <c r="I174" s="2994">
        <v>2.7018</v>
      </c>
      <c r="J174" s="2994">
        <v>2.7706</v>
      </c>
      <c r="K174" s="2994">
        <v>2.8658999999999999</v>
      </c>
      <c r="L174" s="2994">
        <v>2.6839</v>
      </c>
      <c r="M174" s="2994">
        <v>2.9296000000000002</v>
      </c>
      <c r="N174" s="2994">
        <v>2.7159</v>
      </c>
      <c r="O174" s="2994">
        <v>2.7317</v>
      </c>
      <c r="P174" s="2994">
        <v>2.7210999999999999</v>
      </c>
      <c r="Q174" s="2994">
        <v>2.6966000000000001</v>
      </c>
      <c r="R174" s="2994">
        <v>2.4634</v>
      </c>
      <c r="S174" s="2994">
        <v>2.5731999999999999</v>
      </c>
      <c r="T174" s="2994">
        <v>2.3191999999999999</v>
      </c>
      <c r="U174" s="2994">
        <v>2.7357</v>
      </c>
      <c r="V174" s="2994">
        <v>2.8054000000000001</v>
      </c>
      <c r="W174" s="2994">
        <v>2.4569999999999999</v>
      </c>
      <c r="X174" s="2994">
        <v>2.6135000000000002</v>
      </c>
      <c r="Y174" s="2994">
        <v>2.2263000000000002</v>
      </c>
      <c r="Z174" s="2994">
        <v>2.3073000000000001</v>
      </c>
      <c r="AA174" s="2994">
        <v>2.2557</v>
      </c>
      <c r="AB174" s="2994">
        <v>2.2418999999999998</v>
      </c>
      <c r="AC174" s="2994">
        <v>2.3028</v>
      </c>
      <c r="AD174" s="2994">
        <v>2.5459000000000001</v>
      </c>
      <c r="AE174" s="2994">
        <v>2.5356999999999998</v>
      </c>
      <c r="AF174" s="2994">
        <v>2.5634999999999999</v>
      </c>
      <c r="AG174" s="2994">
        <v>2.6324999999999998</v>
      </c>
      <c r="AH174" s="2994">
        <v>2.7860999999999998</v>
      </c>
      <c r="AI174" s="2994">
        <v>2.8491</v>
      </c>
      <c r="AJ174" s="2994">
        <v>2.7706</v>
      </c>
      <c r="AK174" s="2994">
        <v>3.0106999999999999</v>
      </c>
      <c r="AL174" s="2994">
        <v>2.9916</v>
      </c>
      <c r="AM174" s="2994">
        <v>3.1429</v>
      </c>
      <c r="AN174" s="2994">
        <v>3.3094000000000001</v>
      </c>
      <c r="AO174" s="2994">
        <v>2.9922</v>
      </c>
      <c r="AP174" s="2994">
        <v>3.0095999999999998</v>
      </c>
      <c r="AQ174" s="2994">
        <v>2.9468999999999999</v>
      </c>
      <c r="AR174" s="2994">
        <v>3.1806999999999999</v>
      </c>
      <c r="AS174" s="2994">
        <v>3.2555000000000001</v>
      </c>
      <c r="AT174" s="2994">
        <v>3.2791000000000001</v>
      </c>
      <c r="AU174" s="2994">
        <v>3.133</v>
      </c>
      <c r="AV174" s="2994">
        <v>3.5015999999999998</v>
      </c>
      <c r="AW174" s="2994">
        <v>3.6829999999999998</v>
      </c>
      <c r="AX174" s="2994">
        <v>3.4481000000000002</v>
      </c>
      <c r="AY174" s="2994">
        <v>2.9963000000000002</v>
      </c>
      <c r="AZ174" s="2994">
        <v>3.7437</v>
      </c>
      <c r="BA174" s="2994">
        <v>3.2675999999999998</v>
      </c>
      <c r="BB174" s="2994">
        <v>3.5552999999999999</v>
      </c>
      <c r="BC174" s="2994">
        <v>3.2606000000000002</v>
      </c>
      <c r="BD174" s="3471">
        <v>3.5449999999999999</v>
      </c>
      <c r="BE174" s="3471">
        <v>3.4735999999999998</v>
      </c>
      <c r="BF174" s="3471">
        <v>0</v>
      </c>
    </row>
    <row r="175" spans="1:58">
      <c r="A175" s="1817" t="str">
        <f t="shared" si="5"/>
        <v>Northern AmericaAvocados</v>
      </c>
      <c r="B175" s="1818" t="s">
        <v>1318</v>
      </c>
      <c r="C175" s="1818" t="s">
        <v>7290</v>
      </c>
      <c r="D175" s="3463" t="str">
        <f>VLOOKUP(B175,List_Yield!$G$4:$J$14,4,FALSE)</f>
        <v>North America</v>
      </c>
      <c r="E175" s="3463" t="str">
        <f t="shared" si="4"/>
        <v>North AmericaAvocados</v>
      </c>
      <c r="F175" s="2994">
        <v>4.899</v>
      </c>
      <c r="G175" s="2994">
        <v>4.4531999999999998</v>
      </c>
      <c r="H175" s="2994">
        <v>5.085</v>
      </c>
      <c r="I175" s="2994">
        <v>3.1137000000000001</v>
      </c>
      <c r="J175" s="2994">
        <v>5.7108999999999996</v>
      </c>
      <c r="K175" s="2994">
        <v>5.7605000000000004</v>
      </c>
      <c r="L175" s="2994">
        <v>7.5282</v>
      </c>
      <c r="M175" s="2994">
        <v>4.7811000000000003</v>
      </c>
      <c r="N175" s="2994">
        <v>7.0788000000000002</v>
      </c>
      <c r="O175" s="2994">
        <v>4.3461999999999996</v>
      </c>
      <c r="P175" s="2994">
        <v>7.89</v>
      </c>
      <c r="Q175" s="2994">
        <v>4.0829000000000004</v>
      </c>
      <c r="R175" s="2994">
        <v>7.5049999999999999</v>
      </c>
      <c r="S175" s="2994">
        <v>5.5498000000000003</v>
      </c>
      <c r="T175" s="2994">
        <v>5.9916</v>
      </c>
      <c r="U175" s="2994">
        <v>8.3133999999999997</v>
      </c>
      <c r="V175" s="2994">
        <v>5.9287000000000001</v>
      </c>
      <c r="W175" s="2994">
        <v>6.3967000000000001</v>
      </c>
      <c r="X175" s="2994">
        <v>3.8601999999999999</v>
      </c>
      <c r="Y175" s="2994">
        <v>8.9816000000000003</v>
      </c>
      <c r="Z175" s="2994">
        <v>5.6136999999999997</v>
      </c>
      <c r="AA175" s="2994">
        <v>6.8038999999999996</v>
      </c>
      <c r="AB175" s="2994">
        <v>7.4001000000000001</v>
      </c>
      <c r="AC175" s="2994">
        <v>6.1253000000000002</v>
      </c>
      <c r="AD175" s="2994">
        <v>4.9593999999999996</v>
      </c>
      <c r="AE175" s="2994">
        <v>7.8723000000000001</v>
      </c>
      <c r="AF175" s="2994">
        <v>5.4420000000000002</v>
      </c>
      <c r="AG175" s="2994">
        <v>5.0086000000000004</v>
      </c>
      <c r="AH175" s="2994">
        <v>3.6276999999999999</v>
      </c>
      <c r="AI175" s="2994">
        <v>4.1875999999999998</v>
      </c>
      <c r="AJ175" s="2994">
        <v>5.0315000000000003</v>
      </c>
      <c r="AK175" s="2994">
        <v>8.0185999999999993</v>
      </c>
      <c r="AL175" s="2994">
        <v>4.4161000000000001</v>
      </c>
      <c r="AM175" s="2994">
        <v>5.8364000000000003</v>
      </c>
      <c r="AN175" s="2994">
        <v>6.3460999999999999</v>
      </c>
      <c r="AO175" s="2994">
        <v>6.4964000000000004</v>
      </c>
      <c r="AP175" s="2994">
        <v>6.0332999999999997</v>
      </c>
      <c r="AQ175" s="2994">
        <v>5.4405000000000001</v>
      </c>
      <c r="AR175" s="2994">
        <v>6.3087999999999997</v>
      </c>
      <c r="AS175" s="2994">
        <v>8.2247000000000003</v>
      </c>
      <c r="AT175" s="2994">
        <v>7.7450000000000001</v>
      </c>
      <c r="AU175" s="2994">
        <v>6.8087</v>
      </c>
      <c r="AV175" s="2994">
        <v>7.8207000000000004</v>
      </c>
      <c r="AW175" s="2994">
        <v>5.8563999999999998</v>
      </c>
      <c r="AX175" s="2994">
        <v>10.359500000000001</v>
      </c>
      <c r="AY175" s="2994">
        <v>8.4967000000000006</v>
      </c>
      <c r="AZ175" s="2994">
        <v>6.5052000000000003</v>
      </c>
      <c r="BA175" s="2994">
        <v>3.5703999999999998</v>
      </c>
      <c r="BB175" s="2994">
        <v>10.097799999999999</v>
      </c>
      <c r="BC175" s="2994">
        <v>6.5208000000000004</v>
      </c>
      <c r="BD175" s="3471">
        <v>9.8323999999999998</v>
      </c>
      <c r="BE175" s="3471">
        <v>9.8000000000000007</v>
      </c>
      <c r="BF175" s="3471">
        <v>0</v>
      </c>
    </row>
    <row r="176" spans="1:58">
      <c r="A176" s="1817" t="str">
        <f t="shared" si="5"/>
        <v>Northern AmericaBambara beans</v>
      </c>
      <c r="B176" s="1818" t="s">
        <v>1318</v>
      </c>
      <c r="C176" s="1818" t="s">
        <v>7291</v>
      </c>
      <c r="D176" s="3463" t="str">
        <f>VLOOKUP(B176,List_Yield!$G$4:$J$14,4,FALSE)</f>
        <v>North America</v>
      </c>
      <c r="E176" s="3463" t="str">
        <f t="shared" si="4"/>
        <v>North AmericaBambara beans</v>
      </c>
      <c r="F176" s="2994">
        <v>0</v>
      </c>
      <c r="G176" s="2994">
        <v>0</v>
      </c>
      <c r="H176" s="2994">
        <v>0</v>
      </c>
      <c r="I176" s="2994">
        <v>0</v>
      </c>
      <c r="J176" s="2994">
        <v>0</v>
      </c>
      <c r="K176" s="2994">
        <v>0</v>
      </c>
      <c r="L176" s="2994">
        <v>0</v>
      </c>
      <c r="M176" s="2994">
        <v>0</v>
      </c>
      <c r="N176" s="2994">
        <v>0</v>
      </c>
      <c r="O176" s="2994">
        <v>0</v>
      </c>
      <c r="P176" s="2994">
        <v>0</v>
      </c>
      <c r="Q176" s="2994">
        <v>0</v>
      </c>
      <c r="R176" s="2994">
        <v>0</v>
      </c>
      <c r="S176" s="2994">
        <v>0</v>
      </c>
      <c r="T176" s="2994">
        <v>0</v>
      </c>
      <c r="U176" s="2994">
        <v>0</v>
      </c>
      <c r="V176" s="2994">
        <v>0</v>
      </c>
      <c r="W176" s="2994">
        <v>0</v>
      </c>
      <c r="X176" s="2994">
        <v>0</v>
      </c>
      <c r="Y176" s="2994">
        <v>0</v>
      </c>
      <c r="Z176" s="2994">
        <v>0</v>
      </c>
      <c r="AA176" s="2994">
        <v>0</v>
      </c>
      <c r="AB176" s="2994">
        <v>0</v>
      </c>
      <c r="AC176" s="2994">
        <v>0</v>
      </c>
      <c r="AD176" s="2994">
        <v>0</v>
      </c>
      <c r="AE176" s="2994">
        <v>0</v>
      </c>
      <c r="AF176" s="2994">
        <v>0</v>
      </c>
      <c r="AG176" s="2994">
        <v>0</v>
      </c>
      <c r="AH176" s="2994">
        <v>0</v>
      </c>
      <c r="AI176" s="2994">
        <v>0</v>
      </c>
      <c r="AJ176" s="2994">
        <v>0</v>
      </c>
      <c r="AK176" s="2994">
        <v>0</v>
      </c>
      <c r="AL176" s="2994">
        <v>0</v>
      </c>
      <c r="AM176" s="2994">
        <v>0</v>
      </c>
      <c r="AN176" s="2994">
        <v>0</v>
      </c>
      <c r="AO176" s="2994">
        <v>0</v>
      </c>
      <c r="AP176" s="2994">
        <v>0</v>
      </c>
      <c r="AQ176" s="2994">
        <v>0</v>
      </c>
      <c r="AR176" s="2994">
        <v>0</v>
      </c>
      <c r="AS176" s="2994">
        <v>0</v>
      </c>
      <c r="AT176" s="2994">
        <v>0</v>
      </c>
      <c r="AU176" s="2994">
        <v>0</v>
      </c>
      <c r="AV176" s="2994">
        <v>0</v>
      </c>
      <c r="AW176" s="2994">
        <v>0</v>
      </c>
      <c r="AX176" s="2994">
        <v>0</v>
      </c>
      <c r="AY176" s="2994">
        <v>0</v>
      </c>
      <c r="AZ176" s="2994">
        <v>0</v>
      </c>
      <c r="BA176" s="2994">
        <v>0</v>
      </c>
      <c r="BB176" s="2994">
        <v>0</v>
      </c>
      <c r="BC176" s="2994">
        <v>0</v>
      </c>
      <c r="BD176" s="3471">
        <v>0</v>
      </c>
      <c r="BE176" s="3471">
        <v>0</v>
      </c>
      <c r="BF176" s="3471">
        <v>0</v>
      </c>
    </row>
    <row r="177" spans="1:58">
      <c r="A177" s="1817" t="str">
        <f t="shared" si="5"/>
        <v>Northern AmericaBananas</v>
      </c>
      <c r="B177" s="1818" t="s">
        <v>1318</v>
      </c>
      <c r="C177" s="1818" t="s">
        <v>1336</v>
      </c>
      <c r="D177" s="3463" t="str">
        <f>VLOOKUP(B177,List_Yield!$G$4:$J$14,4,FALSE)</f>
        <v>North America</v>
      </c>
      <c r="E177" s="3463" t="str">
        <f t="shared" si="4"/>
        <v>North AmericaBananas</v>
      </c>
      <c r="F177" s="2994">
        <v>10.8675</v>
      </c>
      <c r="G177" s="2994">
        <v>10.0608</v>
      </c>
      <c r="H177" s="2994">
        <v>9.9854000000000003</v>
      </c>
      <c r="I177" s="2994">
        <v>11.9697</v>
      </c>
      <c r="J177" s="2994">
        <v>9.1905000000000001</v>
      </c>
      <c r="K177" s="2994">
        <v>10.2174</v>
      </c>
      <c r="L177" s="2994">
        <v>9.5261999999999993</v>
      </c>
      <c r="M177" s="2994">
        <v>8.3000000000000007</v>
      </c>
      <c r="N177" s="2994">
        <v>8.1936</v>
      </c>
      <c r="O177" s="2994">
        <v>9.0672999999999995</v>
      </c>
      <c r="P177" s="2994">
        <v>8.2477</v>
      </c>
      <c r="Q177" s="2994">
        <v>8.8553999999999995</v>
      </c>
      <c r="R177" s="2994">
        <v>11.820600000000001</v>
      </c>
      <c r="S177" s="2994">
        <v>12.8817</v>
      </c>
      <c r="T177" s="2994">
        <v>12.327500000000001</v>
      </c>
      <c r="U177" s="2994">
        <v>11.273099999999999</v>
      </c>
      <c r="V177" s="2994">
        <v>12.695499999999999</v>
      </c>
      <c r="W177" s="2994">
        <v>12.44</v>
      </c>
      <c r="X177" s="2994">
        <v>11.4834</v>
      </c>
      <c r="Y177" s="2994">
        <v>10.36</v>
      </c>
      <c r="Z177" s="2994">
        <v>11.5108</v>
      </c>
      <c r="AA177" s="2994">
        <v>9.9672999999999998</v>
      </c>
      <c r="AB177" s="2994">
        <v>6.6300999999999997</v>
      </c>
      <c r="AC177" s="2994">
        <v>11.978</v>
      </c>
      <c r="AD177" s="2994">
        <v>11.274800000000001</v>
      </c>
      <c r="AE177" s="2994">
        <v>11.369199999999999</v>
      </c>
      <c r="AF177" s="2994">
        <v>12.160299999999999</v>
      </c>
      <c r="AG177" s="2994">
        <v>14.036099999999999</v>
      </c>
      <c r="AH177" s="2994">
        <v>13.5738</v>
      </c>
      <c r="AI177" s="2994">
        <v>14.430899999999999</v>
      </c>
      <c r="AJ177" s="2994">
        <v>14.644600000000001</v>
      </c>
      <c r="AK177" s="2994">
        <v>15.589</v>
      </c>
      <c r="AL177" s="2994">
        <v>16.096900000000002</v>
      </c>
      <c r="AM177" s="2994">
        <v>17.7715</v>
      </c>
      <c r="AN177" s="2994">
        <v>16.755299999999998</v>
      </c>
      <c r="AO177" s="2994">
        <v>15.2623</v>
      </c>
      <c r="AP177" s="2994">
        <v>16.188099999999999</v>
      </c>
      <c r="AQ177" s="2994">
        <v>16.549600000000002</v>
      </c>
      <c r="AR177" s="2994">
        <v>18.985099999999999</v>
      </c>
      <c r="AS177" s="2994">
        <v>21.758099999999999</v>
      </c>
      <c r="AT177" s="2994">
        <v>20.551300000000001</v>
      </c>
      <c r="AU177" s="2994">
        <v>16.809999999999999</v>
      </c>
      <c r="AV177" s="2994">
        <v>18.6325</v>
      </c>
      <c r="AW177" s="2994">
        <v>18.442399999999999</v>
      </c>
      <c r="AX177" s="2994">
        <v>23.395700000000001</v>
      </c>
      <c r="AY177" s="2994">
        <v>18.767099999999999</v>
      </c>
      <c r="AZ177" s="2994">
        <v>21.501799999999999</v>
      </c>
      <c r="BA177" s="2994">
        <v>17.580300000000001</v>
      </c>
      <c r="BB177" s="2994">
        <v>18.6938</v>
      </c>
      <c r="BC177" s="2994">
        <v>18.066700000000001</v>
      </c>
      <c r="BD177" s="3471">
        <v>19.3247</v>
      </c>
      <c r="BE177" s="3471">
        <v>19.360499999999998</v>
      </c>
      <c r="BF177" s="3471">
        <v>0</v>
      </c>
    </row>
    <row r="178" spans="1:58">
      <c r="A178" s="1817" t="str">
        <f t="shared" si="5"/>
        <v>Northern AmericaBarley</v>
      </c>
      <c r="B178" s="1818" t="s">
        <v>1318</v>
      </c>
      <c r="C178" s="1818" t="s">
        <v>1337</v>
      </c>
      <c r="D178" s="3463" t="str">
        <f>VLOOKUP(B178,List_Yield!$G$4:$J$14,4,FALSE)</f>
        <v>North America</v>
      </c>
      <c r="E178" s="3463" t="str">
        <f t="shared" si="4"/>
        <v>North AmericaBarley</v>
      </c>
      <c r="F178" s="2994">
        <v>1.4822</v>
      </c>
      <c r="G178" s="2994">
        <v>1.8247</v>
      </c>
      <c r="H178" s="2994">
        <v>1.8971</v>
      </c>
      <c r="I178" s="2994">
        <v>1.8915</v>
      </c>
      <c r="J178" s="2994">
        <v>2.1516000000000002</v>
      </c>
      <c r="K178" s="2994">
        <v>2.1061999999999999</v>
      </c>
      <c r="L178" s="2994">
        <v>1.9429000000000001</v>
      </c>
      <c r="M178" s="2994">
        <v>2.1772999999999998</v>
      </c>
      <c r="N178" s="2994">
        <v>2.2707000000000002</v>
      </c>
      <c r="O178" s="2994">
        <v>2.2621000000000002</v>
      </c>
      <c r="P178" s="2994">
        <v>2.3767</v>
      </c>
      <c r="Q178" s="2994">
        <v>2.2826</v>
      </c>
      <c r="R178" s="2994">
        <v>2.1442000000000001</v>
      </c>
      <c r="S178" s="2994">
        <v>1.9154</v>
      </c>
      <c r="T178" s="2994">
        <v>2.2347000000000001</v>
      </c>
      <c r="U178" s="2994">
        <v>2.4266999999999999</v>
      </c>
      <c r="V178" s="2994">
        <v>2.4302000000000001</v>
      </c>
      <c r="W178" s="2994">
        <v>2.5348000000000002</v>
      </c>
      <c r="X178" s="2994">
        <v>2.4826999999999999</v>
      </c>
      <c r="Y178" s="2994">
        <v>2.5253999999999999</v>
      </c>
      <c r="Z178" s="2994">
        <v>2.6314000000000002</v>
      </c>
      <c r="AA178" s="2994">
        <v>2.8647</v>
      </c>
      <c r="AB178" s="2994">
        <v>2.5722999999999998</v>
      </c>
      <c r="AC178" s="2994">
        <v>2.5630000000000002</v>
      </c>
      <c r="AD178" s="2994">
        <v>2.673</v>
      </c>
      <c r="AE178" s="2994">
        <v>2.8752</v>
      </c>
      <c r="AF178" s="2994">
        <v>2.8018999999999998</v>
      </c>
      <c r="AG178" s="2994">
        <v>2.2824</v>
      </c>
      <c r="AH178" s="2994">
        <v>2.5440999999999998</v>
      </c>
      <c r="AI178" s="2994">
        <v>2.9876</v>
      </c>
      <c r="AJ178" s="2994">
        <v>2.8504</v>
      </c>
      <c r="AK178" s="2994">
        <v>3.1067</v>
      </c>
      <c r="AL178" s="2994">
        <v>3.1396000000000002</v>
      </c>
      <c r="AM178" s="2994">
        <v>2.9238</v>
      </c>
      <c r="AN178" s="2994">
        <v>3.0209000000000001</v>
      </c>
      <c r="AO178" s="2994">
        <v>3.1709999999999998</v>
      </c>
      <c r="AP178" s="2994">
        <v>2.9636999999999998</v>
      </c>
      <c r="AQ178" s="2994">
        <v>3.0663</v>
      </c>
      <c r="AR178" s="2994">
        <v>3.2244000000000002</v>
      </c>
      <c r="AS178" s="2994">
        <v>3.0655000000000001</v>
      </c>
      <c r="AT178" s="2994">
        <v>2.7646000000000002</v>
      </c>
      <c r="AU178" s="2994">
        <v>2.4765000000000001</v>
      </c>
      <c r="AV178" s="2994">
        <v>2.8879000000000001</v>
      </c>
      <c r="AW178" s="2994">
        <v>3.4102999999999999</v>
      </c>
      <c r="AX178" s="2994">
        <v>3.2865000000000002</v>
      </c>
      <c r="AY178" s="2994">
        <v>3.0552999999999999</v>
      </c>
      <c r="AZ178" s="2994">
        <v>2.8732000000000002</v>
      </c>
      <c r="BA178" s="2994">
        <v>3.3813</v>
      </c>
      <c r="BB178" s="2994">
        <v>3.4630999999999998</v>
      </c>
      <c r="BC178" s="2994">
        <v>3.4064999999999999</v>
      </c>
      <c r="BD178" s="3471">
        <v>3.4081000000000001</v>
      </c>
      <c r="BE178" s="3471">
        <v>3.7976000000000001</v>
      </c>
      <c r="BF178" s="3471">
        <v>3.8589000000000002</v>
      </c>
    </row>
    <row r="179" spans="1:58">
      <c r="A179" s="1817" t="str">
        <f t="shared" si="5"/>
        <v>Northern AmericaBastfibres, other</v>
      </c>
      <c r="B179" s="1818" t="s">
        <v>1318</v>
      </c>
      <c r="C179" s="1818" t="s">
        <v>7292</v>
      </c>
      <c r="D179" s="3463" t="str">
        <f>VLOOKUP(B179,List_Yield!$G$4:$J$14,4,FALSE)</f>
        <v>North America</v>
      </c>
      <c r="E179" s="3463" t="str">
        <f t="shared" si="4"/>
        <v>North AmericaBastfibres, other</v>
      </c>
      <c r="F179" s="2994">
        <v>0</v>
      </c>
      <c r="G179" s="2994">
        <v>0</v>
      </c>
      <c r="H179" s="2994">
        <v>0</v>
      </c>
      <c r="I179" s="2994">
        <v>0</v>
      </c>
      <c r="J179" s="2994">
        <v>0</v>
      </c>
      <c r="K179" s="2994">
        <v>0</v>
      </c>
      <c r="L179" s="2994">
        <v>0</v>
      </c>
      <c r="M179" s="2994">
        <v>0</v>
      </c>
      <c r="N179" s="2994">
        <v>0</v>
      </c>
      <c r="O179" s="2994">
        <v>0</v>
      </c>
      <c r="P179" s="2994">
        <v>0</v>
      </c>
      <c r="Q179" s="2994">
        <v>0</v>
      </c>
      <c r="R179" s="2994">
        <v>0</v>
      </c>
      <c r="S179" s="2994">
        <v>0</v>
      </c>
      <c r="T179" s="2994">
        <v>0</v>
      </c>
      <c r="U179" s="2994">
        <v>0</v>
      </c>
      <c r="V179" s="2994">
        <v>0</v>
      </c>
      <c r="W179" s="2994">
        <v>0</v>
      </c>
      <c r="X179" s="2994">
        <v>0</v>
      </c>
      <c r="Y179" s="2994">
        <v>0</v>
      </c>
      <c r="Z179" s="2994">
        <v>0</v>
      </c>
      <c r="AA179" s="2994">
        <v>0</v>
      </c>
      <c r="AB179" s="2994">
        <v>0</v>
      </c>
      <c r="AC179" s="2994">
        <v>0</v>
      </c>
      <c r="AD179" s="2994">
        <v>0</v>
      </c>
      <c r="AE179" s="2994">
        <v>0</v>
      </c>
      <c r="AF179" s="2994">
        <v>0</v>
      </c>
      <c r="AG179" s="2994">
        <v>0</v>
      </c>
      <c r="AH179" s="2994">
        <v>0</v>
      </c>
      <c r="AI179" s="2994">
        <v>0</v>
      </c>
      <c r="AJ179" s="2994">
        <v>0</v>
      </c>
      <c r="AK179" s="2994">
        <v>0</v>
      </c>
      <c r="AL179" s="2994">
        <v>0</v>
      </c>
      <c r="AM179" s="2994">
        <v>0</v>
      </c>
      <c r="AN179" s="2994">
        <v>0</v>
      </c>
      <c r="AO179" s="2994">
        <v>0</v>
      </c>
      <c r="AP179" s="2994">
        <v>0</v>
      </c>
      <c r="AQ179" s="2994">
        <v>0</v>
      </c>
      <c r="AR179" s="2994">
        <v>0</v>
      </c>
      <c r="AS179" s="2994">
        <v>0</v>
      </c>
      <c r="AT179" s="2994">
        <v>0</v>
      </c>
      <c r="AU179" s="2994">
        <v>0</v>
      </c>
      <c r="AV179" s="2994">
        <v>0</v>
      </c>
      <c r="AW179" s="2994">
        <v>0</v>
      </c>
      <c r="AX179" s="2994">
        <v>0</v>
      </c>
      <c r="AY179" s="2994">
        <v>0</v>
      </c>
      <c r="AZ179" s="2994">
        <v>0</v>
      </c>
      <c r="BA179" s="2994">
        <v>0</v>
      </c>
      <c r="BB179" s="2994">
        <v>0</v>
      </c>
      <c r="BC179" s="2994">
        <v>0</v>
      </c>
      <c r="BD179" s="3471">
        <v>0</v>
      </c>
      <c r="BE179" s="3471">
        <v>0</v>
      </c>
      <c r="BF179" s="3471">
        <v>0</v>
      </c>
    </row>
    <row r="180" spans="1:58">
      <c r="A180" s="1817" t="str">
        <f t="shared" si="5"/>
        <v>Northern AmericaBeans, dry</v>
      </c>
      <c r="B180" s="1818" t="s">
        <v>1318</v>
      </c>
      <c r="C180" s="1818" t="s">
        <v>1338</v>
      </c>
      <c r="D180" s="3463" t="str">
        <f>VLOOKUP(B180,List_Yield!$G$4:$J$14,4,FALSE)</f>
        <v>North America</v>
      </c>
      <c r="E180" s="3463" t="str">
        <f t="shared" si="4"/>
        <v>North AmericaBeans, dry</v>
      </c>
      <c r="F180" s="2994">
        <v>1.5258</v>
      </c>
      <c r="G180" s="2994">
        <v>1.4052</v>
      </c>
      <c r="H180" s="2994">
        <v>1.6051</v>
      </c>
      <c r="I180" s="2994">
        <v>1.3920999999999999</v>
      </c>
      <c r="J180" s="2994">
        <v>1.2464999999999999</v>
      </c>
      <c r="K180" s="2994">
        <v>1.482</v>
      </c>
      <c r="L180" s="2994">
        <v>1.3984000000000001</v>
      </c>
      <c r="M180" s="2994">
        <v>1.3577999999999999</v>
      </c>
      <c r="N180" s="2994">
        <v>1.4368000000000001</v>
      </c>
      <c r="O180" s="2994">
        <v>1.3937999999999999</v>
      </c>
      <c r="P180" s="2994">
        <v>1.3815999999999999</v>
      </c>
      <c r="Q180" s="2994">
        <v>1.4764999999999999</v>
      </c>
      <c r="R180" s="2994">
        <v>1.3858999999999999</v>
      </c>
      <c r="S180" s="2994">
        <v>1.4811000000000001</v>
      </c>
      <c r="T180" s="2994">
        <v>1.3472999999999999</v>
      </c>
      <c r="U180" s="2994">
        <v>1.3444</v>
      </c>
      <c r="V180" s="2994">
        <v>1.3720000000000001</v>
      </c>
      <c r="W180" s="2994">
        <v>1.44</v>
      </c>
      <c r="X180" s="2994">
        <v>1.7037</v>
      </c>
      <c r="Y180" s="2994">
        <v>1.643</v>
      </c>
      <c r="Z180" s="2994">
        <v>1.6096999999999999</v>
      </c>
      <c r="AA180" s="2994">
        <v>1.6075999999999999</v>
      </c>
      <c r="AB180" s="2994">
        <v>1.5203</v>
      </c>
      <c r="AC180" s="2994">
        <v>1.6106</v>
      </c>
      <c r="AD180" s="2994">
        <v>1.6825000000000001</v>
      </c>
      <c r="AE180" s="2994">
        <v>1.6698</v>
      </c>
      <c r="AF180" s="2994">
        <v>1.7877000000000001</v>
      </c>
      <c r="AG180" s="2994">
        <v>1.6479999999999999</v>
      </c>
      <c r="AH180" s="2994">
        <v>1.6103000000000001</v>
      </c>
      <c r="AI180" s="2994">
        <v>1.7524</v>
      </c>
      <c r="AJ180" s="2994">
        <v>1.9154</v>
      </c>
      <c r="AK180" s="2994">
        <v>1.6830000000000001</v>
      </c>
      <c r="AL180" s="2994">
        <v>1.526</v>
      </c>
      <c r="AM180" s="2994">
        <v>1.8083</v>
      </c>
      <c r="AN180" s="2994">
        <v>1.8286</v>
      </c>
      <c r="AO180" s="2994">
        <v>1.7706999999999999</v>
      </c>
      <c r="AP180" s="2994">
        <v>1.8763000000000001</v>
      </c>
      <c r="AQ180" s="2994">
        <v>1.7987</v>
      </c>
      <c r="AR180" s="2994">
        <v>1.9628000000000001</v>
      </c>
      <c r="AS180" s="2994">
        <v>1.8033999999999999</v>
      </c>
      <c r="AT180" s="2994">
        <v>1.7435</v>
      </c>
      <c r="AU180" s="2994">
        <v>1.9462999999999999</v>
      </c>
      <c r="AV180" s="2994">
        <v>1.9359</v>
      </c>
      <c r="AW180" s="2994">
        <v>1.667</v>
      </c>
      <c r="AX180" s="2994">
        <v>1.9384999999999999</v>
      </c>
      <c r="AY180" s="2994">
        <v>1.8440000000000001</v>
      </c>
      <c r="AZ180" s="2994">
        <v>1.9132</v>
      </c>
      <c r="BA180" s="2994">
        <v>2.0066999999999999</v>
      </c>
      <c r="BB180" s="2994">
        <v>1.9453</v>
      </c>
      <c r="BC180" s="2994">
        <v>1.9431</v>
      </c>
      <c r="BD180" s="3471">
        <v>1.9291</v>
      </c>
      <c r="BE180" s="3471">
        <v>2.1392000000000002</v>
      </c>
      <c r="BF180" s="3471">
        <v>2.1383999999999999</v>
      </c>
    </row>
    <row r="181" spans="1:58">
      <c r="A181" s="1817" t="str">
        <f t="shared" si="5"/>
        <v>Northern AmericaBeans, green</v>
      </c>
      <c r="B181" s="1818" t="s">
        <v>1318</v>
      </c>
      <c r="C181" s="1818" t="s">
        <v>1339</v>
      </c>
      <c r="D181" s="3463" t="str">
        <f>VLOOKUP(B181,List_Yield!$G$4:$J$14,4,FALSE)</f>
        <v>North America</v>
      </c>
      <c r="E181" s="3463" t="str">
        <f t="shared" si="4"/>
        <v>North AmericaBeans, green</v>
      </c>
      <c r="F181" s="2994">
        <v>4.7777000000000003</v>
      </c>
      <c r="G181" s="2994">
        <v>4.7929000000000004</v>
      </c>
      <c r="H181" s="2994">
        <v>4.6604000000000001</v>
      </c>
      <c r="I181" s="2994">
        <v>4.0014000000000003</v>
      </c>
      <c r="J181" s="2994">
        <v>4.7081999999999997</v>
      </c>
      <c r="K181" s="2994">
        <v>4.6501999999999999</v>
      </c>
      <c r="L181" s="2994">
        <v>4.9553000000000003</v>
      </c>
      <c r="M181" s="2994">
        <v>4.7011000000000003</v>
      </c>
      <c r="N181" s="2994">
        <v>4.9261999999999997</v>
      </c>
      <c r="O181" s="2994">
        <v>4.7032999999999996</v>
      </c>
      <c r="P181" s="2994">
        <v>4.8121999999999998</v>
      </c>
      <c r="Q181" s="2994">
        <v>4.8723999999999998</v>
      </c>
      <c r="R181" s="2994">
        <v>5.1424000000000003</v>
      </c>
      <c r="S181" s="2994">
        <v>4.9939</v>
      </c>
      <c r="T181" s="2994">
        <v>5.1707999999999998</v>
      </c>
      <c r="U181" s="2994">
        <v>4.7336</v>
      </c>
      <c r="V181" s="2994">
        <v>5.1509999999999998</v>
      </c>
      <c r="W181" s="2994">
        <v>5.4245000000000001</v>
      </c>
      <c r="X181" s="2994">
        <v>5.88</v>
      </c>
      <c r="Y181" s="2994">
        <v>5.4673999999999996</v>
      </c>
      <c r="Z181" s="2994">
        <v>5.5995999999999997</v>
      </c>
      <c r="AA181" s="2994">
        <v>5.6040999999999999</v>
      </c>
      <c r="AB181" s="2994">
        <v>5.5625999999999998</v>
      </c>
      <c r="AC181" s="2994">
        <v>5.9066000000000001</v>
      </c>
      <c r="AD181" s="2994">
        <v>5.7473000000000001</v>
      </c>
      <c r="AE181" s="2994">
        <v>5.5502000000000002</v>
      </c>
      <c r="AF181" s="2994">
        <v>5.6904000000000003</v>
      </c>
      <c r="AG181" s="2994">
        <v>5.8387000000000002</v>
      </c>
      <c r="AH181" s="2994">
        <v>6.0343999999999998</v>
      </c>
      <c r="AI181" s="2994">
        <v>6.3456999999999999</v>
      </c>
      <c r="AJ181" s="2994">
        <v>6.2839999999999998</v>
      </c>
      <c r="AK181" s="2994">
        <v>6.0340999999999996</v>
      </c>
      <c r="AL181" s="2994">
        <v>5.7530000000000001</v>
      </c>
      <c r="AM181" s="2994">
        <v>6.2286000000000001</v>
      </c>
      <c r="AN181" s="2994">
        <v>5.7724000000000002</v>
      </c>
      <c r="AO181" s="2994">
        <v>6.1879999999999997</v>
      </c>
      <c r="AP181" s="2994">
        <v>6.1780999999999997</v>
      </c>
      <c r="AQ181" s="2994">
        <v>6.5399000000000003</v>
      </c>
      <c r="AR181" s="2994">
        <v>5.7994000000000003</v>
      </c>
      <c r="AS181" s="2994">
        <v>5.5955000000000004</v>
      </c>
      <c r="AT181" s="2994">
        <v>5.4546999999999999</v>
      </c>
      <c r="AU181" s="2994">
        <v>5.5453000000000001</v>
      </c>
      <c r="AV181" s="2994">
        <v>5.9370000000000003</v>
      </c>
      <c r="AW181" s="2994">
        <v>5.7972999999999999</v>
      </c>
      <c r="AX181" s="2994">
        <v>6.1241000000000003</v>
      </c>
      <c r="AY181" s="2994">
        <v>6.1039000000000003</v>
      </c>
      <c r="AZ181" s="2994">
        <v>3.9943</v>
      </c>
      <c r="BA181" s="2994">
        <v>4.0591999999999997</v>
      </c>
      <c r="BB181" s="2994">
        <v>4.0429000000000004</v>
      </c>
      <c r="BC181" s="2994">
        <v>4.1048999999999998</v>
      </c>
      <c r="BD181" s="3471">
        <v>4.2061999999999999</v>
      </c>
      <c r="BE181" s="3471">
        <v>5.0423</v>
      </c>
      <c r="BF181" s="3471">
        <v>0</v>
      </c>
    </row>
    <row r="182" spans="1:58">
      <c r="A182" s="1817" t="str">
        <f t="shared" si="5"/>
        <v>Northern AmericaBerries nes</v>
      </c>
      <c r="B182" s="1818" t="s">
        <v>1318</v>
      </c>
      <c r="C182" s="1818" t="s">
        <v>7293</v>
      </c>
      <c r="D182" s="3463" t="str">
        <f>VLOOKUP(B182,List_Yield!$G$4:$J$14,4,FALSE)</f>
        <v>North America</v>
      </c>
      <c r="E182" s="3463" t="str">
        <f t="shared" si="4"/>
        <v>North AmericaBerries nes</v>
      </c>
      <c r="F182" s="2994">
        <v>6.5685000000000002</v>
      </c>
      <c r="G182" s="2994">
        <v>6.9112</v>
      </c>
      <c r="H182" s="2994">
        <v>5.7755999999999998</v>
      </c>
      <c r="I182" s="2994">
        <v>6.5008999999999997</v>
      </c>
      <c r="J182" s="2994">
        <v>7.0297999999999998</v>
      </c>
      <c r="K182" s="2994">
        <v>9.2495999999999992</v>
      </c>
      <c r="L182" s="2994">
        <v>6.7153999999999998</v>
      </c>
      <c r="M182" s="2994">
        <v>6.4866000000000001</v>
      </c>
      <c r="N182" s="2994">
        <v>6.8365</v>
      </c>
      <c r="O182" s="2994">
        <v>7.5404</v>
      </c>
      <c r="P182" s="2994">
        <v>6.4893000000000001</v>
      </c>
      <c r="Q182" s="2994">
        <v>6.4356</v>
      </c>
      <c r="R182" s="2994">
        <v>3.2231000000000001</v>
      </c>
      <c r="S182" s="2994">
        <v>6.5335000000000001</v>
      </c>
      <c r="T182" s="2994">
        <v>6.9355000000000002</v>
      </c>
      <c r="U182" s="2994">
        <v>7.9268000000000001</v>
      </c>
      <c r="V182" s="2994">
        <v>7.3333000000000004</v>
      </c>
      <c r="W182" s="2994">
        <v>6.4972000000000003</v>
      </c>
      <c r="X182" s="2994">
        <v>5.1727999999999996</v>
      </c>
      <c r="Y182" s="2994">
        <v>7.8307000000000002</v>
      </c>
      <c r="Z182" s="2994">
        <v>5.6310000000000002</v>
      </c>
      <c r="AA182" s="2994">
        <v>6.1543000000000001</v>
      </c>
      <c r="AB182" s="2994">
        <v>6.6265999999999998</v>
      </c>
      <c r="AC182" s="2994">
        <v>6.0632000000000001</v>
      </c>
      <c r="AD182" s="2994">
        <v>6.9461000000000004</v>
      </c>
      <c r="AE182" s="2994">
        <v>6.6456</v>
      </c>
      <c r="AF182" s="2994">
        <v>7.9272</v>
      </c>
      <c r="AG182" s="2994">
        <v>8.1725999999999992</v>
      </c>
      <c r="AH182" s="2994">
        <v>5.0917000000000003</v>
      </c>
      <c r="AI182" s="2994">
        <v>7.0747</v>
      </c>
      <c r="AJ182" s="2994">
        <v>5.8597999999999999</v>
      </c>
      <c r="AK182" s="2994">
        <v>9.5745000000000005</v>
      </c>
      <c r="AL182" s="2994">
        <v>6.8632</v>
      </c>
      <c r="AM182" s="2994">
        <v>7.8319999999999999</v>
      </c>
      <c r="AN182" s="2994">
        <v>7.7145999999999999</v>
      </c>
      <c r="AO182" s="2994">
        <v>6.1992000000000003</v>
      </c>
      <c r="AP182" s="2994">
        <v>7.4246999999999996</v>
      </c>
      <c r="AQ182" s="2994">
        <v>7.3094000000000001</v>
      </c>
      <c r="AR182" s="2994">
        <v>7.2855999999999996</v>
      </c>
      <c r="AS182" s="2994">
        <v>13.6416</v>
      </c>
      <c r="AT182" s="2994">
        <v>12.4838</v>
      </c>
      <c r="AU182" s="2994">
        <v>12.8919</v>
      </c>
      <c r="AV182" s="2994">
        <v>12.3119</v>
      </c>
      <c r="AW182" s="2994">
        <v>12.9963</v>
      </c>
      <c r="AX182" s="2994">
        <v>12.698</v>
      </c>
      <c r="AY182" s="2994">
        <v>10.798999999999999</v>
      </c>
      <c r="AZ182" s="2994">
        <v>14.743</v>
      </c>
      <c r="BA182" s="2994">
        <v>11.720599999999999</v>
      </c>
      <c r="BB182" s="2994">
        <v>12.641500000000001</v>
      </c>
      <c r="BC182" s="2994">
        <v>12.5433</v>
      </c>
      <c r="BD182" s="3471">
        <v>13.049099999999999</v>
      </c>
      <c r="BE182" s="3471">
        <v>13.5</v>
      </c>
      <c r="BF182" s="3471">
        <v>0</v>
      </c>
    </row>
    <row r="183" spans="1:58">
      <c r="A183" s="1817" t="str">
        <f t="shared" si="5"/>
        <v>Northern AmericaBlueberries</v>
      </c>
      <c r="B183" s="1818" t="s">
        <v>1318</v>
      </c>
      <c r="C183" s="1818" t="s">
        <v>7294</v>
      </c>
      <c r="D183" s="3463" t="str">
        <f>VLOOKUP(B183,List_Yield!$G$4:$J$14,4,FALSE)</f>
        <v>North America</v>
      </c>
      <c r="E183" s="3463" t="str">
        <f t="shared" si="4"/>
        <v>North AmericaBlueberries</v>
      </c>
      <c r="F183" s="2994">
        <v>3.1644000000000001</v>
      </c>
      <c r="G183" s="2994">
        <v>3.2378</v>
      </c>
      <c r="H183" s="2994">
        <v>3.0871</v>
      </c>
      <c r="I183" s="2994">
        <v>3.1282000000000001</v>
      </c>
      <c r="J183" s="2994">
        <v>3.2048999999999999</v>
      </c>
      <c r="K183" s="2994">
        <v>2.9411</v>
      </c>
      <c r="L183" s="2994">
        <v>3.0640999999999998</v>
      </c>
      <c r="M183" s="2994">
        <v>2.8367</v>
      </c>
      <c r="N183" s="2994">
        <v>2.4975999999999998</v>
      </c>
      <c r="O183" s="2994">
        <v>2.4209000000000001</v>
      </c>
      <c r="P183" s="2994">
        <v>2.4302000000000001</v>
      </c>
      <c r="Q183" s="2994">
        <v>2.3557000000000001</v>
      </c>
      <c r="R183" s="2994">
        <v>2.4990999999999999</v>
      </c>
      <c r="S183" s="2994">
        <v>2.5868000000000002</v>
      </c>
      <c r="T183" s="2994">
        <v>2.5865</v>
      </c>
      <c r="U183" s="2994">
        <v>2.5670000000000002</v>
      </c>
      <c r="V183" s="2994">
        <v>2.7075999999999998</v>
      </c>
      <c r="W183" s="2994">
        <v>2.6379000000000001</v>
      </c>
      <c r="X183" s="2994">
        <v>2.9413</v>
      </c>
      <c r="Y183" s="2994">
        <v>2.9672999999999998</v>
      </c>
      <c r="Z183" s="2994">
        <v>3.2057000000000002</v>
      </c>
      <c r="AA183" s="2994">
        <v>2.8113000000000001</v>
      </c>
      <c r="AB183" s="2994">
        <v>2.8307000000000002</v>
      </c>
      <c r="AC183" s="2994">
        <v>2.6583999999999999</v>
      </c>
      <c r="AD183" s="2994">
        <v>2.9807000000000001</v>
      </c>
      <c r="AE183" s="2994">
        <v>2.9752000000000001</v>
      </c>
      <c r="AF183" s="2994">
        <v>2.9733999999999998</v>
      </c>
      <c r="AG183" s="2994">
        <v>3.2275</v>
      </c>
      <c r="AH183" s="2994">
        <v>2.6833</v>
      </c>
      <c r="AI183" s="2994">
        <v>2.8912</v>
      </c>
      <c r="AJ183" s="2994">
        <v>2.6501000000000001</v>
      </c>
      <c r="AK183" s="2994">
        <v>2.8338000000000001</v>
      </c>
      <c r="AL183" s="2994">
        <v>3.4119000000000002</v>
      </c>
      <c r="AM183" s="2994">
        <v>3.1697000000000002</v>
      </c>
      <c r="AN183" s="2994">
        <v>3.4773999999999998</v>
      </c>
      <c r="AO183" s="2994">
        <v>3.0659000000000001</v>
      </c>
      <c r="AP183" s="2994">
        <v>3.3786</v>
      </c>
      <c r="AQ183" s="2994">
        <v>3.0722</v>
      </c>
      <c r="AR183" s="2994">
        <v>4.5449000000000002</v>
      </c>
      <c r="AS183" s="2994">
        <v>4.8083</v>
      </c>
      <c r="AT183" s="2994">
        <v>4.5761000000000003</v>
      </c>
      <c r="AU183" s="2994">
        <v>4.2161999999999997</v>
      </c>
      <c r="AV183" s="2994">
        <v>4.5693999999999999</v>
      </c>
      <c r="AW183" s="2994">
        <v>4.4851000000000001</v>
      </c>
      <c r="AX183" s="2994">
        <v>4.1471999999999998</v>
      </c>
      <c r="AY183" s="2994">
        <v>4.5816999999999997</v>
      </c>
      <c r="AZ183" s="2994">
        <v>4.6767000000000003</v>
      </c>
      <c r="BA183" s="2994">
        <v>4.3414999999999999</v>
      </c>
      <c r="BB183" s="2994">
        <v>4.4444999999999997</v>
      </c>
      <c r="BC183" s="2994">
        <v>4.3632999999999997</v>
      </c>
      <c r="BD183" s="3471">
        <v>4.5136000000000003</v>
      </c>
      <c r="BE183" s="3471">
        <v>4.9108999999999998</v>
      </c>
      <c r="BF183" s="3471">
        <v>0</v>
      </c>
    </row>
    <row r="184" spans="1:58">
      <c r="A184" s="1817" t="str">
        <f t="shared" si="5"/>
        <v>Northern AmericaBrazil nuts, with shell</v>
      </c>
      <c r="B184" s="1818" t="s">
        <v>1318</v>
      </c>
      <c r="C184" s="1818" t="s">
        <v>7295</v>
      </c>
      <c r="D184" s="3463" t="str">
        <f>VLOOKUP(B184,List_Yield!$G$4:$J$14,4,FALSE)</f>
        <v>North America</v>
      </c>
      <c r="E184" s="3463" t="str">
        <f t="shared" si="4"/>
        <v>North AmericaBrazil nuts, with shell</v>
      </c>
      <c r="F184" s="2994">
        <v>0</v>
      </c>
      <c r="G184" s="2994">
        <v>0</v>
      </c>
      <c r="H184" s="2994">
        <v>0</v>
      </c>
      <c r="I184" s="2994">
        <v>0</v>
      </c>
      <c r="J184" s="2994">
        <v>0</v>
      </c>
      <c r="K184" s="2994">
        <v>0</v>
      </c>
      <c r="L184" s="2994">
        <v>0</v>
      </c>
      <c r="M184" s="2994">
        <v>0</v>
      </c>
      <c r="N184" s="2994">
        <v>0</v>
      </c>
      <c r="O184" s="2994">
        <v>0</v>
      </c>
      <c r="P184" s="2994">
        <v>0</v>
      </c>
      <c r="Q184" s="2994">
        <v>0</v>
      </c>
      <c r="R184" s="2994">
        <v>0</v>
      </c>
      <c r="S184" s="2994">
        <v>0</v>
      </c>
      <c r="T184" s="2994">
        <v>0</v>
      </c>
      <c r="U184" s="2994">
        <v>0</v>
      </c>
      <c r="V184" s="2994">
        <v>0</v>
      </c>
      <c r="W184" s="2994">
        <v>0</v>
      </c>
      <c r="X184" s="2994">
        <v>0</v>
      </c>
      <c r="Y184" s="2994">
        <v>0</v>
      </c>
      <c r="Z184" s="2994">
        <v>0</v>
      </c>
      <c r="AA184" s="2994">
        <v>0</v>
      </c>
      <c r="AB184" s="2994">
        <v>0</v>
      </c>
      <c r="AC184" s="2994">
        <v>0</v>
      </c>
      <c r="AD184" s="2994">
        <v>0</v>
      </c>
      <c r="AE184" s="2994">
        <v>0</v>
      </c>
      <c r="AF184" s="2994">
        <v>0</v>
      </c>
      <c r="AG184" s="2994">
        <v>0</v>
      </c>
      <c r="AH184" s="2994">
        <v>0</v>
      </c>
      <c r="AI184" s="2994">
        <v>0</v>
      </c>
      <c r="AJ184" s="2994">
        <v>0</v>
      </c>
      <c r="AK184" s="2994">
        <v>0</v>
      </c>
      <c r="AL184" s="2994">
        <v>0</v>
      </c>
      <c r="AM184" s="2994">
        <v>0</v>
      </c>
      <c r="AN184" s="2994">
        <v>0</v>
      </c>
      <c r="AO184" s="2994">
        <v>0</v>
      </c>
      <c r="AP184" s="2994">
        <v>0</v>
      </c>
      <c r="AQ184" s="2994">
        <v>0</v>
      </c>
      <c r="AR184" s="2994">
        <v>0</v>
      </c>
      <c r="AS184" s="2994">
        <v>0</v>
      </c>
      <c r="AT184" s="2994">
        <v>0</v>
      </c>
      <c r="AU184" s="2994">
        <v>0</v>
      </c>
      <c r="AV184" s="2994">
        <v>0</v>
      </c>
      <c r="AW184" s="2994">
        <v>0</v>
      </c>
      <c r="AX184" s="2994">
        <v>0</v>
      </c>
      <c r="AY184" s="2994">
        <v>0</v>
      </c>
      <c r="AZ184" s="2994">
        <v>0</v>
      </c>
      <c r="BA184" s="2994">
        <v>0</v>
      </c>
      <c r="BB184" s="2994">
        <v>0</v>
      </c>
      <c r="BC184" s="2994">
        <v>0</v>
      </c>
      <c r="BD184" s="3471">
        <v>0</v>
      </c>
      <c r="BE184" s="3471">
        <v>0</v>
      </c>
      <c r="BF184" s="3471">
        <v>0</v>
      </c>
    </row>
    <row r="185" spans="1:58">
      <c r="A185" s="1817" t="str">
        <f t="shared" si="5"/>
        <v>Northern AmericaBroad beans, horse beans, dry</v>
      </c>
      <c r="B185" s="1818" t="s">
        <v>1318</v>
      </c>
      <c r="C185" s="1818" t="s">
        <v>7296</v>
      </c>
      <c r="D185" s="3463" t="str">
        <f>VLOOKUP(B185,List_Yield!$G$4:$J$14,4,FALSE)</f>
        <v>North America</v>
      </c>
      <c r="E185" s="3463" t="str">
        <f t="shared" si="4"/>
        <v>North AmericaBroad beans, horse beans, dry</v>
      </c>
      <c r="F185" s="2994">
        <v>0</v>
      </c>
      <c r="G185" s="2994">
        <v>0</v>
      </c>
      <c r="H185" s="2994">
        <v>0</v>
      </c>
      <c r="I185" s="2994">
        <v>0</v>
      </c>
      <c r="J185" s="2994">
        <v>0</v>
      </c>
      <c r="K185" s="2994">
        <v>0</v>
      </c>
      <c r="L185" s="2994">
        <v>0</v>
      </c>
      <c r="M185" s="2994">
        <v>0</v>
      </c>
      <c r="N185" s="2994">
        <v>0</v>
      </c>
      <c r="O185" s="2994">
        <v>0</v>
      </c>
      <c r="P185" s="2994">
        <v>0</v>
      </c>
      <c r="Q185" s="2994">
        <v>0</v>
      </c>
      <c r="R185" s="2994">
        <v>0</v>
      </c>
      <c r="S185" s="2994">
        <v>0</v>
      </c>
      <c r="T185" s="2994">
        <v>0</v>
      </c>
      <c r="U185" s="2994">
        <v>0</v>
      </c>
      <c r="V185" s="2994">
        <v>0</v>
      </c>
      <c r="W185" s="2994">
        <v>0</v>
      </c>
      <c r="X185" s="2994">
        <v>0</v>
      </c>
      <c r="Y185" s="2994">
        <v>0</v>
      </c>
      <c r="Z185" s="2994">
        <v>0</v>
      </c>
      <c r="AA185" s="2994">
        <v>2</v>
      </c>
      <c r="AB185" s="2994">
        <v>1.8374999999999999</v>
      </c>
      <c r="AC185" s="2994">
        <v>1.8132999999999999</v>
      </c>
      <c r="AD185" s="2994">
        <v>1.8</v>
      </c>
      <c r="AE185" s="2994">
        <v>2.0750000000000002</v>
      </c>
      <c r="AF185" s="2994">
        <v>1.9384999999999999</v>
      </c>
      <c r="AG185" s="2994">
        <v>2.2000000000000002</v>
      </c>
      <c r="AH185" s="2994">
        <v>2.2286000000000001</v>
      </c>
      <c r="AI185" s="2994">
        <v>2</v>
      </c>
      <c r="AJ185" s="2994">
        <v>2.6137000000000001</v>
      </c>
      <c r="AK185" s="2994">
        <v>2.4348000000000001</v>
      </c>
      <c r="AL185" s="2994">
        <v>1.625</v>
      </c>
      <c r="AM185" s="2994">
        <v>2.4285999999999999</v>
      </c>
      <c r="AN185" s="2994">
        <v>1.45</v>
      </c>
      <c r="AO185" s="2994">
        <v>3.2856999999999998</v>
      </c>
      <c r="AP185" s="2994">
        <v>1.7917000000000001</v>
      </c>
      <c r="AQ185" s="2994">
        <v>2.4464000000000001</v>
      </c>
      <c r="AR185" s="2994">
        <v>2.3214000000000001</v>
      </c>
      <c r="AS185" s="2994">
        <v>2.5246</v>
      </c>
      <c r="AT185" s="2994">
        <v>1.9615</v>
      </c>
      <c r="AU185" s="2994">
        <v>1.75</v>
      </c>
      <c r="AV185" s="2994">
        <v>1.75</v>
      </c>
      <c r="AW185" s="2994">
        <v>2.5499999999999998</v>
      </c>
      <c r="AX185" s="2994">
        <v>2.4500000000000002</v>
      </c>
      <c r="AY185" s="2994">
        <v>1.9048</v>
      </c>
      <c r="AZ185" s="2994">
        <v>1.9123000000000001</v>
      </c>
      <c r="BA185" s="2994">
        <v>0</v>
      </c>
      <c r="BB185" s="2994">
        <v>0</v>
      </c>
      <c r="BC185" s="2994">
        <v>0</v>
      </c>
      <c r="BD185" s="3471">
        <v>0</v>
      </c>
      <c r="BE185" s="3471">
        <v>0</v>
      </c>
      <c r="BF185" s="3471">
        <v>0</v>
      </c>
    </row>
    <row r="186" spans="1:58">
      <c r="A186" s="1817" t="str">
        <f t="shared" si="5"/>
        <v>Northern AmericaBuckwheat</v>
      </c>
      <c r="B186" s="1818" t="s">
        <v>1318</v>
      </c>
      <c r="C186" s="1818" t="s">
        <v>7297</v>
      </c>
      <c r="D186" s="3463" t="str">
        <f>VLOOKUP(B186,List_Yield!$G$4:$J$14,4,FALSE)</f>
        <v>North America</v>
      </c>
      <c r="E186" s="3463" t="str">
        <f t="shared" si="4"/>
        <v>North AmericaBuckwheat</v>
      </c>
      <c r="F186" s="2994">
        <v>1.1169</v>
      </c>
      <c r="G186" s="2994">
        <v>1.2577</v>
      </c>
      <c r="H186" s="2994">
        <v>1.232</v>
      </c>
      <c r="I186" s="2994">
        <v>1.1467000000000001</v>
      </c>
      <c r="J186" s="2994">
        <v>0.95169999999999999</v>
      </c>
      <c r="K186" s="2994">
        <v>1.1657</v>
      </c>
      <c r="L186" s="2994">
        <v>1.0133000000000001</v>
      </c>
      <c r="M186" s="2994">
        <v>1.0028999999999999</v>
      </c>
      <c r="N186" s="2994">
        <v>0.99</v>
      </c>
      <c r="O186" s="2994">
        <v>1.0399</v>
      </c>
      <c r="P186" s="2994">
        <v>1.1308</v>
      </c>
      <c r="Q186" s="2994">
        <v>0.97809999999999997</v>
      </c>
      <c r="R186" s="2994">
        <v>0.9335</v>
      </c>
      <c r="S186" s="2994">
        <v>1.056</v>
      </c>
      <c r="T186" s="2994">
        <v>1.0474000000000001</v>
      </c>
      <c r="U186" s="2994">
        <v>0.85560000000000003</v>
      </c>
      <c r="V186" s="2994">
        <v>1.0152000000000001</v>
      </c>
      <c r="W186" s="2994">
        <v>1.1573</v>
      </c>
      <c r="X186" s="2994">
        <v>0.69279999999999997</v>
      </c>
      <c r="Y186" s="2994">
        <v>0.77159999999999995</v>
      </c>
      <c r="Z186" s="2994">
        <v>0.96179999999999999</v>
      </c>
      <c r="AA186" s="2994">
        <v>0.75419999999999998</v>
      </c>
      <c r="AB186" s="2994">
        <v>0.90820000000000001</v>
      </c>
      <c r="AC186" s="2994">
        <v>0.89149999999999996</v>
      </c>
      <c r="AD186" s="2994">
        <v>1.0236000000000001</v>
      </c>
      <c r="AE186" s="2994">
        <v>1.0179</v>
      </c>
      <c r="AF186" s="2994">
        <v>1.0825</v>
      </c>
      <c r="AG186" s="2994">
        <v>0.91020000000000001</v>
      </c>
      <c r="AH186" s="2994">
        <v>0.97319999999999995</v>
      </c>
      <c r="AI186" s="2994">
        <v>1.2555000000000001</v>
      </c>
      <c r="AJ186" s="2994">
        <v>1.0604</v>
      </c>
      <c r="AK186" s="2994">
        <v>0.9415</v>
      </c>
      <c r="AL186" s="2994">
        <v>0.98089999999999999</v>
      </c>
      <c r="AM186" s="2994">
        <v>1.0165999999999999</v>
      </c>
      <c r="AN186" s="2994">
        <v>1.0445</v>
      </c>
      <c r="AO186" s="2994">
        <v>1.0637000000000001</v>
      </c>
      <c r="AP186" s="2994">
        <v>1.0158</v>
      </c>
      <c r="AQ186" s="2994">
        <v>1.0681</v>
      </c>
      <c r="AR186" s="2994">
        <v>0.99080000000000001</v>
      </c>
      <c r="AS186" s="2994">
        <v>0.98499999999999999</v>
      </c>
      <c r="AT186" s="2994">
        <v>1.0316000000000001</v>
      </c>
      <c r="AU186" s="2994">
        <v>0.96050000000000002</v>
      </c>
      <c r="AV186" s="2994">
        <v>1.0335000000000001</v>
      </c>
      <c r="AW186" s="2994">
        <v>1.1229</v>
      </c>
      <c r="AX186" s="2994">
        <v>1.1048</v>
      </c>
      <c r="AY186" s="2994">
        <v>1.0068999999999999</v>
      </c>
      <c r="AZ186" s="2994">
        <v>1.0043</v>
      </c>
      <c r="BA186" s="2994">
        <v>1</v>
      </c>
      <c r="BB186" s="2994">
        <v>1.0931</v>
      </c>
      <c r="BC186" s="2994">
        <v>1.0555000000000001</v>
      </c>
      <c r="BD186" s="3471">
        <v>1.0299</v>
      </c>
      <c r="BE186" s="3471">
        <v>1.0446</v>
      </c>
      <c r="BF186" s="3471">
        <v>1.0451999999999999</v>
      </c>
    </row>
    <row r="187" spans="1:58">
      <c r="A187" s="1817" t="str">
        <f t="shared" si="5"/>
        <v>Northern AmericaCabbages and other brassicas</v>
      </c>
      <c r="B187" s="1818" t="s">
        <v>1318</v>
      </c>
      <c r="C187" s="1818" t="s">
        <v>7298</v>
      </c>
      <c r="D187" s="3463" t="str">
        <f>VLOOKUP(B187,List_Yield!$G$4:$J$14,4,FALSE)</f>
        <v>North America</v>
      </c>
      <c r="E187" s="3463" t="str">
        <f t="shared" si="4"/>
        <v>North AmericaCabbages and other brassicas</v>
      </c>
      <c r="F187" s="2994">
        <v>17.247299999999999</v>
      </c>
      <c r="G187" s="2994">
        <v>17.473400000000002</v>
      </c>
      <c r="H187" s="2994">
        <v>17.851400000000002</v>
      </c>
      <c r="I187" s="2994">
        <v>17.27</v>
      </c>
      <c r="J187" s="2994">
        <v>18.316500000000001</v>
      </c>
      <c r="K187" s="2994">
        <v>17.878499999999999</v>
      </c>
      <c r="L187" s="2994">
        <v>19.171500000000002</v>
      </c>
      <c r="M187" s="2994">
        <v>19.662500000000001</v>
      </c>
      <c r="N187" s="2994">
        <v>18.977900000000002</v>
      </c>
      <c r="O187" s="2994">
        <v>21.8856</v>
      </c>
      <c r="P187" s="2994">
        <v>16.896799999999999</v>
      </c>
      <c r="Q187" s="2994">
        <v>16.513999999999999</v>
      </c>
      <c r="R187" s="2994">
        <v>16.4299</v>
      </c>
      <c r="S187" s="2994">
        <v>19.160499999999999</v>
      </c>
      <c r="T187" s="2994">
        <v>19.690200000000001</v>
      </c>
      <c r="U187" s="2994">
        <v>19.334</v>
      </c>
      <c r="V187" s="2994">
        <v>18.773</v>
      </c>
      <c r="W187" s="2994">
        <v>18.9636</v>
      </c>
      <c r="X187" s="2994">
        <v>19.173999999999999</v>
      </c>
      <c r="Y187" s="2994">
        <v>17.947600000000001</v>
      </c>
      <c r="Z187" s="2994">
        <v>19.541899999999998</v>
      </c>
      <c r="AA187" s="2994">
        <v>20.551200000000001</v>
      </c>
      <c r="AB187" s="2994">
        <v>20.545999999999999</v>
      </c>
      <c r="AC187" s="2994">
        <v>20.652100000000001</v>
      </c>
      <c r="AD187" s="2994">
        <v>20.804200000000002</v>
      </c>
      <c r="AE187" s="2994">
        <v>20.665299999999998</v>
      </c>
      <c r="AF187" s="2994">
        <v>20.771599999999999</v>
      </c>
      <c r="AG187" s="2994">
        <v>21.572800000000001</v>
      </c>
      <c r="AH187" s="2994">
        <v>21.896599999999999</v>
      </c>
      <c r="AI187" s="2994">
        <v>22.167300000000001</v>
      </c>
      <c r="AJ187" s="2994">
        <v>21.864599999999999</v>
      </c>
      <c r="AK187" s="2994">
        <v>21.694500000000001</v>
      </c>
      <c r="AL187" s="2994">
        <v>21.817399999999999</v>
      </c>
      <c r="AM187" s="2994">
        <v>22.873100000000001</v>
      </c>
      <c r="AN187" s="2994">
        <v>21.424099999999999</v>
      </c>
      <c r="AO187" s="2994">
        <v>21.600300000000001</v>
      </c>
      <c r="AP187" s="2994">
        <v>23.699100000000001</v>
      </c>
      <c r="AQ187" s="2994">
        <v>22.829899999999999</v>
      </c>
      <c r="AR187" s="2994">
        <v>22.7605</v>
      </c>
      <c r="AS187" s="2994">
        <v>23.3796</v>
      </c>
      <c r="AT187" s="2994">
        <v>23.272300000000001</v>
      </c>
      <c r="AU187" s="2994">
        <v>23.060700000000001</v>
      </c>
      <c r="AV187" s="2994">
        <v>23.296299999999999</v>
      </c>
      <c r="AW187" s="2994">
        <v>33.333399999999997</v>
      </c>
      <c r="AX187" s="2994">
        <v>33.371000000000002</v>
      </c>
      <c r="AY187" s="2994">
        <v>34.481099999999998</v>
      </c>
      <c r="AZ187" s="2994">
        <v>29.831800000000001</v>
      </c>
      <c r="BA187" s="2994">
        <v>37.557000000000002</v>
      </c>
      <c r="BB187" s="2994">
        <v>34.408200000000001</v>
      </c>
      <c r="BC187" s="2994">
        <v>34.5381</v>
      </c>
      <c r="BD187" s="3471">
        <v>34.539000000000001</v>
      </c>
      <c r="BE187" s="3471">
        <v>34.019300000000001</v>
      </c>
      <c r="BF187" s="3471">
        <v>0</v>
      </c>
    </row>
    <row r="188" spans="1:58">
      <c r="A188" s="1817" t="str">
        <f t="shared" si="5"/>
        <v>Northern AmericaCanary seed</v>
      </c>
      <c r="B188" s="1818" t="s">
        <v>1318</v>
      </c>
      <c r="C188" s="1818" t="s">
        <v>7299</v>
      </c>
      <c r="D188" s="3463" t="str">
        <f>VLOOKUP(B188,List_Yield!$G$4:$J$14,4,FALSE)</f>
        <v>North America</v>
      </c>
      <c r="E188" s="3463" t="str">
        <f t="shared" si="4"/>
        <v>North AmericaCanary seed</v>
      </c>
      <c r="F188" s="2994">
        <v>0</v>
      </c>
      <c r="G188" s="2994">
        <v>0</v>
      </c>
      <c r="H188" s="2994">
        <v>0</v>
      </c>
      <c r="I188" s="2994">
        <v>0</v>
      </c>
      <c r="J188" s="2994">
        <v>0</v>
      </c>
      <c r="K188" s="2994">
        <v>0</v>
      </c>
      <c r="L188" s="2994">
        <v>0</v>
      </c>
      <c r="M188" s="2994">
        <v>0</v>
      </c>
      <c r="N188" s="2994">
        <v>0</v>
      </c>
      <c r="O188" s="2994">
        <v>0</v>
      </c>
      <c r="P188" s="2994">
        <v>0</v>
      </c>
      <c r="Q188" s="2994">
        <v>0</v>
      </c>
      <c r="R188" s="2994">
        <v>0</v>
      </c>
      <c r="S188" s="2994">
        <v>0</v>
      </c>
      <c r="T188" s="2994">
        <v>0</v>
      </c>
      <c r="U188" s="2994">
        <v>0</v>
      </c>
      <c r="V188" s="2994">
        <v>0</v>
      </c>
      <c r="W188" s="2994">
        <v>0</v>
      </c>
      <c r="X188" s="2994">
        <v>0</v>
      </c>
      <c r="Y188" s="2994">
        <v>1.0952</v>
      </c>
      <c r="Z188" s="2994">
        <v>1.0333000000000001</v>
      </c>
      <c r="AA188" s="2994">
        <v>1.1042000000000001</v>
      </c>
      <c r="AB188" s="2994">
        <v>1.1033999999999999</v>
      </c>
      <c r="AC188" s="2994">
        <v>1.1184000000000001</v>
      </c>
      <c r="AD188" s="2994">
        <v>1.2476</v>
      </c>
      <c r="AE188" s="2994">
        <v>1.4137</v>
      </c>
      <c r="AF188" s="2994">
        <v>1.2014</v>
      </c>
      <c r="AG188" s="2994">
        <v>0.58040000000000003</v>
      </c>
      <c r="AH188" s="2994">
        <v>0.96730000000000005</v>
      </c>
      <c r="AI188" s="2994">
        <v>1.4239999999999999</v>
      </c>
      <c r="AJ188" s="2994">
        <v>1.054</v>
      </c>
      <c r="AK188" s="2994">
        <v>1.3489</v>
      </c>
      <c r="AL188" s="2994">
        <v>1.0389999999999999</v>
      </c>
      <c r="AM188" s="2994">
        <v>1.1767000000000001</v>
      </c>
      <c r="AN188" s="2994">
        <v>1.0618000000000001</v>
      </c>
      <c r="AO188" s="2994">
        <v>1.2125999999999999</v>
      </c>
      <c r="AP188" s="2994">
        <v>1.0149999999999999</v>
      </c>
      <c r="AQ188" s="2994">
        <v>1.1291</v>
      </c>
      <c r="AR188" s="2994">
        <v>1.1393</v>
      </c>
      <c r="AS188" s="2994">
        <v>1.0421</v>
      </c>
      <c r="AT188" s="2994">
        <v>0.69710000000000005</v>
      </c>
      <c r="AU188" s="2994">
        <v>0.7833</v>
      </c>
      <c r="AV188" s="2994">
        <v>0.9173</v>
      </c>
      <c r="AW188" s="2994">
        <v>0.94620000000000004</v>
      </c>
      <c r="AX188" s="2994">
        <v>1.2470000000000001</v>
      </c>
      <c r="AY188" s="2994">
        <v>1.0153000000000001</v>
      </c>
      <c r="AZ188" s="2994">
        <v>0.93100000000000005</v>
      </c>
      <c r="BA188" s="2994">
        <v>1.1934</v>
      </c>
      <c r="BB188" s="2994">
        <v>1.3646</v>
      </c>
      <c r="BC188" s="2994">
        <v>0.998</v>
      </c>
      <c r="BD188" s="3471">
        <v>1.1000000000000001</v>
      </c>
      <c r="BE188" s="3471">
        <v>1.1375</v>
      </c>
      <c r="BF188" s="3471">
        <v>1.5411999999999999</v>
      </c>
    </row>
    <row r="189" spans="1:58">
      <c r="A189" s="1817" t="str">
        <f t="shared" si="5"/>
        <v>Northern AmericaCarobs</v>
      </c>
      <c r="B189" s="1818" t="s">
        <v>1318</v>
      </c>
      <c r="C189" s="1818" t="s">
        <v>7300</v>
      </c>
      <c r="D189" s="3463" t="str">
        <f>VLOOKUP(B189,List_Yield!$G$4:$J$14,4,FALSE)</f>
        <v>North America</v>
      </c>
      <c r="E189" s="3463" t="str">
        <f t="shared" ref="E189:E252" si="6">CONCATENATE(D189,C189)</f>
        <v>North AmericaCarobs</v>
      </c>
      <c r="F189" s="2994">
        <v>0</v>
      </c>
      <c r="G189" s="2994">
        <v>0</v>
      </c>
      <c r="H189" s="2994">
        <v>0</v>
      </c>
      <c r="I189" s="2994">
        <v>0</v>
      </c>
      <c r="J189" s="2994">
        <v>0</v>
      </c>
      <c r="K189" s="2994">
        <v>0</v>
      </c>
      <c r="L189" s="2994">
        <v>0</v>
      </c>
      <c r="M189" s="2994">
        <v>0</v>
      </c>
      <c r="N189" s="2994">
        <v>0</v>
      </c>
      <c r="O189" s="2994">
        <v>0</v>
      </c>
      <c r="P189" s="2994">
        <v>0</v>
      </c>
      <c r="Q189" s="2994">
        <v>0</v>
      </c>
      <c r="R189" s="2994">
        <v>0</v>
      </c>
      <c r="S189" s="2994">
        <v>0</v>
      </c>
      <c r="T189" s="2994">
        <v>0</v>
      </c>
      <c r="U189" s="2994">
        <v>0</v>
      </c>
      <c r="V189" s="2994">
        <v>0</v>
      </c>
      <c r="W189" s="2994">
        <v>0</v>
      </c>
      <c r="X189" s="2994">
        <v>0</v>
      </c>
      <c r="Y189" s="2994">
        <v>0</v>
      </c>
      <c r="Z189" s="2994">
        <v>0</v>
      </c>
      <c r="AA189" s="2994">
        <v>0</v>
      </c>
      <c r="AB189" s="2994">
        <v>0</v>
      </c>
      <c r="AC189" s="2994">
        <v>0</v>
      </c>
      <c r="AD189" s="2994">
        <v>0</v>
      </c>
      <c r="AE189" s="2994">
        <v>0</v>
      </c>
      <c r="AF189" s="2994">
        <v>0</v>
      </c>
      <c r="AG189" s="2994">
        <v>0</v>
      </c>
      <c r="AH189" s="2994">
        <v>0</v>
      </c>
      <c r="AI189" s="2994">
        <v>0</v>
      </c>
      <c r="AJ189" s="2994">
        <v>0</v>
      </c>
      <c r="AK189" s="2994">
        <v>0</v>
      </c>
      <c r="AL189" s="2994">
        <v>0</v>
      </c>
      <c r="AM189" s="2994">
        <v>0</v>
      </c>
      <c r="AN189" s="2994">
        <v>0</v>
      </c>
      <c r="AO189" s="2994">
        <v>0</v>
      </c>
      <c r="AP189" s="2994">
        <v>0</v>
      </c>
      <c r="AQ189" s="2994">
        <v>0</v>
      </c>
      <c r="AR189" s="2994">
        <v>0</v>
      </c>
      <c r="AS189" s="2994">
        <v>0</v>
      </c>
      <c r="AT189" s="2994">
        <v>0</v>
      </c>
      <c r="AU189" s="2994">
        <v>0</v>
      </c>
      <c r="AV189" s="2994">
        <v>0</v>
      </c>
      <c r="AW189" s="2994">
        <v>0</v>
      </c>
      <c r="AX189" s="2994">
        <v>0</v>
      </c>
      <c r="AY189" s="2994">
        <v>0</v>
      </c>
      <c r="AZ189" s="2994">
        <v>0</v>
      </c>
      <c r="BA189" s="2994">
        <v>0</v>
      </c>
      <c r="BB189" s="2994">
        <v>0</v>
      </c>
      <c r="BC189" s="2994">
        <v>0</v>
      </c>
      <c r="BD189" s="3471">
        <v>0</v>
      </c>
      <c r="BE189" s="3471">
        <v>0</v>
      </c>
      <c r="BF189" s="3471">
        <v>0</v>
      </c>
    </row>
    <row r="190" spans="1:58">
      <c r="A190" s="1817" t="str">
        <f t="shared" si="5"/>
        <v>Northern AmericaCarrots and turnips</v>
      </c>
      <c r="B190" s="1818" t="s">
        <v>1318</v>
      </c>
      <c r="C190" s="1818" t="s">
        <v>1340</v>
      </c>
      <c r="D190" s="3463" t="str">
        <f>VLOOKUP(B190,List_Yield!$G$4:$J$14,4,FALSE)</f>
        <v>North America</v>
      </c>
      <c r="E190" s="3463" t="str">
        <f t="shared" si="6"/>
        <v>North AmericaCarrots and turnips</v>
      </c>
      <c r="F190" s="2994">
        <v>24.2622</v>
      </c>
      <c r="G190" s="2994">
        <v>23.4937</v>
      </c>
      <c r="H190" s="2994">
        <v>22.787199999999999</v>
      </c>
      <c r="I190" s="2994">
        <v>22.589400000000001</v>
      </c>
      <c r="J190" s="2994">
        <v>23.894300000000001</v>
      </c>
      <c r="K190" s="2994">
        <v>24.8489</v>
      </c>
      <c r="L190" s="2994">
        <v>24.726800000000001</v>
      </c>
      <c r="M190" s="2994">
        <v>29.347100000000001</v>
      </c>
      <c r="N190" s="2994">
        <v>26.229800000000001</v>
      </c>
      <c r="O190" s="2994">
        <v>26.557300000000001</v>
      </c>
      <c r="P190" s="2994">
        <v>28.557700000000001</v>
      </c>
      <c r="Q190" s="2994">
        <v>28.070599999999999</v>
      </c>
      <c r="R190" s="2994">
        <v>29.1541</v>
      </c>
      <c r="S190" s="2994">
        <v>32.061199999999999</v>
      </c>
      <c r="T190" s="2994">
        <v>30.884699999999999</v>
      </c>
      <c r="U190" s="2994">
        <v>29.6844</v>
      </c>
      <c r="V190" s="2994">
        <v>30.827200000000001</v>
      </c>
      <c r="W190" s="2994">
        <v>29.6571</v>
      </c>
      <c r="X190" s="2994">
        <v>33.092500000000001</v>
      </c>
      <c r="Y190" s="2994">
        <v>29.06</v>
      </c>
      <c r="Z190" s="2994">
        <v>29.993200000000002</v>
      </c>
      <c r="AA190" s="2994">
        <v>33.097000000000001</v>
      </c>
      <c r="AB190" s="2994">
        <v>30.607099999999999</v>
      </c>
      <c r="AC190" s="2994">
        <v>29.503399999999999</v>
      </c>
      <c r="AD190" s="2994">
        <v>29.556899999999999</v>
      </c>
      <c r="AE190" s="2994">
        <v>31.150700000000001</v>
      </c>
      <c r="AF190" s="2994">
        <v>33.066299999999998</v>
      </c>
      <c r="AG190" s="2994">
        <v>30.487200000000001</v>
      </c>
      <c r="AH190" s="2994">
        <v>32.3857</v>
      </c>
      <c r="AI190" s="2994">
        <v>36.719200000000001</v>
      </c>
      <c r="AJ190" s="2994">
        <v>33.858199999999997</v>
      </c>
      <c r="AK190" s="2994">
        <v>35.220799999999997</v>
      </c>
      <c r="AL190" s="2994">
        <v>34.711100000000002</v>
      </c>
      <c r="AM190" s="2994">
        <v>39.462600000000002</v>
      </c>
      <c r="AN190" s="2994">
        <v>35.990299999999998</v>
      </c>
      <c r="AO190" s="2994">
        <v>36.174900000000001</v>
      </c>
      <c r="AP190" s="2994">
        <v>40.593400000000003</v>
      </c>
      <c r="AQ190" s="2994">
        <v>38.395899999999997</v>
      </c>
      <c r="AR190" s="2994">
        <v>37.351399999999998</v>
      </c>
      <c r="AS190" s="2994">
        <v>37.676299999999998</v>
      </c>
      <c r="AT190" s="2994">
        <v>38.459800000000001</v>
      </c>
      <c r="AU190" s="2994">
        <v>37.528599999999997</v>
      </c>
      <c r="AV190" s="2994">
        <v>39.339799999999997</v>
      </c>
      <c r="AW190" s="2994">
        <v>39.781500000000001</v>
      </c>
      <c r="AX190" s="2994">
        <v>41.321599999999997</v>
      </c>
      <c r="AY190" s="2994">
        <v>38.935899999999997</v>
      </c>
      <c r="AZ190" s="2994">
        <v>37.308</v>
      </c>
      <c r="BA190" s="2994">
        <v>39.322899999999997</v>
      </c>
      <c r="BB190" s="2994">
        <v>40.359699999999997</v>
      </c>
      <c r="BC190" s="2994">
        <v>43.739899999999999</v>
      </c>
      <c r="BD190" s="3471">
        <v>40.762300000000003</v>
      </c>
      <c r="BE190" s="3471">
        <v>41.623199999999997</v>
      </c>
      <c r="BF190" s="3471">
        <v>0</v>
      </c>
    </row>
    <row r="191" spans="1:58">
      <c r="A191" s="1817" t="str">
        <f t="shared" si="5"/>
        <v>Northern AmericaCashew nuts, with shell</v>
      </c>
      <c r="B191" s="1818" t="s">
        <v>1318</v>
      </c>
      <c r="C191" s="1818" t="s">
        <v>1341</v>
      </c>
      <c r="D191" s="3463" t="str">
        <f>VLOOKUP(B191,List_Yield!$G$4:$J$14,4,FALSE)</f>
        <v>North America</v>
      </c>
      <c r="E191" s="3463" t="str">
        <f t="shared" si="6"/>
        <v>North AmericaCashew nuts, with shell</v>
      </c>
      <c r="F191" s="2994">
        <v>0</v>
      </c>
      <c r="G191" s="2994">
        <v>0</v>
      </c>
      <c r="H191" s="2994">
        <v>0</v>
      </c>
      <c r="I191" s="2994">
        <v>0</v>
      </c>
      <c r="J191" s="2994">
        <v>0</v>
      </c>
      <c r="K191" s="2994">
        <v>0</v>
      </c>
      <c r="L191" s="2994">
        <v>0</v>
      </c>
      <c r="M191" s="2994">
        <v>0</v>
      </c>
      <c r="N191" s="2994">
        <v>0</v>
      </c>
      <c r="O191" s="2994">
        <v>0</v>
      </c>
      <c r="P191" s="2994">
        <v>0</v>
      </c>
      <c r="Q191" s="2994">
        <v>0</v>
      </c>
      <c r="R191" s="2994">
        <v>0</v>
      </c>
      <c r="S191" s="2994">
        <v>0</v>
      </c>
      <c r="T191" s="2994">
        <v>0</v>
      </c>
      <c r="U191" s="2994">
        <v>0</v>
      </c>
      <c r="V191" s="2994">
        <v>0</v>
      </c>
      <c r="W191" s="2994">
        <v>0</v>
      </c>
      <c r="X191" s="2994">
        <v>0</v>
      </c>
      <c r="Y191" s="2994">
        <v>0</v>
      </c>
      <c r="Z191" s="2994">
        <v>0</v>
      </c>
      <c r="AA191" s="2994">
        <v>0</v>
      </c>
      <c r="AB191" s="2994">
        <v>0</v>
      </c>
      <c r="AC191" s="2994">
        <v>0</v>
      </c>
      <c r="AD191" s="2994">
        <v>0</v>
      </c>
      <c r="AE191" s="2994">
        <v>0</v>
      </c>
      <c r="AF191" s="2994">
        <v>0</v>
      </c>
      <c r="AG191" s="2994">
        <v>0</v>
      </c>
      <c r="AH191" s="2994">
        <v>0</v>
      </c>
      <c r="AI191" s="2994">
        <v>0</v>
      </c>
      <c r="AJ191" s="2994">
        <v>0</v>
      </c>
      <c r="AK191" s="2994">
        <v>0</v>
      </c>
      <c r="AL191" s="2994">
        <v>0</v>
      </c>
      <c r="AM191" s="2994">
        <v>0</v>
      </c>
      <c r="AN191" s="2994">
        <v>0</v>
      </c>
      <c r="AO191" s="2994">
        <v>0</v>
      </c>
      <c r="AP191" s="2994">
        <v>0</v>
      </c>
      <c r="AQ191" s="2994">
        <v>0</v>
      </c>
      <c r="AR191" s="2994">
        <v>0</v>
      </c>
      <c r="AS191" s="2994">
        <v>0</v>
      </c>
      <c r="AT191" s="2994">
        <v>0</v>
      </c>
      <c r="AU191" s="2994">
        <v>0</v>
      </c>
      <c r="AV191" s="2994">
        <v>0</v>
      </c>
      <c r="AW191" s="2994">
        <v>0</v>
      </c>
      <c r="AX191" s="2994">
        <v>0</v>
      </c>
      <c r="AY191" s="2994">
        <v>0</v>
      </c>
      <c r="AZ191" s="2994">
        <v>0</v>
      </c>
      <c r="BA191" s="2994">
        <v>0</v>
      </c>
      <c r="BB191" s="2994">
        <v>0</v>
      </c>
      <c r="BC191" s="2994">
        <v>0</v>
      </c>
      <c r="BD191" s="3471">
        <v>0</v>
      </c>
      <c r="BE191" s="3471">
        <v>0</v>
      </c>
      <c r="BF191" s="3471">
        <v>0</v>
      </c>
    </row>
    <row r="192" spans="1:58">
      <c r="A192" s="1817" t="str">
        <f t="shared" si="5"/>
        <v>Northern AmericaCashewapple</v>
      </c>
      <c r="B192" s="1818" t="s">
        <v>1318</v>
      </c>
      <c r="C192" s="1818" t="s">
        <v>7301</v>
      </c>
      <c r="D192" s="3463" t="str">
        <f>VLOOKUP(B192,List_Yield!$G$4:$J$14,4,FALSE)</f>
        <v>North America</v>
      </c>
      <c r="E192" s="3463" t="str">
        <f t="shared" si="6"/>
        <v>North AmericaCashewapple</v>
      </c>
      <c r="F192" s="2994">
        <v>0</v>
      </c>
      <c r="G192" s="2994">
        <v>0</v>
      </c>
      <c r="H192" s="2994">
        <v>0</v>
      </c>
      <c r="I192" s="2994">
        <v>0</v>
      </c>
      <c r="J192" s="2994">
        <v>0</v>
      </c>
      <c r="K192" s="2994">
        <v>0</v>
      </c>
      <c r="L192" s="2994">
        <v>0</v>
      </c>
      <c r="M192" s="2994">
        <v>0</v>
      </c>
      <c r="N192" s="2994">
        <v>0</v>
      </c>
      <c r="O192" s="2994">
        <v>0</v>
      </c>
      <c r="P192" s="2994">
        <v>0</v>
      </c>
      <c r="Q192" s="2994">
        <v>0</v>
      </c>
      <c r="R192" s="2994">
        <v>0</v>
      </c>
      <c r="S192" s="2994">
        <v>0</v>
      </c>
      <c r="T192" s="2994">
        <v>0</v>
      </c>
      <c r="U192" s="2994">
        <v>0</v>
      </c>
      <c r="V192" s="2994">
        <v>0</v>
      </c>
      <c r="W192" s="2994">
        <v>0</v>
      </c>
      <c r="X192" s="2994">
        <v>0</v>
      </c>
      <c r="Y192" s="2994">
        <v>0</v>
      </c>
      <c r="Z192" s="2994">
        <v>0</v>
      </c>
      <c r="AA192" s="2994">
        <v>0</v>
      </c>
      <c r="AB192" s="2994">
        <v>0</v>
      </c>
      <c r="AC192" s="2994">
        <v>0</v>
      </c>
      <c r="AD192" s="2994">
        <v>0</v>
      </c>
      <c r="AE192" s="2994">
        <v>0</v>
      </c>
      <c r="AF192" s="2994">
        <v>0</v>
      </c>
      <c r="AG192" s="2994">
        <v>0</v>
      </c>
      <c r="AH192" s="2994">
        <v>0</v>
      </c>
      <c r="AI192" s="2994">
        <v>0</v>
      </c>
      <c r="AJ192" s="2994">
        <v>0</v>
      </c>
      <c r="AK192" s="2994">
        <v>0</v>
      </c>
      <c r="AL192" s="2994">
        <v>0</v>
      </c>
      <c r="AM192" s="2994">
        <v>0</v>
      </c>
      <c r="AN192" s="2994">
        <v>0</v>
      </c>
      <c r="AO192" s="2994">
        <v>0</v>
      </c>
      <c r="AP192" s="2994">
        <v>0</v>
      </c>
      <c r="AQ192" s="2994">
        <v>0</v>
      </c>
      <c r="AR192" s="2994">
        <v>0</v>
      </c>
      <c r="AS192" s="2994">
        <v>0</v>
      </c>
      <c r="AT192" s="2994">
        <v>0</v>
      </c>
      <c r="AU192" s="2994">
        <v>0</v>
      </c>
      <c r="AV192" s="2994">
        <v>0</v>
      </c>
      <c r="AW192" s="2994">
        <v>0</v>
      </c>
      <c r="AX192" s="2994">
        <v>0</v>
      </c>
      <c r="AY192" s="2994">
        <v>0</v>
      </c>
      <c r="AZ192" s="2994">
        <v>0</v>
      </c>
      <c r="BA192" s="2994">
        <v>0</v>
      </c>
      <c r="BB192" s="2994">
        <v>0</v>
      </c>
      <c r="BC192" s="2994">
        <v>0</v>
      </c>
      <c r="BD192" s="3471">
        <v>0</v>
      </c>
      <c r="BE192" s="3471">
        <v>0</v>
      </c>
      <c r="BF192" s="3471">
        <v>0</v>
      </c>
    </row>
    <row r="193" spans="1:58">
      <c r="A193" s="1817" t="str">
        <f t="shared" si="5"/>
        <v>Northern AmericaCassava</v>
      </c>
      <c r="B193" s="1818" t="s">
        <v>1318</v>
      </c>
      <c r="C193" s="1818" t="s">
        <v>1342</v>
      </c>
      <c r="D193" s="3463" t="str">
        <f>VLOOKUP(B193,List_Yield!$G$4:$J$14,4,FALSE)</f>
        <v>North America</v>
      </c>
      <c r="E193" s="3463" t="str">
        <f t="shared" si="6"/>
        <v>North AmericaCassava</v>
      </c>
      <c r="F193" s="2994">
        <v>0</v>
      </c>
      <c r="G193" s="2994">
        <v>0</v>
      </c>
      <c r="H193" s="2994">
        <v>0</v>
      </c>
      <c r="I193" s="2994">
        <v>0</v>
      </c>
      <c r="J193" s="2994">
        <v>0</v>
      </c>
      <c r="K193" s="2994">
        <v>0</v>
      </c>
      <c r="L193" s="2994">
        <v>0</v>
      </c>
      <c r="M193" s="2994">
        <v>0</v>
      </c>
      <c r="N193" s="2994">
        <v>0</v>
      </c>
      <c r="O193" s="2994">
        <v>0</v>
      </c>
      <c r="P193" s="2994">
        <v>0</v>
      </c>
      <c r="Q193" s="2994">
        <v>0</v>
      </c>
      <c r="R193" s="2994">
        <v>0</v>
      </c>
      <c r="S193" s="2994">
        <v>0</v>
      </c>
      <c r="T193" s="2994">
        <v>0</v>
      </c>
      <c r="U193" s="2994">
        <v>0</v>
      </c>
      <c r="V193" s="2994">
        <v>0</v>
      </c>
      <c r="W193" s="2994">
        <v>0</v>
      </c>
      <c r="X193" s="2994">
        <v>0</v>
      </c>
      <c r="Y193" s="2994">
        <v>0</v>
      </c>
      <c r="Z193" s="2994">
        <v>0</v>
      </c>
      <c r="AA193" s="2994">
        <v>0</v>
      </c>
      <c r="AB193" s="2994">
        <v>0</v>
      </c>
      <c r="AC193" s="2994">
        <v>0</v>
      </c>
      <c r="AD193" s="2994">
        <v>0</v>
      </c>
      <c r="AE193" s="2994">
        <v>0</v>
      </c>
      <c r="AF193" s="2994">
        <v>0</v>
      </c>
      <c r="AG193" s="2994">
        <v>0</v>
      </c>
      <c r="AH193" s="2994">
        <v>0</v>
      </c>
      <c r="AI193" s="2994">
        <v>0</v>
      </c>
      <c r="AJ193" s="2994">
        <v>0</v>
      </c>
      <c r="AK193" s="2994">
        <v>0</v>
      </c>
      <c r="AL193" s="2994">
        <v>0</v>
      </c>
      <c r="AM193" s="2994">
        <v>0</v>
      </c>
      <c r="AN193" s="2994">
        <v>0</v>
      </c>
      <c r="AO193" s="2994">
        <v>0</v>
      </c>
      <c r="AP193" s="2994">
        <v>0</v>
      </c>
      <c r="AQ193" s="2994">
        <v>0</v>
      </c>
      <c r="AR193" s="2994">
        <v>0</v>
      </c>
      <c r="AS193" s="2994">
        <v>0</v>
      </c>
      <c r="AT193" s="2994">
        <v>0</v>
      </c>
      <c r="AU193" s="2994">
        <v>0</v>
      </c>
      <c r="AV193" s="2994">
        <v>0</v>
      </c>
      <c r="AW193" s="2994">
        <v>0</v>
      </c>
      <c r="AX193" s="2994">
        <v>0</v>
      </c>
      <c r="AY193" s="2994">
        <v>0</v>
      </c>
      <c r="AZ193" s="2994">
        <v>0</v>
      </c>
      <c r="BA193" s="2994">
        <v>0</v>
      </c>
      <c r="BB193" s="2994">
        <v>0</v>
      </c>
      <c r="BC193" s="2994">
        <v>0</v>
      </c>
      <c r="BD193" s="3471">
        <v>0</v>
      </c>
      <c r="BE193" s="3471">
        <v>0</v>
      </c>
      <c r="BF193" s="3471">
        <v>0</v>
      </c>
    </row>
    <row r="194" spans="1:58">
      <c r="A194" s="1817" t="str">
        <f t="shared" ref="A194:A257" si="7">CONCATENATE(B194,C194)</f>
        <v>Northern AmericaCassava leaves</v>
      </c>
      <c r="B194" s="1818" t="s">
        <v>1318</v>
      </c>
      <c r="C194" s="1818" t="s">
        <v>7302</v>
      </c>
      <c r="D194" s="3463" t="str">
        <f>VLOOKUP(B194,List_Yield!$G$4:$J$14,4,FALSE)</f>
        <v>North America</v>
      </c>
      <c r="E194" s="3463" t="str">
        <f t="shared" si="6"/>
        <v>North AmericaCassava leaves</v>
      </c>
      <c r="F194" s="2994">
        <v>0</v>
      </c>
      <c r="G194" s="2994">
        <v>0</v>
      </c>
      <c r="H194" s="2994">
        <v>0</v>
      </c>
      <c r="I194" s="2994">
        <v>0</v>
      </c>
      <c r="J194" s="2994">
        <v>0</v>
      </c>
      <c r="K194" s="2994">
        <v>0</v>
      </c>
      <c r="L194" s="2994">
        <v>0</v>
      </c>
      <c r="M194" s="2994">
        <v>0</v>
      </c>
      <c r="N194" s="2994">
        <v>0</v>
      </c>
      <c r="O194" s="2994">
        <v>0</v>
      </c>
      <c r="P194" s="2994">
        <v>0</v>
      </c>
      <c r="Q194" s="2994">
        <v>0</v>
      </c>
      <c r="R194" s="2994">
        <v>0</v>
      </c>
      <c r="S194" s="2994">
        <v>0</v>
      </c>
      <c r="T194" s="2994">
        <v>0</v>
      </c>
      <c r="U194" s="2994">
        <v>0</v>
      </c>
      <c r="V194" s="2994">
        <v>0</v>
      </c>
      <c r="W194" s="2994">
        <v>0</v>
      </c>
      <c r="X194" s="2994">
        <v>0</v>
      </c>
      <c r="Y194" s="2994">
        <v>0</v>
      </c>
      <c r="Z194" s="2994">
        <v>0</v>
      </c>
      <c r="AA194" s="2994">
        <v>0</v>
      </c>
      <c r="AB194" s="2994">
        <v>0</v>
      </c>
      <c r="AC194" s="2994">
        <v>0</v>
      </c>
      <c r="AD194" s="2994">
        <v>0</v>
      </c>
      <c r="AE194" s="2994">
        <v>0</v>
      </c>
      <c r="AF194" s="2994">
        <v>0</v>
      </c>
      <c r="AG194" s="2994">
        <v>0</v>
      </c>
      <c r="AH194" s="2994">
        <v>0</v>
      </c>
      <c r="AI194" s="2994">
        <v>0</v>
      </c>
      <c r="AJ194" s="2994">
        <v>0</v>
      </c>
      <c r="AK194" s="2994">
        <v>0</v>
      </c>
      <c r="AL194" s="2994">
        <v>0</v>
      </c>
      <c r="AM194" s="2994">
        <v>0</v>
      </c>
      <c r="AN194" s="2994">
        <v>0</v>
      </c>
      <c r="AO194" s="2994">
        <v>0</v>
      </c>
      <c r="AP194" s="2994">
        <v>0</v>
      </c>
      <c r="AQ194" s="2994">
        <v>0</v>
      </c>
      <c r="AR194" s="2994">
        <v>0</v>
      </c>
      <c r="AS194" s="2994">
        <v>0</v>
      </c>
      <c r="AT194" s="2994">
        <v>0</v>
      </c>
      <c r="AU194" s="2994">
        <v>0</v>
      </c>
      <c r="AV194" s="2994">
        <v>0</v>
      </c>
      <c r="AW194" s="2994">
        <v>0</v>
      </c>
      <c r="AX194" s="2994">
        <v>0</v>
      </c>
      <c r="AY194" s="2994">
        <v>0</v>
      </c>
      <c r="AZ194" s="2994">
        <v>0</v>
      </c>
      <c r="BA194" s="2994">
        <v>0</v>
      </c>
      <c r="BB194" s="2994">
        <v>0</v>
      </c>
      <c r="BC194" s="2994">
        <v>0</v>
      </c>
      <c r="BD194" s="3471">
        <v>0</v>
      </c>
      <c r="BE194" s="3471">
        <v>0</v>
      </c>
      <c r="BF194" s="3471">
        <v>0</v>
      </c>
    </row>
    <row r="195" spans="1:58">
      <c r="A195" s="1817" t="str">
        <f t="shared" si="7"/>
        <v>Northern AmericaCastor oil seed</v>
      </c>
      <c r="B195" s="1818" t="s">
        <v>1318</v>
      </c>
      <c r="C195" s="1818" t="s">
        <v>7303</v>
      </c>
      <c r="D195" s="3463" t="str">
        <f>VLOOKUP(B195,List_Yield!$G$4:$J$14,4,FALSE)</f>
        <v>North America</v>
      </c>
      <c r="E195" s="3463" t="str">
        <f t="shared" si="6"/>
        <v>North AmericaCastor oil seed</v>
      </c>
      <c r="F195" s="2994">
        <v>0.98280000000000001</v>
      </c>
      <c r="G195" s="2994">
        <v>0.96389999999999998</v>
      </c>
      <c r="H195" s="2994">
        <v>0.9677</v>
      </c>
      <c r="I195" s="2994">
        <v>0.97199999999999998</v>
      </c>
      <c r="J195" s="2994">
        <v>0.94079999999999997</v>
      </c>
      <c r="K195" s="2994">
        <v>0.9466</v>
      </c>
      <c r="L195" s="2994">
        <v>0.95830000000000004</v>
      </c>
      <c r="M195" s="2994">
        <v>0.97499999999999998</v>
      </c>
      <c r="N195" s="2994">
        <v>0.99870000000000003</v>
      </c>
      <c r="O195" s="2994">
        <v>0.9244</v>
      </c>
      <c r="P195" s="2994">
        <v>0.65</v>
      </c>
      <c r="Q195" s="2994">
        <v>1.077</v>
      </c>
      <c r="R195" s="2994">
        <v>0.76819999999999999</v>
      </c>
      <c r="S195" s="2994">
        <v>0.65749999999999997</v>
      </c>
      <c r="T195" s="2994">
        <v>0</v>
      </c>
      <c r="U195" s="2994">
        <v>0</v>
      </c>
      <c r="V195" s="2994">
        <v>0</v>
      </c>
      <c r="W195" s="2994">
        <v>0</v>
      </c>
      <c r="X195" s="2994">
        <v>0</v>
      </c>
      <c r="Y195" s="2994">
        <v>0</v>
      </c>
      <c r="Z195" s="2994">
        <v>0</v>
      </c>
      <c r="AA195" s="2994">
        <v>0</v>
      </c>
      <c r="AB195" s="2994">
        <v>0</v>
      </c>
      <c r="AC195" s="2994">
        <v>0</v>
      </c>
      <c r="AD195" s="2994">
        <v>0</v>
      </c>
      <c r="AE195" s="2994">
        <v>0</v>
      </c>
      <c r="AF195" s="2994">
        <v>0</v>
      </c>
      <c r="AG195" s="2994">
        <v>0</v>
      </c>
      <c r="AH195" s="2994">
        <v>0</v>
      </c>
      <c r="AI195" s="2994">
        <v>0</v>
      </c>
      <c r="AJ195" s="2994">
        <v>0</v>
      </c>
      <c r="AK195" s="2994">
        <v>0</v>
      </c>
      <c r="AL195" s="2994">
        <v>0</v>
      </c>
      <c r="AM195" s="2994">
        <v>0</v>
      </c>
      <c r="AN195" s="2994">
        <v>0</v>
      </c>
      <c r="AO195" s="2994">
        <v>0</v>
      </c>
      <c r="AP195" s="2994">
        <v>0</v>
      </c>
      <c r="AQ195" s="2994">
        <v>0</v>
      </c>
      <c r="AR195" s="2994">
        <v>0</v>
      </c>
      <c r="AS195" s="2994">
        <v>0</v>
      </c>
      <c r="AT195" s="2994">
        <v>0</v>
      </c>
      <c r="AU195" s="2994">
        <v>0</v>
      </c>
      <c r="AV195" s="2994">
        <v>0</v>
      </c>
      <c r="AW195" s="2994">
        <v>0</v>
      </c>
      <c r="AX195" s="2994">
        <v>0</v>
      </c>
      <c r="AY195" s="2994">
        <v>0</v>
      </c>
      <c r="AZ195" s="2994">
        <v>0</v>
      </c>
      <c r="BA195" s="2994">
        <v>0</v>
      </c>
      <c r="BB195" s="2994">
        <v>0</v>
      </c>
      <c r="BC195" s="2994">
        <v>0</v>
      </c>
      <c r="BD195" s="3471">
        <v>0</v>
      </c>
      <c r="BE195" s="3471">
        <v>0</v>
      </c>
      <c r="BF195" s="3471">
        <v>0</v>
      </c>
    </row>
    <row r="196" spans="1:58">
      <c r="A196" s="1817" t="str">
        <f t="shared" si="7"/>
        <v>Northern AmericaCauliflowers and broccoli</v>
      </c>
      <c r="B196" s="1818" t="s">
        <v>1318</v>
      </c>
      <c r="C196" s="1818" t="s">
        <v>1343</v>
      </c>
      <c r="D196" s="3463" t="str">
        <f>VLOOKUP(B196,List_Yield!$G$4:$J$14,4,FALSE)</f>
        <v>North America</v>
      </c>
      <c r="E196" s="3463" t="str">
        <f t="shared" si="6"/>
        <v>North AmericaCauliflowers and broccoli</v>
      </c>
      <c r="F196" s="2994">
        <v>10.2804</v>
      </c>
      <c r="G196" s="2994">
        <v>11.008100000000001</v>
      </c>
      <c r="H196" s="2994">
        <v>10.736599999999999</v>
      </c>
      <c r="I196" s="2994">
        <v>10.7537</v>
      </c>
      <c r="J196" s="2994">
        <v>11.285600000000001</v>
      </c>
      <c r="K196" s="2994">
        <v>10.9961</v>
      </c>
      <c r="L196" s="2994">
        <v>10.6555</v>
      </c>
      <c r="M196" s="2994">
        <v>11.1706</v>
      </c>
      <c r="N196" s="2994">
        <v>10.857100000000001</v>
      </c>
      <c r="O196" s="2994">
        <v>10.934100000000001</v>
      </c>
      <c r="P196" s="2994">
        <v>11.1998</v>
      </c>
      <c r="Q196" s="2994">
        <v>11.8171</v>
      </c>
      <c r="R196" s="2994">
        <v>10.5076</v>
      </c>
      <c r="S196" s="2994">
        <v>10.8147</v>
      </c>
      <c r="T196" s="2994">
        <v>10.9137</v>
      </c>
      <c r="U196" s="2994">
        <v>10.8238</v>
      </c>
      <c r="V196" s="2994">
        <v>11.4772</v>
      </c>
      <c r="W196" s="2994">
        <v>11.1637</v>
      </c>
      <c r="X196" s="2994">
        <v>12.0101</v>
      </c>
      <c r="Y196" s="2994">
        <v>12.194900000000001</v>
      </c>
      <c r="Z196" s="2994">
        <v>12.783099999999999</v>
      </c>
      <c r="AA196" s="2994">
        <v>12.1698</v>
      </c>
      <c r="AB196" s="2994">
        <v>11.731</v>
      </c>
      <c r="AC196" s="2994">
        <v>12.776</v>
      </c>
      <c r="AD196" s="2994">
        <v>12.374000000000001</v>
      </c>
      <c r="AE196" s="2994">
        <v>12.8711</v>
      </c>
      <c r="AF196" s="2994">
        <v>12.9132</v>
      </c>
      <c r="AG196" s="2994">
        <v>13.694599999999999</v>
      </c>
      <c r="AH196" s="2994">
        <v>13.001200000000001</v>
      </c>
      <c r="AI196" s="2994">
        <v>13.2995</v>
      </c>
      <c r="AJ196" s="2994">
        <v>13.6538</v>
      </c>
      <c r="AK196" s="2994">
        <v>12.5543</v>
      </c>
      <c r="AL196" s="2994">
        <v>12.9655</v>
      </c>
      <c r="AM196" s="2994">
        <v>14.082700000000001</v>
      </c>
      <c r="AN196" s="2994">
        <v>13.6267</v>
      </c>
      <c r="AO196" s="2994">
        <v>15.5397</v>
      </c>
      <c r="AP196" s="2994">
        <v>17.256599999999999</v>
      </c>
      <c r="AQ196" s="2994">
        <v>17.331800000000001</v>
      </c>
      <c r="AR196" s="2994">
        <v>18.533300000000001</v>
      </c>
      <c r="AS196" s="2994">
        <v>18.1357</v>
      </c>
      <c r="AT196" s="2994">
        <v>17.668099999999999</v>
      </c>
      <c r="AU196" s="2994">
        <v>16.5688</v>
      </c>
      <c r="AV196" s="2994">
        <v>18.323799999999999</v>
      </c>
      <c r="AW196" s="2994">
        <v>18.786999999999999</v>
      </c>
      <c r="AX196" s="2994">
        <v>19.225100000000001</v>
      </c>
      <c r="AY196" s="2994">
        <v>19.5501</v>
      </c>
      <c r="AZ196" s="2994">
        <v>20.290099999999999</v>
      </c>
      <c r="BA196" s="2994">
        <v>19.955200000000001</v>
      </c>
      <c r="BB196" s="2994">
        <v>20.4161</v>
      </c>
      <c r="BC196" s="2994">
        <v>20.438700000000001</v>
      </c>
      <c r="BD196" s="3471">
        <v>20.1967</v>
      </c>
      <c r="BE196" s="3471">
        <v>20.6038</v>
      </c>
      <c r="BF196" s="3471">
        <v>0</v>
      </c>
    </row>
    <row r="197" spans="1:58">
      <c r="A197" s="1817" t="str">
        <f t="shared" si="7"/>
        <v>Northern AmericaCereals, nes</v>
      </c>
      <c r="B197" s="1818" t="s">
        <v>1318</v>
      </c>
      <c r="C197" s="1818" t="s">
        <v>1344</v>
      </c>
      <c r="D197" s="3463" t="str">
        <f>VLOOKUP(B197,List_Yield!$G$4:$J$14,4,FALSE)</f>
        <v>North America</v>
      </c>
      <c r="E197" s="3463" t="str">
        <f t="shared" si="6"/>
        <v>North AmericaCereals, nes</v>
      </c>
      <c r="F197" s="2994">
        <v>0</v>
      </c>
      <c r="G197" s="2994">
        <v>0</v>
      </c>
      <c r="H197" s="2994">
        <v>0</v>
      </c>
      <c r="I197" s="2994">
        <v>0</v>
      </c>
      <c r="J197" s="2994">
        <v>0</v>
      </c>
      <c r="K197" s="2994">
        <v>0</v>
      </c>
      <c r="L197" s="2994">
        <v>0</v>
      </c>
      <c r="M197" s="2994">
        <v>0</v>
      </c>
      <c r="N197" s="2994">
        <v>0</v>
      </c>
      <c r="O197" s="2994">
        <v>0</v>
      </c>
      <c r="P197" s="2994">
        <v>0</v>
      </c>
      <c r="Q197" s="2994">
        <v>0</v>
      </c>
      <c r="R197" s="2994">
        <v>0</v>
      </c>
      <c r="S197" s="2994">
        <v>0</v>
      </c>
      <c r="T197" s="2994">
        <v>0</v>
      </c>
      <c r="U197" s="2994">
        <v>0</v>
      </c>
      <c r="V197" s="2994">
        <v>0</v>
      </c>
      <c r="W197" s="2994">
        <v>0</v>
      </c>
      <c r="X197" s="2994">
        <v>0</v>
      </c>
      <c r="Y197" s="2994">
        <v>0</v>
      </c>
      <c r="Z197" s="2994">
        <v>0</v>
      </c>
      <c r="AA197" s="2994">
        <v>0</v>
      </c>
      <c r="AB197" s="2994">
        <v>0</v>
      </c>
      <c r="AC197" s="2994">
        <v>0</v>
      </c>
      <c r="AD197" s="2994">
        <v>0</v>
      </c>
      <c r="AE197" s="2994">
        <v>0</v>
      </c>
      <c r="AF197" s="2994">
        <v>0</v>
      </c>
      <c r="AG197" s="2994">
        <v>0</v>
      </c>
      <c r="AH197" s="2994">
        <v>0</v>
      </c>
      <c r="AI197" s="2994">
        <v>0</v>
      </c>
      <c r="AJ197" s="2994">
        <v>0</v>
      </c>
      <c r="AK197" s="2994">
        <v>0</v>
      </c>
      <c r="AL197" s="2994">
        <v>0</v>
      </c>
      <c r="AM197" s="2994">
        <v>0</v>
      </c>
      <c r="AN197" s="2994">
        <v>0</v>
      </c>
      <c r="AO197" s="2994">
        <v>0</v>
      </c>
      <c r="AP197" s="2994">
        <v>0</v>
      </c>
      <c r="AQ197" s="2994">
        <v>0</v>
      </c>
      <c r="AR197" s="2994">
        <v>0</v>
      </c>
      <c r="AS197" s="2994">
        <v>0</v>
      </c>
      <c r="AT197" s="2994">
        <v>0</v>
      </c>
      <c r="AU197" s="2994">
        <v>0</v>
      </c>
      <c r="AV197" s="2994">
        <v>0</v>
      </c>
      <c r="AW197" s="2994">
        <v>0</v>
      </c>
      <c r="AX197" s="2994">
        <v>0</v>
      </c>
      <c r="AY197" s="2994">
        <v>0</v>
      </c>
      <c r="AZ197" s="2994">
        <v>0</v>
      </c>
      <c r="BA197" s="2994">
        <v>0</v>
      </c>
      <c r="BB197" s="2994">
        <v>0</v>
      </c>
      <c r="BC197" s="2994">
        <v>0</v>
      </c>
      <c r="BD197" s="3471">
        <v>0</v>
      </c>
      <c r="BE197" s="3471">
        <v>0</v>
      </c>
      <c r="BF197" s="3471">
        <v>0</v>
      </c>
    </row>
    <row r="198" spans="1:58">
      <c r="A198" s="1817" t="str">
        <f t="shared" si="7"/>
        <v>Northern AmericaCherries</v>
      </c>
      <c r="B198" s="1818" t="s">
        <v>1318</v>
      </c>
      <c r="C198" s="1818" t="s">
        <v>7304</v>
      </c>
      <c r="D198" s="3463" t="str">
        <f>VLOOKUP(B198,List_Yield!$G$4:$J$14,4,FALSE)</f>
        <v>North America</v>
      </c>
      <c r="E198" s="3463" t="str">
        <f t="shared" si="6"/>
        <v>North AmericaCherries</v>
      </c>
      <c r="F198" s="2994">
        <v>5.8156999999999996</v>
      </c>
      <c r="G198" s="2994">
        <v>6.0250000000000004</v>
      </c>
      <c r="H198" s="2994">
        <v>3.7743000000000002</v>
      </c>
      <c r="I198" s="2994">
        <v>5.8593999999999999</v>
      </c>
      <c r="J198" s="2994">
        <v>4.3410000000000002</v>
      </c>
      <c r="K198" s="2994">
        <v>5.4476000000000004</v>
      </c>
      <c r="L198" s="2994">
        <v>4.9996999999999998</v>
      </c>
      <c r="M198" s="2994">
        <v>4.0545999999999998</v>
      </c>
      <c r="N198" s="2994">
        <v>5.4413</v>
      </c>
      <c r="O198" s="2994">
        <v>5.2222999999999997</v>
      </c>
      <c r="P198" s="2994">
        <v>5.9779</v>
      </c>
      <c r="Q198" s="2994">
        <v>4.1543999999999999</v>
      </c>
      <c r="R198" s="2994">
        <v>6.5453999999999999</v>
      </c>
      <c r="S198" s="2994">
        <v>5.9888000000000003</v>
      </c>
      <c r="T198" s="2994">
        <v>6.32</v>
      </c>
      <c r="U198" s="2994">
        <v>7.2619999999999996</v>
      </c>
      <c r="V198" s="2994">
        <v>6.3700999999999999</v>
      </c>
      <c r="W198" s="2994">
        <v>6.9238</v>
      </c>
      <c r="X198" s="2994">
        <v>8.1232000000000006</v>
      </c>
      <c r="Y198" s="2994">
        <v>7.9192999999999998</v>
      </c>
      <c r="Z198" s="2994">
        <v>7.3132000000000001</v>
      </c>
      <c r="AA198" s="2994">
        <v>7.6969000000000003</v>
      </c>
      <c r="AB198" s="2994">
        <v>8.7181999999999995</v>
      </c>
      <c r="AC198" s="2994">
        <v>8.7369000000000003</v>
      </c>
      <c r="AD198" s="2994">
        <v>6.4477000000000002</v>
      </c>
      <c r="AE198" s="2994">
        <v>6.6999000000000004</v>
      </c>
      <c r="AF198" s="2994">
        <v>9.8521999999999998</v>
      </c>
      <c r="AG198" s="2994">
        <v>8.5096000000000007</v>
      </c>
      <c r="AH198" s="2994">
        <v>8.7281999999999993</v>
      </c>
      <c r="AI198" s="2994">
        <v>6.9779999999999998</v>
      </c>
      <c r="AJ198" s="2994">
        <v>7.2302</v>
      </c>
      <c r="AK198" s="2994">
        <v>9.6908999999999992</v>
      </c>
      <c r="AL198" s="2994">
        <v>7.8106</v>
      </c>
      <c r="AM198" s="2994">
        <v>9.1689000000000007</v>
      </c>
      <c r="AN198" s="2994">
        <v>7.0762</v>
      </c>
      <c r="AO198" s="2994">
        <v>6.2135999999999996</v>
      </c>
      <c r="AP198" s="2994">
        <v>8.8361000000000001</v>
      </c>
      <c r="AQ198" s="2994">
        <v>7.6554000000000002</v>
      </c>
      <c r="AR198" s="2994">
        <v>8.2387999999999995</v>
      </c>
      <c r="AS198" s="2994">
        <v>7.3654999999999999</v>
      </c>
      <c r="AT198" s="2994">
        <v>7.5358999999999998</v>
      </c>
      <c r="AU198" s="2994">
        <v>5.5717999999999996</v>
      </c>
      <c r="AV198" s="2994">
        <v>5.5364000000000004</v>
      </c>
      <c r="AW198" s="2994">
        <v>8.0850000000000009</v>
      </c>
      <c r="AX198" s="2994">
        <v>7.0324</v>
      </c>
      <c r="AY198" s="2994">
        <v>7.9717000000000002</v>
      </c>
      <c r="AZ198" s="2994">
        <v>8.4886999999999997</v>
      </c>
      <c r="BA198" s="2994">
        <v>6.6745000000000001</v>
      </c>
      <c r="BB198" s="2994">
        <v>11.5824</v>
      </c>
      <c r="BC198" s="2994">
        <v>8.2220999999999993</v>
      </c>
      <c r="BD198" s="3471">
        <v>8.6501999999999999</v>
      </c>
      <c r="BE198" s="3471">
        <v>10.882</v>
      </c>
      <c r="BF198" s="3471">
        <v>0</v>
      </c>
    </row>
    <row r="199" spans="1:58">
      <c r="A199" s="1817" t="str">
        <f t="shared" si="7"/>
        <v>Northern AmericaCherries, sour</v>
      </c>
      <c r="B199" s="1818" t="s">
        <v>1318</v>
      </c>
      <c r="C199" s="1818" t="s">
        <v>7305</v>
      </c>
      <c r="D199" s="3463" t="str">
        <f>VLOOKUP(B199,List_Yield!$G$4:$J$14,4,FALSE)</f>
        <v>North America</v>
      </c>
      <c r="E199" s="3463" t="str">
        <f t="shared" si="6"/>
        <v>North AmericaCherries, sour</v>
      </c>
      <c r="F199" s="2994">
        <v>5.3503999999999996</v>
      </c>
      <c r="G199" s="2994">
        <v>5.7668999999999997</v>
      </c>
      <c r="H199" s="2994">
        <v>2.8544999999999998</v>
      </c>
      <c r="I199" s="2994">
        <v>9.0866000000000007</v>
      </c>
      <c r="J199" s="2994">
        <v>6.0675999999999997</v>
      </c>
      <c r="K199" s="2994">
        <v>3.2248999999999999</v>
      </c>
      <c r="L199" s="2994">
        <v>3.3325999999999998</v>
      </c>
      <c r="M199" s="2994">
        <v>5.0518000000000001</v>
      </c>
      <c r="N199" s="2994">
        <v>5.8235999999999999</v>
      </c>
      <c r="O199" s="2994">
        <v>4.7504999999999997</v>
      </c>
      <c r="P199" s="2994">
        <v>5.5564999999999998</v>
      </c>
      <c r="Q199" s="2994">
        <v>6.4059999999999997</v>
      </c>
      <c r="R199" s="2994">
        <v>3.7789999999999999</v>
      </c>
      <c r="S199" s="2994">
        <v>5.7553999999999998</v>
      </c>
      <c r="T199" s="2994">
        <v>6.7061999999999999</v>
      </c>
      <c r="U199" s="2994">
        <v>3.7911000000000001</v>
      </c>
      <c r="V199" s="2994">
        <v>5.7026000000000003</v>
      </c>
      <c r="W199" s="2994">
        <v>5.0994000000000002</v>
      </c>
      <c r="X199" s="2994">
        <v>4.9573</v>
      </c>
      <c r="Y199" s="2994">
        <v>6.1055000000000001</v>
      </c>
      <c r="Z199" s="2994">
        <v>3.7019000000000002</v>
      </c>
      <c r="AA199" s="2994">
        <v>8.6685999999999996</v>
      </c>
      <c r="AB199" s="2994">
        <v>4.3956999999999997</v>
      </c>
      <c r="AC199" s="2994">
        <v>7.0749000000000004</v>
      </c>
      <c r="AD199" s="2994">
        <v>7.0987999999999998</v>
      </c>
      <c r="AE199" s="2994">
        <v>5.2126000000000001</v>
      </c>
      <c r="AF199" s="2994">
        <v>8.0486000000000004</v>
      </c>
      <c r="AG199" s="2994">
        <v>5.4273999999999996</v>
      </c>
      <c r="AH199" s="2994">
        <v>6.0696000000000003</v>
      </c>
      <c r="AI199" s="2994">
        <v>4.8193999999999999</v>
      </c>
      <c r="AJ199" s="2994">
        <v>4.5049000000000001</v>
      </c>
      <c r="AK199" s="2994">
        <v>7.8075999999999999</v>
      </c>
      <c r="AL199" s="2994">
        <v>7.7873999999999999</v>
      </c>
      <c r="AM199" s="2994">
        <v>7.2607999999999997</v>
      </c>
      <c r="AN199" s="2994">
        <v>10.0299</v>
      </c>
      <c r="AO199" s="2994">
        <v>7.1210000000000004</v>
      </c>
      <c r="AP199" s="2994">
        <v>8.1941000000000006</v>
      </c>
      <c r="AQ199" s="2994">
        <v>9.4596999999999998</v>
      </c>
      <c r="AR199" s="2994">
        <v>7.2022000000000004</v>
      </c>
      <c r="AS199" s="2994">
        <v>7.9884000000000004</v>
      </c>
      <c r="AT199" s="2994">
        <v>8.6254000000000008</v>
      </c>
      <c r="AU199" s="2994">
        <v>2.0318999999999998</v>
      </c>
      <c r="AV199" s="2994">
        <v>6.8221999999999996</v>
      </c>
      <c r="AW199" s="2994">
        <v>6.3460000000000001</v>
      </c>
      <c r="AX199" s="2994">
        <v>8.2455999999999996</v>
      </c>
      <c r="AY199" s="2994">
        <v>7.7310999999999996</v>
      </c>
      <c r="AZ199" s="2994">
        <v>7.9126000000000003</v>
      </c>
      <c r="BA199" s="2994">
        <v>6.915</v>
      </c>
      <c r="BB199" s="2994">
        <v>11.024800000000001</v>
      </c>
      <c r="BC199" s="2994">
        <v>5.9659000000000004</v>
      </c>
      <c r="BD199" s="3471">
        <v>7.0370999999999997</v>
      </c>
      <c r="BE199" s="3471">
        <v>2.5053999999999998</v>
      </c>
      <c r="BF199" s="3471">
        <v>0</v>
      </c>
    </row>
    <row r="200" spans="1:58">
      <c r="A200" s="1817" t="str">
        <f t="shared" si="7"/>
        <v>Northern AmericaChestnut</v>
      </c>
      <c r="B200" s="1818" t="s">
        <v>1318</v>
      </c>
      <c r="C200" s="1818" t="s">
        <v>7306</v>
      </c>
      <c r="D200" s="3463" t="str">
        <f>VLOOKUP(B200,List_Yield!$G$4:$J$14,4,FALSE)</f>
        <v>North America</v>
      </c>
      <c r="E200" s="3463" t="str">
        <f t="shared" si="6"/>
        <v>North AmericaChestnut</v>
      </c>
      <c r="F200" s="2994">
        <v>0</v>
      </c>
      <c r="G200" s="2994">
        <v>0</v>
      </c>
      <c r="H200" s="2994">
        <v>0</v>
      </c>
      <c r="I200" s="2994">
        <v>0</v>
      </c>
      <c r="J200" s="2994">
        <v>0</v>
      </c>
      <c r="K200" s="2994">
        <v>0</v>
      </c>
      <c r="L200" s="2994">
        <v>0</v>
      </c>
      <c r="M200" s="2994">
        <v>0</v>
      </c>
      <c r="N200" s="2994">
        <v>0</v>
      </c>
      <c r="O200" s="2994">
        <v>0</v>
      </c>
      <c r="P200" s="2994">
        <v>0</v>
      </c>
      <c r="Q200" s="2994">
        <v>0</v>
      </c>
      <c r="R200" s="2994">
        <v>0</v>
      </c>
      <c r="S200" s="2994">
        <v>0</v>
      </c>
      <c r="T200" s="2994">
        <v>0</v>
      </c>
      <c r="U200" s="2994">
        <v>0</v>
      </c>
      <c r="V200" s="2994">
        <v>0</v>
      </c>
      <c r="W200" s="2994">
        <v>0</v>
      </c>
      <c r="X200" s="2994">
        <v>0</v>
      </c>
      <c r="Y200" s="2994">
        <v>0</v>
      </c>
      <c r="Z200" s="2994">
        <v>0</v>
      </c>
      <c r="AA200" s="2994">
        <v>0</v>
      </c>
      <c r="AB200" s="2994">
        <v>0</v>
      </c>
      <c r="AC200" s="2994">
        <v>0</v>
      </c>
      <c r="AD200" s="2994">
        <v>0</v>
      </c>
      <c r="AE200" s="2994">
        <v>0</v>
      </c>
      <c r="AF200" s="2994">
        <v>0</v>
      </c>
      <c r="AG200" s="2994">
        <v>0</v>
      </c>
      <c r="AH200" s="2994">
        <v>0</v>
      </c>
      <c r="AI200" s="2994">
        <v>0</v>
      </c>
      <c r="AJ200" s="2994">
        <v>0</v>
      </c>
      <c r="AK200" s="2994">
        <v>0</v>
      </c>
      <c r="AL200" s="2994">
        <v>0</v>
      </c>
      <c r="AM200" s="2994">
        <v>0</v>
      </c>
      <c r="AN200" s="2994">
        <v>0</v>
      </c>
      <c r="AO200" s="2994">
        <v>0</v>
      </c>
      <c r="AP200" s="2994">
        <v>0</v>
      </c>
      <c r="AQ200" s="2994">
        <v>0</v>
      </c>
      <c r="AR200" s="2994">
        <v>0</v>
      </c>
      <c r="AS200" s="2994">
        <v>0</v>
      </c>
      <c r="AT200" s="2994">
        <v>0</v>
      </c>
      <c r="AU200" s="2994">
        <v>0</v>
      </c>
      <c r="AV200" s="2994">
        <v>0</v>
      </c>
      <c r="AW200" s="2994">
        <v>0</v>
      </c>
      <c r="AX200" s="2994">
        <v>0</v>
      </c>
      <c r="AY200" s="2994">
        <v>0</v>
      </c>
      <c r="AZ200" s="2994">
        <v>0</v>
      </c>
      <c r="BA200" s="2994">
        <v>0</v>
      </c>
      <c r="BB200" s="2994">
        <v>0</v>
      </c>
      <c r="BC200" s="2994">
        <v>0</v>
      </c>
      <c r="BD200" s="3471">
        <v>0</v>
      </c>
      <c r="BE200" s="3471">
        <v>0</v>
      </c>
      <c r="BF200" s="3471">
        <v>0</v>
      </c>
    </row>
    <row r="201" spans="1:58">
      <c r="A201" s="1817" t="str">
        <f t="shared" si="7"/>
        <v>Northern AmericaChick peas</v>
      </c>
      <c r="B201" s="1818" t="s">
        <v>1318</v>
      </c>
      <c r="C201" s="1818" t="s">
        <v>7307</v>
      </c>
      <c r="D201" s="3463" t="str">
        <f>VLOOKUP(B201,List_Yield!$G$4:$J$14,4,FALSE)</f>
        <v>North America</v>
      </c>
      <c r="E201" s="3463" t="str">
        <f t="shared" si="6"/>
        <v>North AmericaChick peas</v>
      </c>
      <c r="F201" s="2994">
        <v>0</v>
      </c>
      <c r="G201" s="2994">
        <v>0</v>
      </c>
      <c r="H201" s="2994">
        <v>0</v>
      </c>
      <c r="I201" s="2994">
        <v>0</v>
      </c>
      <c r="J201" s="2994">
        <v>0</v>
      </c>
      <c r="K201" s="2994">
        <v>0</v>
      </c>
      <c r="L201" s="2994">
        <v>0</v>
      </c>
      <c r="M201" s="2994">
        <v>0</v>
      </c>
      <c r="N201" s="2994">
        <v>0</v>
      </c>
      <c r="O201" s="2994">
        <v>0</v>
      </c>
      <c r="P201" s="2994">
        <v>0</v>
      </c>
      <c r="Q201" s="2994">
        <v>0</v>
      </c>
      <c r="R201" s="2994">
        <v>0</v>
      </c>
      <c r="S201" s="2994">
        <v>0</v>
      </c>
      <c r="T201" s="2994">
        <v>0</v>
      </c>
      <c r="U201" s="2994">
        <v>0</v>
      </c>
      <c r="V201" s="2994">
        <v>0</v>
      </c>
      <c r="W201" s="2994">
        <v>0</v>
      </c>
      <c r="X201" s="2994">
        <v>0</v>
      </c>
      <c r="Y201" s="2994">
        <v>0</v>
      </c>
      <c r="Z201" s="2994">
        <v>0</v>
      </c>
      <c r="AA201" s="2994">
        <v>0</v>
      </c>
      <c r="AB201" s="2994">
        <v>0</v>
      </c>
      <c r="AC201" s="2994">
        <v>0</v>
      </c>
      <c r="AD201" s="2994">
        <v>0</v>
      </c>
      <c r="AE201" s="2994">
        <v>0</v>
      </c>
      <c r="AF201" s="2994">
        <v>0</v>
      </c>
      <c r="AG201" s="2994">
        <v>0</v>
      </c>
      <c r="AH201" s="2994">
        <v>0</v>
      </c>
      <c r="AI201" s="2994">
        <v>0</v>
      </c>
      <c r="AJ201" s="2994">
        <v>0</v>
      </c>
      <c r="AK201" s="2994">
        <v>1.4286000000000001</v>
      </c>
      <c r="AL201" s="2994">
        <v>1.4286000000000001</v>
      </c>
      <c r="AM201" s="2994">
        <v>1.4412</v>
      </c>
      <c r="AN201" s="2994">
        <v>1.2987</v>
      </c>
      <c r="AO201" s="2994">
        <v>1.2903</v>
      </c>
      <c r="AP201" s="2994">
        <v>1.3942000000000001</v>
      </c>
      <c r="AQ201" s="2994">
        <v>1.3254999999999999</v>
      </c>
      <c r="AR201" s="2994">
        <v>1.3904000000000001</v>
      </c>
      <c r="AS201" s="2994">
        <v>1.3752</v>
      </c>
      <c r="AT201" s="2994">
        <v>1.0167999999999999</v>
      </c>
      <c r="AU201" s="2994">
        <v>1.1426000000000001</v>
      </c>
      <c r="AV201" s="2994">
        <v>1.0889</v>
      </c>
      <c r="AW201" s="2994">
        <v>1.393</v>
      </c>
      <c r="AX201" s="2994">
        <v>1.4112</v>
      </c>
      <c r="AY201" s="2994">
        <v>1.2853000000000001</v>
      </c>
      <c r="AZ201" s="2994">
        <v>1.3157000000000001</v>
      </c>
      <c r="BA201" s="2994">
        <v>1.5565</v>
      </c>
      <c r="BB201" s="2994">
        <v>1.8008</v>
      </c>
      <c r="BC201" s="2994">
        <v>1.5992999999999999</v>
      </c>
      <c r="BD201" s="3471">
        <v>1.8311999999999999</v>
      </c>
      <c r="BE201" s="3471">
        <v>1.9105000000000001</v>
      </c>
      <c r="BF201" s="3471">
        <v>2.0623</v>
      </c>
    </row>
    <row r="202" spans="1:58">
      <c r="A202" s="1817" t="str">
        <f t="shared" si="7"/>
        <v>Northern AmericaChicory roots</v>
      </c>
      <c r="B202" s="1818" t="s">
        <v>1318</v>
      </c>
      <c r="C202" s="1818" t="s">
        <v>7308</v>
      </c>
      <c r="D202" s="3463" t="str">
        <f>VLOOKUP(B202,List_Yield!$G$4:$J$14,4,FALSE)</f>
        <v>North America</v>
      </c>
      <c r="E202" s="3463" t="str">
        <f t="shared" si="6"/>
        <v>North AmericaChicory roots</v>
      </c>
      <c r="F202" s="2994">
        <v>0</v>
      </c>
      <c r="G202" s="2994">
        <v>0</v>
      </c>
      <c r="H202" s="2994">
        <v>0</v>
      </c>
      <c r="I202" s="2994">
        <v>0</v>
      </c>
      <c r="J202" s="2994">
        <v>0</v>
      </c>
      <c r="K202" s="2994">
        <v>0</v>
      </c>
      <c r="L202" s="2994">
        <v>0</v>
      </c>
      <c r="M202" s="2994">
        <v>0</v>
      </c>
      <c r="N202" s="2994">
        <v>0</v>
      </c>
      <c r="O202" s="2994">
        <v>0</v>
      </c>
      <c r="P202" s="2994">
        <v>0</v>
      </c>
      <c r="Q202" s="2994">
        <v>0</v>
      </c>
      <c r="R202" s="2994">
        <v>0</v>
      </c>
      <c r="S202" s="2994">
        <v>0</v>
      </c>
      <c r="T202" s="2994">
        <v>0</v>
      </c>
      <c r="U202" s="2994">
        <v>0</v>
      </c>
      <c r="V202" s="2994">
        <v>0</v>
      </c>
      <c r="W202" s="2994">
        <v>0</v>
      </c>
      <c r="X202" s="2994">
        <v>0</v>
      </c>
      <c r="Y202" s="2994">
        <v>0</v>
      </c>
      <c r="Z202" s="2994">
        <v>0</v>
      </c>
      <c r="AA202" s="2994">
        <v>0</v>
      </c>
      <c r="AB202" s="2994">
        <v>0</v>
      </c>
      <c r="AC202" s="2994">
        <v>0</v>
      </c>
      <c r="AD202" s="2994">
        <v>0</v>
      </c>
      <c r="AE202" s="2994">
        <v>0</v>
      </c>
      <c r="AF202" s="2994">
        <v>0</v>
      </c>
      <c r="AG202" s="2994">
        <v>0</v>
      </c>
      <c r="AH202" s="2994">
        <v>0</v>
      </c>
      <c r="AI202" s="2994">
        <v>0</v>
      </c>
      <c r="AJ202" s="2994">
        <v>0</v>
      </c>
      <c r="AK202" s="2994">
        <v>0</v>
      </c>
      <c r="AL202" s="2994">
        <v>0</v>
      </c>
      <c r="AM202" s="2994">
        <v>0</v>
      </c>
      <c r="AN202" s="2994">
        <v>0</v>
      </c>
      <c r="AO202" s="2994">
        <v>0</v>
      </c>
      <c r="AP202" s="2994">
        <v>0</v>
      </c>
      <c r="AQ202" s="2994">
        <v>0</v>
      </c>
      <c r="AR202" s="2994">
        <v>0</v>
      </c>
      <c r="AS202" s="2994">
        <v>0</v>
      </c>
      <c r="AT202" s="2994">
        <v>0</v>
      </c>
      <c r="AU202" s="2994">
        <v>0</v>
      </c>
      <c r="AV202" s="2994">
        <v>0</v>
      </c>
      <c r="AW202" s="2994">
        <v>0</v>
      </c>
      <c r="AX202" s="2994">
        <v>0</v>
      </c>
      <c r="AY202" s="2994">
        <v>0</v>
      </c>
      <c r="AZ202" s="2994">
        <v>0</v>
      </c>
      <c r="BA202" s="2994">
        <v>0</v>
      </c>
      <c r="BB202" s="2994">
        <v>0</v>
      </c>
      <c r="BC202" s="2994">
        <v>0</v>
      </c>
      <c r="BD202" s="3471">
        <v>0</v>
      </c>
      <c r="BE202" s="3471">
        <v>0</v>
      </c>
      <c r="BF202" s="3471">
        <v>0</v>
      </c>
    </row>
    <row r="203" spans="1:58">
      <c r="A203" s="1817" t="str">
        <f t="shared" si="7"/>
        <v>Northern AmericaChillies and peppers, dry</v>
      </c>
      <c r="B203" s="1818" t="s">
        <v>1318</v>
      </c>
      <c r="C203" s="1818" t="s">
        <v>7309</v>
      </c>
      <c r="D203" s="3463" t="str">
        <f>VLOOKUP(B203,List_Yield!$G$4:$J$14,4,FALSE)</f>
        <v>North America</v>
      </c>
      <c r="E203" s="3463" t="str">
        <f t="shared" si="6"/>
        <v>North AmericaChillies and peppers, dry</v>
      </c>
      <c r="F203" s="2994">
        <v>0</v>
      </c>
      <c r="G203" s="2994">
        <v>0</v>
      </c>
      <c r="H203" s="2994">
        <v>0</v>
      </c>
      <c r="I203" s="2994">
        <v>0</v>
      </c>
      <c r="J203" s="2994">
        <v>0</v>
      </c>
      <c r="K203" s="2994">
        <v>0</v>
      </c>
      <c r="L203" s="2994">
        <v>0</v>
      </c>
      <c r="M203" s="2994">
        <v>0</v>
      </c>
      <c r="N203" s="2994">
        <v>0</v>
      </c>
      <c r="O203" s="2994">
        <v>0</v>
      </c>
      <c r="P203" s="2994">
        <v>0</v>
      </c>
      <c r="Q203" s="2994">
        <v>0</v>
      </c>
      <c r="R203" s="2994">
        <v>0</v>
      </c>
      <c r="S203" s="2994">
        <v>0</v>
      </c>
      <c r="T203" s="2994">
        <v>0</v>
      </c>
      <c r="U203" s="2994">
        <v>0</v>
      </c>
      <c r="V203" s="2994">
        <v>0</v>
      </c>
      <c r="W203" s="2994">
        <v>0</v>
      </c>
      <c r="X203" s="2994">
        <v>0</v>
      </c>
      <c r="Y203" s="2994">
        <v>0</v>
      </c>
      <c r="Z203" s="2994">
        <v>0</v>
      </c>
      <c r="AA203" s="2994">
        <v>0</v>
      </c>
      <c r="AB203" s="2994">
        <v>0</v>
      </c>
      <c r="AC203" s="2994">
        <v>0</v>
      </c>
      <c r="AD203" s="2994">
        <v>2.4965999999999999</v>
      </c>
      <c r="AE203" s="2994">
        <v>2.5</v>
      </c>
      <c r="AF203" s="2994">
        <v>2.5219</v>
      </c>
      <c r="AG203" s="2994">
        <v>2.6124999999999998</v>
      </c>
      <c r="AH203" s="2994">
        <v>2.6135000000000002</v>
      </c>
      <c r="AI203" s="2994">
        <v>2.8395000000000001</v>
      </c>
      <c r="AJ203" s="2994">
        <v>2.9125000000000001</v>
      </c>
      <c r="AK203" s="2994">
        <v>2.4422999999999999</v>
      </c>
      <c r="AL203" s="2994">
        <v>2.6886000000000001</v>
      </c>
      <c r="AM203" s="2994">
        <v>0</v>
      </c>
      <c r="AN203" s="2994">
        <v>0</v>
      </c>
      <c r="AO203" s="2994">
        <v>0</v>
      </c>
      <c r="AP203" s="2994">
        <v>0</v>
      </c>
      <c r="AQ203" s="2994">
        <v>0</v>
      </c>
      <c r="AR203" s="2994">
        <v>0</v>
      </c>
      <c r="AS203" s="2994">
        <v>0</v>
      </c>
      <c r="AT203" s="2994">
        <v>0</v>
      </c>
      <c r="AU203" s="2994">
        <v>0</v>
      </c>
      <c r="AV203" s="2994">
        <v>0</v>
      </c>
      <c r="AW203" s="2994">
        <v>0</v>
      </c>
      <c r="AX203" s="2994">
        <v>0</v>
      </c>
      <c r="AY203" s="2994">
        <v>0</v>
      </c>
      <c r="AZ203" s="2994">
        <v>0</v>
      </c>
      <c r="BA203" s="2994">
        <v>0</v>
      </c>
      <c r="BB203" s="2994">
        <v>0</v>
      </c>
      <c r="BC203" s="2994">
        <v>0</v>
      </c>
      <c r="BD203" s="3471">
        <v>0</v>
      </c>
      <c r="BE203" s="3471">
        <v>0</v>
      </c>
      <c r="BF203" s="3471">
        <v>0</v>
      </c>
    </row>
    <row r="204" spans="1:58">
      <c r="A204" s="1817" t="str">
        <f t="shared" si="7"/>
        <v>Northern AmericaChillies and peppers, green</v>
      </c>
      <c r="B204" s="1818" t="s">
        <v>1318</v>
      </c>
      <c r="C204" s="1818" t="s">
        <v>7310</v>
      </c>
      <c r="D204" s="3463" t="str">
        <f>VLOOKUP(B204,List_Yield!$G$4:$J$14,4,FALSE)</f>
        <v>North America</v>
      </c>
      <c r="E204" s="3463" t="str">
        <f t="shared" si="6"/>
        <v>North AmericaChillies and peppers, green</v>
      </c>
      <c r="F204" s="2994">
        <v>9.5027000000000008</v>
      </c>
      <c r="G204" s="2994">
        <v>9.6637000000000004</v>
      </c>
      <c r="H204" s="2994">
        <v>10.180899999999999</v>
      </c>
      <c r="I204" s="2994">
        <v>10.0975</v>
      </c>
      <c r="J204" s="2994">
        <v>9.5778999999999996</v>
      </c>
      <c r="K204" s="2994">
        <v>9.3002000000000002</v>
      </c>
      <c r="L204" s="2994">
        <v>10.3302</v>
      </c>
      <c r="M204" s="2994">
        <v>10.668900000000001</v>
      </c>
      <c r="N204" s="2994">
        <v>9.4922000000000004</v>
      </c>
      <c r="O204" s="2994">
        <v>9.1150000000000002</v>
      </c>
      <c r="P204" s="2994">
        <v>9.3306000000000004</v>
      </c>
      <c r="Q204" s="2994">
        <v>10.909700000000001</v>
      </c>
      <c r="R204" s="2994">
        <v>11.0441</v>
      </c>
      <c r="S204" s="2994">
        <v>11.978199999999999</v>
      </c>
      <c r="T204" s="2994">
        <v>11.255599999999999</v>
      </c>
      <c r="U204" s="2994">
        <v>10.908899999999999</v>
      </c>
      <c r="V204" s="2994">
        <v>10.6442</v>
      </c>
      <c r="W204" s="2994">
        <v>10.518800000000001</v>
      </c>
      <c r="X204" s="2994">
        <v>10.631600000000001</v>
      </c>
      <c r="Y204" s="2994">
        <v>11.0473</v>
      </c>
      <c r="Z204" s="2994">
        <v>11.4864</v>
      </c>
      <c r="AA204" s="2994">
        <v>12.9413</v>
      </c>
      <c r="AB204" s="2994">
        <v>15.4094</v>
      </c>
      <c r="AC204" s="2994">
        <v>15.180999999999999</v>
      </c>
      <c r="AD204" s="2994">
        <v>15.6418</v>
      </c>
      <c r="AE204" s="2994">
        <v>17.0761</v>
      </c>
      <c r="AF204" s="2994">
        <v>17.189399999999999</v>
      </c>
      <c r="AG204" s="2994">
        <v>18.420999999999999</v>
      </c>
      <c r="AH204" s="2994">
        <v>18.810199999999998</v>
      </c>
      <c r="AI204" s="2994">
        <v>18.456499999999998</v>
      </c>
      <c r="AJ204" s="2994">
        <v>20.552399999999999</v>
      </c>
      <c r="AK204" s="2994">
        <v>22.754799999999999</v>
      </c>
      <c r="AL204" s="2994">
        <v>24.470500000000001</v>
      </c>
      <c r="AM204" s="2994">
        <v>25.751999999999999</v>
      </c>
      <c r="AN204" s="2994">
        <v>22.992000000000001</v>
      </c>
      <c r="AO204" s="2994">
        <v>26.627700000000001</v>
      </c>
      <c r="AP204" s="2994">
        <v>28.9316</v>
      </c>
      <c r="AQ204" s="2994">
        <v>28.3507</v>
      </c>
      <c r="AR204" s="2994">
        <v>30.243300000000001</v>
      </c>
      <c r="AS204" s="2994">
        <v>23.993400000000001</v>
      </c>
      <c r="AT204" s="2994">
        <v>24.137899999999998</v>
      </c>
      <c r="AU204" s="2994">
        <v>25.268599999999999</v>
      </c>
      <c r="AV204" s="2994">
        <v>27.285599999999999</v>
      </c>
      <c r="AW204" s="2994">
        <v>28.699300000000001</v>
      </c>
      <c r="AX204" s="2994">
        <v>26.220700000000001</v>
      </c>
      <c r="AY204" s="2994">
        <v>30.063600000000001</v>
      </c>
      <c r="AZ204" s="2994">
        <v>27.843699999999998</v>
      </c>
      <c r="BA204" s="2994">
        <v>29.307200000000002</v>
      </c>
      <c r="BB204" s="2994">
        <v>30.3962</v>
      </c>
      <c r="BC204" s="2994">
        <v>30.161100000000001</v>
      </c>
      <c r="BD204" s="3471">
        <v>32.426699999999997</v>
      </c>
      <c r="BE204" s="3471">
        <v>33.855600000000003</v>
      </c>
      <c r="BF204" s="3471">
        <v>0</v>
      </c>
    </row>
    <row r="205" spans="1:58">
      <c r="A205" s="1817" t="str">
        <f t="shared" si="7"/>
        <v>Northern AmericaCinnamon (canella)</v>
      </c>
      <c r="B205" s="1818" t="s">
        <v>1318</v>
      </c>
      <c r="C205" s="1818" t="s">
        <v>7311</v>
      </c>
      <c r="D205" s="3463" t="str">
        <f>VLOOKUP(B205,List_Yield!$G$4:$J$14,4,FALSE)</f>
        <v>North America</v>
      </c>
      <c r="E205" s="3463" t="str">
        <f t="shared" si="6"/>
        <v>North AmericaCinnamon (canella)</v>
      </c>
      <c r="F205" s="2994">
        <v>0</v>
      </c>
      <c r="G205" s="2994">
        <v>0</v>
      </c>
      <c r="H205" s="2994">
        <v>0</v>
      </c>
      <c r="I205" s="2994">
        <v>0</v>
      </c>
      <c r="J205" s="2994">
        <v>0</v>
      </c>
      <c r="K205" s="2994">
        <v>0</v>
      </c>
      <c r="L205" s="2994">
        <v>0</v>
      </c>
      <c r="M205" s="2994">
        <v>0</v>
      </c>
      <c r="N205" s="2994">
        <v>0</v>
      </c>
      <c r="O205" s="2994">
        <v>0</v>
      </c>
      <c r="P205" s="2994">
        <v>0</v>
      </c>
      <c r="Q205" s="2994">
        <v>0</v>
      </c>
      <c r="R205" s="2994">
        <v>0</v>
      </c>
      <c r="S205" s="2994">
        <v>0</v>
      </c>
      <c r="T205" s="2994">
        <v>0</v>
      </c>
      <c r="U205" s="2994">
        <v>0</v>
      </c>
      <c r="V205" s="2994">
        <v>0</v>
      </c>
      <c r="W205" s="2994">
        <v>0</v>
      </c>
      <c r="X205" s="2994">
        <v>0</v>
      </c>
      <c r="Y205" s="2994">
        <v>0</v>
      </c>
      <c r="Z205" s="2994">
        <v>0</v>
      </c>
      <c r="AA205" s="2994">
        <v>0</v>
      </c>
      <c r="AB205" s="2994">
        <v>0</v>
      </c>
      <c r="AC205" s="2994">
        <v>0</v>
      </c>
      <c r="AD205" s="2994">
        <v>0</v>
      </c>
      <c r="AE205" s="2994">
        <v>0</v>
      </c>
      <c r="AF205" s="2994">
        <v>0</v>
      </c>
      <c r="AG205" s="2994">
        <v>0</v>
      </c>
      <c r="AH205" s="2994">
        <v>0</v>
      </c>
      <c r="AI205" s="2994">
        <v>0</v>
      </c>
      <c r="AJ205" s="2994">
        <v>0</v>
      </c>
      <c r="AK205" s="2994">
        <v>0</v>
      </c>
      <c r="AL205" s="2994">
        <v>0</v>
      </c>
      <c r="AM205" s="2994">
        <v>0</v>
      </c>
      <c r="AN205" s="2994">
        <v>0</v>
      </c>
      <c r="AO205" s="2994">
        <v>0</v>
      </c>
      <c r="AP205" s="2994">
        <v>0</v>
      </c>
      <c r="AQ205" s="2994">
        <v>0</v>
      </c>
      <c r="AR205" s="2994">
        <v>0</v>
      </c>
      <c r="AS205" s="2994">
        <v>0</v>
      </c>
      <c r="AT205" s="2994">
        <v>0</v>
      </c>
      <c r="AU205" s="2994">
        <v>0</v>
      </c>
      <c r="AV205" s="2994">
        <v>0</v>
      </c>
      <c r="AW205" s="2994">
        <v>0</v>
      </c>
      <c r="AX205" s="2994">
        <v>0</v>
      </c>
      <c r="AY205" s="2994">
        <v>0</v>
      </c>
      <c r="AZ205" s="2994">
        <v>0</v>
      </c>
      <c r="BA205" s="2994">
        <v>0</v>
      </c>
      <c r="BB205" s="2994">
        <v>0</v>
      </c>
      <c r="BC205" s="2994">
        <v>0</v>
      </c>
      <c r="BD205" s="3471">
        <v>0</v>
      </c>
      <c r="BE205" s="3471">
        <v>0</v>
      </c>
      <c r="BF205" s="3471">
        <v>0</v>
      </c>
    </row>
    <row r="206" spans="1:58">
      <c r="A206" s="1817" t="str">
        <f t="shared" si="7"/>
        <v>Northern AmericaCloves</v>
      </c>
      <c r="B206" s="1818" t="s">
        <v>1318</v>
      </c>
      <c r="C206" s="1818" t="s">
        <v>7312</v>
      </c>
      <c r="D206" s="3463" t="str">
        <f>VLOOKUP(B206,List_Yield!$G$4:$J$14,4,FALSE)</f>
        <v>North America</v>
      </c>
      <c r="E206" s="3463" t="str">
        <f t="shared" si="6"/>
        <v>North AmericaCloves</v>
      </c>
      <c r="F206" s="2994">
        <v>0</v>
      </c>
      <c r="G206" s="2994">
        <v>0</v>
      </c>
      <c r="H206" s="2994">
        <v>0</v>
      </c>
      <c r="I206" s="2994">
        <v>0</v>
      </c>
      <c r="J206" s="2994">
        <v>0</v>
      </c>
      <c r="K206" s="2994">
        <v>0</v>
      </c>
      <c r="L206" s="2994">
        <v>0</v>
      </c>
      <c r="M206" s="2994">
        <v>0</v>
      </c>
      <c r="N206" s="2994">
        <v>0</v>
      </c>
      <c r="O206" s="2994">
        <v>0</v>
      </c>
      <c r="P206" s="2994">
        <v>0</v>
      </c>
      <c r="Q206" s="2994">
        <v>0</v>
      </c>
      <c r="R206" s="2994">
        <v>0</v>
      </c>
      <c r="S206" s="2994">
        <v>0</v>
      </c>
      <c r="T206" s="2994">
        <v>0</v>
      </c>
      <c r="U206" s="2994">
        <v>0</v>
      </c>
      <c r="V206" s="2994">
        <v>0</v>
      </c>
      <c r="W206" s="2994">
        <v>0</v>
      </c>
      <c r="X206" s="2994">
        <v>0</v>
      </c>
      <c r="Y206" s="2994">
        <v>0</v>
      </c>
      <c r="Z206" s="2994">
        <v>0</v>
      </c>
      <c r="AA206" s="2994">
        <v>0</v>
      </c>
      <c r="AB206" s="2994">
        <v>0</v>
      </c>
      <c r="AC206" s="2994">
        <v>0</v>
      </c>
      <c r="AD206" s="2994">
        <v>0</v>
      </c>
      <c r="AE206" s="2994">
        <v>0</v>
      </c>
      <c r="AF206" s="2994">
        <v>0</v>
      </c>
      <c r="AG206" s="2994">
        <v>0</v>
      </c>
      <c r="AH206" s="2994">
        <v>0</v>
      </c>
      <c r="AI206" s="2994">
        <v>0</v>
      </c>
      <c r="AJ206" s="2994">
        <v>0</v>
      </c>
      <c r="AK206" s="2994">
        <v>0</v>
      </c>
      <c r="AL206" s="2994">
        <v>0</v>
      </c>
      <c r="AM206" s="2994">
        <v>0</v>
      </c>
      <c r="AN206" s="2994">
        <v>0</v>
      </c>
      <c r="AO206" s="2994">
        <v>0</v>
      </c>
      <c r="AP206" s="2994">
        <v>0</v>
      </c>
      <c r="AQ206" s="2994">
        <v>0</v>
      </c>
      <c r="AR206" s="2994">
        <v>0</v>
      </c>
      <c r="AS206" s="2994">
        <v>0</v>
      </c>
      <c r="AT206" s="2994">
        <v>0</v>
      </c>
      <c r="AU206" s="2994">
        <v>0</v>
      </c>
      <c r="AV206" s="2994">
        <v>0</v>
      </c>
      <c r="AW206" s="2994">
        <v>0</v>
      </c>
      <c r="AX206" s="2994">
        <v>0</v>
      </c>
      <c r="AY206" s="2994">
        <v>0</v>
      </c>
      <c r="AZ206" s="2994">
        <v>0</v>
      </c>
      <c r="BA206" s="2994">
        <v>0</v>
      </c>
      <c r="BB206" s="2994">
        <v>0</v>
      </c>
      <c r="BC206" s="2994">
        <v>0</v>
      </c>
      <c r="BD206" s="3471">
        <v>0</v>
      </c>
      <c r="BE206" s="3471">
        <v>0</v>
      </c>
      <c r="BF206" s="3471">
        <v>0</v>
      </c>
    </row>
    <row r="207" spans="1:58">
      <c r="A207" s="1817" t="str">
        <f t="shared" si="7"/>
        <v>Northern AmericaCocoa, beans</v>
      </c>
      <c r="B207" s="1818" t="s">
        <v>1318</v>
      </c>
      <c r="C207" s="1818" t="s">
        <v>7313</v>
      </c>
      <c r="D207" s="3463" t="str">
        <f>VLOOKUP(B207,List_Yield!$G$4:$J$14,4,FALSE)</f>
        <v>North America</v>
      </c>
      <c r="E207" s="3463" t="str">
        <f t="shared" si="6"/>
        <v>North AmericaCocoa, beans</v>
      </c>
      <c r="F207" s="2994">
        <v>0</v>
      </c>
      <c r="G207" s="2994">
        <v>0</v>
      </c>
      <c r="H207" s="2994">
        <v>0</v>
      </c>
      <c r="I207" s="2994">
        <v>0</v>
      </c>
      <c r="J207" s="2994">
        <v>0</v>
      </c>
      <c r="K207" s="2994">
        <v>0</v>
      </c>
      <c r="L207" s="2994">
        <v>0</v>
      </c>
      <c r="M207" s="2994">
        <v>0</v>
      </c>
      <c r="N207" s="2994">
        <v>0</v>
      </c>
      <c r="O207" s="2994">
        <v>0</v>
      </c>
      <c r="P207" s="2994">
        <v>0</v>
      </c>
      <c r="Q207" s="2994">
        <v>0</v>
      </c>
      <c r="R207" s="2994">
        <v>0</v>
      </c>
      <c r="S207" s="2994">
        <v>0</v>
      </c>
      <c r="T207" s="2994">
        <v>0</v>
      </c>
      <c r="U207" s="2994">
        <v>0</v>
      </c>
      <c r="V207" s="2994">
        <v>0</v>
      </c>
      <c r="W207" s="2994">
        <v>0</v>
      </c>
      <c r="X207" s="2994">
        <v>0</v>
      </c>
      <c r="Y207" s="2994">
        <v>0</v>
      </c>
      <c r="Z207" s="2994">
        <v>0</v>
      </c>
      <c r="AA207" s="2994">
        <v>0</v>
      </c>
      <c r="AB207" s="2994">
        <v>0</v>
      </c>
      <c r="AC207" s="2994">
        <v>0</v>
      </c>
      <c r="AD207" s="2994">
        <v>0</v>
      </c>
      <c r="AE207" s="2994">
        <v>0</v>
      </c>
      <c r="AF207" s="2994">
        <v>0</v>
      </c>
      <c r="AG207" s="2994">
        <v>0</v>
      </c>
      <c r="AH207" s="2994">
        <v>0</v>
      </c>
      <c r="AI207" s="2994">
        <v>0</v>
      </c>
      <c r="AJ207" s="2994">
        <v>0</v>
      </c>
      <c r="AK207" s="2994">
        <v>0</v>
      </c>
      <c r="AL207" s="2994">
        <v>0</v>
      </c>
      <c r="AM207" s="2994">
        <v>0</v>
      </c>
      <c r="AN207" s="2994">
        <v>0</v>
      </c>
      <c r="AO207" s="2994">
        <v>0</v>
      </c>
      <c r="AP207" s="2994">
        <v>0</v>
      </c>
      <c r="AQ207" s="2994">
        <v>0</v>
      </c>
      <c r="AR207" s="2994">
        <v>0</v>
      </c>
      <c r="AS207" s="2994">
        <v>0</v>
      </c>
      <c r="AT207" s="2994">
        <v>0</v>
      </c>
      <c r="AU207" s="2994">
        <v>0</v>
      </c>
      <c r="AV207" s="2994">
        <v>0</v>
      </c>
      <c r="AW207" s="2994">
        <v>0</v>
      </c>
      <c r="AX207" s="2994">
        <v>0</v>
      </c>
      <c r="AY207" s="2994">
        <v>0</v>
      </c>
      <c r="AZ207" s="2994">
        <v>0</v>
      </c>
      <c r="BA207" s="2994">
        <v>0</v>
      </c>
      <c r="BB207" s="2994">
        <v>0</v>
      </c>
      <c r="BC207" s="2994">
        <v>0</v>
      </c>
      <c r="BD207" s="3471">
        <v>0</v>
      </c>
      <c r="BE207" s="3471">
        <v>0</v>
      </c>
      <c r="BF207" s="3471">
        <v>0</v>
      </c>
    </row>
    <row r="208" spans="1:58">
      <c r="A208" s="1817" t="str">
        <f t="shared" si="7"/>
        <v>Northern AmericaCoconuts</v>
      </c>
      <c r="B208" s="1818" t="s">
        <v>1318</v>
      </c>
      <c r="C208" s="1818" t="s">
        <v>7314</v>
      </c>
      <c r="D208" s="3463" t="str">
        <f>VLOOKUP(B208,List_Yield!$G$4:$J$14,4,FALSE)</f>
        <v>North America</v>
      </c>
      <c r="E208" s="3463" t="str">
        <f t="shared" si="6"/>
        <v>North AmericaCoconuts</v>
      </c>
      <c r="F208" s="2994">
        <v>0</v>
      </c>
      <c r="G208" s="2994">
        <v>0</v>
      </c>
      <c r="H208" s="2994">
        <v>0</v>
      </c>
      <c r="I208" s="2994">
        <v>0</v>
      </c>
      <c r="J208" s="2994">
        <v>0</v>
      </c>
      <c r="K208" s="2994">
        <v>0</v>
      </c>
      <c r="L208" s="2994">
        <v>0</v>
      </c>
      <c r="M208" s="2994">
        <v>0</v>
      </c>
      <c r="N208" s="2994">
        <v>0</v>
      </c>
      <c r="O208" s="2994">
        <v>0</v>
      </c>
      <c r="P208" s="2994">
        <v>0</v>
      </c>
      <c r="Q208" s="2994">
        <v>0</v>
      </c>
      <c r="R208" s="2994">
        <v>0</v>
      </c>
      <c r="S208" s="2994">
        <v>0</v>
      </c>
      <c r="T208" s="2994">
        <v>0</v>
      </c>
      <c r="U208" s="2994">
        <v>0</v>
      </c>
      <c r="V208" s="2994">
        <v>0</v>
      </c>
      <c r="W208" s="2994">
        <v>0</v>
      </c>
      <c r="X208" s="2994">
        <v>0</v>
      </c>
      <c r="Y208" s="2994">
        <v>0</v>
      </c>
      <c r="Z208" s="2994">
        <v>0</v>
      </c>
      <c r="AA208" s="2994">
        <v>0</v>
      </c>
      <c r="AB208" s="2994">
        <v>0</v>
      </c>
      <c r="AC208" s="2994">
        <v>0</v>
      </c>
      <c r="AD208" s="2994">
        <v>0</v>
      </c>
      <c r="AE208" s="2994">
        <v>0</v>
      </c>
      <c r="AF208" s="2994">
        <v>0</v>
      </c>
      <c r="AG208" s="2994">
        <v>0</v>
      </c>
      <c r="AH208" s="2994">
        <v>0</v>
      </c>
      <c r="AI208" s="2994">
        <v>0</v>
      </c>
      <c r="AJ208" s="2994">
        <v>0</v>
      </c>
      <c r="AK208" s="2994">
        <v>0</v>
      </c>
      <c r="AL208" s="2994">
        <v>0</v>
      </c>
      <c r="AM208" s="2994">
        <v>0</v>
      </c>
      <c r="AN208" s="2994">
        <v>0</v>
      </c>
      <c r="AO208" s="2994">
        <v>0</v>
      </c>
      <c r="AP208" s="2994">
        <v>0</v>
      </c>
      <c r="AQ208" s="2994">
        <v>0</v>
      </c>
      <c r="AR208" s="2994">
        <v>0</v>
      </c>
      <c r="AS208" s="2994">
        <v>0</v>
      </c>
      <c r="AT208" s="2994">
        <v>0</v>
      </c>
      <c r="AU208" s="2994">
        <v>0</v>
      </c>
      <c r="AV208" s="2994">
        <v>0</v>
      </c>
      <c r="AW208" s="2994">
        <v>0</v>
      </c>
      <c r="AX208" s="2994">
        <v>0</v>
      </c>
      <c r="AY208" s="2994">
        <v>0</v>
      </c>
      <c r="AZ208" s="2994">
        <v>0</v>
      </c>
      <c r="BA208" s="2994">
        <v>0</v>
      </c>
      <c r="BB208" s="2994">
        <v>0</v>
      </c>
      <c r="BC208" s="2994">
        <v>0</v>
      </c>
      <c r="BD208" s="3471">
        <v>0</v>
      </c>
      <c r="BE208" s="3471">
        <v>0</v>
      </c>
      <c r="BF208" s="3471">
        <v>0</v>
      </c>
    </row>
    <row r="209" spans="1:58">
      <c r="A209" s="1817" t="str">
        <f t="shared" si="7"/>
        <v>Northern AmericaCoffee, green</v>
      </c>
      <c r="B209" s="1818" t="s">
        <v>1318</v>
      </c>
      <c r="C209" s="1818" t="s">
        <v>1347</v>
      </c>
      <c r="D209" s="3463" t="str">
        <f>VLOOKUP(B209,List_Yield!$G$4:$J$14,4,FALSE)</f>
        <v>North America</v>
      </c>
      <c r="E209" s="3463" t="str">
        <f t="shared" si="6"/>
        <v>North AmericaCoffee, green</v>
      </c>
      <c r="F209" s="2994">
        <v>1.55</v>
      </c>
      <c r="G209" s="2994">
        <v>2.4500000000000002</v>
      </c>
      <c r="H209" s="2994">
        <v>1.2</v>
      </c>
      <c r="I209" s="2994">
        <v>2.2814000000000001</v>
      </c>
      <c r="J209" s="2994">
        <v>1.7698</v>
      </c>
      <c r="K209" s="2994">
        <v>1.9492</v>
      </c>
      <c r="L209" s="2994">
        <v>1.3940999999999999</v>
      </c>
      <c r="M209" s="2994">
        <v>1.5969</v>
      </c>
      <c r="N209" s="2994">
        <v>1.276</v>
      </c>
      <c r="O209" s="2994">
        <v>1.4273</v>
      </c>
      <c r="P209" s="2994">
        <v>1.0947</v>
      </c>
      <c r="Q209" s="2994">
        <v>1.3605</v>
      </c>
      <c r="R209" s="2994">
        <v>1.0899000000000001</v>
      </c>
      <c r="S209" s="2994">
        <v>0.5524</v>
      </c>
      <c r="T209" s="2994">
        <v>0.83440000000000003</v>
      </c>
      <c r="U209" s="2994">
        <v>0.95179999999999998</v>
      </c>
      <c r="V209" s="2994">
        <v>1.0173000000000001</v>
      </c>
      <c r="W209" s="2994">
        <v>0.79320000000000002</v>
      </c>
      <c r="X209" s="2994">
        <v>1.0876999999999999</v>
      </c>
      <c r="Y209" s="2994">
        <v>0.75649999999999995</v>
      </c>
      <c r="Z209" s="2994">
        <v>1.1623000000000001</v>
      </c>
      <c r="AA209" s="2994">
        <v>0.46750000000000003</v>
      </c>
      <c r="AB209" s="2994">
        <v>1.3917999999999999</v>
      </c>
      <c r="AC209" s="2994">
        <v>0.92030000000000001</v>
      </c>
      <c r="AD209" s="2994">
        <v>0.97250000000000003</v>
      </c>
      <c r="AE209" s="2994">
        <v>1.3431999999999999</v>
      </c>
      <c r="AF209" s="2994">
        <v>0.76819999999999999</v>
      </c>
      <c r="AG209" s="2994">
        <v>0.81459999999999999</v>
      </c>
      <c r="AH209" s="2994">
        <v>1.2473000000000001</v>
      </c>
      <c r="AI209" s="2994">
        <v>1.0474000000000001</v>
      </c>
      <c r="AJ209" s="2994">
        <v>1.0474000000000001</v>
      </c>
      <c r="AK209" s="2994">
        <v>0.53769999999999996</v>
      </c>
      <c r="AL209" s="2994">
        <v>0.62119999999999997</v>
      </c>
      <c r="AM209" s="2994">
        <v>0.87639999999999996</v>
      </c>
      <c r="AN209" s="2994">
        <v>0.89500000000000002</v>
      </c>
      <c r="AO209" s="2994">
        <v>1.0841000000000001</v>
      </c>
      <c r="AP209" s="2994">
        <v>1.4360999999999999</v>
      </c>
      <c r="AQ209" s="2994">
        <v>1.3968</v>
      </c>
      <c r="AR209" s="2994">
        <v>1.4015</v>
      </c>
      <c r="AS209" s="2994">
        <v>1.4353</v>
      </c>
      <c r="AT209" s="2994">
        <v>1.4235</v>
      </c>
      <c r="AU209" s="2994">
        <v>1.4226000000000001</v>
      </c>
      <c r="AV209" s="2994">
        <v>1.5731999999999999</v>
      </c>
      <c r="AW209" s="2994">
        <v>1.0822000000000001</v>
      </c>
      <c r="AX209" s="2994">
        <v>1.5063</v>
      </c>
      <c r="AY209" s="2994">
        <v>1.2984</v>
      </c>
      <c r="AZ209" s="2994">
        <v>1.3127</v>
      </c>
      <c r="BA209" s="2994">
        <v>1.5489999999999999</v>
      </c>
      <c r="BB209" s="2994">
        <v>1.5489999999999999</v>
      </c>
      <c r="BC209" s="2994">
        <v>1.5647</v>
      </c>
      <c r="BD209" s="3471">
        <v>1.3529</v>
      </c>
      <c r="BE209" s="3471">
        <v>1.2824</v>
      </c>
      <c r="BF209" s="3471">
        <v>0</v>
      </c>
    </row>
    <row r="210" spans="1:58">
      <c r="A210" s="1817" t="str">
        <f t="shared" si="7"/>
        <v>Northern AmericaCoir</v>
      </c>
      <c r="B210" s="1818" t="s">
        <v>1318</v>
      </c>
      <c r="C210" s="1818" t="s">
        <v>7315</v>
      </c>
      <c r="D210" s="3463" t="str">
        <f>VLOOKUP(B210,List_Yield!$G$4:$J$14,4,FALSE)</f>
        <v>North America</v>
      </c>
      <c r="E210" s="3463" t="str">
        <f t="shared" si="6"/>
        <v>North AmericaCoir</v>
      </c>
      <c r="F210" s="2994">
        <v>0</v>
      </c>
      <c r="G210" s="2994">
        <v>0</v>
      </c>
      <c r="H210" s="2994">
        <v>0</v>
      </c>
      <c r="I210" s="2994">
        <v>0</v>
      </c>
      <c r="J210" s="2994">
        <v>0</v>
      </c>
      <c r="K210" s="2994">
        <v>0</v>
      </c>
      <c r="L210" s="2994">
        <v>0</v>
      </c>
      <c r="M210" s="2994">
        <v>0</v>
      </c>
      <c r="N210" s="2994">
        <v>0</v>
      </c>
      <c r="O210" s="2994">
        <v>0</v>
      </c>
      <c r="P210" s="2994">
        <v>0</v>
      </c>
      <c r="Q210" s="2994">
        <v>0</v>
      </c>
      <c r="R210" s="2994">
        <v>0</v>
      </c>
      <c r="S210" s="2994">
        <v>0</v>
      </c>
      <c r="T210" s="2994">
        <v>0</v>
      </c>
      <c r="U210" s="2994">
        <v>0</v>
      </c>
      <c r="V210" s="2994">
        <v>0</v>
      </c>
      <c r="W210" s="2994">
        <v>0</v>
      </c>
      <c r="X210" s="2994">
        <v>0</v>
      </c>
      <c r="Y210" s="2994">
        <v>0</v>
      </c>
      <c r="Z210" s="2994">
        <v>0</v>
      </c>
      <c r="AA210" s="2994">
        <v>0</v>
      </c>
      <c r="AB210" s="2994">
        <v>0</v>
      </c>
      <c r="AC210" s="2994">
        <v>0</v>
      </c>
      <c r="AD210" s="2994">
        <v>0</v>
      </c>
      <c r="AE210" s="2994">
        <v>0</v>
      </c>
      <c r="AF210" s="2994">
        <v>0</v>
      </c>
      <c r="AG210" s="2994">
        <v>0</v>
      </c>
      <c r="AH210" s="2994">
        <v>0</v>
      </c>
      <c r="AI210" s="2994">
        <v>0</v>
      </c>
      <c r="AJ210" s="2994">
        <v>0</v>
      </c>
      <c r="AK210" s="2994">
        <v>0</v>
      </c>
      <c r="AL210" s="2994">
        <v>0</v>
      </c>
      <c r="AM210" s="2994">
        <v>0</v>
      </c>
      <c r="AN210" s="2994">
        <v>0</v>
      </c>
      <c r="AO210" s="2994">
        <v>0</v>
      </c>
      <c r="AP210" s="2994">
        <v>0</v>
      </c>
      <c r="AQ210" s="2994">
        <v>0</v>
      </c>
      <c r="AR210" s="2994">
        <v>0</v>
      </c>
      <c r="AS210" s="2994">
        <v>0</v>
      </c>
      <c r="AT210" s="2994">
        <v>0</v>
      </c>
      <c r="AU210" s="2994">
        <v>0</v>
      </c>
      <c r="AV210" s="2994">
        <v>0</v>
      </c>
      <c r="AW210" s="2994">
        <v>0</v>
      </c>
      <c r="AX210" s="2994">
        <v>0</v>
      </c>
      <c r="AY210" s="2994">
        <v>0</v>
      </c>
      <c r="AZ210" s="2994">
        <v>0</v>
      </c>
      <c r="BA210" s="2994">
        <v>0</v>
      </c>
      <c r="BB210" s="2994">
        <v>0</v>
      </c>
      <c r="BC210" s="2994">
        <v>0</v>
      </c>
      <c r="BD210" s="3471">
        <v>0</v>
      </c>
      <c r="BE210" s="3471">
        <v>0</v>
      </c>
      <c r="BF210" s="3471">
        <v>0</v>
      </c>
    </row>
    <row r="211" spans="1:58">
      <c r="A211" s="1817" t="str">
        <f t="shared" si="7"/>
        <v>Northern AmericaCow peas, dry</v>
      </c>
      <c r="B211" s="1818" t="s">
        <v>1318</v>
      </c>
      <c r="C211" s="1818" t="s">
        <v>1329</v>
      </c>
      <c r="D211" s="3463" t="str">
        <f>VLOOKUP(B211,List_Yield!$G$4:$J$14,4,FALSE)</f>
        <v>North America</v>
      </c>
      <c r="E211" s="3463" t="str">
        <f t="shared" si="6"/>
        <v>North AmericaCow peas, dry</v>
      </c>
      <c r="F211" s="2994">
        <v>0.65190000000000003</v>
      </c>
      <c r="G211" s="2994">
        <v>0.54530000000000001</v>
      </c>
      <c r="H211" s="2994">
        <v>0.65480000000000005</v>
      </c>
      <c r="I211" s="2994">
        <v>0.59089999999999998</v>
      </c>
      <c r="J211" s="2994">
        <v>0.58289999999999997</v>
      </c>
      <c r="K211" s="2994">
        <v>0.64390000000000003</v>
      </c>
      <c r="L211" s="2994">
        <v>0.57709999999999995</v>
      </c>
      <c r="M211" s="2994">
        <v>0</v>
      </c>
      <c r="N211" s="2994">
        <v>0</v>
      </c>
      <c r="O211" s="2994">
        <v>0</v>
      </c>
      <c r="P211" s="2994">
        <v>0</v>
      </c>
      <c r="Q211" s="2994">
        <v>0</v>
      </c>
      <c r="R211" s="2994">
        <v>0</v>
      </c>
      <c r="S211" s="2994">
        <v>0</v>
      </c>
      <c r="T211" s="2994">
        <v>0</v>
      </c>
      <c r="U211" s="2994">
        <v>0</v>
      </c>
      <c r="V211" s="2994">
        <v>0</v>
      </c>
      <c r="W211" s="2994">
        <v>0.59860000000000002</v>
      </c>
      <c r="X211" s="2994">
        <v>0.58020000000000005</v>
      </c>
      <c r="Y211" s="2994">
        <v>0.5796</v>
      </c>
      <c r="Z211" s="2994">
        <v>0.59950000000000003</v>
      </c>
      <c r="AA211" s="2994">
        <v>0.90229999999999999</v>
      </c>
      <c r="AB211" s="2994">
        <v>0.60670000000000002</v>
      </c>
      <c r="AC211" s="2994">
        <v>0.90400000000000003</v>
      </c>
      <c r="AD211" s="2994">
        <v>0.9</v>
      </c>
      <c r="AE211" s="2994">
        <v>0.9032</v>
      </c>
      <c r="AF211" s="2994">
        <v>0.89590000000000003</v>
      </c>
      <c r="AG211" s="2994">
        <v>0.90629999999999999</v>
      </c>
      <c r="AH211" s="2994">
        <v>0.89290000000000003</v>
      </c>
      <c r="AI211" s="2994">
        <v>0.9</v>
      </c>
      <c r="AJ211" s="2994">
        <v>0.90239999999999998</v>
      </c>
      <c r="AK211" s="2994">
        <v>0.89810000000000001</v>
      </c>
      <c r="AL211" s="2994">
        <v>0.9</v>
      </c>
      <c r="AM211" s="2994">
        <v>0.89800000000000002</v>
      </c>
      <c r="AN211" s="2994">
        <v>0.90139999999999998</v>
      </c>
      <c r="AO211" s="2994">
        <v>0.89829999999999999</v>
      </c>
      <c r="AP211" s="2994">
        <v>0.89859999999999995</v>
      </c>
      <c r="AQ211" s="2994">
        <v>0.89770000000000005</v>
      </c>
      <c r="AR211" s="2994">
        <v>0.88980000000000004</v>
      </c>
      <c r="AS211" s="2994">
        <v>3.0139</v>
      </c>
      <c r="AT211" s="2994">
        <v>1.5394000000000001</v>
      </c>
      <c r="AU211" s="2994">
        <v>1.5778000000000001</v>
      </c>
      <c r="AV211" s="2994">
        <v>1.2503</v>
      </c>
      <c r="AW211" s="2994">
        <v>1.3312999999999999</v>
      </c>
      <c r="AX211" s="2994">
        <v>1.4044000000000001</v>
      </c>
      <c r="AY211" s="2994">
        <v>1.2901</v>
      </c>
      <c r="AZ211" s="2994">
        <v>1.3225</v>
      </c>
      <c r="BA211" s="2994">
        <v>1.5073000000000001</v>
      </c>
      <c r="BB211" s="2994">
        <v>1.9035</v>
      </c>
      <c r="BC211" s="2994">
        <v>2.0051999999999999</v>
      </c>
      <c r="BD211" s="3471">
        <v>1.6212</v>
      </c>
      <c r="BE211" s="3471">
        <v>1.8657999999999999</v>
      </c>
      <c r="BF211" s="3471">
        <v>1.8347</v>
      </c>
    </row>
    <row r="212" spans="1:58">
      <c r="A212" s="1817" t="str">
        <f t="shared" si="7"/>
        <v>Northern AmericaCranberries</v>
      </c>
      <c r="B212" s="1818" t="s">
        <v>1318</v>
      </c>
      <c r="C212" s="1818" t="s">
        <v>7316</v>
      </c>
      <c r="D212" s="3463" t="str">
        <f>VLOOKUP(B212,List_Yield!$G$4:$J$14,4,FALSE)</f>
        <v>North America</v>
      </c>
      <c r="E212" s="3463" t="str">
        <f t="shared" si="6"/>
        <v>North AmericaCranberries</v>
      </c>
      <c r="F212" s="2994">
        <v>6.4614000000000003</v>
      </c>
      <c r="G212" s="2994">
        <v>7.2107999999999999</v>
      </c>
      <c r="H212" s="2994">
        <v>6.9814999999999996</v>
      </c>
      <c r="I212" s="2994">
        <v>7.1912000000000003</v>
      </c>
      <c r="J212" s="2994">
        <v>7.7206999999999999</v>
      </c>
      <c r="K212" s="2994">
        <v>8.4824999999999999</v>
      </c>
      <c r="L212" s="2994">
        <v>7.4657999999999998</v>
      </c>
      <c r="M212" s="2994">
        <v>7.8186999999999998</v>
      </c>
      <c r="N212" s="2994">
        <v>9.6379000000000001</v>
      </c>
      <c r="O212" s="2994">
        <v>10.539199999999999</v>
      </c>
      <c r="P212" s="2994">
        <v>11.247400000000001</v>
      </c>
      <c r="Q212" s="2994">
        <v>10.3399</v>
      </c>
      <c r="R212" s="2994">
        <v>10.313499999999999</v>
      </c>
      <c r="S212" s="2994">
        <v>10.7303</v>
      </c>
      <c r="T212" s="2994">
        <v>10.1593</v>
      </c>
      <c r="U212" s="2994">
        <v>11.721500000000001</v>
      </c>
      <c r="V212" s="2994">
        <v>10.583399999999999</v>
      </c>
      <c r="W212" s="2994">
        <v>11.8795</v>
      </c>
      <c r="X212" s="2994">
        <v>11.924300000000001</v>
      </c>
      <c r="Y212" s="2994">
        <v>12.973599999999999</v>
      </c>
      <c r="Z212" s="2994">
        <v>12.457100000000001</v>
      </c>
      <c r="AA212" s="2994">
        <v>14.483499999999999</v>
      </c>
      <c r="AB212" s="2994">
        <v>13.691000000000001</v>
      </c>
      <c r="AC212" s="2994">
        <v>14.9337</v>
      </c>
      <c r="AD212" s="2994">
        <v>15.0077</v>
      </c>
      <c r="AE212" s="2994">
        <v>15.510400000000001</v>
      </c>
      <c r="AF212" s="2994">
        <v>14.052099999999999</v>
      </c>
      <c r="AG212" s="2994">
        <v>16.557700000000001</v>
      </c>
      <c r="AH212" s="2994">
        <v>14.9633</v>
      </c>
      <c r="AI212" s="2994">
        <v>13.900600000000001</v>
      </c>
      <c r="AJ212" s="2994">
        <v>16.801100000000002</v>
      </c>
      <c r="AK212" s="2994">
        <v>16.303100000000001</v>
      </c>
      <c r="AL212" s="2994">
        <v>14.886699999999999</v>
      </c>
      <c r="AM212" s="2994">
        <v>17.4008</v>
      </c>
      <c r="AN212" s="2994">
        <v>14.4337</v>
      </c>
      <c r="AO212" s="2994">
        <v>15.451599999999999</v>
      </c>
      <c r="AP212" s="2994">
        <v>17.035699999999999</v>
      </c>
      <c r="AQ212" s="2994">
        <v>16.944099999999999</v>
      </c>
      <c r="AR212" s="2994">
        <v>18.928599999999999</v>
      </c>
      <c r="AS212" s="2994">
        <v>17.358000000000001</v>
      </c>
      <c r="AT212" s="2994">
        <v>16.472100000000001</v>
      </c>
      <c r="AU212" s="2994">
        <v>16.708500000000001</v>
      </c>
      <c r="AV212" s="2994">
        <v>17.365500000000001</v>
      </c>
      <c r="AW212" s="2994">
        <v>18.019500000000001</v>
      </c>
      <c r="AX212" s="2994">
        <v>18.863900000000001</v>
      </c>
      <c r="AY212" s="2994">
        <v>20.148199999999999</v>
      </c>
      <c r="AZ212" s="2994">
        <v>18.772400000000001</v>
      </c>
      <c r="BA212" s="2994">
        <v>21.599499999999999</v>
      </c>
      <c r="BB212" s="2994">
        <v>19.885999999999999</v>
      </c>
      <c r="BC212" s="2994">
        <v>18.9682</v>
      </c>
      <c r="BD212" s="3471">
        <v>21.06</v>
      </c>
      <c r="BE212" s="3471">
        <v>23.045300000000001</v>
      </c>
      <c r="BF212" s="3471">
        <v>0</v>
      </c>
    </row>
    <row r="213" spans="1:58">
      <c r="A213" s="1817" t="str">
        <f t="shared" si="7"/>
        <v>Northern AmericaCucumbers and gherkins</v>
      </c>
      <c r="B213" s="1818" t="s">
        <v>1318</v>
      </c>
      <c r="C213" s="1818" t="s">
        <v>7317</v>
      </c>
      <c r="D213" s="3463" t="str">
        <f>VLOOKUP(B213,List_Yield!$G$4:$J$14,4,FALSE)</f>
        <v>North America</v>
      </c>
      <c r="E213" s="3463" t="str">
        <f t="shared" si="6"/>
        <v>North AmericaCucumbers and gherkins</v>
      </c>
      <c r="F213" s="2994">
        <v>9.4726999999999997</v>
      </c>
      <c r="G213" s="2994">
        <v>9.2634000000000007</v>
      </c>
      <c r="H213" s="2994">
        <v>9.9474999999999998</v>
      </c>
      <c r="I213" s="2994">
        <v>9.4652999999999992</v>
      </c>
      <c r="J213" s="2994">
        <v>9.5988000000000007</v>
      </c>
      <c r="K213" s="2994">
        <v>9.8251000000000008</v>
      </c>
      <c r="L213" s="2994">
        <v>9.3722999999999992</v>
      </c>
      <c r="M213" s="2994">
        <v>9.0647000000000002</v>
      </c>
      <c r="N213" s="2994">
        <v>9.4145000000000003</v>
      </c>
      <c r="O213" s="2994">
        <v>10.446300000000001</v>
      </c>
      <c r="P213" s="2994">
        <v>10.4168</v>
      </c>
      <c r="Q213" s="2994">
        <v>10.4078</v>
      </c>
      <c r="R213" s="2994">
        <v>11.111000000000001</v>
      </c>
      <c r="S213" s="2994">
        <v>10.835599999999999</v>
      </c>
      <c r="T213" s="2994">
        <v>9.5298999999999996</v>
      </c>
      <c r="U213" s="2994">
        <v>11.5931</v>
      </c>
      <c r="V213" s="2994">
        <v>11.8749</v>
      </c>
      <c r="W213" s="2994">
        <v>12.193899999999999</v>
      </c>
      <c r="X213" s="2994">
        <v>12.459</v>
      </c>
      <c r="Y213" s="2994">
        <v>12.450200000000001</v>
      </c>
      <c r="Z213" s="2994">
        <v>13.558</v>
      </c>
      <c r="AA213" s="2994">
        <v>13.318300000000001</v>
      </c>
      <c r="AB213" s="2994">
        <v>13.4657</v>
      </c>
      <c r="AC213" s="2994">
        <v>14.2525</v>
      </c>
      <c r="AD213" s="2994">
        <v>14.200699999999999</v>
      </c>
      <c r="AE213" s="2994">
        <v>13.8207</v>
      </c>
      <c r="AF213" s="2994">
        <v>13.676</v>
      </c>
      <c r="AG213" s="2994">
        <v>13.0901</v>
      </c>
      <c r="AH213" s="2994">
        <v>12.6563</v>
      </c>
      <c r="AI213" s="2994">
        <v>14.3482</v>
      </c>
      <c r="AJ213" s="2994">
        <v>14.3165</v>
      </c>
      <c r="AK213" s="2994">
        <v>15.842599999999999</v>
      </c>
      <c r="AL213" s="2994">
        <v>15.0267</v>
      </c>
      <c r="AM213" s="2994">
        <v>14.9961</v>
      </c>
      <c r="AN213" s="2994">
        <v>14.9602</v>
      </c>
      <c r="AO213" s="2994">
        <v>15.644299999999999</v>
      </c>
      <c r="AP213" s="2994">
        <v>17.705100000000002</v>
      </c>
      <c r="AQ213" s="2994">
        <v>17.613800000000001</v>
      </c>
      <c r="AR213" s="2994">
        <v>18.0229</v>
      </c>
      <c r="AS213" s="2994">
        <v>18.889299999999999</v>
      </c>
      <c r="AT213" s="2994">
        <v>17.732700000000001</v>
      </c>
      <c r="AU213" s="2994">
        <v>17.1919</v>
      </c>
      <c r="AV213" s="2994">
        <v>16.7409</v>
      </c>
      <c r="AW213" s="2994">
        <v>16.8611</v>
      </c>
      <c r="AX213" s="2994">
        <v>16.665700000000001</v>
      </c>
      <c r="AY213" s="2994">
        <v>17.503299999999999</v>
      </c>
      <c r="AZ213" s="2994">
        <v>17.948699999999999</v>
      </c>
      <c r="BA213" s="2994">
        <v>18.750599999999999</v>
      </c>
      <c r="BB213" s="2994">
        <v>19.2652</v>
      </c>
      <c r="BC213" s="2994">
        <v>19.837299999999999</v>
      </c>
      <c r="BD213" s="3471">
        <v>18.910599999999999</v>
      </c>
      <c r="BE213" s="3471">
        <v>20.504000000000001</v>
      </c>
      <c r="BF213" s="3471">
        <v>0</v>
      </c>
    </row>
    <row r="214" spans="1:58">
      <c r="A214" s="1817" t="str">
        <f t="shared" si="7"/>
        <v>Northern AmericaCurrants</v>
      </c>
      <c r="B214" s="1818" t="s">
        <v>1318</v>
      </c>
      <c r="C214" s="1818" t="s">
        <v>7318</v>
      </c>
      <c r="D214" s="3463" t="str">
        <f>VLOOKUP(B214,List_Yield!$G$4:$J$14,4,FALSE)</f>
        <v>North America</v>
      </c>
      <c r="E214" s="3463" t="str">
        <f t="shared" si="6"/>
        <v>North AmericaCurrants</v>
      </c>
      <c r="F214" s="2994">
        <v>3.5426000000000002</v>
      </c>
      <c r="G214" s="2994">
        <v>4.9278000000000004</v>
      </c>
      <c r="H214" s="2994">
        <v>5.0476000000000001</v>
      </c>
      <c r="I214" s="2994">
        <v>5.7215999999999996</v>
      </c>
      <c r="J214" s="2994">
        <v>7.4085999999999999</v>
      </c>
      <c r="K214" s="2994">
        <v>9.4193999999999996</v>
      </c>
      <c r="L214" s="2994">
        <v>7.1828000000000003</v>
      </c>
      <c r="M214" s="2994">
        <v>4.2592999999999996</v>
      </c>
      <c r="N214" s="2994">
        <v>4.7058999999999997</v>
      </c>
      <c r="O214" s="2994">
        <v>3.5796999999999999</v>
      </c>
      <c r="P214" s="2994">
        <v>3.9129999999999998</v>
      </c>
      <c r="Q214" s="2994">
        <v>1.4461999999999999</v>
      </c>
      <c r="R214" s="2994">
        <v>3.1303999999999998</v>
      </c>
      <c r="S214" s="2994">
        <v>2.7231000000000001</v>
      </c>
      <c r="T214" s="2994">
        <v>2.9565000000000001</v>
      </c>
      <c r="U214" s="2994">
        <v>3.7018</v>
      </c>
      <c r="V214" s="2994">
        <v>2.5964999999999998</v>
      </c>
      <c r="W214" s="2994">
        <v>1.2281</v>
      </c>
      <c r="X214" s="2994">
        <v>1.5625</v>
      </c>
      <c r="Y214" s="2994">
        <v>1.25</v>
      </c>
      <c r="Z214" s="2994">
        <v>1.25</v>
      </c>
      <c r="AA214" s="2994">
        <v>1.6667000000000001</v>
      </c>
      <c r="AB214" s="2994">
        <v>0</v>
      </c>
      <c r="AC214" s="2994">
        <v>0</v>
      </c>
      <c r="AD214" s="2994">
        <v>0</v>
      </c>
      <c r="AE214" s="2994">
        <v>0</v>
      </c>
      <c r="AF214" s="2994">
        <v>0</v>
      </c>
      <c r="AG214" s="2994">
        <v>0</v>
      </c>
      <c r="AH214" s="2994">
        <v>0</v>
      </c>
      <c r="AI214" s="2994">
        <v>0</v>
      </c>
      <c r="AJ214" s="2994">
        <v>0</v>
      </c>
      <c r="AK214" s="2994">
        <v>0</v>
      </c>
      <c r="AL214" s="2994">
        <v>0</v>
      </c>
      <c r="AM214" s="2994">
        <v>0</v>
      </c>
      <c r="AN214" s="2994">
        <v>0</v>
      </c>
      <c r="AO214" s="2994">
        <v>0</v>
      </c>
      <c r="AP214" s="2994">
        <v>0</v>
      </c>
      <c r="AQ214" s="2994">
        <v>0</v>
      </c>
      <c r="AR214" s="2994">
        <v>0</v>
      </c>
      <c r="AS214" s="2994">
        <v>0</v>
      </c>
      <c r="AT214" s="2994">
        <v>0</v>
      </c>
      <c r="AU214" s="2994">
        <v>0</v>
      </c>
      <c r="AV214" s="2994">
        <v>0</v>
      </c>
      <c r="AW214" s="2994">
        <v>0</v>
      </c>
      <c r="AX214" s="2994">
        <v>0</v>
      </c>
      <c r="AY214" s="2994">
        <v>0</v>
      </c>
      <c r="AZ214" s="2994">
        <v>0</v>
      </c>
      <c r="BA214" s="2994">
        <v>0</v>
      </c>
      <c r="BB214" s="2994">
        <v>0</v>
      </c>
      <c r="BC214" s="2994">
        <v>0</v>
      </c>
      <c r="BD214" s="3471">
        <v>0</v>
      </c>
      <c r="BE214" s="3471">
        <v>0</v>
      </c>
      <c r="BF214" s="3471">
        <v>0</v>
      </c>
    </row>
    <row r="215" spans="1:58">
      <c r="A215" s="1817" t="str">
        <f t="shared" si="7"/>
        <v>Northern AmericaDates</v>
      </c>
      <c r="B215" s="1818" t="s">
        <v>1318</v>
      </c>
      <c r="C215" s="1818" t="s">
        <v>1348</v>
      </c>
      <c r="D215" s="3463" t="str">
        <f>VLOOKUP(B215,List_Yield!$G$4:$J$14,4,FALSE)</f>
        <v>North America</v>
      </c>
      <c r="E215" s="3463" t="str">
        <f t="shared" si="6"/>
        <v>North AmericaDates</v>
      </c>
      <c r="F215" s="2994">
        <v>11.42</v>
      </c>
      <c r="G215" s="2994">
        <v>12.914099999999999</v>
      </c>
      <c r="H215" s="2994">
        <v>11.7935</v>
      </c>
      <c r="I215" s="2994">
        <v>12.967599999999999</v>
      </c>
      <c r="J215" s="2994">
        <v>11.824999999999999</v>
      </c>
      <c r="K215" s="2994">
        <v>11.964700000000001</v>
      </c>
      <c r="L215" s="2994">
        <v>11.3743</v>
      </c>
      <c r="M215" s="2994">
        <v>12.1027</v>
      </c>
      <c r="N215" s="2994">
        <v>8.5238999999999994</v>
      </c>
      <c r="O215" s="2994">
        <v>10.192</v>
      </c>
      <c r="P215" s="2994">
        <v>10.9198</v>
      </c>
      <c r="Q215" s="2994">
        <v>8.5800999999999998</v>
      </c>
      <c r="R215" s="2994">
        <v>12.3271</v>
      </c>
      <c r="S215" s="2994">
        <v>12.4054</v>
      </c>
      <c r="T215" s="2994">
        <v>13.553000000000001</v>
      </c>
      <c r="U215" s="2994">
        <v>13.195499999999999</v>
      </c>
      <c r="V215" s="2994">
        <v>14.5823</v>
      </c>
      <c r="W215" s="2994">
        <v>12.0679</v>
      </c>
      <c r="X215" s="2994">
        <v>12.2278</v>
      </c>
      <c r="Y215" s="2994">
        <v>12.543200000000001</v>
      </c>
      <c r="Z215" s="2994">
        <v>12.1867</v>
      </c>
      <c r="AA215" s="2994">
        <v>13.0602</v>
      </c>
      <c r="AB215" s="2994">
        <v>9.0706000000000007</v>
      </c>
      <c r="AC215" s="2994">
        <v>11.471299999999999</v>
      </c>
      <c r="AD215" s="2994">
        <v>14.7753</v>
      </c>
      <c r="AE215" s="2994">
        <v>8.9559999999999995</v>
      </c>
      <c r="AF215" s="2994">
        <v>8.6868999999999996</v>
      </c>
      <c r="AG215" s="2994">
        <v>9.6892999999999994</v>
      </c>
      <c r="AH215" s="2994">
        <v>9.8811999999999998</v>
      </c>
      <c r="AI215" s="2994">
        <v>10.777200000000001</v>
      </c>
      <c r="AJ215" s="2994">
        <v>9.5047999999999995</v>
      </c>
      <c r="AK215" s="2994">
        <v>8.8811</v>
      </c>
      <c r="AL215" s="2994">
        <v>11.8149</v>
      </c>
      <c r="AM215" s="2994">
        <v>9.3711000000000002</v>
      </c>
      <c r="AN215" s="2994">
        <v>9.7860999999999994</v>
      </c>
      <c r="AO215" s="2994">
        <v>11.037000000000001</v>
      </c>
      <c r="AP215" s="2994">
        <v>11.644299999999999</v>
      </c>
      <c r="AQ215" s="2994">
        <v>11.3687</v>
      </c>
      <c r="AR215" s="2994">
        <v>10.1563</v>
      </c>
      <c r="AS215" s="2994">
        <v>8.1240000000000006</v>
      </c>
      <c r="AT215" s="2994">
        <v>9.0126000000000008</v>
      </c>
      <c r="AU215" s="2994">
        <v>11.3048</v>
      </c>
      <c r="AV215" s="2994">
        <v>7.7182000000000004</v>
      </c>
      <c r="AW215" s="2994">
        <v>7.0099</v>
      </c>
      <c r="AX215" s="2994">
        <v>6.8803000000000001</v>
      </c>
      <c r="AY215" s="2994">
        <v>7.0580999999999996</v>
      </c>
      <c r="AZ215" s="2994">
        <v>6.8936999999999999</v>
      </c>
      <c r="BA215" s="2994">
        <v>8.2185000000000006</v>
      </c>
      <c r="BB215" s="2994">
        <v>7.9306999999999999</v>
      </c>
      <c r="BC215" s="2994">
        <v>8.4428999999999998</v>
      </c>
      <c r="BD215" s="3471">
        <v>8.8876000000000008</v>
      </c>
      <c r="BE215" s="3471">
        <v>8.3003999999999998</v>
      </c>
      <c r="BF215" s="3471">
        <v>0</v>
      </c>
    </row>
    <row r="216" spans="1:58">
      <c r="A216" s="1817" t="str">
        <f t="shared" si="7"/>
        <v>Northern AmericaEggplants (aubergines)</v>
      </c>
      <c r="B216" s="1818" t="s">
        <v>1318</v>
      </c>
      <c r="C216" s="1818" t="s">
        <v>1349</v>
      </c>
      <c r="D216" s="3463" t="str">
        <f>VLOOKUP(B216,List_Yield!$G$4:$J$14,4,FALSE)</f>
        <v>North America</v>
      </c>
      <c r="E216" s="3463" t="str">
        <f t="shared" si="6"/>
        <v>North AmericaEggplants (aubergines)</v>
      </c>
      <c r="F216" s="2994">
        <v>14.16</v>
      </c>
      <c r="G216" s="2994">
        <v>17.601099999999999</v>
      </c>
      <c r="H216" s="2994">
        <v>14.140700000000001</v>
      </c>
      <c r="I216" s="2994">
        <v>15.183</v>
      </c>
      <c r="J216" s="2994">
        <v>17.189599999999999</v>
      </c>
      <c r="K216" s="2994">
        <v>17.2102</v>
      </c>
      <c r="L216" s="2994">
        <v>17.5183</v>
      </c>
      <c r="M216" s="2994">
        <v>16.5518</v>
      </c>
      <c r="N216" s="2994">
        <v>16.151399999999999</v>
      </c>
      <c r="O216" s="2994">
        <v>17.668800000000001</v>
      </c>
      <c r="P216" s="2994">
        <v>17.8675</v>
      </c>
      <c r="Q216" s="2994">
        <v>18.956</v>
      </c>
      <c r="R216" s="2994">
        <v>21.153500000000001</v>
      </c>
      <c r="S216" s="2994">
        <v>20.949000000000002</v>
      </c>
      <c r="T216" s="2994">
        <v>23.205200000000001</v>
      </c>
      <c r="U216" s="2994">
        <v>22.8095</v>
      </c>
      <c r="V216" s="2994">
        <v>22.803899999999999</v>
      </c>
      <c r="W216" s="2994">
        <v>21.280899999999999</v>
      </c>
      <c r="X216" s="2994">
        <v>20.465199999999999</v>
      </c>
      <c r="Y216" s="2994">
        <v>20.780999999999999</v>
      </c>
      <c r="Z216" s="2994">
        <v>21.578900000000001</v>
      </c>
      <c r="AA216" s="2994">
        <v>25.5639</v>
      </c>
      <c r="AB216" s="2994">
        <v>25.384599999999999</v>
      </c>
      <c r="AC216" s="2994">
        <v>26</v>
      </c>
      <c r="AD216" s="2994">
        <v>26.1538</v>
      </c>
      <c r="AE216" s="2994">
        <v>26.5625</v>
      </c>
      <c r="AF216" s="2994">
        <v>26.953099999999999</v>
      </c>
      <c r="AG216" s="2994">
        <v>27.2727</v>
      </c>
      <c r="AH216" s="2994">
        <v>27.923100000000002</v>
      </c>
      <c r="AI216" s="2994">
        <v>27.536200000000001</v>
      </c>
      <c r="AJ216" s="2994">
        <v>27.905899999999999</v>
      </c>
      <c r="AK216" s="2994">
        <v>27.453700000000001</v>
      </c>
      <c r="AL216" s="2994">
        <v>29.1966</v>
      </c>
      <c r="AM216" s="2994">
        <v>25.637699999999999</v>
      </c>
      <c r="AN216" s="2994">
        <v>21.505600000000001</v>
      </c>
      <c r="AO216" s="2994">
        <v>25.677800000000001</v>
      </c>
      <c r="AP216" s="2994">
        <v>26.9438</v>
      </c>
      <c r="AQ216" s="2994">
        <v>26.8</v>
      </c>
      <c r="AR216" s="2994">
        <v>28.584099999999999</v>
      </c>
      <c r="AS216" s="2994">
        <v>33.4589</v>
      </c>
      <c r="AT216" s="2994">
        <v>28.700900000000001</v>
      </c>
      <c r="AU216" s="2994">
        <v>29.047599999999999</v>
      </c>
      <c r="AV216" s="2994">
        <v>34.793300000000002</v>
      </c>
      <c r="AW216" s="2994">
        <v>34.627400000000002</v>
      </c>
      <c r="AX216" s="2994">
        <v>35.0214</v>
      </c>
      <c r="AY216" s="2994">
        <v>34.7117</v>
      </c>
      <c r="AZ216" s="2994">
        <v>34.090899999999998</v>
      </c>
      <c r="BA216" s="2994">
        <v>33.980800000000002</v>
      </c>
      <c r="BB216" s="2994">
        <v>33.765700000000002</v>
      </c>
      <c r="BC216" s="2994">
        <v>32</v>
      </c>
      <c r="BD216" s="3471">
        <v>32.420900000000003</v>
      </c>
      <c r="BE216" s="3471">
        <v>32.5</v>
      </c>
      <c r="BF216" s="3471">
        <v>0</v>
      </c>
    </row>
    <row r="217" spans="1:58">
      <c r="A217" s="1817" t="str">
        <f t="shared" si="7"/>
        <v>Northern AmericaFibre crops nes</v>
      </c>
      <c r="B217" s="1818" t="s">
        <v>1318</v>
      </c>
      <c r="C217" s="1818" t="s">
        <v>7319</v>
      </c>
      <c r="D217" s="3463" t="str">
        <f>VLOOKUP(B217,List_Yield!$G$4:$J$14,4,FALSE)</f>
        <v>North America</v>
      </c>
      <c r="E217" s="3463" t="str">
        <f t="shared" si="6"/>
        <v>North AmericaFibre crops nes</v>
      </c>
      <c r="F217" s="2994">
        <v>0</v>
      </c>
      <c r="G217" s="2994">
        <v>0</v>
      </c>
      <c r="H217" s="2994">
        <v>0</v>
      </c>
      <c r="I217" s="2994">
        <v>1.2307999999999999</v>
      </c>
      <c r="J217" s="2994">
        <v>0</v>
      </c>
      <c r="K217" s="2994">
        <v>1.2075</v>
      </c>
      <c r="L217" s="2994">
        <v>0</v>
      </c>
      <c r="M217" s="2994">
        <v>1.2222</v>
      </c>
      <c r="N217" s="2994">
        <v>0</v>
      </c>
      <c r="O217" s="2994">
        <v>1.2179</v>
      </c>
      <c r="P217" s="2994">
        <v>1.2093</v>
      </c>
      <c r="Q217" s="2994">
        <v>1.2044999999999999</v>
      </c>
      <c r="R217" s="2994">
        <v>1.2049000000000001</v>
      </c>
      <c r="S217" s="2994">
        <v>1.202</v>
      </c>
      <c r="T217" s="2994">
        <v>1.2036</v>
      </c>
      <c r="U217" s="2994">
        <v>1.2020999999999999</v>
      </c>
      <c r="V217" s="2994">
        <v>1.2044999999999999</v>
      </c>
      <c r="W217" s="2994">
        <v>1.2031000000000001</v>
      </c>
      <c r="X217" s="2994">
        <v>1.2044999999999999</v>
      </c>
      <c r="Y217" s="2994">
        <v>1.2031000000000001</v>
      </c>
      <c r="Z217" s="2994">
        <v>1.2005999999999999</v>
      </c>
      <c r="AA217" s="2994">
        <v>1.2090000000000001</v>
      </c>
      <c r="AB217" s="2994">
        <v>1.2018</v>
      </c>
      <c r="AC217" s="2994">
        <v>1.2027000000000001</v>
      </c>
      <c r="AD217" s="2994">
        <v>1.2020999999999999</v>
      </c>
      <c r="AE217" s="2994">
        <v>1.2061999999999999</v>
      </c>
      <c r="AF217" s="2994">
        <v>1.2053</v>
      </c>
      <c r="AG217" s="2994">
        <v>1.2018</v>
      </c>
      <c r="AH217" s="2994">
        <v>1.2114</v>
      </c>
      <c r="AI217" s="2994">
        <v>1.2115</v>
      </c>
      <c r="AJ217" s="2994">
        <v>1.2097</v>
      </c>
      <c r="AK217" s="2994">
        <v>1.2016</v>
      </c>
      <c r="AL217" s="2994">
        <v>1.2036</v>
      </c>
      <c r="AM217" s="2994">
        <v>1.2277</v>
      </c>
      <c r="AN217" s="2994">
        <v>1.2011000000000001</v>
      </c>
      <c r="AO217" s="2994">
        <v>1.2033</v>
      </c>
      <c r="AP217" s="2994">
        <v>1.1992</v>
      </c>
      <c r="AQ217" s="2994">
        <v>1.2008000000000001</v>
      </c>
      <c r="AR217" s="2994">
        <v>1.2061999999999999</v>
      </c>
      <c r="AS217" s="2994">
        <v>1.2042999999999999</v>
      </c>
      <c r="AT217" s="2994">
        <v>1.2010000000000001</v>
      </c>
      <c r="AU217" s="2994">
        <v>1.2007000000000001</v>
      </c>
      <c r="AV217" s="2994">
        <v>1.2014</v>
      </c>
      <c r="AW217" s="2994">
        <v>1.2030000000000001</v>
      </c>
      <c r="AX217" s="2994">
        <v>1.2017</v>
      </c>
      <c r="AY217" s="2994">
        <v>1.2013</v>
      </c>
      <c r="AZ217" s="2994">
        <v>1.2024999999999999</v>
      </c>
      <c r="BA217" s="2994">
        <v>1.1957</v>
      </c>
      <c r="BB217" s="2994">
        <v>1.1875</v>
      </c>
      <c r="BC217" s="2994">
        <v>1.1875</v>
      </c>
      <c r="BD217" s="3471">
        <v>1.1875</v>
      </c>
      <c r="BE217" s="3471">
        <v>1.1875</v>
      </c>
      <c r="BF217" s="3471">
        <v>0</v>
      </c>
    </row>
    <row r="218" spans="1:58">
      <c r="A218" s="1817" t="str">
        <f t="shared" si="7"/>
        <v>Northern AmericaFigs</v>
      </c>
      <c r="B218" s="1818" t="s">
        <v>1318</v>
      </c>
      <c r="C218" s="1818" t="s">
        <v>7320</v>
      </c>
      <c r="D218" s="3463" t="str">
        <f>VLOOKUP(B218,List_Yield!$G$4:$J$14,4,FALSE)</f>
        <v>North America</v>
      </c>
      <c r="E218" s="3463" t="str">
        <f t="shared" si="6"/>
        <v>North AmericaFigs</v>
      </c>
      <c r="F218" s="2994">
        <v>6.9725000000000001</v>
      </c>
      <c r="G218" s="2994">
        <v>8.2278000000000002</v>
      </c>
      <c r="H218" s="2994">
        <v>7.1970000000000001</v>
      </c>
      <c r="I218" s="2994">
        <v>7.5776000000000003</v>
      </c>
      <c r="J218" s="2994">
        <v>7.0087999999999999</v>
      </c>
      <c r="K218" s="2994">
        <v>7.8353000000000002</v>
      </c>
      <c r="L218" s="2994">
        <v>5.1414</v>
      </c>
      <c r="M218" s="2994">
        <v>6.8837999999999999</v>
      </c>
      <c r="N218" s="2994">
        <v>7.8506</v>
      </c>
      <c r="O218" s="2994">
        <v>6.6958000000000002</v>
      </c>
      <c r="P218" s="2994">
        <v>6.23</v>
      </c>
      <c r="Q218" s="2994">
        <v>5.2331000000000003</v>
      </c>
      <c r="R218" s="2994">
        <v>6.0968</v>
      </c>
      <c r="S218" s="2994">
        <v>6.5789</v>
      </c>
      <c r="T218" s="2994">
        <v>5.6344000000000003</v>
      </c>
      <c r="U218" s="2994">
        <v>4.9949000000000003</v>
      </c>
      <c r="V218" s="2994">
        <v>7.1574</v>
      </c>
      <c r="W218" s="2994">
        <v>5.8036000000000003</v>
      </c>
      <c r="X218" s="2994">
        <v>7.2283999999999997</v>
      </c>
      <c r="Y218" s="2994">
        <v>7.1295000000000002</v>
      </c>
      <c r="Z218" s="2994">
        <v>5.9844999999999997</v>
      </c>
      <c r="AA218" s="2994">
        <v>6.3569000000000004</v>
      </c>
      <c r="AB218" s="2994">
        <v>5.1832000000000003</v>
      </c>
      <c r="AC218" s="2994">
        <v>4.6570999999999998</v>
      </c>
      <c r="AD218" s="2994">
        <v>4.1069000000000004</v>
      </c>
      <c r="AE218" s="2994">
        <v>6.2308000000000003</v>
      </c>
      <c r="AF218" s="2994">
        <v>6.4753999999999996</v>
      </c>
      <c r="AG218" s="2994">
        <v>7.0320999999999998</v>
      </c>
      <c r="AH218" s="2994">
        <v>6.3662000000000001</v>
      </c>
      <c r="AI218" s="2994">
        <v>6.7099000000000002</v>
      </c>
      <c r="AJ218" s="2994">
        <v>6.3021000000000003</v>
      </c>
      <c r="AK218" s="2994">
        <v>7.3177000000000003</v>
      </c>
      <c r="AL218" s="2994">
        <v>9.6242999999999999</v>
      </c>
      <c r="AM218" s="2994">
        <v>8.7627000000000006</v>
      </c>
      <c r="AN218" s="2994">
        <v>7.9898999999999996</v>
      </c>
      <c r="AO218" s="2994">
        <v>6.6981999999999999</v>
      </c>
      <c r="AP218" s="2994">
        <v>7.9246999999999996</v>
      </c>
      <c r="AQ218" s="2994">
        <v>7.0331000000000001</v>
      </c>
      <c r="AR218" s="2994">
        <v>7.2130000000000001</v>
      </c>
      <c r="AS218" s="2994">
        <v>8.1373999999999995</v>
      </c>
      <c r="AT218" s="2994">
        <v>6.2957000000000001</v>
      </c>
      <c r="AU218" s="2994">
        <v>8.8339999999999996</v>
      </c>
      <c r="AV218" s="2994">
        <v>8.3629999999999995</v>
      </c>
      <c r="AW218" s="2994">
        <v>8.9491999999999994</v>
      </c>
      <c r="AX218" s="2994">
        <v>8.6164000000000005</v>
      </c>
      <c r="AY218" s="2994">
        <v>8.1285000000000007</v>
      </c>
      <c r="AZ218" s="2994">
        <v>11.7738</v>
      </c>
      <c r="BA218" s="2994">
        <v>10.326000000000001</v>
      </c>
      <c r="BB218" s="2994">
        <v>10.5444</v>
      </c>
      <c r="BC218" s="2994">
        <v>10.6647</v>
      </c>
      <c r="BD218" s="3471">
        <v>10.078200000000001</v>
      </c>
      <c r="BE218" s="3471">
        <v>10.078200000000001</v>
      </c>
      <c r="BF218" s="3471">
        <v>0</v>
      </c>
    </row>
    <row r="219" spans="1:58">
      <c r="A219" s="1817" t="str">
        <f t="shared" si="7"/>
        <v>Northern AmericaFlax fibre and tow</v>
      </c>
      <c r="B219" s="1818" t="s">
        <v>1318</v>
      </c>
      <c r="C219" s="1818" t="s">
        <v>7321</v>
      </c>
      <c r="D219" s="3463" t="str">
        <f>VLOOKUP(B219,List_Yield!$G$4:$J$14,4,FALSE)</f>
        <v>North America</v>
      </c>
      <c r="E219" s="3463" t="str">
        <f t="shared" si="6"/>
        <v>North AmericaFlax fibre and tow</v>
      </c>
      <c r="F219" s="2994">
        <v>0</v>
      </c>
      <c r="G219" s="2994">
        <v>0</v>
      </c>
      <c r="H219" s="2994">
        <v>0</v>
      </c>
      <c r="I219" s="2994">
        <v>0</v>
      </c>
      <c r="J219" s="2994">
        <v>0</v>
      </c>
      <c r="K219" s="2994">
        <v>0</v>
      </c>
      <c r="L219" s="2994">
        <v>0</v>
      </c>
      <c r="M219" s="2994">
        <v>0</v>
      </c>
      <c r="N219" s="2994">
        <v>0</v>
      </c>
      <c r="O219" s="2994">
        <v>0</v>
      </c>
      <c r="P219" s="2994">
        <v>0</v>
      </c>
      <c r="Q219" s="2994">
        <v>0</v>
      </c>
      <c r="R219" s="2994">
        <v>0</v>
      </c>
      <c r="S219" s="2994">
        <v>0</v>
      </c>
      <c r="T219" s="2994">
        <v>0</v>
      </c>
      <c r="U219" s="2994">
        <v>0</v>
      </c>
      <c r="V219" s="2994">
        <v>0</v>
      </c>
      <c r="W219" s="2994">
        <v>0</v>
      </c>
      <c r="X219" s="2994">
        <v>0</v>
      </c>
      <c r="Y219" s="2994">
        <v>0</v>
      </c>
      <c r="Z219" s="2994">
        <v>0</v>
      </c>
      <c r="AA219" s="2994">
        <v>0</v>
      </c>
      <c r="AB219" s="2994">
        <v>0</v>
      </c>
      <c r="AC219" s="2994">
        <v>0</v>
      </c>
      <c r="AD219" s="2994">
        <v>0</v>
      </c>
      <c r="AE219" s="2994">
        <v>0</v>
      </c>
      <c r="AF219" s="2994">
        <v>0</v>
      </c>
      <c r="AG219" s="2994">
        <v>0</v>
      </c>
      <c r="AH219" s="2994">
        <v>0</v>
      </c>
      <c r="AI219" s="2994">
        <v>0</v>
      </c>
      <c r="AJ219" s="2994">
        <v>0</v>
      </c>
      <c r="AK219" s="2994">
        <v>0</v>
      </c>
      <c r="AL219" s="2994">
        <v>0</v>
      </c>
      <c r="AM219" s="2994">
        <v>0</v>
      </c>
      <c r="AN219" s="2994">
        <v>0</v>
      </c>
      <c r="AO219" s="2994">
        <v>0</v>
      </c>
      <c r="AP219" s="2994">
        <v>0</v>
      </c>
      <c r="AQ219" s="2994">
        <v>0</v>
      </c>
      <c r="AR219" s="2994">
        <v>0</v>
      </c>
      <c r="AS219" s="2994">
        <v>0</v>
      </c>
      <c r="AT219" s="2994">
        <v>0</v>
      </c>
      <c r="AU219" s="2994">
        <v>0</v>
      </c>
      <c r="AV219" s="2994">
        <v>0</v>
      </c>
      <c r="AW219" s="2994">
        <v>0</v>
      </c>
      <c r="AX219" s="2994">
        <v>0</v>
      </c>
      <c r="AY219" s="2994">
        <v>0</v>
      </c>
      <c r="AZ219" s="2994">
        <v>0</v>
      </c>
      <c r="BA219" s="2994">
        <v>0</v>
      </c>
      <c r="BB219" s="2994">
        <v>0</v>
      </c>
      <c r="BC219" s="2994">
        <v>0</v>
      </c>
      <c r="BD219" s="3471">
        <v>0</v>
      </c>
      <c r="BE219" s="3471">
        <v>0</v>
      </c>
      <c r="BF219" s="3471">
        <v>0</v>
      </c>
    </row>
    <row r="220" spans="1:58">
      <c r="A220" s="1817" t="str">
        <f t="shared" si="7"/>
        <v>Northern AmericaFonio</v>
      </c>
      <c r="B220" s="1818" t="s">
        <v>1318</v>
      </c>
      <c r="C220" s="1818" t="s">
        <v>7322</v>
      </c>
      <c r="D220" s="3463" t="str">
        <f>VLOOKUP(B220,List_Yield!$G$4:$J$14,4,FALSE)</f>
        <v>North America</v>
      </c>
      <c r="E220" s="3463" t="str">
        <f t="shared" si="6"/>
        <v>North AmericaFonio</v>
      </c>
      <c r="F220" s="2994">
        <v>0</v>
      </c>
      <c r="G220" s="2994">
        <v>0</v>
      </c>
      <c r="H220" s="2994">
        <v>0</v>
      </c>
      <c r="I220" s="2994">
        <v>0</v>
      </c>
      <c r="J220" s="2994">
        <v>0</v>
      </c>
      <c r="K220" s="2994">
        <v>0</v>
      </c>
      <c r="L220" s="2994">
        <v>0</v>
      </c>
      <c r="M220" s="2994">
        <v>0</v>
      </c>
      <c r="N220" s="2994">
        <v>0</v>
      </c>
      <c r="O220" s="2994">
        <v>0</v>
      </c>
      <c r="P220" s="2994">
        <v>0</v>
      </c>
      <c r="Q220" s="2994">
        <v>0</v>
      </c>
      <c r="R220" s="2994">
        <v>0</v>
      </c>
      <c r="S220" s="2994">
        <v>0</v>
      </c>
      <c r="T220" s="2994">
        <v>0</v>
      </c>
      <c r="U220" s="2994">
        <v>0</v>
      </c>
      <c r="V220" s="2994">
        <v>0</v>
      </c>
      <c r="W220" s="2994">
        <v>0</v>
      </c>
      <c r="X220" s="2994">
        <v>0</v>
      </c>
      <c r="Y220" s="2994">
        <v>0</v>
      </c>
      <c r="Z220" s="2994">
        <v>0</v>
      </c>
      <c r="AA220" s="2994">
        <v>0</v>
      </c>
      <c r="AB220" s="2994">
        <v>0</v>
      </c>
      <c r="AC220" s="2994">
        <v>0</v>
      </c>
      <c r="AD220" s="2994">
        <v>0</v>
      </c>
      <c r="AE220" s="2994">
        <v>0</v>
      </c>
      <c r="AF220" s="2994">
        <v>0</v>
      </c>
      <c r="AG220" s="2994">
        <v>0</v>
      </c>
      <c r="AH220" s="2994">
        <v>0</v>
      </c>
      <c r="AI220" s="2994">
        <v>0</v>
      </c>
      <c r="AJ220" s="2994">
        <v>0</v>
      </c>
      <c r="AK220" s="2994">
        <v>0</v>
      </c>
      <c r="AL220" s="2994">
        <v>0</v>
      </c>
      <c r="AM220" s="2994">
        <v>0</v>
      </c>
      <c r="AN220" s="2994">
        <v>0</v>
      </c>
      <c r="AO220" s="2994">
        <v>0</v>
      </c>
      <c r="AP220" s="2994">
        <v>0</v>
      </c>
      <c r="AQ220" s="2994">
        <v>0</v>
      </c>
      <c r="AR220" s="2994">
        <v>0</v>
      </c>
      <c r="AS220" s="2994">
        <v>0</v>
      </c>
      <c r="AT220" s="2994">
        <v>0</v>
      </c>
      <c r="AU220" s="2994">
        <v>0</v>
      </c>
      <c r="AV220" s="2994">
        <v>0</v>
      </c>
      <c r="AW220" s="2994">
        <v>0</v>
      </c>
      <c r="AX220" s="2994">
        <v>0</v>
      </c>
      <c r="AY220" s="2994">
        <v>0</v>
      </c>
      <c r="AZ220" s="2994">
        <v>0</v>
      </c>
      <c r="BA220" s="2994">
        <v>0</v>
      </c>
      <c r="BB220" s="2994">
        <v>0</v>
      </c>
      <c r="BC220" s="2994">
        <v>0</v>
      </c>
      <c r="BD220" s="3471">
        <v>0</v>
      </c>
      <c r="BE220" s="3471">
        <v>0</v>
      </c>
      <c r="BF220" s="3471">
        <v>0</v>
      </c>
    </row>
    <row r="221" spans="1:58">
      <c r="A221" s="1817" t="str">
        <f t="shared" si="7"/>
        <v>Northern AmericaFruit, citrus nes</v>
      </c>
      <c r="B221" s="1818" t="s">
        <v>1318</v>
      </c>
      <c r="C221" s="1818" t="s">
        <v>7323</v>
      </c>
      <c r="D221" s="3463" t="str">
        <f>VLOOKUP(B221,List_Yield!$G$4:$J$14,4,FALSE)</f>
        <v>North America</v>
      </c>
      <c r="E221" s="3463" t="str">
        <f t="shared" si="6"/>
        <v>North AmericaFruit, citrus nes</v>
      </c>
      <c r="F221" s="2994">
        <v>0</v>
      </c>
      <c r="G221" s="2994">
        <v>0</v>
      </c>
      <c r="H221" s="2994">
        <v>0</v>
      </c>
      <c r="I221" s="2994">
        <v>0</v>
      </c>
      <c r="J221" s="2994">
        <v>0</v>
      </c>
      <c r="K221" s="2994">
        <v>0</v>
      </c>
      <c r="L221" s="2994">
        <v>0</v>
      </c>
      <c r="M221" s="2994">
        <v>0</v>
      </c>
      <c r="N221" s="2994">
        <v>0</v>
      </c>
      <c r="O221" s="2994">
        <v>0</v>
      </c>
      <c r="P221" s="2994">
        <v>0</v>
      </c>
      <c r="Q221" s="2994">
        <v>0</v>
      </c>
      <c r="R221" s="2994">
        <v>0</v>
      </c>
      <c r="S221" s="2994">
        <v>0</v>
      </c>
      <c r="T221" s="2994">
        <v>0</v>
      </c>
      <c r="U221" s="2994">
        <v>0</v>
      </c>
      <c r="V221" s="2994">
        <v>0</v>
      </c>
      <c r="W221" s="2994">
        <v>0</v>
      </c>
      <c r="X221" s="2994">
        <v>0</v>
      </c>
      <c r="Y221" s="2994">
        <v>0</v>
      </c>
      <c r="Z221" s="2994">
        <v>0</v>
      </c>
      <c r="AA221" s="2994">
        <v>0</v>
      </c>
      <c r="AB221" s="2994">
        <v>0</v>
      </c>
      <c r="AC221" s="2994">
        <v>0</v>
      </c>
      <c r="AD221" s="2994">
        <v>0</v>
      </c>
      <c r="AE221" s="2994">
        <v>0</v>
      </c>
      <c r="AF221" s="2994">
        <v>0</v>
      </c>
      <c r="AG221" s="2994">
        <v>0</v>
      </c>
      <c r="AH221" s="2994">
        <v>0</v>
      </c>
      <c r="AI221" s="2994">
        <v>0</v>
      </c>
      <c r="AJ221" s="2994">
        <v>0</v>
      </c>
      <c r="AK221" s="2994">
        <v>0</v>
      </c>
      <c r="AL221" s="2994">
        <v>0</v>
      </c>
      <c r="AM221" s="2994">
        <v>0</v>
      </c>
      <c r="AN221" s="2994">
        <v>0</v>
      </c>
      <c r="AO221" s="2994">
        <v>0</v>
      </c>
      <c r="AP221" s="2994">
        <v>39.6875</v>
      </c>
      <c r="AQ221" s="2994">
        <v>15.083299999999999</v>
      </c>
      <c r="AR221" s="2994">
        <v>44.814799999999998</v>
      </c>
      <c r="AS221" s="2994">
        <v>56.049399999999999</v>
      </c>
      <c r="AT221" s="2994">
        <v>22.345700000000001</v>
      </c>
      <c r="AU221" s="2994">
        <v>11.2346</v>
      </c>
      <c r="AV221" s="2994">
        <v>35</v>
      </c>
      <c r="AW221" s="2994">
        <v>41.496699999999997</v>
      </c>
      <c r="AX221" s="2994">
        <v>22.3855</v>
      </c>
      <c r="AY221" s="2994">
        <v>28.6858</v>
      </c>
      <c r="AZ221" s="2994">
        <v>22.821200000000001</v>
      </c>
      <c r="BA221" s="2994">
        <v>29.3203</v>
      </c>
      <c r="BB221" s="2994">
        <v>22.421099999999999</v>
      </c>
      <c r="BC221" s="2994">
        <v>19.555700000000002</v>
      </c>
      <c r="BD221" s="3471">
        <v>27.111499999999999</v>
      </c>
      <c r="BE221" s="3471">
        <v>28.4328</v>
      </c>
      <c r="BF221" s="3471">
        <v>0</v>
      </c>
    </row>
    <row r="222" spans="1:58">
      <c r="A222" s="1817" t="str">
        <f t="shared" si="7"/>
        <v>Northern AmericaFruit, fresh nes</v>
      </c>
      <c r="B222" s="1818" t="s">
        <v>1318</v>
      </c>
      <c r="C222" s="1818" t="s">
        <v>7324</v>
      </c>
      <c r="D222" s="3463" t="str">
        <f>VLOOKUP(B222,List_Yield!$G$4:$J$14,4,FALSE)</f>
        <v>North America</v>
      </c>
      <c r="E222" s="3463" t="str">
        <f t="shared" si="6"/>
        <v>North AmericaFruit, fresh nes</v>
      </c>
      <c r="F222" s="2994">
        <v>12.977399999999999</v>
      </c>
      <c r="G222" s="2994">
        <v>15.333299999999999</v>
      </c>
      <c r="H222" s="2994">
        <v>12.670500000000001</v>
      </c>
      <c r="I222" s="2994">
        <v>14.7767</v>
      </c>
      <c r="J222" s="2994">
        <v>10.712999999999999</v>
      </c>
      <c r="K222" s="2994">
        <v>12.181800000000001</v>
      </c>
      <c r="L222" s="2994">
        <v>10.5014</v>
      </c>
      <c r="M222" s="2994">
        <v>10.320499999999999</v>
      </c>
      <c r="N222" s="2994">
        <v>19.1877</v>
      </c>
      <c r="O222" s="2994">
        <v>18.584099999999999</v>
      </c>
      <c r="P222" s="2994">
        <v>14.976599999999999</v>
      </c>
      <c r="Q222" s="2994">
        <v>16.783100000000001</v>
      </c>
      <c r="R222" s="2994">
        <v>10.1089</v>
      </c>
      <c r="S222" s="2994">
        <v>15.236000000000001</v>
      </c>
      <c r="T222" s="2994">
        <v>12.0594</v>
      </c>
      <c r="U222" s="2994">
        <v>13.365500000000001</v>
      </c>
      <c r="V222" s="2994">
        <v>11.289899999999999</v>
      </c>
      <c r="W222" s="2994">
        <v>9.0828000000000007</v>
      </c>
      <c r="X222" s="2994">
        <v>7.2525000000000004</v>
      </c>
      <c r="Y222" s="2994">
        <v>9.4580000000000002</v>
      </c>
      <c r="Z222" s="2994">
        <v>8.6615000000000002</v>
      </c>
      <c r="AA222" s="2994">
        <v>10.437900000000001</v>
      </c>
      <c r="AB222" s="2994">
        <v>12.0847</v>
      </c>
      <c r="AC222" s="2994">
        <v>13.2134</v>
      </c>
      <c r="AD222" s="2994">
        <v>13.114699999999999</v>
      </c>
      <c r="AE222" s="2994">
        <v>16.360199999999999</v>
      </c>
      <c r="AF222" s="2994">
        <v>15.375400000000001</v>
      </c>
      <c r="AG222" s="2994">
        <v>15.3428</v>
      </c>
      <c r="AH222" s="2994">
        <v>16.290299999999998</v>
      </c>
      <c r="AI222" s="2994">
        <v>15.6548</v>
      </c>
      <c r="AJ222" s="2994">
        <v>17.4451</v>
      </c>
      <c r="AK222" s="2994">
        <v>19.403199999999998</v>
      </c>
      <c r="AL222" s="2994">
        <v>22.977</v>
      </c>
      <c r="AM222" s="2994">
        <v>26.7667</v>
      </c>
      <c r="AN222" s="2994">
        <v>24.554500000000001</v>
      </c>
      <c r="AO222" s="2994">
        <v>24.554500000000001</v>
      </c>
      <c r="AP222" s="2994">
        <v>24.744</v>
      </c>
      <c r="AQ222" s="2994">
        <v>23.066199999999998</v>
      </c>
      <c r="AR222" s="2994">
        <v>16.858599999999999</v>
      </c>
      <c r="AS222" s="2994">
        <v>25.208300000000001</v>
      </c>
      <c r="AT222" s="2994">
        <v>28.279399999999999</v>
      </c>
      <c r="AU222" s="2994">
        <v>19.932700000000001</v>
      </c>
      <c r="AV222" s="2994">
        <v>14.411199999999999</v>
      </c>
      <c r="AW222" s="2994">
        <v>18.410900000000002</v>
      </c>
      <c r="AX222" s="2994">
        <v>14.875999999999999</v>
      </c>
      <c r="AY222" s="2994">
        <v>22.38</v>
      </c>
      <c r="AZ222" s="2994">
        <v>28.898599999999998</v>
      </c>
      <c r="BA222" s="2994">
        <v>24.430800000000001</v>
      </c>
      <c r="BB222" s="2994">
        <v>17.327300000000001</v>
      </c>
      <c r="BC222" s="2994">
        <v>12.5532</v>
      </c>
      <c r="BD222" s="3471">
        <v>12.24</v>
      </c>
      <c r="BE222" s="3471">
        <v>13</v>
      </c>
      <c r="BF222" s="3471">
        <v>0</v>
      </c>
    </row>
    <row r="223" spans="1:58">
      <c r="A223" s="1817" t="str">
        <f t="shared" si="7"/>
        <v>Northern AmericaFruit, pome nes</v>
      </c>
      <c r="B223" s="1818" t="s">
        <v>1318</v>
      </c>
      <c r="C223" s="1818" t="s">
        <v>7325</v>
      </c>
      <c r="D223" s="3463" t="str">
        <f>VLOOKUP(B223,List_Yield!$G$4:$J$14,4,FALSE)</f>
        <v>North America</v>
      </c>
      <c r="E223" s="3463" t="str">
        <f t="shared" si="6"/>
        <v>North AmericaFruit, pome nes</v>
      </c>
      <c r="F223" s="2994">
        <v>0</v>
      </c>
      <c r="G223" s="2994">
        <v>0</v>
      </c>
      <c r="H223" s="2994">
        <v>0</v>
      </c>
      <c r="I223" s="2994">
        <v>0</v>
      </c>
      <c r="J223" s="2994">
        <v>0</v>
      </c>
      <c r="K223" s="2994">
        <v>0</v>
      </c>
      <c r="L223" s="2994">
        <v>0</v>
      </c>
      <c r="M223" s="2994">
        <v>0</v>
      </c>
      <c r="N223" s="2994">
        <v>0</v>
      </c>
      <c r="O223" s="2994">
        <v>0</v>
      </c>
      <c r="P223" s="2994">
        <v>0</v>
      </c>
      <c r="Q223" s="2994">
        <v>0</v>
      </c>
      <c r="R223" s="2994">
        <v>0</v>
      </c>
      <c r="S223" s="2994">
        <v>0</v>
      </c>
      <c r="T223" s="2994">
        <v>0</v>
      </c>
      <c r="U223" s="2994">
        <v>0</v>
      </c>
      <c r="V223" s="2994">
        <v>0</v>
      </c>
      <c r="W223" s="2994">
        <v>0</v>
      </c>
      <c r="X223" s="2994">
        <v>0</v>
      </c>
      <c r="Y223" s="2994">
        <v>0</v>
      </c>
      <c r="Z223" s="2994">
        <v>0</v>
      </c>
      <c r="AA223" s="2994">
        <v>0</v>
      </c>
      <c r="AB223" s="2994">
        <v>0</v>
      </c>
      <c r="AC223" s="2994">
        <v>0</v>
      </c>
      <c r="AD223" s="2994">
        <v>0</v>
      </c>
      <c r="AE223" s="2994">
        <v>0</v>
      </c>
      <c r="AF223" s="2994">
        <v>0</v>
      </c>
      <c r="AG223" s="2994">
        <v>0</v>
      </c>
      <c r="AH223" s="2994">
        <v>0</v>
      </c>
      <c r="AI223" s="2994">
        <v>0</v>
      </c>
      <c r="AJ223" s="2994">
        <v>0</v>
      </c>
      <c r="AK223" s="2994">
        <v>0</v>
      </c>
      <c r="AL223" s="2994">
        <v>0</v>
      </c>
      <c r="AM223" s="2994">
        <v>0</v>
      </c>
      <c r="AN223" s="2994">
        <v>0</v>
      </c>
      <c r="AO223" s="2994">
        <v>0</v>
      </c>
      <c r="AP223" s="2994">
        <v>0</v>
      </c>
      <c r="AQ223" s="2994">
        <v>0</v>
      </c>
      <c r="AR223" s="2994">
        <v>0</v>
      </c>
      <c r="AS223" s="2994">
        <v>0</v>
      </c>
      <c r="AT223" s="2994">
        <v>0</v>
      </c>
      <c r="AU223" s="2994">
        <v>0</v>
      </c>
      <c r="AV223" s="2994">
        <v>0</v>
      </c>
      <c r="AW223" s="2994">
        <v>0</v>
      </c>
      <c r="AX223" s="2994">
        <v>0</v>
      </c>
      <c r="AY223" s="2994">
        <v>0</v>
      </c>
      <c r="AZ223" s="2994">
        <v>0</v>
      </c>
      <c r="BA223" s="2994">
        <v>0</v>
      </c>
      <c r="BB223" s="2994">
        <v>0</v>
      </c>
      <c r="BC223" s="2994">
        <v>0</v>
      </c>
      <c r="BD223" s="3471">
        <v>0</v>
      </c>
      <c r="BE223" s="3471">
        <v>0</v>
      </c>
      <c r="BF223" s="3471">
        <v>0</v>
      </c>
    </row>
    <row r="224" spans="1:58">
      <c r="A224" s="1817" t="str">
        <f t="shared" si="7"/>
        <v>Northern AmericaFruit, stone nes</v>
      </c>
      <c r="B224" s="1818" t="s">
        <v>1318</v>
      </c>
      <c r="C224" s="1818" t="s">
        <v>7326</v>
      </c>
      <c r="D224" s="3463" t="str">
        <f>VLOOKUP(B224,List_Yield!$G$4:$J$14,4,FALSE)</f>
        <v>North America</v>
      </c>
      <c r="E224" s="3463" t="str">
        <f t="shared" si="6"/>
        <v>North AmericaFruit, stone nes</v>
      </c>
      <c r="F224" s="2994">
        <v>0</v>
      </c>
      <c r="G224" s="2994">
        <v>0</v>
      </c>
      <c r="H224" s="2994">
        <v>0</v>
      </c>
      <c r="I224" s="2994">
        <v>0</v>
      </c>
      <c r="J224" s="2994">
        <v>0</v>
      </c>
      <c r="K224" s="2994">
        <v>0</v>
      </c>
      <c r="L224" s="2994">
        <v>0</v>
      </c>
      <c r="M224" s="2994">
        <v>0</v>
      </c>
      <c r="N224" s="2994">
        <v>0</v>
      </c>
      <c r="O224" s="2994">
        <v>0</v>
      </c>
      <c r="P224" s="2994">
        <v>0</v>
      </c>
      <c r="Q224" s="2994">
        <v>0</v>
      </c>
      <c r="R224" s="2994">
        <v>0</v>
      </c>
      <c r="S224" s="2994">
        <v>0</v>
      </c>
      <c r="T224" s="2994">
        <v>0</v>
      </c>
      <c r="U224" s="2994">
        <v>0</v>
      </c>
      <c r="V224" s="2994">
        <v>0</v>
      </c>
      <c r="W224" s="2994">
        <v>0</v>
      </c>
      <c r="X224" s="2994">
        <v>0</v>
      </c>
      <c r="Y224" s="2994">
        <v>0</v>
      </c>
      <c r="Z224" s="2994">
        <v>0</v>
      </c>
      <c r="AA224" s="2994">
        <v>0</v>
      </c>
      <c r="AB224" s="2994">
        <v>0</v>
      </c>
      <c r="AC224" s="2994">
        <v>0</v>
      </c>
      <c r="AD224" s="2994">
        <v>0</v>
      </c>
      <c r="AE224" s="2994">
        <v>0</v>
      </c>
      <c r="AF224" s="2994">
        <v>0</v>
      </c>
      <c r="AG224" s="2994">
        <v>0</v>
      </c>
      <c r="AH224" s="2994">
        <v>0</v>
      </c>
      <c r="AI224" s="2994">
        <v>0</v>
      </c>
      <c r="AJ224" s="2994">
        <v>0</v>
      </c>
      <c r="AK224" s="2994">
        <v>0</v>
      </c>
      <c r="AL224" s="2994">
        <v>0</v>
      </c>
      <c r="AM224" s="2994">
        <v>0</v>
      </c>
      <c r="AN224" s="2994">
        <v>0</v>
      </c>
      <c r="AO224" s="2994">
        <v>0</v>
      </c>
      <c r="AP224" s="2994">
        <v>0</v>
      </c>
      <c r="AQ224" s="2994">
        <v>0</v>
      </c>
      <c r="AR224" s="2994">
        <v>0</v>
      </c>
      <c r="AS224" s="2994">
        <v>0</v>
      </c>
      <c r="AT224" s="2994">
        <v>0</v>
      </c>
      <c r="AU224" s="2994">
        <v>0</v>
      </c>
      <c r="AV224" s="2994">
        <v>0</v>
      </c>
      <c r="AW224" s="2994">
        <v>0</v>
      </c>
      <c r="AX224" s="2994">
        <v>0</v>
      </c>
      <c r="AY224" s="2994">
        <v>0</v>
      </c>
      <c r="AZ224" s="2994">
        <v>0</v>
      </c>
      <c r="BA224" s="2994">
        <v>0</v>
      </c>
      <c r="BB224" s="2994">
        <v>0</v>
      </c>
      <c r="BC224" s="2994">
        <v>0</v>
      </c>
      <c r="BD224" s="3471">
        <v>0</v>
      </c>
      <c r="BE224" s="3471">
        <v>0</v>
      </c>
      <c r="BF224" s="3471">
        <v>0</v>
      </c>
    </row>
    <row r="225" spans="1:58">
      <c r="A225" s="1817" t="str">
        <f t="shared" si="7"/>
        <v>Northern AmericaFruit, tropical fresh nes</v>
      </c>
      <c r="B225" s="1818" t="s">
        <v>1318</v>
      </c>
      <c r="C225" s="1818" t="s">
        <v>7327</v>
      </c>
      <c r="D225" s="3463" t="str">
        <f>VLOOKUP(B225,List_Yield!$G$4:$J$14,4,FALSE)</f>
        <v>North America</v>
      </c>
      <c r="E225" s="3463" t="str">
        <f t="shared" si="6"/>
        <v>North AmericaFruit, tropical fresh nes</v>
      </c>
      <c r="F225" s="2994">
        <v>0</v>
      </c>
      <c r="G225" s="2994">
        <v>0</v>
      </c>
      <c r="H225" s="2994">
        <v>0</v>
      </c>
      <c r="I225" s="2994">
        <v>0</v>
      </c>
      <c r="J225" s="2994">
        <v>0</v>
      </c>
      <c r="K225" s="2994">
        <v>0</v>
      </c>
      <c r="L225" s="2994">
        <v>0</v>
      </c>
      <c r="M225" s="2994">
        <v>0</v>
      </c>
      <c r="N225" s="2994">
        <v>0</v>
      </c>
      <c r="O225" s="2994">
        <v>0</v>
      </c>
      <c r="P225" s="2994">
        <v>0</v>
      </c>
      <c r="Q225" s="2994">
        <v>0</v>
      </c>
      <c r="R225" s="2994">
        <v>0</v>
      </c>
      <c r="S225" s="2994">
        <v>0</v>
      </c>
      <c r="T225" s="2994">
        <v>0</v>
      </c>
      <c r="U225" s="2994">
        <v>0</v>
      </c>
      <c r="V225" s="2994">
        <v>0</v>
      </c>
      <c r="W225" s="2994">
        <v>0</v>
      </c>
      <c r="X225" s="2994">
        <v>0</v>
      </c>
      <c r="Y225" s="2994">
        <v>0</v>
      </c>
      <c r="Z225" s="2994">
        <v>0</v>
      </c>
      <c r="AA225" s="2994">
        <v>0</v>
      </c>
      <c r="AB225" s="2994">
        <v>0</v>
      </c>
      <c r="AC225" s="2994">
        <v>0</v>
      </c>
      <c r="AD225" s="2994">
        <v>0</v>
      </c>
      <c r="AE225" s="2994">
        <v>0</v>
      </c>
      <c r="AF225" s="2994">
        <v>0</v>
      </c>
      <c r="AG225" s="2994">
        <v>0</v>
      </c>
      <c r="AH225" s="2994">
        <v>0</v>
      </c>
      <c r="AI225" s="2994">
        <v>0</v>
      </c>
      <c r="AJ225" s="2994">
        <v>0</v>
      </c>
      <c r="AK225" s="2994">
        <v>0</v>
      </c>
      <c r="AL225" s="2994">
        <v>0</v>
      </c>
      <c r="AM225" s="2994">
        <v>0</v>
      </c>
      <c r="AN225" s="2994">
        <v>0</v>
      </c>
      <c r="AO225" s="2994">
        <v>0</v>
      </c>
      <c r="AP225" s="2994">
        <v>0</v>
      </c>
      <c r="AQ225" s="2994">
        <v>0</v>
      </c>
      <c r="AR225" s="2994">
        <v>0</v>
      </c>
      <c r="AS225" s="2994">
        <v>0</v>
      </c>
      <c r="AT225" s="2994">
        <v>0</v>
      </c>
      <c r="AU225" s="2994">
        <v>0</v>
      </c>
      <c r="AV225" s="2994">
        <v>0</v>
      </c>
      <c r="AW225" s="2994">
        <v>0</v>
      </c>
      <c r="AX225" s="2994">
        <v>0</v>
      </c>
      <c r="AY225" s="2994">
        <v>0</v>
      </c>
      <c r="AZ225" s="2994">
        <v>0</v>
      </c>
      <c r="BA225" s="2994">
        <v>0</v>
      </c>
      <c r="BB225" s="2994">
        <v>0</v>
      </c>
      <c r="BC225" s="2994">
        <v>0</v>
      </c>
      <c r="BD225" s="3471">
        <v>0</v>
      </c>
      <c r="BE225" s="3471">
        <v>0</v>
      </c>
      <c r="BF225" s="3471">
        <v>0</v>
      </c>
    </row>
    <row r="226" spans="1:58">
      <c r="A226" s="1817" t="str">
        <f t="shared" si="7"/>
        <v>Northern AmericaGarlic</v>
      </c>
      <c r="B226" s="1818" t="s">
        <v>1318</v>
      </c>
      <c r="C226" s="1818" t="s">
        <v>7328</v>
      </c>
      <c r="D226" s="3463" t="str">
        <f>VLOOKUP(B226,List_Yield!$G$4:$J$14,4,FALSE)</f>
        <v>North America</v>
      </c>
      <c r="E226" s="3463" t="str">
        <f t="shared" si="6"/>
        <v>North AmericaGarlic</v>
      </c>
      <c r="F226" s="2994">
        <v>8.9657</v>
      </c>
      <c r="G226" s="2994">
        <v>11.7859</v>
      </c>
      <c r="H226" s="2994">
        <v>11.2098</v>
      </c>
      <c r="I226" s="2994">
        <v>12.8871</v>
      </c>
      <c r="J226" s="2994">
        <v>13.4468</v>
      </c>
      <c r="K226" s="2994">
        <v>11.2119</v>
      </c>
      <c r="L226" s="2994">
        <v>12.8871</v>
      </c>
      <c r="M226" s="2994">
        <v>14.010400000000001</v>
      </c>
      <c r="N226" s="2994">
        <v>13.450900000000001</v>
      </c>
      <c r="O226" s="2994">
        <v>14.5724</v>
      </c>
      <c r="P226" s="2994">
        <v>14.5745</v>
      </c>
      <c r="Q226" s="2994">
        <v>14.5703</v>
      </c>
      <c r="R226" s="2994">
        <v>14.572699999999999</v>
      </c>
      <c r="S226" s="2994">
        <v>14.5717</v>
      </c>
      <c r="T226" s="2994">
        <v>14.569699999999999</v>
      </c>
      <c r="U226" s="2994">
        <v>11.7697</v>
      </c>
      <c r="V226" s="2994">
        <v>12.3286</v>
      </c>
      <c r="W226" s="2994">
        <v>13.4499</v>
      </c>
      <c r="X226" s="2994">
        <v>14.569900000000001</v>
      </c>
      <c r="Y226" s="2994">
        <v>14.5715</v>
      </c>
      <c r="Z226" s="2994">
        <v>14.0101</v>
      </c>
      <c r="AA226" s="2994">
        <v>15</v>
      </c>
      <c r="AB226" s="2994">
        <v>11.9048</v>
      </c>
      <c r="AC226" s="2994">
        <v>16.666699999999999</v>
      </c>
      <c r="AD226" s="2994">
        <v>18.110199999999999</v>
      </c>
      <c r="AE226" s="2994">
        <v>20</v>
      </c>
      <c r="AF226" s="2994">
        <v>19.852900000000002</v>
      </c>
      <c r="AG226" s="2994">
        <v>19.736799999999999</v>
      </c>
      <c r="AH226" s="2994">
        <v>19.642900000000001</v>
      </c>
      <c r="AI226" s="2994">
        <v>19.780200000000001</v>
      </c>
      <c r="AJ226" s="2994">
        <v>20.457799999999999</v>
      </c>
      <c r="AK226" s="2994">
        <v>18.485499999999998</v>
      </c>
      <c r="AL226" s="2994">
        <v>17.9373</v>
      </c>
      <c r="AM226" s="2994">
        <v>19.057200000000002</v>
      </c>
      <c r="AN226" s="2994">
        <v>18.499600000000001</v>
      </c>
      <c r="AO226" s="2994">
        <v>19.6328</v>
      </c>
      <c r="AP226" s="2994">
        <v>19.063700000000001</v>
      </c>
      <c r="AQ226" s="2994">
        <v>16.250299999999999</v>
      </c>
      <c r="AR226" s="2994">
        <v>20.732600000000001</v>
      </c>
      <c r="AS226" s="2994">
        <v>17.979399999999998</v>
      </c>
      <c r="AT226" s="2994">
        <v>18.706700000000001</v>
      </c>
      <c r="AU226" s="2994">
        <v>19.3127</v>
      </c>
      <c r="AV226" s="2994">
        <v>19.9922</v>
      </c>
      <c r="AW226" s="2994">
        <v>18.527000000000001</v>
      </c>
      <c r="AX226" s="2994">
        <v>17.885100000000001</v>
      </c>
      <c r="AY226" s="2994">
        <v>18.7849</v>
      </c>
      <c r="AZ226" s="2994">
        <v>18.540800000000001</v>
      </c>
      <c r="BA226" s="2994">
        <v>18.635899999999999</v>
      </c>
      <c r="BB226" s="2994">
        <v>19.1647</v>
      </c>
      <c r="BC226" s="2994">
        <v>18.0442</v>
      </c>
      <c r="BD226" s="3471">
        <v>18.251200000000001</v>
      </c>
      <c r="BE226" s="3471">
        <v>18.28</v>
      </c>
      <c r="BF226" s="3471">
        <v>0</v>
      </c>
    </row>
    <row r="227" spans="1:58">
      <c r="A227" s="1817" t="str">
        <f t="shared" si="7"/>
        <v>Northern AmericaGinger</v>
      </c>
      <c r="B227" s="1818" t="s">
        <v>1318</v>
      </c>
      <c r="C227" s="1818" t="s">
        <v>7329</v>
      </c>
      <c r="D227" s="3463" t="str">
        <f>VLOOKUP(B227,List_Yield!$G$4:$J$14,4,FALSE)</f>
        <v>North America</v>
      </c>
      <c r="E227" s="3463" t="str">
        <f t="shared" si="6"/>
        <v>North AmericaGinger</v>
      </c>
      <c r="F227" s="2994">
        <v>0</v>
      </c>
      <c r="G227" s="2994">
        <v>0</v>
      </c>
      <c r="H227" s="2994">
        <v>0</v>
      </c>
      <c r="I227" s="2994">
        <v>0</v>
      </c>
      <c r="J227" s="2994">
        <v>0</v>
      </c>
      <c r="K227" s="2994">
        <v>0</v>
      </c>
      <c r="L227" s="2994">
        <v>0</v>
      </c>
      <c r="M227" s="2994">
        <v>0</v>
      </c>
      <c r="N227" s="2994">
        <v>0</v>
      </c>
      <c r="O227" s="2994">
        <v>0</v>
      </c>
      <c r="P227" s="2994">
        <v>0</v>
      </c>
      <c r="Q227" s="2994">
        <v>0</v>
      </c>
      <c r="R227" s="2994">
        <v>0</v>
      </c>
      <c r="S227" s="2994">
        <v>0</v>
      </c>
      <c r="T227" s="2994">
        <v>0</v>
      </c>
      <c r="U227" s="2994">
        <v>0</v>
      </c>
      <c r="V227" s="2994">
        <v>0</v>
      </c>
      <c r="W227" s="2994">
        <v>0</v>
      </c>
      <c r="X227" s="2994">
        <v>0</v>
      </c>
      <c r="Y227" s="2994">
        <v>0</v>
      </c>
      <c r="Z227" s="2994">
        <v>0</v>
      </c>
      <c r="AA227" s="2994">
        <v>0</v>
      </c>
      <c r="AB227" s="2994">
        <v>0</v>
      </c>
      <c r="AC227" s="2994">
        <v>0</v>
      </c>
      <c r="AD227" s="2994">
        <v>41.176499999999997</v>
      </c>
      <c r="AE227" s="2994">
        <v>41.176499999999997</v>
      </c>
      <c r="AF227" s="2994">
        <v>41.176499999999997</v>
      </c>
      <c r="AG227" s="2994">
        <v>41.176499999999997</v>
      </c>
      <c r="AH227" s="2994">
        <v>55.8904</v>
      </c>
      <c r="AI227" s="2994">
        <v>53.875</v>
      </c>
      <c r="AJ227" s="2994">
        <v>53.891100000000002</v>
      </c>
      <c r="AK227" s="2994">
        <v>44.957299999999996</v>
      </c>
      <c r="AL227" s="2994">
        <v>29.933299999999999</v>
      </c>
      <c r="AM227" s="2994">
        <v>45.333300000000001</v>
      </c>
      <c r="AN227" s="2994">
        <v>52.6</v>
      </c>
      <c r="AO227" s="2994">
        <v>53.25</v>
      </c>
      <c r="AP227" s="2994">
        <v>49.909100000000002</v>
      </c>
      <c r="AQ227" s="2994">
        <v>54.4</v>
      </c>
      <c r="AR227" s="2994">
        <v>52.142899999999997</v>
      </c>
      <c r="AS227" s="2994">
        <v>56.174300000000002</v>
      </c>
      <c r="AT227" s="2994">
        <v>55.924700000000001</v>
      </c>
      <c r="AU227" s="2994">
        <v>50.246200000000002</v>
      </c>
      <c r="AV227" s="2994">
        <v>41.876899999999999</v>
      </c>
      <c r="AW227" s="2994">
        <v>44.622999999999998</v>
      </c>
      <c r="AX227" s="2994">
        <v>47.204099999999997</v>
      </c>
      <c r="AY227" s="2994">
        <v>48.75</v>
      </c>
      <c r="AZ227" s="2994">
        <v>39.6875</v>
      </c>
      <c r="BA227" s="2994">
        <v>34</v>
      </c>
      <c r="BB227" s="2994">
        <v>34</v>
      </c>
      <c r="BC227" s="2994">
        <v>34</v>
      </c>
      <c r="BD227" s="3471">
        <v>34</v>
      </c>
      <c r="BE227" s="3471">
        <v>32.799999999999997</v>
      </c>
      <c r="BF227" s="3471">
        <v>0</v>
      </c>
    </row>
    <row r="228" spans="1:58">
      <c r="A228" s="1817" t="str">
        <f t="shared" si="7"/>
        <v>Northern AmericaGooseberries</v>
      </c>
      <c r="B228" s="1818" t="s">
        <v>1318</v>
      </c>
      <c r="C228" s="1818" t="s">
        <v>7330</v>
      </c>
      <c r="D228" s="3463" t="str">
        <f>VLOOKUP(B228,List_Yield!$G$4:$J$14,4,FALSE)</f>
        <v>North America</v>
      </c>
      <c r="E228" s="3463" t="str">
        <f t="shared" si="6"/>
        <v>North AmericaGooseberries</v>
      </c>
      <c r="F228" s="2994">
        <v>0</v>
      </c>
      <c r="G228" s="2994">
        <v>0</v>
      </c>
      <c r="H228" s="2994">
        <v>0</v>
      </c>
      <c r="I228" s="2994">
        <v>0</v>
      </c>
      <c r="J228" s="2994">
        <v>0</v>
      </c>
      <c r="K228" s="2994">
        <v>0</v>
      </c>
      <c r="L228" s="2994">
        <v>0</v>
      </c>
      <c r="M228" s="2994">
        <v>0</v>
      </c>
      <c r="N228" s="2994">
        <v>0</v>
      </c>
      <c r="O228" s="2994">
        <v>0</v>
      </c>
      <c r="P228" s="2994">
        <v>0</v>
      </c>
      <c r="Q228" s="2994">
        <v>0</v>
      </c>
      <c r="R228" s="2994">
        <v>0</v>
      </c>
      <c r="S228" s="2994">
        <v>0</v>
      </c>
      <c r="T228" s="2994">
        <v>0</v>
      </c>
      <c r="U228" s="2994">
        <v>0</v>
      </c>
      <c r="V228" s="2994">
        <v>0</v>
      </c>
      <c r="W228" s="2994">
        <v>0</v>
      </c>
      <c r="X228" s="2994">
        <v>0</v>
      </c>
      <c r="Y228" s="2994">
        <v>0</v>
      </c>
      <c r="Z228" s="2994">
        <v>0</v>
      </c>
      <c r="AA228" s="2994">
        <v>0</v>
      </c>
      <c r="AB228" s="2994">
        <v>0</v>
      </c>
      <c r="AC228" s="2994">
        <v>0</v>
      </c>
      <c r="AD228" s="2994">
        <v>0</v>
      </c>
      <c r="AE228" s="2994">
        <v>0</v>
      </c>
      <c r="AF228" s="2994">
        <v>0</v>
      </c>
      <c r="AG228" s="2994">
        <v>0</v>
      </c>
      <c r="AH228" s="2994">
        <v>0</v>
      </c>
      <c r="AI228" s="2994">
        <v>0</v>
      </c>
      <c r="AJ228" s="2994">
        <v>0</v>
      </c>
      <c r="AK228" s="2994">
        <v>0</v>
      </c>
      <c r="AL228" s="2994">
        <v>0</v>
      </c>
      <c r="AM228" s="2994">
        <v>0</v>
      </c>
      <c r="AN228" s="2994">
        <v>0</v>
      </c>
      <c r="AO228" s="2994">
        <v>0</v>
      </c>
      <c r="AP228" s="2994">
        <v>0</v>
      </c>
      <c r="AQ228" s="2994">
        <v>0</v>
      </c>
      <c r="AR228" s="2994">
        <v>0</v>
      </c>
      <c r="AS228" s="2994">
        <v>0</v>
      </c>
      <c r="AT228" s="2994">
        <v>0</v>
      </c>
      <c r="AU228" s="2994">
        <v>0</v>
      </c>
      <c r="AV228" s="2994">
        <v>0</v>
      </c>
      <c r="AW228" s="2994">
        <v>0</v>
      </c>
      <c r="AX228" s="2994">
        <v>0</v>
      </c>
      <c r="AY228" s="2994">
        <v>0</v>
      </c>
      <c r="AZ228" s="2994">
        <v>0</v>
      </c>
      <c r="BA228" s="2994">
        <v>0</v>
      </c>
      <c r="BB228" s="2994">
        <v>0</v>
      </c>
      <c r="BC228" s="2994">
        <v>0</v>
      </c>
      <c r="BD228" s="3471">
        <v>0</v>
      </c>
      <c r="BE228" s="3471">
        <v>0</v>
      </c>
      <c r="BF228" s="3471">
        <v>0</v>
      </c>
    </row>
    <row r="229" spans="1:58">
      <c r="A229" s="1817" t="str">
        <f t="shared" si="7"/>
        <v>Northern AmericaGrain, mixed</v>
      </c>
      <c r="B229" s="1818" t="s">
        <v>1318</v>
      </c>
      <c r="C229" s="1818" t="s">
        <v>7331</v>
      </c>
      <c r="D229" s="3463" t="str">
        <f>VLOOKUP(B229,List_Yield!$G$4:$J$14,4,FALSE)</f>
        <v>North America</v>
      </c>
      <c r="E229" s="3463" t="str">
        <f t="shared" si="6"/>
        <v>North AmericaGrain, mixed</v>
      </c>
      <c r="F229" s="2994">
        <v>1.9752000000000001</v>
      </c>
      <c r="G229" s="2994">
        <v>2.3925999999999998</v>
      </c>
      <c r="H229" s="2994">
        <v>2.4331999999999998</v>
      </c>
      <c r="I229" s="2994">
        <v>2.3376999999999999</v>
      </c>
      <c r="J229" s="2994">
        <v>2.4859</v>
      </c>
      <c r="K229" s="2994">
        <v>2.3252999999999999</v>
      </c>
      <c r="L229" s="2994">
        <v>2.3119000000000001</v>
      </c>
      <c r="M229" s="2994">
        <v>2.6172</v>
      </c>
      <c r="N229" s="2994">
        <v>2.5272999999999999</v>
      </c>
      <c r="O229" s="2994">
        <v>2.5565000000000002</v>
      </c>
      <c r="P229" s="2994">
        <v>2.6284999999999998</v>
      </c>
      <c r="Q229" s="2994">
        <v>2.5474000000000001</v>
      </c>
      <c r="R229" s="2994">
        <v>2.4447999999999999</v>
      </c>
      <c r="S229" s="2994">
        <v>2.2492999999999999</v>
      </c>
      <c r="T229" s="2994">
        <v>2.4702999999999999</v>
      </c>
      <c r="U229" s="2994">
        <v>2.4171</v>
      </c>
      <c r="V229" s="2994">
        <v>2.5575999999999999</v>
      </c>
      <c r="W229" s="2994">
        <v>2.7063999999999999</v>
      </c>
      <c r="X229" s="2994">
        <v>2.6332</v>
      </c>
      <c r="Y229" s="2994">
        <v>2.6528</v>
      </c>
      <c r="Z229" s="2994">
        <v>2.6783000000000001</v>
      </c>
      <c r="AA229" s="2994">
        <v>2.7936999999999999</v>
      </c>
      <c r="AB229" s="2994">
        <v>2.2728999999999999</v>
      </c>
      <c r="AC229" s="2994">
        <v>2.681</v>
      </c>
      <c r="AD229" s="2994">
        <v>2.8803999999999998</v>
      </c>
      <c r="AE229" s="2994">
        <v>2.8304999999999998</v>
      </c>
      <c r="AF229" s="2994">
        <v>2.7801</v>
      </c>
      <c r="AG229" s="2994">
        <v>1.6897</v>
      </c>
      <c r="AH229" s="2994">
        <v>2.7557999999999998</v>
      </c>
      <c r="AI229" s="2994">
        <v>2.8502000000000001</v>
      </c>
      <c r="AJ229" s="2994">
        <v>2.5356000000000001</v>
      </c>
      <c r="AK229" s="2994">
        <v>3.0588000000000002</v>
      </c>
      <c r="AL229" s="2994">
        <v>2.8065000000000002</v>
      </c>
      <c r="AM229" s="2994">
        <v>2.6867000000000001</v>
      </c>
      <c r="AN229" s="2994">
        <v>2.7646999999999999</v>
      </c>
      <c r="AO229" s="2994">
        <v>2.7448000000000001</v>
      </c>
      <c r="AP229" s="2994">
        <v>2.7612999999999999</v>
      </c>
      <c r="AQ229" s="2994">
        <v>2.7705000000000002</v>
      </c>
      <c r="AR229" s="2994">
        <v>2.9163999999999999</v>
      </c>
      <c r="AS229" s="2994">
        <v>2.9910999999999999</v>
      </c>
      <c r="AT229" s="2994">
        <v>2.8046000000000002</v>
      </c>
      <c r="AU229" s="2994">
        <v>2.7231000000000001</v>
      </c>
      <c r="AV229" s="2994">
        <v>2.839</v>
      </c>
      <c r="AW229" s="2994">
        <v>2.883</v>
      </c>
      <c r="AX229" s="2994">
        <v>2.7827999999999999</v>
      </c>
      <c r="AY229" s="2994">
        <v>2.6736</v>
      </c>
      <c r="AZ229" s="2994">
        <v>2.7326000000000001</v>
      </c>
      <c r="BA229" s="2994">
        <v>2.7877000000000001</v>
      </c>
      <c r="BB229" s="2994">
        <v>2.7465000000000002</v>
      </c>
      <c r="BC229" s="2994">
        <v>2.9163000000000001</v>
      </c>
      <c r="BD229" s="3471">
        <v>3.0406</v>
      </c>
      <c r="BE229" s="3471">
        <v>2.9344000000000001</v>
      </c>
      <c r="BF229" s="3471">
        <v>2.8727</v>
      </c>
    </row>
    <row r="230" spans="1:58">
      <c r="A230" s="1817" t="str">
        <f t="shared" si="7"/>
        <v>Northern AmericaGrapefruit (inc. pomelos)</v>
      </c>
      <c r="B230" s="1818" t="s">
        <v>1318</v>
      </c>
      <c r="C230" s="1818" t="s">
        <v>1351</v>
      </c>
      <c r="D230" s="3463" t="str">
        <f>VLOOKUP(B230,List_Yield!$G$4:$J$14,4,FALSE)</f>
        <v>North America</v>
      </c>
      <c r="E230" s="3463" t="str">
        <f t="shared" si="6"/>
        <v>North AmericaGrapefruit (inc. pomelos)</v>
      </c>
      <c r="F230" s="2994">
        <v>27.223199999999999</v>
      </c>
      <c r="G230" s="2994">
        <v>25.576899999999998</v>
      </c>
      <c r="H230" s="2994">
        <v>22.9193</v>
      </c>
      <c r="I230" s="2994">
        <v>22.5486</v>
      </c>
      <c r="J230" s="2994">
        <v>27.077500000000001</v>
      </c>
      <c r="K230" s="2994">
        <v>29.8553</v>
      </c>
      <c r="L230" s="2994">
        <v>35.174900000000001</v>
      </c>
      <c r="M230" s="2994">
        <v>26.818100000000001</v>
      </c>
      <c r="N230" s="2994">
        <v>33.936399999999999</v>
      </c>
      <c r="O230" s="2994">
        <v>31.992899999999999</v>
      </c>
      <c r="P230" s="2994">
        <v>34.484999999999999</v>
      </c>
      <c r="Q230" s="2994">
        <v>35.148400000000002</v>
      </c>
      <c r="R230" s="2994">
        <v>33.442100000000003</v>
      </c>
      <c r="S230" s="2994">
        <v>33.140599999999999</v>
      </c>
      <c r="T230" s="2994">
        <v>30.593800000000002</v>
      </c>
      <c r="U230" s="2994">
        <v>34.514299999999999</v>
      </c>
      <c r="V230" s="2994">
        <v>37.5105</v>
      </c>
      <c r="W230" s="2994">
        <v>36.015000000000001</v>
      </c>
      <c r="X230" s="2994">
        <v>32.0565</v>
      </c>
      <c r="Y230" s="2994">
        <v>33.485599999999998</v>
      </c>
      <c r="Z230" s="2994">
        <v>31.395600000000002</v>
      </c>
      <c r="AA230" s="2994">
        <v>32.4208</v>
      </c>
      <c r="AB230" s="2994">
        <v>27.723700000000001</v>
      </c>
      <c r="AC230" s="2994">
        <v>25.561299999999999</v>
      </c>
      <c r="AD230" s="2994">
        <v>31.206399999999999</v>
      </c>
      <c r="AE230" s="2994">
        <v>36.378500000000003</v>
      </c>
      <c r="AF230" s="2994">
        <v>39.746499999999997</v>
      </c>
      <c r="AG230" s="2994">
        <v>42.67</v>
      </c>
      <c r="AH230" s="2994">
        <v>42.4482</v>
      </c>
      <c r="AI230" s="2994">
        <v>30.095600000000001</v>
      </c>
      <c r="AJ230" s="2994">
        <v>37.970300000000002</v>
      </c>
      <c r="AK230" s="2994">
        <v>36.504399999999997</v>
      </c>
      <c r="AL230" s="2994">
        <v>42.942900000000002</v>
      </c>
      <c r="AM230" s="2994">
        <v>38.494</v>
      </c>
      <c r="AN230" s="2994">
        <v>39.229300000000002</v>
      </c>
      <c r="AO230" s="2994">
        <v>34.934800000000003</v>
      </c>
      <c r="AP230" s="2994">
        <v>35.531500000000001</v>
      </c>
      <c r="AQ230" s="2994">
        <v>33.848999999999997</v>
      </c>
      <c r="AR230" s="2994">
        <v>35.998100000000001</v>
      </c>
      <c r="AS230" s="2994">
        <v>40.206000000000003</v>
      </c>
      <c r="AT230" s="2994">
        <v>38.010399999999997</v>
      </c>
      <c r="AU230" s="2994">
        <v>39.577100000000002</v>
      </c>
      <c r="AV230" s="2994">
        <v>35.989400000000003</v>
      </c>
      <c r="AW230" s="2994">
        <v>42.2759</v>
      </c>
      <c r="AX230" s="2994">
        <v>22.1556</v>
      </c>
      <c r="AY230" s="2994">
        <v>30.349499999999999</v>
      </c>
      <c r="AZ230" s="2994">
        <v>42.325400000000002</v>
      </c>
      <c r="BA230" s="2994">
        <v>41.608199999999997</v>
      </c>
      <c r="BB230" s="2994">
        <v>36.357700000000001</v>
      </c>
      <c r="BC230" s="2994">
        <v>36.420400000000001</v>
      </c>
      <c r="BD230" s="3471">
        <v>38.084299999999999</v>
      </c>
      <c r="BE230" s="3471">
        <v>35.244100000000003</v>
      </c>
      <c r="BF230" s="3471">
        <v>0</v>
      </c>
    </row>
    <row r="231" spans="1:58">
      <c r="A231" s="1817" t="str">
        <f t="shared" si="7"/>
        <v>Northern AmericaGrapes</v>
      </c>
      <c r="B231" s="1818" t="s">
        <v>1318</v>
      </c>
      <c r="C231" s="1818" t="s">
        <v>1352</v>
      </c>
      <c r="D231" s="3463" t="str">
        <f>VLOOKUP(B231,List_Yield!$G$4:$J$14,4,FALSE)</f>
        <v>North America</v>
      </c>
      <c r="E231" s="3463" t="str">
        <f t="shared" si="6"/>
        <v>North AmericaGrapes</v>
      </c>
      <c r="F231" s="2994">
        <v>13.8376</v>
      </c>
      <c r="G231" s="2994">
        <v>13.279199999999999</v>
      </c>
      <c r="H231" s="2994">
        <v>15.232200000000001</v>
      </c>
      <c r="I231" s="2994">
        <v>13.8117</v>
      </c>
      <c r="J231" s="2994">
        <v>17.0517</v>
      </c>
      <c r="K231" s="2994">
        <v>14.6829</v>
      </c>
      <c r="L231" s="2994">
        <v>12.104799999999999</v>
      </c>
      <c r="M231" s="2994">
        <v>14.0977</v>
      </c>
      <c r="N231" s="2994">
        <v>15.398899999999999</v>
      </c>
      <c r="O231" s="2994">
        <v>12.3986</v>
      </c>
      <c r="P231" s="2994">
        <v>16.311299999999999</v>
      </c>
      <c r="Q231" s="2994">
        <v>10.747999999999999</v>
      </c>
      <c r="R231" s="2994">
        <v>16.779599999999999</v>
      </c>
      <c r="S231" s="2994">
        <v>15.718999999999999</v>
      </c>
      <c r="T231" s="2994">
        <v>15.2759</v>
      </c>
      <c r="U231" s="2994">
        <v>13.788</v>
      </c>
      <c r="V231" s="2994">
        <v>13.1183</v>
      </c>
      <c r="W231" s="2994">
        <v>13.934799999999999</v>
      </c>
      <c r="X231" s="2994">
        <v>15.7395</v>
      </c>
      <c r="Y231" s="2994">
        <v>17.610700000000001</v>
      </c>
      <c r="Z231" s="2994">
        <v>13.6707</v>
      </c>
      <c r="AA231" s="2994">
        <v>19.235800000000001</v>
      </c>
      <c r="AB231" s="2994">
        <v>16.2197</v>
      </c>
      <c r="AC231" s="2994">
        <v>14.8292</v>
      </c>
      <c r="AD231" s="2994">
        <v>15.7951</v>
      </c>
      <c r="AE231" s="2994">
        <v>14.888999999999999</v>
      </c>
      <c r="AF231" s="2994">
        <v>15.2248</v>
      </c>
      <c r="AG231" s="2994">
        <v>17.4862</v>
      </c>
      <c r="AH231" s="2994">
        <v>17.588999999999999</v>
      </c>
      <c r="AI231" s="2994">
        <v>16.974599999999999</v>
      </c>
      <c r="AJ231" s="2994">
        <v>16.790099999999999</v>
      </c>
      <c r="AK231" s="2994">
        <v>17.9925</v>
      </c>
      <c r="AL231" s="2994">
        <v>17.548400000000001</v>
      </c>
      <c r="AM231" s="2994">
        <v>16.761500000000002</v>
      </c>
      <c r="AN231" s="2994">
        <v>16.7654</v>
      </c>
      <c r="AO231" s="2994">
        <v>15.246</v>
      </c>
      <c r="AP231" s="2994">
        <v>19.267099999999999</v>
      </c>
      <c r="AQ231" s="2994">
        <v>15.103300000000001</v>
      </c>
      <c r="AR231" s="2994">
        <v>15.3538</v>
      </c>
      <c r="AS231" s="2994">
        <v>18.0227</v>
      </c>
      <c r="AT231" s="2994">
        <v>15.647</v>
      </c>
      <c r="AU231" s="2994">
        <v>17.0946</v>
      </c>
      <c r="AV231" s="2994">
        <v>15.0916</v>
      </c>
      <c r="AW231" s="2994">
        <v>14.826499999999999</v>
      </c>
      <c r="AX231" s="2994">
        <v>18.4267</v>
      </c>
      <c r="AY231" s="2994">
        <v>14.997999999999999</v>
      </c>
      <c r="AZ231" s="2994">
        <v>16.66</v>
      </c>
      <c r="BA231" s="2994">
        <v>17.2897</v>
      </c>
      <c r="BB231" s="2994">
        <v>17.022600000000001</v>
      </c>
      <c r="BC231" s="2994">
        <v>17.3201</v>
      </c>
      <c r="BD231" s="3471">
        <v>17.151900000000001</v>
      </c>
      <c r="BE231" s="3471">
        <v>16.863199999999999</v>
      </c>
      <c r="BF231" s="3471">
        <v>0</v>
      </c>
    </row>
    <row r="232" spans="1:58">
      <c r="A232" s="1817" t="str">
        <f t="shared" si="7"/>
        <v>Northern AmericaGroundnuts, with shell</v>
      </c>
      <c r="B232" s="1818" t="s">
        <v>1318</v>
      </c>
      <c r="C232" s="1818" t="s">
        <v>1353</v>
      </c>
      <c r="D232" s="3463" t="str">
        <f>VLOOKUP(B232,List_Yield!$G$4:$J$14,4,FALSE)</f>
        <v>North America</v>
      </c>
      <c r="E232" s="3463" t="str">
        <f t="shared" si="6"/>
        <v>North AmericaGroundnuts, with shell</v>
      </c>
      <c r="F232" s="2994">
        <v>1.3286</v>
      </c>
      <c r="G232" s="2994">
        <v>1.3756999999999999</v>
      </c>
      <c r="H232" s="2994">
        <v>1.5592999999999999</v>
      </c>
      <c r="I232" s="2994">
        <v>1.6837</v>
      </c>
      <c r="J232" s="2994">
        <v>1.8622000000000001</v>
      </c>
      <c r="K232" s="2994">
        <v>1.9058999999999999</v>
      </c>
      <c r="L232" s="2994">
        <v>1.9783999999999999</v>
      </c>
      <c r="M232" s="2994">
        <v>1.9843999999999999</v>
      </c>
      <c r="N232" s="2994">
        <v>1.9521999999999999</v>
      </c>
      <c r="O232" s="2994">
        <v>2.2757999999999998</v>
      </c>
      <c r="P232" s="2994">
        <v>2.3157999999999999</v>
      </c>
      <c r="Q232" s="2994">
        <v>2.4693999999999998</v>
      </c>
      <c r="R232" s="2994">
        <v>2.6032999999999999</v>
      </c>
      <c r="S232" s="2994">
        <v>2.7925</v>
      </c>
      <c r="T232" s="2994">
        <v>2.8744000000000001</v>
      </c>
      <c r="U232" s="2994">
        <v>2.7618999999999998</v>
      </c>
      <c r="V232" s="2994">
        <v>2.7534000000000001</v>
      </c>
      <c r="W232" s="2994">
        <v>2.9356</v>
      </c>
      <c r="X232" s="2994">
        <v>2.927</v>
      </c>
      <c r="Y232" s="2994">
        <v>1.8439000000000001</v>
      </c>
      <c r="Z232" s="2994">
        <v>2.9979</v>
      </c>
      <c r="AA232" s="2994">
        <v>3.0188999999999999</v>
      </c>
      <c r="AB232" s="2994">
        <v>2.6894999999999998</v>
      </c>
      <c r="AC232" s="2994">
        <v>3.2317999999999998</v>
      </c>
      <c r="AD232" s="2994">
        <v>3.1480999999999999</v>
      </c>
      <c r="AE232" s="2994">
        <v>2.6991999999999998</v>
      </c>
      <c r="AF232" s="2994">
        <v>2.6190000000000002</v>
      </c>
      <c r="AG232" s="2994">
        <v>2.7401</v>
      </c>
      <c r="AH232" s="2994">
        <v>2.7193999999999998</v>
      </c>
      <c r="AI232" s="2994">
        <v>2.2233999999999998</v>
      </c>
      <c r="AJ232" s="2994">
        <v>2.74</v>
      </c>
      <c r="AK232" s="2994">
        <v>2.8763999999999998</v>
      </c>
      <c r="AL232" s="2994">
        <v>2.2505000000000002</v>
      </c>
      <c r="AM232" s="2994">
        <v>2.9415</v>
      </c>
      <c r="AN232" s="2994">
        <v>2.5575999999999999</v>
      </c>
      <c r="AO232" s="2994">
        <v>2.9737</v>
      </c>
      <c r="AP232" s="2994">
        <v>2.8066</v>
      </c>
      <c r="AQ232" s="2994">
        <v>3.0282</v>
      </c>
      <c r="AR232" s="2994">
        <v>2.9889999999999999</v>
      </c>
      <c r="AS232" s="2994">
        <v>2.7395999999999998</v>
      </c>
      <c r="AT232" s="2994">
        <v>3.3950999999999998</v>
      </c>
      <c r="AU232" s="2994">
        <v>2.8702000000000001</v>
      </c>
      <c r="AV232" s="2994">
        <v>3.5404</v>
      </c>
      <c r="AW232" s="2994">
        <v>3.4479000000000002</v>
      </c>
      <c r="AX232" s="2994">
        <v>3.3506999999999998</v>
      </c>
      <c r="AY232" s="2994">
        <v>3.2210999999999999</v>
      </c>
      <c r="AZ232" s="2994">
        <v>3.5085000000000002</v>
      </c>
      <c r="BA232" s="2994">
        <v>3.8395999999999999</v>
      </c>
      <c r="BB232" s="2994">
        <v>3.8348</v>
      </c>
      <c r="BC232" s="2994">
        <v>3.7124000000000001</v>
      </c>
      <c r="BD232" s="3471">
        <v>3.7948</v>
      </c>
      <c r="BE232" s="3471">
        <v>4.6989999999999998</v>
      </c>
      <c r="BF232" s="3471">
        <v>4.4964000000000004</v>
      </c>
    </row>
    <row r="233" spans="1:58">
      <c r="A233" s="1817" t="str">
        <f t="shared" si="7"/>
        <v>Northern AmericaHazelnuts, with shell</v>
      </c>
      <c r="B233" s="1818" t="s">
        <v>1318</v>
      </c>
      <c r="C233" s="1818" t="s">
        <v>7332</v>
      </c>
      <c r="D233" s="3463" t="str">
        <f>VLOOKUP(B233,List_Yield!$G$4:$J$14,4,FALSE)</f>
        <v>North America</v>
      </c>
      <c r="E233" s="3463" t="str">
        <f t="shared" si="6"/>
        <v>North AmericaHazelnuts, with shell</v>
      </c>
      <c r="F233" s="2994">
        <v>1.4167000000000001</v>
      </c>
      <c r="G233" s="2994">
        <v>0.96950000000000003</v>
      </c>
      <c r="H233" s="2994">
        <v>0.90710000000000002</v>
      </c>
      <c r="I233" s="2994">
        <v>1.0619000000000001</v>
      </c>
      <c r="J233" s="2994">
        <v>1.0271999999999999</v>
      </c>
      <c r="K233" s="2994">
        <v>1.6669</v>
      </c>
      <c r="L233" s="2994">
        <v>1.0308999999999999</v>
      </c>
      <c r="M233" s="2994">
        <v>1.0657000000000001</v>
      </c>
      <c r="N233" s="2994">
        <v>1.044</v>
      </c>
      <c r="O233" s="2994">
        <v>1.2726999999999999</v>
      </c>
      <c r="P233" s="2994">
        <v>1.5349999999999999</v>
      </c>
      <c r="Q233" s="2994">
        <v>1.3449</v>
      </c>
      <c r="R233" s="2994">
        <v>1.6217999999999999</v>
      </c>
      <c r="S233" s="2994">
        <v>0.88859999999999995</v>
      </c>
      <c r="T233" s="2994">
        <v>1.5246</v>
      </c>
      <c r="U233" s="2994">
        <v>0.9022</v>
      </c>
      <c r="V233" s="2994">
        <v>1.5035000000000001</v>
      </c>
      <c r="W233" s="2994">
        <v>1.7965</v>
      </c>
      <c r="X233" s="2994">
        <v>1.6558999999999999</v>
      </c>
      <c r="Y233" s="2994">
        <v>1.5697000000000001</v>
      </c>
      <c r="Z233" s="2994">
        <v>1.4988999999999999</v>
      </c>
      <c r="AA233" s="2994">
        <v>1.9169</v>
      </c>
      <c r="AB233" s="2994">
        <v>0.86309999999999998</v>
      </c>
      <c r="AC233" s="2994">
        <v>1.3663000000000001</v>
      </c>
      <c r="AD233" s="2994">
        <v>2.3668999999999998</v>
      </c>
      <c r="AE233" s="2994">
        <v>1.3591</v>
      </c>
      <c r="AF233" s="2994">
        <v>1.8946000000000001</v>
      </c>
      <c r="AG233" s="2994">
        <v>1.3993</v>
      </c>
      <c r="AH233" s="2994">
        <v>1.0621</v>
      </c>
      <c r="AI233" s="2994">
        <v>1.7827999999999999</v>
      </c>
      <c r="AJ233" s="2994">
        <v>2.08</v>
      </c>
      <c r="AK233" s="2994">
        <v>2.2970999999999999</v>
      </c>
      <c r="AL233" s="2994">
        <v>3.4119000000000002</v>
      </c>
      <c r="AM233" s="2994">
        <v>1.7246999999999999</v>
      </c>
      <c r="AN233" s="2994">
        <v>3.1254</v>
      </c>
      <c r="AO233" s="2994">
        <v>1.4901</v>
      </c>
      <c r="AP233" s="2994">
        <v>3.5971000000000002</v>
      </c>
      <c r="AQ233" s="2994">
        <v>1.1613</v>
      </c>
      <c r="AR233" s="2994">
        <v>3.0312000000000001</v>
      </c>
      <c r="AS233" s="2994">
        <v>1.7789999999999999</v>
      </c>
      <c r="AT233" s="2994">
        <v>3.8267000000000002</v>
      </c>
      <c r="AU233" s="2994">
        <v>1.4970000000000001</v>
      </c>
      <c r="AV233" s="2994">
        <v>3.0341999999999998</v>
      </c>
      <c r="AW233" s="2994">
        <v>2.96</v>
      </c>
      <c r="AX233" s="2994">
        <v>2.1861999999999999</v>
      </c>
      <c r="AY233" s="2994">
        <v>3.2475999999999998</v>
      </c>
      <c r="AZ233" s="2994">
        <v>2.9003000000000001</v>
      </c>
      <c r="BA233" s="2994">
        <v>2.5259</v>
      </c>
      <c r="BB233" s="2994">
        <v>3.6713</v>
      </c>
      <c r="BC233" s="2994">
        <v>2.1644000000000001</v>
      </c>
      <c r="BD233" s="3471">
        <v>2.9257</v>
      </c>
      <c r="BE233" s="3471">
        <v>2.5230999999999999</v>
      </c>
      <c r="BF233" s="3471">
        <v>0</v>
      </c>
    </row>
    <row r="234" spans="1:58">
      <c r="A234" s="1817" t="str">
        <f t="shared" si="7"/>
        <v>Northern AmericaHemp tow waste</v>
      </c>
      <c r="B234" s="1818" t="s">
        <v>1318</v>
      </c>
      <c r="C234" s="1818" t="s">
        <v>7333</v>
      </c>
      <c r="D234" s="3463" t="str">
        <f>VLOOKUP(B234,List_Yield!$G$4:$J$14,4,FALSE)</f>
        <v>North America</v>
      </c>
      <c r="E234" s="3463" t="str">
        <f t="shared" si="6"/>
        <v>North AmericaHemp tow waste</v>
      </c>
      <c r="F234" s="2994">
        <v>0</v>
      </c>
      <c r="G234" s="2994">
        <v>0</v>
      </c>
      <c r="H234" s="2994">
        <v>0</v>
      </c>
      <c r="I234" s="2994">
        <v>0</v>
      </c>
      <c r="J234" s="2994">
        <v>0</v>
      </c>
      <c r="K234" s="2994">
        <v>0</v>
      </c>
      <c r="L234" s="2994">
        <v>0</v>
      </c>
      <c r="M234" s="2994">
        <v>0</v>
      </c>
      <c r="N234" s="2994">
        <v>0</v>
      </c>
      <c r="O234" s="2994">
        <v>0</v>
      </c>
      <c r="P234" s="2994">
        <v>0</v>
      </c>
      <c r="Q234" s="2994">
        <v>0</v>
      </c>
      <c r="R234" s="2994">
        <v>0</v>
      </c>
      <c r="S234" s="2994">
        <v>0</v>
      </c>
      <c r="T234" s="2994">
        <v>0</v>
      </c>
      <c r="U234" s="2994">
        <v>0</v>
      </c>
      <c r="V234" s="2994">
        <v>0</v>
      </c>
      <c r="W234" s="2994">
        <v>0</v>
      </c>
      <c r="X234" s="2994">
        <v>0</v>
      </c>
      <c r="Y234" s="2994">
        <v>0</v>
      </c>
      <c r="Z234" s="2994">
        <v>0</v>
      </c>
      <c r="AA234" s="2994">
        <v>0</v>
      </c>
      <c r="AB234" s="2994">
        <v>0</v>
      </c>
      <c r="AC234" s="2994">
        <v>0</v>
      </c>
      <c r="AD234" s="2994">
        <v>0</v>
      </c>
      <c r="AE234" s="2994">
        <v>0</v>
      </c>
      <c r="AF234" s="2994">
        <v>0</v>
      </c>
      <c r="AG234" s="2994">
        <v>0</v>
      </c>
      <c r="AH234" s="2994">
        <v>0</v>
      </c>
      <c r="AI234" s="2994">
        <v>0</v>
      </c>
      <c r="AJ234" s="2994">
        <v>0</v>
      </c>
      <c r="AK234" s="2994">
        <v>0</v>
      </c>
      <c r="AL234" s="2994">
        <v>0</v>
      </c>
      <c r="AM234" s="2994">
        <v>0</v>
      </c>
      <c r="AN234" s="2994">
        <v>0</v>
      </c>
      <c r="AO234" s="2994">
        <v>0</v>
      </c>
      <c r="AP234" s="2994">
        <v>0</v>
      </c>
      <c r="AQ234" s="2994">
        <v>0</v>
      </c>
      <c r="AR234" s="2994">
        <v>0</v>
      </c>
      <c r="AS234" s="2994">
        <v>0</v>
      </c>
      <c r="AT234" s="2994">
        <v>0</v>
      </c>
      <c r="AU234" s="2994">
        <v>0</v>
      </c>
      <c r="AV234" s="2994">
        <v>0</v>
      </c>
      <c r="AW234" s="2994">
        <v>0</v>
      </c>
      <c r="AX234" s="2994">
        <v>0</v>
      </c>
      <c r="AY234" s="2994">
        <v>0</v>
      </c>
      <c r="AZ234" s="2994">
        <v>0</v>
      </c>
      <c r="BA234" s="2994">
        <v>0</v>
      </c>
      <c r="BB234" s="2994">
        <v>0</v>
      </c>
      <c r="BC234" s="2994">
        <v>0</v>
      </c>
      <c r="BD234" s="3471">
        <v>0</v>
      </c>
      <c r="BE234" s="3471">
        <v>0</v>
      </c>
      <c r="BF234" s="3471">
        <v>0</v>
      </c>
    </row>
    <row r="235" spans="1:58">
      <c r="A235" s="1817" t="str">
        <f t="shared" si="7"/>
        <v>Northern AmericaHempseed</v>
      </c>
      <c r="B235" s="1818" t="s">
        <v>1318</v>
      </c>
      <c r="C235" s="1818" t="s">
        <v>7334</v>
      </c>
      <c r="D235" s="3463" t="str">
        <f>VLOOKUP(B235,List_Yield!$G$4:$J$14,4,FALSE)</f>
        <v>North America</v>
      </c>
      <c r="E235" s="3463" t="str">
        <f t="shared" si="6"/>
        <v>North AmericaHempseed</v>
      </c>
      <c r="F235" s="2994">
        <v>0</v>
      </c>
      <c r="G235" s="2994">
        <v>0</v>
      </c>
      <c r="H235" s="2994">
        <v>0</v>
      </c>
      <c r="I235" s="2994">
        <v>0</v>
      </c>
      <c r="J235" s="2994">
        <v>0</v>
      </c>
      <c r="K235" s="2994">
        <v>0</v>
      </c>
      <c r="L235" s="2994">
        <v>0</v>
      </c>
      <c r="M235" s="2994">
        <v>0</v>
      </c>
      <c r="N235" s="2994">
        <v>0</v>
      </c>
      <c r="O235" s="2994">
        <v>0</v>
      </c>
      <c r="P235" s="2994">
        <v>0</v>
      </c>
      <c r="Q235" s="2994">
        <v>0</v>
      </c>
      <c r="R235" s="2994">
        <v>0</v>
      </c>
      <c r="S235" s="2994">
        <v>0</v>
      </c>
      <c r="T235" s="2994">
        <v>0</v>
      </c>
      <c r="U235" s="2994">
        <v>0</v>
      </c>
      <c r="V235" s="2994">
        <v>0</v>
      </c>
      <c r="W235" s="2994">
        <v>0</v>
      </c>
      <c r="X235" s="2994">
        <v>0</v>
      </c>
      <c r="Y235" s="2994">
        <v>0</v>
      </c>
      <c r="Z235" s="2994">
        <v>0</v>
      </c>
      <c r="AA235" s="2994">
        <v>0</v>
      </c>
      <c r="AB235" s="2994">
        <v>0</v>
      </c>
      <c r="AC235" s="2994">
        <v>0</v>
      </c>
      <c r="AD235" s="2994">
        <v>0</v>
      </c>
      <c r="AE235" s="2994">
        <v>0</v>
      </c>
      <c r="AF235" s="2994">
        <v>0</v>
      </c>
      <c r="AG235" s="2994">
        <v>0</v>
      </c>
      <c r="AH235" s="2994">
        <v>0</v>
      </c>
      <c r="AI235" s="2994">
        <v>0</v>
      </c>
      <c r="AJ235" s="2994">
        <v>0</v>
      </c>
      <c r="AK235" s="2994">
        <v>0</v>
      </c>
      <c r="AL235" s="2994">
        <v>0</v>
      </c>
      <c r="AM235" s="2994">
        <v>0</v>
      </c>
      <c r="AN235" s="2994">
        <v>0</v>
      </c>
      <c r="AO235" s="2994">
        <v>0</v>
      </c>
      <c r="AP235" s="2994">
        <v>0</v>
      </c>
      <c r="AQ235" s="2994">
        <v>0</v>
      </c>
      <c r="AR235" s="2994">
        <v>0</v>
      </c>
      <c r="AS235" s="2994">
        <v>0</v>
      </c>
      <c r="AT235" s="2994">
        <v>0</v>
      </c>
      <c r="AU235" s="2994">
        <v>0</v>
      </c>
      <c r="AV235" s="2994">
        <v>0</v>
      </c>
      <c r="AW235" s="2994">
        <v>0</v>
      </c>
      <c r="AX235" s="2994">
        <v>0</v>
      </c>
      <c r="AY235" s="2994">
        <v>0</v>
      </c>
      <c r="AZ235" s="2994">
        <v>0</v>
      </c>
      <c r="BA235" s="2994">
        <v>0</v>
      </c>
      <c r="BB235" s="2994">
        <v>0</v>
      </c>
      <c r="BC235" s="2994">
        <v>0</v>
      </c>
      <c r="BD235" s="3471">
        <v>0</v>
      </c>
      <c r="BE235" s="3471">
        <v>0</v>
      </c>
      <c r="BF235" s="3471">
        <v>0</v>
      </c>
    </row>
    <row r="236" spans="1:58">
      <c r="A236" s="1817" t="str">
        <f t="shared" si="7"/>
        <v>Northern AmericaHops</v>
      </c>
      <c r="B236" s="1818" t="s">
        <v>1318</v>
      </c>
      <c r="C236" s="1818" t="s">
        <v>7335</v>
      </c>
      <c r="D236" s="3463" t="str">
        <f>VLOOKUP(B236,List_Yield!$G$4:$J$14,4,FALSE)</f>
        <v>North America</v>
      </c>
      <c r="E236" s="3463" t="str">
        <f t="shared" si="6"/>
        <v>North AmericaHops</v>
      </c>
      <c r="F236" s="2994">
        <v>1.7242</v>
      </c>
      <c r="G236" s="2994">
        <v>1.6942999999999999</v>
      </c>
      <c r="H236" s="2994">
        <v>1.7594000000000001</v>
      </c>
      <c r="I236" s="2994">
        <v>1.8288</v>
      </c>
      <c r="J236" s="2994">
        <v>1.9129</v>
      </c>
      <c r="K236" s="2994">
        <v>1.9346000000000001</v>
      </c>
      <c r="L236" s="2994">
        <v>1.8605</v>
      </c>
      <c r="M236" s="2994">
        <v>1.7270000000000001</v>
      </c>
      <c r="N236" s="2994">
        <v>1.7377</v>
      </c>
      <c r="O236" s="2994">
        <v>1.8619000000000001</v>
      </c>
      <c r="P236" s="2994">
        <v>1.9218999999999999</v>
      </c>
      <c r="Q236" s="2994">
        <v>1.9238</v>
      </c>
      <c r="R236" s="2994">
        <v>1.9486000000000001</v>
      </c>
      <c r="S236" s="2994">
        <v>1.948</v>
      </c>
      <c r="T236" s="2994">
        <v>1.9447000000000001</v>
      </c>
      <c r="U236" s="2994">
        <v>2.0836000000000001</v>
      </c>
      <c r="V236" s="2994">
        <v>2.0030999999999999</v>
      </c>
      <c r="W236" s="2994">
        <v>1.9899</v>
      </c>
      <c r="X236" s="2994">
        <v>1.9306000000000001</v>
      </c>
      <c r="Y236" s="2994">
        <v>2.2696000000000001</v>
      </c>
      <c r="Z236" s="2994">
        <v>2.0585</v>
      </c>
      <c r="AA236" s="2994">
        <v>2.2227000000000001</v>
      </c>
      <c r="AB236" s="2994">
        <v>2.069</v>
      </c>
      <c r="AC236" s="2994">
        <v>2.0449000000000002</v>
      </c>
      <c r="AD236" s="2994">
        <v>1.9833000000000001</v>
      </c>
      <c r="AE236" s="2994">
        <v>2.1947000000000001</v>
      </c>
      <c r="AF236" s="2994">
        <v>1.9739</v>
      </c>
      <c r="AG236" s="2994">
        <v>1.8378000000000001</v>
      </c>
      <c r="AH236" s="2994">
        <v>1.9220999999999999</v>
      </c>
      <c r="AI236" s="2994">
        <v>1.7971999999999999</v>
      </c>
      <c r="AJ236" s="2994">
        <v>1.9605999999999999</v>
      </c>
      <c r="AK236" s="2994">
        <v>1.9719</v>
      </c>
      <c r="AL236" s="2994">
        <v>1.9804999999999999</v>
      </c>
      <c r="AM236" s="2994">
        <v>1.9709000000000001</v>
      </c>
      <c r="AN236" s="2994">
        <v>2.0463</v>
      </c>
      <c r="AO236" s="2994">
        <v>1.9032</v>
      </c>
      <c r="AP236" s="2994">
        <v>1.9383999999999999</v>
      </c>
      <c r="AQ236" s="2994">
        <v>1.8212999999999999</v>
      </c>
      <c r="AR236" s="2994">
        <v>2.1097000000000001</v>
      </c>
      <c r="AS236" s="2994">
        <v>2.097</v>
      </c>
      <c r="AT236" s="2994">
        <v>2.0859000000000001</v>
      </c>
      <c r="AU236" s="2994">
        <v>2.2309000000000001</v>
      </c>
      <c r="AV236" s="2994">
        <v>2.1333000000000002</v>
      </c>
      <c r="AW236" s="2994">
        <v>2.2303000000000002</v>
      </c>
      <c r="AX236" s="2994">
        <v>2.0131000000000001</v>
      </c>
      <c r="AY236" s="2994">
        <v>2.2012</v>
      </c>
      <c r="AZ236" s="2994">
        <v>2.1848000000000001</v>
      </c>
      <c r="BA236" s="2994">
        <v>2.2097000000000002</v>
      </c>
      <c r="BB236" s="2994">
        <v>2.6711999999999998</v>
      </c>
      <c r="BC236" s="2994">
        <v>2.3462000000000001</v>
      </c>
      <c r="BD236" s="3471">
        <v>2.4377</v>
      </c>
      <c r="BE236" s="3471">
        <v>2.1497999999999999</v>
      </c>
      <c r="BF236" s="3471">
        <v>0</v>
      </c>
    </row>
    <row r="237" spans="1:58">
      <c r="A237" s="1817" t="str">
        <f t="shared" si="7"/>
        <v>Northern AmericaJojoba seed</v>
      </c>
      <c r="B237" s="1818" t="s">
        <v>1318</v>
      </c>
      <c r="C237" s="1818" t="s">
        <v>7336</v>
      </c>
      <c r="D237" s="3463" t="str">
        <f>VLOOKUP(B237,List_Yield!$G$4:$J$14,4,FALSE)</f>
        <v>North America</v>
      </c>
      <c r="E237" s="3463" t="str">
        <f t="shared" si="6"/>
        <v>North AmericaJojoba seed</v>
      </c>
      <c r="F237" s="2994">
        <v>0</v>
      </c>
      <c r="G237" s="2994">
        <v>0</v>
      </c>
      <c r="H237" s="2994">
        <v>0</v>
      </c>
      <c r="I237" s="2994">
        <v>0</v>
      </c>
      <c r="J237" s="2994">
        <v>0</v>
      </c>
      <c r="K237" s="2994">
        <v>0</v>
      </c>
      <c r="L237" s="2994">
        <v>0</v>
      </c>
      <c r="M237" s="2994">
        <v>0</v>
      </c>
      <c r="N237" s="2994">
        <v>0</v>
      </c>
      <c r="O237" s="2994">
        <v>0</v>
      </c>
      <c r="P237" s="2994">
        <v>0</v>
      </c>
      <c r="Q237" s="2994">
        <v>0</v>
      </c>
      <c r="R237" s="2994">
        <v>0</v>
      </c>
      <c r="S237" s="2994">
        <v>0</v>
      </c>
      <c r="T237" s="2994">
        <v>0</v>
      </c>
      <c r="U237" s="2994">
        <v>0</v>
      </c>
      <c r="V237" s="2994">
        <v>0</v>
      </c>
      <c r="W237" s="2994">
        <v>0</v>
      </c>
      <c r="X237" s="2994">
        <v>0</v>
      </c>
      <c r="Y237" s="2994">
        <v>0</v>
      </c>
      <c r="Z237" s="2994">
        <v>0</v>
      </c>
      <c r="AA237" s="2994">
        <v>0</v>
      </c>
      <c r="AB237" s="2994">
        <v>0</v>
      </c>
      <c r="AC237" s="2994">
        <v>0</v>
      </c>
      <c r="AD237" s="2994">
        <v>0</v>
      </c>
      <c r="AE237" s="2994">
        <v>0</v>
      </c>
      <c r="AF237" s="2994">
        <v>0</v>
      </c>
      <c r="AG237" s="2994">
        <v>0</v>
      </c>
      <c r="AH237" s="2994">
        <v>0</v>
      </c>
      <c r="AI237" s="2994">
        <v>0</v>
      </c>
      <c r="AJ237" s="2994">
        <v>0</v>
      </c>
      <c r="AK237" s="2994">
        <v>0</v>
      </c>
      <c r="AL237" s="2994">
        <v>0</v>
      </c>
      <c r="AM237" s="2994">
        <v>0</v>
      </c>
      <c r="AN237" s="2994">
        <v>0</v>
      </c>
      <c r="AO237" s="2994">
        <v>0</v>
      </c>
      <c r="AP237" s="2994">
        <v>0</v>
      </c>
      <c r="AQ237" s="2994">
        <v>0</v>
      </c>
      <c r="AR237" s="2994">
        <v>0</v>
      </c>
      <c r="AS237" s="2994">
        <v>0</v>
      </c>
      <c r="AT237" s="2994">
        <v>0</v>
      </c>
      <c r="AU237" s="2994">
        <v>0</v>
      </c>
      <c r="AV237" s="2994">
        <v>0</v>
      </c>
      <c r="AW237" s="2994">
        <v>0</v>
      </c>
      <c r="AX237" s="2994">
        <v>0</v>
      </c>
      <c r="AY237" s="2994">
        <v>0</v>
      </c>
      <c r="AZ237" s="2994">
        <v>0</v>
      </c>
      <c r="BA237" s="2994">
        <v>0</v>
      </c>
      <c r="BB237" s="2994">
        <v>0</v>
      </c>
      <c r="BC237" s="2994">
        <v>0</v>
      </c>
      <c r="BD237" s="3471">
        <v>0</v>
      </c>
      <c r="BE237" s="3471">
        <v>0</v>
      </c>
      <c r="BF237" s="3471">
        <v>0</v>
      </c>
    </row>
    <row r="238" spans="1:58">
      <c r="A238" s="1817" t="str">
        <f t="shared" si="7"/>
        <v>Northern AmericaJute</v>
      </c>
      <c r="B238" s="1818" t="s">
        <v>1318</v>
      </c>
      <c r="C238" s="1818" t="s">
        <v>7337</v>
      </c>
      <c r="D238" s="3463" t="str">
        <f>VLOOKUP(B238,List_Yield!$G$4:$J$14,4,FALSE)</f>
        <v>North America</v>
      </c>
      <c r="E238" s="3463" t="str">
        <f t="shared" si="6"/>
        <v>North AmericaJute</v>
      </c>
      <c r="F238" s="2994">
        <v>0</v>
      </c>
      <c r="G238" s="2994">
        <v>0</v>
      </c>
      <c r="H238" s="2994">
        <v>0</v>
      </c>
      <c r="I238" s="2994">
        <v>0</v>
      </c>
      <c r="J238" s="2994">
        <v>0</v>
      </c>
      <c r="K238" s="2994">
        <v>0</v>
      </c>
      <c r="L238" s="2994">
        <v>0</v>
      </c>
      <c r="M238" s="2994">
        <v>0</v>
      </c>
      <c r="N238" s="2994">
        <v>0</v>
      </c>
      <c r="O238" s="2994">
        <v>0</v>
      </c>
      <c r="P238" s="2994">
        <v>0</v>
      </c>
      <c r="Q238" s="2994">
        <v>0</v>
      </c>
      <c r="R238" s="2994">
        <v>0</v>
      </c>
      <c r="S238" s="2994">
        <v>0</v>
      </c>
      <c r="T238" s="2994">
        <v>0</v>
      </c>
      <c r="U238" s="2994">
        <v>0</v>
      </c>
      <c r="V238" s="2994">
        <v>0</v>
      </c>
      <c r="W238" s="2994">
        <v>0</v>
      </c>
      <c r="X238" s="2994">
        <v>0</v>
      </c>
      <c r="Y238" s="2994">
        <v>0</v>
      </c>
      <c r="Z238" s="2994">
        <v>0</v>
      </c>
      <c r="AA238" s="2994">
        <v>0</v>
      </c>
      <c r="AB238" s="2994">
        <v>0</v>
      </c>
      <c r="AC238" s="2994">
        <v>0</v>
      </c>
      <c r="AD238" s="2994">
        <v>0</v>
      </c>
      <c r="AE238" s="2994">
        <v>0</v>
      </c>
      <c r="AF238" s="2994">
        <v>0</v>
      </c>
      <c r="AG238" s="2994">
        <v>0</v>
      </c>
      <c r="AH238" s="2994">
        <v>0</v>
      </c>
      <c r="AI238" s="2994">
        <v>0</v>
      </c>
      <c r="AJ238" s="2994">
        <v>0</v>
      </c>
      <c r="AK238" s="2994">
        <v>0</v>
      </c>
      <c r="AL238" s="2994">
        <v>0</v>
      </c>
      <c r="AM238" s="2994">
        <v>0</v>
      </c>
      <c r="AN238" s="2994">
        <v>0</v>
      </c>
      <c r="AO238" s="2994">
        <v>0</v>
      </c>
      <c r="AP238" s="2994">
        <v>0</v>
      </c>
      <c r="AQ238" s="2994">
        <v>0</v>
      </c>
      <c r="AR238" s="2994">
        <v>0</v>
      </c>
      <c r="AS238" s="2994">
        <v>0</v>
      </c>
      <c r="AT238" s="2994">
        <v>0</v>
      </c>
      <c r="AU238" s="2994">
        <v>0</v>
      </c>
      <c r="AV238" s="2994">
        <v>0</v>
      </c>
      <c r="AW238" s="2994">
        <v>0</v>
      </c>
      <c r="AX238" s="2994">
        <v>0</v>
      </c>
      <c r="AY238" s="2994">
        <v>0</v>
      </c>
      <c r="AZ238" s="2994">
        <v>0</v>
      </c>
      <c r="BA238" s="2994">
        <v>0</v>
      </c>
      <c r="BB238" s="2994">
        <v>0</v>
      </c>
      <c r="BC238" s="2994">
        <v>0</v>
      </c>
      <c r="BD238" s="3471">
        <v>0</v>
      </c>
      <c r="BE238" s="3471">
        <v>0</v>
      </c>
      <c r="BF238" s="3471">
        <v>0</v>
      </c>
    </row>
    <row r="239" spans="1:58">
      <c r="A239" s="1817" t="str">
        <f t="shared" si="7"/>
        <v>Northern AmericaKapok fruit</v>
      </c>
      <c r="B239" s="1818" t="s">
        <v>1318</v>
      </c>
      <c r="C239" s="1818" t="s">
        <v>7338</v>
      </c>
      <c r="D239" s="3463" t="str">
        <f>VLOOKUP(B239,List_Yield!$G$4:$J$14,4,FALSE)</f>
        <v>North America</v>
      </c>
      <c r="E239" s="3463" t="str">
        <f t="shared" si="6"/>
        <v>North AmericaKapok fruit</v>
      </c>
      <c r="F239" s="2994">
        <v>0</v>
      </c>
      <c r="G239" s="2994">
        <v>0</v>
      </c>
      <c r="H239" s="2994">
        <v>0</v>
      </c>
      <c r="I239" s="2994">
        <v>0</v>
      </c>
      <c r="J239" s="2994">
        <v>0</v>
      </c>
      <c r="K239" s="2994">
        <v>0</v>
      </c>
      <c r="L239" s="2994">
        <v>0</v>
      </c>
      <c r="M239" s="2994">
        <v>0</v>
      </c>
      <c r="N239" s="2994">
        <v>0</v>
      </c>
      <c r="O239" s="2994">
        <v>0</v>
      </c>
      <c r="P239" s="2994">
        <v>0</v>
      </c>
      <c r="Q239" s="2994">
        <v>0</v>
      </c>
      <c r="R239" s="2994">
        <v>0</v>
      </c>
      <c r="S239" s="2994">
        <v>0</v>
      </c>
      <c r="T239" s="2994">
        <v>0</v>
      </c>
      <c r="U239" s="2994">
        <v>0</v>
      </c>
      <c r="V239" s="2994">
        <v>0</v>
      </c>
      <c r="W239" s="2994">
        <v>0</v>
      </c>
      <c r="X239" s="2994">
        <v>0</v>
      </c>
      <c r="Y239" s="2994">
        <v>0</v>
      </c>
      <c r="Z239" s="2994">
        <v>0</v>
      </c>
      <c r="AA239" s="2994">
        <v>0</v>
      </c>
      <c r="AB239" s="2994">
        <v>0</v>
      </c>
      <c r="AC239" s="2994">
        <v>0</v>
      </c>
      <c r="AD239" s="2994">
        <v>0</v>
      </c>
      <c r="AE239" s="2994">
        <v>0</v>
      </c>
      <c r="AF239" s="2994">
        <v>0</v>
      </c>
      <c r="AG239" s="2994">
        <v>0</v>
      </c>
      <c r="AH239" s="2994">
        <v>0</v>
      </c>
      <c r="AI239" s="2994">
        <v>0</v>
      </c>
      <c r="AJ239" s="2994">
        <v>0</v>
      </c>
      <c r="AK239" s="2994">
        <v>0</v>
      </c>
      <c r="AL239" s="2994">
        <v>0</v>
      </c>
      <c r="AM239" s="2994">
        <v>0</v>
      </c>
      <c r="AN239" s="2994">
        <v>0</v>
      </c>
      <c r="AO239" s="2994">
        <v>0</v>
      </c>
      <c r="AP239" s="2994">
        <v>0</v>
      </c>
      <c r="AQ239" s="2994">
        <v>0</v>
      </c>
      <c r="AR239" s="2994">
        <v>0</v>
      </c>
      <c r="AS239" s="2994">
        <v>0</v>
      </c>
      <c r="AT239" s="2994">
        <v>0</v>
      </c>
      <c r="AU239" s="2994">
        <v>0</v>
      </c>
      <c r="AV239" s="2994">
        <v>0</v>
      </c>
      <c r="AW239" s="2994">
        <v>0</v>
      </c>
      <c r="AX239" s="2994">
        <v>0</v>
      </c>
      <c r="AY239" s="2994">
        <v>0</v>
      </c>
      <c r="AZ239" s="2994">
        <v>0</v>
      </c>
      <c r="BA239" s="2994">
        <v>0</v>
      </c>
      <c r="BB239" s="2994">
        <v>0</v>
      </c>
      <c r="BC239" s="2994">
        <v>0</v>
      </c>
      <c r="BD239" s="3471">
        <v>0</v>
      </c>
      <c r="BE239" s="3471">
        <v>0</v>
      </c>
      <c r="BF239" s="3471">
        <v>0</v>
      </c>
    </row>
    <row r="240" spans="1:58">
      <c r="A240" s="1817" t="str">
        <f t="shared" si="7"/>
        <v>Northern AmericaKarite nuts (sheanuts)</v>
      </c>
      <c r="B240" s="1818" t="s">
        <v>1318</v>
      </c>
      <c r="C240" s="1818" t="s">
        <v>7339</v>
      </c>
      <c r="D240" s="3463" t="str">
        <f>VLOOKUP(B240,List_Yield!$G$4:$J$14,4,FALSE)</f>
        <v>North America</v>
      </c>
      <c r="E240" s="3463" t="str">
        <f t="shared" si="6"/>
        <v>North AmericaKarite nuts (sheanuts)</v>
      </c>
      <c r="F240" s="2994">
        <v>0</v>
      </c>
      <c r="G240" s="2994">
        <v>0</v>
      </c>
      <c r="H240" s="2994">
        <v>0</v>
      </c>
      <c r="I240" s="2994">
        <v>0</v>
      </c>
      <c r="J240" s="2994">
        <v>0</v>
      </c>
      <c r="K240" s="2994">
        <v>0</v>
      </c>
      <c r="L240" s="2994">
        <v>0</v>
      </c>
      <c r="M240" s="2994">
        <v>0</v>
      </c>
      <c r="N240" s="2994">
        <v>0</v>
      </c>
      <c r="O240" s="2994">
        <v>0</v>
      </c>
      <c r="P240" s="2994">
        <v>0</v>
      </c>
      <c r="Q240" s="2994">
        <v>0</v>
      </c>
      <c r="R240" s="2994">
        <v>0</v>
      </c>
      <c r="S240" s="2994">
        <v>0</v>
      </c>
      <c r="T240" s="2994">
        <v>0</v>
      </c>
      <c r="U240" s="2994">
        <v>0</v>
      </c>
      <c r="V240" s="2994">
        <v>0</v>
      </c>
      <c r="W240" s="2994">
        <v>0</v>
      </c>
      <c r="X240" s="2994">
        <v>0</v>
      </c>
      <c r="Y240" s="2994">
        <v>0</v>
      </c>
      <c r="Z240" s="2994">
        <v>0</v>
      </c>
      <c r="AA240" s="2994">
        <v>0</v>
      </c>
      <c r="AB240" s="2994">
        <v>0</v>
      </c>
      <c r="AC240" s="2994">
        <v>0</v>
      </c>
      <c r="AD240" s="2994">
        <v>0</v>
      </c>
      <c r="AE240" s="2994">
        <v>0</v>
      </c>
      <c r="AF240" s="2994">
        <v>0</v>
      </c>
      <c r="AG240" s="2994">
        <v>0</v>
      </c>
      <c r="AH240" s="2994">
        <v>0</v>
      </c>
      <c r="AI240" s="2994">
        <v>0</v>
      </c>
      <c r="AJ240" s="2994">
        <v>0</v>
      </c>
      <c r="AK240" s="2994">
        <v>0</v>
      </c>
      <c r="AL240" s="2994">
        <v>0</v>
      </c>
      <c r="AM240" s="2994">
        <v>0</v>
      </c>
      <c r="AN240" s="2994">
        <v>0</v>
      </c>
      <c r="AO240" s="2994">
        <v>0</v>
      </c>
      <c r="AP240" s="2994">
        <v>0</v>
      </c>
      <c r="AQ240" s="2994">
        <v>0</v>
      </c>
      <c r="AR240" s="2994">
        <v>0</v>
      </c>
      <c r="AS240" s="2994">
        <v>0</v>
      </c>
      <c r="AT240" s="2994">
        <v>0</v>
      </c>
      <c r="AU240" s="2994">
        <v>0</v>
      </c>
      <c r="AV240" s="2994">
        <v>0</v>
      </c>
      <c r="AW240" s="2994">
        <v>0</v>
      </c>
      <c r="AX240" s="2994">
        <v>0</v>
      </c>
      <c r="AY240" s="2994">
        <v>0</v>
      </c>
      <c r="AZ240" s="2994">
        <v>0</v>
      </c>
      <c r="BA240" s="2994">
        <v>0</v>
      </c>
      <c r="BB240" s="2994">
        <v>0</v>
      </c>
      <c r="BC240" s="2994">
        <v>0</v>
      </c>
      <c r="BD240" s="3471">
        <v>0</v>
      </c>
      <c r="BE240" s="3471">
        <v>0</v>
      </c>
      <c r="BF240" s="3471">
        <v>0</v>
      </c>
    </row>
    <row r="241" spans="1:58">
      <c r="A241" s="1817" t="str">
        <f t="shared" si="7"/>
        <v>Northern AmericaKiwi fruit</v>
      </c>
      <c r="B241" s="1818" t="s">
        <v>1318</v>
      </c>
      <c r="C241" s="1818" t="s">
        <v>7340</v>
      </c>
      <c r="D241" s="3463" t="str">
        <f>VLOOKUP(B241,List_Yield!$G$4:$J$14,4,FALSE)</f>
        <v>North America</v>
      </c>
      <c r="E241" s="3463" t="str">
        <f t="shared" si="6"/>
        <v>North AmericaKiwi fruit</v>
      </c>
      <c r="F241" s="2994">
        <v>0</v>
      </c>
      <c r="G241" s="2994">
        <v>0</v>
      </c>
      <c r="H241" s="2994">
        <v>0</v>
      </c>
      <c r="I241" s="2994">
        <v>0</v>
      </c>
      <c r="J241" s="2994">
        <v>0</v>
      </c>
      <c r="K241" s="2994">
        <v>0</v>
      </c>
      <c r="L241" s="2994">
        <v>0</v>
      </c>
      <c r="M241" s="2994">
        <v>0</v>
      </c>
      <c r="N241" s="2994">
        <v>0</v>
      </c>
      <c r="O241" s="2994">
        <v>0</v>
      </c>
      <c r="P241" s="2994">
        <v>0</v>
      </c>
      <c r="Q241" s="2994">
        <v>0</v>
      </c>
      <c r="R241" s="2994">
        <v>0</v>
      </c>
      <c r="S241" s="2994">
        <v>0</v>
      </c>
      <c r="T241" s="2994">
        <v>0</v>
      </c>
      <c r="U241" s="2994">
        <v>0</v>
      </c>
      <c r="V241" s="2994">
        <v>0</v>
      </c>
      <c r="W241" s="2994">
        <v>0</v>
      </c>
      <c r="X241" s="2994">
        <v>0</v>
      </c>
      <c r="Y241" s="2994">
        <v>7.3845999999999998</v>
      </c>
      <c r="Z241" s="2994">
        <v>5.2167000000000003</v>
      </c>
      <c r="AA241" s="2994">
        <v>10.1884</v>
      </c>
      <c r="AB241" s="2994">
        <v>9.76</v>
      </c>
      <c r="AC241" s="2994">
        <v>10.603899999999999</v>
      </c>
      <c r="AD241" s="2994">
        <v>10.2887</v>
      </c>
      <c r="AE241" s="2994">
        <v>9.6915999999999993</v>
      </c>
      <c r="AF241" s="2994">
        <v>9.5672999999999995</v>
      </c>
      <c r="AG241" s="2994">
        <v>10.340999999999999</v>
      </c>
      <c r="AH241" s="2994">
        <v>12.4915</v>
      </c>
      <c r="AI241" s="2994">
        <v>12.0708</v>
      </c>
      <c r="AJ241" s="2994">
        <v>9.1231000000000009</v>
      </c>
      <c r="AK241" s="2994">
        <v>16.115600000000001</v>
      </c>
      <c r="AL241" s="2994">
        <v>16.000699999999998</v>
      </c>
      <c r="AM241" s="2994">
        <v>13.645</v>
      </c>
      <c r="AN241" s="2994">
        <v>13.950900000000001</v>
      </c>
      <c r="AO241" s="2994">
        <v>12.427</v>
      </c>
      <c r="AP241" s="2994">
        <v>14.8308</v>
      </c>
      <c r="AQ241" s="2994">
        <v>15.5306</v>
      </c>
      <c r="AR241" s="2994">
        <v>11.4742</v>
      </c>
      <c r="AS241" s="2994">
        <v>14.4329</v>
      </c>
      <c r="AT241" s="2994">
        <v>11.8271</v>
      </c>
      <c r="AU241" s="2994">
        <v>13.0169</v>
      </c>
      <c r="AV241" s="2994">
        <v>11.958399999999999</v>
      </c>
      <c r="AW241" s="2994">
        <v>13.2944</v>
      </c>
      <c r="AX241" s="2994">
        <v>18.492599999999999</v>
      </c>
      <c r="AY241" s="2994">
        <v>13.1126</v>
      </c>
      <c r="AZ241" s="2994">
        <v>13.074999999999999</v>
      </c>
      <c r="BA241" s="2994">
        <v>12.274100000000001</v>
      </c>
      <c r="BB241" s="2994">
        <v>13.659000000000001</v>
      </c>
      <c r="BC241" s="2994">
        <v>17.444199999999999</v>
      </c>
      <c r="BD241" s="3471">
        <v>20.110299999999999</v>
      </c>
      <c r="BE241" s="3471">
        <v>15.799899999999999</v>
      </c>
      <c r="BF241" s="3471">
        <v>0</v>
      </c>
    </row>
    <row r="242" spans="1:58">
      <c r="A242" s="1817" t="str">
        <f t="shared" si="7"/>
        <v>Northern AmericaKola nuts</v>
      </c>
      <c r="B242" s="1818" t="s">
        <v>1318</v>
      </c>
      <c r="C242" s="1818" t="s">
        <v>7341</v>
      </c>
      <c r="D242" s="3463" t="str">
        <f>VLOOKUP(B242,List_Yield!$G$4:$J$14,4,FALSE)</f>
        <v>North America</v>
      </c>
      <c r="E242" s="3463" t="str">
        <f t="shared" si="6"/>
        <v>North AmericaKola nuts</v>
      </c>
      <c r="F242" s="2994">
        <v>0</v>
      </c>
      <c r="G242" s="2994">
        <v>0</v>
      </c>
      <c r="H242" s="2994">
        <v>0</v>
      </c>
      <c r="I242" s="2994">
        <v>0</v>
      </c>
      <c r="J242" s="2994">
        <v>0</v>
      </c>
      <c r="K242" s="2994">
        <v>0</v>
      </c>
      <c r="L242" s="2994">
        <v>0</v>
      </c>
      <c r="M242" s="2994">
        <v>0</v>
      </c>
      <c r="N242" s="2994">
        <v>0</v>
      </c>
      <c r="O242" s="2994">
        <v>0</v>
      </c>
      <c r="P242" s="2994">
        <v>0</v>
      </c>
      <c r="Q242" s="2994">
        <v>0</v>
      </c>
      <c r="R242" s="2994">
        <v>0</v>
      </c>
      <c r="S242" s="2994">
        <v>0</v>
      </c>
      <c r="T242" s="2994">
        <v>0</v>
      </c>
      <c r="U242" s="2994">
        <v>0</v>
      </c>
      <c r="V242" s="2994">
        <v>0</v>
      </c>
      <c r="W242" s="2994">
        <v>0</v>
      </c>
      <c r="X242" s="2994">
        <v>0</v>
      </c>
      <c r="Y242" s="2994">
        <v>0</v>
      </c>
      <c r="Z242" s="2994">
        <v>0</v>
      </c>
      <c r="AA242" s="2994">
        <v>0</v>
      </c>
      <c r="AB242" s="2994">
        <v>0</v>
      </c>
      <c r="AC242" s="2994">
        <v>0</v>
      </c>
      <c r="AD242" s="2994">
        <v>0</v>
      </c>
      <c r="AE242" s="2994">
        <v>0</v>
      </c>
      <c r="AF242" s="2994">
        <v>0</v>
      </c>
      <c r="AG242" s="2994">
        <v>0</v>
      </c>
      <c r="AH242" s="2994">
        <v>0</v>
      </c>
      <c r="AI242" s="2994">
        <v>0</v>
      </c>
      <c r="AJ242" s="2994">
        <v>0</v>
      </c>
      <c r="AK242" s="2994">
        <v>0</v>
      </c>
      <c r="AL242" s="2994">
        <v>0</v>
      </c>
      <c r="AM242" s="2994">
        <v>0</v>
      </c>
      <c r="AN242" s="2994">
        <v>0</v>
      </c>
      <c r="AO242" s="2994">
        <v>0</v>
      </c>
      <c r="AP242" s="2994">
        <v>0</v>
      </c>
      <c r="AQ242" s="2994">
        <v>0</v>
      </c>
      <c r="AR242" s="2994">
        <v>0</v>
      </c>
      <c r="AS242" s="2994">
        <v>0</v>
      </c>
      <c r="AT242" s="2994">
        <v>0</v>
      </c>
      <c r="AU242" s="2994">
        <v>0</v>
      </c>
      <c r="AV242" s="2994">
        <v>0</v>
      </c>
      <c r="AW242" s="2994">
        <v>0</v>
      </c>
      <c r="AX242" s="2994">
        <v>0</v>
      </c>
      <c r="AY242" s="2994">
        <v>0</v>
      </c>
      <c r="AZ242" s="2994">
        <v>0</v>
      </c>
      <c r="BA242" s="2994">
        <v>0</v>
      </c>
      <c r="BB242" s="2994">
        <v>0</v>
      </c>
      <c r="BC242" s="2994">
        <v>0</v>
      </c>
      <c r="BD242" s="3471">
        <v>0</v>
      </c>
      <c r="BE242" s="3471">
        <v>0</v>
      </c>
      <c r="BF242" s="3471">
        <v>0</v>
      </c>
    </row>
    <row r="243" spans="1:58">
      <c r="A243" s="1817" t="str">
        <f t="shared" si="7"/>
        <v>Northern AmericaLeeks, other alliaceous vegetables</v>
      </c>
      <c r="B243" s="1818" t="s">
        <v>1318</v>
      </c>
      <c r="C243" s="1818" t="s">
        <v>7342</v>
      </c>
      <c r="D243" s="3463" t="str">
        <f>VLOOKUP(B243,List_Yield!$G$4:$J$14,4,FALSE)</f>
        <v>North America</v>
      </c>
      <c r="E243" s="3463" t="str">
        <f t="shared" si="6"/>
        <v>North AmericaLeeks, other alliaceous vegetables</v>
      </c>
      <c r="F243" s="2994">
        <v>0</v>
      </c>
      <c r="G243" s="2994">
        <v>0</v>
      </c>
      <c r="H243" s="2994">
        <v>0</v>
      </c>
      <c r="I243" s="2994">
        <v>0</v>
      </c>
      <c r="J243" s="2994">
        <v>0</v>
      </c>
      <c r="K243" s="2994">
        <v>0</v>
      </c>
      <c r="L243" s="2994">
        <v>0</v>
      </c>
      <c r="M243" s="2994">
        <v>0</v>
      </c>
      <c r="N243" s="2994">
        <v>0</v>
      </c>
      <c r="O243" s="2994">
        <v>0</v>
      </c>
      <c r="P243" s="2994">
        <v>0</v>
      </c>
      <c r="Q243" s="2994">
        <v>0</v>
      </c>
      <c r="R243" s="2994">
        <v>0</v>
      </c>
      <c r="S243" s="2994">
        <v>0</v>
      </c>
      <c r="T243" s="2994">
        <v>0</v>
      </c>
      <c r="U243" s="2994">
        <v>0</v>
      </c>
      <c r="V243" s="2994">
        <v>0</v>
      </c>
      <c r="W243" s="2994">
        <v>0</v>
      </c>
      <c r="X243" s="2994">
        <v>0</v>
      </c>
      <c r="Y243" s="2994">
        <v>0</v>
      </c>
      <c r="Z243" s="2994">
        <v>0</v>
      </c>
      <c r="AA243" s="2994">
        <v>0</v>
      </c>
      <c r="AB243" s="2994">
        <v>0</v>
      </c>
      <c r="AC243" s="2994">
        <v>0</v>
      </c>
      <c r="AD243" s="2994">
        <v>0</v>
      </c>
      <c r="AE243" s="2994">
        <v>0</v>
      </c>
      <c r="AF243" s="2994">
        <v>0</v>
      </c>
      <c r="AG243" s="2994">
        <v>0</v>
      </c>
      <c r="AH243" s="2994">
        <v>0</v>
      </c>
      <c r="AI243" s="2994">
        <v>0</v>
      </c>
      <c r="AJ243" s="2994">
        <v>0</v>
      </c>
      <c r="AK243" s="2994">
        <v>0</v>
      </c>
      <c r="AL243" s="2994">
        <v>0</v>
      </c>
      <c r="AM243" s="2994">
        <v>0</v>
      </c>
      <c r="AN243" s="2994">
        <v>0</v>
      </c>
      <c r="AO243" s="2994">
        <v>0</v>
      </c>
      <c r="AP243" s="2994">
        <v>0</v>
      </c>
      <c r="AQ243" s="2994">
        <v>0</v>
      </c>
      <c r="AR243" s="2994">
        <v>8.8888999999999996</v>
      </c>
      <c r="AS243" s="2994">
        <v>10.4643</v>
      </c>
      <c r="AT243" s="2994">
        <v>11.193</v>
      </c>
      <c r="AU243" s="2994">
        <v>10.535500000000001</v>
      </c>
      <c r="AV243" s="2994">
        <v>11.3032</v>
      </c>
      <c r="AW243" s="2994">
        <v>11.25</v>
      </c>
      <c r="AX243" s="2994">
        <v>12.428000000000001</v>
      </c>
      <c r="AY243" s="2994">
        <v>14.410600000000001</v>
      </c>
      <c r="AZ243" s="2994">
        <v>13.438700000000001</v>
      </c>
      <c r="BA243" s="2994">
        <v>14.304500000000001</v>
      </c>
      <c r="BB243" s="2994">
        <v>18.997199999999999</v>
      </c>
      <c r="BC243" s="2994">
        <v>14.773099999999999</v>
      </c>
      <c r="BD243" s="3471">
        <v>16.069199999999999</v>
      </c>
      <c r="BE243" s="3471">
        <v>14.012700000000001</v>
      </c>
      <c r="BF243" s="3471">
        <v>0</v>
      </c>
    </row>
    <row r="244" spans="1:58">
      <c r="A244" s="1817" t="str">
        <f t="shared" si="7"/>
        <v>Northern AmericaLemons and limes</v>
      </c>
      <c r="B244" s="1818" t="s">
        <v>1318</v>
      </c>
      <c r="C244" s="1818" t="s">
        <v>7343</v>
      </c>
      <c r="D244" s="3463" t="str">
        <f>VLOOKUP(B244,List_Yield!$G$4:$J$14,4,FALSE)</f>
        <v>North America</v>
      </c>
      <c r="E244" s="3463" t="str">
        <f t="shared" si="6"/>
        <v>North AmericaLemons and limes</v>
      </c>
      <c r="F244" s="2994">
        <v>21.156300000000002</v>
      </c>
      <c r="G244" s="2994">
        <v>24.7851</v>
      </c>
      <c r="H244" s="2994">
        <v>20.4772</v>
      </c>
      <c r="I244" s="2994">
        <v>29.5532</v>
      </c>
      <c r="J244" s="2994">
        <v>23.7056</v>
      </c>
      <c r="K244" s="2994">
        <v>26.297799999999999</v>
      </c>
      <c r="L244" s="2994">
        <v>27.094200000000001</v>
      </c>
      <c r="M244" s="2994">
        <v>25.6008</v>
      </c>
      <c r="N244" s="2994">
        <v>23.688400000000001</v>
      </c>
      <c r="O244" s="2994">
        <v>23.054200000000002</v>
      </c>
      <c r="P244" s="2994">
        <v>24.1051</v>
      </c>
      <c r="Q244" s="2994">
        <v>23.416699999999999</v>
      </c>
      <c r="R244" s="2994">
        <v>29.2592</v>
      </c>
      <c r="S244" s="2994">
        <v>21.332899999999999</v>
      </c>
      <c r="T244" s="2994">
        <v>33.634</v>
      </c>
      <c r="U244" s="2994">
        <v>20.232099999999999</v>
      </c>
      <c r="V244" s="2994">
        <v>29.507400000000001</v>
      </c>
      <c r="W244" s="2994">
        <v>28.775400000000001</v>
      </c>
      <c r="X244" s="2994">
        <v>22.185199999999998</v>
      </c>
      <c r="Y244" s="2994">
        <v>23.374300000000002</v>
      </c>
      <c r="Z244" s="2994">
        <v>33.739600000000003</v>
      </c>
      <c r="AA244" s="2994">
        <v>26.091999999999999</v>
      </c>
      <c r="AB244" s="2994">
        <v>28.333300000000001</v>
      </c>
      <c r="AC244" s="2994">
        <v>25.193300000000001</v>
      </c>
      <c r="AD244" s="2994">
        <v>31.7684</v>
      </c>
      <c r="AE244" s="2994">
        <v>23.878299999999999</v>
      </c>
      <c r="AF244" s="2994">
        <v>36.515900000000002</v>
      </c>
      <c r="AG244" s="2994">
        <v>26.394300000000001</v>
      </c>
      <c r="AH244" s="2994">
        <v>25.883299999999998</v>
      </c>
      <c r="AI244" s="2994">
        <v>24.915299999999998</v>
      </c>
      <c r="AJ244" s="2994">
        <v>25.6983</v>
      </c>
      <c r="AK244" s="2994">
        <v>27.359300000000001</v>
      </c>
      <c r="AL244" s="2994">
        <v>32.034500000000001</v>
      </c>
      <c r="AM244" s="2994">
        <v>35.325499999999998</v>
      </c>
      <c r="AN244" s="2994">
        <v>32.330100000000002</v>
      </c>
      <c r="AO244" s="2994">
        <v>35.627600000000001</v>
      </c>
      <c r="AP244" s="2994">
        <v>34.185299999999998</v>
      </c>
      <c r="AQ244" s="2994">
        <v>31.393999999999998</v>
      </c>
      <c r="AR244" s="2994">
        <v>26.043199999999999</v>
      </c>
      <c r="AS244" s="2994">
        <v>29.241800000000001</v>
      </c>
      <c r="AT244" s="2994">
        <v>34.463700000000003</v>
      </c>
      <c r="AU244" s="2994">
        <v>27.8232</v>
      </c>
      <c r="AV244" s="2994">
        <v>37.216000000000001</v>
      </c>
      <c r="AW244" s="2994">
        <v>29.9146</v>
      </c>
      <c r="AX244" s="2994">
        <v>33.338299999999997</v>
      </c>
      <c r="AY244" s="2994">
        <v>36.725700000000003</v>
      </c>
      <c r="AZ244" s="2994">
        <v>29.567599999999999</v>
      </c>
      <c r="BA244" s="2994">
        <v>23.519400000000001</v>
      </c>
      <c r="BB244" s="2994">
        <v>34.652000000000001</v>
      </c>
      <c r="BC244" s="2994">
        <v>34.6875</v>
      </c>
      <c r="BD244" s="3471">
        <v>37.159799999999997</v>
      </c>
      <c r="BE244" s="3471">
        <v>34.644199999999998</v>
      </c>
      <c r="BF244" s="3471">
        <v>0</v>
      </c>
    </row>
    <row r="245" spans="1:58">
      <c r="A245" s="1817" t="str">
        <f t="shared" si="7"/>
        <v>Northern AmericaLentils</v>
      </c>
      <c r="B245" s="1818" t="s">
        <v>1318</v>
      </c>
      <c r="C245" s="1818" t="s">
        <v>7344</v>
      </c>
      <c r="D245" s="3463" t="str">
        <f>VLOOKUP(B245,List_Yield!$G$4:$J$14,4,FALSE)</f>
        <v>North America</v>
      </c>
      <c r="E245" s="3463" t="str">
        <f t="shared" si="6"/>
        <v>North AmericaLentils</v>
      </c>
      <c r="F245" s="2994">
        <v>0.67859999999999998</v>
      </c>
      <c r="G245" s="2994">
        <v>1.0755999999999999</v>
      </c>
      <c r="H245" s="2994">
        <v>1.1152</v>
      </c>
      <c r="I245" s="2994">
        <v>1.2330000000000001</v>
      </c>
      <c r="J245" s="2994">
        <v>1.2329000000000001</v>
      </c>
      <c r="K245" s="2994">
        <v>1.0665</v>
      </c>
      <c r="L245" s="2994">
        <v>1.1759999999999999</v>
      </c>
      <c r="M245" s="2994">
        <v>1.2790999999999999</v>
      </c>
      <c r="N245" s="2994">
        <v>1.3067</v>
      </c>
      <c r="O245" s="2994">
        <v>1.0001</v>
      </c>
      <c r="P245" s="2994">
        <v>1.0431999999999999</v>
      </c>
      <c r="Q245" s="2994">
        <v>1.1975</v>
      </c>
      <c r="R245" s="2994">
        <v>0.78749999999999998</v>
      </c>
      <c r="S245" s="2994">
        <v>1.1680999999999999</v>
      </c>
      <c r="T245" s="2994">
        <v>1.22</v>
      </c>
      <c r="U245" s="2994">
        <v>1.2122999999999999</v>
      </c>
      <c r="V245" s="2994">
        <v>0.31169999999999998</v>
      </c>
      <c r="W245" s="2994">
        <v>1.0601</v>
      </c>
      <c r="X245" s="2994">
        <v>0.96330000000000005</v>
      </c>
      <c r="Y245" s="2994">
        <v>0.90080000000000005</v>
      </c>
      <c r="Z245" s="2994">
        <v>1.1251</v>
      </c>
      <c r="AA245" s="2994">
        <v>1.1133999999999999</v>
      </c>
      <c r="AB245" s="2994">
        <v>1.1291</v>
      </c>
      <c r="AC245" s="2994">
        <v>0.71209999999999996</v>
      </c>
      <c r="AD245" s="2994">
        <v>0.84840000000000004</v>
      </c>
      <c r="AE245" s="2994">
        <v>1.2828999999999999</v>
      </c>
      <c r="AF245" s="2994">
        <v>1.335</v>
      </c>
      <c r="AG245" s="2994">
        <v>0.60370000000000001</v>
      </c>
      <c r="AH245" s="2994">
        <v>1.0608</v>
      </c>
      <c r="AI245" s="2994">
        <v>1.4472</v>
      </c>
      <c r="AJ245" s="2994">
        <v>1.4591000000000001</v>
      </c>
      <c r="AK245" s="2994">
        <v>1.3154999999999999</v>
      </c>
      <c r="AL245" s="2994">
        <v>1.1457999999999999</v>
      </c>
      <c r="AM245" s="2994">
        <v>1.1919</v>
      </c>
      <c r="AN245" s="2994">
        <v>1.3559000000000001</v>
      </c>
      <c r="AO245" s="2994">
        <v>1.2854000000000001</v>
      </c>
      <c r="AP245" s="2994">
        <v>1.2223999999999999</v>
      </c>
      <c r="AQ245" s="2994">
        <v>1.3033999999999999</v>
      </c>
      <c r="AR245" s="2994">
        <v>1.4669000000000001</v>
      </c>
      <c r="AS245" s="2994">
        <v>1.3575999999999999</v>
      </c>
      <c r="AT245" s="2994">
        <v>0.93810000000000004</v>
      </c>
      <c r="AU245" s="2994">
        <v>1.0024999999999999</v>
      </c>
      <c r="AV245" s="2994">
        <v>1.0004</v>
      </c>
      <c r="AW245" s="2994">
        <v>1.3048</v>
      </c>
      <c r="AX245" s="2994">
        <v>1.4567000000000001</v>
      </c>
      <c r="AY245" s="2994">
        <v>1.1678999999999999</v>
      </c>
      <c r="AZ245" s="2994">
        <v>1.2922</v>
      </c>
      <c r="BA245" s="2994">
        <v>1.4293</v>
      </c>
      <c r="BB245" s="2994">
        <v>1.5745</v>
      </c>
      <c r="BC245" s="2994">
        <v>1.4696</v>
      </c>
      <c r="BD245" s="3471">
        <v>1.4995000000000001</v>
      </c>
      <c r="BE245" s="3471">
        <v>1.4995000000000001</v>
      </c>
      <c r="BF245" s="3471">
        <v>1.9258999999999999</v>
      </c>
    </row>
    <row r="246" spans="1:58">
      <c r="A246" s="1817" t="str">
        <f t="shared" si="7"/>
        <v>Northern AmericaLettuce and chicory</v>
      </c>
      <c r="B246" s="1818" t="s">
        <v>1318</v>
      </c>
      <c r="C246" s="1818" t="s">
        <v>7345</v>
      </c>
      <c r="D246" s="3463" t="str">
        <f>VLOOKUP(B246,List_Yield!$G$4:$J$14,4,FALSE)</f>
        <v>North America</v>
      </c>
      <c r="E246" s="3463" t="str">
        <f t="shared" si="6"/>
        <v>North AmericaLettuce and chicory</v>
      </c>
      <c r="F246" s="2994">
        <v>19.412199999999999</v>
      </c>
      <c r="G246" s="2994">
        <v>21.1037</v>
      </c>
      <c r="H246" s="2994">
        <v>20.3002</v>
      </c>
      <c r="I246" s="2994">
        <v>20.455400000000001</v>
      </c>
      <c r="J246" s="2994">
        <v>21.114999999999998</v>
      </c>
      <c r="K246" s="2994">
        <v>21.259799999999998</v>
      </c>
      <c r="L246" s="2994">
        <v>21.588999999999999</v>
      </c>
      <c r="M246" s="2994">
        <v>22.262799999999999</v>
      </c>
      <c r="N246" s="2994">
        <v>21.7834</v>
      </c>
      <c r="O246" s="2994">
        <v>22.040099999999999</v>
      </c>
      <c r="P246" s="2994">
        <v>24.2897</v>
      </c>
      <c r="Q246" s="2994">
        <v>24.458100000000002</v>
      </c>
      <c r="R246" s="2994">
        <v>24.9664</v>
      </c>
      <c r="S246" s="2994">
        <v>25.0472</v>
      </c>
      <c r="T246" s="2994">
        <v>26.088899999999999</v>
      </c>
      <c r="U246" s="2994">
        <v>27.651700000000002</v>
      </c>
      <c r="V246" s="2994">
        <v>28.853400000000001</v>
      </c>
      <c r="W246" s="2994">
        <v>28.151800000000001</v>
      </c>
      <c r="X246" s="2994">
        <v>27.846800000000002</v>
      </c>
      <c r="Y246" s="2994">
        <v>29.809699999999999</v>
      </c>
      <c r="Z246" s="2994">
        <v>31.0808</v>
      </c>
      <c r="AA246" s="2994">
        <v>32.365699999999997</v>
      </c>
      <c r="AB246" s="2994">
        <v>31.261900000000001</v>
      </c>
      <c r="AC246" s="2994">
        <v>33.4009</v>
      </c>
      <c r="AD246" s="2994">
        <v>30.857399999999998</v>
      </c>
      <c r="AE246" s="2994">
        <v>30.576899999999998</v>
      </c>
      <c r="AF246" s="2994">
        <v>33.461300000000001</v>
      </c>
      <c r="AG246" s="2994">
        <v>32.645200000000003</v>
      </c>
      <c r="AH246" s="2994">
        <v>34.277200000000001</v>
      </c>
      <c r="AI246" s="2994">
        <v>35.133800000000001</v>
      </c>
      <c r="AJ246" s="2994">
        <v>35.363999999999997</v>
      </c>
      <c r="AK246" s="2994">
        <v>34.151800000000001</v>
      </c>
      <c r="AL246" s="2994">
        <v>33.443399999999997</v>
      </c>
      <c r="AM246" s="2994">
        <v>33.3277</v>
      </c>
      <c r="AN246" s="2994">
        <v>32.826700000000002</v>
      </c>
      <c r="AO246" s="2994">
        <v>30.3018</v>
      </c>
      <c r="AP246" s="2994">
        <v>37.088500000000003</v>
      </c>
      <c r="AQ246" s="2994">
        <v>33.249200000000002</v>
      </c>
      <c r="AR246" s="2994">
        <v>36.807200000000002</v>
      </c>
      <c r="AS246" s="2994">
        <v>37.987299999999998</v>
      </c>
      <c r="AT246" s="2994">
        <v>36.793399999999998</v>
      </c>
      <c r="AU246" s="2994">
        <v>37.517899999999997</v>
      </c>
      <c r="AV246" s="2994">
        <v>36.405099999999997</v>
      </c>
      <c r="AW246" s="2994">
        <v>37.3964</v>
      </c>
      <c r="AX246" s="2994">
        <v>37.207599999999999</v>
      </c>
      <c r="AY246" s="2994">
        <v>35.212000000000003</v>
      </c>
      <c r="AZ246" s="2994">
        <v>35.731099999999998</v>
      </c>
      <c r="BA246" s="2994">
        <v>35.276400000000002</v>
      </c>
      <c r="BB246" s="2994">
        <v>35.803699999999999</v>
      </c>
      <c r="BC246" s="2994">
        <v>37.724400000000003</v>
      </c>
      <c r="BD246" s="3471">
        <v>38.084800000000001</v>
      </c>
      <c r="BE246" s="3471">
        <v>35.855899999999998</v>
      </c>
      <c r="BF246" s="3471">
        <v>0</v>
      </c>
    </row>
    <row r="247" spans="1:58">
      <c r="A247" s="1817" t="str">
        <f t="shared" si="7"/>
        <v>Northern AmericaLinseed</v>
      </c>
      <c r="B247" s="1818" t="s">
        <v>1318</v>
      </c>
      <c r="C247" s="1818" t="s">
        <v>1355</v>
      </c>
      <c r="D247" s="3463" t="str">
        <f>VLOOKUP(B247,List_Yield!$G$4:$J$14,4,FALSE)</f>
        <v>North America</v>
      </c>
      <c r="E247" s="3463" t="str">
        <f t="shared" si="6"/>
        <v>North AmericaLinseed</v>
      </c>
      <c r="F247" s="2994">
        <v>0.50019999999999998</v>
      </c>
      <c r="G247" s="2994">
        <v>0.71250000000000002</v>
      </c>
      <c r="H247" s="2994">
        <v>0.6744</v>
      </c>
      <c r="I247" s="2994">
        <v>0.58440000000000003</v>
      </c>
      <c r="J247" s="2994">
        <v>0.7964</v>
      </c>
      <c r="K247" s="2994">
        <v>0.63429999999999997</v>
      </c>
      <c r="L247" s="2994">
        <v>0.61570000000000003</v>
      </c>
      <c r="M247" s="2994">
        <v>0.80969999999999998</v>
      </c>
      <c r="N247" s="2994">
        <v>0.79930000000000001</v>
      </c>
      <c r="O247" s="2994">
        <v>0.78990000000000005</v>
      </c>
      <c r="P247" s="2994">
        <v>0.76900000000000002</v>
      </c>
      <c r="Q247" s="2994">
        <v>0.80049999999999999</v>
      </c>
      <c r="R247" s="2994">
        <v>0.71350000000000002</v>
      </c>
      <c r="S247" s="2994">
        <v>0.56289999999999996</v>
      </c>
      <c r="T247" s="2994">
        <v>0.7127</v>
      </c>
      <c r="U247" s="2994">
        <v>0.66090000000000004</v>
      </c>
      <c r="V247" s="2994">
        <v>0.92369999999999997</v>
      </c>
      <c r="W247" s="2994">
        <v>0.9829</v>
      </c>
      <c r="X247" s="2994">
        <v>0.87129999999999996</v>
      </c>
      <c r="Y247" s="2994">
        <v>0.77559999999999996</v>
      </c>
      <c r="Z247" s="2994">
        <v>0.93300000000000005</v>
      </c>
      <c r="AA247" s="2994">
        <v>1.0907</v>
      </c>
      <c r="AB247" s="2994">
        <v>0.9325</v>
      </c>
      <c r="AC247" s="2994">
        <v>0.9294</v>
      </c>
      <c r="AD247" s="2994">
        <v>1.1344000000000001</v>
      </c>
      <c r="AE247" s="2994">
        <v>1.2786</v>
      </c>
      <c r="AF247" s="2994">
        <v>1.1789000000000001</v>
      </c>
      <c r="AG247" s="2994">
        <v>0.69830000000000003</v>
      </c>
      <c r="AH247" s="2994">
        <v>0.79759999999999998</v>
      </c>
      <c r="AI247" s="2994">
        <v>1.2378</v>
      </c>
      <c r="AJ247" s="2994">
        <v>1.2433000000000001</v>
      </c>
      <c r="AK247" s="2994">
        <v>1.3153999999999999</v>
      </c>
      <c r="AL247" s="2994">
        <v>1.2276</v>
      </c>
      <c r="AM247" s="2994">
        <v>1.3101</v>
      </c>
      <c r="AN247" s="2994">
        <v>1.2627999999999999</v>
      </c>
      <c r="AO247" s="2994">
        <v>1.4564999999999999</v>
      </c>
      <c r="AP247" s="2994">
        <v>1.2027000000000001</v>
      </c>
      <c r="AQ247" s="2994">
        <v>1.2625999999999999</v>
      </c>
      <c r="AR247" s="2994">
        <v>1.3181</v>
      </c>
      <c r="AS247" s="2994">
        <v>1.2073</v>
      </c>
      <c r="AT247" s="2994">
        <v>1.1232</v>
      </c>
      <c r="AU247" s="2994">
        <v>1.0685</v>
      </c>
      <c r="AV247" s="2994">
        <v>1.0570999999999999</v>
      </c>
      <c r="AW247" s="2994">
        <v>1.0765</v>
      </c>
      <c r="AX247" s="2994">
        <v>1.3322000000000001</v>
      </c>
      <c r="AY247" s="2994">
        <v>1.1579999999999999</v>
      </c>
      <c r="AZ247" s="2994">
        <v>1.1774</v>
      </c>
      <c r="BA247" s="2994">
        <v>1.3191999999999999</v>
      </c>
      <c r="BB247" s="2994">
        <v>1.4907999999999999</v>
      </c>
      <c r="BC247" s="2994">
        <v>1.2499</v>
      </c>
      <c r="BD247" s="3471">
        <v>1.2797000000000001</v>
      </c>
      <c r="BE247" s="3471">
        <v>1.2809999999999999</v>
      </c>
      <c r="BF247" s="3471">
        <v>1.7</v>
      </c>
    </row>
    <row r="248" spans="1:58">
      <c r="A248" s="1817" t="str">
        <f t="shared" si="7"/>
        <v>Northern AmericaLupins</v>
      </c>
      <c r="B248" s="1818" t="s">
        <v>1318</v>
      </c>
      <c r="C248" s="1818" t="s">
        <v>7346</v>
      </c>
      <c r="D248" s="3463" t="str">
        <f>VLOOKUP(B248,List_Yield!$G$4:$J$14,4,FALSE)</f>
        <v>North America</v>
      </c>
      <c r="E248" s="3463" t="str">
        <f t="shared" si="6"/>
        <v>North AmericaLupins</v>
      </c>
      <c r="F248" s="2994">
        <v>0</v>
      </c>
      <c r="G248" s="2994">
        <v>0</v>
      </c>
      <c r="H248" s="2994">
        <v>0</v>
      </c>
      <c r="I248" s="2994">
        <v>0</v>
      </c>
      <c r="J248" s="2994">
        <v>0</v>
      </c>
      <c r="K248" s="2994">
        <v>0</v>
      </c>
      <c r="L248" s="2994">
        <v>0</v>
      </c>
      <c r="M248" s="2994">
        <v>0</v>
      </c>
      <c r="N248" s="2994">
        <v>0</v>
      </c>
      <c r="O248" s="2994">
        <v>0</v>
      </c>
      <c r="P248" s="2994">
        <v>0</v>
      </c>
      <c r="Q248" s="2994">
        <v>0</v>
      </c>
      <c r="R248" s="2994">
        <v>0</v>
      </c>
      <c r="S248" s="2994">
        <v>0</v>
      </c>
      <c r="T248" s="2994">
        <v>0</v>
      </c>
      <c r="U248" s="2994">
        <v>0</v>
      </c>
      <c r="V248" s="2994">
        <v>0</v>
      </c>
      <c r="W248" s="2994">
        <v>0</v>
      </c>
      <c r="X248" s="2994">
        <v>0</v>
      </c>
      <c r="Y248" s="2994">
        <v>0</v>
      </c>
      <c r="Z248" s="2994">
        <v>0</v>
      </c>
      <c r="AA248" s="2994">
        <v>0</v>
      </c>
      <c r="AB248" s="2994">
        <v>0</v>
      </c>
      <c r="AC248" s="2994">
        <v>0</v>
      </c>
      <c r="AD248" s="2994">
        <v>0</v>
      </c>
      <c r="AE248" s="2994">
        <v>0</v>
      </c>
      <c r="AF248" s="2994">
        <v>0</v>
      </c>
      <c r="AG248" s="2994">
        <v>0</v>
      </c>
      <c r="AH248" s="2994">
        <v>0</v>
      </c>
      <c r="AI248" s="2994">
        <v>0</v>
      </c>
      <c r="AJ248" s="2994">
        <v>0</v>
      </c>
      <c r="AK248" s="2994">
        <v>0</v>
      </c>
      <c r="AL248" s="2994">
        <v>0</v>
      </c>
      <c r="AM248" s="2994">
        <v>0</v>
      </c>
      <c r="AN248" s="2994">
        <v>0</v>
      </c>
      <c r="AO248" s="2994">
        <v>0</v>
      </c>
      <c r="AP248" s="2994">
        <v>0</v>
      </c>
      <c r="AQ248" s="2994">
        <v>0</v>
      </c>
      <c r="AR248" s="2994">
        <v>0</v>
      </c>
      <c r="AS248" s="2994">
        <v>0</v>
      </c>
      <c r="AT248" s="2994">
        <v>0</v>
      </c>
      <c r="AU248" s="2994">
        <v>0</v>
      </c>
      <c r="AV248" s="2994">
        <v>0</v>
      </c>
      <c r="AW248" s="2994">
        <v>0</v>
      </c>
      <c r="AX248" s="2994">
        <v>0</v>
      </c>
      <c r="AY248" s="2994">
        <v>0</v>
      </c>
      <c r="AZ248" s="2994">
        <v>0</v>
      </c>
      <c r="BA248" s="2994">
        <v>0</v>
      </c>
      <c r="BB248" s="2994">
        <v>0</v>
      </c>
      <c r="BC248" s="2994">
        <v>0</v>
      </c>
      <c r="BD248" s="3471">
        <v>0</v>
      </c>
      <c r="BE248" s="3471">
        <v>0</v>
      </c>
      <c r="BF248" s="3471">
        <v>0</v>
      </c>
    </row>
    <row r="249" spans="1:58">
      <c r="A249" s="1817" t="str">
        <f t="shared" si="7"/>
        <v>Northern AmericaMaize</v>
      </c>
      <c r="B249" s="1818" t="s">
        <v>1318</v>
      </c>
      <c r="C249" s="1818" t="s">
        <v>1356</v>
      </c>
      <c r="D249" s="3463" t="str">
        <f>VLOOKUP(B249,List_Yield!$G$4:$J$14,4,FALSE)</f>
        <v>North America</v>
      </c>
      <c r="E249" s="3463" t="str">
        <f t="shared" si="6"/>
        <v>North AmericaMaize</v>
      </c>
      <c r="F249" s="2994">
        <v>3.9228999999999998</v>
      </c>
      <c r="G249" s="2994">
        <v>4.0675999999999997</v>
      </c>
      <c r="H249" s="2994">
        <v>4.2582000000000004</v>
      </c>
      <c r="I249" s="2994">
        <v>3.9628999999999999</v>
      </c>
      <c r="J249" s="2994">
        <v>4.6539999999999999</v>
      </c>
      <c r="K249" s="2994">
        <v>4.5972</v>
      </c>
      <c r="L249" s="2994">
        <v>5.0305</v>
      </c>
      <c r="M249" s="2994">
        <v>4.9946999999999999</v>
      </c>
      <c r="N249" s="2994">
        <v>5.3788</v>
      </c>
      <c r="O249" s="2994">
        <v>4.5593000000000004</v>
      </c>
      <c r="P249" s="2994">
        <v>5.5190999999999999</v>
      </c>
      <c r="Q249" s="2994">
        <v>6.0585000000000004</v>
      </c>
      <c r="R249" s="2994">
        <v>5.7187000000000001</v>
      </c>
      <c r="S249" s="2994">
        <v>4.5102000000000002</v>
      </c>
      <c r="T249" s="2994">
        <v>5.4284999999999997</v>
      </c>
      <c r="U249" s="2994">
        <v>5.5153999999999996</v>
      </c>
      <c r="V249" s="2994">
        <v>5.7032999999999996</v>
      </c>
      <c r="W249" s="2994">
        <v>6.3112000000000004</v>
      </c>
      <c r="X249" s="2994">
        <v>6.8314000000000004</v>
      </c>
      <c r="Y249" s="2994">
        <v>5.7089999999999996</v>
      </c>
      <c r="Z249" s="2994">
        <v>6.8022</v>
      </c>
      <c r="AA249" s="2994">
        <v>7.0636999999999999</v>
      </c>
      <c r="AB249" s="2994">
        <v>5.1102999999999996</v>
      </c>
      <c r="AC249" s="2994">
        <v>6.6676000000000002</v>
      </c>
      <c r="AD249" s="2994">
        <v>7.3646000000000003</v>
      </c>
      <c r="AE249" s="2994">
        <v>7.4398999999999997</v>
      </c>
      <c r="AF249" s="2994">
        <v>7.5025000000000004</v>
      </c>
      <c r="AG249" s="2994">
        <v>5.3173000000000004</v>
      </c>
      <c r="AH249" s="2994">
        <v>7.2618999999999998</v>
      </c>
      <c r="AI249" s="2994">
        <v>7.4169</v>
      </c>
      <c r="AJ249" s="2994">
        <v>6.8131000000000004</v>
      </c>
      <c r="AK249" s="2994">
        <v>8.1795000000000009</v>
      </c>
      <c r="AL249" s="2994">
        <v>6.3250000000000002</v>
      </c>
      <c r="AM249" s="2994">
        <v>8.6579999999999995</v>
      </c>
      <c r="AN249" s="2994">
        <v>7.1277999999999997</v>
      </c>
      <c r="AO249" s="2994">
        <v>7.9396000000000004</v>
      </c>
      <c r="AP249" s="2994">
        <v>7.9150999999999998</v>
      </c>
      <c r="AQ249" s="2994">
        <v>8.4223999999999997</v>
      </c>
      <c r="AR249" s="2994">
        <v>8.3815000000000008</v>
      </c>
      <c r="AS249" s="2994">
        <v>8.5070999999999994</v>
      </c>
      <c r="AT249" s="2994">
        <v>8.5838000000000001</v>
      </c>
      <c r="AU249" s="2994">
        <v>8.0695999999999994</v>
      </c>
      <c r="AV249" s="2994">
        <v>8.8793000000000006</v>
      </c>
      <c r="AW249" s="2994">
        <v>10.000299999999999</v>
      </c>
      <c r="AX249" s="2994">
        <v>9.2616999999999994</v>
      </c>
      <c r="AY249" s="2994">
        <v>9.3260000000000005</v>
      </c>
      <c r="AZ249" s="2994">
        <v>9.4228000000000005</v>
      </c>
      <c r="BA249" s="2994">
        <v>9.6384000000000007</v>
      </c>
      <c r="BB249" s="2994">
        <v>10.270200000000001</v>
      </c>
      <c r="BC249" s="2994">
        <v>9.5974000000000004</v>
      </c>
      <c r="BD249" s="3471">
        <v>9.2249999999999996</v>
      </c>
      <c r="BE249" s="3471">
        <v>7.8005000000000004</v>
      </c>
      <c r="BF249" s="3471">
        <v>9.9542000000000002</v>
      </c>
    </row>
    <row r="250" spans="1:58">
      <c r="A250" s="1817" t="str">
        <f t="shared" si="7"/>
        <v>Northern AmericaMaize, green</v>
      </c>
      <c r="B250" s="1818" t="s">
        <v>1318</v>
      </c>
      <c r="C250" s="1818" t="s">
        <v>1357</v>
      </c>
      <c r="D250" s="3463" t="str">
        <f>VLOOKUP(B250,List_Yield!$G$4:$J$14,4,FALSE)</f>
        <v>North America</v>
      </c>
      <c r="E250" s="3463" t="str">
        <f t="shared" si="6"/>
        <v>North AmericaMaize, green</v>
      </c>
      <c r="F250" s="2994">
        <v>8.0807000000000002</v>
      </c>
      <c r="G250" s="2994">
        <v>8.3391999999999999</v>
      </c>
      <c r="H250" s="2994">
        <v>8.5533999999999999</v>
      </c>
      <c r="I250" s="2994">
        <v>8.2901000000000007</v>
      </c>
      <c r="J250" s="2994">
        <v>8.59</v>
      </c>
      <c r="K250" s="2994">
        <v>8.718</v>
      </c>
      <c r="L250" s="2994">
        <v>9.0663999999999998</v>
      </c>
      <c r="M250" s="2994">
        <v>9.6172000000000004</v>
      </c>
      <c r="N250" s="2994">
        <v>9.3721999999999994</v>
      </c>
      <c r="O250" s="2994">
        <v>9.1559000000000008</v>
      </c>
      <c r="P250" s="2994">
        <v>9.7670999999999992</v>
      </c>
      <c r="Q250" s="2994">
        <v>9.8454999999999995</v>
      </c>
      <c r="R250" s="2994">
        <v>9.9857999999999993</v>
      </c>
      <c r="S250" s="2994">
        <v>9.5032999999999994</v>
      </c>
      <c r="T250" s="2994">
        <v>10.016</v>
      </c>
      <c r="U250" s="2994">
        <v>10.1859</v>
      </c>
      <c r="V250" s="2994">
        <v>10.8644</v>
      </c>
      <c r="W250" s="2994">
        <v>11.282500000000001</v>
      </c>
      <c r="X250" s="2994">
        <v>11.6884</v>
      </c>
      <c r="Y250" s="2994">
        <v>11.382999999999999</v>
      </c>
      <c r="Z250" s="2994">
        <v>11.5726</v>
      </c>
      <c r="AA250" s="2994">
        <v>11.985900000000001</v>
      </c>
      <c r="AB250" s="2994">
        <v>10.965999999999999</v>
      </c>
      <c r="AC250" s="2994">
        <v>11.7843</v>
      </c>
      <c r="AD250" s="2994">
        <v>11.9587</v>
      </c>
      <c r="AE250" s="2994">
        <v>11.9831</v>
      </c>
      <c r="AF250" s="2994">
        <v>12.830399999999999</v>
      </c>
      <c r="AG250" s="2994">
        <v>10.886699999999999</v>
      </c>
      <c r="AH250" s="2994">
        <v>12.6578</v>
      </c>
      <c r="AI250" s="2994">
        <v>12.673400000000001</v>
      </c>
      <c r="AJ250" s="2994">
        <v>12.435600000000001</v>
      </c>
      <c r="AK250" s="2994">
        <v>12.8225</v>
      </c>
      <c r="AL250" s="2994">
        <v>11.72</v>
      </c>
      <c r="AM250" s="2994">
        <v>14.247199999999999</v>
      </c>
      <c r="AN250" s="2994">
        <v>13.587300000000001</v>
      </c>
      <c r="AO250" s="2994">
        <v>13.720499999999999</v>
      </c>
      <c r="AP250" s="2994">
        <v>14.046799999999999</v>
      </c>
      <c r="AQ250" s="2994">
        <v>14.113200000000001</v>
      </c>
      <c r="AR250" s="2994">
        <v>14.172700000000001</v>
      </c>
      <c r="AS250" s="2994">
        <v>14.6502</v>
      </c>
      <c r="AT250" s="2994">
        <v>14.869400000000001</v>
      </c>
      <c r="AU250" s="2994">
        <v>15.221500000000001</v>
      </c>
      <c r="AV250" s="2994">
        <v>16.1751</v>
      </c>
      <c r="AW250" s="2994">
        <v>15.7265</v>
      </c>
      <c r="AX250" s="2994">
        <v>16.427900000000001</v>
      </c>
      <c r="AY250" s="2994">
        <v>16.878399999999999</v>
      </c>
      <c r="AZ250" s="2994">
        <v>16.645700000000001</v>
      </c>
      <c r="BA250" s="2994">
        <v>15.673</v>
      </c>
      <c r="BB250" s="2994">
        <v>16.576599999999999</v>
      </c>
      <c r="BC250" s="2994">
        <v>15.505599999999999</v>
      </c>
      <c r="BD250" s="3471">
        <v>15.468999999999999</v>
      </c>
      <c r="BE250" s="3471">
        <v>16.286300000000001</v>
      </c>
      <c r="BF250" s="3471">
        <v>0</v>
      </c>
    </row>
    <row r="251" spans="1:58">
      <c r="A251" s="1817" t="str">
        <f t="shared" si="7"/>
        <v>Northern AmericaMangoes, mangosteens, guavas</v>
      </c>
      <c r="B251" s="1818" t="s">
        <v>1318</v>
      </c>
      <c r="C251" s="1818" t="s">
        <v>1358</v>
      </c>
      <c r="D251" s="3463" t="str">
        <f>VLOOKUP(B251,List_Yield!$G$4:$J$14,4,FALSE)</f>
        <v>North America</v>
      </c>
      <c r="E251" s="3463" t="str">
        <f t="shared" si="6"/>
        <v>North AmericaMangoes, mangosteens, guavas</v>
      </c>
      <c r="F251" s="2994">
        <v>0</v>
      </c>
      <c r="G251" s="2994">
        <v>0</v>
      </c>
      <c r="H251" s="2994">
        <v>0</v>
      </c>
      <c r="I251" s="2994">
        <v>0</v>
      </c>
      <c r="J251" s="2994">
        <v>0</v>
      </c>
      <c r="K251" s="2994">
        <v>0</v>
      </c>
      <c r="L251" s="2994">
        <v>0</v>
      </c>
      <c r="M251" s="2994">
        <v>0</v>
      </c>
      <c r="N251" s="2994">
        <v>0</v>
      </c>
      <c r="O251" s="2994">
        <v>6.4737</v>
      </c>
      <c r="P251" s="2994">
        <v>7.8772000000000002</v>
      </c>
      <c r="Q251" s="2994">
        <v>7.6578999999999997</v>
      </c>
      <c r="R251" s="2994">
        <v>10.9421</v>
      </c>
      <c r="S251" s="2994">
        <v>10.205500000000001</v>
      </c>
      <c r="T251" s="2994">
        <v>12.1015</v>
      </c>
      <c r="U251" s="2994">
        <v>14.462300000000001</v>
      </c>
      <c r="V251" s="2994">
        <v>6.5164</v>
      </c>
      <c r="W251" s="2994">
        <v>8.3775999999999993</v>
      </c>
      <c r="X251" s="2994">
        <v>10.9932</v>
      </c>
      <c r="Y251" s="2994">
        <v>10.571199999999999</v>
      </c>
      <c r="Z251" s="2994">
        <v>10.147500000000001</v>
      </c>
      <c r="AA251" s="2994">
        <v>9.2015999999999991</v>
      </c>
      <c r="AB251" s="2994">
        <v>14.8689</v>
      </c>
      <c r="AC251" s="2994">
        <v>15.7826</v>
      </c>
      <c r="AD251" s="2994">
        <v>14.9178</v>
      </c>
      <c r="AE251" s="2994">
        <v>11.74</v>
      </c>
      <c r="AF251" s="2994">
        <v>15.2921</v>
      </c>
      <c r="AG251" s="2994">
        <v>9.3505000000000003</v>
      </c>
      <c r="AH251" s="2994">
        <v>9.8802000000000003</v>
      </c>
      <c r="AI251" s="2994">
        <v>8.6435999999999993</v>
      </c>
      <c r="AJ251" s="2994">
        <v>12.346500000000001</v>
      </c>
      <c r="AK251" s="2994">
        <v>9.8811999999999998</v>
      </c>
      <c r="AL251" s="2994">
        <v>1.4065000000000001</v>
      </c>
      <c r="AM251" s="2994">
        <v>4.1886000000000001</v>
      </c>
      <c r="AN251" s="2994">
        <v>5.9802</v>
      </c>
      <c r="AO251" s="2994">
        <v>4.4810999999999996</v>
      </c>
      <c r="AP251" s="2994">
        <v>4.7972000000000001</v>
      </c>
      <c r="AQ251" s="2994">
        <v>4.6737000000000002</v>
      </c>
      <c r="AR251" s="2994">
        <v>4.1711</v>
      </c>
      <c r="AS251" s="2994">
        <v>4.3478000000000003</v>
      </c>
      <c r="AT251" s="2994">
        <v>3.9927000000000001</v>
      </c>
      <c r="AU251" s="2994">
        <v>4.3726000000000003</v>
      </c>
      <c r="AV251" s="2994">
        <v>4.3333000000000004</v>
      </c>
      <c r="AW251" s="2994">
        <v>4.3076999999999996</v>
      </c>
      <c r="AX251" s="2994">
        <v>4.4531000000000001</v>
      </c>
      <c r="AY251" s="2994">
        <v>4.6666999999999996</v>
      </c>
      <c r="AZ251" s="2994">
        <v>4.4000000000000004</v>
      </c>
      <c r="BA251" s="2994">
        <v>4.2857000000000003</v>
      </c>
      <c r="BB251" s="2994">
        <v>4.1435000000000004</v>
      </c>
      <c r="BC251" s="2994">
        <v>12.5532</v>
      </c>
      <c r="BD251" s="3471">
        <v>19.1556</v>
      </c>
      <c r="BE251" s="3471">
        <v>20</v>
      </c>
      <c r="BF251" s="3471">
        <v>0</v>
      </c>
    </row>
    <row r="252" spans="1:58">
      <c r="A252" s="1817" t="str">
        <f t="shared" si="7"/>
        <v>Northern AmericaManila fibre (abaca)</v>
      </c>
      <c r="B252" s="1818" t="s">
        <v>1318</v>
      </c>
      <c r="C252" s="1818" t="s">
        <v>7347</v>
      </c>
      <c r="D252" s="3463" t="str">
        <f>VLOOKUP(B252,List_Yield!$G$4:$J$14,4,FALSE)</f>
        <v>North America</v>
      </c>
      <c r="E252" s="3463" t="str">
        <f t="shared" si="6"/>
        <v>North AmericaManila fibre (abaca)</v>
      </c>
      <c r="F252" s="2994">
        <v>0</v>
      </c>
      <c r="G252" s="2994">
        <v>0</v>
      </c>
      <c r="H252" s="2994">
        <v>0</v>
      </c>
      <c r="I252" s="2994">
        <v>0</v>
      </c>
      <c r="J252" s="2994">
        <v>0</v>
      </c>
      <c r="K252" s="2994">
        <v>0</v>
      </c>
      <c r="L252" s="2994">
        <v>0</v>
      </c>
      <c r="M252" s="2994">
        <v>0</v>
      </c>
      <c r="N252" s="2994">
        <v>0</v>
      </c>
      <c r="O252" s="2994">
        <v>0</v>
      </c>
      <c r="P252" s="2994">
        <v>0</v>
      </c>
      <c r="Q252" s="2994">
        <v>0</v>
      </c>
      <c r="R252" s="2994">
        <v>0</v>
      </c>
      <c r="S252" s="2994">
        <v>0</v>
      </c>
      <c r="T252" s="2994">
        <v>0</v>
      </c>
      <c r="U252" s="2994">
        <v>0</v>
      </c>
      <c r="V252" s="2994">
        <v>0</v>
      </c>
      <c r="W252" s="2994">
        <v>0</v>
      </c>
      <c r="X252" s="2994">
        <v>0</v>
      </c>
      <c r="Y252" s="2994">
        <v>0</v>
      </c>
      <c r="Z252" s="2994">
        <v>0</v>
      </c>
      <c r="AA252" s="2994">
        <v>0</v>
      </c>
      <c r="AB252" s="2994">
        <v>0</v>
      </c>
      <c r="AC252" s="2994">
        <v>0</v>
      </c>
      <c r="AD252" s="2994">
        <v>0</v>
      </c>
      <c r="AE252" s="2994">
        <v>0</v>
      </c>
      <c r="AF252" s="2994">
        <v>0</v>
      </c>
      <c r="AG252" s="2994">
        <v>0</v>
      </c>
      <c r="AH252" s="2994">
        <v>0</v>
      </c>
      <c r="AI252" s="2994">
        <v>0</v>
      </c>
      <c r="AJ252" s="2994">
        <v>0</v>
      </c>
      <c r="AK252" s="2994">
        <v>0</v>
      </c>
      <c r="AL252" s="2994">
        <v>0</v>
      </c>
      <c r="AM252" s="2994">
        <v>0</v>
      </c>
      <c r="AN252" s="2994">
        <v>0</v>
      </c>
      <c r="AO252" s="2994">
        <v>0</v>
      </c>
      <c r="AP252" s="2994">
        <v>0</v>
      </c>
      <c r="AQ252" s="2994">
        <v>0</v>
      </c>
      <c r="AR252" s="2994">
        <v>0</v>
      </c>
      <c r="AS252" s="2994">
        <v>0</v>
      </c>
      <c r="AT252" s="2994">
        <v>0</v>
      </c>
      <c r="AU252" s="2994">
        <v>0</v>
      </c>
      <c r="AV252" s="2994">
        <v>0</v>
      </c>
      <c r="AW252" s="2994">
        <v>0</v>
      </c>
      <c r="AX252" s="2994">
        <v>0</v>
      </c>
      <c r="AY252" s="2994">
        <v>0</v>
      </c>
      <c r="AZ252" s="2994">
        <v>0</v>
      </c>
      <c r="BA252" s="2994">
        <v>0</v>
      </c>
      <c r="BB252" s="2994">
        <v>0</v>
      </c>
      <c r="BC252" s="2994">
        <v>0</v>
      </c>
      <c r="BD252" s="3471">
        <v>0</v>
      </c>
      <c r="BE252" s="3471">
        <v>0</v>
      </c>
      <c r="BF252" s="3471">
        <v>0</v>
      </c>
    </row>
    <row r="253" spans="1:58">
      <c r="A253" s="1817" t="str">
        <f t="shared" si="7"/>
        <v>Northern AmericaMaté</v>
      </c>
      <c r="B253" s="1818" t="s">
        <v>1318</v>
      </c>
      <c r="C253" s="1818" t="s">
        <v>2268</v>
      </c>
      <c r="D253" s="3463" t="str">
        <f>VLOOKUP(B253,List_Yield!$G$4:$J$14,4,FALSE)</f>
        <v>North America</v>
      </c>
      <c r="E253" s="3463" t="str">
        <f t="shared" ref="E253:E316" si="8">CONCATENATE(D253,C253)</f>
        <v>North AmericaMaté</v>
      </c>
      <c r="F253" s="2994">
        <v>0</v>
      </c>
      <c r="G253" s="2994">
        <v>0</v>
      </c>
      <c r="H253" s="2994">
        <v>0</v>
      </c>
      <c r="I253" s="2994">
        <v>0</v>
      </c>
      <c r="J253" s="2994">
        <v>0</v>
      </c>
      <c r="K253" s="2994">
        <v>0</v>
      </c>
      <c r="L253" s="2994">
        <v>0</v>
      </c>
      <c r="M253" s="2994">
        <v>0</v>
      </c>
      <c r="N253" s="2994">
        <v>0</v>
      </c>
      <c r="O253" s="2994">
        <v>0</v>
      </c>
      <c r="P253" s="2994">
        <v>0</v>
      </c>
      <c r="Q253" s="2994">
        <v>0</v>
      </c>
      <c r="R253" s="2994">
        <v>0</v>
      </c>
      <c r="S253" s="2994">
        <v>0</v>
      </c>
      <c r="T253" s="2994">
        <v>0</v>
      </c>
      <c r="U253" s="2994">
        <v>0</v>
      </c>
      <c r="V253" s="2994">
        <v>0</v>
      </c>
      <c r="W253" s="2994">
        <v>0</v>
      </c>
      <c r="X253" s="2994">
        <v>0</v>
      </c>
      <c r="Y253" s="2994">
        <v>0</v>
      </c>
      <c r="Z253" s="2994">
        <v>0</v>
      </c>
      <c r="AA253" s="2994">
        <v>0</v>
      </c>
      <c r="AB253" s="2994">
        <v>0</v>
      </c>
      <c r="AC253" s="2994">
        <v>0</v>
      </c>
      <c r="AD253" s="2994">
        <v>0</v>
      </c>
      <c r="AE253" s="2994">
        <v>0</v>
      </c>
      <c r="AF253" s="2994">
        <v>0</v>
      </c>
      <c r="AG253" s="2994">
        <v>0</v>
      </c>
      <c r="AH253" s="2994">
        <v>0</v>
      </c>
      <c r="AI253" s="2994">
        <v>0</v>
      </c>
      <c r="AJ253" s="2994">
        <v>0</v>
      </c>
      <c r="AK253" s="2994">
        <v>0</v>
      </c>
      <c r="AL253" s="2994">
        <v>0</v>
      </c>
      <c r="AM253" s="2994">
        <v>0</v>
      </c>
      <c r="AN253" s="2994">
        <v>0</v>
      </c>
      <c r="AO253" s="2994">
        <v>0</v>
      </c>
      <c r="AP253" s="2994">
        <v>0</v>
      </c>
      <c r="AQ253" s="2994">
        <v>0</v>
      </c>
      <c r="AR253" s="2994">
        <v>0</v>
      </c>
      <c r="AS253" s="2994">
        <v>0</v>
      </c>
      <c r="AT253" s="2994">
        <v>0</v>
      </c>
      <c r="AU253" s="2994">
        <v>0</v>
      </c>
      <c r="AV253" s="2994">
        <v>0</v>
      </c>
      <c r="AW253" s="2994">
        <v>0</v>
      </c>
      <c r="AX253" s="2994">
        <v>0</v>
      </c>
      <c r="AY253" s="2994">
        <v>0</v>
      </c>
      <c r="AZ253" s="2994">
        <v>0</v>
      </c>
      <c r="BA253" s="2994">
        <v>0</v>
      </c>
      <c r="BB253" s="2994">
        <v>0</v>
      </c>
      <c r="BC253" s="2994">
        <v>0</v>
      </c>
      <c r="BD253" s="3471">
        <v>0</v>
      </c>
      <c r="BE253" s="3471">
        <v>0</v>
      </c>
      <c r="BF253" s="3471">
        <v>0</v>
      </c>
    </row>
    <row r="254" spans="1:58">
      <c r="A254" s="1817" t="str">
        <f t="shared" si="7"/>
        <v>Northern AmericaMelons, other (inc.cantaloupes)</v>
      </c>
      <c r="B254" s="1818" t="s">
        <v>1318</v>
      </c>
      <c r="C254" s="1818" t="s">
        <v>7348</v>
      </c>
      <c r="D254" s="3463" t="str">
        <f>VLOOKUP(B254,List_Yield!$G$4:$J$14,4,FALSE)</f>
        <v>North America</v>
      </c>
      <c r="E254" s="3463" t="str">
        <f t="shared" si="8"/>
        <v>North AmericaMelons, other (inc.cantaloupes)</v>
      </c>
      <c r="F254" s="2994">
        <v>12.178800000000001</v>
      </c>
      <c r="G254" s="2994">
        <v>11.831799999999999</v>
      </c>
      <c r="H254" s="2994">
        <v>12.6715</v>
      </c>
      <c r="I254" s="2994">
        <v>11.5259</v>
      </c>
      <c r="J254" s="2994">
        <v>12.115600000000001</v>
      </c>
      <c r="K254" s="2994">
        <v>11.889200000000001</v>
      </c>
      <c r="L254" s="2994">
        <v>13.367100000000001</v>
      </c>
      <c r="M254" s="2994">
        <v>13.319900000000001</v>
      </c>
      <c r="N254" s="2994">
        <v>12.7226</v>
      </c>
      <c r="O254" s="2994">
        <v>13.8939</v>
      </c>
      <c r="P254" s="2994">
        <v>14.360099999999999</v>
      </c>
      <c r="Q254" s="2994">
        <v>15.515599999999999</v>
      </c>
      <c r="R254" s="2994">
        <v>14.4147</v>
      </c>
      <c r="S254" s="2994">
        <v>16.241900000000001</v>
      </c>
      <c r="T254" s="2994">
        <v>15.5747</v>
      </c>
      <c r="U254" s="2994">
        <v>15.6122</v>
      </c>
      <c r="V254" s="2994">
        <v>15.8474</v>
      </c>
      <c r="W254" s="2994">
        <v>15.854100000000001</v>
      </c>
      <c r="X254" s="2994">
        <v>15.8118</v>
      </c>
      <c r="Y254" s="2994">
        <v>16.380099999999999</v>
      </c>
      <c r="Z254" s="2994">
        <v>17.720400000000001</v>
      </c>
      <c r="AA254" s="2994">
        <v>16.995000000000001</v>
      </c>
      <c r="AB254" s="2994">
        <v>17.085000000000001</v>
      </c>
      <c r="AC254" s="2994">
        <v>17.264399999999998</v>
      </c>
      <c r="AD254" s="2994">
        <v>18.071100000000001</v>
      </c>
      <c r="AE254" s="2994">
        <v>18.148199999999999</v>
      </c>
      <c r="AF254" s="2994">
        <v>18.360700000000001</v>
      </c>
      <c r="AG254" s="2994">
        <v>17.830500000000001</v>
      </c>
      <c r="AH254" s="2994">
        <v>17.6539</v>
      </c>
      <c r="AI254" s="2994">
        <v>17.511399999999998</v>
      </c>
      <c r="AJ254" s="2994">
        <v>17.3811</v>
      </c>
      <c r="AK254" s="2994">
        <v>18.888400000000001</v>
      </c>
      <c r="AL254" s="2994">
        <v>19.642399999999999</v>
      </c>
      <c r="AM254" s="2994">
        <v>19.910499999999999</v>
      </c>
      <c r="AN254" s="2994">
        <v>20.7347</v>
      </c>
      <c r="AO254" s="2994">
        <v>22.9682</v>
      </c>
      <c r="AP254" s="2994">
        <v>22.266300000000001</v>
      </c>
      <c r="AQ254" s="2994">
        <v>23.459299999999999</v>
      </c>
      <c r="AR254" s="2994">
        <v>23.191299999999998</v>
      </c>
      <c r="AS254" s="2994">
        <v>23.089400000000001</v>
      </c>
      <c r="AT254" s="2994">
        <v>25.4222</v>
      </c>
      <c r="AU254" s="2994">
        <v>26.976700000000001</v>
      </c>
      <c r="AV254" s="2994">
        <v>28.0505</v>
      </c>
      <c r="AW254" s="2994">
        <v>27.873999999999999</v>
      </c>
      <c r="AX254" s="2994">
        <v>25.940100000000001</v>
      </c>
      <c r="AY254" s="2994">
        <v>24.725300000000001</v>
      </c>
      <c r="AZ254" s="2994">
        <v>30.094200000000001</v>
      </c>
      <c r="BA254" s="2994">
        <v>28.918299999999999</v>
      </c>
      <c r="BB254" s="2994">
        <v>28.5474</v>
      </c>
      <c r="BC254" s="2994">
        <v>27.9938</v>
      </c>
      <c r="BD254" s="3471">
        <v>29.097100000000001</v>
      </c>
      <c r="BE254" s="3471">
        <v>29.1524</v>
      </c>
      <c r="BF254" s="3471">
        <v>0</v>
      </c>
    </row>
    <row r="255" spans="1:58">
      <c r="A255" s="1817" t="str">
        <f t="shared" si="7"/>
        <v>Northern AmericaMelonseed</v>
      </c>
      <c r="B255" s="1818" t="s">
        <v>1318</v>
      </c>
      <c r="C255" s="1818" t="s">
        <v>7349</v>
      </c>
      <c r="D255" s="3463" t="str">
        <f>VLOOKUP(B255,List_Yield!$G$4:$J$14,4,FALSE)</f>
        <v>North America</v>
      </c>
      <c r="E255" s="3463" t="str">
        <f t="shared" si="8"/>
        <v>North AmericaMelonseed</v>
      </c>
      <c r="F255" s="2994">
        <v>0</v>
      </c>
      <c r="G255" s="2994">
        <v>0</v>
      </c>
      <c r="H255" s="2994">
        <v>0</v>
      </c>
      <c r="I255" s="2994">
        <v>0</v>
      </c>
      <c r="J255" s="2994">
        <v>0</v>
      </c>
      <c r="K255" s="2994">
        <v>0</v>
      </c>
      <c r="L255" s="2994">
        <v>0</v>
      </c>
      <c r="M255" s="2994">
        <v>0</v>
      </c>
      <c r="N255" s="2994">
        <v>0</v>
      </c>
      <c r="O255" s="2994">
        <v>0</v>
      </c>
      <c r="P255" s="2994">
        <v>0</v>
      </c>
      <c r="Q255" s="2994">
        <v>0</v>
      </c>
      <c r="R255" s="2994">
        <v>0</v>
      </c>
      <c r="S255" s="2994">
        <v>0</v>
      </c>
      <c r="T255" s="2994">
        <v>0</v>
      </c>
      <c r="U255" s="2994">
        <v>0</v>
      </c>
      <c r="V255" s="2994">
        <v>0</v>
      </c>
      <c r="W255" s="2994">
        <v>0</v>
      </c>
      <c r="X255" s="2994">
        <v>0</v>
      </c>
      <c r="Y255" s="2994">
        <v>0</v>
      </c>
      <c r="Z255" s="2994">
        <v>0</v>
      </c>
      <c r="AA255" s="2994">
        <v>0</v>
      </c>
      <c r="AB255" s="2994">
        <v>0</v>
      </c>
      <c r="AC255" s="2994">
        <v>0</v>
      </c>
      <c r="AD255" s="2994">
        <v>0</v>
      </c>
      <c r="AE255" s="2994">
        <v>0</v>
      </c>
      <c r="AF255" s="2994">
        <v>0</v>
      </c>
      <c r="AG255" s="2994">
        <v>0</v>
      </c>
      <c r="AH255" s="2994">
        <v>0</v>
      </c>
      <c r="AI255" s="2994">
        <v>0</v>
      </c>
      <c r="AJ255" s="2994">
        <v>0</v>
      </c>
      <c r="AK255" s="2994">
        <v>0</v>
      </c>
      <c r="AL255" s="2994">
        <v>0</v>
      </c>
      <c r="AM255" s="2994">
        <v>0</v>
      </c>
      <c r="AN255" s="2994">
        <v>0</v>
      </c>
      <c r="AO255" s="2994">
        <v>0</v>
      </c>
      <c r="AP255" s="2994">
        <v>0</v>
      </c>
      <c r="AQ255" s="2994">
        <v>0</v>
      </c>
      <c r="AR255" s="2994">
        <v>0</v>
      </c>
      <c r="AS255" s="2994">
        <v>0</v>
      </c>
      <c r="AT255" s="2994">
        <v>0</v>
      </c>
      <c r="AU255" s="2994">
        <v>0</v>
      </c>
      <c r="AV255" s="2994">
        <v>0</v>
      </c>
      <c r="AW255" s="2994">
        <v>0</v>
      </c>
      <c r="AX255" s="2994">
        <v>0</v>
      </c>
      <c r="AY255" s="2994">
        <v>0</v>
      </c>
      <c r="AZ255" s="2994">
        <v>0</v>
      </c>
      <c r="BA255" s="2994">
        <v>0</v>
      </c>
      <c r="BB255" s="2994">
        <v>0</v>
      </c>
      <c r="BC255" s="2994">
        <v>0</v>
      </c>
      <c r="BD255" s="3471">
        <v>0</v>
      </c>
      <c r="BE255" s="3471">
        <v>0</v>
      </c>
      <c r="BF255" s="3471">
        <v>0</v>
      </c>
    </row>
    <row r="256" spans="1:58">
      <c r="A256" s="1817" t="str">
        <f t="shared" si="7"/>
        <v>Northern AmericaMillet</v>
      </c>
      <c r="B256" s="1818" t="s">
        <v>1318</v>
      </c>
      <c r="C256" s="1818" t="s">
        <v>1359</v>
      </c>
      <c r="D256" s="3463" t="str">
        <f>VLOOKUP(B256,List_Yield!$G$4:$J$14,4,FALSE)</f>
        <v>North America</v>
      </c>
      <c r="E256" s="3463" t="str">
        <f t="shared" si="8"/>
        <v>North AmericaMillet</v>
      </c>
      <c r="F256" s="2994">
        <v>1.1546000000000001</v>
      </c>
      <c r="G256" s="2994">
        <v>1.1717</v>
      </c>
      <c r="H256" s="2994">
        <v>1.25</v>
      </c>
      <c r="I256" s="2994">
        <v>1.2525999999999999</v>
      </c>
      <c r="J256" s="2994">
        <v>1.2726999999999999</v>
      </c>
      <c r="K256" s="2994">
        <v>1.2745</v>
      </c>
      <c r="L256" s="2994">
        <v>1.2963</v>
      </c>
      <c r="M256" s="2994">
        <v>1.3252999999999999</v>
      </c>
      <c r="N256" s="2994">
        <v>1.3248</v>
      </c>
      <c r="O256" s="2994">
        <v>1.3273999999999999</v>
      </c>
      <c r="P256" s="2994">
        <v>1.3198000000000001</v>
      </c>
      <c r="Q256" s="2994">
        <v>1.3198000000000001</v>
      </c>
      <c r="R256" s="2994">
        <v>1.25</v>
      </c>
      <c r="S256" s="2994">
        <v>1.2195</v>
      </c>
      <c r="T256" s="2994">
        <v>1.2101999999999999</v>
      </c>
      <c r="U256" s="2994">
        <v>1.2142999999999999</v>
      </c>
      <c r="V256" s="2994">
        <v>1.2222</v>
      </c>
      <c r="W256" s="2994">
        <v>1.2176</v>
      </c>
      <c r="X256" s="2994">
        <v>1.1974</v>
      </c>
      <c r="Y256" s="2994">
        <v>1.3714</v>
      </c>
      <c r="Z256" s="2994">
        <v>1.3605</v>
      </c>
      <c r="AA256" s="2994">
        <v>1.3528</v>
      </c>
      <c r="AB256" s="2994">
        <v>1.3542000000000001</v>
      </c>
      <c r="AC256" s="2994">
        <v>1.3853</v>
      </c>
      <c r="AD256" s="2994">
        <v>1.3861000000000001</v>
      </c>
      <c r="AE256" s="2994">
        <v>1.4207000000000001</v>
      </c>
      <c r="AF256" s="2994">
        <v>1.5084</v>
      </c>
      <c r="AG256" s="2994">
        <v>1.4953000000000001</v>
      </c>
      <c r="AH256" s="2994">
        <v>1.5044</v>
      </c>
      <c r="AI256" s="2994">
        <v>1.5</v>
      </c>
      <c r="AJ256" s="2994">
        <v>1.4228000000000001</v>
      </c>
      <c r="AK256" s="2994">
        <v>1.6912</v>
      </c>
      <c r="AL256" s="2994">
        <v>1.3568</v>
      </c>
      <c r="AM256" s="2994">
        <v>1.7552000000000001</v>
      </c>
      <c r="AN256" s="2994">
        <v>1.5007999999999999</v>
      </c>
      <c r="AO256" s="2994">
        <v>1.6724000000000001</v>
      </c>
      <c r="AP256" s="2994">
        <v>1.7052</v>
      </c>
      <c r="AQ256" s="2994">
        <v>1.5038</v>
      </c>
      <c r="AR256" s="2994">
        <v>1.8587</v>
      </c>
      <c r="AS256" s="2994">
        <v>1.0993999999999999</v>
      </c>
      <c r="AT256" s="2994">
        <v>1.8432999999999999</v>
      </c>
      <c r="AU256" s="2994">
        <v>0.74119999999999997</v>
      </c>
      <c r="AV256" s="2994">
        <v>1.0262</v>
      </c>
      <c r="AW256" s="2994">
        <v>1.407</v>
      </c>
      <c r="AX256" s="2994">
        <v>1.4750000000000001</v>
      </c>
      <c r="AY256" s="2994">
        <v>1.1927000000000001</v>
      </c>
      <c r="AZ256" s="2994">
        <v>1.806</v>
      </c>
      <c r="BA256" s="2994">
        <v>1.7975000000000001</v>
      </c>
      <c r="BB256" s="2994">
        <v>1.8769</v>
      </c>
      <c r="BC256" s="2994">
        <v>1.7808999999999999</v>
      </c>
      <c r="BD256" s="3471">
        <v>1.5168999999999999</v>
      </c>
      <c r="BE256" s="3471">
        <v>0.8448</v>
      </c>
      <c r="BF256" s="3471">
        <v>1.6194999999999999</v>
      </c>
    </row>
    <row r="257" spans="1:58">
      <c r="A257" s="1817" t="str">
        <f t="shared" si="7"/>
        <v>Northern AmericaMushrooms and truffles</v>
      </c>
      <c r="B257" s="1818" t="s">
        <v>1318</v>
      </c>
      <c r="C257" s="1818" t="s">
        <v>7350</v>
      </c>
      <c r="D257" s="3463" t="str">
        <f>VLOOKUP(B257,List_Yield!$G$4:$J$14,4,FALSE)</f>
        <v>North America</v>
      </c>
      <c r="E257" s="3463" t="str">
        <f t="shared" si="8"/>
        <v>North AmericaMushrooms and truffles</v>
      </c>
      <c r="F257" s="2994">
        <v>0</v>
      </c>
      <c r="G257" s="2994">
        <v>0</v>
      </c>
      <c r="H257" s="2994">
        <v>0</v>
      </c>
      <c r="I257" s="2994">
        <v>0</v>
      </c>
      <c r="J257" s="2994">
        <v>0</v>
      </c>
      <c r="K257" s="2994">
        <v>0</v>
      </c>
      <c r="L257" s="2994">
        <v>0</v>
      </c>
      <c r="M257" s="2994">
        <v>0</v>
      </c>
      <c r="N257" s="2994">
        <v>0</v>
      </c>
      <c r="O257" s="2994">
        <v>0</v>
      </c>
      <c r="P257" s="2994">
        <v>0</v>
      </c>
      <c r="Q257" s="2994">
        <v>0</v>
      </c>
      <c r="R257" s="2994">
        <v>0</v>
      </c>
      <c r="S257" s="2994">
        <v>0</v>
      </c>
      <c r="T257" s="2994">
        <v>0</v>
      </c>
      <c r="U257" s="2994">
        <v>0</v>
      </c>
      <c r="V257" s="2994">
        <v>0</v>
      </c>
      <c r="W257" s="2994">
        <v>0</v>
      </c>
      <c r="X257" s="2994">
        <v>0</v>
      </c>
      <c r="Y257" s="2994">
        <v>0</v>
      </c>
      <c r="Z257" s="2994">
        <v>0</v>
      </c>
      <c r="AA257" s="2994">
        <v>0</v>
      </c>
      <c r="AB257" s="2994">
        <v>0</v>
      </c>
      <c r="AC257" s="2994">
        <v>0</v>
      </c>
      <c r="AD257" s="2994">
        <v>0</v>
      </c>
      <c r="AE257" s="2994">
        <v>0</v>
      </c>
      <c r="AF257" s="2994">
        <v>0</v>
      </c>
      <c r="AG257" s="2994">
        <v>0</v>
      </c>
      <c r="AH257" s="2994">
        <v>0</v>
      </c>
      <c r="AI257" s="2994">
        <v>0</v>
      </c>
      <c r="AJ257" s="2994">
        <v>0</v>
      </c>
      <c r="AK257" s="2994">
        <v>0</v>
      </c>
      <c r="AL257" s="2994">
        <v>0</v>
      </c>
      <c r="AM257" s="2994">
        <v>0</v>
      </c>
      <c r="AN257" s="2994">
        <v>0</v>
      </c>
      <c r="AO257" s="2994">
        <v>0</v>
      </c>
      <c r="AP257" s="2994">
        <v>0</v>
      </c>
      <c r="AQ257" s="2994">
        <v>0</v>
      </c>
      <c r="AR257" s="2994">
        <v>0</v>
      </c>
      <c r="AS257" s="2994">
        <v>0</v>
      </c>
      <c r="AT257" s="2994">
        <v>0</v>
      </c>
      <c r="AU257" s="2994">
        <v>0</v>
      </c>
      <c r="AV257" s="2994">
        <v>0</v>
      </c>
      <c r="AW257" s="2994">
        <v>0</v>
      </c>
      <c r="AX257" s="2994">
        <v>0</v>
      </c>
      <c r="AY257" s="2994">
        <v>0</v>
      </c>
      <c r="AZ257" s="2994">
        <v>0</v>
      </c>
      <c r="BA257" s="2994">
        <v>0</v>
      </c>
      <c r="BB257" s="2994">
        <v>0</v>
      </c>
      <c r="BC257" s="2994">
        <v>0</v>
      </c>
      <c r="BD257" s="3471">
        <v>0</v>
      </c>
      <c r="BE257" s="3471">
        <v>0</v>
      </c>
      <c r="BF257" s="3471">
        <v>0</v>
      </c>
    </row>
    <row r="258" spans="1:58">
      <c r="A258" s="1817" t="str">
        <f t="shared" ref="A258:A321" si="9">CONCATENATE(B258,C258)</f>
        <v>Northern AmericaMustard seed</v>
      </c>
      <c r="B258" s="1818" t="s">
        <v>1318</v>
      </c>
      <c r="C258" s="1818" t="s">
        <v>7351</v>
      </c>
      <c r="D258" s="3463" t="str">
        <f>VLOOKUP(B258,List_Yield!$G$4:$J$14,4,FALSE)</f>
        <v>North America</v>
      </c>
      <c r="E258" s="3463" t="str">
        <f t="shared" si="8"/>
        <v>North AmericaMustard seed</v>
      </c>
      <c r="F258" s="2994">
        <v>0.4617</v>
      </c>
      <c r="G258" s="2994">
        <v>0.67949999999999999</v>
      </c>
      <c r="H258" s="2994">
        <v>0.95509999999999995</v>
      </c>
      <c r="I258" s="2994">
        <v>0.77149999999999996</v>
      </c>
      <c r="J258" s="2994">
        <v>0.8881</v>
      </c>
      <c r="K258" s="2994">
        <v>0.92610000000000003</v>
      </c>
      <c r="L258" s="2994">
        <v>0.77200000000000002</v>
      </c>
      <c r="M258" s="2994">
        <v>0.98550000000000004</v>
      </c>
      <c r="N258" s="2994">
        <v>1.0771999999999999</v>
      </c>
      <c r="O258" s="2994">
        <v>1.046</v>
      </c>
      <c r="P258" s="2994">
        <v>1.0004</v>
      </c>
      <c r="Q258" s="2994">
        <v>0.94469999999999998</v>
      </c>
      <c r="R258" s="2994">
        <v>0.88419999999999999</v>
      </c>
      <c r="S258" s="2994">
        <v>0.84489999999999998</v>
      </c>
      <c r="T258" s="2994">
        <v>0.79779999999999995</v>
      </c>
      <c r="U258" s="2994">
        <v>0.98619999999999997</v>
      </c>
      <c r="V258" s="2994">
        <v>1.0541</v>
      </c>
      <c r="W258" s="2994">
        <v>1.0403</v>
      </c>
      <c r="X258" s="2994">
        <v>0.81279999999999997</v>
      </c>
      <c r="Y258" s="2994">
        <v>0.97430000000000005</v>
      </c>
      <c r="Z258" s="2994">
        <v>1.0843</v>
      </c>
      <c r="AA258" s="2994">
        <v>1.1678999999999999</v>
      </c>
      <c r="AB258" s="2994">
        <v>0.91269999999999996</v>
      </c>
      <c r="AC258" s="2994">
        <v>0.81130000000000002</v>
      </c>
      <c r="AD258" s="2994">
        <v>0.9153</v>
      </c>
      <c r="AE258" s="2994">
        <v>1.2144999999999999</v>
      </c>
      <c r="AF258" s="2994">
        <v>1.1509</v>
      </c>
      <c r="AG258" s="2994">
        <v>0.71179999999999999</v>
      </c>
      <c r="AH258" s="2994">
        <v>0.78139999999999998</v>
      </c>
      <c r="AI258" s="2994">
        <v>1.0770999999999999</v>
      </c>
      <c r="AJ258" s="2994">
        <v>1.0707</v>
      </c>
      <c r="AK258" s="2994">
        <v>1.2039</v>
      </c>
      <c r="AL258" s="2994">
        <v>1.1487000000000001</v>
      </c>
      <c r="AM258" s="2994">
        <v>0.98839999999999995</v>
      </c>
      <c r="AN258" s="2994">
        <v>0.93589999999999995</v>
      </c>
      <c r="AO258" s="2994">
        <v>0.98709999999999998</v>
      </c>
      <c r="AP258" s="2994">
        <v>0.84050000000000002</v>
      </c>
      <c r="AQ258" s="2994">
        <v>0.86750000000000005</v>
      </c>
      <c r="AR258" s="2994">
        <v>1.1057999999999999</v>
      </c>
      <c r="AS258" s="2994">
        <v>0.97150000000000003</v>
      </c>
      <c r="AT258" s="2994">
        <v>0.7026</v>
      </c>
      <c r="AU258" s="2994">
        <v>0.63349999999999995</v>
      </c>
      <c r="AV258" s="2994">
        <v>0.70399999999999996</v>
      </c>
      <c r="AW258" s="2994">
        <v>0.99980000000000002</v>
      </c>
      <c r="AX258" s="2994">
        <v>0.96930000000000005</v>
      </c>
      <c r="AY258" s="2994">
        <v>0.83240000000000003</v>
      </c>
      <c r="AZ258" s="2994">
        <v>0.66479999999999995</v>
      </c>
      <c r="BA258" s="2994">
        <v>0.8357</v>
      </c>
      <c r="BB258" s="2994">
        <v>1.0094000000000001</v>
      </c>
      <c r="BC258" s="2994">
        <v>0.99909999999999999</v>
      </c>
      <c r="BD258" s="3471">
        <v>0.99829999999999997</v>
      </c>
      <c r="BE258" s="3471">
        <v>0.8538</v>
      </c>
      <c r="BF258" s="3471">
        <v>1.0484</v>
      </c>
    </row>
    <row r="259" spans="1:58">
      <c r="A259" s="1817" t="str">
        <f t="shared" si="9"/>
        <v>Northern AmericaNutmeg, mace and cardamoms</v>
      </c>
      <c r="B259" s="1818" t="s">
        <v>1318</v>
      </c>
      <c r="C259" s="1818" t="s">
        <v>7352</v>
      </c>
      <c r="D259" s="3463" t="str">
        <f>VLOOKUP(B259,List_Yield!$G$4:$J$14,4,FALSE)</f>
        <v>North America</v>
      </c>
      <c r="E259" s="3463" t="str">
        <f t="shared" si="8"/>
        <v>North AmericaNutmeg, mace and cardamoms</v>
      </c>
      <c r="F259" s="2994">
        <v>0</v>
      </c>
      <c r="G259" s="2994">
        <v>0</v>
      </c>
      <c r="H259" s="2994">
        <v>0</v>
      </c>
      <c r="I259" s="2994">
        <v>0</v>
      </c>
      <c r="J259" s="2994">
        <v>0</v>
      </c>
      <c r="K259" s="2994">
        <v>0</v>
      </c>
      <c r="L259" s="2994">
        <v>0</v>
      </c>
      <c r="M259" s="2994">
        <v>0</v>
      </c>
      <c r="N259" s="2994">
        <v>0</v>
      </c>
      <c r="O259" s="2994">
        <v>0</v>
      </c>
      <c r="P259" s="2994">
        <v>0</v>
      </c>
      <c r="Q259" s="2994">
        <v>0</v>
      </c>
      <c r="R259" s="2994">
        <v>0</v>
      </c>
      <c r="S259" s="2994">
        <v>0</v>
      </c>
      <c r="T259" s="2994">
        <v>0</v>
      </c>
      <c r="U259" s="2994">
        <v>0</v>
      </c>
      <c r="V259" s="2994">
        <v>0</v>
      </c>
      <c r="W259" s="2994">
        <v>0</v>
      </c>
      <c r="X259" s="2994">
        <v>0</v>
      </c>
      <c r="Y259" s="2994">
        <v>0</v>
      </c>
      <c r="Z259" s="2994">
        <v>0</v>
      </c>
      <c r="AA259" s="2994">
        <v>0</v>
      </c>
      <c r="AB259" s="2994">
        <v>0</v>
      </c>
      <c r="AC259" s="2994">
        <v>0</v>
      </c>
      <c r="AD259" s="2994">
        <v>0</v>
      </c>
      <c r="AE259" s="2994">
        <v>0</v>
      </c>
      <c r="AF259" s="2994">
        <v>0</v>
      </c>
      <c r="AG259" s="2994">
        <v>0</v>
      </c>
      <c r="AH259" s="2994">
        <v>0</v>
      </c>
      <c r="AI259" s="2994">
        <v>0</v>
      </c>
      <c r="AJ259" s="2994">
        <v>0</v>
      </c>
      <c r="AK259" s="2994">
        <v>0</v>
      </c>
      <c r="AL259" s="2994">
        <v>0</v>
      </c>
      <c r="AM259" s="2994">
        <v>0</v>
      </c>
      <c r="AN259" s="2994">
        <v>0</v>
      </c>
      <c r="AO259" s="2994">
        <v>0</v>
      </c>
      <c r="AP259" s="2994">
        <v>0</v>
      </c>
      <c r="AQ259" s="2994">
        <v>0</v>
      </c>
      <c r="AR259" s="2994">
        <v>0</v>
      </c>
      <c r="AS259" s="2994">
        <v>0</v>
      </c>
      <c r="AT259" s="2994">
        <v>0</v>
      </c>
      <c r="AU259" s="2994">
        <v>0</v>
      </c>
      <c r="AV259" s="2994">
        <v>0</v>
      </c>
      <c r="AW259" s="2994">
        <v>0</v>
      </c>
      <c r="AX259" s="2994">
        <v>0</v>
      </c>
      <c r="AY259" s="2994">
        <v>0</v>
      </c>
      <c r="AZ259" s="2994">
        <v>0</v>
      </c>
      <c r="BA259" s="2994">
        <v>0</v>
      </c>
      <c r="BB259" s="2994">
        <v>0</v>
      </c>
      <c r="BC259" s="2994">
        <v>0</v>
      </c>
      <c r="BD259" s="3471">
        <v>0</v>
      </c>
      <c r="BE259" s="3471">
        <v>0</v>
      </c>
      <c r="BF259" s="3471">
        <v>0</v>
      </c>
    </row>
    <row r="260" spans="1:58">
      <c r="A260" s="1817" t="str">
        <f t="shared" si="9"/>
        <v>Northern AmericaNuts, nes</v>
      </c>
      <c r="B260" s="1818" t="s">
        <v>1318</v>
      </c>
      <c r="C260" s="1818" t="s">
        <v>7353</v>
      </c>
      <c r="D260" s="3463" t="str">
        <f>VLOOKUP(B260,List_Yield!$G$4:$J$14,4,FALSE)</f>
        <v>North America</v>
      </c>
      <c r="E260" s="3463" t="str">
        <f t="shared" si="8"/>
        <v>North AmericaNuts, nes</v>
      </c>
      <c r="F260" s="2994">
        <v>0</v>
      </c>
      <c r="G260" s="2994">
        <v>0</v>
      </c>
      <c r="H260" s="2994">
        <v>0</v>
      </c>
      <c r="I260" s="2994">
        <v>0</v>
      </c>
      <c r="J260" s="2994">
        <v>0</v>
      </c>
      <c r="K260" s="2994">
        <v>0</v>
      </c>
      <c r="L260" s="2994">
        <v>0</v>
      </c>
      <c r="M260" s="2994">
        <v>0</v>
      </c>
      <c r="N260" s="2994">
        <v>0</v>
      </c>
      <c r="O260" s="2994">
        <v>0</v>
      </c>
      <c r="P260" s="2994">
        <v>0</v>
      </c>
      <c r="Q260" s="2994">
        <v>0</v>
      </c>
      <c r="R260" s="2994">
        <v>0</v>
      </c>
      <c r="S260" s="2994">
        <v>0</v>
      </c>
      <c r="T260" s="2994">
        <v>0</v>
      </c>
      <c r="U260" s="2994">
        <v>0</v>
      </c>
      <c r="V260" s="2994">
        <v>0</v>
      </c>
      <c r="W260" s="2994">
        <v>0</v>
      </c>
      <c r="X260" s="2994">
        <v>0</v>
      </c>
      <c r="Y260" s="2994">
        <v>0</v>
      </c>
      <c r="Z260" s="2994">
        <v>0</v>
      </c>
      <c r="AA260" s="2994">
        <v>0</v>
      </c>
      <c r="AB260" s="2994">
        <v>0</v>
      </c>
      <c r="AC260" s="2994">
        <v>0</v>
      </c>
      <c r="AD260" s="2994">
        <v>1.9984999999999999</v>
      </c>
      <c r="AE260" s="2994">
        <v>2.21</v>
      </c>
      <c r="AF260" s="2994">
        <v>2.1261999999999999</v>
      </c>
      <c r="AG260" s="2994">
        <v>2.4662000000000002</v>
      </c>
      <c r="AH260" s="2994">
        <v>2.1</v>
      </c>
      <c r="AI260" s="2994">
        <v>1.9282999999999999</v>
      </c>
      <c r="AJ260" s="2994">
        <v>2.3938999999999999</v>
      </c>
      <c r="AK260" s="2994">
        <v>1.7976000000000001</v>
      </c>
      <c r="AL260" s="2994">
        <v>2.5013000000000001</v>
      </c>
      <c r="AM260" s="2994">
        <v>2.0013999999999998</v>
      </c>
      <c r="AN260" s="2994">
        <v>2.2231000000000001</v>
      </c>
      <c r="AO260" s="2994">
        <v>2.1936</v>
      </c>
      <c r="AP260" s="2994">
        <v>2.4424999999999999</v>
      </c>
      <c r="AQ260" s="2994">
        <v>2.2561</v>
      </c>
      <c r="AR260" s="2994">
        <v>2.5</v>
      </c>
      <c r="AS260" s="2994">
        <v>2.6189</v>
      </c>
      <c r="AT260" s="2994">
        <v>2.5941000000000001</v>
      </c>
      <c r="AU260" s="2994">
        <v>2.5628000000000002</v>
      </c>
      <c r="AV260" s="2994">
        <v>2.6215000000000002</v>
      </c>
      <c r="AW260" s="2994">
        <v>2.5871</v>
      </c>
      <c r="AX260" s="2994">
        <v>2.5766</v>
      </c>
      <c r="AY260" s="2994">
        <v>2.5082</v>
      </c>
      <c r="AZ260" s="2994">
        <v>2.5565000000000002</v>
      </c>
      <c r="BA260" s="2994">
        <v>2.5625</v>
      </c>
      <c r="BB260" s="2994">
        <v>2.3218999999999999</v>
      </c>
      <c r="BC260" s="2994">
        <v>2.2153999999999998</v>
      </c>
      <c r="BD260" s="3471">
        <v>1.9236</v>
      </c>
      <c r="BE260" s="3471">
        <v>2.1638000000000002</v>
      </c>
      <c r="BF260" s="3471">
        <v>0</v>
      </c>
    </row>
    <row r="261" spans="1:58">
      <c r="A261" s="1817" t="str">
        <f t="shared" si="9"/>
        <v>Northern AmericaOats</v>
      </c>
      <c r="B261" s="1818" t="s">
        <v>1318</v>
      </c>
      <c r="C261" s="1818" t="s">
        <v>1323</v>
      </c>
      <c r="D261" s="3463" t="str">
        <f>VLOOKUP(B261,List_Yield!$G$4:$J$14,4,FALSE)</f>
        <v>North America</v>
      </c>
      <c r="E261" s="3463" t="str">
        <f t="shared" si="8"/>
        <v>North AmericaOats</v>
      </c>
      <c r="F261" s="2994">
        <v>1.4512</v>
      </c>
      <c r="G261" s="2994">
        <v>1.6718</v>
      </c>
      <c r="H261" s="2994">
        <v>1.6845000000000001</v>
      </c>
      <c r="I261" s="2994">
        <v>1.5786</v>
      </c>
      <c r="J261" s="2994">
        <v>1.8071999999999999</v>
      </c>
      <c r="K261" s="2994">
        <v>1.6700999999999999</v>
      </c>
      <c r="L261" s="2994">
        <v>1.7018</v>
      </c>
      <c r="M261" s="2994">
        <v>1.8972</v>
      </c>
      <c r="N261" s="2994">
        <v>1.9061999999999999</v>
      </c>
      <c r="O261" s="2994">
        <v>1.8167</v>
      </c>
      <c r="P261" s="2994">
        <v>2.0122</v>
      </c>
      <c r="Q261" s="2994">
        <v>1.8556999999999999</v>
      </c>
      <c r="R261" s="2994">
        <v>1.7637</v>
      </c>
      <c r="S261" s="2994">
        <v>1.6763999999999999</v>
      </c>
      <c r="T261" s="2994">
        <v>1.7885</v>
      </c>
      <c r="U261" s="2994">
        <v>1.7608999999999999</v>
      </c>
      <c r="V261" s="2994">
        <v>2.0072999999999999</v>
      </c>
      <c r="W261" s="2994">
        <v>1.905</v>
      </c>
      <c r="X261" s="2994">
        <v>1.9453</v>
      </c>
      <c r="Y261" s="2994">
        <v>1.9317</v>
      </c>
      <c r="Z261" s="2994">
        <v>1.9719</v>
      </c>
      <c r="AA261" s="2994">
        <v>2.1233</v>
      </c>
      <c r="AB261" s="2994">
        <v>1.9120999999999999</v>
      </c>
      <c r="AC261" s="2994">
        <v>2.0369000000000002</v>
      </c>
      <c r="AD261" s="2994">
        <v>2.2502</v>
      </c>
      <c r="AE261" s="2994">
        <v>2.1798000000000002</v>
      </c>
      <c r="AF261" s="2994">
        <v>2.0787</v>
      </c>
      <c r="AG261" s="2994">
        <v>1.7041999999999999</v>
      </c>
      <c r="AH261" s="2994">
        <v>1.9899</v>
      </c>
      <c r="AI261" s="2994">
        <v>2.2138</v>
      </c>
      <c r="AJ261" s="2994">
        <v>1.9109</v>
      </c>
      <c r="AK261" s="2994">
        <v>2.3184</v>
      </c>
      <c r="AL261" s="2994">
        <v>2.2774999999999999</v>
      </c>
      <c r="AM261" s="2994">
        <v>2.2349999999999999</v>
      </c>
      <c r="AN261" s="2994">
        <v>2.1657999999999999</v>
      </c>
      <c r="AO261" s="2994">
        <v>2.3875999999999999</v>
      </c>
      <c r="AP261" s="2994">
        <v>2.2425999999999999</v>
      </c>
      <c r="AQ261" s="2994">
        <v>2.3523000000000001</v>
      </c>
      <c r="AR261" s="2994">
        <v>2.4102999999999999</v>
      </c>
      <c r="AS261" s="2994">
        <v>2.4792999999999998</v>
      </c>
      <c r="AT261" s="2994">
        <v>2.1859999999999999</v>
      </c>
      <c r="AU261" s="2994">
        <v>2.0773000000000001</v>
      </c>
      <c r="AV261" s="2994">
        <v>2.3656999999999999</v>
      </c>
      <c r="AW261" s="2994">
        <v>2.6292</v>
      </c>
      <c r="AX261" s="2994">
        <v>2.4638</v>
      </c>
      <c r="AY261" s="2994">
        <v>2.4011</v>
      </c>
      <c r="AZ261" s="2994">
        <v>2.4786000000000001</v>
      </c>
      <c r="BA261" s="2994">
        <v>2.7625000000000002</v>
      </c>
      <c r="BB261" s="2994">
        <v>2.7671000000000001</v>
      </c>
      <c r="BC261" s="2994">
        <v>2.5811000000000002</v>
      </c>
      <c r="BD261" s="3471">
        <v>2.6785999999999999</v>
      </c>
      <c r="BE261" s="3471">
        <v>2.6993</v>
      </c>
      <c r="BF261" s="3471">
        <v>3.2174</v>
      </c>
    </row>
    <row r="262" spans="1:58">
      <c r="A262" s="1817" t="str">
        <f t="shared" si="9"/>
        <v>Northern AmericaOil, palm fruit</v>
      </c>
      <c r="B262" s="1818" t="s">
        <v>1318</v>
      </c>
      <c r="C262" s="1818" t="s">
        <v>7354</v>
      </c>
      <c r="D262" s="3463" t="str">
        <f>VLOOKUP(B262,List_Yield!$G$4:$J$14,4,FALSE)</f>
        <v>North America</v>
      </c>
      <c r="E262" s="3463" t="str">
        <f t="shared" si="8"/>
        <v>North AmericaOil, palm fruit</v>
      </c>
      <c r="F262" s="2994">
        <v>0</v>
      </c>
      <c r="G262" s="2994">
        <v>0</v>
      </c>
      <c r="H262" s="2994">
        <v>0</v>
      </c>
      <c r="I262" s="2994">
        <v>0</v>
      </c>
      <c r="J262" s="2994">
        <v>0</v>
      </c>
      <c r="K262" s="2994">
        <v>0</v>
      </c>
      <c r="L262" s="2994">
        <v>0</v>
      </c>
      <c r="M262" s="2994">
        <v>0</v>
      </c>
      <c r="N262" s="2994">
        <v>0</v>
      </c>
      <c r="O262" s="2994">
        <v>0</v>
      </c>
      <c r="P262" s="2994">
        <v>0</v>
      </c>
      <c r="Q262" s="2994">
        <v>0</v>
      </c>
      <c r="R262" s="2994">
        <v>0</v>
      </c>
      <c r="S262" s="2994">
        <v>0</v>
      </c>
      <c r="T262" s="2994">
        <v>0</v>
      </c>
      <c r="U262" s="2994">
        <v>0</v>
      </c>
      <c r="V262" s="2994">
        <v>0</v>
      </c>
      <c r="W262" s="2994">
        <v>0</v>
      </c>
      <c r="X262" s="2994">
        <v>0</v>
      </c>
      <c r="Y262" s="2994">
        <v>0</v>
      </c>
      <c r="Z262" s="2994">
        <v>0</v>
      </c>
      <c r="AA262" s="2994">
        <v>0</v>
      </c>
      <c r="AB262" s="2994">
        <v>0</v>
      </c>
      <c r="AC262" s="2994">
        <v>0</v>
      </c>
      <c r="AD262" s="2994">
        <v>0</v>
      </c>
      <c r="AE262" s="2994">
        <v>0</v>
      </c>
      <c r="AF262" s="2994">
        <v>0</v>
      </c>
      <c r="AG262" s="2994">
        <v>0</v>
      </c>
      <c r="AH262" s="2994">
        <v>0</v>
      </c>
      <c r="AI262" s="2994">
        <v>0</v>
      </c>
      <c r="AJ262" s="2994">
        <v>0</v>
      </c>
      <c r="AK262" s="2994">
        <v>0</v>
      </c>
      <c r="AL262" s="2994">
        <v>0</v>
      </c>
      <c r="AM262" s="2994">
        <v>0</v>
      </c>
      <c r="AN262" s="2994">
        <v>0</v>
      </c>
      <c r="AO262" s="2994">
        <v>0</v>
      </c>
      <c r="AP262" s="2994">
        <v>0</v>
      </c>
      <c r="AQ262" s="2994">
        <v>0</v>
      </c>
      <c r="AR262" s="2994">
        <v>0</v>
      </c>
      <c r="AS262" s="2994">
        <v>0</v>
      </c>
      <c r="AT262" s="2994">
        <v>0</v>
      </c>
      <c r="AU262" s="2994">
        <v>0</v>
      </c>
      <c r="AV262" s="2994">
        <v>0</v>
      </c>
      <c r="AW262" s="2994">
        <v>0</v>
      </c>
      <c r="AX262" s="2994">
        <v>0</v>
      </c>
      <c r="AY262" s="2994">
        <v>0</v>
      </c>
      <c r="AZ262" s="2994">
        <v>0</v>
      </c>
      <c r="BA262" s="2994">
        <v>0</v>
      </c>
      <c r="BB262" s="2994">
        <v>0</v>
      </c>
      <c r="BC262" s="2994">
        <v>0</v>
      </c>
      <c r="BD262" s="3471">
        <v>0</v>
      </c>
      <c r="BE262" s="3471">
        <v>0</v>
      </c>
      <c r="BF262" s="3471">
        <v>0</v>
      </c>
    </row>
    <row r="263" spans="1:58">
      <c r="A263" s="1817" t="str">
        <f t="shared" si="9"/>
        <v>Northern AmericaOilseeds nes</v>
      </c>
      <c r="B263" s="1818" t="s">
        <v>1318</v>
      </c>
      <c r="C263" s="1818" t="s">
        <v>7355</v>
      </c>
      <c r="D263" s="3463" t="str">
        <f>VLOOKUP(B263,List_Yield!$G$4:$J$14,4,FALSE)</f>
        <v>North America</v>
      </c>
      <c r="E263" s="3463" t="str">
        <f t="shared" si="8"/>
        <v>North AmericaOilseeds nes</v>
      </c>
      <c r="F263" s="2994">
        <v>0</v>
      </c>
      <c r="G263" s="2994">
        <v>0</v>
      </c>
      <c r="H263" s="2994">
        <v>0</v>
      </c>
      <c r="I263" s="2994">
        <v>0</v>
      </c>
      <c r="J263" s="2994">
        <v>0</v>
      </c>
      <c r="K263" s="2994">
        <v>0</v>
      </c>
      <c r="L263" s="2994">
        <v>0</v>
      </c>
      <c r="M263" s="2994">
        <v>0</v>
      </c>
      <c r="N263" s="2994">
        <v>0</v>
      </c>
      <c r="O263" s="2994">
        <v>0</v>
      </c>
      <c r="P263" s="2994">
        <v>0</v>
      </c>
      <c r="Q263" s="2994">
        <v>0</v>
      </c>
      <c r="R263" s="2994">
        <v>0</v>
      </c>
      <c r="S263" s="2994">
        <v>0</v>
      </c>
      <c r="T263" s="2994">
        <v>0</v>
      </c>
      <c r="U263" s="2994">
        <v>0</v>
      </c>
      <c r="V263" s="2994">
        <v>0</v>
      </c>
      <c r="W263" s="2994">
        <v>0</v>
      </c>
      <c r="X263" s="2994">
        <v>0</v>
      </c>
      <c r="Y263" s="2994">
        <v>0</v>
      </c>
      <c r="Z263" s="2994">
        <v>0</v>
      </c>
      <c r="AA263" s="2994">
        <v>0</v>
      </c>
      <c r="AB263" s="2994">
        <v>0</v>
      </c>
      <c r="AC263" s="2994">
        <v>0</v>
      </c>
      <c r="AD263" s="2994">
        <v>0</v>
      </c>
      <c r="AE263" s="2994">
        <v>0</v>
      </c>
      <c r="AF263" s="2994">
        <v>0</v>
      </c>
      <c r="AG263" s="2994">
        <v>0</v>
      </c>
      <c r="AH263" s="2994">
        <v>0</v>
      </c>
      <c r="AI263" s="2994">
        <v>0</v>
      </c>
      <c r="AJ263" s="2994">
        <v>0</v>
      </c>
      <c r="AK263" s="2994">
        <v>0</v>
      </c>
      <c r="AL263" s="2994">
        <v>0</v>
      </c>
      <c r="AM263" s="2994">
        <v>0</v>
      </c>
      <c r="AN263" s="2994">
        <v>0</v>
      </c>
      <c r="AO263" s="2994">
        <v>0</v>
      </c>
      <c r="AP263" s="2994">
        <v>0</v>
      </c>
      <c r="AQ263" s="2994">
        <v>0</v>
      </c>
      <c r="AR263" s="2994">
        <v>0</v>
      </c>
      <c r="AS263" s="2994">
        <v>0</v>
      </c>
      <c r="AT263" s="2994">
        <v>0</v>
      </c>
      <c r="AU263" s="2994">
        <v>0.66669999999999996</v>
      </c>
      <c r="AV263" s="2994">
        <v>0.3125</v>
      </c>
      <c r="AW263" s="2994">
        <v>0.35</v>
      </c>
      <c r="AX263" s="2994">
        <v>0.35</v>
      </c>
      <c r="AY263" s="2994">
        <v>0.34100000000000003</v>
      </c>
      <c r="AZ263" s="2994">
        <v>0.29360000000000003</v>
      </c>
      <c r="BA263" s="2994">
        <v>0.36870000000000003</v>
      </c>
      <c r="BB263" s="2994">
        <v>0.3705</v>
      </c>
      <c r="BC263" s="2994">
        <v>0.36859999999999998</v>
      </c>
      <c r="BD263" s="3471">
        <v>0.37080000000000002</v>
      </c>
      <c r="BE263" s="3471">
        <v>0.37180000000000002</v>
      </c>
      <c r="BF263" s="3471">
        <v>0.37180000000000002</v>
      </c>
    </row>
    <row r="264" spans="1:58">
      <c r="A264" s="1817" t="str">
        <f t="shared" si="9"/>
        <v>Northern AmericaOkra</v>
      </c>
      <c r="B264" s="1818" t="s">
        <v>1318</v>
      </c>
      <c r="C264" s="1818" t="s">
        <v>7356</v>
      </c>
      <c r="D264" s="3463" t="str">
        <f>VLOOKUP(B264,List_Yield!$G$4:$J$14,4,FALSE)</f>
        <v>North America</v>
      </c>
      <c r="E264" s="3463" t="str">
        <f t="shared" si="8"/>
        <v>North AmericaOkra</v>
      </c>
      <c r="F264" s="2994">
        <v>0</v>
      </c>
      <c r="G264" s="2994">
        <v>0</v>
      </c>
      <c r="H264" s="2994">
        <v>0</v>
      </c>
      <c r="I264" s="2994">
        <v>0</v>
      </c>
      <c r="J264" s="2994">
        <v>0</v>
      </c>
      <c r="K264" s="2994">
        <v>0</v>
      </c>
      <c r="L264" s="2994">
        <v>0</v>
      </c>
      <c r="M264" s="2994">
        <v>0</v>
      </c>
      <c r="N264" s="2994">
        <v>0</v>
      </c>
      <c r="O264" s="2994">
        <v>0</v>
      </c>
      <c r="P264" s="2994">
        <v>0</v>
      </c>
      <c r="Q264" s="2994">
        <v>0</v>
      </c>
      <c r="R264" s="2994">
        <v>0</v>
      </c>
      <c r="S264" s="2994">
        <v>0</v>
      </c>
      <c r="T264" s="2994">
        <v>0</v>
      </c>
      <c r="U264" s="2994">
        <v>0</v>
      </c>
      <c r="V264" s="2994">
        <v>0</v>
      </c>
      <c r="W264" s="2994">
        <v>0</v>
      </c>
      <c r="X264" s="2994">
        <v>0</v>
      </c>
      <c r="Y264" s="2994">
        <v>0</v>
      </c>
      <c r="Z264" s="2994">
        <v>0</v>
      </c>
      <c r="AA264" s="2994">
        <v>0</v>
      </c>
      <c r="AB264" s="2994">
        <v>0</v>
      </c>
      <c r="AC264" s="2994">
        <v>0</v>
      </c>
      <c r="AD264" s="2994">
        <v>0</v>
      </c>
      <c r="AE264" s="2994">
        <v>0</v>
      </c>
      <c r="AF264" s="2994">
        <v>0</v>
      </c>
      <c r="AG264" s="2994">
        <v>0</v>
      </c>
      <c r="AH264" s="2994">
        <v>0</v>
      </c>
      <c r="AI264" s="2994">
        <v>0</v>
      </c>
      <c r="AJ264" s="2994">
        <v>7.75</v>
      </c>
      <c r="AK264" s="2994">
        <v>7.5</v>
      </c>
      <c r="AL264" s="2994">
        <v>7.4443999999999999</v>
      </c>
      <c r="AM264" s="2994">
        <v>7.4545000000000003</v>
      </c>
      <c r="AN264" s="2994">
        <v>7.6189999999999998</v>
      </c>
      <c r="AO264" s="2994">
        <v>7.5293999999999999</v>
      </c>
      <c r="AP264" s="2994">
        <v>7.8692000000000002</v>
      </c>
      <c r="AQ264" s="2994">
        <v>7.5789</v>
      </c>
      <c r="AR264" s="2994">
        <v>7.5221</v>
      </c>
      <c r="AS264" s="2994">
        <v>7.641</v>
      </c>
      <c r="AT264" s="2994">
        <v>6.7294999999999998</v>
      </c>
      <c r="AU264" s="2994">
        <v>6.6666999999999996</v>
      </c>
      <c r="AV264" s="2994">
        <v>7.7599</v>
      </c>
      <c r="AW264" s="2994">
        <v>8.7416</v>
      </c>
      <c r="AX264" s="2994">
        <v>7.5895999999999999</v>
      </c>
      <c r="AY264" s="2994">
        <v>7.6737000000000002</v>
      </c>
      <c r="AZ264" s="2994">
        <v>7.6923000000000004</v>
      </c>
      <c r="BA264" s="2994">
        <v>7.6647999999999996</v>
      </c>
      <c r="BB264" s="2994">
        <v>7.6192000000000002</v>
      </c>
      <c r="BC264" s="2994">
        <v>7.0833000000000004</v>
      </c>
      <c r="BD264" s="3471">
        <v>7.1778000000000004</v>
      </c>
      <c r="BE264" s="3471">
        <v>7</v>
      </c>
      <c r="BF264" s="3471">
        <v>0</v>
      </c>
    </row>
    <row r="265" spans="1:58">
      <c r="A265" s="1817" t="str">
        <f t="shared" si="9"/>
        <v>Northern AmericaOlives</v>
      </c>
      <c r="B265" s="1818" t="s">
        <v>1318</v>
      </c>
      <c r="C265" s="1818" t="s">
        <v>1361</v>
      </c>
      <c r="D265" s="3463" t="str">
        <f>VLOOKUP(B265,List_Yield!$G$4:$J$14,4,FALSE)</f>
        <v>North America</v>
      </c>
      <c r="E265" s="3463" t="str">
        <f t="shared" si="8"/>
        <v>North AmericaOlives</v>
      </c>
      <c r="F265" s="2994">
        <v>3.4982000000000002</v>
      </c>
      <c r="G265" s="2994">
        <v>4.1199000000000003</v>
      </c>
      <c r="H265" s="2994">
        <v>4.5003000000000002</v>
      </c>
      <c r="I265" s="2994">
        <v>4.2340999999999998</v>
      </c>
      <c r="J265" s="2994">
        <v>4.0462999999999996</v>
      </c>
      <c r="K265" s="2994">
        <v>5.3095999999999997</v>
      </c>
      <c r="L265" s="2994">
        <v>1.1624000000000001</v>
      </c>
      <c r="M265" s="2994">
        <v>7.1405000000000003</v>
      </c>
      <c r="N265" s="2994">
        <v>5.7476000000000003</v>
      </c>
      <c r="O265" s="2994">
        <v>4.2232000000000003</v>
      </c>
      <c r="P265" s="2994">
        <v>4.4508999999999999</v>
      </c>
      <c r="Q265" s="2994">
        <v>1.9174</v>
      </c>
      <c r="R265" s="2994">
        <v>5.4885999999999999</v>
      </c>
      <c r="S265" s="2994">
        <v>4.6028000000000002</v>
      </c>
      <c r="T265" s="2994">
        <v>5.1597</v>
      </c>
      <c r="U265" s="2994">
        <v>5.8246000000000002</v>
      </c>
      <c r="V265" s="2994">
        <v>2.9133</v>
      </c>
      <c r="W265" s="2994">
        <v>7.5949999999999998</v>
      </c>
      <c r="X265" s="2994">
        <v>3.7675999999999998</v>
      </c>
      <c r="Y265" s="2994">
        <v>6.7310999999999996</v>
      </c>
      <c r="Z265" s="2994">
        <v>2.9344000000000001</v>
      </c>
      <c r="AA265" s="2994">
        <v>9.3856000000000002</v>
      </c>
      <c r="AB265" s="2994">
        <v>3.8972000000000002</v>
      </c>
      <c r="AC265" s="2994">
        <v>6.0087999999999999</v>
      </c>
      <c r="AD265" s="2994">
        <v>6.5431999999999997</v>
      </c>
      <c r="AE265" s="2994">
        <v>7.7392000000000003</v>
      </c>
      <c r="AF265" s="2994">
        <v>4.7915000000000001</v>
      </c>
      <c r="AG265" s="2994">
        <v>6.2259000000000002</v>
      </c>
      <c r="AH265" s="2994">
        <v>9.2523</v>
      </c>
      <c r="AI265" s="2994">
        <v>9.6991999999999994</v>
      </c>
      <c r="AJ265" s="2994">
        <v>4.9059999999999997</v>
      </c>
      <c r="AK265" s="2994">
        <v>12.2906</v>
      </c>
      <c r="AL265" s="2994">
        <v>9.0869999999999997</v>
      </c>
      <c r="AM265" s="2994">
        <v>5.8841999999999999</v>
      </c>
      <c r="AN265" s="2994">
        <v>5.1547000000000001</v>
      </c>
      <c r="AO265" s="2994">
        <v>11.0411</v>
      </c>
      <c r="AP265" s="2994">
        <v>6.5827999999999998</v>
      </c>
      <c r="AQ265" s="2994">
        <v>5.7157999999999998</v>
      </c>
      <c r="AR265" s="2994">
        <v>7.9383999999999997</v>
      </c>
      <c r="AS265" s="2994">
        <v>4.9808000000000003</v>
      </c>
      <c r="AT265" s="2994">
        <v>8.3431999999999995</v>
      </c>
      <c r="AU265" s="2994">
        <v>6.4135999999999997</v>
      </c>
      <c r="AV265" s="2994">
        <v>7.3472999999999997</v>
      </c>
      <c r="AW265" s="2994">
        <v>7.5247999999999999</v>
      </c>
      <c r="AX265" s="2994">
        <v>9.9474999999999998</v>
      </c>
      <c r="AY265" s="2994">
        <v>1.6995</v>
      </c>
      <c r="AZ265" s="2994">
        <v>9.9002999999999997</v>
      </c>
      <c r="BA265" s="2994">
        <v>4.9913999999999996</v>
      </c>
      <c r="BB265" s="2994">
        <v>3.3481999999999998</v>
      </c>
      <c r="BC265" s="2994">
        <v>12.827199999999999</v>
      </c>
      <c r="BD265" s="3471">
        <v>3.8460999999999999</v>
      </c>
      <c r="BE265" s="3471">
        <v>8.1516999999999999</v>
      </c>
      <c r="BF265" s="3471">
        <v>8.5294000000000008</v>
      </c>
    </row>
    <row r="266" spans="1:58">
      <c r="A266" s="1817" t="str">
        <f t="shared" si="9"/>
        <v>Northern AmericaOnions, dry</v>
      </c>
      <c r="B266" s="1818" t="s">
        <v>1318</v>
      </c>
      <c r="C266" s="1818" t="s">
        <v>1362</v>
      </c>
      <c r="D266" s="3463" t="str">
        <f>VLOOKUP(B266,List_Yield!$G$4:$J$14,4,FALSE)</f>
        <v>North America</v>
      </c>
      <c r="E266" s="3463" t="str">
        <f t="shared" si="8"/>
        <v>North AmericaOnions, dry</v>
      </c>
      <c r="F266" s="2994">
        <v>28.027799999999999</v>
      </c>
      <c r="G266" s="2994">
        <v>29.652799999999999</v>
      </c>
      <c r="H266" s="2994">
        <v>29.8127</v>
      </c>
      <c r="I266" s="2994">
        <v>27.870899999999999</v>
      </c>
      <c r="J266" s="2994">
        <v>31.941400000000002</v>
      </c>
      <c r="K266" s="2994">
        <v>28.836400000000001</v>
      </c>
      <c r="L266" s="2994">
        <v>30.635200000000001</v>
      </c>
      <c r="M266" s="2994">
        <v>30.252300000000002</v>
      </c>
      <c r="N266" s="2994">
        <v>30.851900000000001</v>
      </c>
      <c r="O266" s="2994">
        <v>33.6038</v>
      </c>
      <c r="P266" s="2994">
        <v>33.622399999999999</v>
      </c>
      <c r="Q266" s="2994">
        <v>33.021500000000003</v>
      </c>
      <c r="R266" s="2994">
        <v>31.564399999999999</v>
      </c>
      <c r="S266" s="2994">
        <v>33.524099999999997</v>
      </c>
      <c r="T266" s="2994">
        <v>34.261200000000002</v>
      </c>
      <c r="U266" s="2994">
        <v>35.567</v>
      </c>
      <c r="V266" s="2994">
        <v>35.225000000000001</v>
      </c>
      <c r="W266" s="2994">
        <v>33.552</v>
      </c>
      <c r="X266" s="2994">
        <v>34.735999999999997</v>
      </c>
      <c r="Y266" s="2994">
        <v>32.895800000000001</v>
      </c>
      <c r="Z266" s="2994">
        <v>35.087000000000003</v>
      </c>
      <c r="AA266" s="2994">
        <v>36.989199999999997</v>
      </c>
      <c r="AB266" s="2994">
        <v>35.125399999999999</v>
      </c>
      <c r="AC266" s="2994">
        <v>37.734000000000002</v>
      </c>
      <c r="AD266" s="2994">
        <v>40.968699999999998</v>
      </c>
      <c r="AE266" s="2994">
        <v>41.572499999999998</v>
      </c>
      <c r="AF266" s="2994">
        <v>40.5306</v>
      </c>
      <c r="AG266" s="2994">
        <v>39.902099999999997</v>
      </c>
      <c r="AH266" s="2994">
        <v>40.020600000000002</v>
      </c>
      <c r="AI266" s="2994">
        <v>41.983699999999999</v>
      </c>
      <c r="AJ266" s="2994">
        <v>41.555999999999997</v>
      </c>
      <c r="AK266" s="2994">
        <v>42.337499999999999</v>
      </c>
      <c r="AL266" s="2994">
        <v>42.261600000000001</v>
      </c>
      <c r="AM266" s="2994">
        <v>43.416499999999999</v>
      </c>
      <c r="AN266" s="2994">
        <v>43.317799999999998</v>
      </c>
      <c r="AO266" s="2994">
        <v>42.887500000000003</v>
      </c>
      <c r="AP266" s="2994">
        <v>45.87</v>
      </c>
      <c r="AQ266" s="2994">
        <v>43.557400000000001</v>
      </c>
      <c r="AR266" s="2994">
        <v>46.917999999999999</v>
      </c>
      <c r="AS266" s="2994">
        <v>47.719700000000003</v>
      </c>
      <c r="AT266" s="2994">
        <v>45.818100000000001</v>
      </c>
      <c r="AU266" s="2994">
        <v>46.8093</v>
      </c>
      <c r="AV266" s="2994">
        <v>48.003999999999998</v>
      </c>
      <c r="AW266" s="2994">
        <v>53.4328</v>
      </c>
      <c r="AX266" s="2994">
        <v>48.381700000000002</v>
      </c>
      <c r="AY266" s="2994">
        <v>48.424799999999998</v>
      </c>
      <c r="AZ266" s="2994">
        <v>54.147100000000002</v>
      </c>
      <c r="BA266" s="2994">
        <v>53.3947</v>
      </c>
      <c r="BB266" s="2994">
        <v>54.525500000000001</v>
      </c>
      <c r="BC266" s="2994">
        <v>53.859000000000002</v>
      </c>
      <c r="BD266" s="3471">
        <v>54.999000000000002</v>
      </c>
      <c r="BE266" s="3471">
        <v>53.529200000000003</v>
      </c>
      <c r="BF266" s="3471">
        <v>0</v>
      </c>
    </row>
    <row r="267" spans="1:58">
      <c r="A267" s="1817" t="str">
        <f t="shared" si="9"/>
        <v>Northern AmericaOnions, shallots, green</v>
      </c>
      <c r="B267" s="1818" t="s">
        <v>1318</v>
      </c>
      <c r="C267" s="1818" t="s">
        <v>7357</v>
      </c>
      <c r="D267" s="3463" t="str">
        <f>VLOOKUP(B267,List_Yield!$G$4:$J$14,4,FALSE)</f>
        <v>North America</v>
      </c>
      <c r="E267" s="3463" t="str">
        <f t="shared" si="8"/>
        <v>North AmericaOnions, shallots, green</v>
      </c>
      <c r="F267" s="2994">
        <v>0</v>
      </c>
      <c r="G267" s="2994">
        <v>0</v>
      </c>
      <c r="H267" s="2994">
        <v>0</v>
      </c>
      <c r="I267" s="2994">
        <v>0</v>
      </c>
      <c r="J267" s="2994">
        <v>0</v>
      </c>
      <c r="K267" s="2994">
        <v>0</v>
      </c>
      <c r="L267" s="2994">
        <v>0</v>
      </c>
      <c r="M267" s="2994">
        <v>0</v>
      </c>
      <c r="N267" s="2994">
        <v>0</v>
      </c>
      <c r="O267" s="2994">
        <v>0</v>
      </c>
      <c r="P267" s="2994">
        <v>0</v>
      </c>
      <c r="Q267" s="2994">
        <v>0</v>
      </c>
      <c r="R267" s="2994">
        <v>0</v>
      </c>
      <c r="S267" s="2994">
        <v>0</v>
      </c>
      <c r="T267" s="2994">
        <v>0</v>
      </c>
      <c r="U267" s="2994">
        <v>0</v>
      </c>
      <c r="V267" s="2994">
        <v>0</v>
      </c>
      <c r="W267" s="2994">
        <v>0</v>
      </c>
      <c r="X267" s="2994">
        <v>0</v>
      </c>
      <c r="Y267" s="2994">
        <v>0</v>
      </c>
      <c r="Z267" s="2994">
        <v>0</v>
      </c>
      <c r="AA267" s="2994">
        <v>0</v>
      </c>
      <c r="AB267" s="2994">
        <v>0</v>
      </c>
      <c r="AC267" s="2994">
        <v>0</v>
      </c>
      <c r="AD267" s="2994">
        <v>0</v>
      </c>
      <c r="AE267" s="2994">
        <v>0</v>
      </c>
      <c r="AF267" s="2994">
        <v>0</v>
      </c>
      <c r="AG267" s="2994">
        <v>0</v>
      </c>
      <c r="AH267" s="2994">
        <v>0</v>
      </c>
      <c r="AI267" s="2994">
        <v>0</v>
      </c>
      <c r="AJ267" s="2994">
        <v>0</v>
      </c>
      <c r="AK267" s="2994">
        <v>0</v>
      </c>
      <c r="AL267" s="2994">
        <v>0</v>
      </c>
      <c r="AM267" s="2994">
        <v>0</v>
      </c>
      <c r="AN267" s="2994">
        <v>0</v>
      </c>
      <c r="AO267" s="2994">
        <v>0</v>
      </c>
      <c r="AP267" s="2994">
        <v>0</v>
      </c>
      <c r="AQ267" s="2994">
        <v>0</v>
      </c>
      <c r="AR267" s="2994">
        <v>0</v>
      </c>
      <c r="AS267" s="2994">
        <v>0</v>
      </c>
      <c r="AT267" s="2994">
        <v>0</v>
      </c>
      <c r="AU267" s="2994">
        <v>0</v>
      </c>
      <c r="AV267" s="2994">
        <v>0</v>
      </c>
      <c r="AW267" s="2994">
        <v>0</v>
      </c>
      <c r="AX267" s="2994">
        <v>0</v>
      </c>
      <c r="AY267" s="2994">
        <v>0</v>
      </c>
      <c r="AZ267" s="2994">
        <v>0</v>
      </c>
      <c r="BA267" s="2994">
        <v>0</v>
      </c>
      <c r="BB267" s="2994">
        <v>0</v>
      </c>
      <c r="BC267" s="2994">
        <v>0</v>
      </c>
      <c r="BD267" s="3471">
        <v>0</v>
      </c>
      <c r="BE267" s="3471">
        <v>0</v>
      </c>
      <c r="BF267" s="3471">
        <v>0</v>
      </c>
    </row>
    <row r="268" spans="1:58">
      <c r="A268" s="1817" t="str">
        <f t="shared" si="9"/>
        <v>Northern AmericaOranges</v>
      </c>
      <c r="B268" s="1818" t="s">
        <v>1318</v>
      </c>
      <c r="C268" s="1818" t="s">
        <v>1363</v>
      </c>
      <c r="D268" s="3463" t="str">
        <f>VLOOKUP(B268,List_Yield!$G$4:$J$14,4,FALSE)</f>
        <v>North America</v>
      </c>
      <c r="E268" s="3463" t="str">
        <f t="shared" si="8"/>
        <v>North AmericaOranges</v>
      </c>
      <c r="F268" s="2994">
        <v>20.308599999999998</v>
      </c>
      <c r="G268" s="2994">
        <v>23.184799999999999</v>
      </c>
      <c r="H268" s="2994">
        <v>18.568100000000001</v>
      </c>
      <c r="I268" s="2994">
        <v>15.861599999999999</v>
      </c>
      <c r="J268" s="2994">
        <v>19.4041</v>
      </c>
      <c r="K268" s="2994">
        <v>20.9847</v>
      </c>
      <c r="L268" s="2994">
        <v>25.201799999999999</v>
      </c>
      <c r="M268" s="2994">
        <v>16.3049</v>
      </c>
      <c r="N268" s="2994">
        <v>22.132300000000001</v>
      </c>
      <c r="O268" s="2994">
        <v>21.142199999999999</v>
      </c>
      <c r="P268" s="2994">
        <v>20.8536</v>
      </c>
      <c r="Q268" s="2994">
        <v>21.365100000000002</v>
      </c>
      <c r="R268" s="2994">
        <v>25.229500000000002</v>
      </c>
      <c r="S268" s="2994">
        <v>24.3245</v>
      </c>
      <c r="T268" s="2994">
        <v>26.6435</v>
      </c>
      <c r="U268" s="2994">
        <v>27.738399999999999</v>
      </c>
      <c r="V268" s="2994">
        <v>28.280100000000001</v>
      </c>
      <c r="W268" s="2994">
        <v>26.328299999999999</v>
      </c>
      <c r="X268" s="2994">
        <v>25.6294</v>
      </c>
      <c r="Y268" s="2994">
        <v>32.9084</v>
      </c>
      <c r="Z268" s="2994">
        <v>29.585899999999999</v>
      </c>
      <c r="AA268" s="2994">
        <v>21.9253</v>
      </c>
      <c r="AB268" s="2994">
        <v>28.420100000000001</v>
      </c>
      <c r="AC268" s="2994">
        <v>23.573499999999999</v>
      </c>
      <c r="AD268" s="2994">
        <v>24.386800000000001</v>
      </c>
      <c r="AE268" s="2994">
        <v>29.846399999999999</v>
      </c>
      <c r="AF268" s="2994">
        <v>30.294599999999999</v>
      </c>
      <c r="AG268" s="2994">
        <v>33.3643</v>
      </c>
      <c r="AH268" s="2994">
        <v>34.075600000000001</v>
      </c>
      <c r="AI268" s="2994">
        <v>29.042899999999999</v>
      </c>
      <c r="AJ268" s="2994">
        <v>28.715800000000002</v>
      </c>
      <c r="AK268" s="2994">
        <v>31.204599999999999</v>
      </c>
      <c r="AL268" s="2994">
        <v>35.806100000000001</v>
      </c>
      <c r="AM268" s="2994">
        <v>32.523400000000002</v>
      </c>
      <c r="AN268" s="2994">
        <v>33.229700000000001</v>
      </c>
      <c r="AO268" s="2994">
        <v>31.6906</v>
      </c>
      <c r="AP268" s="2994">
        <v>33.7258</v>
      </c>
      <c r="AQ268" s="2994">
        <v>37.009099999999997</v>
      </c>
      <c r="AR268" s="2994">
        <v>26.5322</v>
      </c>
      <c r="AS268" s="2994">
        <v>35.841200000000001</v>
      </c>
      <c r="AT268" s="2994">
        <v>33.622700000000002</v>
      </c>
      <c r="AU268" s="2994">
        <v>34.874000000000002</v>
      </c>
      <c r="AV268" s="2994">
        <v>32.689599999999999</v>
      </c>
      <c r="AW268" s="2994">
        <v>37.813000000000002</v>
      </c>
      <c r="AX268" s="2994">
        <v>28.118400000000001</v>
      </c>
      <c r="AY268" s="2994">
        <v>35.936100000000003</v>
      </c>
      <c r="AZ268" s="2994">
        <v>25.236599999999999</v>
      </c>
      <c r="BA268" s="2994">
        <v>34.063299999999998</v>
      </c>
      <c r="BB268" s="2994">
        <v>31.178100000000001</v>
      </c>
      <c r="BC268" s="2994">
        <v>28.746700000000001</v>
      </c>
      <c r="BD268" s="3471">
        <v>31.746700000000001</v>
      </c>
      <c r="BE268" s="3471">
        <v>32.5901</v>
      </c>
      <c r="BF268" s="3471">
        <v>0</v>
      </c>
    </row>
    <row r="269" spans="1:58">
      <c r="A269" s="1817" t="str">
        <f t="shared" si="9"/>
        <v>Northern AmericaPapayas</v>
      </c>
      <c r="B269" s="1818" t="s">
        <v>1318</v>
      </c>
      <c r="C269" s="1818" t="s">
        <v>7358</v>
      </c>
      <c r="D269" s="3463" t="str">
        <f>VLOOKUP(B269,List_Yield!$G$4:$J$14,4,FALSE)</f>
        <v>North America</v>
      </c>
      <c r="E269" s="3463" t="str">
        <f t="shared" si="8"/>
        <v>North AmericaPapayas</v>
      </c>
      <c r="F269" s="2994">
        <v>29.787500000000001</v>
      </c>
      <c r="G269" s="2994">
        <v>33.35</v>
      </c>
      <c r="H269" s="2994">
        <v>31.98</v>
      </c>
      <c r="I269" s="2994">
        <v>34.375</v>
      </c>
      <c r="J269" s="2994">
        <v>27.471900000000002</v>
      </c>
      <c r="K269" s="2994">
        <v>35.304200000000002</v>
      </c>
      <c r="L269" s="2994">
        <v>32.381300000000003</v>
      </c>
      <c r="M269" s="2994">
        <v>33.381300000000003</v>
      </c>
      <c r="N269" s="2994">
        <v>24.2361</v>
      </c>
      <c r="O269" s="2994">
        <v>28.305</v>
      </c>
      <c r="P269" s="2994">
        <v>23.502500000000001</v>
      </c>
      <c r="Q269" s="2994">
        <v>29.182500000000001</v>
      </c>
      <c r="R269" s="2994">
        <v>26.121099999999998</v>
      </c>
      <c r="S269" s="2994">
        <v>24.4696</v>
      </c>
      <c r="T269" s="2994">
        <v>24.789000000000001</v>
      </c>
      <c r="U269" s="2994">
        <v>29.475300000000001</v>
      </c>
      <c r="V269" s="2994">
        <v>32.387599999999999</v>
      </c>
      <c r="W269" s="2994">
        <v>45.842700000000001</v>
      </c>
      <c r="X269" s="2994">
        <v>30.561800000000002</v>
      </c>
      <c r="Y269" s="2994">
        <v>41.481499999999997</v>
      </c>
      <c r="Z269" s="2994">
        <v>50.117600000000003</v>
      </c>
      <c r="AA269" s="2994">
        <v>26.5169</v>
      </c>
      <c r="AB269" s="2994">
        <v>33.058799999999998</v>
      </c>
      <c r="AC269" s="2994">
        <v>34.571399999999997</v>
      </c>
      <c r="AD269" s="2994">
        <v>24.9541</v>
      </c>
      <c r="AE269" s="2994">
        <v>28.969100000000001</v>
      </c>
      <c r="AF269" s="2994">
        <v>31.752600000000001</v>
      </c>
      <c r="AG269" s="2994">
        <v>34.139800000000001</v>
      </c>
      <c r="AH269" s="2994">
        <v>33.2376</v>
      </c>
      <c r="AI269" s="2994">
        <v>32.030900000000003</v>
      </c>
      <c r="AJ269" s="2994">
        <v>30.6098</v>
      </c>
      <c r="AK269" s="2994">
        <v>33.000999999999998</v>
      </c>
      <c r="AL269" s="2994">
        <v>27.943899999999999</v>
      </c>
      <c r="AM269" s="2994">
        <v>31.56</v>
      </c>
      <c r="AN269" s="2994">
        <v>23.390899999999998</v>
      </c>
      <c r="AO269" s="2994">
        <v>26.1676</v>
      </c>
      <c r="AP269" s="2994">
        <v>21.310300000000002</v>
      </c>
      <c r="AQ269" s="2994">
        <v>21.341200000000001</v>
      </c>
      <c r="AR269" s="2994">
        <v>24.499400000000001</v>
      </c>
      <c r="AS269" s="2994">
        <v>37.0749</v>
      </c>
      <c r="AT269" s="2994">
        <v>31.619800000000001</v>
      </c>
      <c r="AU269" s="2994">
        <v>29.978400000000001</v>
      </c>
      <c r="AV269" s="2994">
        <v>30.5261</v>
      </c>
      <c r="AW269" s="2994">
        <v>32.478000000000002</v>
      </c>
      <c r="AX269" s="2994">
        <v>24.908200000000001</v>
      </c>
      <c r="AY269" s="2994">
        <v>20.284400000000002</v>
      </c>
      <c r="AZ269" s="2994">
        <v>28.584900000000001</v>
      </c>
      <c r="BA269" s="2994">
        <v>27.311800000000002</v>
      </c>
      <c r="BB269" s="2994">
        <v>26.660399999999999</v>
      </c>
      <c r="BC269" s="2994">
        <v>25.005500000000001</v>
      </c>
      <c r="BD269" s="3471">
        <v>24.663499999999999</v>
      </c>
      <c r="BE269" s="3471">
        <v>23.636399999999998</v>
      </c>
      <c r="BF269" s="3471">
        <v>0</v>
      </c>
    </row>
    <row r="270" spans="1:58">
      <c r="A270" s="1817" t="str">
        <f t="shared" si="9"/>
        <v>Northern AmericaPeaches and nectarines</v>
      </c>
      <c r="B270" s="1818" t="s">
        <v>1318</v>
      </c>
      <c r="C270" s="1818" t="s">
        <v>1364</v>
      </c>
      <c r="D270" s="3463" t="str">
        <f>VLOOKUP(B270,List_Yield!$G$4:$J$14,4,FALSE)</f>
        <v>North America</v>
      </c>
      <c r="E270" s="3463" t="str">
        <f t="shared" si="8"/>
        <v>North AmericaPeaches and nectarines</v>
      </c>
      <c r="F270" s="2994">
        <v>12.217599999999999</v>
      </c>
      <c r="G270" s="2994">
        <v>12.120200000000001</v>
      </c>
      <c r="H270" s="2994">
        <v>12.536799999999999</v>
      </c>
      <c r="I270" s="2994">
        <v>12.801500000000001</v>
      </c>
      <c r="J270" s="2994">
        <v>13.3362</v>
      </c>
      <c r="K270" s="2994">
        <v>13.3452</v>
      </c>
      <c r="L270" s="2994">
        <v>11.021000000000001</v>
      </c>
      <c r="M270" s="2994">
        <v>14.4701</v>
      </c>
      <c r="N270" s="2994">
        <v>15.4146</v>
      </c>
      <c r="O270" s="2994">
        <v>13.437799999999999</v>
      </c>
      <c r="P270" s="2994">
        <v>13.697800000000001</v>
      </c>
      <c r="Q270" s="2994">
        <v>12.1798</v>
      </c>
      <c r="R270" s="2994">
        <v>13.1905</v>
      </c>
      <c r="S270" s="2994">
        <v>14.9373</v>
      </c>
      <c r="T270" s="2994">
        <v>14.553000000000001</v>
      </c>
      <c r="U270" s="2994">
        <v>15.670999999999999</v>
      </c>
      <c r="V270" s="2994">
        <v>16.342600000000001</v>
      </c>
      <c r="W270" s="2994">
        <v>15.1999</v>
      </c>
      <c r="X270" s="2994">
        <v>17.23</v>
      </c>
      <c r="Y270" s="2994">
        <v>17.737500000000001</v>
      </c>
      <c r="Z270" s="2994">
        <v>16.438800000000001</v>
      </c>
      <c r="AA270" s="2994">
        <v>13.694100000000001</v>
      </c>
      <c r="AB270" s="2994">
        <v>11.506</v>
      </c>
      <c r="AC270" s="2994">
        <v>15.192500000000001</v>
      </c>
      <c r="AD270" s="2994">
        <v>13.058199999999999</v>
      </c>
      <c r="AE270" s="2994">
        <v>13.664</v>
      </c>
      <c r="AF270" s="2994">
        <v>14.179600000000001</v>
      </c>
      <c r="AG270" s="2994">
        <v>15.7522</v>
      </c>
      <c r="AH270" s="2994">
        <v>14.6907</v>
      </c>
      <c r="AI270" s="2994">
        <v>14.2934</v>
      </c>
      <c r="AJ270" s="2994">
        <v>16.715800000000002</v>
      </c>
      <c r="AK270" s="2994">
        <v>16.785599999999999</v>
      </c>
      <c r="AL270" s="2994">
        <v>16.656300000000002</v>
      </c>
      <c r="AM270" s="2994">
        <v>16.5367</v>
      </c>
      <c r="AN270" s="2994">
        <v>14.799200000000001</v>
      </c>
      <c r="AO270" s="2994">
        <v>14.5253</v>
      </c>
      <c r="AP270" s="2994">
        <v>17.877800000000001</v>
      </c>
      <c r="AQ270" s="2994">
        <v>16.159600000000001</v>
      </c>
      <c r="AR270" s="2994">
        <v>17.6677</v>
      </c>
      <c r="AS270" s="2994">
        <v>18.100200000000001</v>
      </c>
      <c r="AT270" s="2994">
        <v>17.863499999999998</v>
      </c>
      <c r="AU270" s="2994">
        <v>18.902200000000001</v>
      </c>
      <c r="AV270" s="2994">
        <v>17.8978</v>
      </c>
      <c r="AW270" s="2994">
        <v>19.067699999999999</v>
      </c>
      <c r="AX270" s="2994">
        <v>17.813800000000001</v>
      </c>
      <c r="AY270" s="2994">
        <v>16.156500000000001</v>
      </c>
      <c r="AZ270" s="2994">
        <v>19.656300000000002</v>
      </c>
      <c r="BA270" s="2994">
        <v>20.0715</v>
      </c>
      <c r="BB270" s="2994">
        <v>19.5852</v>
      </c>
      <c r="BC270" s="2994">
        <v>20.648299999999999</v>
      </c>
      <c r="BD270" s="3471">
        <v>20.2133</v>
      </c>
      <c r="BE270" s="3471">
        <v>18.363800000000001</v>
      </c>
      <c r="BF270" s="3471">
        <v>0</v>
      </c>
    </row>
    <row r="271" spans="1:58">
      <c r="A271" s="1817" t="str">
        <f t="shared" si="9"/>
        <v>Northern AmericaPears</v>
      </c>
      <c r="B271" s="1818" t="s">
        <v>1318</v>
      </c>
      <c r="C271" s="1818" t="s">
        <v>7359</v>
      </c>
      <c r="D271" s="3463" t="str">
        <f>VLOOKUP(B271,List_Yield!$G$4:$J$14,4,FALSE)</f>
        <v>North America</v>
      </c>
      <c r="E271" s="3463" t="str">
        <f t="shared" si="8"/>
        <v>North AmericaPears</v>
      </c>
      <c r="F271" s="2994">
        <v>15.508100000000001</v>
      </c>
      <c r="G271" s="2994">
        <v>16.489999999999998</v>
      </c>
      <c r="H271" s="2994">
        <v>11.3367</v>
      </c>
      <c r="I271" s="2994">
        <v>16.503399999999999</v>
      </c>
      <c r="J271" s="2994">
        <v>11.853199999999999</v>
      </c>
      <c r="K271" s="2994">
        <v>16.734200000000001</v>
      </c>
      <c r="L271" s="2994">
        <v>10.642099999999999</v>
      </c>
      <c r="M271" s="2994">
        <v>13.805300000000001</v>
      </c>
      <c r="N271" s="2994">
        <v>16.241</v>
      </c>
      <c r="O271" s="2994">
        <v>12.2088</v>
      </c>
      <c r="P271" s="2994">
        <v>16.7577</v>
      </c>
      <c r="Q271" s="2994">
        <v>13.956799999999999</v>
      </c>
      <c r="R271" s="2994">
        <v>16.920100000000001</v>
      </c>
      <c r="S271" s="2994">
        <v>17.334599999999998</v>
      </c>
      <c r="T271" s="2994">
        <v>17.6158</v>
      </c>
      <c r="U271" s="2994">
        <v>20.175899999999999</v>
      </c>
      <c r="V271" s="2994">
        <v>18.861499999999999</v>
      </c>
      <c r="W271" s="2994">
        <v>17.998000000000001</v>
      </c>
      <c r="X271" s="2994">
        <v>21.6889</v>
      </c>
      <c r="Y271" s="2994">
        <v>22.894400000000001</v>
      </c>
      <c r="Z271" s="2994">
        <v>24.942499999999999</v>
      </c>
      <c r="AA271" s="2994">
        <v>22.903600000000001</v>
      </c>
      <c r="AB271" s="2994">
        <v>23.3156</v>
      </c>
      <c r="AC271" s="2994">
        <v>21.9681</v>
      </c>
      <c r="AD271" s="2994">
        <v>23.140999999999998</v>
      </c>
      <c r="AE271" s="2994">
        <v>24.305099999999999</v>
      </c>
      <c r="AF271" s="2994">
        <v>28.915199999999999</v>
      </c>
      <c r="AG271" s="2994">
        <v>26.783200000000001</v>
      </c>
      <c r="AH271" s="2994">
        <v>28.173500000000001</v>
      </c>
      <c r="AI271" s="2994">
        <v>29.550999999999998</v>
      </c>
      <c r="AJ271" s="2994">
        <v>27.565899999999999</v>
      </c>
      <c r="AK271" s="2994">
        <v>28.115500000000001</v>
      </c>
      <c r="AL271" s="2994">
        <v>28.878699999999998</v>
      </c>
      <c r="AM271" s="2994">
        <v>31.4026</v>
      </c>
      <c r="AN271" s="2994">
        <v>28.925899999999999</v>
      </c>
      <c r="AO271" s="2994">
        <v>25.597799999999999</v>
      </c>
      <c r="AP271" s="2994">
        <v>33.314</v>
      </c>
      <c r="AQ271" s="2994">
        <v>31.663599999999999</v>
      </c>
      <c r="AR271" s="2994">
        <v>33.436799999999998</v>
      </c>
      <c r="AS271" s="2994">
        <v>31.3062</v>
      </c>
      <c r="AT271" s="2994">
        <v>34.276600000000002</v>
      </c>
      <c r="AU271" s="2994">
        <v>30.153500000000001</v>
      </c>
      <c r="AV271" s="2994">
        <v>31.5242</v>
      </c>
      <c r="AW271" s="2994">
        <v>30.407699999999998</v>
      </c>
      <c r="AX271" s="2994">
        <v>29.6174</v>
      </c>
      <c r="AY271" s="2994">
        <v>30.573699999999999</v>
      </c>
      <c r="AZ271" s="2994">
        <v>32.615900000000003</v>
      </c>
      <c r="BA271" s="2994">
        <v>32.181199999999997</v>
      </c>
      <c r="BB271" s="2994">
        <v>36.752099999999999</v>
      </c>
      <c r="BC271" s="2994">
        <v>31.938099999999999</v>
      </c>
      <c r="BD271" s="3471">
        <v>38.945700000000002</v>
      </c>
      <c r="BE271" s="3471">
        <v>34.664999999999999</v>
      </c>
      <c r="BF271" s="3471">
        <v>0</v>
      </c>
    </row>
    <row r="272" spans="1:58">
      <c r="A272" s="1817" t="str">
        <f t="shared" si="9"/>
        <v>Northern AmericaPeas, dry</v>
      </c>
      <c r="B272" s="1818" t="s">
        <v>1318</v>
      </c>
      <c r="C272" s="1818" t="s">
        <v>1365</v>
      </c>
      <c r="D272" s="3463" t="str">
        <f>VLOOKUP(B272,List_Yield!$G$4:$J$14,4,FALSE)</f>
        <v>North America</v>
      </c>
      <c r="E272" s="3463" t="str">
        <f t="shared" si="8"/>
        <v>North AmericaPeas, dry</v>
      </c>
      <c r="F272" s="2994">
        <v>1.1720999999999999</v>
      </c>
      <c r="G272" s="2994">
        <v>1.6086</v>
      </c>
      <c r="H272" s="2994">
        <v>1.6587000000000001</v>
      </c>
      <c r="I272" s="2994">
        <v>1.8775999999999999</v>
      </c>
      <c r="J272" s="2994">
        <v>1.9057999999999999</v>
      </c>
      <c r="K272" s="2994">
        <v>1.5660000000000001</v>
      </c>
      <c r="L272" s="2994">
        <v>1.6212</v>
      </c>
      <c r="M272" s="2994">
        <v>1.6295999999999999</v>
      </c>
      <c r="N272" s="2994">
        <v>1.6865000000000001</v>
      </c>
      <c r="O272" s="2994">
        <v>1.3794</v>
      </c>
      <c r="P272" s="2994">
        <v>2.0051999999999999</v>
      </c>
      <c r="Q272" s="2994">
        <v>1.7484</v>
      </c>
      <c r="R272" s="2994">
        <v>1.4272</v>
      </c>
      <c r="S272" s="2994">
        <v>1.6389</v>
      </c>
      <c r="T272" s="2994">
        <v>1.6097999999999999</v>
      </c>
      <c r="U272" s="2994">
        <v>1.8786</v>
      </c>
      <c r="V272" s="2994">
        <v>0.91390000000000005</v>
      </c>
      <c r="W272" s="2994">
        <v>1.93</v>
      </c>
      <c r="X272" s="2994">
        <v>1.9218999999999999</v>
      </c>
      <c r="Y272" s="2994">
        <v>2.1993</v>
      </c>
      <c r="Z272" s="2994">
        <v>2.0855000000000001</v>
      </c>
      <c r="AA272" s="2994">
        <v>1.8261000000000001</v>
      </c>
      <c r="AB272" s="2994">
        <v>1.9491000000000001</v>
      </c>
      <c r="AC272" s="2994">
        <v>1.6637999999999999</v>
      </c>
      <c r="AD272" s="2994">
        <v>2.0066000000000002</v>
      </c>
      <c r="AE272" s="2994">
        <v>2.0476000000000001</v>
      </c>
      <c r="AF272" s="2994">
        <v>1.9764999999999999</v>
      </c>
      <c r="AG272" s="2994">
        <v>1.5931</v>
      </c>
      <c r="AH272" s="2994">
        <v>2.1151</v>
      </c>
      <c r="AI272" s="2994">
        <v>2.1778</v>
      </c>
      <c r="AJ272" s="2994">
        <v>2.2866</v>
      </c>
      <c r="AK272" s="2994">
        <v>1.9942</v>
      </c>
      <c r="AL272" s="2994">
        <v>2.1968999999999999</v>
      </c>
      <c r="AM272" s="2994">
        <v>2.1419000000000001</v>
      </c>
      <c r="AN272" s="2994">
        <v>1.9752000000000001</v>
      </c>
      <c r="AO272" s="2994">
        <v>2.1848000000000001</v>
      </c>
      <c r="AP272" s="2994">
        <v>2.1419000000000001</v>
      </c>
      <c r="AQ272" s="2994">
        <v>2.1890000000000001</v>
      </c>
      <c r="AR272" s="2994">
        <v>2.6619999999999999</v>
      </c>
      <c r="AS272" s="2994">
        <v>2.3405</v>
      </c>
      <c r="AT272" s="2994">
        <v>1.6258999999999999</v>
      </c>
      <c r="AU272" s="2994">
        <v>1.3686</v>
      </c>
      <c r="AV272" s="2994">
        <v>1.69</v>
      </c>
      <c r="AW272" s="2994">
        <v>2.4942000000000002</v>
      </c>
      <c r="AX272" s="2994">
        <v>2.3016000000000001</v>
      </c>
      <c r="AY272" s="2994">
        <v>1.9636</v>
      </c>
      <c r="AZ272" s="2994">
        <v>2.0743</v>
      </c>
      <c r="BA272" s="2994">
        <v>2.1442000000000001</v>
      </c>
      <c r="BB272" s="2994">
        <v>2.2759999999999998</v>
      </c>
      <c r="BC272" s="2994">
        <v>2.1846999999999999</v>
      </c>
      <c r="BD272" s="3471">
        <v>2.2515999999999998</v>
      </c>
      <c r="BE272" s="3471">
        <v>2.2208999999999999</v>
      </c>
      <c r="BF272" s="3471">
        <v>2.79</v>
      </c>
    </row>
    <row r="273" spans="1:58">
      <c r="A273" s="1817" t="str">
        <f t="shared" si="9"/>
        <v>Northern AmericaPeas, green</v>
      </c>
      <c r="B273" s="1818" t="s">
        <v>1318</v>
      </c>
      <c r="C273" s="1818" t="s">
        <v>1366</v>
      </c>
      <c r="D273" s="3463" t="str">
        <f>VLOOKUP(B273,List_Yield!$G$4:$J$14,4,FALSE)</f>
        <v>North America</v>
      </c>
      <c r="E273" s="3463" t="str">
        <f t="shared" si="8"/>
        <v>North AmericaPeas, green</v>
      </c>
      <c r="F273" s="2994">
        <v>6.5956000000000001</v>
      </c>
      <c r="G273" s="2994">
        <v>6.7148000000000003</v>
      </c>
      <c r="H273" s="2994">
        <v>6.351</v>
      </c>
      <c r="I273" s="2994">
        <v>5.9577</v>
      </c>
      <c r="J273" s="2994">
        <v>7.0913000000000004</v>
      </c>
      <c r="K273" s="2994">
        <v>6.1425999999999998</v>
      </c>
      <c r="L273" s="2994">
        <v>6.6985999999999999</v>
      </c>
      <c r="M273" s="2994">
        <v>6.7579000000000002</v>
      </c>
      <c r="N273" s="2994">
        <v>6.7554999999999996</v>
      </c>
      <c r="O273" s="2994">
        <v>6.6066000000000003</v>
      </c>
      <c r="P273" s="2994">
        <v>7.133</v>
      </c>
      <c r="Q273" s="2994">
        <v>7.0549999999999997</v>
      </c>
      <c r="R273" s="2994">
        <v>6.2270000000000003</v>
      </c>
      <c r="S273" s="2994">
        <v>6.9893000000000001</v>
      </c>
      <c r="T273" s="2994">
        <v>6.6996000000000002</v>
      </c>
      <c r="U273" s="2994">
        <v>6.7656999999999998</v>
      </c>
      <c r="V273" s="2994">
        <v>7.2309000000000001</v>
      </c>
      <c r="W273" s="2994">
        <v>6.7873000000000001</v>
      </c>
      <c r="X273" s="2994">
        <v>8.1917000000000009</v>
      </c>
      <c r="Y273" s="2994">
        <v>7.8658999999999999</v>
      </c>
      <c r="Z273" s="2994">
        <v>8.0165000000000006</v>
      </c>
      <c r="AA273" s="2994">
        <v>8.3353000000000002</v>
      </c>
      <c r="AB273" s="2994">
        <v>7.1135000000000002</v>
      </c>
      <c r="AC273" s="2994">
        <v>7.8</v>
      </c>
      <c r="AD273" s="2994">
        <v>8.5792000000000002</v>
      </c>
      <c r="AE273" s="2994">
        <v>8.0681999999999992</v>
      </c>
      <c r="AF273" s="2994">
        <v>8.0573999999999995</v>
      </c>
      <c r="AG273" s="2994">
        <v>5.7839</v>
      </c>
      <c r="AH273" s="2994">
        <v>8.34</v>
      </c>
      <c r="AI273" s="2994">
        <v>8.1148000000000007</v>
      </c>
      <c r="AJ273" s="2994">
        <v>7.6783999999999999</v>
      </c>
      <c r="AK273" s="2994">
        <v>8.9457000000000004</v>
      </c>
      <c r="AL273" s="2994">
        <v>8.1692</v>
      </c>
      <c r="AM273" s="2994">
        <v>8.9161999999999999</v>
      </c>
      <c r="AN273" s="2994">
        <v>8.5152999999999999</v>
      </c>
      <c r="AO273" s="2994">
        <v>8.6513000000000009</v>
      </c>
      <c r="AP273" s="2994">
        <v>9.0893999999999995</v>
      </c>
      <c r="AQ273" s="2994">
        <v>9.0466999999999995</v>
      </c>
      <c r="AR273" s="2994">
        <v>8.7718000000000007</v>
      </c>
      <c r="AS273" s="2994">
        <v>9.8168000000000006</v>
      </c>
      <c r="AT273" s="2994">
        <v>9.4197000000000006</v>
      </c>
      <c r="AU273" s="2994">
        <v>8.3739000000000008</v>
      </c>
      <c r="AV273" s="2994">
        <v>10.2056</v>
      </c>
      <c r="AW273" s="2994">
        <v>9.6407000000000007</v>
      </c>
      <c r="AX273" s="2994">
        <v>9.0852000000000004</v>
      </c>
      <c r="AY273" s="2994">
        <v>10.3696</v>
      </c>
      <c r="AZ273" s="2994">
        <v>10.7057</v>
      </c>
      <c r="BA273" s="2994">
        <v>4.4607000000000001</v>
      </c>
      <c r="BB273" s="2994">
        <v>4.7834000000000003</v>
      </c>
      <c r="BC273" s="2994">
        <v>4.4768999999999997</v>
      </c>
      <c r="BD273" s="3471">
        <v>4.1124999999999998</v>
      </c>
      <c r="BE273" s="3471">
        <v>4.5800999999999998</v>
      </c>
      <c r="BF273" s="3471">
        <v>0</v>
      </c>
    </row>
    <row r="274" spans="1:58">
      <c r="A274" s="1817" t="str">
        <f t="shared" si="9"/>
        <v>Northern AmericaPepper (piper spp.)</v>
      </c>
      <c r="B274" s="1818" t="s">
        <v>1318</v>
      </c>
      <c r="C274" s="1818" t="s">
        <v>7360</v>
      </c>
      <c r="D274" s="3463" t="str">
        <f>VLOOKUP(B274,List_Yield!$G$4:$J$14,4,FALSE)</f>
        <v>North America</v>
      </c>
      <c r="E274" s="3463" t="str">
        <f t="shared" si="8"/>
        <v>North AmericaPepper (piper spp.)</v>
      </c>
      <c r="F274" s="2994">
        <v>0</v>
      </c>
      <c r="G274" s="2994">
        <v>0</v>
      </c>
      <c r="H274" s="2994">
        <v>0</v>
      </c>
      <c r="I274" s="2994">
        <v>0</v>
      </c>
      <c r="J274" s="2994">
        <v>0</v>
      </c>
      <c r="K274" s="2994">
        <v>0</v>
      </c>
      <c r="L274" s="2994">
        <v>0</v>
      </c>
      <c r="M274" s="2994">
        <v>0</v>
      </c>
      <c r="N274" s="2994">
        <v>0</v>
      </c>
      <c r="O274" s="2994">
        <v>0</v>
      </c>
      <c r="P274" s="2994">
        <v>0</v>
      </c>
      <c r="Q274" s="2994">
        <v>0</v>
      </c>
      <c r="R274" s="2994">
        <v>0</v>
      </c>
      <c r="S274" s="2994">
        <v>0</v>
      </c>
      <c r="T274" s="2994">
        <v>0</v>
      </c>
      <c r="U274" s="2994">
        <v>0</v>
      </c>
      <c r="V274" s="2994">
        <v>0</v>
      </c>
      <c r="W274" s="2994">
        <v>0</v>
      </c>
      <c r="X274" s="2994">
        <v>0</v>
      </c>
      <c r="Y274" s="2994">
        <v>0</v>
      </c>
      <c r="Z274" s="2994">
        <v>0</v>
      </c>
      <c r="AA274" s="2994">
        <v>0</v>
      </c>
      <c r="AB274" s="2994">
        <v>0</v>
      </c>
      <c r="AC274" s="2994">
        <v>0</v>
      </c>
      <c r="AD274" s="2994">
        <v>0</v>
      </c>
      <c r="AE274" s="2994">
        <v>0</v>
      </c>
      <c r="AF274" s="2994">
        <v>0</v>
      </c>
      <c r="AG274" s="2994">
        <v>0</v>
      </c>
      <c r="AH274" s="2994">
        <v>0</v>
      </c>
      <c r="AI274" s="2994">
        <v>0</v>
      </c>
      <c r="AJ274" s="2994">
        <v>0</v>
      </c>
      <c r="AK274" s="2994">
        <v>0</v>
      </c>
      <c r="AL274" s="2994">
        <v>0</v>
      </c>
      <c r="AM274" s="2994">
        <v>0</v>
      </c>
      <c r="AN274" s="2994">
        <v>0</v>
      </c>
      <c r="AO274" s="2994">
        <v>0</v>
      </c>
      <c r="AP274" s="2994">
        <v>0</v>
      </c>
      <c r="AQ274" s="2994">
        <v>0</v>
      </c>
      <c r="AR274" s="2994">
        <v>0</v>
      </c>
      <c r="AS274" s="2994">
        <v>0</v>
      </c>
      <c r="AT274" s="2994">
        <v>0</v>
      </c>
      <c r="AU274" s="2994">
        <v>0</v>
      </c>
      <c r="AV274" s="2994">
        <v>0</v>
      </c>
      <c r="AW274" s="2994">
        <v>0</v>
      </c>
      <c r="AX274" s="2994">
        <v>0</v>
      </c>
      <c r="AY274" s="2994">
        <v>0</v>
      </c>
      <c r="AZ274" s="2994">
        <v>0</v>
      </c>
      <c r="BA274" s="2994">
        <v>0</v>
      </c>
      <c r="BB274" s="2994">
        <v>0</v>
      </c>
      <c r="BC274" s="2994">
        <v>0</v>
      </c>
      <c r="BD274" s="3471">
        <v>0</v>
      </c>
      <c r="BE274" s="3471">
        <v>0</v>
      </c>
      <c r="BF274" s="3471">
        <v>0</v>
      </c>
    </row>
    <row r="275" spans="1:58">
      <c r="A275" s="1817" t="str">
        <f t="shared" si="9"/>
        <v>Northern AmericaPeppermint</v>
      </c>
      <c r="B275" s="1818" t="s">
        <v>1318</v>
      </c>
      <c r="C275" s="1818" t="s">
        <v>7361</v>
      </c>
      <c r="D275" s="3463" t="str">
        <f>VLOOKUP(B275,List_Yield!$G$4:$J$14,4,FALSE)</f>
        <v>North America</v>
      </c>
      <c r="E275" s="3463" t="str">
        <f t="shared" si="8"/>
        <v>North AmericaPeppermint</v>
      </c>
      <c r="F275" s="2994">
        <v>0</v>
      </c>
      <c r="G275" s="2994">
        <v>0</v>
      </c>
      <c r="H275" s="2994">
        <v>0</v>
      </c>
      <c r="I275" s="2994">
        <v>0</v>
      </c>
      <c r="J275" s="2994">
        <v>0</v>
      </c>
      <c r="K275" s="2994">
        <v>0</v>
      </c>
      <c r="L275" s="2994">
        <v>0</v>
      </c>
      <c r="M275" s="2994">
        <v>0</v>
      </c>
      <c r="N275" s="2994">
        <v>0</v>
      </c>
      <c r="O275" s="2994">
        <v>0</v>
      </c>
      <c r="P275" s="2994">
        <v>0</v>
      </c>
      <c r="Q275" s="2994">
        <v>0</v>
      </c>
      <c r="R275" s="2994">
        <v>0</v>
      </c>
      <c r="S275" s="2994">
        <v>0</v>
      </c>
      <c r="T275" s="2994">
        <v>0</v>
      </c>
      <c r="U275" s="2994">
        <v>0</v>
      </c>
      <c r="V275" s="2994">
        <v>0</v>
      </c>
      <c r="W275" s="2994">
        <v>0</v>
      </c>
      <c r="X275" s="2994">
        <v>0</v>
      </c>
      <c r="Y275" s="2994">
        <v>0</v>
      </c>
      <c r="Z275" s="2994">
        <v>0</v>
      </c>
      <c r="AA275" s="2994">
        <v>0</v>
      </c>
      <c r="AB275" s="2994">
        <v>0</v>
      </c>
      <c r="AC275" s="2994">
        <v>0</v>
      </c>
      <c r="AD275" s="2994">
        <v>0</v>
      </c>
      <c r="AE275" s="2994">
        <v>0</v>
      </c>
      <c r="AF275" s="2994">
        <v>0</v>
      </c>
      <c r="AG275" s="2994">
        <v>0</v>
      </c>
      <c r="AH275" s="2994">
        <v>0</v>
      </c>
      <c r="AI275" s="2994">
        <v>0</v>
      </c>
      <c r="AJ275" s="2994">
        <v>0</v>
      </c>
      <c r="AK275" s="2994">
        <v>0</v>
      </c>
      <c r="AL275" s="2994">
        <v>0</v>
      </c>
      <c r="AM275" s="2994">
        <v>0</v>
      </c>
      <c r="AN275" s="2994">
        <v>0</v>
      </c>
      <c r="AO275" s="2994">
        <v>0</v>
      </c>
      <c r="AP275" s="2994">
        <v>0</v>
      </c>
      <c r="AQ275" s="2994">
        <v>0</v>
      </c>
      <c r="AR275" s="2994">
        <v>0</v>
      </c>
      <c r="AS275" s="2994">
        <v>0</v>
      </c>
      <c r="AT275" s="2994">
        <v>0</v>
      </c>
      <c r="AU275" s="2994">
        <v>0</v>
      </c>
      <c r="AV275" s="2994">
        <v>0</v>
      </c>
      <c r="AW275" s="2994">
        <v>0</v>
      </c>
      <c r="AX275" s="2994">
        <v>0</v>
      </c>
      <c r="AY275" s="2994">
        <v>0</v>
      </c>
      <c r="AZ275" s="2994">
        <v>0</v>
      </c>
      <c r="BA275" s="2994">
        <v>0</v>
      </c>
      <c r="BB275" s="2994">
        <v>0</v>
      </c>
      <c r="BC275" s="2994">
        <v>0</v>
      </c>
      <c r="BD275" s="3471">
        <v>0</v>
      </c>
      <c r="BE275" s="3471">
        <v>0</v>
      </c>
      <c r="BF275" s="3471">
        <v>0</v>
      </c>
    </row>
    <row r="276" spans="1:58">
      <c r="A276" s="1817" t="str">
        <f t="shared" si="9"/>
        <v>Northern AmericaPersimmons</v>
      </c>
      <c r="B276" s="1818" t="s">
        <v>1318</v>
      </c>
      <c r="C276" s="1818" t="s">
        <v>7362</v>
      </c>
      <c r="D276" s="3463" t="str">
        <f>VLOOKUP(B276,List_Yield!$G$4:$J$14,4,FALSE)</f>
        <v>North America</v>
      </c>
      <c r="E276" s="3463" t="str">
        <f t="shared" si="8"/>
        <v>North AmericaPersimmons</v>
      </c>
      <c r="F276" s="2994">
        <v>0</v>
      </c>
      <c r="G276" s="2994">
        <v>0</v>
      </c>
      <c r="H276" s="2994">
        <v>0</v>
      </c>
      <c r="I276" s="2994">
        <v>0</v>
      </c>
      <c r="J276" s="2994">
        <v>0</v>
      </c>
      <c r="K276" s="2994">
        <v>0</v>
      </c>
      <c r="L276" s="2994">
        <v>0</v>
      </c>
      <c r="M276" s="2994">
        <v>0</v>
      </c>
      <c r="N276" s="2994">
        <v>0</v>
      </c>
      <c r="O276" s="2994">
        <v>0</v>
      </c>
      <c r="P276" s="2994">
        <v>0</v>
      </c>
      <c r="Q276" s="2994">
        <v>0</v>
      </c>
      <c r="R276" s="2994">
        <v>0</v>
      </c>
      <c r="S276" s="2994">
        <v>0</v>
      </c>
      <c r="T276" s="2994">
        <v>0</v>
      </c>
      <c r="U276" s="2994">
        <v>0</v>
      </c>
      <c r="V276" s="2994">
        <v>0</v>
      </c>
      <c r="W276" s="2994">
        <v>0</v>
      </c>
      <c r="X276" s="2994">
        <v>0</v>
      </c>
      <c r="Y276" s="2994">
        <v>0</v>
      </c>
      <c r="Z276" s="2994">
        <v>0</v>
      </c>
      <c r="AA276" s="2994">
        <v>0</v>
      </c>
      <c r="AB276" s="2994">
        <v>0</v>
      </c>
      <c r="AC276" s="2994">
        <v>0</v>
      </c>
      <c r="AD276" s="2994">
        <v>0</v>
      </c>
      <c r="AE276" s="2994">
        <v>0</v>
      </c>
      <c r="AF276" s="2994">
        <v>0</v>
      </c>
      <c r="AG276" s="2994">
        <v>0</v>
      </c>
      <c r="AH276" s="2994">
        <v>0</v>
      </c>
      <c r="AI276" s="2994">
        <v>0</v>
      </c>
      <c r="AJ276" s="2994">
        <v>0</v>
      </c>
      <c r="AK276" s="2994">
        <v>0</v>
      </c>
      <c r="AL276" s="2994">
        <v>0</v>
      </c>
      <c r="AM276" s="2994">
        <v>0</v>
      </c>
      <c r="AN276" s="2994">
        <v>0</v>
      </c>
      <c r="AO276" s="2994">
        <v>0</v>
      </c>
      <c r="AP276" s="2994">
        <v>0</v>
      </c>
      <c r="AQ276" s="2994">
        <v>0</v>
      </c>
      <c r="AR276" s="2994">
        <v>0</v>
      </c>
      <c r="AS276" s="2994">
        <v>0</v>
      </c>
      <c r="AT276" s="2994">
        <v>0</v>
      </c>
      <c r="AU276" s="2994">
        <v>0</v>
      </c>
      <c r="AV276" s="2994">
        <v>0</v>
      </c>
      <c r="AW276" s="2994">
        <v>0</v>
      </c>
      <c r="AX276" s="2994">
        <v>0</v>
      </c>
      <c r="AY276" s="2994">
        <v>0</v>
      </c>
      <c r="AZ276" s="2994">
        <v>0</v>
      </c>
      <c r="BA276" s="2994">
        <v>0</v>
      </c>
      <c r="BB276" s="2994">
        <v>0</v>
      </c>
      <c r="BC276" s="2994">
        <v>0</v>
      </c>
      <c r="BD276" s="3471">
        <v>0</v>
      </c>
      <c r="BE276" s="3471">
        <v>0</v>
      </c>
      <c r="BF276" s="3471">
        <v>0</v>
      </c>
    </row>
    <row r="277" spans="1:58">
      <c r="A277" s="1817" t="str">
        <f t="shared" si="9"/>
        <v>Northern AmericaPigeon peas</v>
      </c>
      <c r="B277" s="1818" t="s">
        <v>1318</v>
      </c>
      <c r="C277" s="1818" t="s">
        <v>7363</v>
      </c>
      <c r="D277" s="3463" t="str">
        <f>VLOOKUP(B277,List_Yield!$G$4:$J$14,4,FALSE)</f>
        <v>North America</v>
      </c>
      <c r="E277" s="3463" t="str">
        <f t="shared" si="8"/>
        <v>North AmericaPigeon peas</v>
      </c>
      <c r="F277" s="2994">
        <v>0</v>
      </c>
      <c r="G277" s="2994">
        <v>0</v>
      </c>
      <c r="H277" s="2994">
        <v>0</v>
      </c>
      <c r="I277" s="2994">
        <v>0</v>
      </c>
      <c r="J277" s="2994">
        <v>0</v>
      </c>
      <c r="K277" s="2994">
        <v>0</v>
      </c>
      <c r="L277" s="2994">
        <v>0</v>
      </c>
      <c r="M277" s="2994">
        <v>0</v>
      </c>
      <c r="N277" s="2994">
        <v>0</v>
      </c>
      <c r="O277" s="2994">
        <v>0</v>
      </c>
      <c r="P277" s="2994">
        <v>0</v>
      </c>
      <c r="Q277" s="2994">
        <v>0</v>
      </c>
      <c r="R277" s="2994">
        <v>0</v>
      </c>
      <c r="S277" s="2994">
        <v>0</v>
      </c>
      <c r="T277" s="2994">
        <v>0</v>
      </c>
      <c r="U277" s="2994">
        <v>0</v>
      </c>
      <c r="V277" s="2994">
        <v>0</v>
      </c>
      <c r="W277" s="2994">
        <v>0</v>
      </c>
      <c r="X277" s="2994">
        <v>0</v>
      </c>
      <c r="Y277" s="2994">
        <v>0</v>
      </c>
      <c r="Z277" s="2994">
        <v>0</v>
      </c>
      <c r="AA277" s="2994">
        <v>0</v>
      </c>
      <c r="AB277" s="2994">
        <v>0</v>
      </c>
      <c r="AC277" s="2994">
        <v>0</v>
      </c>
      <c r="AD277" s="2994">
        <v>0</v>
      </c>
      <c r="AE277" s="2994">
        <v>0</v>
      </c>
      <c r="AF277" s="2994">
        <v>0</v>
      </c>
      <c r="AG277" s="2994">
        <v>0</v>
      </c>
      <c r="AH277" s="2994">
        <v>0</v>
      </c>
      <c r="AI277" s="2994">
        <v>0</v>
      </c>
      <c r="AJ277" s="2994">
        <v>0</v>
      </c>
      <c r="AK277" s="2994">
        <v>0</v>
      </c>
      <c r="AL277" s="2994">
        <v>0</v>
      </c>
      <c r="AM277" s="2994">
        <v>0</v>
      </c>
      <c r="AN277" s="2994">
        <v>0</v>
      </c>
      <c r="AO277" s="2994">
        <v>0</v>
      </c>
      <c r="AP277" s="2994">
        <v>0</v>
      </c>
      <c r="AQ277" s="2994">
        <v>0</v>
      </c>
      <c r="AR277" s="2994">
        <v>0</v>
      </c>
      <c r="AS277" s="2994">
        <v>0</v>
      </c>
      <c r="AT277" s="2994">
        <v>0</v>
      </c>
      <c r="AU277" s="2994">
        <v>0</v>
      </c>
      <c r="AV277" s="2994">
        <v>0</v>
      </c>
      <c r="AW277" s="2994">
        <v>0</v>
      </c>
      <c r="AX277" s="2994">
        <v>0</v>
      </c>
      <c r="AY277" s="2994">
        <v>0</v>
      </c>
      <c r="AZ277" s="2994">
        <v>0</v>
      </c>
      <c r="BA277" s="2994">
        <v>0</v>
      </c>
      <c r="BB277" s="2994">
        <v>0</v>
      </c>
      <c r="BC277" s="2994">
        <v>0</v>
      </c>
      <c r="BD277" s="3471">
        <v>0</v>
      </c>
      <c r="BE277" s="3471">
        <v>0</v>
      </c>
      <c r="BF277" s="3471">
        <v>0</v>
      </c>
    </row>
    <row r="278" spans="1:58">
      <c r="A278" s="1817" t="str">
        <f t="shared" si="9"/>
        <v>Northern AmericaPineapples</v>
      </c>
      <c r="B278" s="1818" t="s">
        <v>1318</v>
      </c>
      <c r="C278" s="1818" t="s">
        <v>1325</v>
      </c>
      <c r="D278" s="3463" t="str">
        <f>VLOOKUP(B278,List_Yield!$G$4:$J$14,4,FALSE)</f>
        <v>North America</v>
      </c>
      <c r="E278" s="3463" t="str">
        <f t="shared" si="8"/>
        <v>North AmericaPineapples</v>
      </c>
      <c r="F278" s="2994">
        <v>26.0626</v>
      </c>
      <c r="G278" s="2994">
        <v>27.865100000000002</v>
      </c>
      <c r="H278" s="2994">
        <v>30.019500000000001</v>
      </c>
      <c r="I278" s="2994">
        <v>29.487500000000001</v>
      </c>
      <c r="J278" s="2994">
        <v>32.384500000000003</v>
      </c>
      <c r="K278" s="2994">
        <v>34.695399999999999</v>
      </c>
      <c r="L278" s="2994">
        <v>34.833300000000001</v>
      </c>
      <c r="M278" s="2994">
        <v>31.7638</v>
      </c>
      <c r="N278" s="2994">
        <v>32.049199999999999</v>
      </c>
      <c r="O278" s="2994">
        <v>35.038600000000002</v>
      </c>
      <c r="P278" s="2994">
        <v>34.597900000000003</v>
      </c>
      <c r="Q278" s="2994">
        <v>36.602600000000002</v>
      </c>
      <c r="R278" s="2994">
        <v>31.5793</v>
      </c>
      <c r="S278" s="2994">
        <v>28.531500000000001</v>
      </c>
      <c r="T278" s="2994">
        <v>32.280799999999999</v>
      </c>
      <c r="U278" s="2994">
        <v>31.757100000000001</v>
      </c>
      <c r="V278" s="2994">
        <v>34.374200000000002</v>
      </c>
      <c r="W278" s="2994">
        <v>35.192500000000003</v>
      </c>
      <c r="X278" s="2994">
        <v>34.687800000000003</v>
      </c>
      <c r="Y278" s="2994">
        <v>34.253999999999998</v>
      </c>
      <c r="Z278" s="2994">
        <v>34.778199999999998</v>
      </c>
      <c r="AA278" s="2994">
        <v>41.716500000000003</v>
      </c>
      <c r="AB278" s="2994">
        <v>46.257100000000001</v>
      </c>
      <c r="AC278" s="2994">
        <v>38.44</v>
      </c>
      <c r="AD278" s="2994">
        <v>36.711100000000002</v>
      </c>
      <c r="AE278" s="2994">
        <v>40.225099999999998</v>
      </c>
      <c r="AF278" s="2994">
        <v>42.973500000000001</v>
      </c>
      <c r="AG278" s="2994">
        <v>42.702100000000002</v>
      </c>
      <c r="AH278" s="2994">
        <v>39.773200000000003</v>
      </c>
      <c r="AI278" s="2994">
        <v>41.730400000000003</v>
      </c>
      <c r="AJ278" s="2994">
        <v>43.782600000000002</v>
      </c>
      <c r="AK278" s="2994">
        <v>47.070799999999998</v>
      </c>
      <c r="AL278" s="2994">
        <v>37.714599999999997</v>
      </c>
      <c r="AM278" s="2994">
        <v>36.689399999999999</v>
      </c>
      <c r="AN278" s="2994">
        <v>38.881999999999998</v>
      </c>
      <c r="AO278" s="2994">
        <v>38.936999999999998</v>
      </c>
      <c r="AP278" s="2994">
        <v>36.392499999999998</v>
      </c>
      <c r="AQ278" s="2994">
        <v>35.432899999999997</v>
      </c>
      <c r="AR278" s="2994">
        <v>37.572800000000001</v>
      </c>
      <c r="AS278" s="2994">
        <v>38.336500000000001</v>
      </c>
      <c r="AT278" s="2994">
        <v>36.024299999999997</v>
      </c>
      <c r="AU278" s="2994">
        <v>37.555100000000003</v>
      </c>
      <c r="AV278" s="2994">
        <v>42.031799999999997</v>
      </c>
      <c r="AW278" s="2994">
        <v>37.935899999999997</v>
      </c>
      <c r="AX278" s="2994">
        <v>33.943300000000001</v>
      </c>
      <c r="AY278" s="2994">
        <v>30.3202</v>
      </c>
      <c r="AZ278" s="2994">
        <v>30.1754</v>
      </c>
      <c r="BA278" s="2994">
        <v>31.304300000000001</v>
      </c>
      <c r="BB278" s="2994">
        <v>34.482799999999997</v>
      </c>
      <c r="BC278" s="2994">
        <v>29.8246</v>
      </c>
      <c r="BD278" s="3471">
        <v>31.1953</v>
      </c>
      <c r="BE278" s="3471">
        <v>30.083300000000001</v>
      </c>
      <c r="BF278" s="3471">
        <v>0</v>
      </c>
    </row>
    <row r="279" spans="1:58">
      <c r="A279" s="1817" t="str">
        <f t="shared" si="9"/>
        <v>Northern AmericaPistachios</v>
      </c>
      <c r="B279" s="1818" t="s">
        <v>1318</v>
      </c>
      <c r="C279" s="1818" t="s">
        <v>7364</v>
      </c>
      <c r="D279" s="3463" t="str">
        <f>VLOOKUP(B279,List_Yield!$G$4:$J$14,4,FALSE)</f>
        <v>North America</v>
      </c>
      <c r="E279" s="3463" t="str">
        <f t="shared" si="8"/>
        <v>North AmericaPistachios</v>
      </c>
      <c r="F279" s="2994">
        <v>0</v>
      </c>
      <c r="G279" s="2994">
        <v>0</v>
      </c>
      <c r="H279" s="2994">
        <v>0</v>
      </c>
      <c r="I279" s="2994">
        <v>0</v>
      </c>
      <c r="J279" s="2994">
        <v>0</v>
      </c>
      <c r="K279" s="2994">
        <v>0</v>
      </c>
      <c r="L279" s="2994">
        <v>0</v>
      </c>
      <c r="M279" s="2994">
        <v>0</v>
      </c>
      <c r="N279" s="2994">
        <v>0</v>
      </c>
      <c r="O279" s="2994">
        <v>0</v>
      </c>
      <c r="P279" s="2994">
        <v>0</v>
      </c>
      <c r="Q279" s="2994">
        <v>0</v>
      </c>
      <c r="R279" s="2994">
        <v>0</v>
      </c>
      <c r="S279" s="2994">
        <v>0</v>
      </c>
      <c r="T279" s="2994">
        <v>0</v>
      </c>
      <c r="U279" s="2994">
        <v>0</v>
      </c>
      <c r="V279" s="2994">
        <v>3.0246</v>
      </c>
      <c r="W279" s="2994">
        <v>0.83030000000000004</v>
      </c>
      <c r="X279" s="2994">
        <v>0.75890000000000002</v>
      </c>
      <c r="Y279" s="2994">
        <v>1.1205000000000001</v>
      </c>
      <c r="Z279" s="2994">
        <v>0.58240000000000003</v>
      </c>
      <c r="AA279" s="2994">
        <v>1.6269</v>
      </c>
      <c r="AB279" s="2994">
        <v>0.95120000000000005</v>
      </c>
      <c r="AC279" s="2994">
        <v>2.2970000000000002</v>
      </c>
      <c r="AD279" s="2994">
        <v>0.94030000000000002</v>
      </c>
      <c r="AE279" s="2994">
        <v>2.4544999999999999</v>
      </c>
      <c r="AF279" s="2994">
        <v>0.9042</v>
      </c>
      <c r="AG279" s="2994">
        <v>2.2303000000000002</v>
      </c>
      <c r="AH279" s="2994">
        <v>0.85870000000000002</v>
      </c>
      <c r="AI279" s="2994">
        <v>2.5047999999999999</v>
      </c>
      <c r="AJ279" s="2994">
        <v>1.5497000000000001</v>
      </c>
      <c r="AK279" s="2994">
        <v>2.9169</v>
      </c>
      <c r="AL279" s="2994">
        <v>2.9887000000000001</v>
      </c>
      <c r="AM279" s="2994">
        <v>2.5139999999999998</v>
      </c>
      <c r="AN279" s="2994">
        <v>2.7511999999999999</v>
      </c>
      <c r="AO279" s="2994">
        <v>1.8319000000000001</v>
      </c>
      <c r="AP279" s="2994">
        <v>3.0543999999999998</v>
      </c>
      <c r="AQ279" s="2994">
        <v>3.0588000000000002</v>
      </c>
      <c r="AR279" s="2994">
        <v>1.9165000000000001</v>
      </c>
      <c r="AS279" s="2994">
        <v>3.6497000000000002</v>
      </c>
      <c r="AT279" s="2994">
        <v>2.3136000000000001</v>
      </c>
      <c r="AU279" s="2994">
        <v>4.0917000000000003</v>
      </c>
      <c r="AV279" s="2994">
        <v>1.5159</v>
      </c>
      <c r="AW279" s="2994">
        <v>4.1821000000000002</v>
      </c>
      <c r="AX279" s="2994">
        <v>3.0209999999999999</v>
      </c>
      <c r="AY279" s="2994">
        <v>2.4251</v>
      </c>
      <c r="AZ279" s="2994">
        <v>4.0545999999999998</v>
      </c>
      <c r="BA279" s="2994">
        <v>2.6406999999999998</v>
      </c>
      <c r="BB279" s="2994">
        <v>3.1579999999999999</v>
      </c>
      <c r="BC279" s="2994">
        <v>4.2706999999999997</v>
      </c>
      <c r="BD279" s="3471">
        <v>3.2526999999999999</v>
      </c>
      <c r="BE279" s="3471">
        <v>3.2073999999999998</v>
      </c>
      <c r="BF279" s="3471">
        <v>0</v>
      </c>
    </row>
    <row r="280" spans="1:58">
      <c r="A280" s="1817" t="str">
        <f t="shared" si="9"/>
        <v>Northern AmericaPlantains</v>
      </c>
      <c r="B280" s="1818" t="s">
        <v>1318</v>
      </c>
      <c r="C280" s="1818" t="s">
        <v>1367</v>
      </c>
      <c r="D280" s="3463" t="str">
        <f>VLOOKUP(B280,List_Yield!$G$4:$J$14,4,FALSE)</f>
        <v>North America</v>
      </c>
      <c r="E280" s="3463" t="str">
        <f t="shared" si="8"/>
        <v>North AmericaPlantains</v>
      </c>
      <c r="F280" s="2994">
        <v>0</v>
      </c>
      <c r="G280" s="2994">
        <v>0</v>
      </c>
      <c r="H280" s="2994">
        <v>0</v>
      </c>
      <c r="I280" s="2994">
        <v>0</v>
      </c>
      <c r="J280" s="2994">
        <v>0</v>
      </c>
      <c r="K280" s="2994">
        <v>0</v>
      </c>
      <c r="L280" s="2994">
        <v>0</v>
      </c>
      <c r="M280" s="2994">
        <v>0</v>
      </c>
      <c r="N280" s="2994">
        <v>0</v>
      </c>
      <c r="O280" s="2994">
        <v>0</v>
      </c>
      <c r="P280" s="2994">
        <v>0</v>
      </c>
      <c r="Q280" s="2994">
        <v>0</v>
      </c>
      <c r="R280" s="2994">
        <v>0</v>
      </c>
      <c r="S280" s="2994">
        <v>0</v>
      </c>
      <c r="T280" s="2994">
        <v>0</v>
      </c>
      <c r="U280" s="2994">
        <v>0</v>
      </c>
      <c r="V280" s="2994">
        <v>0</v>
      </c>
      <c r="W280" s="2994">
        <v>0</v>
      </c>
      <c r="X280" s="2994">
        <v>0</v>
      </c>
      <c r="Y280" s="2994">
        <v>0</v>
      </c>
      <c r="Z280" s="2994">
        <v>0</v>
      </c>
      <c r="AA280" s="2994">
        <v>0</v>
      </c>
      <c r="AB280" s="2994">
        <v>0</v>
      </c>
      <c r="AC280" s="2994">
        <v>0</v>
      </c>
      <c r="AD280" s="2994">
        <v>0</v>
      </c>
      <c r="AE280" s="2994">
        <v>0</v>
      </c>
      <c r="AF280" s="2994">
        <v>0</v>
      </c>
      <c r="AG280" s="2994">
        <v>0</v>
      </c>
      <c r="AH280" s="2994">
        <v>0</v>
      </c>
      <c r="AI280" s="2994">
        <v>0</v>
      </c>
      <c r="AJ280" s="2994">
        <v>0</v>
      </c>
      <c r="AK280" s="2994">
        <v>0</v>
      </c>
      <c r="AL280" s="2994">
        <v>0</v>
      </c>
      <c r="AM280" s="2994">
        <v>0</v>
      </c>
      <c r="AN280" s="2994">
        <v>0</v>
      </c>
      <c r="AO280" s="2994">
        <v>0</v>
      </c>
      <c r="AP280" s="2994">
        <v>0</v>
      </c>
      <c r="AQ280" s="2994">
        <v>0</v>
      </c>
      <c r="AR280" s="2994">
        <v>0</v>
      </c>
      <c r="AS280" s="2994">
        <v>0</v>
      </c>
      <c r="AT280" s="2994">
        <v>0</v>
      </c>
      <c r="AU280" s="2994">
        <v>0</v>
      </c>
      <c r="AV280" s="2994">
        <v>0</v>
      </c>
      <c r="AW280" s="2994">
        <v>0</v>
      </c>
      <c r="AX280" s="2994">
        <v>0</v>
      </c>
      <c r="AY280" s="2994">
        <v>0</v>
      </c>
      <c r="AZ280" s="2994">
        <v>0</v>
      </c>
      <c r="BA280" s="2994">
        <v>0</v>
      </c>
      <c r="BB280" s="2994">
        <v>0</v>
      </c>
      <c r="BC280" s="2994">
        <v>0</v>
      </c>
      <c r="BD280" s="3471">
        <v>0</v>
      </c>
      <c r="BE280" s="3471">
        <v>0</v>
      </c>
      <c r="BF280" s="3471">
        <v>0</v>
      </c>
    </row>
    <row r="281" spans="1:58">
      <c r="A281" s="1817" t="str">
        <f t="shared" si="9"/>
        <v>Northern AmericaPlums and sloes</v>
      </c>
      <c r="B281" s="1818" t="s">
        <v>1318</v>
      </c>
      <c r="C281" s="1818" t="s">
        <v>7365</v>
      </c>
      <c r="D281" s="3463" t="str">
        <f>VLOOKUP(B281,List_Yield!$G$4:$J$14,4,FALSE)</f>
        <v>North America</v>
      </c>
      <c r="E281" s="3463" t="str">
        <f t="shared" si="8"/>
        <v>North AmericaPlums and sloes</v>
      </c>
      <c r="F281" s="2994">
        <v>9.0124999999999993</v>
      </c>
      <c r="G281" s="2994">
        <v>9.5894999999999992</v>
      </c>
      <c r="H281" s="2994">
        <v>8.2683</v>
      </c>
      <c r="I281" s="2994">
        <v>10.5998</v>
      </c>
      <c r="J281" s="2994">
        <v>9.86</v>
      </c>
      <c r="K281" s="2994">
        <v>7.5297999999999998</v>
      </c>
      <c r="L281" s="2994">
        <v>8.8459000000000003</v>
      </c>
      <c r="M281" s="2994">
        <v>8.1252999999999993</v>
      </c>
      <c r="N281" s="2994">
        <v>7.8822999999999999</v>
      </c>
      <c r="O281" s="2994">
        <v>12.148199999999999</v>
      </c>
      <c r="P281" s="2994">
        <v>9.6593999999999998</v>
      </c>
      <c r="Q281" s="2994">
        <v>6.3121</v>
      </c>
      <c r="R281" s="2994">
        <v>13.5497</v>
      </c>
      <c r="S281" s="2994">
        <v>11.374000000000001</v>
      </c>
      <c r="T281" s="2994">
        <v>11.6387</v>
      </c>
      <c r="U281" s="2994">
        <v>11.978400000000001</v>
      </c>
      <c r="V281" s="2994">
        <v>12.965199999999999</v>
      </c>
      <c r="W281" s="2994">
        <v>11.7364</v>
      </c>
      <c r="X281" s="2994">
        <v>12.1068</v>
      </c>
      <c r="Y281" s="2994">
        <v>14.5265</v>
      </c>
      <c r="Z281" s="2994">
        <v>15.104799999999999</v>
      </c>
      <c r="AA281" s="2994">
        <v>10.944699999999999</v>
      </c>
      <c r="AB281" s="2994">
        <v>13.158300000000001</v>
      </c>
      <c r="AC281" s="2994">
        <v>13.9163</v>
      </c>
      <c r="AD281" s="2994">
        <v>12.114599999999999</v>
      </c>
      <c r="AE281" s="2994">
        <v>9.0085999999999995</v>
      </c>
      <c r="AF281" s="2994">
        <v>17.1221</v>
      </c>
      <c r="AG281" s="2994">
        <v>12.609500000000001</v>
      </c>
      <c r="AH281" s="2994">
        <v>17.553699999999999</v>
      </c>
      <c r="AI281" s="2994">
        <v>12.27</v>
      </c>
      <c r="AJ281" s="2994">
        <v>14.0951</v>
      </c>
      <c r="AK281" s="2994">
        <v>14.030799999999999</v>
      </c>
      <c r="AL281" s="2994">
        <v>9.9092000000000002</v>
      </c>
      <c r="AM281" s="2994">
        <v>14.692500000000001</v>
      </c>
      <c r="AN281" s="2994">
        <v>12.559900000000001</v>
      </c>
      <c r="AO281" s="2994">
        <v>15.905799999999999</v>
      </c>
      <c r="AP281" s="2994">
        <v>15.9793</v>
      </c>
      <c r="AQ281" s="2994">
        <v>9.6168999999999993</v>
      </c>
      <c r="AR281" s="2994">
        <v>12.8774</v>
      </c>
      <c r="AS281" s="2994">
        <v>15.6958</v>
      </c>
      <c r="AT281" s="2994">
        <v>11.428599999999999</v>
      </c>
      <c r="AU281" s="2994">
        <v>14.337199999999999</v>
      </c>
      <c r="AV281" s="2994">
        <v>15.9161</v>
      </c>
      <c r="AW281" s="2994">
        <v>6.6196999999999999</v>
      </c>
      <c r="AX281" s="2994">
        <v>9.9534000000000002</v>
      </c>
      <c r="AY281" s="2994">
        <v>14.886699999999999</v>
      </c>
      <c r="AZ281" s="2994">
        <v>9.3331</v>
      </c>
      <c r="BA281" s="2994">
        <v>12.5016</v>
      </c>
      <c r="BB281" s="2994">
        <v>14.886200000000001</v>
      </c>
      <c r="BC281" s="2994">
        <v>7.0468999999999999</v>
      </c>
      <c r="BD281" s="3471">
        <v>8.0370000000000008</v>
      </c>
      <c r="BE281" s="3471">
        <v>6.8354999999999997</v>
      </c>
      <c r="BF281" s="3471">
        <v>0</v>
      </c>
    </row>
    <row r="282" spans="1:58">
      <c r="A282" s="1817" t="str">
        <f t="shared" si="9"/>
        <v>Northern AmericaPopcorn</v>
      </c>
      <c r="B282" s="1818" t="s">
        <v>1318</v>
      </c>
      <c r="C282" s="1818" t="s">
        <v>7366</v>
      </c>
      <c r="D282" s="3463" t="str">
        <f>VLOOKUP(B282,List_Yield!$G$4:$J$14,4,FALSE)</f>
        <v>North America</v>
      </c>
      <c r="E282" s="3463" t="str">
        <f t="shared" si="8"/>
        <v>North AmericaPopcorn</v>
      </c>
      <c r="F282" s="2994">
        <v>2.1762000000000001</v>
      </c>
      <c r="G282" s="2994">
        <v>2.2328000000000001</v>
      </c>
      <c r="H282" s="2994">
        <v>2.2254</v>
      </c>
      <c r="I282" s="2994">
        <v>1.9077999999999999</v>
      </c>
      <c r="J282" s="2994">
        <v>2.2644000000000002</v>
      </c>
      <c r="K282" s="2994">
        <v>2.1682999999999999</v>
      </c>
      <c r="L282" s="2994">
        <v>2.4097</v>
      </c>
      <c r="M282" s="2994">
        <v>2.2566999999999999</v>
      </c>
      <c r="N282" s="2994">
        <v>2.6867000000000001</v>
      </c>
      <c r="O282" s="2994">
        <v>2.1939000000000002</v>
      </c>
      <c r="P282" s="2994">
        <v>2.9108000000000001</v>
      </c>
      <c r="Q282" s="2994">
        <v>2.9933999999999998</v>
      </c>
      <c r="R282" s="2994">
        <v>2.7967</v>
      </c>
      <c r="S282" s="2994">
        <v>2.2820999999999998</v>
      </c>
      <c r="T282" s="2994">
        <v>2.7130000000000001</v>
      </c>
      <c r="U282" s="2994">
        <v>3.2786</v>
      </c>
      <c r="V282" s="2994">
        <v>3.1248</v>
      </c>
      <c r="W282" s="2994">
        <v>3.1625000000000001</v>
      </c>
      <c r="X282" s="2994">
        <v>3.3542000000000001</v>
      </c>
      <c r="Y282" s="2994">
        <v>2.7757999999999998</v>
      </c>
      <c r="Z282" s="2994">
        <v>3.5226999999999999</v>
      </c>
      <c r="AA282" s="2994">
        <v>0</v>
      </c>
      <c r="AB282" s="2994">
        <v>0</v>
      </c>
      <c r="AC282" s="2994">
        <v>0</v>
      </c>
      <c r="AD282" s="2994">
        <v>0</v>
      </c>
      <c r="AE282" s="2994">
        <v>0</v>
      </c>
      <c r="AF282" s="2994">
        <v>0</v>
      </c>
      <c r="AG282" s="2994">
        <v>0</v>
      </c>
      <c r="AH282" s="2994">
        <v>0</v>
      </c>
      <c r="AI282" s="2994">
        <v>0</v>
      </c>
      <c r="AJ282" s="2994">
        <v>0</v>
      </c>
      <c r="AK282" s="2994">
        <v>0</v>
      </c>
      <c r="AL282" s="2994">
        <v>0</v>
      </c>
      <c r="AM282" s="2994">
        <v>0</v>
      </c>
      <c r="AN282" s="2994">
        <v>0</v>
      </c>
      <c r="AO282" s="2994">
        <v>0</v>
      </c>
      <c r="AP282" s="2994">
        <v>0</v>
      </c>
      <c r="AQ282" s="2994">
        <v>0</v>
      </c>
      <c r="AR282" s="2994">
        <v>0</v>
      </c>
      <c r="AS282" s="2994">
        <v>0</v>
      </c>
      <c r="AT282" s="2994">
        <v>0</v>
      </c>
      <c r="AU282" s="2994">
        <v>0</v>
      </c>
      <c r="AV282" s="2994">
        <v>0</v>
      </c>
      <c r="AW282" s="2994">
        <v>0</v>
      </c>
      <c r="AX282" s="2994">
        <v>0</v>
      </c>
      <c r="AY282" s="2994">
        <v>0</v>
      </c>
      <c r="AZ282" s="2994">
        <v>0</v>
      </c>
      <c r="BA282" s="2994">
        <v>0</v>
      </c>
      <c r="BB282" s="2994">
        <v>0</v>
      </c>
      <c r="BC282" s="2994">
        <v>0</v>
      </c>
      <c r="BD282" s="3471">
        <v>0</v>
      </c>
      <c r="BE282" s="3471">
        <v>0</v>
      </c>
      <c r="BF282" s="3471">
        <v>0</v>
      </c>
    </row>
    <row r="283" spans="1:58">
      <c r="A283" s="1817" t="str">
        <f t="shared" si="9"/>
        <v>Northern AmericaPoppy seed</v>
      </c>
      <c r="B283" s="1818" t="s">
        <v>1318</v>
      </c>
      <c r="C283" s="1818" t="s">
        <v>7367</v>
      </c>
      <c r="D283" s="3463" t="str">
        <f>VLOOKUP(B283,List_Yield!$G$4:$J$14,4,FALSE)</f>
        <v>North America</v>
      </c>
      <c r="E283" s="3463" t="str">
        <f t="shared" si="8"/>
        <v>North AmericaPoppy seed</v>
      </c>
      <c r="F283" s="2994">
        <v>0</v>
      </c>
      <c r="G283" s="2994">
        <v>0</v>
      </c>
      <c r="H283" s="2994">
        <v>0</v>
      </c>
      <c r="I283" s="2994">
        <v>0</v>
      </c>
      <c r="J283" s="2994">
        <v>0</v>
      </c>
      <c r="K283" s="2994">
        <v>0</v>
      </c>
      <c r="L283" s="2994">
        <v>0</v>
      </c>
      <c r="M283" s="2994">
        <v>0</v>
      </c>
      <c r="N283" s="2994">
        <v>0</v>
      </c>
      <c r="O283" s="2994">
        <v>0</v>
      </c>
      <c r="P283" s="2994">
        <v>0</v>
      </c>
      <c r="Q283" s="2994">
        <v>0</v>
      </c>
      <c r="R283" s="2994">
        <v>0</v>
      </c>
      <c r="S283" s="2994">
        <v>0</v>
      </c>
      <c r="T283" s="2994">
        <v>0</v>
      </c>
      <c r="U283" s="2994">
        <v>0</v>
      </c>
      <c r="V283" s="2994">
        <v>0</v>
      </c>
      <c r="W283" s="2994">
        <v>0</v>
      </c>
      <c r="X283" s="2994">
        <v>0</v>
      </c>
      <c r="Y283" s="2994">
        <v>0</v>
      </c>
      <c r="Z283" s="2994">
        <v>0</v>
      </c>
      <c r="AA283" s="2994">
        <v>0</v>
      </c>
      <c r="AB283" s="2994">
        <v>0</v>
      </c>
      <c r="AC283" s="2994">
        <v>0</v>
      </c>
      <c r="AD283" s="2994">
        <v>0</v>
      </c>
      <c r="AE283" s="2994">
        <v>0</v>
      </c>
      <c r="AF283" s="2994">
        <v>0</v>
      </c>
      <c r="AG283" s="2994">
        <v>0</v>
      </c>
      <c r="AH283" s="2994">
        <v>0</v>
      </c>
      <c r="AI283" s="2994">
        <v>0</v>
      </c>
      <c r="AJ283" s="2994">
        <v>0</v>
      </c>
      <c r="AK283" s="2994">
        <v>0</v>
      </c>
      <c r="AL283" s="2994">
        <v>0</v>
      </c>
      <c r="AM283" s="2994">
        <v>0</v>
      </c>
      <c r="AN283" s="2994">
        <v>0</v>
      </c>
      <c r="AO283" s="2994">
        <v>0</v>
      </c>
      <c r="AP283" s="2994">
        <v>0</v>
      </c>
      <c r="AQ283" s="2994">
        <v>0</v>
      </c>
      <c r="AR283" s="2994">
        <v>0</v>
      </c>
      <c r="AS283" s="2994">
        <v>0</v>
      </c>
      <c r="AT283" s="2994">
        <v>0</v>
      </c>
      <c r="AU283" s="2994">
        <v>0</v>
      </c>
      <c r="AV283" s="2994">
        <v>0</v>
      </c>
      <c r="AW283" s="2994">
        <v>0</v>
      </c>
      <c r="AX283" s="2994">
        <v>0</v>
      </c>
      <c r="AY283" s="2994">
        <v>0</v>
      </c>
      <c r="AZ283" s="2994">
        <v>0</v>
      </c>
      <c r="BA283" s="2994">
        <v>0</v>
      </c>
      <c r="BB283" s="2994">
        <v>0</v>
      </c>
      <c r="BC283" s="2994">
        <v>0</v>
      </c>
      <c r="BD283" s="3471">
        <v>0</v>
      </c>
      <c r="BE283" s="3471">
        <v>0</v>
      </c>
      <c r="BF283" s="3471">
        <v>0</v>
      </c>
    </row>
    <row r="284" spans="1:58">
      <c r="A284" s="1817" t="str">
        <f t="shared" si="9"/>
        <v>Northern AmericaPotatoes</v>
      </c>
      <c r="B284" s="1818" t="s">
        <v>1318</v>
      </c>
      <c r="C284" s="1818" t="s">
        <v>1368</v>
      </c>
      <c r="D284" s="3463" t="str">
        <f>VLOOKUP(B284,List_Yield!$G$4:$J$14,4,FALSE)</f>
        <v>North America</v>
      </c>
      <c r="E284" s="3463" t="str">
        <f t="shared" si="8"/>
        <v>North AmericaPotatoes</v>
      </c>
      <c r="F284" s="2994">
        <v>21.146899999999999</v>
      </c>
      <c r="G284" s="2994">
        <v>21.3568</v>
      </c>
      <c r="H284" s="2994">
        <v>22.0749</v>
      </c>
      <c r="I284" s="2994">
        <v>20.8476</v>
      </c>
      <c r="J284" s="2994">
        <v>22.474699999999999</v>
      </c>
      <c r="K284" s="2994">
        <v>22.7486</v>
      </c>
      <c r="L284" s="2994">
        <v>22.378699999999998</v>
      </c>
      <c r="M284" s="2994">
        <v>23.122299999999999</v>
      </c>
      <c r="N284" s="2994">
        <v>23.713100000000001</v>
      </c>
      <c r="O284" s="2994">
        <v>24.4542</v>
      </c>
      <c r="P284" s="2994">
        <v>24.498000000000001</v>
      </c>
      <c r="Q284" s="2994">
        <v>25.077200000000001</v>
      </c>
      <c r="R284" s="2994">
        <v>24.553799999999999</v>
      </c>
      <c r="S284" s="2994">
        <v>26.474900000000002</v>
      </c>
      <c r="T284" s="2994">
        <v>27.166499999999999</v>
      </c>
      <c r="U284" s="2994">
        <v>27.937100000000001</v>
      </c>
      <c r="V284" s="2994">
        <v>28.015999999999998</v>
      </c>
      <c r="W284" s="2994">
        <v>28.555199999999999</v>
      </c>
      <c r="X284" s="2994">
        <v>29.254100000000001</v>
      </c>
      <c r="Y284" s="2994">
        <v>28.3383</v>
      </c>
      <c r="Z284" s="2994">
        <v>29.576799999999999</v>
      </c>
      <c r="AA284" s="2994">
        <v>30.038499999999999</v>
      </c>
      <c r="AB284" s="2994">
        <v>28.627600000000001</v>
      </c>
      <c r="AC284" s="2994">
        <v>29.771999999999998</v>
      </c>
      <c r="AD284" s="2994">
        <v>32.154000000000003</v>
      </c>
      <c r="AE284" s="2994">
        <v>31.648900000000001</v>
      </c>
      <c r="AF284" s="2994">
        <v>32.467100000000002</v>
      </c>
      <c r="AG284" s="2994">
        <v>30.436599999999999</v>
      </c>
      <c r="AH284" s="2994">
        <v>31.083600000000001</v>
      </c>
      <c r="AI284" s="2994">
        <v>31.499099999999999</v>
      </c>
      <c r="AJ284" s="2994">
        <v>32.258099999999999</v>
      </c>
      <c r="AK284" s="2994">
        <v>34.910299999999999</v>
      </c>
      <c r="AL284" s="2994">
        <v>34.597799999999999</v>
      </c>
      <c r="AM284" s="2994">
        <v>35.965800000000002</v>
      </c>
      <c r="AN284" s="2994">
        <v>34.250500000000002</v>
      </c>
      <c r="AO284" s="2994">
        <v>36.861699999999999</v>
      </c>
      <c r="AP284" s="2994">
        <v>36.326099999999997</v>
      </c>
      <c r="AQ284" s="2994">
        <v>36.086300000000001</v>
      </c>
      <c r="AR284" s="2994">
        <v>37.3063</v>
      </c>
      <c r="AS284" s="2994">
        <v>39.542999999999999</v>
      </c>
      <c r="AT284" s="2994">
        <v>36.432600000000001</v>
      </c>
      <c r="AU284" s="2994">
        <v>37.305100000000003</v>
      </c>
      <c r="AV284" s="2994">
        <v>37.963200000000001</v>
      </c>
      <c r="AW284" s="2994">
        <v>40.257899999999999</v>
      </c>
      <c r="AX284" s="2994">
        <v>39.7029</v>
      </c>
      <c r="AY284" s="2994">
        <v>41.012</v>
      </c>
      <c r="AZ284" s="2994">
        <v>41.0685</v>
      </c>
      <c r="BA284" s="2994">
        <v>40.9527</v>
      </c>
      <c r="BB284" s="2994">
        <v>42.550899999999999</v>
      </c>
      <c r="BC284" s="2994">
        <v>41.765500000000003</v>
      </c>
      <c r="BD284" s="3471">
        <v>41.017299999999999</v>
      </c>
      <c r="BE284" s="3471">
        <v>42.2072</v>
      </c>
      <c r="BF284" s="3471">
        <v>43.081699999999998</v>
      </c>
    </row>
    <row r="285" spans="1:58">
      <c r="A285" s="1817" t="str">
        <f t="shared" si="9"/>
        <v>Northern AmericaPulses, nes</v>
      </c>
      <c r="B285" s="1818" t="s">
        <v>1318</v>
      </c>
      <c r="C285" s="1818" t="s">
        <v>1369</v>
      </c>
      <c r="D285" s="3463" t="str">
        <f>VLOOKUP(B285,List_Yield!$G$4:$J$14,4,FALSE)</f>
        <v>North America</v>
      </c>
      <c r="E285" s="3463" t="str">
        <f t="shared" si="8"/>
        <v>North AmericaPulses, nes</v>
      </c>
      <c r="F285" s="2994">
        <v>0</v>
      </c>
      <c r="G285" s="2994">
        <v>0</v>
      </c>
      <c r="H285" s="2994">
        <v>0</v>
      </c>
      <c r="I285" s="2994">
        <v>0</v>
      </c>
      <c r="J285" s="2994">
        <v>0</v>
      </c>
      <c r="K285" s="2994">
        <v>0</v>
      </c>
      <c r="L285" s="2994">
        <v>0</v>
      </c>
      <c r="M285" s="2994">
        <v>0</v>
      </c>
      <c r="N285" s="2994">
        <v>0</v>
      </c>
      <c r="O285" s="2994">
        <v>0</v>
      </c>
      <c r="P285" s="2994">
        <v>0</v>
      </c>
      <c r="Q285" s="2994">
        <v>0</v>
      </c>
      <c r="R285" s="2994">
        <v>0</v>
      </c>
      <c r="S285" s="2994">
        <v>0</v>
      </c>
      <c r="T285" s="2994">
        <v>0</v>
      </c>
      <c r="U285" s="2994">
        <v>0</v>
      </c>
      <c r="V285" s="2994">
        <v>0</v>
      </c>
      <c r="W285" s="2994">
        <v>0</v>
      </c>
      <c r="X285" s="2994">
        <v>0</v>
      </c>
      <c r="Y285" s="2994">
        <v>0</v>
      </c>
      <c r="Z285" s="2994">
        <v>0</v>
      </c>
      <c r="AA285" s="2994">
        <v>0</v>
      </c>
      <c r="AB285" s="2994">
        <v>0</v>
      </c>
      <c r="AC285" s="2994">
        <v>0</v>
      </c>
      <c r="AD285" s="2994">
        <v>0</v>
      </c>
      <c r="AE285" s="2994">
        <v>0</v>
      </c>
      <c r="AF285" s="2994">
        <v>0</v>
      </c>
      <c r="AG285" s="2994">
        <v>0</v>
      </c>
      <c r="AH285" s="2994">
        <v>0</v>
      </c>
      <c r="AI285" s="2994">
        <v>0</v>
      </c>
      <c r="AJ285" s="2994">
        <v>0</v>
      </c>
      <c r="AK285" s="2994">
        <v>0</v>
      </c>
      <c r="AL285" s="2994">
        <v>0</v>
      </c>
      <c r="AM285" s="2994">
        <v>0</v>
      </c>
      <c r="AN285" s="2994">
        <v>0</v>
      </c>
      <c r="AO285" s="2994">
        <v>0</v>
      </c>
      <c r="AP285" s="2994">
        <v>0</v>
      </c>
      <c r="AQ285" s="2994">
        <v>0</v>
      </c>
      <c r="AR285" s="2994">
        <v>0</v>
      </c>
      <c r="AS285" s="2994">
        <v>0</v>
      </c>
      <c r="AT285" s="2994">
        <v>0</v>
      </c>
      <c r="AU285" s="2994">
        <v>0</v>
      </c>
      <c r="AV285" s="2994">
        <v>0</v>
      </c>
      <c r="AW285" s="2994">
        <v>0</v>
      </c>
      <c r="AX285" s="2994">
        <v>0</v>
      </c>
      <c r="AY285" s="2994">
        <v>0</v>
      </c>
      <c r="AZ285" s="2994">
        <v>0</v>
      </c>
      <c r="BA285" s="2994">
        <v>0</v>
      </c>
      <c r="BB285" s="2994">
        <v>0</v>
      </c>
      <c r="BC285" s="2994">
        <v>0</v>
      </c>
      <c r="BD285" s="3471">
        <v>0</v>
      </c>
      <c r="BE285" s="3471">
        <v>0</v>
      </c>
      <c r="BF285" s="3471">
        <v>0</v>
      </c>
    </row>
    <row r="286" spans="1:58">
      <c r="A286" s="1817" t="str">
        <f t="shared" si="9"/>
        <v>Northern AmericaPumpkins, squash and gourds</v>
      </c>
      <c r="B286" s="1818" t="s">
        <v>1318</v>
      </c>
      <c r="C286" s="1818" t="s">
        <v>7368</v>
      </c>
      <c r="D286" s="3463" t="str">
        <f>VLOOKUP(B286,List_Yield!$G$4:$J$14,4,FALSE)</f>
        <v>North America</v>
      </c>
      <c r="E286" s="3463" t="str">
        <f t="shared" si="8"/>
        <v>North AmericaPumpkins, squash and gourds</v>
      </c>
      <c r="F286" s="2994">
        <v>0</v>
      </c>
      <c r="G286" s="2994">
        <v>0</v>
      </c>
      <c r="H286" s="2994">
        <v>0</v>
      </c>
      <c r="I286" s="2994">
        <v>0</v>
      </c>
      <c r="J286" s="2994">
        <v>0</v>
      </c>
      <c r="K286" s="2994">
        <v>0</v>
      </c>
      <c r="L286" s="2994">
        <v>0</v>
      </c>
      <c r="M286" s="2994">
        <v>0</v>
      </c>
      <c r="N286" s="2994">
        <v>0</v>
      </c>
      <c r="O286" s="2994">
        <v>0</v>
      </c>
      <c r="P286" s="2994">
        <v>0</v>
      </c>
      <c r="Q286" s="2994">
        <v>0</v>
      </c>
      <c r="R286" s="2994">
        <v>0</v>
      </c>
      <c r="S286" s="2994">
        <v>0</v>
      </c>
      <c r="T286" s="2994">
        <v>0</v>
      </c>
      <c r="U286" s="2994">
        <v>0</v>
      </c>
      <c r="V286" s="2994">
        <v>0</v>
      </c>
      <c r="W286" s="2994">
        <v>0</v>
      </c>
      <c r="X286" s="2994">
        <v>0</v>
      </c>
      <c r="Y286" s="2994">
        <v>0</v>
      </c>
      <c r="Z286" s="2994">
        <v>0</v>
      </c>
      <c r="AA286" s="2994">
        <v>0</v>
      </c>
      <c r="AB286" s="2994">
        <v>0</v>
      </c>
      <c r="AC286" s="2994">
        <v>0</v>
      </c>
      <c r="AD286" s="2994">
        <v>0</v>
      </c>
      <c r="AE286" s="2994">
        <v>0</v>
      </c>
      <c r="AF286" s="2994">
        <v>0</v>
      </c>
      <c r="AG286" s="2994">
        <v>0</v>
      </c>
      <c r="AH286" s="2994">
        <v>0</v>
      </c>
      <c r="AI286" s="2994">
        <v>0</v>
      </c>
      <c r="AJ286" s="2994">
        <v>0</v>
      </c>
      <c r="AK286" s="2994">
        <v>0</v>
      </c>
      <c r="AL286" s="2994">
        <v>11.3796</v>
      </c>
      <c r="AM286" s="2994">
        <v>32.191699999999997</v>
      </c>
      <c r="AN286" s="2994">
        <v>32.125</v>
      </c>
      <c r="AO286" s="2994">
        <v>22.723800000000001</v>
      </c>
      <c r="AP286" s="2994">
        <v>23.935400000000001</v>
      </c>
      <c r="AQ286" s="2994">
        <v>12.793200000000001</v>
      </c>
      <c r="AR286" s="2994">
        <v>13.964499999999999</v>
      </c>
      <c r="AS286" s="2994">
        <v>21.5532</v>
      </c>
      <c r="AT286" s="2994">
        <v>19.361499999999999</v>
      </c>
      <c r="AU286" s="2994">
        <v>19.999600000000001</v>
      </c>
      <c r="AV286" s="2994">
        <v>18.918199999999999</v>
      </c>
      <c r="AW286" s="2994">
        <v>19.770099999999999</v>
      </c>
      <c r="AX286" s="2994">
        <v>21.342199999999998</v>
      </c>
      <c r="AY286" s="2994">
        <v>21.785499999999999</v>
      </c>
      <c r="AZ286" s="2994">
        <v>21.4635</v>
      </c>
      <c r="BA286" s="2994">
        <v>21.750299999999999</v>
      </c>
      <c r="BB286" s="2994">
        <v>20.5717</v>
      </c>
      <c r="BC286" s="2994">
        <v>20.320599999999999</v>
      </c>
      <c r="BD286" s="3471">
        <v>21.417200000000001</v>
      </c>
      <c r="BE286" s="3471">
        <v>23.716100000000001</v>
      </c>
      <c r="BF286" s="3471">
        <v>0</v>
      </c>
    </row>
    <row r="287" spans="1:58">
      <c r="A287" s="1817" t="str">
        <f t="shared" si="9"/>
        <v>Northern AmericaPyrethrum, dried</v>
      </c>
      <c r="B287" s="1818" t="s">
        <v>1318</v>
      </c>
      <c r="C287" s="1818" t="s">
        <v>7369</v>
      </c>
      <c r="D287" s="3463" t="str">
        <f>VLOOKUP(B287,List_Yield!$G$4:$J$14,4,FALSE)</f>
        <v>North America</v>
      </c>
      <c r="E287" s="3463" t="str">
        <f t="shared" si="8"/>
        <v>North AmericaPyrethrum, dried</v>
      </c>
      <c r="F287" s="2994">
        <v>0</v>
      </c>
      <c r="G287" s="2994">
        <v>0</v>
      </c>
      <c r="H287" s="2994">
        <v>0</v>
      </c>
      <c r="I287" s="2994">
        <v>0</v>
      </c>
      <c r="J287" s="2994">
        <v>0</v>
      </c>
      <c r="K287" s="2994">
        <v>0</v>
      </c>
      <c r="L287" s="2994">
        <v>0</v>
      </c>
      <c r="M287" s="2994">
        <v>0</v>
      </c>
      <c r="N287" s="2994">
        <v>0</v>
      </c>
      <c r="O287" s="2994">
        <v>0</v>
      </c>
      <c r="P287" s="2994">
        <v>0</v>
      </c>
      <c r="Q287" s="2994">
        <v>0</v>
      </c>
      <c r="R287" s="2994">
        <v>0</v>
      </c>
      <c r="S287" s="2994">
        <v>0</v>
      </c>
      <c r="T287" s="2994">
        <v>0</v>
      </c>
      <c r="U287" s="2994">
        <v>0</v>
      </c>
      <c r="V287" s="2994">
        <v>0</v>
      </c>
      <c r="W287" s="2994">
        <v>0</v>
      </c>
      <c r="X287" s="2994">
        <v>0</v>
      </c>
      <c r="Y287" s="2994">
        <v>0</v>
      </c>
      <c r="Z287" s="2994">
        <v>0</v>
      </c>
      <c r="AA287" s="2994">
        <v>0</v>
      </c>
      <c r="AB287" s="2994">
        <v>0</v>
      </c>
      <c r="AC287" s="2994">
        <v>0</v>
      </c>
      <c r="AD287" s="2994">
        <v>0</v>
      </c>
      <c r="AE287" s="2994">
        <v>0</v>
      </c>
      <c r="AF287" s="2994">
        <v>0</v>
      </c>
      <c r="AG287" s="2994">
        <v>0</v>
      </c>
      <c r="AH287" s="2994">
        <v>0</v>
      </c>
      <c r="AI287" s="2994">
        <v>0</v>
      </c>
      <c r="AJ287" s="2994">
        <v>0</v>
      </c>
      <c r="AK287" s="2994">
        <v>0</v>
      </c>
      <c r="AL287" s="2994">
        <v>0</v>
      </c>
      <c r="AM287" s="2994">
        <v>0</v>
      </c>
      <c r="AN287" s="2994">
        <v>0</v>
      </c>
      <c r="AO287" s="2994">
        <v>0</v>
      </c>
      <c r="AP287" s="2994">
        <v>0</v>
      </c>
      <c r="AQ287" s="2994">
        <v>0</v>
      </c>
      <c r="AR287" s="2994">
        <v>0</v>
      </c>
      <c r="AS287" s="2994">
        <v>0</v>
      </c>
      <c r="AT287" s="2994">
        <v>0</v>
      </c>
      <c r="AU287" s="2994">
        <v>0</v>
      </c>
      <c r="AV287" s="2994">
        <v>0</v>
      </c>
      <c r="AW287" s="2994">
        <v>0</v>
      </c>
      <c r="AX287" s="2994">
        <v>0</v>
      </c>
      <c r="AY287" s="2994">
        <v>0</v>
      </c>
      <c r="AZ287" s="2994">
        <v>0</v>
      </c>
      <c r="BA287" s="2994">
        <v>0</v>
      </c>
      <c r="BB287" s="2994">
        <v>0</v>
      </c>
      <c r="BC287" s="2994">
        <v>0</v>
      </c>
      <c r="BD287" s="3471">
        <v>0</v>
      </c>
      <c r="BE287" s="3471">
        <v>0</v>
      </c>
      <c r="BF287" s="3471">
        <v>0</v>
      </c>
    </row>
    <row r="288" spans="1:58">
      <c r="A288" s="1817" t="str">
        <f t="shared" si="9"/>
        <v>Northern AmericaQuinces</v>
      </c>
      <c r="B288" s="1818" t="s">
        <v>1318</v>
      </c>
      <c r="C288" s="1818" t="s">
        <v>7370</v>
      </c>
      <c r="D288" s="3463" t="str">
        <f>VLOOKUP(B288,List_Yield!$G$4:$J$14,4,FALSE)</f>
        <v>North America</v>
      </c>
      <c r="E288" s="3463" t="str">
        <f t="shared" si="8"/>
        <v>North AmericaQuinces</v>
      </c>
      <c r="F288" s="2994">
        <v>0</v>
      </c>
      <c r="G288" s="2994">
        <v>0</v>
      </c>
      <c r="H288" s="2994">
        <v>0</v>
      </c>
      <c r="I288" s="2994">
        <v>0</v>
      </c>
      <c r="J288" s="2994">
        <v>0</v>
      </c>
      <c r="K288" s="2994">
        <v>0</v>
      </c>
      <c r="L288" s="2994">
        <v>0</v>
      </c>
      <c r="M288" s="2994">
        <v>0</v>
      </c>
      <c r="N288" s="2994">
        <v>0</v>
      </c>
      <c r="O288" s="2994">
        <v>0</v>
      </c>
      <c r="P288" s="2994">
        <v>0</v>
      </c>
      <c r="Q288" s="2994">
        <v>0</v>
      </c>
      <c r="R288" s="2994">
        <v>0</v>
      </c>
      <c r="S288" s="2994">
        <v>0</v>
      </c>
      <c r="T288" s="2994">
        <v>0</v>
      </c>
      <c r="U288" s="2994">
        <v>0</v>
      </c>
      <c r="V288" s="2994">
        <v>0</v>
      </c>
      <c r="W288" s="2994">
        <v>0</v>
      </c>
      <c r="X288" s="2994">
        <v>0</v>
      </c>
      <c r="Y288" s="2994">
        <v>0</v>
      </c>
      <c r="Z288" s="2994">
        <v>0</v>
      </c>
      <c r="AA288" s="2994">
        <v>0</v>
      </c>
      <c r="AB288" s="2994">
        <v>0</v>
      </c>
      <c r="AC288" s="2994">
        <v>0</v>
      </c>
      <c r="AD288" s="2994">
        <v>0</v>
      </c>
      <c r="AE288" s="2994">
        <v>0</v>
      </c>
      <c r="AF288" s="2994">
        <v>0</v>
      </c>
      <c r="AG288" s="2994">
        <v>0</v>
      </c>
      <c r="AH288" s="2994">
        <v>0</v>
      </c>
      <c r="AI288" s="2994">
        <v>0</v>
      </c>
      <c r="AJ288" s="2994">
        <v>0</v>
      </c>
      <c r="AK288" s="2994">
        <v>0</v>
      </c>
      <c r="AL288" s="2994">
        <v>0</v>
      </c>
      <c r="AM288" s="2994">
        <v>0</v>
      </c>
      <c r="AN288" s="2994">
        <v>0</v>
      </c>
      <c r="AO288" s="2994">
        <v>0</v>
      </c>
      <c r="AP288" s="2994">
        <v>0</v>
      </c>
      <c r="AQ288" s="2994">
        <v>0</v>
      </c>
      <c r="AR288" s="2994">
        <v>0</v>
      </c>
      <c r="AS288" s="2994">
        <v>0</v>
      </c>
      <c r="AT288" s="2994">
        <v>0</v>
      </c>
      <c r="AU288" s="2994">
        <v>0</v>
      </c>
      <c r="AV288" s="2994">
        <v>0</v>
      </c>
      <c r="AW288" s="2994">
        <v>0</v>
      </c>
      <c r="AX288" s="2994">
        <v>0</v>
      </c>
      <c r="AY288" s="2994">
        <v>0</v>
      </c>
      <c r="AZ288" s="2994">
        <v>0</v>
      </c>
      <c r="BA288" s="2994">
        <v>0</v>
      </c>
      <c r="BB288" s="2994">
        <v>0</v>
      </c>
      <c r="BC288" s="2994">
        <v>0</v>
      </c>
      <c r="BD288" s="3471">
        <v>0</v>
      </c>
      <c r="BE288" s="3471">
        <v>0</v>
      </c>
      <c r="BF288" s="3471">
        <v>0</v>
      </c>
    </row>
    <row r="289" spans="1:58">
      <c r="A289" s="1817" t="str">
        <f t="shared" si="9"/>
        <v>Northern AmericaQuinoa</v>
      </c>
      <c r="B289" s="1818" t="s">
        <v>1318</v>
      </c>
      <c r="C289" s="1818" t="s">
        <v>1385</v>
      </c>
      <c r="D289" s="3463" t="str">
        <f>VLOOKUP(B289,List_Yield!$G$4:$J$14,4,FALSE)</f>
        <v>North America</v>
      </c>
      <c r="E289" s="3463" t="str">
        <f t="shared" si="8"/>
        <v>North AmericaQuinoa</v>
      </c>
      <c r="F289" s="2994">
        <v>0</v>
      </c>
      <c r="G289" s="2994">
        <v>0</v>
      </c>
      <c r="H289" s="2994">
        <v>0</v>
      </c>
      <c r="I289" s="2994">
        <v>0</v>
      </c>
      <c r="J289" s="2994">
        <v>0</v>
      </c>
      <c r="K289" s="2994">
        <v>0</v>
      </c>
      <c r="L289" s="2994">
        <v>0</v>
      </c>
      <c r="M289" s="2994">
        <v>0</v>
      </c>
      <c r="N289" s="2994">
        <v>0</v>
      </c>
      <c r="O289" s="2994">
        <v>0</v>
      </c>
      <c r="P289" s="2994">
        <v>0</v>
      </c>
      <c r="Q289" s="2994">
        <v>0</v>
      </c>
      <c r="R289" s="2994">
        <v>0</v>
      </c>
      <c r="S289" s="2994">
        <v>0</v>
      </c>
      <c r="T289" s="2994">
        <v>0</v>
      </c>
      <c r="U289" s="2994">
        <v>0</v>
      </c>
      <c r="V289" s="2994">
        <v>0</v>
      </c>
      <c r="W289" s="2994">
        <v>0</v>
      </c>
      <c r="X289" s="2994">
        <v>0</v>
      </c>
      <c r="Y289" s="2994">
        <v>0</v>
      </c>
      <c r="Z289" s="2994">
        <v>0</v>
      </c>
      <c r="AA289" s="2994">
        <v>0</v>
      </c>
      <c r="AB289" s="2994">
        <v>0</v>
      </c>
      <c r="AC289" s="2994">
        <v>0</v>
      </c>
      <c r="AD289" s="2994">
        <v>0</v>
      </c>
      <c r="AE289" s="2994">
        <v>0</v>
      </c>
      <c r="AF289" s="2994">
        <v>0</v>
      </c>
      <c r="AG289" s="2994">
        <v>0</v>
      </c>
      <c r="AH289" s="2994">
        <v>0</v>
      </c>
      <c r="AI289" s="2994">
        <v>0</v>
      </c>
      <c r="AJ289" s="2994">
        <v>0</v>
      </c>
      <c r="AK289" s="2994">
        <v>0</v>
      </c>
      <c r="AL289" s="2994">
        <v>0</v>
      </c>
      <c r="AM289" s="2994">
        <v>0</v>
      </c>
      <c r="AN289" s="2994">
        <v>0</v>
      </c>
      <c r="AO289" s="2994">
        <v>0</v>
      </c>
      <c r="AP289" s="2994">
        <v>0</v>
      </c>
      <c r="AQ289" s="2994">
        <v>0</v>
      </c>
      <c r="AR289" s="2994">
        <v>0</v>
      </c>
      <c r="AS289" s="2994">
        <v>0</v>
      </c>
      <c r="AT289" s="2994">
        <v>0</v>
      </c>
      <c r="AU289" s="2994">
        <v>0</v>
      </c>
      <c r="AV289" s="2994">
        <v>0</v>
      </c>
      <c r="AW289" s="2994">
        <v>0</v>
      </c>
      <c r="AX289" s="2994">
        <v>0</v>
      </c>
      <c r="AY289" s="2994">
        <v>0</v>
      </c>
      <c r="AZ289" s="2994">
        <v>0</v>
      </c>
      <c r="BA289" s="2994">
        <v>0</v>
      </c>
      <c r="BB289" s="2994">
        <v>0</v>
      </c>
      <c r="BC289" s="2994">
        <v>0</v>
      </c>
      <c r="BD289" s="3471">
        <v>0</v>
      </c>
      <c r="BE289" s="3471">
        <v>0</v>
      </c>
      <c r="BF289" s="3471">
        <v>0</v>
      </c>
    </row>
    <row r="290" spans="1:58">
      <c r="A290" s="1817" t="str">
        <f t="shared" si="9"/>
        <v>Northern AmericaRamie</v>
      </c>
      <c r="B290" s="1818" t="s">
        <v>1318</v>
      </c>
      <c r="C290" s="1818" t="s">
        <v>7371</v>
      </c>
      <c r="D290" s="3463" t="str">
        <f>VLOOKUP(B290,List_Yield!$G$4:$J$14,4,FALSE)</f>
        <v>North America</v>
      </c>
      <c r="E290" s="3463" t="str">
        <f t="shared" si="8"/>
        <v>North AmericaRamie</v>
      </c>
      <c r="F290" s="2994">
        <v>0</v>
      </c>
      <c r="G290" s="2994">
        <v>0</v>
      </c>
      <c r="H290" s="2994">
        <v>0</v>
      </c>
      <c r="I290" s="2994">
        <v>0</v>
      </c>
      <c r="J290" s="2994">
        <v>0</v>
      </c>
      <c r="K290" s="2994">
        <v>0</v>
      </c>
      <c r="L290" s="2994">
        <v>0</v>
      </c>
      <c r="M290" s="2994">
        <v>0</v>
      </c>
      <c r="N290" s="2994">
        <v>0</v>
      </c>
      <c r="O290" s="2994">
        <v>0</v>
      </c>
      <c r="P290" s="2994">
        <v>0</v>
      </c>
      <c r="Q290" s="2994">
        <v>0</v>
      </c>
      <c r="R290" s="2994">
        <v>0</v>
      </c>
      <c r="S290" s="2994">
        <v>0</v>
      </c>
      <c r="T290" s="2994">
        <v>0</v>
      </c>
      <c r="U290" s="2994">
        <v>0</v>
      </c>
      <c r="V290" s="2994">
        <v>0</v>
      </c>
      <c r="W290" s="2994">
        <v>0</v>
      </c>
      <c r="X290" s="2994">
        <v>0</v>
      </c>
      <c r="Y290" s="2994">
        <v>0</v>
      </c>
      <c r="Z290" s="2994">
        <v>0</v>
      </c>
      <c r="AA290" s="2994">
        <v>0</v>
      </c>
      <c r="AB290" s="2994">
        <v>0</v>
      </c>
      <c r="AC290" s="2994">
        <v>0</v>
      </c>
      <c r="AD290" s="2994">
        <v>0</v>
      </c>
      <c r="AE290" s="2994">
        <v>0</v>
      </c>
      <c r="AF290" s="2994">
        <v>0</v>
      </c>
      <c r="AG290" s="2994">
        <v>0</v>
      </c>
      <c r="AH290" s="2994">
        <v>0</v>
      </c>
      <c r="AI290" s="2994">
        <v>0</v>
      </c>
      <c r="AJ290" s="2994">
        <v>0</v>
      </c>
      <c r="AK290" s="2994">
        <v>0</v>
      </c>
      <c r="AL290" s="2994">
        <v>0</v>
      </c>
      <c r="AM290" s="2994">
        <v>0</v>
      </c>
      <c r="AN290" s="2994">
        <v>0</v>
      </c>
      <c r="AO290" s="2994">
        <v>0</v>
      </c>
      <c r="AP290" s="2994">
        <v>0</v>
      </c>
      <c r="AQ290" s="2994">
        <v>0</v>
      </c>
      <c r="AR290" s="2994">
        <v>0</v>
      </c>
      <c r="AS290" s="2994">
        <v>0</v>
      </c>
      <c r="AT290" s="2994">
        <v>0</v>
      </c>
      <c r="AU290" s="2994">
        <v>0</v>
      </c>
      <c r="AV290" s="2994">
        <v>0</v>
      </c>
      <c r="AW290" s="2994">
        <v>0</v>
      </c>
      <c r="AX290" s="2994">
        <v>0</v>
      </c>
      <c r="AY290" s="2994">
        <v>0</v>
      </c>
      <c r="AZ290" s="2994">
        <v>0</v>
      </c>
      <c r="BA290" s="2994">
        <v>0</v>
      </c>
      <c r="BB290" s="2994">
        <v>0</v>
      </c>
      <c r="BC290" s="2994">
        <v>0</v>
      </c>
      <c r="BD290" s="3471">
        <v>0</v>
      </c>
      <c r="BE290" s="3471">
        <v>0</v>
      </c>
      <c r="BF290" s="3471">
        <v>0</v>
      </c>
    </row>
    <row r="291" spans="1:58">
      <c r="A291" s="1817" t="str">
        <f t="shared" si="9"/>
        <v>Northern AmericaRapeseed</v>
      </c>
      <c r="B291" s="1818" t="s">
        <v>1318</v>
      </c>
      <c r="C291" s="1818" t="s">
        <v>7372</v>
      </c>
      <c r="D291" s="3463" t="str">
        <f>VLOOKUP(B291,List_Yield!$G$4:$J$14,4,FALSE)</f>
        <v>North America</v>
      </c>
      <c r="E291" s="3463" t="str">
        <f t="shared" si="8"/>
        <v>North AmericaRapeseed</v>
      </c>
      <c r="F291" s="2994">
        <v>0.88529999999999998</v>
      </c>
      <c r="G291" s="2994">
        <v>0.88470000000000004</v>
      </c>
      <c r="H291" s="2994">
        <v>0.98019999999999996</v>
      </c>
      <c r="I291" s="2994">
        <v>0.93810000000000004</v>
      </c>
      <c r="J291" s="2994">
        <v>0.88260000000000005</v>
      </c>
      <c r="K291" s="2994">
        <v>0.94820000000000004</v>
      </c>
      <c r="L291" s="2994">
        <v>0.85450000000000004</v>
      </c>
      <c r="M291" s="2994">
        <v>1.0335000000000001</v>
      </c>
      <c r="N291" s="2994">
        <v>0.9304</v>
      </c>
      <c r="O291" s="2994">
        <v>0.99909999999999999</v>
      </c>
      <c r="P291" s="2994">
        <v>1.0034000000000001</v>
      </c>
      <c r="Q291" s="2994">
        <v>0.98209999999999997</v>
      </c>
      <c r="R291" s="2994">
        <v>0.94650000000000001</v>
      </c>
      <c r="S291" s="2994">
        <v>0.90980000000000005</v>
      </c>
      <c r="T291" s="2994">
        <v>1.0055000000000001</v>
      </c>
      <c r="U291" s="2994">
        <v>1.1631</v>
      </c>
      <c r="V291" s="2994">
        <v>1.3582000000000001</v>
      </c>
      <c r="W291" s="2994">
        <v>1.2381</v>
      </c>
      <c r="X291" s="2994">
        <v>1.0011000000000001</v>
      </c>
      <c r="Y291" s="2994">
        <v>1.1939</v>
      </c>
      <c r="Z291" s="2994">
        <v>1.3189</v>
      </c>
      <c r="AA291" s="2994">
        <v>1.27</v>
      </c>
      <c r="AB291" s="2994">
        <v>1.1274999999999999</v>
      </c>
      <c r="AC291" s="2994">
        <v>1.1109</v>
      </c>
      <c r="AD291" s="2994">
        <v>1.2567999999999999</v>
      </c>
      <c r="AE291" s="2994">
        <v>1.4341999999999999</v>
      </c>
      <c r="AF291" s="2994">
        <v>1.4365000000000001</v>
      </c>
      <c r="AG291" s="2994">
        <v>1.1497999999999999</v>
      </c>
      <c r="AH291" s="2994">
        <v>1.1053999999999999</v>
      </c>
      <c r="AI291" s="2994">
        <v>1.2968999999999999</v>
      </c>
      <c r="AJ291" s="2994">
        <v>1.3468</v>
      </c>
      <c r="AK291" s="2994">
        <v>1.2730999999999999</v>
      </c>
      <c r="AL291" s="2994">
        <v>1.3386</v>
      </c>
      <c r="AM291" s="2994">
        <v>1.26</v>
      </c>
      <c r="AN291" s="2994">
        <v>1.2274</v>
      </c>
      <c r="AO291" s="2994">
        <v>1.4698</v>
      </c>
      <c r="AP291" s="2994">
        <v>1.3212999999999999</v>
      </c>
      <c r="AQ291" s="2994">
        <v>1.4238999999999999</v>
      </c>
      <c r="AR291" s="2994">
        <v>1.5729</v>
      </c>
      <c r="AS291" s="2994">
        <v>1.4842</v>
      </c>
      <c r="AT291" s="2994">
        <v>1.3543000000000001</v>
      </c>
      <c r="AU291" s="2994">
        <v>1.258</v>
      </c>
      <c r="AV291" s="2994">
        <v>1.456</v>
      </c>
      <c r="AW291" s="2994">
        <v>1.5919000000000001</v>
      </c>
      <c r="AX291" s="2994">
        <v>1.8129999999999999</v>
      </c>
      <c r="AY291" s="2994">
        <v>1.7044999999999999</v>
      </c>
      <c r="AZ291" s="2994">
        <v>1.5084</v>
      </c>
      <c r="BA291" s="2994">
        <v>1.9288000000000001</v>
      </c>
      <c r="BB291" s="2994">
        <v>1.9814000000000001</v>
      </c>
      <c r="BC291" s="2994">
        <v>1.8694999999999999</v>
      </c>
      <c r="BD291" s="3471">
        <v>1.8829</v>
      </c>
      <c r="BE291" s="3471">
        <v>1.8194999999999999</v>
      </c>
      <c r="BF291" s="3471">
        <v>2.1646000000000001</v>
      </c>
    </row>
    <row r="292" spans="1:58">
      <c r="A292" s="1817" t="str">
        <f t="shared" si="9"/>
        <v>Northern AmericaRaspberries</v>
      </c>
      <c r="B292" s="1818" t="s">
        <v>1318</v>
      </c>
      <c r="C292" s="1818" t="s">
        <v>7373</v>
      </c>
      <c r="D292" s="3463" t="str">
        <f>VLOOKUP(B292,List_Yield!$G$4:$J$14,4,FALSE)</f>
        <v>North America</v>
      </c>
      <c r="E292" s="3463" t="str">
        <f t="shared" si="8"/>
        <v>North AmericaRaspberries</v>
      </c>
      <c r="F292" s="2994">
        <v>3.8267000000000002</v>
      </c>
      <c r="G292" s="2994">
        <v>4.1523000000000003</v>
      </c>
      <c r="H292" s="2994">
        <v>4.7119999999999997</v>
      </c>
      <c r="I292" s="2994">
        <v>4.3775000000000004</v>
      </c>
      <c r="J292" s="2994">
        <v>3.8917000000000002</v>
      </c>
      <c r="K292" s="2994">
        <v>4.2896999999999998</v>
      </c>
      <c r="L292" s="2994">
        <v>4.0235000000000003</v>
      </c>
      <c r="M292" s="2994">
        <v>3.6802000000000001</v>
      </c>
      <c r="N292" s="2994">
        <v>4.5197000000000003</v>
      </c>
      <c r="O292" s="2994">
        <v>3.7987000000000002</v>
      </c>
      <c r="P292" s="2994">
        <v>3.601</v>
      </c>
      <c r="Q292" s="2994">
        <v>3.6065</v>
      </c>
      <c r="R292" s="2994">
        <v>3.9594999999999998</v>
      </c>
      <c r="S292" s="2994">
        <v>3.923</v>
      </c>
      <c r="T292" s="2994">
        <v>4.0533000000000001</v>
      </c>
      <c r="U292" s="2994">
        <v>3.8277000000000001</v>
      </c>
      <c r="V292" s="2994">
        <v>4.3567999999999998</v>
      </c>
      <c r="W292" s="2994">
        <v>4.1219000000000001</v>
      </c>
      <c r="X292" s="2994">
        <v>4.09</v>
      </c>
      <c r="Y292" s="2994">
        <v>4.2565</v>
      </c>
      <c r="Z292" s="2994">
        <v>4.9701000000000004</v>
      </c>
      <c r="AA292" s="2994">
        <v>5.0377000000000001</v>
      </c>
      <c r="AB292" s="2994">
        <v>5.7365000000000004</v>
      </c>
      <c r="AC292" s="2994">
        <v>5.5487000000000002</v>
      </c>
      <c r="AD292" s="2994">
        <v>5.3625999999999996</v>
      </c>
      <c r="AE292" s="2994">
        <v>4.8974000000000002</v>
      </c>
      <c r="AF292" s="2994">
        <v>6.3371000000000004</v>
      </c>
      <c r="AG292" s="2994">
        <v>6.2047999999999996</v>
      </c>
      <c r="AH292" s="2994">
        <v>6.4893000000000001</v>
      </c>
      <c r="AI292" s="2994">
        <v>4.7897999999999996</v>
      </c>
      <c r="AJ292" s="2994">
        <v>4.7229999999999999</v>
      </c>
      <c r="AK292" s="2994">
        <v>5.5324</v>
      </c>
      <c r="AL292" s="2994">
        <v>5.8712</v>
      </c>
      <c r="AM292" s="2994">
        <v>6.4924999999999997</v>
      </c>
      <c r="AN292" s="2994">
        <v>6.7968999999999999</v>
      </c>
      <c r="AO292" s="2994">
        <v>5.0251999999999999</v>
      </c>
      <c r="AP292" s="2994">
        <v>6.0342000000000002</v>
      </c>
      <c r="AQ292" s="2994">
        <v>5.6779999999999999</v>
      </c>
      <c r="AR292" s="2994">
        <v>7.0354999999999999</v>
      </c>
      <c r="AS292" s="2994">
        <v>7.2968000000000002</v>
      </c>
      <c r="AT292" s="2994">
        <v>6.9234</v>
      </c>
      <c r="AU292" s="2994">
        <v>6.9691000000000001</v>
      </c>
      <c r="AV292" s="2994">
        <v>8.0085999999999995</v>
      </c>
      <c r="AW292" s="2994">
        <v>8.8530999999999995</v>
      </c>
      <c r="AX292" s="2994">
        <v>9.7562999999999995</v>
      </c>
      <c r="AY292" s="2994">
        <v>9.1426999999999996</v>
      </c>
      <c r="AZ292" s="2994">
        <v>8.2690000000000001</v>
      </c>
      <c r="BA292" s="2994">
        <v>5.3967999999999998</v>
      </c>
      <c r="BB292" s="2994">
        <v>8.6745999999999999</v>
      </c>
      <c r="BC292" s="2994">
        <v>7.9588999999999999</v>
      </c>
      <c r="BD292" s="3471">
        <v>9.7498000000000005</v>
      </c>
      <c r="BE292" s="3471">
        <v>9.3092000000000006</v>
      </c>
      <c r="BF292" s="3471">
        <v>0</v>
      </c>
    </row>
    <row r="293" spans="1:58">
      <c r="A293" s="1817" t="str">
        <f t="shared" si="9"/>
        <v>Northern AmericaRice, paddy</v>
      </c>
      <c r="B293" s="1818" t="s">
        <v>1318</v>
      </c>
      <c r="C293" s="1818" t="s">
        <v>1370</v>
      </c>
      <c r="D293" s="3463" t="str">
        <f>VLOOKUP(B293,List_Yield!$G$4:$J$14,4,FALSE)</f>
        <v>North America</v>
      </c>
      <c r="E293" s="3463" t="str">
        <f t="shared" si="8"/>
        <v>North AmericaRice, paddy</v>
      </c>
      <c r="F293" s="2994">
        <v>3.8227000000000002</v>
      </c>
      <c r="G293" s="2994">
        <v>4.1784999999999997</v>
      </c>
      <c r="H293" s="2994">
        <v>4.4448999999999996</v>
      </c>
      <c r="I293" s="2994">
        <v>4.5906000000000002</v>
      </c>
      <c r="J293" s="2994">
        <v>4.7693000000000003</v>
      </c>
      <c r="K293" s="2994">
        <v>4.8441999999999998</v>
      </c>
      <c r="L293" s="2994">
        <v>5.0850999999999997</v>
      </c>
      <c r="M293" s="2994">
        <v>4.96</v>
      </c>
      <c r="N293" s="2994">
        <v>4.8399000000000001</v>
      </c>
      <c r="O293" s="2994">
        <v>5.1763000000000003</v>
      </c>
      <c r="P293" s="2994">
        <v>5.2881999999999998</v>
      </c>
      <c r="Q293" s="2994">
        <v>5.2679</v>
      </c>
      <c r="R293" s="2994">
        <v>4.7911000000000001</v>
      </c>
      <c r="S293" s="2994">
        <v>4.9770000000000003</v>
      </c>
      <c r="T293" s="2994">
        <v>5.1086</v>
      </c>
      <c r="U293" s="2994">
        <v>5.2267999999999999</v>
      </c>
      <c r="V293" s="2994">
        <v>4.9450000000000003</v>
      </c>
      <c r="W293" s="2994">
        <v>5.0256999999999996</v>
      </c>
      <c r="X293" s="2994">
        <v>5.1547999999999998</v>
      </c>
      <c r="Y293" s="2994">
        <v>4.9461000000000004</v>
      </c>
      <c r="Z293" s="2994">
        <v>5.4015000000000004</v>
      </c>
      <c r="AA293" s="2994">
        <v>5.2790999999999997</v>
      </c>
      <c r="AB293" s="2994">
        <v>5.1532</v>
      </c>
      <c r="AC293" s="2994">
        <v>5.5522999999999998</v>
      </c>
      <c r="AD293" s="2994">
        <v>6.0704000000000002</v>
      </c>
      <c r="AE293" s="2994">
        <v>6.3339999999999996</v>
      </c>
      <c r="AF293" s="2994">
        <v>6.2271000000000001</v>
      </c>
      <c r="AG293" s="2994">
        <v>6.1801000000000004</v>
      </c>
      <c r="AH293" s="2994">
        <v>6.4466000000000001</v>
      </c>
      <c r="AI293" s="2994">
        <v>6.1974999999999998</v>
      </c>
      <c r="AJ293" s="2994">
        <v>6.4244000000000003</v>
      </c>
      <c r="AK293" s="2994">
        <v>6.4291999999999998</v>
      </c>
      <c r="AL293" s="2994">
        <v>6.1761999999999997</v>
      </c>
      <c r="AM293" s="2994">
        <v>6.6851000000000003</v>
      </c>
      <c r="AN293" s="2994">
        <v>6.3010000000000002</v>
      </c>
      <c r="AO293" s="2994">
        <v>6.8593000000000002</v>
      </c>
      <c r="AP293" s="2994">
        <v>6.6101000000000001</v>
      </c>
      <c r="AQ293" s="2994">
        <v>6.3457999999999997</v>
      </c>
      <c r="AR293" s="2994">
        <v>6.5743999999999998</v>
      </c>
      <c r="AS293" s="2994">
        <v>7.0396999999999998</v>
      </c>
      <c r="AT293" s="2994">
        <v>7.2807000000000004</v>
      </c>
      <c r="AU293" s="2994">
        <v>7.3730000000000002</v>
      </c>
      <c r="AV293" s="2994">
        <v>7.4759000000000002</v>
      </c>
      <c r="AW293" s="2994">
        <v>7.8327999999999998</v>
      </c>
      <c r="AX293" s="2994">
        <v>7.4245000000000001</v>
      </c>
      <c r="AY293" s="2994">
        <v>7.7313000000000001</v>
      </c>
      <c r="AZ293" s="2994">
        <v>8.0916999999999994</v>
      </c>
      <c r="BA293" s="2994">
        <v>7.6730999999999998</v>
      </c>
      <c r="BB293" s="2994">
        <v>7.9413</v>
      </c>
      <c r="BC293" s="2994">
        <v>7.5374999999999996</v>
      </c>
      <c r="BD293" s="3471">
        <v>7.9208999999999996</v>
      </c>
      <c r="BE293" s="3471">
        <v>8.3486999999999991</v>
      </c>
      <c r="BF293" s="3471">
        <v>8.6236999999999995</v>
      </c>
    </row>
    <row r="294" spans="1:58">
      <c r="A294" s="1817" t="str">
        <f t="shared" si="9"/>
        <v>Northern AmericaRoots and tubers, nes</v>
      </c>
      <c r="B294" s="1818" t="s">
        <v>1318</v>
      </c>
      <c r="C294" s="1818" t="s">
        <v>7374</v>
      </c>
      <c r="D294" s="3463" t="str">
        <f>VLOOKUP(B294,List_Yield!$G$4:$J$14,4,FALSE)</f>
        <v>North America</v>
      </c>
      <c r="E294" s="3463" t="str">
        <f t="shared" si="8"/>
        <v>North AmericaRoots and tubers, nes</v>
      </c>
      <c r="F294" s="2994">
        <v>0</v>
      </c>
      <c r="G294" s="2994">
        <v>0</v>
      </c>
      <c r="H294" s="2994">
        <v>0</v>
      </c>
      <c r="I294" s="2994">
        <v>0</v>
      </c>
      <c r="J294" s="2994">
        <v>0</v>
      </c>
      <c r="K294" s="2994">
        <v>0</v>
      </c>
      <c r="L294" s="2994">
        <v>0</v>
      </c>
      <c r="M294" s="2994">
        <v>0</v>
      </c>
      <c r="N294" s="2994">
        <v>0</v>
      </c>
      <c r="O294" s="2994">
        <v>0</v>
      </c>
      <c r="P294" s="2994">
        <v>0</v>
      </c>
      <c r="Q294" s="2994">
        <v>0</v>
      </c>
      <c r="R294" s="2994">
        <v>0</v>
      </c>
      <c r="S294" s="2994">
        <v>0</v>
      </c>
      <c r="T294" s="2994">
        <v>0</v>
      </c>
      <c r="U294" s="2994">
        <v>0</v>
      </c>
      <c r="V294" s="2994">
        <v>0</v>
      </c>
      <c r="W294" s="2994">
        <v>0</v>
      </c>
      <c r="X294" s="2994">
        <v>0</v>
      </c>
      <c r="Y294" s="2994">
        <v>0</v>
      </c>
      <c r="Z294" s="2994">
        <v>0</v>
      </c>
      <c r="AA294" s="2994">
        <v>0</v>
      </c>
      <c r="AB294" s="2994">
        <v>0</v>
      </c>
      <c r="AC294" s="2994">
        <v>0</v>
      </c>
      <c r="AD294" s="2994">
        <v>0</v>
      </c>
      <c r="AE294" s="2994">
        <v>0</v>
      </c>
      <c r="AF294" s="2994">
        <v>0</v>
      </c>
      <c r="AG294" s="2994">
        <v>0</v>
      </c>
      <c r="AH294" s="2994">
        <v>0</v>
      </c>
      <c r="AI294" s="2994">
        <v>0</v>
      </c>
      <c r="AJ294" s="2994">
        <v>0</v>
      </c>
      <c r="AK294" s="2994">
        <v>0</v>
      </c>
      <c r="AL294" s="2994">
        <v>0</v>
      </c>
      <c r="AM294" s="2994">
        <v>0</v>
      </c>
      <c r="AN294" s="2994">
        <v>0</v>
      </c>
      <c r="AO294" s="2994">
        <v>0</v>
      </c>
      <c r="AP294" s="2994">
        <v>0</v>
      </c>
      <c r="AQ294" s="2994">
        <v>0</v>
      </c>
      <c r="AR294" s="2994">
        <v>0</v>
      </c>
      <c r="AS294" s="2994">
        <v>0</v>
      </c>
      <c r="AT294" s="2994">
        <v>0</v>
      </c>
      <c r="AU294" s="2994">
        <v>0</v>
      </c>
      <c r="AV294" s="2994">
        <v>0</v>
      </c>
      <c r="AW294" s="2994">
        <v>0</v>
      </c>
      <c r="AX294" s="2994">
        <v>0</v>
      </c>
      <c r="AY294" s="2994">
        <v>0</v>
      </c>
      <c r="AZ294" s="2994">
        <v>0</v>
      </c>
      <c r="BA294" s="2994">
        <v>0</v>
      </c>
      <c r="BB294" s="2994">
        <v>0</v>
      </c>
      <c r="BC294" s="2994">
        <v>0</v>
      </c>
      <c r="BD294" s="3471">
        <v>0</v>
      </c>
      <c r="BE294" s="3471">
        <v>0</v>
      </c>
      <c r="BF294" s="3471">
        <v>0</v>
      </c>
    </row>
    <row r="295" spans="1:58">
      <c r="A295" s="1817" t="str">
        <f t="shared" si="9"/>
        <v>Northern AmericaRubber, natural</v>
      </c>
      <c r="B295" s="1818" t="s">
        <v>1318</v>
      </c>
      <c r="C295" s="1818" t="s">
        <v>7375</v>
      </c>
      <c r="D295" s="3463" t="str">
        <f>VLOOKUP(B295,List_Yield!$G$4:$J$14,4,FALSE)</f>
        <v>North America</v>
      </c>
      <c r="E295" s="3463" t="str">
        <f t="shared" si="8"/>
        <v>North AmericaRubber, natural</v>
      </c>
      <c r="F295" s="2994">
        <v>0</v>
      </c>
      <c r="G295" s="2994">
        <v>0</v>
      </c>
      <c r="H295" s="2994">
        <v>0</v>
      </c>
      <c r="I295" s="2994">
        <v>0</v>
      </c>
      <c r="J295" s="2994">
        <v>0</v>
      </c>
      <c r="K295" s="2994">
        <v>0</v>
      </c>
      <c r="L295" s="2994">
        <v>0</v>
      </c>
      <c r="M295" s="2994">
        <v>0</v>
      </c>
      <c r="N295" s="2994">
        <v>0</v>
      </c>
      <c r="O295" s="2994">
        <v>0</v>
      </c>
      <c r="P295" s="2994">
        <v>0</v>
      </c>
      <c r="Q295" s="2994">
        <v>0</v>
      </c>
      <c r="R295" s="2994">
        <v>0</v>
      </c>
      <c r="S295" s="2994">
        <v>0</v>
      </c>
      <c r="T295" s="2994">
        <v>0</v>
      </c>
      <c r="U295" s="2994">
        <v>0</v>
      </c>
      <c r="V295" s="2994">
        <v>0</v>
      </c>
      <c r="W295" s="2994">
        <v>0</v>
      </c>
      <c r="X295" s="2994">
        <v>0</v>
      </c>
      <c r="Y295" s="2994">
        <v>0</v>
      </c>
      <c r="Z295" s="2994">
        <v>0</v>
      </c>
      <c r="AA295" s="2994">
        <v>0</v>
      </c>
      <c r="AB295" s="2994">
        <v>0</v>
      </c>
      <c r="AC295" s="2994">
        <v>0</v>
      </c>
      <c r="AD295" s="2994">
        <v>0</v>
      </c>
      <c r="AE295" s="2994">
        <v>0</v>
      </c>
      <c r="AF295" s="2994">
        <v>0</v>
      </c>
      <c r="AG295" s="2994">
        <v>0</v>
      </c>
      <c r="AH295" s="2994">
        <v>0</v>
      </c>
      <c r="AI295" s="2994">
        <v>0</v>
      </c>
      <c r="AJ295" s="2994">
        <v>0</v>
      </c>
      <c r="AK295" s="2994">
        <v>0</v>
      </c>
      <c r="AL295" s="2994">
        <v>0</v>
      </c>
      <c r="AM295" s="2994">
        <v>0</v>
      </c>
      <c r="AN295" s="2994">
        <v>0</v>
      </c>
      <c r="AO295" s="2994">
        <v>0</v>
      </c>
      <c r="AP295" s="2994">
        <v>0</v>
      </c>
      <c r="AQ295" s="2994">
        <v>0</v>
      </c>
      <c r="AR295" s="2994">
        <v>0</v>
      </c>
      <c r="AS295" s="2994">
        <v>0</v>
      </c>
      <c r="AT295" s="2994">
        <v>0</v>
      </c>
      <c r="AU295" s="2994">
        <v>0</v>
      </c>
      <c r="AV295" s="2994">
        <v>0</v>
      </c>
      <c r="AW295" s="2994">
        <v>0</v>
      </c>
      <c r="AX295" s="2994">
        <v>0</v>
      </c>
      <c r="AY295" s="2994">
        <v>0</v>
      </c>
      <c r="AZ295" s="2994">
        <v>0</v>
      </c>
      <c r="BA295" s="2994">
        <v>0</v>
      </c>
      <c r="BB295" s="2994">
        <v>0</v>
      </c>
      <c r="BC295" s="2994">
        <v>0</v>
      </c>
      <c r="BD295" s="3471">
        <v>0</v>
      </c>
      <c r="BE295" s="3471">
        <v>0</v>
      </c>
      <c r="BF295" s="3471">
        <v>0</v>
      </c>
    </row>
    <row r="296" spans="1:58">
      <c r="A296" s="1817" t="str">
        <f t="shared" si="9"/>
        <v>Northern AmericaRye</v>
      </c>
      <c r="B296" s="1818" t="s">
        <v>1318</v>
      </c>
      <c r="C296" s="1818" t="s">
        <v>1327</v>
      </c>
      <c r="D296" s="3463" t="str">
        <f>VLOOKUP(B296,List_Yield!$G$4:$J$14,4,FALSE)</f>
        <v>North America</v>
      </c>
      <c r="E296" s="3463" t="str">
        <f t="shared" si="8"/>
        <v>North AmericaRye</v>
      </c>
      <c r="F296" s="2994">
        <v>1.0105999999999999</v>
      </c>
      <c r="G296" s="2994">
        <v>1.2688999999999999</v>
      </c>
      <c r="H296" s="2994">
        <v>1.1768000000000001</v>
      </c>
      <c r="I296" s="2994">
        <v>1.1767000000000001</v>
      </c>
      <c r="J296" s="2994">
        <v>1.4129</v>
      </c>
      <c r="K296" s="2994">
        <v>1.4114</v>
      </c>
      <c r="L296" s="2994">
        <v>1.2899</v>
      </c>
      <c r="M296" s="2994">
        <v>1.35</v>
      </c>
      <c r="N296" s="2994">
        <v>1.3307</v>
      </c>
      <c r="O296" s="2994">
        <v>1.5492999999999999</v>
      </c>
      <c r="P296" s="2994">
        <v>1.6489</v>
      </c>
      <c r="Q296" s="2994">
        <v>1.5568</v>
      </c>
      <c r="R296" s="2994">
        <v>1.5394000000000001</v>
      </c>
      <c r="S296" s="2994">
        <v>1.4336</v>
      </c>
      <c r="T296" s="2994">
        <v>1.5206</v>
      </c>
      <c r="U296" s="2994">
        <v>1.5121</v>
      </c>
      <c r="V296" s="2994">
        <v>1.5771999999999999</v>
      </c>
      <c r="W296" s="2994">
        <v>1.7561</v>
      </c>
      <c r="X296" s="2994">
        <v>1.6055999999999999</v>
      </c>
      <c r="Y296" s="2994">
        <v>1.4944999999999999</v>
      </c>
      <c r="Z296" s="2994">
        <v>1.9266000000000001</v>
      </c>
      <c r="AA296" s="2994">
        <v>1.9537</v>
      </c>
      <c r="AB296" s="2994">
        <v>1.9198</v>
      </c>
      <c r="AC296" s="2994">
        <v>1.9403999999999999</v>
      </c>
      <c r="AD296" s="2994">
        <v>1.6999</v>
      </c>
      <c r="AE296" s="2994">
        <v>1.8783000000000001</v>
      </c>
      <c r="AF296" s="2994">
        <v>1.6899</v>
      </c>
      <c r="AG296" s="2994">
        <v>1.2868999999999999</v>
      </c>
      <c r="AH296" s="2994">
        <v>1.7726</v>
      </c>
      <c r="AI296" s="2994">
        <v>1.7397</v>
      </c>
      <c r="AJ296" s="2994">
        <v>1.7205999999999999</v>
      </c>
      <c r="AK296" s="2994">
        <v>1.8905000000000001</v>
      </c>
      <c r="AL296" s="2994">
        <v>1.8432999999999999</v>
      </c>
      <c r="AM296" s="2994">
        <v>1.9605999999999999</v>
      </c>
      <c r="AN296" s="2994">
        <v>1.7785</v>
      </c>
      <c r="AO296" s="2994">
        <v>1.7821</v>
      </c>
      <c r="AP296" s="2994">
        <v>1.8165</v>
      </c>
      <c r="AQ296" s="2994">
        <v>1.9033</v>
      </c>
      <c r="AR296" s="2994">
        <v>2.0606</v>
      </c>
      <c r="AS296" s="2994">
        <v>2.0202</v>
      </c>
      <c r="AT296" s="2994">
        <v>1.7976000000000001</v>
      </c>
      <c r="AU296" s="2994">
        <v>1.6295999999999999</v>
      </c>
      <c r="AV296" s="2994">
        <v>1.9769000000000001</v>
      </c>
      <c r="AW296" s="2994">
        <v>2.1825000000000001</v>
      </c>
      <c r="AX296" s="2994">
        <v>2.0956999999999999</v>
      </c>
      <c r="AY296" s="2994">
        <v>2.0583999999999998</v>
      </c>
      <c r="AZ296" s="2994">
        <v>1.8976</v>
      </c>
      <c r="BA296" s="2994">
        <v>2.1587000000000001</v>
      </c>
      <c r="BB296" s="2994">
        <v>2.1074999999999999</v>
      </c>
      <c r="BC296" s="2994">
        <v>2.0804</v>
      </c>
      <c r="BD296" s="3471">
        <v>2.0097999999999998</v>
      </c>
      <c r="BE296" s="3471">
        <v>2.2934999999999999</v>
      </c>
      <c r="BF296" s="3471">
        <v>2.0384000000000002</v>
      </c>
    </row>
    <row r="297" spans="1:58">
      <c r="A297" s="1817" t="str">
        <f t="shared" si="9"/>
        <v>Northern AmericaSafflower seed</v>
      </c>
      <c r="B297" s="1818" t="s">
        <v>1318</v>
      </c>
      <c r="C297" s="1818" t="s">
        <v>7376</v>
      </c>
      <c r="D297" s="3463" t="str">
        <f>VLOOKUP(B297,List_Yield!$G$4:$J$14,4,FALSE)</f>
        <v>North America</v>
      </c>
      <c r="E297" s="3463" t="str">
        <f t="shared" si="8"/>
        <v>North AmericaSafflower seed</v>
      </c>
      <c r="F297" s="2994">
        <v>0.9607</v>
      </c>
      <c r="G297" s="2994">
        <v>1.5851</v>
      </c>
      <c r="H297" s="2994">
        <v>1.5589999999999999</v>
      </c>
      <c r="I297" s="2994">
        <v>1.6828000000000001</v>
      </c>
      <c r="J297" s="2994">
        <v>2.3273999999999999</v>
      </c>
      <c r="K297" s="2994">
        <v>2.1717</v>
      </c>
      <c r="L297" s="2994">
        <v>2.0038999999999998</v>
      </c>
      <c r="M297" s="2994">
        <v>2.3542000000000001</v>
      </c>
      <c r="N297" s="2994">
        <v>2.1335999999999999</v>
      </c>
      <c r="O297" s="2994">
        <v>1.9636</v>
      </c>
      <c r="P297" s="2994">
        <v>2.4472</v>
      </c>
      <c r="Q297" s="2994">
        <v>2.4093</v>
      </c>
      <c r="R297" s="2994">
        <v>1.8851</v>
      </c>
      <c r="S297" s="2994">
        <v>1.7778</v>
      </c>
      <c r="T297" s="2994">
        <v>1.8947000000000001</v>
      </c>
      <c r="U297" s="2994">
        <v>1.7250000000000001</v>
      </c>
      <c r="V297" s="2994">
        <v>1.9875</v>
      </c>
      <c r="W297" s="2994">
        <v>1.931</v>
      </c>
      <c r="X297" s="2994">
        <v>1.85</v>
      </c>
      <c r="Y297" s="2994">
        <v>1.8103</v>
      </c>
      <c r="Z297" s="2994">
        <v>1.8039000000000001</v>
      </c>
      <c r="AA297" s="2994">
        <v>1.7658</v>
      </c>
      <c r="AB297" s="2994">
        <v>1.8085</v>
      </c>
      <c r="AC297" s="2994">
        <v>1.8112999999999999</v>
      </c>
      <c r="AD297" s="2994">
        <v>1.7372000000000001</v>
      </c>
      <c r="AE297" s="2994">
        <v>1.7325999999999999</v>
      </c>
      <c r="AF297" s="2994">
        <v>1.7245999999999999</v>
      </c>
      <c r="AG297" s="2994">
        <v>1.4422999999999999</v>
      </c>
      <c r="AH297" s="2994">
        <v>1.4419999999999999</v>
      </c>
      <c r="AI297" s="2994">
        <v>1.4207000000000001</v>
      </c>
      <c r="AJ297" s="2994">
        <v>1.3204</v>
      </c>
      <c r="AK297" s="2994">
        <v>1.4673</v>
      </c>
      <c r="AL297" s="2994">
        <v>2.0202</v>
      </c>
      <c r="AM297" s="2994">
        <v>2.0642999999999998</v>
      </c>
      <c r="AN297" s="2994">
        <v>1.9638</v>
      </c>
      <c r="AO297" s="2994">
        <v>2.0398999999999998</v>
      </c>
      <c r="AP297" s="2994">
        <v>2.2290000000000001</v>
      </c>
      <c r="AQ297" s="2994">
        <v>1.6157999999999999</v>
      </c>
      <c r="AR297" s="2994">
        <v>1.7032</v>
      </c>
      <c r="AS297" s="2994">
        <v>1.5954999999999999</v>
      </c>
      <c r="AT297" s="2994">
        <v>1.5113000000000001</v>
      </c>
      <c r="AU297" s="2994">
        <v>1.5895999999999999</v>
      </c>
      <c r="AV297" s="2994">
        <v>1.4357</v>
      </c>
      <c r="AW297" s="2994">
        <v>1.353</v>
      </c>
      <c r="AX297" s="2994">
        <v>1.4945999999999999</v>
      </c>
      <c r="AY297" s="2994">
        <v>1.2338</v>
      </c>
      <c r="AZ297" s="2994">
        <v>1.3667</v>
      </c>
      <c r="BA297" s="2994">
        <v>1.7712000000000001</v>
      </c>
      <c r="BB297" s="2994">
        <v>1.6285000000000001</v>
      </c>
      <c r="BC297" s="2994">
        <v>1.4746999999999999</v>
      </c>
      <c r="BD297" s="3471">
        <v>1.4871000000000001</v>
      </c>
      <c r="BE297" s="3471">
        <v>1.2607999999999999</v>
      </c>
      <c r="BF297" s="3471">
        <v>1.3804000000000001</v>
      </c>
    </row>
    <row r="298" spans="1:58">
      <c r="A298" s="1817" t="str">
        <f t="shared" si="9"/>
        <v>Northern AmericaSeed cotton</v>
      </c>
      <c r="B298" s="1818" t="s">
        <v>1318</v>
      </c>
      <c r="C298" s="1818" t="s">
        <v>1371</v>
      </c>
      <c r="D298" s="3463" t="str">
        <f>VLOOKUP(B298,List_Yield!$G$4:$J$14,4,FALSE)</f>
        <v>North America</v>
      </c>
      <c r="E298" s="3463" t="str">
        <f t="shared" si="8"/>
        <v>North AmericaSeed cotton</v>
      </c>
      <c r="F298" s="2994">
        <v>1.3486</v>
      </c>
      <c r="G298" s="2994">
        <v>1.3963000000000001</v>
      </c>
      <c r="H298" s="2994">
        <v>1.5557000000000001</v>
      </c>
      <c r="I298" s="2994">
        <v>1.5744</v>
      </c>
      <c r="J298" s="2994">
        <v>1.5932999999999999</v>
      </c>
      <c r="K298" s="2994">
        <v>1.4675</v>
      </c>
      <c r="L298" s="2994">
        <v>1.4006000000000001</v>
      </c>
      <c r="M298" s="2994">
        <v>1.6022000000000001</v>
      </c>
      <c r="N298" s="2994">
        <v>1.3115000000000001</v>
      </c>
      <c r="O298" s="2994">
        <v>1.3090999999999999</v>
      </c>
      <c r="P298" s="2994">
        <v>1.32</v>
      </c>
      <c r="Q298" s="2994">
        <v>1.4990000000000001</v>
      </c>
      <c r="R298" s="2994">
        <v>1.5225</v>
      </c>
      <c r="S298" s="2994">
        <v>1.3006</v>
      </c>
      <c r="T298" s="2994">
        <v>1.3279000000000001</v>
      </c>
      <c r="U298" s="2994">
        <v>1.3683000000000001</v>
      </c>
      <c r="V298" s="2994">
        <v>1.5155000000000001</v>
      </c>
      <c r="W298" s="2994">
        <v>1.2427999999999999</v>
      </c>
      <c r="X298" s="2994">
        <v>1.623</v>
      </c>
      <c r="Y298" s="2994">
        <v>1.2113</v>
      </c>
      <c r="Z298" s="2994">
        <v>1.6442000000000001</v>
      </c>
      <c r="AA298" s="2994">
        <v>1.7537</v>
      </c>
      <c r="AB298" s="2994">
        <v>1.5075000000000001</v>
      </c>
      <c r="AC298" s="2994">
        <v>1.7850999999999999</v>
      </c>
      <c r="AD298" s="2994">
        <v>1.8632</v>
      </c>
      <c r="AE298" s="2994">
        <v>1.6245000000000001</v>
      </c>
      <c r="AF298" s="2994">
        <v>2.0811999999999999</v>
      </c>
      <c r="AG298" s="2994">
        <v>1.8311999999999999</v>
      </c>
      <c r="AH298" s="2994">
        <v>1.7867999999999999</v>
      </c>
      <c r="AI298" s="2994">
        <v>1.8512</v>
      </c>
      <c r="AJ298" s="2994">
        <v>1.9291</v>
      </c>
      <c r="AK298" s="2994">
        <v>2.0360999999999998</v>
      </c>
      <c r="AL298" s="2994">
        <v>1.7911999999999999</v>
      </c>
      <c r="AM298" s="2994">
        <v>2.0735000000000001</v>
      </c>
      <c r="AN298" s="2994">
        <v>1.5607</v>
      </c>
      <c r="AO298" s="2994">
        <v>2.0689000000000002</v>
      </c>
      <c r="AP298" s="2994">
        <v>1.9137</v>
      </c>
      <c r="AQ298" s="2994">
        <v>1.8265</v>
      </c>
      <c r="AR298" s="2994">
        <v>1.7408999999999999</v>
      </c>
      <c r="AS298" s="2994">
        <v>1.8138000000000001</v>
      </c>
      <c r="AT298" s="2994">
        <v>1.998</v>
      </c>
      <c r="AU298" s="2994">
        <v>1.8620000000000001</v>
      </c>
      <c r="AV298" s="2994">
        <v>2.0628000000000002</v>
      </c>
      <c r="AW298" s="2994">
        <v>2.3731</v>
      </c>
      <c r="AX298" s="2994">
        <v>2.3052000000000001</v>
      </c>
      <c r="AY298" s="2994">
        <v>2.2618999999999998</v>
      </c>
      <c r="AZ298" s="2994">
        <v>2.3933</v>
      </c>
      <c r="BA298" s="2994">
        <v>2.1846000000000001</v>
      </c>
      <c r="BB298" s="2994">
        <v>2.1061999999999999</v>
      </c>
      <c r="BC298" s="2994">
        <v>2.1880999999999999</v>
      </c>
      <c r="BD298" s="3471">
        <v>2.1579999999999999</v>
      </c>
      <c r="BE298" s="3471">
        <v>2.3492999999999999</v>
      </c>
      <c r="BF298" s="3471">
        <v>2.4977</v>
      </c>
    </row>
    <row r="299" spans="1:58">
      <c r="A299" s="1817" t="str">
        <f t="shared" si="9"/>
        <v>Northern AmericaSesame seed</v>
      </c>
      <c r="B299" s="1818" t="s">
        <v>1318</v>
      </c>
      <c r="C299" s="1818" t="s">
        <v>1319</v>
      </c>
      <c r="D299" s="3463" t="str">
        <f>VLOOKUP(B299,List_Yield!$G$4:$J$14,4,FALSE)</f>
        <v>North America</v>
      </c>
      <c r="E299" s="3463" t="str">
        <f t="shared" si="8"/>
        <v>North AmericaSesame seed</v>
      </c>
      <c r="F299" s="2994">
        <v>0.54879999999999995</v>
      </c>
      <c r="G299" s="2994">
        <v>0.55559999999999998</v>
      </c>
      <c r="H299" s="2994">
        <v>0.54549999999999998</v>
      </c>
      <c r="I299" s="2994">
        <v>0.5333</v>
      </c>
      <c r="J299" s="2994">
        <v>0</v>
      </c>
      <c r="K299" s="2994">
        <v>0</v>
      </c>
      <c r="L299" s="2994">
        <v>0</v>
      </c>
      <c r="M299" s="2994">
        <v>0</v>
      </c>
      <c r="N299" s="2994">
        <v>0</v>
      </c>
      <c r="O299" s="2994">
        <v>0</v>
      </c>
      <c r="P299" s="2994">
        <v>0</v>
      </c>
      <c r="Q299" s="2994">
        <v>0</v>
      </c>
      <c r="R299" s="2994">
        <v>0</v>
      </c>
      <c r="S299" s="2994">
        <v>0</v>
      </c>
      <c r="T299" s="2994">
        <v>0</v>
      </c>
      <c r="U299" s="2994">
        <v>0</v>
      </c>
      <c r="V299" s="2994">
        <v>0</v>
      </c>
      <c r="W299" s="2994">
        <v>0</v>
      </c>
      <c r="X299" s="2994">
        <v>0</v>
      </c>
      <c r="Y299" s="2994">
        <v>0</v>
      </c>
      <c r="Z299" s="2994">
        <v>0</v>
      </c>
      <c r="AA299" s="2994">
        <v>0</v>
      </c>
      <c r="AB299" s="2994">
        <v>0</v>
      </c>
      <c r="AC299" s="2994">
        <v>0</v>
      </c>
      <c r="AD299" s="2994">
        <v>0</v>
      </c>
      <c r="AE299" s="2994">
        <v>0</v>
      </c>
      <c r="AF299" s="2994">
        <v>0</v>
      </c>
      <c r="AG299" s="2994">
        <v>0</v>
      </c>
      <c r="AH299" s="2994">
        <v>0</v>
      </c>
      <c r="AI299" s="2994">
        <v>0</v>
      </c>
      <c r="AJ299" s="2994">
        <v>0</v>
      </c>
      <c r="AK299" s="2994">
        <v>0</v>
      </c>
      <c r="AL299" s="2994">
        <v>0</v>
      </c>
      <c r="AM299" s="2994">
        <v>0</v>
      </c>
      <c r="AN299" s="2994">
        <v>0</v>
      </c>
      <c r="AO299" s="2994">
        <v>0</v>
      </c>
      <c r="AP299" s="2994">
        <v>0</v>
      </c>
      <c r="AQ299" s="2994">
        <v>0</v>
      </c>
      <c r="AR299" s="2994">
        <v>0</v>
      </c>
      <c r="AS299" s="2994">
        <v>0</v>
      </c>
      <c r="AT299" s="2994">
        <v>0</v>
      </c>
      <c r="AU299" s="2994">
        <v>0</v>
      </c>
      <c r="AV299" s="2994">
        <v>0</v>
      </c>
      <c r="AW299" s="2994">
        <v>0</v>
      </c>
      <c r="AX299" s="2994">
        <v>0</v>
      </c>
      <c r="AY299" s="2994">
        <v>0</v>
      </c>
      <c r="AZ299" s="2994">
        <v>0</v>
      </c>
      <c r="BA299" s="2994">
        <v>0</v>
      </c>
      <c r="BB299" s="2994">
        <v>0</v>
      </c>
      <c r="BC299" s="2994">
        <v>0</v>
      </c>
      <c r="BD299" s="3471">
        <v>0</v>
      </c>
      <c r="BE299" s="3471">
        <v>0</v>
      </c>
      <c r="BF299" s="3471">
        <v>0</v>
      </c>
    </row>
    <row r="300" spans="1:58">
      <c r="A300" s="1817" t="str">
        <f t="shared" si="9"/>
        <v>Northern AmericaSisal</v>
      </c>
      <c r="B300" s="1818" t="s">
        <v>1318</v>
      </c>
      <c r="C300" s="1818" t="s">
        <v>1372</v>
      </c>
      <c r="D300" s="3463" t="str">
        <f>VLOOKUP(B300,List_Yield!$G$4:$J$14,4,FALSE)</f>
        <v>North America</v>
      </c>
      <c r="E300" s="3463" t="str">
        <f t="shared" si="8"/>
        <v>North AmericaSisal</v>
      </c>
      <c r="F300" s="2994">
        <v>0</v>
      </c>
      <c r="G300" s="2994">
        <v>0</v>
      </c>
      <c r="H300" s="2994">
        <v>0</v>
      </c>
      <c r="I300" s="2994">
        <v>0</v>
      </c>
      <c r="J300" s="2994">
        <v>0</v>
      </c>
      <c r="K300" s="2994">
        <v>0</v>
      </c>
      <c r="L300" s="2994">
        <v>0</v>
      </c>
      <c r="M300" s="2994">
        <v>0</v>
      </c>
      <c r="N300" s="2994">
        <v>0</v>
      </c>
      <c r="O300" s="2994">
        <v>0</v>
      </c>
      <c r="P300" s="2994">
        <v>0</v>
      </c>
      <c r="Q300" s="2994">
        <v>0</v>
      </c>
      <c r="R300" s="2994">
        <v>0</v>
      </c>
      <c r="S300" s="2994">
        <v>0</v>
      </c>
      <c r="T300" s="2994">
        <v>0</v>
      </c>
      <c r="U300" s="2994">
        <v>0</v>
      </c>
      <c r="V300" s="2994">
        <v>0</v>
      </c>
      <c r="W300" s="2994">
        <v>0</v>
      </c>
      <c r="X300" s="2994">
        <v>0</v>
      </c>
      <c r="Y300" s="2994">
        <v>0</v>
      </c>
      <c r="Z300" s="2994">
        <v>0</v>
      </c>
      <c r="AA300" s="2994">
        <v>0</v>
      </c>
      <c r="AB300" s="2994">
        <v>0</v>
      </c>
      <c r="AC300" s="2994">
        <v>0</v>
      </c>
      <c r="AD300" s="2994">
        <v>0</v>
      </c>
      <c r="AE300" s="2994">
        <v>0</v>
      </c>
      <c r="AF300" s="2994">
        <v>0</v>
      </c>
      <c r="AG300" s="2994">
        <v>0</v>
      </c>
      <c r="AH300" s="2994">
        <v>0</v>
      </c>
      <c r="AI300" s="2994">
        <v>0</v>
      </c>
      <c r="AJ300" s="2994">
        <v>0</v>
      </c>
      <c r="AK300" s="2994">
        <v>0</v>
      </c>
      <c r="AL300" s="2994">
        <v>0</v>
      </c>
      <c r="AM300" s="2994">
        <v>0</v>
      </c>
      <c r="AN300" s="2994">
        <v>0</v>
      </c>
      <c r="AO300" s="2994">
        <v>0</v>
      </c>
      <c r="AP300" s="2994">
        <v>0</v>
      </c>
      <c r="AQ300" s="2994">
        <v>0</v>
      </c>
      <c r="AR300" s="2994">
        <v>0</v>
      </c>
      <c r="AS300" s="2994">
        <v>0</v>
      </c>
      <c r="AT300" s="2994">
        <v>0</v>
      </c>
      <c r="AU300" s="2994">
        <v>0</v>
      </c>
      <c r="AV300" s="2994">
        <v>0</v>
      </c>
      <c r="AW300" s="2994">
        <v>0</v>
      </c>
      <c r="AX300" s="2994">
        <v>0</v>
      </c>
      <c r="AY300" s="2994">
        <v>0</v>
      </c>
      <c r="AZ300" s="2994">
        <v>0</v>
      </c>
      <c r="BA300" s="2994">
        <v>0</v>
      </c>
      <c r="BB300" s="2994">
        <v>0</v>
      </c>
      <c r="BC300" s="2994">
        <v>0</v>
      </c>
      <c r="BD300" s="3471">
        <v>0</v>
      </c>
      <c r="BE300" s="3471">
        <v>0</v>
      </c>
      <c r="BF300" s="3471">
        <v>0</v>
      </c>
    </row>
    <row r="301" spans="1:58">
      <c r="A301" s="1817" t="str">
        <f t="shared" si="9"/>
        <v>Northern AmericaSorghum</v>
      </c>
      <c r="B301" s="1818" t="s">
        <v>1318</v>
      </c>
      <c r="C301" s="1818" t="s">
        <v>1373</v>
      </c>
      <c r="D301" s="3463" t="str">
        <f>VLOOKUP(B301,List_Yield!$G$4:$J$14,4,FALSE)</f>
        <v>North America</v>
      </c>
      <c r="E301" s="3463" t="str">
        <f t="shared" si="8"/>
        <v>North AmericaSorghum</v>
      </c>
      <c r="F301" s="2994">
        <v>2.7442000000000002</v>
      </c>
      <c r="G301" s="2994">
        <v>2.7679</v>
      </c>
      <c r="H301" s="2994">
        <v>2.7572999999999999</v>
      </c>
      <c r="I301" s="2994">
        <v>2.6181000000000001</v>
      </c>
      <c r="J301" s="2994">
        <v>3.2404999999999999</v>
      </c>
      <c r="K301" s="2994">
        <v>3.5026000000000002</v>
      </c>
      <c r="L301" s="2994">
        <v>3.1633</v>
      </c>
      <c r="M301" s="2994">
        <v>3.3046000000000002</v>
      </c>
      <c r="N301" s="2994">
        <v>3.4097</v>
      </c>
      <c r="O301" s="2994">
        <v>3.1604999999999999</v>
      </c>
      <c r="P301" s="2994">
        <v>3.3752</v>
      </c>
      <c r="Q301" s="2994">
        <v>3.8071000000000002</v>
      </c>
      <c r="R301" s="2994">
        <v>3.6909999999999998</v>
      </c>
      <c r="S301" s="2994">
        <v>2.8304999999999998</v>
      </c>
      <c r="T301" s="2994">
        <v>3.0739999999999998</v>
      </c>
      <c r="U301" s="2994">
        <v>3.0842000000000001</v>
      </c>
      <c r="V301" s="2994">
        <v>3.5528</v>
      </c>
      <c r="W301" s="2994">
        <v>3.4228000000000001</v>
      </c>
      <c r="X301" s="2994">
        <v>3.9283000000000001</v>
      </c>
      <c r="Y301" s="2994">
        <v>2.9060999999999999</v>
      </c>
      <c r="Z301" s="2994">
        <v>4.0194999999999999</v>
      </c>
      <c r="AA301" s="2994">
        <v>3.7077</v>
      </c>
      <c r="AB301" s="2994">
        <v>3.0598000000000001</v>
      </c>
      <c r="AC301" s="2994">
        <v>3.5409999999999999</v>
      </c>
      <c r="AD301" s="2994">
        <v>4.1898999999999997</v>
      </c>
      <c r="AE301" s="2994">
        <v>4.2521000000000004</v>
      </c>
      <c r="AF301" s="2994">
        <v>4.3558000000000003</v>
      </c>
      <c r="AG301" s="2994">
        <v>4.0033000000000003</v>
      </c>
      <c r="AH301" s="2994">
        <v>3.4792000000000001</v>
      </c>
      <c r="AI301" s="2994">
        <v>3.9592000000000001</v>
      </c>
      <c r="AJ301" s="2994">
        <v>3.7195999999999998</v>
      </c>
      <c r="AK301" s="2994">
        <v>4.5579000000000001</v>
      </c>
      <c r="AL301" s="2994">
        <v>3.7605</v>
      </c>
      <c r="AM301" s="2994">
        <v>4.5636999999999999</v>
      </c>
      <c r="AN301" s="2994">
        <v>3.488</v>
      </c>
      <c r="AO301" s="2994">
        <v>4.2262000000000004</v>
      </c>
      <c r="AP301" s="2994">
        <v>4.3423999999999996</v>
      </c>
      <c r="AQ301" s="2994">
        <v>4.2262000000000004</v>
      </c>
      <c r="AR301" s="2994">
        <v>4.3723000000000001</v>
      </c>
      <c r="AS301" s="2994">
        <v>3.8226</v>
      </c>
      <c r="AT301" s="2994">
        <v>3.7606999999999999</v>
      </c>
      <c r="AU301" s="2994">
        <v>3.1783000000000001</v>
      </c>
      <c r="AV301" s="2994">
        <v>3.3100999999999998</v>
      </c>
      <c r="AW301" s="2994">
        <v>4.3693</v>
      </c>
      <c r="AX301" s="2994">
        <v>4.2996999999999996</v>
      </c>
      <c r="AY301" s="2994">
        <v>3.5171000000000001</v>
      </c>
      <c r="AZ301" s="2994">
        <v>4.5983000000000001</v>
      </c>
      <c r="BA301" s="2994">
        <v>4.0774999999999997</v>
      </c>
      <c r="BB301" s="2994">
        <v>4.3548</v>
      </c>
      <c r="BC301" s="2994">
        <v>4.5072999999999999</v>
      </c>
      <c r="BD301" s="3471">
        <v>3.4258000000000002</v>
      </c>
      <c r="BE301" s="3471">
        <v>3.1278999999999999</v>
      </c>
      <c r="BF301" s="3471">
        <v>3.7393999999999998</v>
      </c>
    </row>
    <row r="302" spans="1:58">
      <c r="A302" s="1817" t="str">
        <f t="shared" si="9"/>
        <v>Northern AmericaSoybeans</v>
      </c>
      <c r="B302" s="1818" t="s">
        <v>1318</v>
      </c>
      <c r="C302" s="1818" t="s">
        <v>1333</v>
      </c>
      <c r="D302" s="3463" t="str">
        <f>VLOOKUP(B302,List_Yield!$G$4:$J$14,4,FALSE)</f>
        <v>North America</v>
      </c>
      <c r="E302" s="3463" t="str">
        <f t="shared" si="8"/>
        <v>North AmericaSoybeans</v>
      </c>
      <c r="F302" s="2994">
        <v>1.6932</v>
      </c>
      <c r="G302" s="2994">
        <v>1.6333</v>
      </c>
      <c r="H302" s="2994">
        <v>1.6418999999999999</v>
      </c>
      <c r="I302" s="2994">
        <v>1.5346</v>
      </c>
      <c r="J302" s="2994">
        <v>1.6537999999999999</v>
      </c>
      <c r="K302" s="2994">
        <v>1.7121999999999999</v>
      </c>
      <c r="L302" s="2994">
        <v>1.6514</v>
      </c>
      <c r="M302" s="2994">
        <v>1.8004</v>
      </c>
      <c r="N302" s="2994">
        <v>1.8416999999999999</v>
      </c>
      <c r="O302" s="2994">
        <v>1.7964</v>
      </c>
      <c r="P302" s="2994">
        <v>1.8524</v>
      </c>
      <c r="Q302" s="2994">
        <v>1.8742000000000001</v>
      </c>
      <c r="R302" s="2994">
        <v>1.8714</v>
      </c>
      <c r="S302" s="2994">
        <v>1.5938000000000001</v>
      </c>
      <c r="T302" s="2994">
        <v>1.9449000000000001</v>
      </c>
      <c r="U302" s="2994">
        <v>1.7534000000000001</v>
      </c>
      <c r="V302" s="2994">
        <v>2.0604</v>
      </c>
      <c r="W302" s="2994">
        <v>1.9722999999999999</v>
      </c>
      <c r="X302" s="2994">
        <v>2.1631999999999998</v>
      </c>
      <c r="Y302" s="2994">
        <v>1.7898000000000001</v>
      </c>
      <c r="Z302" s="2994">
        <v>2.0346000000000002</v>
      </c>
      <c r="AA302" s="2994">
        <v>2.1238999999999999</v>
      </c>
      <c r="AB302" s="2994">
        <v>1.7630999999999999</v>
      </c>
      <c r="AC302" s="2994">
        <v>1.8986000000000001</v>
      </c>
      <c r="AD302" s="2994">
        <v>2.2955999999999999</v>
      </c>
      <c r="AE302" s="2994">
        <v>2.2452000000000001</v>
      </c>
      <c r="AF302" s="2994">
        <v>2.2887</v>
      </c>
      <c r="AG302" s="2994">
        <v>1.8232999999999999</v>
      </c>
      <c r="AH302" s="2994">
        <v>2.1800000000000002</v>
      </c>
      <c r="AI302" s="2994">
        <v>2.2986</v>
      </c>
      <c r="AJ302" s="2994">
        <v>2.3064</v>
      </c>
      <c r="AK302" s="2994">
        <v>2.5246</v>
      </c>
      <c r="AL302" s="2994">
        <v>2.2056</v>
      </c>
      <c r="AM302" s="2994">
        <v>2.7801999999999998</v>
      </c>
      <c r="AN302" s="2994">
        <v>2.3889</v>
      </c>
      <c r="AO302" s="2994">
        <v>2.5272000000000001</v>
      </c>
      <c r="AP302" s="2994">
        <v>2.6153</v>
      </c>
      <c r="AQ302" s="2994">
        <v>2.6227</v>
      </c>
      <c r="AR302" s="2994">
        <v>2.4735999999999998</v>
      </c>
      <c r="AS302" s="2994">
        <v>2.5609000000000002</v>
      </c>
      <c r="AT302" s="2994">
        <v>2.6242999999999999</v>
      </c>
      <c r="AU302" s="2994">
        <v>2.5474000000000001</v>
      </c>
      <c r="AV302" s="2994">
        <v>2.2730999999999999</v>
      </c>
      <c r="AW302" s="2994">
        <v>2.8311000000000002</v>
      </c>
      <c r="AX302" s="2994">
        <v>2.8887</v>
      </c>
      <c r="AY302" s="2994">
        <v>2.8818000000000001</v>
      </c>
      <c r="AZ302" s="2994">
        <v>2.7848000000000002</v>
      </c>
      <c r="BA302" s="2994">
        <v>2.6762999999999999</v>
      </c>
      <c r="BB302" s="2994">
        <v>2.9397000000000002</v>
      </c>
      <c r="BC302" s="2994">
        <v>2.9234</v>
      </c>
      <c r="BD302" s="3471">
        <v>2.8166000000000002</v>
      </c>
      <c r="BE302" s="3471">
        <v>2.6831</v>
      </c>
      <c r="BF302" s="3471">
        <v>2.9112</v>
      </c>
    </row>
    <row r="303" spans="1:58">
      <c r="A303" s="1817" t="str">
        <f t="shared" si="9"/>
        <v>Northern AmericaSpices, nes</v>
      </c>
      <c r="B303" s="1818" t="s">
        <v>1318</v>
      </c>
      <c r="C303" s="1818" t="s">
        <v>7377</v>
      </c>
      <c r="D303" s="3463" t="str">
        <f>VLOOKUP(B303,List_Yield!$G$4:$J$14,4,FALSE)</f>
        <v>North America</v>
      </c>
      <c r="E303" s="3463" t="str">
        <f t="shared" si="8"/>
        <v>North AmericaSpices, nes</v>
      </c>
      <c r="F303" s="2994">
        <v>0</v>
      </c>
      <c r="G303" s="2994">
        <v>0</v>
      </c>
      <c r="H303" s="2994">
        <v>0</v>
      </c>
      <c r="I303" s="2994">
        <v>0</v>
      </c>
      <c r="J303" s="2994">
        <v>0</v>
      </c>
      <c r="K303" s="2994">
        <v>0</v>
      </c>
      <c r="L303" s="2994">
        <v>0</v>
      </c>
      <c r="M303" s="2994">
        <v>0</v>
      </c>
      <c r="N303" s="2994">
        <v>0</v>
      </c>
      <c r="O303" s="2994">
        <v>0</v>
      </c>
      <c r="P303" s="2994">
        <v>0</v>
      </c>
      <c r="Q303" s="2994">
        <v>0</v>
      </c>
      <c r="R303" s="2994">
        <v>0</v>
      </c>
      <c r="S303" s="2994">
        <v>0</v>
      </c>
      <c r="T303" s="2994">
        <v>0</v>
      </c>
      <c r="U303" s="2994">
        <v>0</v>
      </c>
      <c r="V303" s="2994">
        <v>0</v>
      </c>
      <c r="W303" s="2994">
        <v>0</v>
      </c>
      <c r="X303" s="2994">
        <v>0</v>
      </c>
      <c r="Y303" s="2994">
        <v>0</v>
      </c>
      <c r="Z303" s="2994">
        <v>0</v>
      </c>
      <c r="AA303" s="2994">
        <v>0</v>
      </c>
      <c r="AB303" s="2994">
        <v>0</v>
      </c>
      <c r="AC303" s="2994">
        <v>0</v>
      </c>
      <c r="AD303" s="2994">
        <v>0</v>
      </c>
      <c r="AE303" s="2994">
        <v>0</v>
      </c>
      <c r="AF303" s="2994">
        <v>0</v>
      </c>
      <c r="AG303" s="2994">
        <v>0</v>
      </c>
      <c r="AH303" s="2994">
        <v>0</v>
      </c>
      <c r="AI303" s="2994">
        <v>0</v>
      </c>
      <c r="AJ303" s="2994">
        <v>0</v>
      </c>
      <c r="AK303" s="2994">
        <v>0</v>
      </c>
      <c r="AL303" s="2994">
        <v>0</v>
      </c>
      <c r="AM303" s="2994">
        <v>0</v>
      </c>
      <c r="AN303" s="2994">
        <v>0</v>
      </c>
      <c r="AO303" s="2994">
        <v>0</v>
      </c>
      <c r="AP303" s="2994">
        <v>0</v>
      </c>
      <c r="AQ303" s="2994">
        <v>0</v>
      </c>
      <c r="AR303" s="2994">
        <v>0</v>
      </c>
      <c r="AS303" s="2994">
        <v>0</v>
      </c>
      <c r="AT303" s="2994">
        <v>0</v>
      </c>
      <c r="AU303" s="2994">
        <v>0</v>
      </c>
      <c r="AV303" s="2994">
        <v>0</v>
      </c>
      <c r="AW303" s="2994">
        <v>0</v>
      </c>
      <c r="AX303" s="2994">
        <v>0</v>
      </c>
      <c r="AY303" s="2994">
        <v>0</v>
      </c>
      <c r="AZ303" s="2994">
        <v>0</v>
      </c>
      <c r="BA303" s="2994">
        <v>0</v>
      </c>
      <c r="BB303" s="2994">
        <v>0</v>
      </c>
      <c r="BC303" s="2994">
        <v>0</v>
      </c>
      <c r="BD303" s="3471">
        <v>0</v>
      </c>
      <c r="BE303" s="3471">
        <v>0</v>
      </c>
      <c r="BF303" s="3471">
        <v>0</v>
      </c>
    </row>
    <row r="304" spans="1:58">
      <c r="A304" s="1817" t="str">
        <f t="shared" si="9"/>
        <v>Northern AmericaSpinach</v>
      </c>
      <c r="B304" s="1818" t="s">
        <v>1318</v>
      </c>
      <c r="C304" s="1818" t="s">
        <v>7378</v>
      </c>
      <c r="D304" s="3463" t="str">
        <f>VLOOKUP(B304,List_Yield!$G$4:$J$14,4,FALSE)</f>
        <v>North America</v>
      </c>
      <c r="E304" s="3463" t="str">
        <f t="shared" si="8"/>
        <v>North AmericaSpinach</v>
      </c>
      <c r="F304" s="2994">
        <v>8.5845000000000002</v>
      </c>
      <c r="G304" s="2994">
        <v>8.9055999999999997</v>
      </c>
      <c r="H304" s="2994">
        <v>10.1951</v>
      </c>
      <c r="I304" s="2994">
        <v>10.301299999999999</v>
      </c>
      <c r="J304" s="2994">
        <v>10.245699999999999</v>
      </c>
      <c r="K304" s="2994">
        <v>10.240399999999999</v>
      </c>
      <c r="L304" s="2994">
        <v>10.3591</v>
      </c>
      <c r="M304" s="2994">
        <v>11.1165</v>
      </c>
      <c r="N304" s="2994">
        <v>10.739000000000001</v>
      </c>
      <c r="O304" s="2994">
        <v>11.0236</v>
      </c>
      <c r="P304" s="2994">
        <v>11.596299999999999</v>
      </c>
      <c r="Q304" s="2994">
        <v>11.6823</v>
      </c>
      <c r="R304" s="2994">
        <v>11.919</v>
      </c>
      <c r="S304" s="2994">
        <v>13.069699999999999</v>
      </c>
      <c r="T304" s="2994">
        <v>12.794499999999999</v>
      </c>
      <c r="U304" s="2994">
        <v>13.9871</v>
      </c>
      <c r="V304" s="2994">
        <v>14.2475</v>
      </c>
      <c r="W304" s="2994">
        <v>12.415699999999999</v>
      </c>
      <c r="X304" s="2994">
        <v>12.796099999999999</v>
      </c>
      <c r="Y304" s="2994">
        <v>13.2202</v>
      </c>
      <c r="Z304" s="2994">
        <v>13.864800000000001</v>
      </c>
      <c r="AA304" s="2994">
        <v>13.945600000000001</v>
      </c>
      <c r="AB304" s="2994">
        <v>13.5312</v>
      </c>
      <c r="AC304" s="2994">
        <v>13.4147</v>
      </c>
      <c r="AD304" s="2994">
        <v>13.385899999999999</v>
      </c>
      <c r="AE304" s="2994">
        <v>13.717000000000001</v>
      </c>
      <c r="AF304" s="2994">
        <v>13.887600000000001</v>
      </c>
      <c r="AG304" s="2994">
        <v>13.775700000000001</v>
      </c>
      <c r="AH304" s="2994">
        <v>14.9656</v>
      </c>
      <c r="AI304" s="2994">
        <v>14.827500000000001</v>
      </c>
      <c r="AJ304" s="2994">
        <v>14.586600000000001</v>
      </c>
      <c r="AK304" s="2994">
        <v>15.2807</v>
      </c>
      <c r="AL304" s="2994">
        <v>15.616300000000001</v>
      </c>
      <c r="AM304" s="2994">
        <v>16.3569</v>
      </c>
      <c r="AN304" s="2994">
        <v>15.319000000000001</v>
      </c>
      <c r="AO304" s="2994">
        <v>15.739699999999999</v>
      </c>
      <c r="AP304" s="2994">
        <v>17.265000000000001</v>
      </c>
      <c r="AQ304" s="2994">
        <v>15.9404</v>
      </c>
      <c r="AR304" s="2994">
        <v>15.237</v>
      </c>
      <c r="AS304" s="2994">
        <v>18.171900000000001</v>
      </c>
      <c r="AT304" s="2994">
        <v>16.9343</v>
      </c>
      <c r="AU304" s="2994">
        <v>17.657399999999999</v>
      </c>
      <c r="AV304" s="2994">
        <v>17.792899999999999</v>
      </c>
      <c r="AW304" s="2994">
        <v>19.343499999999999</v>
      </c>
      <c r="AX304" s="2994">
        <v>19.595099999999999</v>
      </c>
      <c r="AY304" s="2994">
        <v>18.128900000000002</v>
      </c>
      <c r="AZ304" s="2994">
        <v>17.869499999999999</v>
      </c>
      <c r="BA304" s="2994">
        <v>18.510100000000001</v>
      </c>
      <c r="BB304" s="2994">
        <v>20.511800000000001</v>
      </c>
      <c r="BC304" s="2994">
        <v>21.973600000000001</v>
      </c>
      <c r="BD304" s="3471">
        <v>22.917000000000002</v>
      </c>
      <c r="BE304" s="3471">
        <v>19.367599999999999</v>
      </c>
      <c r="BF304" s="3471">
        <v>0</v>
      </c>
    </row>
    <row r="305" spans="1:58">
      <c r="A305" s="1817" t="str">
        <f t="shared" si="9"/>
        <v>Northern AmericaStrawberries</v>
      </c>
      <c r="B305" s="1818" t="s">
        <v>1318</v>
      </c>
      <c r="C305" s="1818" t="s">
        <v>1374</v>
      </c>
      <c r="D305" s="3463" t="str">
        <f>VLOOKUP(B305,List_Yield!$G$4:$J$14,4,FALSE)</f>
        <v>North America</v>
      </c>
      <c r="E305" s="3463" t="str">
        <f t="shared" si="8"/>
        <v>North AmericaStrawberries</v>
      </c>
      <c r="F305" s="2994">
        <v>5.9379999999999997</v>
      </c>
      <c r="G305" s="2994">
        <v>6.0948000000000002</v>
      </c>
      <c r="H305" s="2994">
        <v>6.4922000000000004</v>
      </c>
      <c r="I305" s="2994">
        <v>7.2584999999999997</v>
      </c>
      <c r="J305" s="2994">
        <v>5.7321</v>
      </c>
      <c r="K305" s="2994">
        <v>5.8441000000000001</v>
      </c>
      <c r="L305" s="2994">
        <v>6.7502000000000004</v>
      </c>
      <c r="M305" s="2994">
        <v>7.8236999999999997</v>
      </c>
      <c r="N305" s="2994">
        <v>8.0526999999999997</v>
      </c>
      <c r="O305" s="2994">
        <v>8.7514000000000003</v>
      </c>
      <c r="P305" s="2994">
        <v>10.452500000000001</v>
      </c>
      <c r="Q305" s="2994">
        <v>10.624700000000001</v>
      </c>
      <c r="R305" s="2994">
        <v>11.5953</v>
      </c>
      <c r="S305" s="2994">
        <v>13.181699999999999</v>
      </c>
      <c r="T305" s="2994">
        <v>13.151999999999999</v>
      </c>
      <c r="U305" s="2994">
        <v>15.1287</v>
      </c>
      <c r="V305" s="2994">
        <v>16.367799999999999</v>
      </c>
      <c r="W305" s="2994">
        <v>15.0428</v>
      </c>
      <c r="X305" s="2994">
        <v>14.947100000000001</v>
      </c>
      <c r="Y305" s="2994">
        <v>16.0486</v>
      </c>
      <c r="Z305" s="2994">
        <v>15.5716</v>
      </c>
      <c r="AA305" s="2994">
        <v>16.639099999999999</v>
      </c>
      <c r="AB305" s="2994">
        <v>15.773400000000001</v>
      </c>
      <c r="AC305" s="2994">
        <v>16.3337</v>
      </c>
      <c r="AD305" s="2994">
        <v>15.8758</v>
      </c>
      <c r="AE305" s="2994">
        <v>21.3018</v>
      </c>
      <c r="AF305" s="2994">
        <v>22.047000000000001</v>
      </c>
      <c r="AG305" s="2994">
        <v>23.060300000000002</v>
      </c>
      <c r="AH305" s="2994">
        <v>23.004200000000001</v>
      </c>
      <c r="AI305" s="2994">
        <v>25.2821</v>
      </c>
      <c r="AJ305" s="2994">
        <v>26.9817</v>
      </c>
      <c r="AK305" s="2994">
        <v>25.1767</v>
      </c>
      <c r="AL305" s="2994">
        <v>26.391400000000001</v>
      </c>
      <c r="AM305" s="2994">
        <v>30.833200000000001</v>
      </c>
      <c r="AN305" s="2994">
        <v>30.2849</v>
      </c>
      <c r="AO305" s="2994">
        <v>31.035299999999999</v>
      </c>
      <c r="AP305" s="2994">
        <v>33.322200000000002</v>
      </c>
      <c r="AQ305" s="2994">
        <v>32.676900000000003</v>
      </c>
      <c r="AR305" s="2994">
        <v>36.785600000000002</v>
      </c>
      <c r="AS305" s="2994">
        <v>37.646000000000001</v>
      </c>
      <c r="AT305" s="2994">
        <v>34.348199999999999</v>
      </c>
      <c r="AU305" s="2994">
        <v>36.744399999999999</v>
      </c>
      <c r="AV305" s="2994">
        <v>41.656599999999997</v>
      </c>
      <c r="AW305" s="2994">
        <v>41.088900000000002</v>
      </c>
      <c r="AX305" s="2994">
        <v>42.768500000000003</v>
      </c>
      <c r="AY305" s="2994">
        <v>44.180399999999999</v>
      </c>
      <c r="AZ305" s="2994">
        <v>45.302999999999997</v>
      </c>
      <c r="BA305" s="2994">
        <v>45.7746</v>
      </c>
      <c r="BB305" s="2994">
        <v>48.348199999999999</v>
      </c>
      <c r="BC305" s="2994">
        <v>50.345999999999997</v>
      </c>
      <c r="BD305" s="3471">
        <v>50.408299999999997</v>
      </c>
      <c r="BE305" s="3471">
        <v>52.779899999999998</v>
      </c>
      <c r="BF305" s="3471">
        <v>0</v>
      </c>
    </row>
    <row r="306" spans="1:58">
      <c r="A306" s="1817" t="str">
        <f t="shared" si="9"/>
        <v>Northern AmericaString beans</v>
      </c>
      <c r="B306" s="1818" t="s">
        <v>1318</v>
      </c>
      <c r="C306" s="1818" t="s">
        <v>7379</v>
      </c>
      <c r="D306" s="3463" t="str">
        <f>VLOOKUP(B306,List_Yield!$G$4:$J$14,4,FALSE)</f>
        <v>North America</v>
      </c>
      <c r="E306" s="3463" t="str">
        <f t="shared" si="8"/>
        <v>North AmericaString beans</v>
      </c>
      <c r="F306" s="2994">
        <v>5.1292999999999997</v>
      </c>
      <c r="G306" s="2994">
        <v>5.0119999999999996</v>
      </c>
      <c r="H306" s="2994">
        <v>5.0662000000000003</v>
      </c>
      <c r="I306" s="2994">
        <v>4.7038000000000002</v>
      </c>
      <c r="J306" s="2994">
        <v>5.0288000000000004</v>
      </c>
      <c r="K306" s="2994">
        <v>4.5964</v>
      </c>
      <c r="L306" s="2994">
        <v>4.9787999999999997</v>
      </c>
      <c r="M306" s="2994">
        <v>4.9908999999999999</v>
      </c>
      <c r="N306" s="2994">
        <v>4.8452000000000002</v>
      </c>
      <c r="O306" s="2994">
        <v>5.1986999999999997</v>
      </c>
      <c r="P306" s="2994">
        <v>5.2023000000000001</v>
      </c>
      <c r="Q306" s="2994">
        <v>5.0467000000000004</v>
      </c>
      <c r="R306" s="2994">
        <v>5.2969999999999997</v>
      </c>
      <c r="S306" s="2994">
        <v>5.3596000000000004</v>
      </c>
      <c r="T306" s="2994">
        <v>5.1627999999999998</v>
      </c>
      <c r="U306" s="2994">
        <v>5.2009999999999996</v>
      </c>
      <c r="V306" s="2994">
        <v>5.4702000000000002</v>
      </c>
      <c r="W306" s="2994">
        <v>5.2744</v>
      </c>
      <c r="X306" s="2994">
        <v>5.5328999999999997</v>
      </c>
      <c r="Y306" s="2994">
        <v>5.4645000000000001</v>
      </c>
      <c r="Z306" s="2994">
        <v>5.9744999999999999</v>
      </c>
      <c r="AA306" s="2994">
        <v>7.0609000000000002</v>
      </c>
      <c r="AB306" s="2994">
        <v>6.6932999999999998</v>
      </c>
      <c r="AC306" s="2994">
        <v>6.8925000000000001</v>
      </c>
      <c r="AD306" s="2994">
        <v>7.0884999999999998</v>
      </c>
      <c r="AE306" s="2994">
        <v>7.1685999999999996</v>
      </c>
      <c r="AF306" s="2994">
        <v>6.8634000000000004</v>
      </c>
      <c r="AG306" s="2994">
        <v>6.0590000000000002</v>
      </c>
      <c r="AH306" s="2994">
        <v>7.8301999999999996</v>
      </c>
      <c r="AI306" s="2994">
        <v>7.2530000000000001</v>
      </c>
      <c r="AJ306" s="2994">
        <v>7.4337999999999997</v>
      </c>
      <c r="AK306" s="2994">
        <v>6.8052999999999999</v>
      </c>
      <c r="AL306" s="2994">
        <v>6.8459000000000003</v>
      </c>
      <c r="AM306" s="2994">
        <v>7.5052000000000003</v>
      </c>
      <c r="AN306" s="2994">
        <v>6.8236999999999997</v>
      </c>
      <c r="AO306" s="2994">
        <v>7.6018999999999997</v>
      </c>
      <c r="AP306" s="2994">
        <v>7.4214000000000002</v>
      </c>
      <c r="AQ306" s="2994">
        <v>7.6300999999999997</v>
      </c>
      <c r="AR306" s="2994">
        <v>7.8403</v>
      </c>
      <c r="AS306" s="2994">
        <v>8.7424999999999997</v>
      </c>
      <c r="AT306" s="2994">
        <v>8.2433999999999994</v>
      </c>
      <c r="AU306" s="2994">
        <v>8.7604000000000006</v>
      </c>
      <c r="AV306" s="2994">
        <v>8.6359999999999992</v>
      </c>
      <c r="AW306" s="2994">
        <v>9.2456999999999994</v>
      </c>
      <c r="AX306" s="2994">
        <v>8.7508999999999997</v>
      </c>
      <c r="AY306" s="2994">
        <v>8.8795999999999999</v>
      </c>
      <c r="AZ306" s="2994">
        <v>8.1931999999999992</v>
      </c>
      <c r="BA306" s="2994">
        <v>8.5351999999999997</v>
      </c>
      <c r="BB306" s="2994">
        <v>8.3918999999999997</v>
      </c>
      <c r="BC306" s="2994">
        <v>8.1135999999999999</v>
      </c>
      <c r="BD306" s="3471">
        <v>8.2272999999999996</v>
      </c>
      <c r="BE306" s="3471">
        <v>8.5578000000000003</v>
      </c>
      <c r="BF306" s="3471">
        <v>0</v>
      </c>
    </row>
    <row r="307" spans="1:58">
      <c r="A307" s="1817" t="str">
        <f t="shared" si="9"/>
        <v>Northern AmericaSugar beet</v>
      </c>
      <c r="B307" s="1818" t="s">
        <v>1318</v>
      </c>
      <c r="C307" s="1818" t="s">
        <v>1332</v>
      </c>
      <c r="D307" s="3463" t="str">
        <f>VLOOKUP(B307,List_Yield!$G$4:$J$14,4,FALSE)</f>
        <v>North America</v>
      </c>
      <c r="E307" s="3463" t="str">
        <f t="shared" si="8"/>
        <v>North AmericaSugar beet</v>
      </c>
      <c r="F307" s="2994">
        <v>36.283299999999997</v>
      </c>
      <c r="G307" s="2994">
        <v>36.506599999999999</v>
      </c>
      <c r="H307" s="2994">
        <v>41.210599999999999</v>
      </c>
      <c r="I307" s="2994">
        <v>37.358800000000002</v>
      </c>
      <c r="J307" s="2994">
        <v>36.564799999999998</v>
      </c>
      <c r="K307" s="2994">
        <v>39.052900000000001</v>
      </c>
      <c r="L307" s="2994">
        <v>38.020499999999998</v>
      </c>
      <c r="M307" s="2994">
        <v>39.434399999999997</v>
      </c>
      <c r="N307" s="2994">
        <v>39.194499999999998</v>
      </c>
      <c r="O307" s="2994">
        <v>40.963099999999997</v>
      </c>
      <c r="P307" s="2994">
        <v>44.240299999999998</v>
      </c>
      <c r="Q307" s="2994">
        <v>47.081699999999998</v>
      </c>
      <c r="R307" s="2994">
        <v>44.555300000000003</v>
      </c>
      <c r="S307" s="2994">
        <v>40.191299999999998</v>
      </c>
      <c r="T307" s="2994">
        <v>43.179000000000002</v>
      </c>
      <c r="U307" s="2994">
        <v>44.059199999999997</v>
      </c>
      <c r="V307" s="2994">
        <v>45.766199999999998</v>
      </c>
      <c r="W307" s="2994">
        <v>45.214700000000001</v>
      </c>
      <c r="X307" s="2994">
        <v>43.636600000000001</v>
      </c>
      <c r="Y307" s="2994">
        <v>43.709400000000002</v>
      </c>
      <c r="Z307" s="2994">
        <v>49.778700000000001</v>
      </c>
      <c r="AA307" s="2994">
        <v>44.976599999999998</v>
      </c>
      <c r="AB307" s="2994">
        <v>44.113199999999999</v>
      </c>
      <c r="AC307" s="2994">
        <v>44.591900000000003</v>
      </c>
      <c r="AD307" s="2994">
        <v>45.478000000000002</v>
      </c>
      <c r="AE307" s="2994">
        <v>47.025300000000001</v>
      </c>
      <c r="AF307" s="2994">
        <v>49.971699999999998</v>
      </c>
      <c r="AG307" s="2994">
        <v>42.457099999999997</v>
      </c>
      <c r="AH307" s="2994">
        <v>43.231499999999997</v>
      </c>
      <c r="AI307" s="2994">
        <v>44.548900000000003</v>
      </c>
      <c r="AJ307" s="2994">
        <v>45.506100000000004</v>
      </c>
      <c r="AK307" s="2994">
        <v>45.825099999999999</v>
      </c>
      <c r="AL307" s="2994">
        <v>41.499499999999998</v>
      </c>
      <c r="AM307" s="2994">
        <v>49.201500000000003</v>
      </c>
      <c r="AN307" s="2994">
        <v>44.189</v>
      </c>
      <c r="AO307" s="2994">
        <v>45.158499999999997</v>
      </c>
      <c r="AP307" s="2994">
        <v>46.865200000000002</v>
      </c>
      <c r="AQ307" s="2994">
        <v>50.163600000000002</v>
      </c>
      <c r="AR307" s="2994">
        <v>48.879399999999997</v>
      </c>
      <c r="AS307" s="2994">
        <v>58.300699999999999</v>
      </c>
      <c r="AT307" s="2994">
        <v>51.078400000000002</v>
      </c>
      <c r="AU307" s="2994">
        <v>50.024299999999997</v>
      </c>
      <c r="AV307" s="2994">
        <v>56.301499999999997</v>
      </c>
      <c r="AW307" s="2994">
        <v>56.656199999999998</v>
      </c>
      <c r="AX307" s="2994">
        <v>54.301600000000001</v>
      </c>
      <c r="AY307" s="2994">
        <v>64.389700000000005</v>
      </c>
      <c r="AZ307" s="2994">
        <v>63.032600000000002</v>
      </c>
      <c r="BA307" s="2994">
        <v>59.821199999999997</v>
      </c>
      <c r="BB307" s="2994">
        <v>58.1815</v>
      </c>
      <c r="BC307" s="2994">
        <v>61.818100000000001</v>
      </c>
      <c r="BD307" s="3471">
        <v>53.648600000000002</v>
      </c>
      <c r="BE307" s="3471">
        <v>65.4495</v>
      </c>
      <c r="BF307" s="3471">
        <v>63.806800000000003</v>
      </c>
    </row>
    <row r="308" spans="1:58">
      <c r="A308" s="1817" t="str">
        <f t="shared" si="9"/>
        <v>Northern AmericaSugar cane</v>
      </c>
      <c r="B308" s="1818" t="s">
        <v>1318</v>
      </c>
      <c r="C308" s="1818" t="s">
        <v>1375</v>
      </c>
      <c r="D308" s="3463" t="str">
        <f>VLOOKUP(B308,List_Yield!$G$4:$J$14,4,FALSE)</f>
        <v>North America</v>
      </c>
      <c r="E308" s="3463" t="str">
        <f t="shared" si="8"/>
        <v>North AmericaSugar cane</v>
      </c>
      <c r="F308" s="2994">
        <v>99.369299999999996</v>
      </c>
      <c r="G308" s="2994">
        <v>94.186999999999998</v>
      </c>
      <c r="H308" s="2994">
        <v>93.646699999999996</v>
      </c>
      <c r="I308" s="2994">
        <v>82.156499999999994</v>
      </c>
      <c r="J308" s="2994">
        <v>85.974000000000004</v>
      </c>
      <c r="K308" s="2994">
        <v>87.901200000000003</v>
      </c>
      <c r="L308" s="2994">
        <v>95.194599999999994</v>
      </c>
      <c r="M308" s="2994">
        <v>91.863299999999995</v>
      </c>
      <c r="N308" s="2994">
        <v>94.653499999999994</v>
      </c>
      <c r="O308" s="2994">
        <v>92.125799999999998</v>
      </c>
      <c r="P308" s="2994">
        <v>83.608900000000006</v>
      </c>
      <c r="Q308" s="2994">
        <v>90.499499999999998</v>
      </c>
      <c r="R308" s="2994">
        <v>78.133799999999994</v>
      </c>
      <c r="S308" s="2994">
        <v>76.77</v>
      </c>
      <c r="T308" s="2994">
        <v>82.092299999999994</v>
      </c>
      <c r="U308" s="2994">
        <v>84.387200000000007</v>
      </c>
      <c r="V308" s="2994">
        <v>79.199600000000004</v>
      </c>
      <c r="W308" s="2994">
        <v>78.359800000000007</v>
      </c>
      <c r="X308" s="2994">
        <v>81.172600000000003</v>
      </c>
      <c r="Y308" s="2994">
        <v>82.496799999999993</v>
      </c>
      <c r="Z308" s="2994">
        <v>81.335099999999997</v>
      </c>
      <c r="AA308" s="2994">
        <v>89.977500000000006</v>
      </c>
      <c r="AB308" s="2994">
        <v>82.232299999999995</v>
      </c>
      <c r="AC308" s="2994">
        <v>82.012799999999999</v>
      </c>
      <c r="AD308" s="2994">
        <v>82.138300000000001</v>
      </c>
      <c r="AE308" s="2994">
        <v>85.344499999999996</v>
      </c>
      <c r="AF308" s="2994">
        <v>79.525999999999996</v>
      </c>
      <c r="AG308" s="2994">
        <v>79.298500000000004</v>
      </c>
      <c r="AH308" s="2994">
        <v>77.421700000000001</v>
      </c>
      <c r="AI308" s="2994">
        <v>79.415099999999995</v>
      </c>
      <c r="AJ308" s="2994">
        <v>75.603300000000004</v>
      </c>
      <c r="AK308" s="2994">
        <v>73.571100000000001</v>
      </c>
      <c r="AL308" s="2994">
        <v>73.512200000000007</v>
      </c>
      <c r="AM308" s="2994">
        <v>74.012100000000004</v>
      </c>
      <c r="AN308" s="2994">
        <v>74.047200000000004</v>
      </c>
      <c r="AO308" s="2994">
        <v>74.297399999999996</v>
      </c>
      <c r="AP308" s="2994">
        <v>77.873800000000003</v>
      </c>
      <c r="AQ308" s="2994">
        <v>82.150999999999996</v>
      </c>
      <c r="AR308" s="2994">
        <v>79.662400000000005</v>
      </c>
      <c r="AS308" s="2994">
        <v>86.446799999999996</v>
      </c>
      <c r="AT308" s="2994">
        <v>83.153800000000004</v>
      </c>
      <c r="AU308" s="2994">
        <v>85.860200000000006</v>
      </c>
      <c r="AV308" s="2994">
        <v>84.313199999999995</v>
      </c>
      <c r="AW308" s="2994">
        <v>76.414299999999997</v>
      </c>
      <c r="AX308" s="2994">
        <v>71.313699999999997</v>
      </c>
      <c r="AY308" s="2994">
        <v>81.378500000000003</v>
      </c>
      <c r="AZ308" s="2994">
        <v>77.958799999999997</v>
      </c>
      <c r="BA308" s="2994">
        <v>71.286900000000003</v>
      </c>
      <c r="BB308" s="2994">
        <v>78.062299999999993</v>
      </c>
      <c r="BC308" s="2994">
        <v>69.895099999999999</v>
      </c>
      <c r="BD308" s="3471">
        <v>75.484399999999994</v>
      </c>
      <c r="BE308" s="3471">
        <v>80.056799999999996</v>
      </c>
      <c r="BF308" s="3471">
        <v>75.710400000000007</v>
      </c>
    </row>
    <row r="309" spans="1:58">
      <c r="A309" s="1817" t="str">
        <f t="shared" si="9"/>
        <v>Northern AmericaSugar crops, nes</v>
      </c>
      <c r="B309" s="1818" t="s">
        <v>1318</v>
      </c>
      <c r="C309" s="1818" t="s">
        <v>7380</v>
      </c>
      <c r="D309" s="3463" t="str">
        <f>VLOOKUP(B309,List_Yield!$G$4:$J$14,4,FALSE)</f>
        <v>North America</v>
      </c>
      <c r="E309" s="3463" t="str">
        <f t="shared" si="8"/>
        <v>North AmericaSugar crops, nes</v>
      </c>
      <c r="F309" s="2994">
        <v>0</v>
      </c>
      <c r="G309" s="2994">
        <v>0</v>
      </c>
      <c r="H309" s="2994">
        <v>0</v>
      </c>
      <c r="I309" s="2994">
        <v>0</v>
      </c>
      <c r="J309" s="2994">
        <v>0</v>
      </c>
      <c r="K309" s="2994">
        <v>0</v>
      </c>
      <c r="L309" s="2994">
        <v>0</v>
      </c>
      <c r="M309" s="2994">
        <v>0</v>
      </c>
      <c r="N309" s="2994">
        <v>0</v>
      </c>
      <c r="O309" s="2994">
        <v>0</v>
      </c>
      <c r="P309" s="2994">
        <v>0</v>
      </c>
      <c r="Q309" s="2994">
        <v>0</v>
      </c>
      <c r="R309" s="2994">
        <v>0</v>
      </c>
      <c r="S309" s="2994">
        <v>0</v>
      </c>
      <c r="T309" s="2994">
        <v>0</v>
      </c>
      <c r="U309" s="2994">
        <v>0</v>
      </c>
      <c r="V309" s="2994">
        <v>0</v>
      </c>
      <c r="W309" s="2994">
        <v>0</v>
      </c>
      <c r="X309" s="2994">
        <v>0</v>
      </c>
      <c r="Y309" s="2994">
        <v>0</v>
      </c>
      <c r="Z309" s="2994">
        <v>0</v>
      </c>
      <c r="AA309" s="2994">
        <v>0</v>
      </c>
      <c r="AB309" s="2994">
        <v>0</v>
      </c>
      <c r="AC309" s="2994">
        <v>0</v>
      </c>
      <c r="AD309" s="2994">
        <v>0</v>
      </c>
      <c r="AE309" s="2994">
        <v>0</v>
      </c>
      <c r="AF309" s="2994">
        <v>0</v>
      </c>
      <c r="AG309" s="2994">
        <v>0</v>
      </c>
      <c r="AH309" s="2994">
        <v>0</v>
      </c>
      <c r="AI309" s="2994">
        <v>0</v>
      </c>
      <c r="AJ309" s="2994">
        <v>0</v>
      </c>
      <c r="AK309" s="2994">
        <v>0</v>
      </c>
      <c r="AL309" s="2994">
        <v>0</v>
      </c>
      <c r="AM309" s="2994">
        <v>0</v>
      </c>
      <c r="AN309" s="2994">
        <v>0</v>
      </c>
      <c r="AO309" s="2994">
        <v>0</v>
      </c>
      <c r="AP309" s="2994">
        <v>0</v>
      </c>
      <c r="AQ309" s="2994">
        <v>0</v>
      </c>
      <c r="AR309" s="2994">
        <v>0</v>
      </c>
      <c r="AS309" s="2994">
        <v>0</v>
      </c>
      <c r="AT309" s="2994">
        <v>0</v>
      </c>
      <c r="AU309" s="2994">
        <v>0</v>
      </c>
      <c r="AV309" s="2994">
        <v>0</v>
      </c>
      <c r="AW309" s="2994">
        <v>0</v>
      </c>
      <c r="AX309" s="2994">
        <v>0</v>
      </c>
      <c r="AY309" s="2994">
        <v>0</v>
      </c>
      <c r="AZ309" s="2994">
        <v>0</v>
      </c>
      <c r="BA309" s="2994">
        <v>0</v>
      </c>
      <c r="BB309" s="2994">
        <v>0</v>
      </c>
      <c r="BC309" s="2994">
        <v>0</v>
      </c>
      <c r="BD309" s="3471">
        <v>0</v>
      </c>
      <c r="BE309" s="3471">
        <v>0</v>
      </c>
      <c r="BF309" s="3471">
        <v>0</v>
      </c>
    </row>
    <row r="310" spans="1:58">
      <c r="A310" s="1817" t="str">
        <f t="shared" si="9"/>
        <v>Northern AmericaSunflower seed</v>
      </c>
      <c r="B310" s="1818" t="s">
        <v>1318</v>
      </c>
      <c r="C310" s="1818" t="s">
        <v>1376</v>
      </c>
      <c r="D310" s="3463" t="str">
        <f>VLOOKUP(B310,List_Yield!$G$4:$J$14,4,FALSE)</f>
        <v>North America</v>
      </c>
      <c r="E310" s="3463" t="str">
        <f t="shared" si="8"/>
        <v>North AmericaSunflower seed</v>
      </c>
      <c r="F310" s="2994">
        <v>0.90939999999999999</v>
      </c>
      <c r="G310" s="2994">
        <v>0.98229999999999995</v>
      </c>
      <c r="H310" s="2994">
        <v>1.0913999999999999</v>
      </c>
      <c r="I310" s="2994">
        <v>0.58440000000000003</v>
      </c>
      <c r="J310" s="2994">
        <v>0.68799999999999994</v>
      </c>
      <c r="K310" s="2994">
        <v>0.88219999999999998</v>
      </c>
      <c r="L310" s="2994">
        <v>1.1132</v>
      </c>
      <c r="M310" s="2994">
        <v>1.0551999999999999</v>
      </c>
      <c r="N310" s="2994">
        <v>0.99</v>
      </c>
      <c r="O310" s="2994">
        <v>0.97829999999999995</v>
      </c>
      <c r="P310" s="2994">
        <v>1.0345</v>
      </c>
      <c r="Q310" s="2994">
        <v>0.98609999999999998</v>
      </c>
      <c r="R310" s="2994">
        <v>1.1068</v>
      </c>
      <c r="S310" s="2994">
        <v>1.0992</v>
      </c>
      <c r="T310" s="2994">
        <v>1.1341000000000001</v>
      </c>
      <c r="U310" s="2994">
        <v>1.0939000000000001</v>
      </c>
      <c r="V310" s="2994">
        <v>1.4705999999999999</v>
      </c>
      <c r="W310" s="2994">
        <v>1.5878000000000001</v>
      </c>
      <c r="X310" s="2994">
        <v>1.5007999999999999</v>
      </c>
      <c r="Y310" s="2994">
        <v>1.1453</v>
      </c>
      <c r="Z310" s="2994">
        <v>1.2974000000000001</v>
      </c>
      <c r="AA310" s="2994">
        <v>1.2638</v>
      </c>
      <c r="AB310" s="2994">
        <v>1.1731</v>
      </c>
      <c r="AC310" s="2994">
        <v>1.1334</v>
      </c>
      <c r="AD310" s="2994">
        <v>1.2402</v>
      </c>
      <c r="AE310" s="2994">
        <v>1.5302</v>
      </c>
      <c r="AF310" s="2994">
        <v>1.6418999999999999</v>
      </c>
      <c r="AG310" s="2994">
        <v>1.0522</v>
      </c>
      <c r="AH310" s="2994">
        <v>1.1158999999999999</v>
      </c>
      <c r="AI310" s="2994">
        <v>1.4036999999999999</v>
      </c>
      <c r="AJ310" s="2994">
        <v>1.5236000000000001</v>
      </c>
      <c r="AK310" s="2994">
        <v>1.3988</v>
      </c>
      <c r="AL310" s="2994">
        <v>1.1496999999999999</v>
      </c>
      <c r="AM310" s="2994">
        <v>1.5707</v>
      </c>
      <c r="AN310" s="2994">
        <v>1.3391</v>
      </c>
      <c r="AO310" s="2994">
        <v>1.5643</v>
      </c>
      <c r="AP310" s="2994">
        <v>1.4679</v>
      </c>
      <c r="AQ310" s="2994">
        <v>1.6895</v>
      </c>
      <c r="AR310" s="2994">
        <v>1.421</v>
      </c>
      <c r="AS310" s="2994">
        <v>1.5148999999999999</v>
      </c>
      <c r="AT310" s="2994">
        <v>1.5029999999999999</v>
      </c>
      <c r="AU310" s="2994">
        <v>1.3064</v>
      </c>
      <c r="AV310" s="2994">
        <v>1.3584000000000001</v>
      </c>
      <c r="AW310" s="2994">
        <v>1.3129999999999999</v>
      </c>
      <c r="AX310" s="2994">
        <v>1.6916</v>
      </c>
      <c r="AY310" s="2994">
        <v>1.4240999999999999</v>
      </c>
      <c r="AZ310" s="2994">
        <v>1.5967</v>
      </c>
      <c r="BA310" s="2994">
        <v>1.6031</v>
      </c>
      <c r="BB310" s="2994">
        <v>1.732</v>
      </c>
      <c r="BC310" s="2994">
        <v>1.6158999999999999</v>
      </c>
      <c r="BD310" s="3471">
        <v>1.5641</v>
      </c>
      <c r="BE310" s="3471">
        <v>1.7209000000000001</v>
      </c>
      <c r="BF310" s="3471">
        <v>1.5620000000000001</v>
      </c>
    </row>
    <row r="311" spans="1:58">
      <c r="A311" s="1817" t="str">
        <f t="shared" si="9"/>
        <v>Northern AmericaSweet potatoes</v>
      </c>
      <c r="B311" s="1818" t="s">
        <v>1318</v>
      </c>
      <c r="C311" s="1818" t="s">
        <v>1377</v>
      </c>
      <c r="D311" s="3463" t="str">
        <f>VLOOKUP(B311,List_Yield!$G$4:$J$14,4,FALSE)</f>
        <v>North America</v>
      </c>
      <c r="E311" s="3463" t="str">
        <f t="shared" si="8"/>
        <v>North AmericaSweet potatoes</v>
      </c>
      <c r="F311" s="2994">
        <v>8.8217999999999996</v>
      </c>
      <c r="G311" s="2994">
        <v>9.4732000000000003</v>
      </c>
      <c r="H311" s="2994">
        <v>9.4242000000000008</v>
      </c>
      <c r="I311" s="2994">
        <v>9.6164000000000005</v>
      </c>
      <c r="J311" s="2994">
        <v>10.314399999999999</v>
      </c>
      <c r="K311" s="2994">
        <v>9.9237000000000002</v>
      </c>
      <c r="L311" s="2994">
        <v>10.836399999999999</v>
      </c>
      <c r="M311" s="2994">
        <v>11.0907</v>
      </c>
      <c r="N311" s="2994">
        <v>11.561299999999999</v>
      </c>
      <c r="O311" s="2994">
        <v>11.591799999999999</v>
      </c>
      <c r="P311" s="2994">
        <v>11.443899999999999</v>
      </c>
      <c r="Q311" s="2994">
        <v>12.0426</v>
      </c>
      <c r="R311" s="2994">
        <v>12.2121</v>
      </c>
      <c r="S311" s="2994">
        <v>12.6624</v>
      </c>
      <c r="T311" s="2994">
        <v>12.6447</v>
      </c>
      <c r="U311" s="2994">
        <v>12.9725</v>
      </c>
      <c r="V311" s="2994">
        <v>12.4505</v>
      </c>
      <c r="W311" s="2994">
        <v>13.099</v>
      </c>
      <c r="X311" s="2994">
        <v>13.117800000000001</v>
      </c>
      <c r="Y311" s="2994">
        <v>12.0114</v>
      </c>
      <c r="Z311" s="2994">
        <v>13.065799999999999</v>
      </c>
      <c r="AA311" s="2994">
        <v>14.4062</v>
      </c>
      <c r="AB311" s="2994">
        <v>13.2209</v>
      </c>
      <c r="AC311" s="2994">
        <v>14.048400000000001</v>
      </c>
      <c r="AD311" s="2994">
        <v>15.8035</v>
      </c>
      <c r="AE311" s="2994">
        <v>15.248799999999999</v>
      </c>
      <c r="AF311" s="2994">
        <v>14.629099999999999</v>
      </c>
      <c r="AG311" s="2994">
        <v>14.3446</v>
      </c>
      <c r="AH311" s="2994">
        <v>14.800700000000001</v>
      </c>
      <c r="AI311" s="2994">
        <v>15.778700000000001</v>
      </c>
      <c r="AJ311" s="2994">
        <v>16.125800000000002</v>
      </c>
      <c r="AK311" s="2994">
        <v>16.325800000000001</v>
      </c>
      <c r="AL311" s="2994">
        <v>15.4519</v>
      </c>
      <c r="AM311" s="2994">
        <v>18.131399999999999</v>
      </c>
      <c r="AN311" s="2994">
        <v>17.291499999999999</v>
      </c>
      <c r="AO311" s="2994">
        <v>17.697700000000001</v>
      </c>
      <c r="AP311" s="2994">
        <v>18.1952</v>
      </c>
      <c r="AQ311" s="2994">
        <v>16.561199999999999</v>
      </c>
      <c r="AR311" s="2994">
        <v>16.498699999999999</v>
      </c>
      <c r="AS311" s="2994">
        <v>16.2912</v>
      </c>
      <c r="AT311" s="2994">
        <v>17.380299999999998</v>
      </c>
      <c r="AU311" s="2994">
        <v>17.429300000000001</v>
      </c>
      <c r="AV311" s="2994">
        <v>19.231999999999999</v>
      </c>
      <c r="AW311" s="2994">
        <v>19.457999999999998</v>
      </c>
      <c r="AX311" s="2994">
        <v>19.942599999999999</v>
      </c>
      <c r="AY311" s="2994">
        <v>21.055700000000002</v>
      </c>
      <c r="AZ311" s="2994">
        <v>20.791899999999998</v>
      </c>
      <c r="BA311" s="2994">
        <v>21.243200000000002</v>
      </c>
      <c r="BB311" s="2994">
        <v>22.517600000000002</v>
      </c>
      <c r="BC311" s="2994">
        <v>22.860199999999999</v>
      </c>
      <c r="BD311" s="3471">
        <v>23.299399999999999</v>
      </c>
      <c r="BE311" s="3471">
        <v>23.4434</v>
      </c>
      <c r="BF311" s="3471">
        <v>24.5365</v>
      </c>
    </row>
    <row r="312" spans="1:58">
      <c r="A312" s="1817" t="str">
        <f t="shared" si="9"/>
        <v>Northern AmericaTallowtree seed</v>
      </c>
      <c r="B312" s="1818" t="s">
        <v>1318</v>
      </c>
      <c r="C312" s="1818" t="s">
        <v>7381</v>
      </c>
      <c r="D312" s="3463" t="str">
        <f>VLOOKUP(B312,List_Yield!$G$4:$J$14,4,FALSE)</f>
        <v>North America</v>
      </c>
      <c r="E312" s="3463" t="str">
        <f t="shared" si="8"/>
        <v>North AmericaTallowtree seed</v>
      </c>
      <c r="F312" s="2994">
        <v>0</v>
      </c>
      <c r="G312" s="2994">
        <v>0</v>
      </c>
      <c r="H312" s="2994">
        <v>0</v>
      </c>
      <c r="I312" s="2994">
        <v>0</v>
      </c>
      <c r="J312" s="2994">
        <v>0</v>
      </c>
      <c r="K312" s="2994">
        <v>0</v>
      </c>
      <c r="L312" s="2994">
        <v>0</v>
      </c>
      <c r="M312" s="2994">
        <v>0</v>
      </c>
      <c r="N312" s="2994">
        <v>0</v>
      </c>
      <c r="O312" s="2994">
        <v>0</v>
      </c>
      <c r="P312" s="2994">
        <v>0</v>
      </c>
      <c r="Q312" s="2994">
        <v>0</v>
      </c>
      <c r="R312" s="2994">
        <v>0</v>
      </c>
      <c r="S312" s="2994">
        <v>0</v>
      </c>
      <c r="T312" s="2994">
        <v>0</v>
      </c>
      <c r="U312" s="2994">
        <v>0</v>
      </c>
      <c r="V312" s="2994">
        <v>0</v>
      </c>
      <c r="W312" s="2994">
        <v>0</v>
      </c>
      <c r="X312" s="2994">
        <v>0</v>
      </c>
      <c r="Y312" s="2994">
        <v>0</v>
      </c>
      <c r="Z312" s="2994">
        <v>0</v>
      </c>
      <c r="AA312" s="2994">
        <v>0</v>
      </c>
      <c r="AB312" s="2994">
        <v>0</v>
      </c>
      <c r="AC312" s="2994">
        <v>0</v>
      </c>
      <c r="AD312" s="2994">
        <v>0</v>
      </c>
      <c r="AE312" s="2994">
        <v>0</v>
      </c>
      <c r="AF312" s="2994">
        <v>0</v>
      </c>
      <c r="AG312" s="2994">
        <v>0</v>
      </c>
      <c r="AH312" s="2994">
        <v>0</v>
      </c>
      <c r="AI312" s="2994">
        <v>0</v>
      </c>
      <c r="AJ312" s="2994">
        <v>0</v>
      </c>
      <c r="AK312" s="2994">
        <v>0</v>
      </c>
      <c r="AL312" s="2994">
        <v>0</v>
      </c>
      <c r="AM312" s="2994">
        <v>0</v>
      </c>
      <c r="AN312" s="2994">
        <v>0</v>
      </c>
      <c r="AO312" s="2994">
        <v>0</v>
      </c>
      <c r="AP312" s="2994">
        <v>0</v>
      </c>
      <c r="AQ312" s="2994">
        <v>0</v>
      </c>
      <c r="AR312" s="2994">
        <v>0</v>
      </c>
      <c r="AS312" s="2994">
        <v>0</v>
      </c>
      <c r="AT312" s="2994">
        <v>0</v>
      </c>
      <c r="AU312" s="2994">
        <v>0</v>
      </c>
      <c r="AV312" s="2994">
        <v>0</v>
      </c>
      <c r="AW312" s="2994">
        <v>0</v>
      </c>
      <c r="AX312" s="2994">
        <v>0</v>
      </c>
      <c r="AY312" s="2994">
        <v>0</v>
      </c>
      <c r="AZ312" s="2994">
        <v>0</v>
      </c>
      <c r="BA312" s="2994">
        <v>0</v>
      </c>
      <c r="BB312" s="2994">
        <v>0</v>
      </c>
      <c r="BC312" s="2994">
        <v>0</v>
      </c>
      <c r="BD312" s="3471">
        <v>0</v>
      </c>
      <c r="BE312" s="3471">
        <v>0</v>
      </c>
      <c r="BF312" s="3471">
        <v>0</v>
      </c>
    </row>
    <row r="313" spans="1:58">
      <c r="A313" s="1817" t="str">
        <f t="shared" si="9"/>
        <v>Northern AmericaTangerines, mandarins, clementines, satsumas</v>
      </c>
      <c r="B313" s="1818" t="s">
        <v>1318</v>
      </c>
      <c r="C313" s="1818" t="s">
        <v>7382</v>
      </c>
      <c r="D313" s="3463" t="str">
        <f>VLOOKUP(B313,List_Yield!$G$4:$J$14,4,FALSE)</f>
        <v>North America</v>
      </c>
      <c r="E313" s="3463" t="str">
        <f t="shared" si="8"/>
        <v>North AmericaTangerines, mandarins, clementines, satsumas</v>
      </c>
      <c r="F313" s="2994">
        <v>12.7285</v>
      </c>
      <c r="G313" s="2994">
        <v>12.5009</v>
      </c>
      <c r="H313" s="2994">
        <v>8.0632000000000001</v>
      </c>
      <c r="I313" s="2994">
        <v>14.001200000000001</v>
      </c>
      <c r="J313" s="2994">
        <v>13.7524</v>
      </c>
      <c r="K313" s="2994">
        <v>22.342500000000001</v>
      </c>
      <c r="L313" s="2994">
        <v>23.605399999999999</v>
      </c>
      <c r="M313" s="2994">
        <v>18.324400000000001</v>
      </c>
      <c r="N313" s="2994">
        <v>17.079499999999999</v>
      </c>
      <c r="O313" s="2994">
        <v>17.6007</v>
      </c>
      <c r="P313" s="2994">
        <v>17.510100000000001</v>
      </c>
      <c r="Q313" s="2994">
        <v>18.311599999999999</v>
      </c>
      <c r="R313" s="2994">
        <v>17.522500000000001</v>
      </c>
      <c r="S313" s="2994">
        <v>18.167200000000001</v>
      </c>
      <c r="T313" s="2994">
        <v>19.328199999999999</v>
      </c>
      <c r="U313" s="2994">
        <v>21.995899999999999</v>
      </c>
      <c r="V313" s="2994">
        <v>19.799800000000001</v>
      </c>
      <c r="W313" s="2994">
        <v>22.420200000000001</v>
      </c>
      <c r="X313" s="2994">
        <v>22.520700000000001</v>
      </c>
      <c r="Y313" s="2994">
        <v>29.9283</v>
      </c>
      <c r="Z313" s="2994">
        <v>22.8218</v>
      </c>
      <c r="AA313" s="2994">
        <v>22.728100000000001</v>
      </c>
      <c r="AB313" s="2994">
        <v>24.0639</v>
      </c>
      <c r="AC313" s="2994">
        <v>24.21</v>
      </c>
      <c r="AD313" s="2994">
        <v>24.6877</v>
      </c>
      <c r="AE313" s="2994">
        <v>25.822600000000001</v>
      </c>
      <c r="AF313" s="2994">
        <v>32.917200000000001</v>
      </c>
      <c r="AG313" s="2994">
        <v>33.273000000000003</v>
      </c>
      <c r="AH313" s="2994">
        <v>34.066099999999999</v>
      </c>
      <c r="AI313" s="2994">
        <v>21.932700000000001</v>
      </c>
      <c r="AJ313" s="2994">
        <v>24.982700000000001</v>
      </c>
      <c r="AK313" s="2994">
        <v>26.401399999999999</v>
      </c>
      <c r="AL313" s="2994">
        <v>25.210100000000001</v>
      </c>
      <c r="AM313" s="2994">
        <v>26.6357</v>
      </c>
      <c r="AN313" s="2994">
        <v>22.7529</v>
      </c>
      <c r="AO313" s="2994">
        <v>21.5365</v>
      </c>
      <c r="AP313" s="2994">
        <v>27.5288</v>
      </c>
      <c r="AQ313" s="2994">
        <v>22.029699999999998</v>
      </c>
      <c r="AR313" s="2994">
        <v>19.703499999999998</v>
      </c>
      <c r="AS313" s="2994">
        <v>35.613500000000002</v>
      </c>
      <c r="AT313" s="2994">
        <v>20.938199999999998</v>
      </c>
      <c r="AU313" s="2994">
        <v>24.9693</v>
      </c>
      <c r="AV313" s="2994">
        <v>23.3962</v>
      </c>
      <c r="AW313" s="2994">
        <v>25.822299999999998</v>
      </c>
      <c r="AX313" s="2994">
        <v>20.133199999999999</v>
      </c>
      <c r="AY313" s="2994">
        <v>26.482299999999999</v>
      </c>
      <c r="AZ313" s="2994">
        <v>21.989799999999999</v>
      </c>
      <c r="BA313" s="2994">
        <v>29.169599999999999</v>
      </c>
      <c r="BB313" s="2994">
        <v>22.467700000000001</v>
      </c>
      <c r="BC313" s="2994">
        <v>29.1709</v>
      </c>
      <c r="BD313" s="3471">
        <v>30.493200000000002</v>
      </c>
      <c r="BE313" s="3471">
        <v>27.6172</v>
      </c>
      <c r="BF313" s="3471">
        <v>0</v>
      </c>
    </row>
    <row r="314" spans="1:58">
      <c r="A314" s="1817" t="str">
        <f t="shared" si="9"/>
        <v>Northern AmericaTaro (cocoyam)</v>
      </c>
      <c r="B314" s="1818" t="s">
        <v>1318</v>
      </c>
      <c r="C314" s="1818" t="s">
        <v>7383</v>
      </c>
      <c r="D314" s="3463" t="str">
        <f>VLOOKUP(B314,List_Yield!$G$4:$J$14,4,FALSE)</f>
        <v>North America</v>
      </c>
      <c r="E314" s="3463" t="str">
        <f t="shared" si="8"/>
        <v>North AmericaTaro (cocoyam)</v>
      </c>
      <c r="F314" s="2994">
        <v>22.2759</v>
      </c>
      <c r="G314" s="2994">
        <v>22.681000000000001</v>
      </c>
      <c r="H314" s="2994">
        <v>22.874400000000001</v>
      </c>
      <c r="I314" s="2994">
        <v>22.304099999999998</v>
      </c>
      <c r="J314" s="2994">
        <v>24.2363</v>
      </c>
      <c r="K314" s="2994">
        <v>25.3614</v>
      </c>
      <c r="L314" s="2994">
        <v>23.0181</v>
      </c>
      <c r="M314" s="2994">
        <v>24.618500000000001</v>
      </c>
      <c r="N314" s="2994">
        <v>23.189699999999998</v>
      </c>
      <c r="O314" s="2994">
        <v>20.2944</v>
      </c>
      <c r="P314" s="2994">
        <v>20.7576</v>
      </c>
      <c r="Q314" s="2994">
        <v>22.411799999999999</v>
      </c>
      <c r="R314" s="2994">
        <v>20.744700000000002</v>
      </c>
      <c r="S314" s="2994">
        <v>21.627700000000001</v>
      </c>
      <c r="T314" s="2994">
        <v>18.691500000000001</v>
      </c>
      <c r="U314" s="2994">
        <v>18.132300000000001</v>
      </c>
      <c r="V314" s="2994">
        <v>18.6465</v>
      </c>
      <c r="W314" s="2994">
        <v>19.3172</v>
      </c>
      <c r="X314" s="2994">
        <v>18.601199999999999</v>
      </c>
      <c r="Y314" s="2994">
        <v>22.644400000000001</v>
      </c>
      <c r="Z314" s="2994">
        <v>20.428599999999999</v>
      </c>
      <c r="AA314" s="2994">
        <v>21.538499999999999</v>
      </c>
      <c r="AB314" s="2994">
        <v>17.019100000000002</v>
      </c>
      <c r="AC314" s="2994">
        <v>17.875</v>
      </c>
      <c r="AD314" s="2994">
        <v>19.4375</v>
      </c>
      <c r="AE314" s="2994">
        <v>17.9375</v>
      </c>
      <c r="AF314" s="2994">
        <v>17.875</v>
      </c>
      <c r="AG314" s="2994">
        <v>18.117599999999999</v>
      </c>
      <c r="AH314" s="2994">
        <v>17.352900000000002</v>
      </c>
      <c r="AI314" s="2994">
        <v>15.470599999999999</v>
      </c>
      <c r="AJ314" s="2994">
        <v>13.4091</v>
      </c>
      <c r="AK314" s="2994">
        <v>14.2273</v>
      </c>
      <c r="AL314" s="2994">
        <v>12.952400000000001</v>
      </c>
      <c r="AM314" s="2994">
        <v>13.85</v>
      </c>
      <c r="AN314" s="2994">
        <v>14</v>
      </c>
      <c r="AO314" s="2994">
        <v>12.333299999999999</v>
      </c>
      <c r="AP314" s="2994">
        <v>13.833299999999999</v>
      </c>
      <c r="AQ314" s="2994">
        <v>13.6</v>
      </c>
      <c r="AR314" s="2994">
        <v>15.4</v>
      </c>
      <c r="AS314" s="2994">
        <v>16.736799999999999</v>
      </c>
      <c r="AT314" s="2994">
        <v>16.1111</v>
      </c>
      <c r="AU314" s="2994">
        <v>16.2941</v>
      </c>
      <c r="AV314" s="2994">
        <v>13.3529</v>
      </c>
      <c r="AW314" s="2994">
        <v>15.7333</v>
      </c>
      <c r="AX314" s="2994">
        <v>12.066700000000001</v>
      </c>
      <c r="AY314" s="2994">
        <v>13.6</v>
      </c>
      <c r="AZ314" s="2994">
        <v>11.172800000000001</v>
      </c>
      <c r="BA314" s="2994">
        <v>12.1875</v>
      </c>
      <c r="BB314" s="2994">
        <v>10.0556</v>
      </c>
      <c r="BC314" s="2994">
        <v>9.3157999999999994</v>
      </c>
      <c r="BD314" s="3471">
        <v>9.3000000000000007</v>
      </c>
      <c r="BE314" s="3471">
        <v>9.8025000000000002</v>
      </c>
      <c r="BF314" s="3471">
        <v>8.6790000000000003</v>
      </c>
    </row>
    <row r="315" spans="1:58">
      <c r="A315" s="1817" t="str">
        <f t="shared" si="9"/>
        <v>Northern AmericaTea</v>
      </c>
      <c r="B315" s="1818" t="s">
        <v>1318</v>
      </c>
      <c r="C315" s="1818" t="s">
        <v>1379</v>
      </c>
      <c r="D315" s="3463" t="str">
        <f>VLOOKUP(B315,List_Yield!$G$4:$J$14,4,FALSE)</f>
        <v>North America</v>
      </c>
      <c r="E315" s="3463" t="str">
        <f t="shared" si="8"/>
        <v>North AmericaTea</v>
      </c>
      <c r="F315" s="2994">
        <v>0</v>
      </c>
      <c r="G315" s="2994">
        <v>0</v>
      </c>
      <c r="H315" s="2994">
        <v>0</v>
      </c>
      <c r="I315" s="2994">
        <v>0</v>
      </c>
      <c r="J315" s="2994">
        <v>0</v>
      </c>
      <c r="K315" s="2994">
        <v>0</v>
      </c>
      <c r="L315" s="2994">
        <v>0</v>
      </c>
      <c r="M315" s="2994">
        <v>0</v>
      </c>
      <c r="N315" s="2994">
        <v>0</v>
      </c>
      <c r="O315" s="2994">
        <v>0</v>
      </c>
      <c r="P315" s="2994">
        <v>0</v>
      </c>
      <c r="Q315" s="2994">
        <v>0</v>
      </c>
      <c r="R315" s="2994">
        <v>0</v>
      </c>
      <c r="S315" s="2994">
        <v>0</v>
      </c>
      <c r="T315" s="2994">
        <v>0</v>
      </c>
      <c r="U315" s="2994">
        <v>0</v>
      </c>
      <c r="V315" s="2994">
        <v>0</v>
      </c>
      <c r="W315" s="2994">
        <v>0</v>
      </c>
      <c r="X315" s="2994">
        <v>0</v>
      </c>
      <c r="Y315" s="2994">
        <v>0</v>
      </c>
      <c r="Z315" s="2994">
        <v>0</v>
      </c>
      <c r="AA315" s="2994">
        <v>0</v>
      </c>
      <c r="AB315" s="2994">
        <v>0</v>
      </c>
      <c r="AC315" s="2994">
        <v>0</v>
      </c>
      <c r="AD315" s="2994">
        <v>0</v>
      </c>
      <c r="AE315" s="2994">
        <v>0</v>
      </c>
      <c r="AF315" s="2994">
        <v>0</v>
      </c>
      <c r="AG315" s="2994">
        <v>0</v>
      </c>
      <c r="AH315" s="2994">
        <v>0</v>
      </c>
      <c r="AI315" s="2994">
        <v>0</v>
      </c>
      <c r="AJ315" s="2994">
        <v>0</v>
      </c>
      <c r="AK315" s="2994">
        <v>0</v>
      </c>
      <c r="AL315" s="2994">
        <v>0</v>
      </c>
      <c r="AM315" s="2994">
        <v>0</v>
      </c>
      <c r="AN315" s="2994">
        <v>0</v>
      </c>
      <c r="AO315" s="2994">
        <v>0</v>
      </c>
      <c r="AP315" s="2994">
        <v>0</v>
      </c>
      <c r="AQ315" s="2994">
        <v>0</v>
      </c>
      <c r="AR315" s="2994">
        <v>0</v>
      </c>
      <c r="AS315" s="2994">
        <v>0</v>
      </c>
      <c r="AT315" s="2994">
        <v>0</v>
      </c>
      <c r="AU315" s="2994">
        <v>0</v>
      </c>
      <c r="AV315" s="2994">
        <v>0</v>
      </c>
      <c r="AW315" s="2994">
        <v>0</v>
      </c>
      <c r="AX315" s="2994">
        <v>0</v>
      </c>
      <c r="AY315" s="2994">
        <v>0</v>
      </c>
      <c r="AZ315" s="2994">
        <v>0</v>
      </c>
      <c r="BA315" s="2994">
        <v>0</v>
      </c>
      <c r="BB315" s="2994">
        <v>0</v>
      </c>
      <c r="BC315" s="2994">
        <v>0</v>
      </c>
      <c r="BD315" s="3471">
        <v>0</v>
      </c>
      <c r="BE315" s="3471">
        <v>0</v>
      </c>
      <c r="BF315" s="3471">
        <v>0</v>
      </c>
    </row>
    <row r="316" spans="1:58">
      <c r="A316" s="1817" t="str">
        <f t="shared" si="9"/>
        <v>Northern AmericaTobacco, unmanufactured</v>
      </c>
      <c r="B316" s="1818" t="s">
        <v>1318</v>
      </c>
      <c r="C316" s="1818" t="s">
        <v>1321</v>
      </c>
      <c r="D316" s="3463" t="str">
        <f>VLOOKUP(B316,List_Yield!$G$4:$J$14,4,FALSE)</f>
        <v>North America</v>
      </c>
      <c r="E316" s="3463" t="str">
        <f t="shared" si="8"/>
        <v>North AmericaTobacco, unmanufactured</v>
      </c>
      <c r="F316" s="2994">
        <v>1.9407000000000001</v>
      </c>
      <c r="G316" s="2994">
        <v>2.0840000000000001</v>
      </c>
      <c r="H316" s="2994">
        <v>2.2107999999999999</v>
      </c>
      <c r="I316" s="2994">
        <v>2.2957000000000001</v>
      </c>
      <c r="J316" s="2994">
        <v>2.1204000000000001</v>
      </c>
      <c r="K316" s="2994">
        <v>2.1553</v>
      </c>
      <c r="L316" s="2994">
        <v>2.2212000000000001</v>
      </c>
      <c r="M316" s="2994">
        <v>2.1320999999999999</v>
      </c>
      <c r="N316" s="2994">
        <v>2.1869999999999998</v>
      </c>
      <c r="O316" s="2994">
        <v>2.3700999999999999</v>
      </c>
      <c r="P316" s="2994">
        <v>2.3130999999999999</v>
      </c>
      <c r="Q316" s="2994">
        <v>2.2945000000000002</v>
      </c>
      <c r="R316" s="2994">
        <v>2.2235999999999998</v>
      </c>
      <c r="S316" s="2994">
        <v>2.3222</v>
      </c>
      <c r="T316" s="2994">
        <v>2.2766000000000002</v>
      </c>
      <c r="U316" s="2994">
        <v>2.2787000000000002</v>
      </c>
      <c r="V316" s="2994">
        <v>2.2366000000000001</v>
      </c>
      <c r="W316" s="2994">
        <v>2.3580999999999999</v>
      </c>
      <c r="X316" s="2994">
        <v>2.0771999999999999</v>
      </c>
      <c r="Y316" s="2994">
        <v>2.1905999999999999</v>
      </c>
      <c r="Z316" s="2994">
        <v>2.3690000000000002</v>
      </c>
      <c r="AA316" s="2994">
        <v>2.4331999999999998</v>
      </c>
      <c r="AB316" s="2994">
        <v>2.0731000000000002</v>
      </c>
      <c r="AC316" s="2994">
        <v>2.4184999999999999</v>
      </c>
      <c r="AD316" s="2994">
        <v>2.4577</v>
      </c>
      <c r="AE316" s="2994">
        <v>2.2363</v>
      </c>
      <c r="AF316" s="2994">
        <v>2.2509999999999999</v>
      </c>
      <c r="AG316" s="2994">
        <v>2.3782000000000001</v>
      </c>
      <c r="AH316" s="2994">
        <v>2.2806000000000002</v>
      </c>
      <c r="AI316" s="2994">
        <v>2.4556</v>
      </c>
      <c r="AJ316" s="2994">
        <v>2.456</v>
      </c>
      <c r="AK316" s="2994">
        <v>2.4601999999999999</v>
      </c>
      <c r="AL316" s="2994">
        <v>2.4264000000000001</v>
      </c>
      <c r="AM316" s="2994">
        <v>2.6476999999999999</v>
      </c>
      <c r="AN316" s="2994">
        <v>2.2023000000000001</v>
      </c>
      <c r="AO316" s="2994">
        <v>2.3546</v>
      </c>
      <c r="AP316" s="2994">
        <v>2.4235000000000002</v>
      </c>
      <c r="AQ316" s="2994">
        <v>2.3405</v>
      </c>
      <c r="AR316" s="2994">
        <v>2.2864</v>
      </c>
      <c r="AS316" s="2994">
        <v>2.4828999999999999</v>
      </c>
      <c r="AT316" s="2994">
        <v>2.5573000000000001</v>
      </c>
      <c r="AU316" s="2994">
        <v>2.3437000000000001</v>
      </c>
      <c r="AV316" s="2994">
        <v>2.2501000000000002</v>
      </c>
      <c r="AW316" s="2994">
        <v>2.4466999999999999</v>
      </c>
      <c r="AX316" s="2994">
        <v>2.4634</v>
      </c>
      <c r="AY316" s="2994">
        <v>2.4361000000000002</v>
      </c>
      <c r="AZ316" s="2994">
        <v>2.4990999999999999</v>
      </c>
      <c r="BA316" s="2994">
        <v>2.5507</v>
      </c>
      <c r="BB316" s="2994">
        <v>2.6244000000000001</v>
      </c>
      <c r="BC316" s="2994">
        <v>2.4036</v>
      </c>
      <c r="BD316" s="3471">
        <v>2.0802</v>
      </c>
      <c r="BE316" s="3471">
        <v>2.5177</v>
      </c>
      <c r="BF316" s="3471">
        <v>0</v>
      </c>
    </row>
    <row r="317" spans="1:58">
      <c r="A317" s="1817" t="str">
        <f t="shared" si="9"/>
        <v>Northern AmericaTomatoes</v>
      </c>
      <c r="B317" s="1818" t="s">
        <v>1318</v>
      </c>
      <c r="C317" s="1818" t="s">
        <v>1380</v>
      </c>
      <c r="D317" s="3463" t="str">
        <f>VLOOKUP(B317,List_Yield!$G$4:$J$14,4,FALSE)</f>
        <v>North America</v>
      </c>
      <c r="E317" s="3463" t="str">
        <f t="shared" ref="E317:E380" si="10">CONCATENATE(D317,C317)</f>
        <v>North AmericaTomatoes</v>
      </c>
      <c r="F317" s="2994">
        <v>25.576899999999998</v>
      </c>
      <c r="G317" s="2994">
        <v>29.6602</v>
      </c>
      <c r="H317" s="2994">
        <v>27.9513</v>
      </c>
      <c r="I317" s="2994">
        <v>29.061</v>
      </c>
      <c r="J317" s="2994">
        <v>30.162700000000001</v>
      </c>
      <c r="K317" s="2994">
        <v>28.319800000000001</v>
      </c>
      <c r="L317" s="2994">
        <v>29.2544</v>
      </c>
      <c r="M317" s="2994">
        <v>34.269300000000001</v>
      </c>
      <c r="N317" s="2994">
        <v>31.327200000000001</v>
      </c>
      <c r="O317" s="2994">
        <v>34.1023</v>
      </c>
      <c r="P317" s="2994">
        <v>36.287799999999997</v>
      </c>
      <c r="Q317" s="2994">
        <v>36.795400000000001</v>
      </c>
      <c r="R317" s="2994">
        <v>35.728499999999997</v>
      </c>
      <c r="S317" s="2994">
        <v>38.5199</v>
      </c>
      <c r="T317" s="2994">
        <v>41.6648</v>
      </c>
      <c r="U317" s="2994">
        <v>38.702199999999998</v>
      </c>
      <c r="V317" s="2994">
        <v>41.675699999999999</v>
      </c>
      <c r="W317" s="2994">
        <v>39.367899999999999</v>
      </c>
      <c r="X317" s="2994">
        <v>43.273899999999998</v>
      </c>
      <c r="Y317" s="2994">
        <v>42.492400000000004</v>
      </c>
      <c r="Z317" s="2994">
        <v>40.893599999999999</v>
      </c>
      <c r="AA317" s="2994">
        <v>45.969200000000001</v>
      </c>
      <c r="AB317" s="2994">
        <v>44.833100000000002</v>
      </c>
      <c r="AC317" s="2994">
        <v>48.141199999999998</v>
      </c>
      <c r="AD317" s="2994">
        <v>49.0379</v>
      </c>
      <c r="AE317" s="2994">
        <v>51.936500000000002</v>
      </c>
      <c r="AF317" s="2994">
        <v>52.223700000000001</v>
      </c>
      <c r="AG317" s="2994">
        <v>48.5687</v>
      </c>
      <c r="AH317" s="2994">
        <v>53.626100000000001</v>
      </c>
      <c r="AI317" s="2994">
        <v>54.6496</v>
      </c>
      <c r="AJ317" s="2994">
        <v>56.887999999999998</v>
      </c>
      <c r="AK317" s="2994">
        <v>58.141800000000003</v>
      </c>
      <c r="AL317" s="2994">
        <v>57.995800000000003</v>
      </c>
      <c r="AM317" s="2994">
        <v>62.825600000000001</v>
      </c>
      <c r="AN317" s="2994">
        <v>61.027200000000001</v>
      </c>
      <c r="AO317" s="2994">
        <v>63.710799999999999</v>
      </c>
      <c r="AP317" s="2994">
        <v>65.162199999999999</v>
      </c>
      <c r="AQ317" s="2994">
        <v>59.700600000000001</v>
      </c>
      <c r="AR317" s="2994">
        <v>68.593100000000007</v>
      </c>
      <c r="AS317" s="2994">
        <v>75.548500000000004</v>
      </c>
      <c r="AT317" s="2994">
        <v>67.311800000000005</v>
      </c>
      <c r="AU317" s="2994">
        <v>75.915899999999993</v>
      </c>
      <c r="AV317" s="2994">
        <v>68.994500000000002</v>
      </c>
      <c r="AW317" s="2994">
        <v>81.370500000000007</v>
      </c>
      <c r="AX317" s="2994">
        <v>73.741500000000002</v>
      </c>
      <c r="AY317" s="2994">
        <v>73.790999999999997</v>
      </c>
      <c r="AZ317" s="2994">
        <v>84.025899999999993</v>
      </c>
      <c r="BA317" s="2994">
        <v>79.1875</v>
      </c>
      <c r="BB317" s="2994">
        <v>80.138400000000004</v>
      </c>
      <c r="BC317" s="2994">
        <v>80.808700000000002</v>
      </c>
      <c r="BD317" s="3471">
        <v>84.844999999999999</v>
      </c>
      <c r="BE317" s="3471">
        <v>87.447199999999995</v>
      </c>
      <c r="BF317" s="3471">
        <v>0</v>
      </c>
    </row>
    <row r="318" spans="1:58">
      <c r="A318" s="1817" t="str">
        <f t="shared" si="9"/>
        <v>Northern AmericaTriticale</v>
      </c>
      <c r="B318" s="1818" t="s">
        <v>1318</v>
      </c>
      <c r="C318" s="1818" t="s">
        <v>1335</v>
      </c>
      <c r="D318" s="3463" t="str">
        <f>VLOOKUP(B318,List_Yield!$G$4:$J$14,4,FALSE)</f>
        <v>North America</v>
      </c>
      <c r="E318" s="3463" t="str">
        <f t="shared" si="10"/>
        <v>North AmericaTriticale</v>
      </c>
      <c r="F318" s="2994">
        <v>0</v>
      </c>
      <c r="G318" s="2994">
        <v>0</v>
      </c>
      <c r="H318" s="2994">
        <v>0</v>
      </c>
      <c r="I318" s="2994">
        <v>0</v>
      </c>
      <c r="J318" s="2994">
        <v>0</v>
      </c>
      <c r="K318" s="2994">
        <v>0</v>
      </c>
      <c r="L318" s="2994">
        <v>0</v>
      </c>
      <c r="M318" s="2994">
        <v>0</v>
      </c>
      <c r="N318" s="2994">
        <v>0</v>
      </c>
      <c r="O318" s="2994">
        <v>0</v>
      </c>
      <c r="P318" s="2994">
        <v>0</v>
      </c>
      <c r="Q318" s="2994">
        <v>0</v>
      </c>
      <c r="R318" s="2994">
        <v>0</v>
      </c>
      <c r="S318" s="2994">
        <v>0</v>
      </c>
      <c r="T318" s="2994">
        <v>0</v>
      </c>
      <c r="U318" s="2994">
        <v>0</v>
      </c>
      <c r="V318" s="2994">
        <v>0</v>
      </c>
      <c r="W318" s="2994">
        <v>0</v>
      </c>
      <c r="X318" s="2994">
        <v>0</v>
      </c>
      <c r="Y318" s="2994">
        <v>0</v>
      </c>
      <c r="Z318" s="2994">
        <v>0</v>
      </c>
      <c r="AA318" s="2994">
        <v>0</v>
      </c>
      <c r="AB318" s="2994">
        <v>0</v>
      </c>
      <c r="AC318" s="2994">
        <v>0</v>
      </c>
      <c r="AD318" s="2994">
        <v>0</v>
      </c>
      <c r="AE318" s="2994">
        <v>0</v>
      </c>
      <c r="AF318" s="2994">
        <v>0</v>
      </c>
      <c r="AG318" s="2994">
        <v>0</v>
      </c>
      <c r="AH318" s="2994">
        <v>2.1958000000000002</v>
      </c>
      <c r="AI318" s="2994">
        <v>2.6396999999999999</v>
      </c>
      <c r="AJ318" s="2994">
        <v>2.1958000000000002</v>
      </c>
      <c r="AK318" s="2994">
        <v>2.3332999999999999</v>
      </c>
      <c r="AL318" s="2994">
        <v>2.3923000000000001</v>
      </c>
      <c r="AM318" s="2994">
        <v>2.2993999999999999</v>
      </c>
      <c r="AN318" s="2994">
        <v>2.4182000000000001</v>
      </c>
      <c r="AO318" s="2994">
        <v>2.1204999999999998</v>
      </c>
      <c r="AP318" s="2994">
        <v>2.0667</v>
      </c>
      <c r="AQ318" s="2994">
        <v>2.4028</v>
      </c>
      <c r="AR318" s="2994">
        <v>3.0264000000000002</v>
      </c>
      <c r="AS318" s="2994">
        <v>2.4643000000000002</v>
      </c>
      <c r="AT318" s="2994">
        <v>2.4186000000000001</v>
      </c>
      <c r="AU318" s="2994">
        <v>1.9549000000000001</v>
      </c>
      <c r="AV318" s="2994">
        <v>1.9167000000000001</v>
      </c>
      <c r="AW318" s="2994">
        <v>2.8269000000000002</v>
      </c>
      <c r="AX318" s="2994">
        <v>2.5411999999999999</v>
      </c>
      <c r="AY318" s="2994">
        <v>2.2048999999999999</v>
      </c>
      <c r="AZ318" s="2994">
        <v>2.3267000000000002</v>
      </c>
      <c r="BA318" s="2994">
        <v>2.3986999999999998</v>
      </c>
      <c r="BB318" s="2994">
        <v>2.4792999999999998</v>
      </c>
      <c r="BC318" s="2994">
        <v>2.9729999999999999</v>
      </c>
      <c r="BD318" s="3471">
        <v>2.3731</v>
      </c>
      <c r="BE318" s="3471">
        <v>2.7385000000000002</v>
      </c>
      <c r="BF318" s="3471">
        <v>2.5964999999999998</v>
      </c>
    </row>
    <row r="319" spans="1:58">
      <c r="A319" s="1817" t="str">
        <f t="shared" si="9"/>
        <v>Northern AmericaTung nuts</v>
      </c>
      <c r="B319" s="1818" t="s">
        <v>1318</v>
      </c>
      <c r="C319" s="1818" t="s">
        <v>7384</v>
      </c>
      <c r="D319" s="3463" t="str">
        <f>VLOOKUP(B319,List_Yield!$G$4:$J$14,4,FALSE)</f>
        <v>North America</v>
      </c>
      <c r="E319" s="3463" t="str">
        <f t="shared" si="10"/>
        <v>North AmericaTung nuts</v>
      </c>
      <c r="F319" s="2994">
        <v>0</v>
      </c>
      <c r="G319" s="2994">
        <v>0</v>
      </c>
      <c r="H319" s="2994">
        <v>0</v>
      </c>
      <c r="I319" s="2994">
        <v>0</v>
      </c>
      <c r="J319" s="2994">
        <v>0</v>
      </c>
      <c r="K319" s="2994">
        <v>0</v>
      </c>
      <c r="L319" s="2994">
        <v>0</v>
      </c>
      <c r="M319" s="2994">
        <v>0</v>
      </c>
      <c r="N319" s="2994">
        <v>0</v>
      </c>
      <c r="O319" s="2994">
        <v>0</v>
      </c>
      <c r="P319" s="2994">
        <v>0</v>
      </c>
      <c r="Q319" s="2994">
        <v>0</v>
      </c>
      <c r="R319" s="2994">
        <v>0</v>
      </c>
      <c r="S319" s="2994">
        <v>0</v>
      </c>
      <c r="T319" s="2994">
        <v>0</v>
      </c>
      <c r="U319" s="2994">
        <v>0</v>
      </c>
      <c r="V319" s="2994">
        <v>0</v>
      </c>
      <c r="W319" s="2994">
        <v>0</v>
      </c>
      <c r="X319" s="2994">
        <v>0</v>
      </c>
      <c r="Y319" s="2994">
        <v>0</v>
      </c>
      <c r="Z319" s="2994">
        <v>0</v>
      </c>
      <c r="AA319" s="2994">
        <v>0</v>
      </c>
      <c r="AB319" s="2994">
        <v>0</v>
      </c>
      <c r="AC319" s="2994">
        <v>0</v>
      </c>
      <c r="AD319" s="2994">
        <v>0</v>
      </c>
      <c r="AE319" s="2994">
        <v>0</v>
      </c>
      <c r="AF319" s="2994">
        <v>0</v>
      </c>
      <c r="AG319" s="2994">
        <v>0</v>
      </c>
      <c r="AH319" s="2994">
        <v>0</v>
      </c>
      <c r="AI319" s="2994">
        <v>0</v>
      </c>
      <c r="AJ319" s="2994">
        <v>0</v>
      </c>
      <c r="AK319" s="2994">
        <v>0</v>
      </c>
      <c r="AL319" s="2994">
        <v>0</v>
      </c>
      <c r="AM319" s="2994">
        <v>0</v>
      </c>
      <c r="AN319" s="2994">
        <v>0</v>
      </c>
      <c r="AO319" s="2994">
        <v>0</v>
      </c>
      <c r="AP319" s="2994">
        <v>0</v>
      </c>
      <c r="AQ319" s="2994">
        <v>0</v>
      </c>
      <c r="AR319" s="2994">
        <v>0</v>
      </c>
      <c r="AS319" s="2994">
        <v>0</v>
      </c>
      <c r="AT319" s="2994">
        <v>0</v>
      </c>
      <c r="AU319" s="2994">
        <v>0</v>
      </c>
      <c r="AV319" s="2994">
        <v>0</v>
      </c>
      <c r="AW319" s="2994">
        <v>0</v>
      </c>
      <c r="AX319" s="2994">
        <v>0</v>
      </c>
      <c r="AY319" s="2994">
        <v>0</v>
      </c>
      <c r="AZ319" s="2994">
        <v>0</v>
      </c>
      <c r="BA319" s="2994">
        <v>0</v>
      </c>
      <c r="BB319" s="2994">
        <v>0</v>
      </c>
      <c r="BC319" s="2994">
        <v>0</v>
      </c>
      <c r="BD319" s="3471">
        <v>0</v>
      </c>
      <c r="BE319" s="3471">
        <v>0</v>
      </c>
      <c r="BF319" s="3471">
        <v>0</v>
      </c>
    </row>
    <row r="320" spans="1:58">
      <c r="A320" s="1817" t="str">
        <f t="shared" si="9"/>
        <v>Northern AmericaVanilla</v>
      </c>
      <c r="B320" s="1818" t="s">
        <v>1318</v>
      </c>
      <c r="C320" s="1818" t="s">
        <v>7385</v>
      </c>
      <c r="D320" s="3463" t="str">
        <f>VLOOKUP(B320,List_Yield!$G$4:$J$14,4,FALSE)</f>
        <v>North America</v>
      </c>
      <c r="E320" s="3463" t="str">
        <f t="shared" si="10"/>
        <v>North AmericaVanilla</v>
      </c>
      <c r="F320" s="2994">
        <v>0</v>
      </c>
      <c r="G320" s="2994">
        <v>0</v>
      </c>
      <c r="H320" s="2994">
        <v>0</v>
      </c>
      <c r="I320" s="2994">
        <v>0</v>
      </c>
      <c r="J320" s="2994">
        <v>0</v>
      </c>
      <c r="K320" s="2994">
        <v>0</v>
      </c>
      <c r="L320" s="2994">
        <v>0</v>
      </c>
      <c r="M320" s="2994">
        <v>0</v>
      </c>
      <c r="N320" s="2994">
        <v>0</v>
      </c>
      <c r="O320" s="2994">
        <v>0</v>
      </c>
      <c r="P320" s="2994">
        <v>0</v>
      </c>
      <c r="Q320" s="2994">
        <v>0</v>
      </c>
      <c r="R320" s="2994">
        <v>0</v>
      </c>
      <c r="S320" s="2994">
        <v>0</v>
      </c>
      <c r="T320" s="2994">
        <v>0</v>
      </c>
      <c r="U320" s="2994">
        <v>0</v>
      </c>
      <c r="V320" s="2994">
        <v>0</v>
      </c>
      <c r="W320" s="2994">
        <v>0</v>
      </c>
      <c r="X320" s="2994">
        <v>0</v>
      </c>
      <c r="Y320" s="2994">
        <v>0</v>
      </c>
      <c r="Z320" s="2994">
        <v>0</v>
      </c>
      <c r="AA320" s="2994">
        <v>0</v>
      </c>
      <c r="AB320" s="2994">
        <v>0</v>
      </c>
      <c r="AC320" s="2994">
        <v>0</v>
      </c>
      <c r="AD320" s="2994">
        <v>0</v>
      </c>
      <c r="AE320" s="2994">
        <v>0</v>
      </c>
      <c r="AF320" s="2994">
        <v>0</v>
      </c>
      <c r="AG320" s="2994">
        <v>0</v>
      </c>
      <c r="AH320" s="2994">
        <v>0</v>
      </c>
      <c r="AI320" s="2994">
        <v>0</v>
      </c>
      <c r="AJ320" s="2994">
        <v>0</v>
      </c>
      <c r="AK320" s="2994">
        <v>0</v>
      </c>
      <c r="AL320" s="2994">
        <v>0</v>
      </c>
      <c r="AM320" s="2994">
        <v>0</v>
      </c>
      <c r="AN320" s="2994">
        <v>0</v>
      </c>
      <c r="AO320" s="2994">
        <v>0</v>
      </c>
      <c r="AP320" s="2994">
        <v>0</v>
      </c>
      <c r="AQ320" s="2994">
        <v>0</v>
      </c>
      <c r="AR320" s="2994">
        <v>0</v>
      </c>
      <c r="AS320" s="2994">
        <v>0</v>
      </c>
      <c r="AT320" s="2994">
        <v>0</v>
      </c>
      <c r="AU320" s="2994">
        <v>0</v>
      </c>
      <c r="AV320" s="2994">
        <v>0</v>
      </c>
      <c r="AW320" s="2994">
        <v>0</v>
      </c>
      <c r="AX320" s="2994">
        <v>0</v>
      </c>
      <c r="AY320" s="2994">
        <v>0</v>
      </c>
      <c r="AZ320" s="2994">
        <v>0</v>
      </c>
      <c r="BA320" s="2994">
        <v>0</v>
      </c>
      <c r="BB320" s="2994">
        <v>0</v>
      </c>
      <c r="BC320" s="2994">
        <v>0</v>
      </c>
      <c r="BD320" s="3471">
        <v>0</v>
      </c>
      <c r="BE320" s="3471">
        <v>0</v>
      </c>
      <c r="BF320" s="3471">
        <v>0</v>
      </c>
    </row>
    <row r="321" spans="1:58">
      <c r="A321" s="1817" t="str">
        <f t="shared" si="9"/>
        <v>Northern AmericaVegetables, fresh nes</v>
      </c>
      <c r="B321" s="1818" t="s">
        <v>1318</v>
      </c>
      <c r="C321" s="1818" t="s">
        <v>7386</v>
      </c>
      <c r="D321" s="3463" t="str">
        <f>VLOOKUP(B321,List_Yield!$G$4:$J$14,4,FALSE)</f>
        <v>North America</v>
      </c>
      <c r="E321" s="3463" t="str">
        <f t="shared" si="10"/>
        <v>North AmericaVegetables, fresh nes</v>
      </c>
      <c r="F321" s="2994">
        <v>23.119700000000002</v>
      </c>
      <c r="G321" s="2994">
        <v>24.118099999999998</v>
      </c>
      <c r="H321" s="2994">
        <v>23.685400000000001</v>
      </c>
      <c r="I321" s="2994">
        <v>23.706900000000001</v>
      </c>
      <c r="J321" s="2994">
        <v>24.0991</v>
      </c>
      <c r="K321" s="2994">
        <v>22.346900000000002</v>
      </c>
      <c r="L321" s="2994">
        <v>24.283100000000001</v>
      </c>
      <c r="M321" s="2994">
        <v>25.072199999999999</v>
      </c>
      <c r="N321" s="2994">
        <v>24.514800000000001</v>
      </c>
      <c r="O321" s="2994">
        <v>25.150400000000001</v>
      </c>
      <c r="P321" s="2994">
        <v>25.839700000000001</v>
      </c>
      <c r="Q321" s="2994">
        <v>25.909199999999998</v>
      </c>
      <c r="R321" s="2994">
        <v>30.340399999999999</v>
      </c>
      <c r="S321" s="2994">
        <v>27.655200000000001</v>
      </c>
      <c r="T321" s="2994">
        <v>32.824300000000001</v>
      </c>
      <c r="U321" s="2994">
        <v>26.738499999999998</v>
      </c>
      <c r="V321" s="2994">
        <v>26.775200000000002</v>
      </c>
      <c r="W321" s="2994">
        <v>24.0107</v>
      </c>
      <c r="X321" s="2994">
        <v>26.855799999999999</v>
      </c>
      <c r="Y321" s="2994">
        <v>26.868500000000001</v>
      </c>
      <c r="Z321" s="2994">
        <v>27.7453</v>
      </c>
      <c r="AA321" s="2994">
        <v>28.625699999999998</v>
      </c>
      <c r="AB321" s="2994">
        <v>28.728999999999999</v>
      </c>
      <c r="AC321" s="2994">
        <v>29.589500000000001</v>
      </c>
      <c r="AD321" s="2994">
        <v>32.603400000000001</v>
      </c>
      <c r="AE321" s="2994">
        <v>33.287100000000002</v>
      </c>
      <c r="AF321" s="2994">
        <v>33.379899999999999</v>
      </c>
      <c r="AG321" s="2994">
        <v>35.328499999999998</v>
      </c>
      <c r="AH321" s="2994">
        <v>38.784700000000001</v>
      </c>
      <c r="AI321" s="2994">
        <v>39.432499999999997</v>
      </c>
      <c r="AJ321" s="2994">
        <v>40.197899999999997</v>
      </c>
      <c r="AK321" s="2994">
        <v>48.725099999999998</v>
      </c>
      <c r="AL321" s="2994">
        <v>49.815899999999999</v>
      </c>
      <c r="AM321" s="2994">
        <v>48.578099999999999</v>
      </c>
      <c r="AN321" s="2994">
        <v>51.728299999999997</v>
      </c>
      <c r="AO321" s="2994">
        <v>50.842300000000002</v>
      </c>
      <c r="AP321" s="2994">
        <v>54.748199999999997</v>
      </c>
      <c r="AQ321" s="2994">
        <v>53.480200000000004</v>
      </c>
      <c r="AR321" s="2994">
        <v>51.4011</v>
      </c>
      <c r="AS321" s="2994">
        <v>62.581499999999998</v>
      </c>
      <c r="AT321" s="2994">
        <v>58.8767</v>
      </c>
      <c r="AU321" s="2994">
        <v>61.154499999999999</v>
      </c>
      <c r="AV321" s="2994">
        <v>61.871200000000002</v>
      </c>
      <c r="AW321" s="2994">
        <v>62.082799999999999</v>
      </c>
      <c r="AX321" s="2994">
        <v>61.3476</v>
      </c>
      <c r="AY321" s="2994">
        <v>61.276699999999998</v>
      </c>
      <c r="AZ321" s="2994">
        <v>63.808300000000003</v>
      </c>
      <c r="BA321" s="2994">
        <v>63.188400000000001</v>
      </c>
      <c r="BB321" s="2994">
        <v>60.825299999999999</v>
      </c>
      <c r="BC321" s="2994">
        <v>58.501899999999999</v>
      </c>
      <c r="BD321" s="3471">
        <v>62.453899999999997</v>
      </c>
      <c r="BE321" s="3471">
        <v>60.694099999999999</v>
      </c>
      <c r="BF321" s="3471">
        <v>0</v>
      </c>
    </row>
    <row r="322" spans="1:58">
      <c r="A322" s="1817" t="str">
        <f t="shared" ref="A322:A385" si="11">CONCATENATE(B322,C322)</f>
        <v>Northern AmericaVegetables, leguminous nes</v>
      </c>
      <c r="B322" s="1818" t="s">
        <v>1318</v>
      </c>
      <c r="C322" s="1818" t="s">
        <v>7387</v>
      </c>
      <c r="D322" s="3463" t="str">
        <f>VLOOKUP(B322,List_Yield!$G$4:$J$14,4,FALSE)</f>
        <v>North America</v>
      </c>
      <c r="E322" s="3463" t="str">
        <f t="shared" si="10"/>
        <v>North AmericaVegetables, leguminous nes</v>
      </c>
      <c r="F322" s="2994">
        <v>0</v>
      </c>
      <c r="G322" s="2994">
        <v>0</v>
      </c>
      <c r="H322" s="2994">
        <v>0</v>
      </c>
      <c r="I322" s="2994">
        <v>0</v>
      </c>
      <c r="J322" s="2994">
        <v>0</v>
      </c>
      <c r="K322" s="2994">
        <v>0</v>
      </c>
      <c r="L322" s="2994">
        <v>0</v>
      </c>
      <c r="M322" s="2994">
        <v>0</v>
      </c>
      <c r="N322" s="2994">
        <v>0</v>
      </c>
      <c r="O322" s="2994">
        <v>0</v>
      </c>
      <c r="P322" s="2994">
        <v>0</v>
      </c>
      <c r="Q322" s="2994">
        <v>0</v>
      </c>
      <c r="R322" s="2994">
        <v>0</v>
      </c>
      <c r="S322" s="2994">
        <v>0</v>
      </c>
      <c r="T322" s="2994">
        <v>0</v>
      </c>
      <c r="U322" s="2994">
        <v>0</v>
      </c>
      <c r="V322" s="2994">
        <v>0</v>
      </c>
      <c r="W322" s="2994">
        <v>0</v>
      </c>
      <c r="X322" s="2994">
        <v>0</v>
      </c>
      <c r="Y322" s="2994">
        <v>0</v>
      </c>
      <c r="Z322" s="2994">
        <v>0</v>
      </c>
      <c r="AA322" s="2994">
        <v>0</v>
      </c>
      <c r="AB322" s="2994">
        <v>0</v>
      </c>
      <c r="AC322" s="2994">
        <v>0</v>
      </c>
      <c r="AD322" s="2994">
        <v>0</v>
      </c>
      <c r="AE322" s="2994">
        <v>0</v>
      </c>
      <c r="AF322" s="2994">
        <v>0</v>
      </c>
      <c r="AG322" s="2994">
        <v>0</v>
      </c>
      <c r="AH322" s="2994">
        <v>0</v>
      </c>
      <c r="AI322" s="2994">
        <v>0</v>
      </c>
      <c r="AJ322" s="2994">
        <v>0</v>
      </c>
      <c r="AK322" s="2994">
        <v>0</v>
      </c>
      <c r="AL322" s="2994">
        <v>0</v>
      </c>
      <c r="AM322" s="2994">
        <v>0</v>
      </c>
      <c r="AN322" s="2994">
        <v>0</v>
      </c>
      <c r="AO322" s="2994">
        <v>0</v>
      </c>
      <c r="AP322" s="2994">
        <v>0</v>
      </c>
      <c r="AQ322" s="2994">
        <v>0</v>
      </c>
      <c r="AR322" s="2994">
        <v>0</v>
      </c>
      <c r="AS322" s="2994">
        <v>0</v>
      </c>
      <c r="AT322" s="2994">
        <v>0</v>
      </c>
      <c r="AU322" s="2994">
        <v>0</v>
      </c>
      <c r="AV322" s="2994">
        <v>0</v>
      </c>
      <c r="AW322" s="2994">
        <v>5.5503999999999998</v>
      </c>
      <c r="AX322" s="2994">
        <v>3.3018999999999998</v>
      </c>
      <c r="AY322" s="2994">
        <v>3.1440999999999999</v>
      </c>
      <c r="AZ322" s="2994">
        <v>3.1333000000000002</v>
      </c>
      <c r="BA322" s="2994">
        <v>3.1230000000000002</v>
      </c>
      <c r="BB322" s="2994">
        <v>3.1038000000000001</v>
      </c>
      <c r="BC322" s="2994">
        <v>3.0889000000000002</v>
      </c>
      <c r="BD322" s="3471">
        <v>3.1288999999999998</v>
      </c>
      <c r="BE322" s="3471">
        <v>3.0714000000000001</v>
      </c>
      <c r="BF322" s="3471">
        <v>0</v>
      </c>
    </row>
    <row r="323" spans="1:58">
      <c r="A323" s="1817" t="str">
        <f t="shared" si="11"/>
        <v>Northern AmericaVetches</v>
      </c>
      <c r="B323" s="1818" t="s">
        <v>1318</v>
      </c>
      <c r="C323" s="1818" t="s">
        <v>1382</v>
      </c>
      <c r="D323" s="3463" t="str">
        <f>VLOOKUP(B323,List_Yield!$G$4:$J$14,4,FALSE)</f>
        <v>North America</v>
      </c>
      <c r="E323" s="3463" t="str">
        <f t="shared" si="10"/>
        <v>North AmericaVetches</v>
      </c>
      <c r="F323" s="2994">
        <v>0</v>
      </c>
      <c r="G323" s="2994">
        <v>0</v>
      </c>
      <c r="H323" s="2994">
        <v>0</v>
      </c>
      <c r="I323" s="2994">
        <v>0</v>
      </c>
      <c r="J323" s="2994">
        <v>0</v>
      </c>
      <c r="K323" s="2994">
        <v>0</v>
      </c>
      <c r="L323" s="2994">
        <v>0</v>
      </c>
      <c r="M323" s="2994">
        <v>0</v>
      </c>
      <c r="N323" s="2994">
        <v>0</v>
      </c>
      <c r="O323" s="2994">
        <v>0</v>
      </c>
      <c r="P323" s="2994">
        <v>0</v>
      </c>
      <c r="Q323" s="2994">
        <v>0</v>
      </c>
      <c r="R323" s="2994">
        <v>0</v>
      </c>
      <c r="S323" s="2994">
        <v>0</v>
      </c>
      <c r="T323" s="2994">
        <v>0</v>
      </c>
      <c r="U323" s="2994">
        <v>0</v>
      </c>
      <c r="V323" s="2994">
        <v>0</v>
      </c>
      <c r="W323" s="2994">
        <v>0</v>
      </c>
      <c r="X323" s="2994">
        <v>0</v>
      </c>
      <c r="Y323" s="2994">
        <v>0</v>
      </c>
      <c r="Z323" s="2994">
        <v>0</v>
      </c>
      <c r="AA323" s="2994">
        <v>0</v>
      </c>
      <c r="AB323" s="2994">
        <v>0</v>
      </c>
      <c r="AC323" s="2994">
        <v>0</v>
      </c>
      <c r="AD323" s="2994">
        <v>0</v>
      </c>
      <c r="AE323" s="2994">
        <v>0</v>
      </c>
      <c r="AF323" s="2994">
        <v>0</v>
      </c>
      <c r="AG323" s="2994">
        <v>0</v>
      </c>
      <c r="AH323" s="2994">
        <v>0</v>
      </c>
      <c r="AI323" s="2994">
        <v>0</v>
      </c>
      <c r="AJ323" s="2994">
        <v>0</v>
      </c>
      <c r="AK323" s="2994">
        <v>0</v>
      </c>
      <c r="AL323" s="2994">
        <v>0</v>
      </c>
      <c r="AM323" s="2994">
        <v>0</v>
      </c>
      <c r="AN323" s="2994">
        <v>0</v>
      </c>
      <c r="AO323" s="2994">
        <v>0</v>
      </c>
      <c r="AP323" s="2994">
        <v>0</v>
      </c>
      <c r="AQ323" s="2994">
        <v>0</v>
      </c>
      <c r="AR323" s="2994">
        <v>0</v>
      </c>
      <c r="AS323" s="2994">
        <v>0</v>
      </c>
      <c r="AT323" s="2994">
        <v>0</v>
      </c>
      <c r="AU323" s="2994">
        <v>0</v>
      </c>
      <c r="AV323" s="2994">
        <v>0</v>
      </c>
      <c r="AW323" s="2994">
        <v>0</v>
      </c>
      <c r="AX323" s="2994">
        <v>0</v>
      </c>
      <c r="AY323" s="2994">
        <v>0</v>
      </c>
      <c r="AZ323" s="2994">
        <v>0</v>
      </c>
      <c r="BA323" s="2994">
        <v>0</v>
      </c>
      <c r="BB323" s="2994">
        <v>0</v>
      </c>
      <c r="BC323" s="2994">
        <v>0</v>
      </c>
      <c r="BD323" s="3471">
        <v>0</v>
      </c>
      <c r="BE323" s="3471">
        <v>0</v>
      </c>
      <c r="BF323" s="3471">
        <v>0</v>
      </c>
    </row>
    <row r="324" spans="1:58">
      <c r="A324" s="1817" t="str">
        <f t="shared" si="11"/>
        <v>Northern AmericaWalnuts, with shell</v>
      </c>
      <c r="B324" s="1818" t="s">
        <v>1318</v>
      </c>
      <c r="C324" s="1818" t="s">
        <v>7388</v>
      </c>
      <c r="D324" s="3463" t="str">
        <f>VLOOKUP(B324,List_Yield!$G$4:$J$14,4,FALSE)</f>
        <v>North America</v>
      </c>
      <c r="E324" s="3463" t="str">
        <f t="shared" si="10"/>
        <v>North AmericaWalnuts, with shell</v>
      </c>
      <c r="F324" s="2994">
        <v>1.0632999999999999</v>
      </c>
      <c r="G324" s="2994">
        <v>1.2543</v>
      </c>
      <c r="H324" s="2994">
        <v>1.3221000000000001</v>
      </c>
      <c r="I324" s="2994">
        <v>1.4119999999999999</v>
      </c>
      <c r="J324" s="2994">
        <v>1.2810999999999999</v>
      </c>
      <c r="K324" s="2994">
        <v>1.4781</v>
      </c>
      <c r="L324" s="2994">
        <v>1.1698</v>
      </c>
      <c r="M324" s="2994">
        <v>1.4559</v>
      </c>
      <c r="N324" s="2994">
        <v>1.5726</v>
      </c>
      <c r="O324" s="2994">
        <v>1.6358999999999999</v>
      </c>
      <c r="P324" s="2994">
        <v>1.9551000000000001</v>
      </c>
      <c r="Q324" s="2994">
        <v>1.6053999999999999</v>
      </c>
      <c r="R324" s="2994">
        <v>2.4039999999999999</v>
      </c>
      <c r="S324" s="2994">
        <v>2.0909</v>
      </c>
      <c r="T324" s="2994">
        <v>2.6233</v>
      </c>
      <c r="U324" s="2994">
        <v>2.3624999999999998</v>
      </c>
      <c r="V324" s="2994">
        <v>2.3866999999999998</v>
      </c>
      <c r="W324" s="2994">
        <v>1.9772000000000001</v>
      </c>
      <c r="X324" s="2994">
        <v>2.6019000000000001</v>
      </c>
      <c r="Y324" s="2994">
        <v>2.4548999999999999</v>
      </c>
      <c r="Z324" s="2994">
        <v>2.8805999999999998</v>
      </c>
      <c r="AA324" s="2994">
        <v>2.9470999999999998</v>
      </c>
      <c r="AB324" s="2994">
        <v>2.5348000000000002</v>
      </c>
      <c r="AC324" s="2994">
        <v>2.6821999999999999</v>
      </c>
      <c r="AD324" s="2994">
        <v>2.7429999999999999</v>
      </c>
      <c r="AE324" s="2994">
        <v>2.2418999999999998</v>
      </c>
      <c r="AF324" s="2994">
        <v>3.1452</v>
      </c>
      <c r="AG324" s="2994">
        <v>2.6469</v>
      </c>
      <c r="AH324" s="2994">
        <v>2.8672</v>
      </c>
      <c r="AI324" s="2994">
        <v>2.8109000000000002</v>
      </c>
      <c r="AJ324" s="2994">
        <v>3.2082000000000002</v>
      </c>
      <c r="AK324" s="2994">
        <v>2.5567000000000002</v>
      </c>
      <c r="AL324" s="2994">
        <v>3.1507999999999998</v>
      </c>
      <c r="AM324" s="2994">
        <v>2.7517999999999998</v>
      </c>
      <c r="AN324" s="2994">
        <v>2.7183000000000002</v>
      </c>
      <c r="AO324" s="2994">
        <v>2.4285999999999999</v>
      </c>
      <c r="AP324" s="2994">
        <v>3.0935999999999999</v>
      </c>
      <c r="AQ324" s="2994">
        <v>2.6023999999999998</v>
      </c>
      <c r="AR324" s="2994">
        <v>3.2444000000000002</v>
      </c>
      <c r="AS324" s="2994">
        <v>2.7761999999999998</v>
      </c>
      <c r="AT324" s="2994">
        <v>3.3515000000000001</v>
      </c>
      <c r="AU324" s="2994">
        <v>3.0103</v>
      </c>
      <c r="AV324" s="2994">
        <v>3.4308999999999998</v>
      </c>
      <c r="AW324" s="2994">
        <v>3.4043999999999999</v>
      </c>
      <c r="AX324" s="2994">
        <v>3.7014</v>
      </c>
      <c r="AY324" s="2994">
        <v>3.6493000000000002</v>
      </c>
      <c r="AZ324" s="2994">
        <v>3.3727999999999998</v>
      </c>
      <c r="BA324" s="2994">
        <v>4.3827999999999996</v>
      </c>
      <c r="BB324" s="2994">
        <v>4.3155999999999999</v>
      </c>
      <c r="BC324" s="2994">
        <v>4.7671000000000001</v>
      </c>
      <c r="BD324" s="3471">
        <v>4.2180999999999997</v>
      </c>
      <c r="BE324" s="3471">
        <v>4.3021000000000003</v>
      </c>
      <c r="BF324" s="3471">
        <v>0</v>
      </c>
    </row>
    <row r="325" spans="1:58">
      <c r="A325" s="1817" t="str">
        <f t="shared" si="11"/>
        <v>Northern AmericaWatermelons</v>
      </c>
      <c r="B325" s="1818" t="s">
        <v>1318</v>
      </c>
      <c r="C325" s="1818" t="s">
        <v>7389</v>
      </c>
      <c r="D325" s="3463" t="str">
        <f>VLOOKUP(B325,List_Yield!$G$4:$J$14,4,FALSE)</f>
        <v>North America</v>
      </c>
      <c r="E325" s="3463" t="str">
        <f t="shared" si="10"/>
        <v>North AmericaWatermelons</v>
      </c>
      <c r="F325" s="2994">
        <v>10.5983</v>
      </c>
      <c r="G325" s="2994">
        <v>10.8828</v>
      </c>
      <c r="H325" s="2994">
        <v>12.176</v>
      </c>
      <c r="I325" s="2994">
        <v>11.0228</v>
      </c>
      <c r="J325" s="2994">
        <v>11.588699999999999</v>
      </c>
      <c r="K325" s="2994">
        <v>11.5632</v>
      </c>
      <c r="L325" s="2994">
        <v>11.398899999999999</v>
      </c>
      <c r="M325" s="2994">
        <v>10.9038</v>
      </c>
      <c r="N325" s="2994">
        <v>10.6778</v>
      </c>
      <c r="O325" s="2994">
        <v>11.525600000000001</v>
      </c>
      <c r="P325" s="2994">
        <v>12.032</v>
      </c>
      <c r="Q325" s="2994">
        <v>10.588699999999999</v>
      </c>
      <c r="R325" s="2994">
        <v>12.201700000000001</v>
      </c>
      <c r="S325" s="2994">
        <v>12.138199999999999</v>
      </c>
      <c r="T325" s="2994">
        <v>12.716200000000001</v>
      </c>
      <c r="U325" s="2994">
        <v>12.6585</v>
      </c>
      <c r="V325" s="2994">
        <v>13.3178</v>
      </c>
      <c r="W325" s="2994">
        <v>13.335000000000001</v>
      </c>
      <c r="X325" s="2994">
        <v>13.1442</v>
      </c>
      <c r="Y325" s="2994">
        <v>13.8</v>
      </c>
      <c r="Z325" s="2994">
        <v>14.412000000000001</v>
      </c>
      <c r="AA325" s="2994">
        <v>14.4214</v>
      </c>
      <c r="AB325" s="2994">
        <v>14.4634</v>
      </c>
      <c r="AC325" s="2994">
        <v>14.52</v>
      </c>
      <c r="AD325" s="2994">
        <v>13.1325</v>
      </c>
      <c r="AE325" s="2994">
        <v>13.3735</v>
      </c>
      <c r="AF325" s="2994">
        <v>13.7805</v>
      </c>
      <c r="AG325" s="2994">
        <v>13.7805</v>
      </c>
      <c r="AH325" s="2994">
        <v>13.4146</v>
      </c>
      <c r="AI325" s="2994">
        <v>13.560499999999999</v>
      </c>
      <c r="AJ325" s="2994">
        <v>13.7384</v>
      </c>
      <c r="AK325" s="2994">
        <v>18.254899999999999</v>
      </c>
      <c r="AL325" s="2994">
        <v>20.5108</v>
      </c>
      <c r="AM325" s="2994">
        <v>20.555</v>
      </c>
      <c r="AN325" s="2994">
        <v>22.264700000000001</v>
      </c>
      <c r="AO325" s="2994">
        <v>24.0276</v>
      </c>
      <c r="AP325" s="2994">
        <v>24.95</v>
      </c>
      <c r="AQ325" s="2994">
        <v>24.456299999999999</v>
      </c>
      <c r="AR325" s="2994">
        <v>26.334099999999999</v>
      </c>
      <c r="AS325" s="2994">
        <v>25.341899999999999</v>
      </c>
      <c r="AT325" s="2994">
        <v>28.302900000000001</v>
      </c>
      <c r="AU325" s="2994">
        <v>29.0517</v>
      </c>
      <c r="AV325" s="2994">
        <v>28.6114</v>
      </c>
      <c r="AW325" s="2994">
        <v>29.153500000000001</v>
      </c>
      <c r="AX325" s="2994">
        <v>31.1309</v>
      </c>
      <c r="AY325" s="2994">
        <v>32.881300000000003</v>
      </c>
      <c r="AZ325" s="2994">
        <v>32.3523</v>
      </c>
      <c r="BA325" s="2994">
        <v>35.661799999999999</v>
      </c>
      <c r="BB325" s="2994">
        <v>35.000799999999998</v>
      </c>
      <c r="BC325" s="2994">
        <v>34.7104</v>
      </c>
      <c r="BD325" s="3471">
        <v>34.332700000000003</v>
      </c>
      <c r="BE325" s="3471">
        <v>34.405200000000001</v>
      </c>
      <c r="BF325" s="3471">
        <v>0</v>
      </c>
    </row>
    <row r="326" spans="1:58">
      <c r="A326" s="1817" t="str">
        <f t="shared" si="11"/>
        <v>Northern AmericaWheat</v>
      </c>
      <c r="B326" s="1818" t="s">
        <v>1318</v>
      </c>
      <c r="C326" s="1818" t="s">
        <v>1383</v>
      </c>
      <c r="D326" s="3463" t="str">
        <f>VLOOKUP(B326,List_Yield!$G$4:$J$14,4,FALSE)</f>
        <v>North America</v>
      </c>
      <c r="E326" s="3463" t="str">
        <f t="shared" si="10"/>
        <v>North AmericaWheat</v>
      </c>
      <c r="F326" s="2994">
        <v>1.3258000000000001</v>
      </c>
      <c r="G326" s="2994">
        <v>1.581</v>
      </c>
      <c r="H326" s="2994">
        <v>1.7214</v>
      </c>
      <c r="I326" s="2994">
        <v>1.5946</v>
      </c>
      <c r="J326" s="2994">
        <v>1.6973</v>
      </c>
      <c r="K326" s="2994">
        <v>1.8082</v>
      </c>
      <c r="L326" s="2994">
        <v>1.5967</v>
      </c>
      <c r="M326" s="2994">
        <v>1.7626999999999999</v>
      </c>
      <c r="N326" s="2994">
        <v>1.9716</v>
      </c>
      <c r="O326" s="2994">
        <v>2.0196999999999998</v>
      </c>
      <c r="P326" s="2994">
        <v>2.1534</v>
      </c>
      <c r="Q326" s="2994">
        <v>2.0371000000000001</v>
      </c>
      <c r="R326" s="2994">
        <v>1.9919</v>
      </c>
      <c r="S326" s="2994">
        <v>1.7462</v>
      </c>
      <c r="T326" s="2994">
        <v>1.9936</v>
      </c>
      <c r="U326" s="2994">
        <v>2.0541</v>
      </c>
      <c r="V326" s="2994">
        <v>2.0356999999999998</v>
      </c>
      <c r="W326" s="2994">
        <v>2.0773000000000001</v>
      </c>
      <c r="X326" s="2994">
        <v>2.1027999999999998</v>
      </c>
      <c r="Y326" s="2994">
        <v>2.1027</v>
      </c>
      <c r="Z326" s="2994">
        <v>2.2326999999999999</v>
      </c>
      <c r="AA326" s="2994">
        <v>2.3142</v>
      </c>
      <c r="AB326" s="2994">
        <v>2.3965000000000001</v>
      </c>
      <c r="AC326" s="2994">
        <v>2.2810999999999999</v>
      </c>
      <c r="AD326" s="2994">
        <v>2.2606000000000002</v>
      </c>
      <c r="AE326" s="2994">
        <v>2.2757999999999998</v>
      </c>
      <c r="AF326" s="2994">
        <v>2.3073999999999999</v>
      </c>
      <c r="AG326" s="2994">
        <v>1.8925000000000001</v>
      </c>
      <c r="AH326" s="2994">
        <v>2.0630999999999999</v>
      </c>
      <c r="AI326" s="2994">
        <v>2.5293999999999999</v>
      </c>
      <c r="AJ326" s="2994">
        <v>2.2856999999999998</v>
      </c>
      <c r="AK326" s="2994">
        <v>2.4729999999999999</v>
      </c>
      <c r="AL326" s="2994">
        <v>2.4496000000000002</v>
      </c>
      <c r="AM326" s="2994">
        <v>2.4066999999999998</v>
      </c>
      <c r="AN326" s="2994">
        <v>2.3569</v>
      </c>
      <c r="AO326" s="2994">
        <v>2.4361000000000002</v>
      </c>
      <c r="AP326" s="2994">
        <v>2.4933999999999998</v>
      </c>
      <c r="AQ326" s="2994">
        <v>2.7029999999999998</v>
      </c>
      <c r="AR326" s="2994">
        <v>2.7835999999999999</v>
      </c>
      <c r="AS326" s="2994">
        <v>2.6964999999999999</v>
      </c>
      <c r="AT326" s="2994">
        <v>2.4363000000000001</v>
      </c>
      <c r="AU326" s="2994">
        <v>2.1890999999999998</v>
      </c>
      <c r="AV326" s="2994">
        <v>2.7408000000000001</v>
      </c>
      <c r="AW326" s="2994">
        <v>2.8197000000000001</v>
      </c>
      <c r="AX326" s="2994">
        <v>2.7961</v>
      </c>
      <c r="AY326" s="2994">
        <v>2.6023000000000001</v>
      </c>
      <c r="AZ326" s="2994">
        <v>2.5918000000000001</v>
      </c>
      <c r="BA326" s="2994">
        <v>2.9664999999999999</v>
      </c>
      <c r="BB326" s="2994">
        <v>2.9237000000000002</v>
      </c>
      <c r="BC326" s="2994">
        <v>3.0222000000000002</v>
      </c>
      <c r="BD326" s="3471">
        <v>2.9466000000000001</v>
      </c>
      <c r="BE326" s="3471">
        <v>3.0341</v>
      </c>
      <c r="BF326" s="3471">
        <v>3.3256000000000001</v>
      </c>
    </row>
    <row r="327" spans="1:58">
      <c r="A327" s="1817" t="str">
        <f t="shared" si="11"/>
        <v>Northern AmericaYams</v>
      </c>
      <c r="B327" s="1818" t="s">
        <v>1318</v>
      </c>
      <c r="C327" s="1818" t="s">
        <v>7390</v>
      </c>
      <c r="D327" s="3463" t="str">
        <f>VLOOKUP(B327,List_Yield!$G$4:$J$14,4,FALSE)</f>
        <v>North America</v>
      </c>
      <c r="E327" s="3463" t="str">
        <f t="shared" si="10"/>
        <v>North AmericaYams</v>
      </c>
      <c r="F327" s="2994">
        <v>0</v>
      </c>
      <c r="G327" s="2994">
        <v>0</v>
      </c>
      <c r="H327" s="2994">
        <v>0</v>
      </c>
      <c r="I327" s="2994">
        <v>0</v>
      </c>
      <c r="J327" s="2994">
        <v>0</v>
      </c>
      <c r="K327" s="2994">
        <v>0</v>
      </c>
      <c r="L327" s="2994">
        <v>0</v>
      </c>
      <c r="M327" s="2994">
        <v>0</v>
      </c>
      <c r="N327" s="2994">
        <v>0</v>
      </c>
      <c r="O327" s="2994">
        <v>0</v>
      </c>
      <c r="P327" s="2994">
        <v>0</v>
      </c>
      <c r="Q327" s="2994">
        <v>0</v>
      </c>
      <c r="R327" s="2994">
        <v>0</v>
      </c>
      <c r="S327" s="2994">
        <v>0</v>
      </c>
      <c r="T327" s="2994">
        <v>0</v>
      </c>
      <c r="U327" s="2994">
        <v>0</v>
      </c>
      <c r="V327" s="2994">
        <v>0</v>
      </c>
      <c r="W327" s="2994">
        <v>0</v>
      </c>
      <c r="X327" s="2994">
        <v>0</v>
      </c>
      <c r="Y327" s="2994">
        <v>0</v>
      </c>
      <c r="Z327" s="2994">
        <v>0</v>
      </c>
      <c r="AA327" s="2994">
        <v>0</v>
      </c>
      <c r="AB327" s="2994">
        <v>0</v>
      </c>
      <c r="AC327" s="2994">
        <v>0</v>
      </c>
      <c r="AD327" s="2994">
        <v>0</v>
      </c>
      <c r="AE327" s="2994">
        <v>0</v>
      </c>
      <c r="AF327" s="2994">
        <v>0</v>
      </c>
      <c r="AG327" s="2994">
        <v>0</v>
      </c>
      <c r="AH327" s="2994">
        <v>0</v>
      </c>
      <c r="AI327" s="2994">
        <v>0</v>
      </c>
      <c r="AJ327" s="2994">
        <v>0</v>
      </c>
      <c r="AK327" s="2994">
        <v>0</v>
      </c>
      <c r="AL327" s="2994">
        <v>0</v>
      </c>
      <c r="AM327" s="2994">
        <v>0</v>
      </c>
      <c r="AN327" s="2994">
        <v>0</v>
      </c>
      <c r="AO327" s="2994">
        <v>0</v>
      </c>
      <c r="AP327" s="2994">
        <v>0</v>
      </c>
      <c r="AQ327" s="2994">
        <v>0</v>
      </c>
      <c r="AR327" s="2994">
        <v>0</v>
      </c>
      <c r="AS327" s="2994">
        <v>0</v>
      </c>
      <c r="AT327" s="2994">
        <v>0</v>
      </c>
      <c r="AU327" s="2994">
        <v>0</v>
      </c>
      <c r="AV327" s="2994">
        <v>0</v>
      </c>
      <c r="AW327" s="2994">
        <v>0</v>
      </c>
      <c r="AX327" s="2994">
        <v>0</v>
      </c>
      <c r="AY327" s="2994">
        <v>0</v>
      </c>
      <c r="AZ327" s="2994">
        <v>0</v>
      </c>
      <c r="BA327" s="2994">
        <v>0</v>
      </c>
      <c r="BB327" s="2994">
        <v>0</v>
      </c>
      <c r="BC327" s="2994">
        <v>0</v>
      </c>
      <c r="BD327" s="3471">
        <v>0</v>
      </c>
      <c r="BE327" s="3471">
        <v>0</v>
      </c>
      <c r="BF327" s="3471">
        <v>0</v>
      </c>
    </row>
    <row r="328" spans="1:58">
      <c r="A328" s="1817" t="str">
        <f t="shared" si="11"/>
        <v>Northern AmericaYautia (cocoyam)</v>
      </c>
      <c r="B328" s="1818" t="s">
        <v>1318</v>
      </c>
      <c r="C328" s="1818" t="s">
        <v>7391</v>
      </c>
      <c r="D328" s="3463" t="str">
        <f>VLOOKUP(B328,List_Yield!$G$4:$J$14,4,FALSE)</f>
        <v>North America</v>
      </c>
      <c r="E328" s="3463" t="str">
        <f t="shared" si="10"/>
        <v>North AmericaYautia (cocoyam)</v>
      </c>
      <c r="F328" s="2994">
        <v>0</v>
      </c>
      <c r="G328" s="2994">
        <v>0</v>
      </c>
      <c r="H328" s="2994">
        <v>0</v>
      </c>
      <c r="I328" s="2994">
        <v>0</v>
      </c>
      <c r="J328" s="2994">
        <v>0</v>
      </c>
      <c r="K328" s="2994">
        <v>0</v>
      </c>
      <c r="L328" s="2994">
        <v>0</v>
      </c>
      <c r="M328" s="2994">
        <v>0</v>
      </c>
      <c r="N328" s="2994">
        <v>0</v>
      </c>
      <c r="O328" s="2994">
        <v>0</v>
      </c>
      <c r="P328" s="2994">
        <v>0</v>
      </c>
      <c r="Q328" s="2994">
        <v>0</v>
      </c>
      <c r="R328" s="2994">
        <v>0</v>
      </c>
      <c r="S328" s="2994">
        <v>0</v>
      </c>
      <c r="T328" s="2994">
        <v>0</v>
      </c>
      <c r="U328" s="2994">
        <v>0</v>
      </c>
      <c r="V328" s="2994">
        <v>0</v>
      </c>
      <c r="W328" s="2994">
        <v>0</v>
      </c>
      <c r="X328" s="2994">
        <v>0</v>
      </c>
      <c r="Y328" s="2994">
        <v>0</v>
      </c>
      <c r="Z328" s="2994">
        <v>0</v>
      </c>
      <c r="AA328" s="2994">
        <v>0</v>
      </c>
      <c r="AB328" s="2994">
        <v>0</v>
      </c>
      <c r="AC328" s="2994">
        <v>0</v>
      </c>
      <c r="AD328" s="2994">
        <v>0</v>
      </c>
      <c r="AE328" s="2994">
        <v>0</v>
      </c>
      <c r="AF328" s="2994">
        <v>0</v>
      </c>
      <c r="AG328" s="2994">
        <v>0</v>
      </c>
      <c r="AH328" s="2994">
        <v>0</v>
      </c>
      <c r="AI328" s="2994">
        <v>0</v>
      </c>
      <c r="AJ328" s="2994">
        <v>0</v>
      </c>
      <c r="AK328" s="2994">
        <v>0</v>
      </c>
      <c r="AL328" s="2994">
        <v>0</v>
      </c>
      <c r="AM328" s="2994">
        <v>0</v>
      </c>
      <c r="AN328" s="2994">
        <v>0</v>
      </c>
      <c r="AO328" s="2994">
        <v>0</v>
      </c>
      <c r="AP328" s="2994">
        <v>0</v>
      </c>
      <c r="AQ328" s="2994">
        <v>0</v>
      </c>
      <c r="AR328" s="2994">
        <v>0</v>
      </c>
      <c r="AS328" s="2994">
        <v>0</v>
      </c>
      <c r="AT328" s="2994">
        <v>0</v>
      </c>
      <c r="AU328" s="2994">
        <v>0</v>
      </c>
      <c r="AV328" s="2994">
        <v>0</v>
      </c>
      <c r="AW328" s="2994">
        <v>0</v>
      </c>
      <c r="AX328" s="2994">
        <v>0</v>
      </c>
      <c r="AY328" s="2994">
        <v>0</v>
      </c>
      <c r="AZ328" s="2994">
        <v>0</v>
      </c>
      <c r="BA328" s="2994">
        <v>0</v>
      </c>
      <c r="BB328" s="2994">
        <v>0</v>
      </c>
      <c r="BC328" s="2994">
        <v>0</v>
      </c>
      <c r="BD328" s="3471">
        <v>0</v>
      </c>
      <c r="BE328" s="3471">
        <v>0</v>
      </c>
      <c r="BF328" s="3471">
        <v>0</v>
      </c>
    </row>
    <row r="329" spans="1:58">
      <c r="A329" s="1817" t="str">
        <f t="shared" si="11"/>
        <v>Northern AmericaCereals,Total + (Total)</v>
      </c>
      <c r="B329" s="1818" t="s">
        <v>1318</v>
      </c>
      <c r="C329" s="1818" t="s">
        <v>7231</v>
      </c>
      <c r="D329" s="3463" t="str">
        <f>VLOOKUP(B329,List_Yield!$G$4:$J$14,4,FALSE)</f>
        <v>North America</v>
      </c>
      <c r="E329" s="3463" t="str">
        <f t="shared" si="10"/>
        <v>North AmericaCereals,Total + (Total)</v>
      </c>
      <c r="F329" s="2994">
        <v>2.2033</v>
      </c>
      <c r="G329" s="2994">
        <v>2.4302000000000001</v>
      </c>
      <c r="H329" s="2994">
        <v>2.5802</v>
      </c>
      <c r="I329" s="2994">
        <v>2.3786999999999998</v>
      </c>
      <c r="J329" s="2994">
        <v>2.7319</v>
      </c>
      <c r="K329" s="2994">
        <v>2.7633000000000001</v>
      </c>
      <c r="L329" s="2994">
        <v>2.7814999999999999</v>
      </c>
      <c r="M329" s="2994">
        <v>2.8589000000000002</v>
      </c>
      <c r="N329" s="2994">
        <v>3.1086</v>
      </c>
      <c r="O329" s="2994">
        <v>2.9607000000000001</v>
      </c>
      <c r="P329" s="2994">
        <v>3.3759999999999999</v>
      </c>
      <c r="Q329" s="2994">
        <v>3.4584999999999999</v>
      </c>
      <c r="R329" s="2994">
        <v>3.2932000000000001</v>
      </c>
      <c r="S329" s="2994">
        <v>2.7338</v>
      </c>
      <c r="T329" s="2994">
        <v>3.1785000000000001</v>
      </c>
      <c r="U329" s="2994">
        <v>3.2665999999999999</v>
      </c>
      <c r="V329" s="2994">
        <v>3.3925000000000001</v>
      </c>
      <c r="W329" s="2994">
        <v>3.7128999999999999</v>
      </c>
      <c r="X329" s="2994">
        <v>3.9342999999999999</v>
      </c>
      <c r="Y329" s="2994">
        <v>3.4251999999999998</v>
      </c>
      <c r="Z329" s="2994">
        <v>3.8401999999999998</v>
      </c>
      <c r="AA329" s="2994">
        <v>3.9554999999999998</v>
      </c>
      <c r="AB329" s="2994">
        <v>3.1787999999999998</v>
      </c>
      <c r="AC329" s="2994">
        <v>3.8420999999999998</v>
      </c>
      <c r="AD329" s="2994">
        <v>4.18</v>
      </c>
      <c r="AE329" s="2994">
        <v>4.1704999999999997</v>
      </c>
      <c r="AF329" s="2994">
        <v>4.1116000000000001</v>
      </c>
      <c r="AG329" s="2994">
        <v>3.1867999999999999</v>
      </c>
      <c r="AH329" s="2994">
        <v>3.8889</v>
      </c>
      <c r="AI329" s="2994">
        <v>4.2317999999999998</v>
      </c>
      <c r="AJ329" s="2994">
        <v>4.0247999999999999</v>
      </c>
      <c r="AK329" s="2994">
        <v>4.6803999999999997</v>
      </c>
      <c r="AL329" s="2994">
        <v>3.8974000000000002</v>
      </c>
      <c r="AM329" s="2994">
        <v>4.9124999999999996</v>
      </c>
      <c r="AN329" s="2994">
        <v>4.1893000000000002</v>
      </c>
      <c r="AO329" s="2994">
        <v>4.6157000000000004</v>
      </c>
      <c r="AP329" s="2994">
        <v>4.6550000000000002</v>
      </c>
      <c r="AQ329" s="2994">
        <v>5.0124000000000004</v>
      </c>
      <c r="AR329" s="2994">
        <v>5.1237000000000004</v>
      </c>
      <c r="AS329" s="2994">
        <v>5.1307999999999998</v>
      </c>
      <c r="AT329" s="2994">
        <v>5.0534999999999997</v>
      </c>
      <c r="AU329" s="2994">
        <v>4.8472</v>
      </c>
      <c r="AV329" s="2994">
        <v>5.2546999999999997</v>
      </c>
      <c r="AW329" s="2994">
        <v>6.0297000000000001</v>
      </c>
      <c r="AX329" s="2994">
        <v>5.7454000000000001</v>
      </c>
      <c r="AY329" s="2994">
        <v>5.6228999999999996</v>
      </c>
      <c r="AZ329" s="2994">
        <v>5.9279000000000002</v>
      </c>
      <c r="BA329" s="2994">
        <v>5.93</v>
      </c>
      <c r="BB329" s="2994">
        <v>6.4253</v>
      </c>
      <c r="BC329" s="2994">
        <v>6.3358999999999996</v>
      </c>
      <c r="BD329" s="3471">
        <v>6.1890999999999998</v>
      </c>
      <c r="BE329" s="3471">
        <v>5.4839000000000002</v>
      </c>
      <c r="BF329" s="3471">
        <v>6.6710000000000003</v>
      </c>
    </row>
    <row r="330" spans="1:58">
      <c r="A330" s="1817" t="str">
        <f t="shared" si="11"/>
        <v>Northern AmericaPulses,Total + (Total)</v>
      </c>
      <c r="B330" s="1818" t="s">
        <v>1318</v>
      </c>
      <c r="C330" s="1818" t="s">
        <v>7228</v>
      </c>
      <c r="D330" s="3463" t="str">
        <f>VLOOKUP(B330,List_Yield!$G$4:$J$14,4,FALSE)</f>
        <v>North America</v>
      </c>
      <c r="E330" s="3463" t="str">
        <f t="shared" si="10"/>
        <v>North AmericaPulses,Total + (Total)</v>
      </c>
      <c r="F330" s="2994">
        <v>1.3882000000000001</v>
      </c>
      <c r="G330" s="2994">
        <v>1.3813</v>
      </c>
      <c r="H330" s="2994">
        <v>1.5417000000000001</v>
      </c>
      <c r="I330" s="2994">
        <v>1.4334</v>
      </c>
      <c r="J330" s="2994">
        <v>1.3075000000000001</v>
      </c>
      <c r="K330" s="2994">
        <v>1.4469000000000001</v>
      </c>
      <c r="L330" s="2994">
        <v>1.3849</v>
      </c>
      <c r="M330" s="2994">
        <v>1.3987000000000001</v>
      </c>
      <c r="N330" s="2994">
        <v>1.4805999999999999</v>
      </c>
      <c r="O330" s="2994">
        <v>1.3747</v>
      </c>
      <c r="P330" s="2994">
        <v>1.4779</v>
      </c>
      <c r="Q330" s="2994">
        <v>1.4998</v>
      </c>
      <c r="R330" s="2994">
        <v>1.3559000000000001</v>
      </c>
      <c r="S330" s="2994">
        <v>1.4945999999999999</v>
      </c>
      <c r="T330" s="2994">
        <v>1.3843000000000001</v>
      </c>
      <c r="U330" s="2994">
        <v>1.3985000000000001</v>
      </c>
      <c r="V330" s="2994">
        <v>1.2208000000000001</v>
      </c>
      <c r="W330" s="2994">
        <v>1.4797</v>
      </c>
      <c r="X330" s="2994">
        <v>1.6407</v>
      </c>
      <c r="Y330" s="2994">
        <v>1.5960000000000001</v>
      </c>
      <c r="Z330" s="2994">
        <v>1.5907</v>
      </c>
      <c r="AA330" s="2994">
        <v>1.5699000000000001</v>
      </c>
      <c r="AB330" s="2994">
        <v>1.5457000000000001</v>
      </c>
      <c r="AC330" s="2994">
        <v>1.5203</v>
      </c>
      <c r="AD330" s="2994">
        <v>1.6181000000000001</v>
      </c>
      <c r="AE330" s="2994">
        <v>1.6673</v>
      </c>
      <c r="AF330" s="2994">
        <v>1.7262999999999999</v>
      </c>
      <c r="AG330" s="2994">
        <v>1.4764999999999999</v>
      </c>
      <c r="AH330" s="2994">
        <v>1.6472</v>
      </c>
      <c r="AI330" s="2994">
        <v>1.772</v>
      </c>
      <c r="AJ330" s="2994">
        <v>1.8942000000000001</v>
      </c>
      <c r="AK330" s="2994">
        <v>1.6702999999999999</v>
      </c>
      <c r="AL330" s="2994">
        <v>1.6497999999999999</v>
      </c>
      <c r="AM330" s="2994">
        <v>1.7887999999999999</v>
      </c>
      <c r="AN330" s="2994">
        <v>1.7998000000000001</v>
      </c>
      <c r="AO330" s="2994">
        <v>1.8129999999999999</v>
      </c>
      <c r="AP330" s="2994">
        <v>1.8701000000000001</v>
      </c>
      <c r="AQ330" s="2994">
        <v>1.8895</v>
      </c>
      <c r="AR330" s="2994">
        <v>2.0739999999999998</v>
      </c>
      <c r="AS330" s="2994">
        <v>1.8704000000000001</v>
      </c>
      <c r="AT330" s="2994">
        <v>1.4001999999999999</v>
      </c>
      <c r="AU330" s="2994">
        <v>1.4945999999999999</v>
      </c>
      <c r="AV330" s="2994">
        <v>1.5828</v>
      </c>
      <c r="AW330" s="2994">
        <v>1.9617</v>
      </c>
      <c r="AX330" s="2994">
        <v>1.9525999999999999</v>
      </c>
      <c r="AY330" s="2994">
        <v>1.7222</v>
      </c>
      <c r="AZ330" s="2994">
        <v>1.8312999999999999</v>
      </c>
      <c r="BA330" s="2994">
        <v>1.9386000000000001</v>
      </c>
      <c r="BB330" s="2994">
        <v>1.9916</v>
      </c>
      <c r="BC330" s="2994">
        <v>1.8512</v>
      </c>
      <c r="BD330" s="3471">
        <v>1.8686</v>
      </c>
      <c r="BE330" s="3471">
        <v>1.97</v>
      </c>
      <c r="BF330" s="3471">
        <v>2.3700999999999999</v>
      </c>
    </row>
    <row r="331" spans="1:58">
      <c r="A331" s="1817" t="str">
        <f t="shared" si="11"/>
        <v>Northern AmericaRoots and Tubers,Total + (Total)</v>
      </c>
      <c r="B331" s="1818" t="s">
        <v>1318</v>
      </c>
      <c r="C331" s="1818" t="s">
        <v>7234</v>
      </c>
      <c r="D331" s="3463" t="str">
        <f>VLOOKUP(B331,List_Yield!$G$4:$J$14,4,FALSE)</f>
        <v>North America</v>
      </c>
      <c r="E331" s="3463" t="str">
        <f t="shared" si="10"/>
        <v>North AmericaRoots and Tubers,Total + (Total)</v>
      </c>
      <c r="F331" s="2994">
        <v>20.002300000000002</v>
      </c>
      <c r="G331" s="2994">
        <v>20.0486</v>
      </c>
      <c r="H331" s="2994">
        <v>20.863099999999999</v>
      </c>
      <c r="I331" s="2994">
        <v>19.850899999999999</v>
      </c>
      <c r="J331" s="2994">
        <v>21.369900000000001</v>
      </c>
      <c r="K331" s="2994">
        <v>21.727599999999999</v>
      </c>
      <c r="L331" s="2994">
        <v>21.533899999999999</v>
      </c>
      <c r="M331" s="2994">
        <v>22.231100000000001</v>
      </c>
      <c r="N331" s="2994">
        <v>22.8217</v>
      </c>
      <c r="O331" s="2994">
        <v>23.5791</v>
      </c>
      <c r="P331" s="2994">
        <v>23.671800000000001</v>
      </c>
      <c r="Q331" s="2994">
        <v>24.165800000000001</v>
      </c>
      <c r="R331" s="2994">
        <v>23.736799999999999</v>
      </c>
      <c r="S331" s="2994">
        <v>25.5684</v>
      </c>
      <c r="T331" s="2994">
        <v>26.1538</v>
      </c>
      <c r="U331" s="2994">
        <v>26.9572</v>
      </c>
      <c r="V331" s="2994">
        <v>27.061800000000002</v>
      </c>
      <c r="W331" s="2994">
        <v>27.5717</v>
      </c>
      <c r="X331" s="2994">
        <v>28.1402</v>
      </c>
      <c r="Y331" s="2994">
        <v>27.239599999999999</v>
      </c>
      <c r="Z331" s="2994">
        <v>28.4572</v>
      </c>
      <c r="AA331" s="2994">
        <v>28.956199999999999</v>
      </c>
      <c r="AB331" s="2994">
        <v>27.655200000000001</v>
      </c>
      <c r="AC331" s="2994">
        <v>28.814900000000002</v>
      </c>
      <c r="AD331" s="2994">
        <v>31.184899999999999</v>
      </c>
      <c r="AE331" s="2994">
        <v>30.705100000000002</v>
      </c>
      <c r="AF331" s="2994">
        <v>31.508800000000001</v>
      </c>
      <c r="AG331" s="2994">
        <v>29.5825</v>
      </c>
      <c r="AH331" s="2994">
        <v>30.230799999999999</v>
      </c>
      <c r="AI331" s="2994">
        <v>30.694500000000001</v>
      </c>
      <c r="AJ331" s="2994">
        <v>31.533000000000001</v>
      </c>
      <c r="AK331" s="2994">
        <v>34.004800000000003</v>
      </c>
      <c r="AL331" s="2994">
        <v>33.693399999999997</v>
      </c>
      <c r="AM331" s="2994">
        <v>35.136099999999999</v>
      </c>
      <c r="AN331" s="2994">
        <v>33.466500000000003</v>
      </c>
      <c r="AO331" s="2994">
        <v>35.999000000000002</v>
      </c>
      <c r="AP331" s="2994">
        <v>35.494799999999998</v>
      </c>
      <c r="AQ331" s="2994">
        <v>35.199800000000003</v>
      </c>
      <c r="AR331" s="2994">
        <v>36.341200000000001</v>
      </c>
      <c r="AS331" s="2994">
        <v>38.336599999999997</v>
      </c>
      <c r="AT331" s="2994">
        <v>35.394500000000001</v>
      </c>
      <c r="AU331" s="2994">
        <v>36.376300000000001</v>
      </c>
      <c r="AV331" s="2994">
        <v>36.988</v>
      </c>
      <c r="AW331" s="2994">
        <v>39.105699999999999</v>
      </c>
      <c r="AX331" s="2994">
        <v>38.577100000000002</v>
      </c>
      <c r="AY331" s="2994">
        <v>39.915799999999997</v>
      </c>
      <c r="AZ331" s="2994">
        <v>39.836300000000001</v>
      </c>
      <c r="BA331" s="2994">
        <v>39.682299999999998</v>
      </c>
      <c r="BB331" s="2994">
        <v>41.249400000000001</v>
      </c>
      <c r="BC331" s="2994">
        <v>40.245100000000001</v>
      </c>
      <c r="BD331" s="3471">
        <v>39.529499999999999</v>
      </c>
      <c r="BE331" s="3471">
        <v>40.736800000000002</v>
      </c>
      <c r="BF331" s="3471">
        <v>41.688200000000002</v>
      </c>
    </row>
    <row r="332" spans="1:58">
      <c r="A332" s="1817" t="str">
        <f t="shared" si="11"/>
        <v>Central AmericaAgave fibres nes</v>
      </c>
      <c r="B332" s="1818" t="s">
        <v>305</v>
      </c>
      <c r="C332" s="1818" t="s">
        <v>7282</v>
      </c>
      <c r="D332" s="3463" t="str">
        <f>VLOOKUP(B332,List_Yield!$G$4:$J$14,4,FALSE)</f>
        <v>Central America</v>
      </c>
      <c r="E332" s="3463" t="str">
        <f t="shared" si="10"/>
        <v>Central AmericaAgave fibres nes</v>
      </c>
      <c r="F332" s="2994">
        <v>0.7167</v>
      </c>
      <c r="G332" s="2994">
        <v>0.7</v>
      </c>
      <c r="H332" s="2994">
        <v>0.68659999999999999</v>
      </c>
      <c r="I332" s="2994">
        <v>0.6885</v>
      </c>
      <c r="J332" s="2994">
        <v>0.6885</v>
      </c>
      <c r="K332" s="2994">
        <v>0.69350000000000001</v>
      </c>
      <c r="L332" s="2994">
        <v>0.69350000000000001</v>
      </c>
      <c r="M332" s="2994">
        <v>0.69840000000000002</v>
      </c>
      <c r="N332" s="2994">
        <v>0.69199999999999995</v>
      </c>
      <c r="O332" s="2994">
        <v>0.68459999999999999</v>
      </c>
      <c r="P332" s="2994">
        <v>0.68279999999999996</v>
      </c>
      <c r="Q332" s="2994">
        <v>0.68530000000000002</v>
      </c>
      <c r="R332" s="2994">
        <v>0.68</v>
      </c>
      <c r="S332" s="2994">
        <v>0.64119999999999999</v>
      </c>
      <c r="T332" s="2994">
        <v>0.69</v>
      </c>
      <c r="U332" s="2994">
        <v>0.64559999999999995</v>
      </c>
      <c r="V332" s="2994">
        <v>0.65910000000000002</v>
      </c>
      <c r="W332" s="2994">
        <v>0.67710000000000004</v>
      </c>
      <c r="X332" s="2994">
        <v>0.67010000000000003</v>
      </c>
      <c r="Y332" s="2994">
        <v>0.81100000000000005</v>
      </c>
      <c r="Z332" s="2994">
        <v>0.78200000000000003</v>
      </c>
      <c r="AA332" s="2994">
        <v>0.76639999999999997</v>
      </c>
      <c r="AB332" s="2994">
        <v>0.75849999999999995</v>
      </c>
      <c r="AC332" s="2994">
        <v>0.74219999999999997</v>
      </c>
      <c r="AD332" s="2994">
        <v>0.72489999999999999</v>
      </c>
      <c r="AE332" s="2994">
        <v>0.72619999999999996</v>
      </c>
      <c r="AF332" s="2994">
        <v>0.80900000000000005</v>
      </c>
      <c r="AG332" s="2994">
        <v>0.82289999999999996</v>
      </c>
      <c r="AH332" s="2994">
        <v>0.89990000000000003</v>
      </c>
      <c r="AI332" s="2994">
        <v>0.92969999999999997</v>
      </c>
      <c r="AJ332" s="2994">
        <v>0.92949999999999999</v>
      </c>
      <c r="AK332" s="2994">
        <v>0.94159999999999999</v>
      </c>
      <c r="AL332" s="2994">
        <v>0.95609999999999995</v>
      </c>
      <c r="AM332" s="2994">
        <v>0.98219999999999996</v>
      </c>
      <c r="AN332" s="2994">
        <v>0.93100000000000005</v>
      </c>
      <c r="AO332" s="2994">
        <v>0.96060000000000001</v>
      </c>
      <c r="AP332" s="2994">
        <v>1.0202</v>
      </c>
      <c r="AQ332" s="2994">
        <v>0.89890000000000003</v>
      </c>
      <c r="AR332" s="2994">
        <v>0.89370000000000005</v>
      </c>
      <c r="AS332" s="2994">
        <v>0.86460000000000004</v>
      </c>
      <c r="AT332" s="2994">
        <v>0.73050000000000004</v>
      </c>
      <c r="AU332" s="2994">
        <v>0.75029999999999997</v>
      </c>
      <c r="AV332" s="2994">
        <v>0.74509999999999998</v>
      </c>
      <c r="AW332" s="2994">
        <v>0.75439999999999996</v>
      </c>
      <c r="AX332" s="2994">
        <v>0.49859999999999999</v>
      </c>
      <c r="AY332" s="2994">
        <v>0.52929999999999999</v>
      </c>
      <c r="AZ332" s="2994">
        <v>0.67279999999999995</v>
      </c>
      <c r="BA332" s="2994">
        <v>0.70179999999999998</v>
      </c>
      <c r="BB332" s="2994">
        <v>0.59809999999999997</v>
      </c>
      <c r="BC332" s="2994">
        <v>0.54469999999999996</v>
      </c>
      <c r="BD332" s="3471">
        <v>0.58020000000000005</v>
      </c>
      <c r="BE332" s="3471">
        <v>0.59640000000000004</v>
      </c>
      <c r="BF332" s="3471">
        <v>0</v>
      </c>
    </row>
    <row r="333" spans="1:58">
      <c r="A333" s="1817" t="str">
        <f t="shared" si="11"/>
        <v>Central AmericaAlmonds, with shell</v>
      </c>
      <c r="B333" s="1818" t="s">
        <v>305</v>
      </c>
      <c r="C333" s="1818" t="s">
        <v>7283</v>
      </c>
      <c r="D333" s="3463" t="str">
        <f>VLOOKUP(B333,List_Yield!$G$4:$J$14,4,FALSE)</f>
        <v>Central America</v>
      </c>
      <c r="E333" s="3463" t="str">
        <f t="shared" si="10"/>
        <v>Central AmericaAlmonds, with shell</v>
      </c>
      <c r="F333" s="2994">
        <v>0</v>
      </c>
      <c r="G333" s="2994">
        <v>0</v>
      </c>
      <c r="H333" s="2994">
        <v>0</v>
      </c>
      <c r="I333" s="2994">
        <v>0</v>
      </c>
      <c r="J333" s="2994">
        <v>0</v>
      </c>
      <c r="K333" s="2994">
        <v>0</v>
      </c>
      <c r="L333" s="2994">
        <v>0</v>
      </c>
      <c r="M333" s="2994">
        <v>0</v>
      </c>
      <c r="N333" s="2994">
        <v>0</v>
      </c>
      <c r="O333" s="2994">
        <v>0</v>
      </c>
      <c r="P333" s="2994">
        <v>0</v>
      </c>
      <c r="Q333" s="2994">
        <v>0</v>
      </c>
      <c r="R333" s="2994">
        <v>0</v>
      </c>
      <c r="S333" s="2994">
        <v>0</v>
      </c>
      <c r="T333" s="2994">
        <v>0</v>
      </c>
      <c r="U333" s="2994">
        <v>0</v>
      </c>
      <c r="V333" s="2994">
        <v>0</v>
      </c>
      <c r="W333" s="2994">
        <v>0</v>
      </c>
      <c r="X333" s="2994">
        <v>0</v>
      </c>
      <c r="Y333" s="2994">
        <v>2.4510999999999998</v>
      </c>
      <c r="Z333" s="2994">
        <v>3.5659999999999998</v>
      </c>
      <c r="AA333" s="2994">
        <v>2.9790999999999999</v>
      </c>
      <c r="AB333" s="2994">
        <v>3.4672999999999998</v>
      </c>
      <c r="AC333" s="2994">
        <v>0.63639999999999997</v>
      </c>
      <c r="AD333" s="2994">
        <v>0.90739999999999998</v>
      </c>
      <c r="AE333" s="2994">
        <v>1.3486</v>
      </c>
      <c r="AF333" s="2994">
        <v>0.76190000000000002</v>
      </c>
      <c r="AG333" s="2994">
        <v>2.8492999999999999</v>
      </c>
      <c r="AH333" s="2994">
        <v>7.7222</v>
      </c>
      <c r="AI333" s="2994">
        <v>6.9661</v>
      </c>
      <c r="AJ333" s="2994">
        <v>1.6081000000000001</v>
      </c>
      <c r="AK333" s="2994">
        <v>3.0697999999999999</v>
      </c>
      <c r="AL333" s="2994">
        <v>2.88</v>
      </c>
      <c r="AM333" s="2994">
        <v>1.1573</v>
      </c>
      <c r="AN333" s="2994">
        <v>1.2603</v>
      </c>
      <c r="AO333" s="2994">
        <v>1.7937000000000001</v>
      </c>
      <c r="AP333" s="2994">
        <v>1.7031000000000001</v>
      </c>
      <c r="AQ333" s="2994">
        <v>2.4918</v>
      </c>
      <c r="AR333" s="2994">
        <v>1.2131000000000001</v>
      </c>
      <c r="AS333" s="2994">
        <v>1.5902000000000001</v>
      </c>
      <c r="AT333" s="2994">
        <v>1.5</v>
      </c>
      <c r="AU333" s="2994">
        <v>2</v>
      </c>
      <c r="AV333" s="2994">
        <v>2.1579000000000002</v>
      </c>
      <c r="AW333" s="2994">
        <v>1.5</v>
      </c>
      <c r="AX333" s="2994">
        <v>1.5116000000000001</v>
      </c>
      <c r="AY333" s="2994">
        <v>1.1591</v>
      </c>
      <c r="AZ333" s="2994">
        <v>1.2826</v>
      </c>
      <c r="BA333" s="2994">
        <v>1.1064000000000001</v>
      </c>
      <c r="BB333" s="2994">
        <v>1.2075</v>
      </c>
      <c r="BC333" s="2994">
        <v>1.1143000000000001</v>
      </c>
      <c r="BD333" s="3471">
        <v>1.2263999999999999</v>
      </c>
      <c r="BE333" s="3471">
        <v>1.2263999999999999</v>
      </c>
      <c r="BF333" s="3471">
        <v>0</v>
      </c>
    </row>
    <row r="334" spans="1:58">
      <c r="A334" s="1817" t="str">
        <f t="shared" si="11"/>
        <v>Central AmericaAnise, badian, fennel, coriander</v>
      </c>
      <c r="B334" s="1818" t="s">
        <v>305</v>
      </c>
      <c r="C334" s="1818" t="s">
        <v>7284</v>
      </c>
      <c r="D334" s="3463" t="str">
        <f>VLOOKUP(B334,List_Yield!$G$4:$J$14,4,FALSE)</f>
        <v>Central America</v>
      </c>
      <c r="E334" s="3463" t="str">
        <f t="shared" si="10"/>
        <v>Central AmericaAnise, badian, fennel, coriander</v>
      </c>
      <c r="F334" s="2994">
        <v>4</v>
      </c>
      <c r="G334" s="2994">
        <v>4</v>
      </c>
      <c r="H334" s="2994">
        <v>4</v>
      </c>
      <c r="I334" s="2994">
        <v>4</v>
      </c>
      <c r="J334" s="2994">
        <v>4</v>
      </c>
      <c r="K334" s="2994">
        <v>4</v>
      </c>
      <c r="L334" s="2994">
        <v>4</v>
      </c>
      <c r="M334" s="2994">
        <v>4</v>
      </c>
      <c r="N334" s="2994">
        <v>6</v>
      </c>
      <c r="O334" s="2994">
        <v>5.4286000000000003</v>
      </c>
      <c r="P334" s="2994">
        <v>6</v>
      </c>
      <c r="Q334" s="2994">
        <v>5.6666999999999996</v>
      </c>
      <c r="R334" s="2994">
        <v>6</v>
      </c>
      <c r="S334" s="2994">
        <v>6.9412000000000003</v>
      </c>
      <c r="T334" s="2994">
        <v>6.6315999999999997</v>
      </c>
      <c r="U334" s="2994">
        <v>6.7272999999999996</v>
      </c>
      <c r="V334" s="2994">
        <v>6.6691000000000003</v>
      </c>
      <c r="W334" s="2994">
        <v>7</v>
      </c>
      <c r="X334" s="2994">
        <v>7</v>
      </c>
      <c r="Y334" s="2994">
        <v>7.6417000000000002</v>
      </c>
      <c r="Z334" s="2994">
        <v>7.5098000000000003</v>
      </c>
      <c r="AA334" s="2994">
        <v>8.0279000000000007</v>
      </c>
      <c r="AB334" s="2994">
        <v>8.1409000000000002</v>
      </c>
      <c r="AC334" s="2994">
        <v>9.4413999999999998</v>
      </c>
      <c r="AD334" s="2994">
        <v>7.7884000000000002</v>
      </c>
      <c r="AE334" s="2994">
        <v>7.4936999999999996</v>
      </c>
      <c r="AF334" s="2994">
        <v>6.4058000000000002</v>
      </c>
      <c r="AG334" s="2994">
        <v>7.4104999999999999</v>
      </c>
      <c r="AH334" s="2994">
        <v>7.0766999999999998</v>
      </c>
      <c r="AI334" s="2994">
        <v>7.1143000000000001</v>
      </c>
      <c r="AJ334" s="2994">
        <v>6.2925000000000004</v>
      </c>
      <c r="AK334" s="2994">
        <v>6.3601000000000001</v>
      </c>
      <c r="AL334" s="2994">
        <v>6.1173999999999999</v>
      </c>
      <c r="AM334" s="2994">
        <v>6.3601999999999999</v>
      </c>
      <c r="AN334" s="2994">
        <v>6.3258000000000001</v>
      </c>
      <c r="AO334" s="2994">
        <v>6.2046000000000001</v>
      </c>
      <c r="AP334" s="2994">
        <v>7.5936000000000003</v>
      </c>
      <c r="AQ334" s="2994">
        <v>7.6132</v>
      </c>
      <c r="AR334" s="2994">
        <v>7.8021000000000003</v>
      </c>
      <c r="AS334" s="2994">
        <v>7.8045</v>
      </c>
      <c r="AT334" s="2994">
        <v>7.9364999999999997</v>
      </c>
      <c r="AU334" s="2994">
        <v>7.8314000000000004</v>
      </c>
      <c r="AV334" s="2994">
        <v>7.1479999999999997</v>
      </c>
      <c r="AW334" s="2994">
        <v>7.1093999999999999</v>
      </c>
      <c r="AX334" s="2994">
        <v>7.1414999999999997</v>
      </c>
      <c r="AY334" s="2994">
        <v>6.8117000000000001</v>
      </c>
      <c r="AZ334" s="2994">
        <v>6.7675999999999998</v>
      </c>
      <c r="BA334" s="2994">
        <v>6.7573999999999996</v>
      </c>
      <c r="BB334" s="2994">
        <v>7.0251000000000001</v>
      </c>
      <c r="BC334" s="2994">
        <v>7.0346000000000002</v>
      </c>
      <c r="BD334" s="3471">
        <v>7.7262000000000004</v>
      </c>
      <c r="BE334" s="3471">
        <v>7.8310000000000004</v>
      </c>
      <c r="BF334" s="3471">
        <v>0</v>
      </c>
    </row>
    <row r="335" spans="1:58">
      <c r="A335" s="1817" t="str">
        <f t="shared" si="11"/>
        <v>Central AmericaApples</v>
      </c>
      <c r="B335" s="1818" t="s">
        <v>305</v>
      </c>
      <c r="C335" s="1818" t="s">
        <v>7285</v>
      </c>
      <c r="D335" s="3463" t="str">
        <f>VLOOKUP(B335,List_Yield!$G$4:$J$14,4,FALSE)</f>
        <v>Central America</v>
      </c>
      <c r="E335" s="3463" t="str">
        <f t="shared" si="10"/>
        <v>Central AmericaApples</v>
      </c>
      <c r="F335" s="2994">
        <v>7.8491999999999997</v>
      </c>
      <c r="G335" s="2994">
        <v>8.7306000000000008</v>
      </c>
      <c r="H335" s="2994">
        <v>9.3686000000000007</v>
      </c>
      <c r="I335" s="2994">
        <v>9.5959000000000003</v>
      </c>
      <c r="J335" s="2994">
        <v>9.7576999999999998</v>
      </c>
      <c r="K335" s="2994">
        <v>9.8560999999999996</v>
      </c>
      <c r="L335" s="2994">
        <v>8.5572999999999997</v>
      </c>
      <c r="M335" s="2994">
        <v>8.8873999999999995</v>
      </c>
      <c r="N335" s="2994">
        <v>8.3089999999999993</v>
      </c>
      <c r="O335" s="2994">
        <v>8.1674000000000007</v>
      </c>
      <c r="P335" s="2994">
        <v>9.5361999999999991</v>
      </c>
      <c r="Q335" s="2994">
        <v>7.1116000000000001</v>
      </c>
      <c r="R335" s="2994">
        <v>5.4066000000000001</v>
      </c>
      <c r="S335" s="2994">
        <v>6.3163</v>
      </c>
      <c r="T335" s="2994">
        <v>5.7210000000000001</v>
      </c>
      <c r="U335" s="2994">
        <v>9.0424000000000007</v>
      </c>
      <c r="V335" s="2994">
        <v>4.4977</v>
      </c>
      <c r="W335" s="2994">
        <v>6.3331999999999997</v>
      </c>
      <c r="X335" s="2994">
        <v>6.49</v>
      </c>
      <c r="Y335" s="2994">
        <v>5.3205</v>
      </c>
      <c r="Z335" s="2994">
        <v>6.7161</v>
      </c>
      <c r="AA335" s="2994">
        <v>6.9625000000000004</v>
      </c>
      <c r="AB335" s="2994">
        <v>6.2453000000000003</v>
      </c>
      <c r="AC335" s="2994">
        <v>8.2682000000000002</v>
      </c>
      <c r="AD335" s="2994">
        <v>7.8331999999999997</v>
      </c>
      <c r="AE335" s="2994">
        <v>8.7556999999999992</v>
      </c>
      <c r="AF335" s="2994">
        <v>9.9864999999999995</v>
      </c>
      <c r="AG335" s="2994">
        <v>8.6297999999999995</v>
      </c>
      <c r="AH335" s="2994">
        <v>8.8445</v>
      </c>
      <c r="AI335" s="2994">
        <v>7.9581</v>
      </c>
      <c r="AJ335" s="2994">
        <v>9.1237999999999992</v>
      </c>
      <c r="AK335" s="2994">
        <v>9.9084000000000003</v>
      </c>
      <c r="AL335" s="2994">
        <v>8.1738999999999997</v>
      </c>
      <c r="AM335" s="2994">
        <v>8.0167000000000002</v>
      </c>
      <c r="AN335" s="2994">
        <v>6.8796999999999997</v>
      </c>
      <c r="AO335" s="2994">
        <v>7.2240000000000002</v>
      </c>
      <c r="AP335" s="2994">
        <v>10.0761</v>
      </c>
      <c r="AQ335" s="2994">
        <v>6.4913999999999996</v>
      </c>
      <c r="AR335" s="2994">
        <v>7.1207000000000003</v>
      </c>
      <c r="AS335" s="2994">
        <v>6.3788</v>
      </c>
      <c r="AT335" s="2994">
        <v>7.4013999999999998</v>
      </c>
      <c r="AU335" s="2994">
        <v>7.9894999999999996</v>
      </c>
      <c r="AV335" s="2994">
        <v>8.9845000000000006</v>
      </c>
      <c r="AW335" s="2994">
        <v>9.6151999999999997</v>
      </c>
      <c r="AX335" s="2994">
        <v>9.7125000000000004</v>
      </c>
      <c r="AY335" s="2994">
        <v>10.2636</v>
      </c>
      <c r="AZ335" s="2994">
        <v>8.9228000000000005</v>
      </c>
      <c r="BA335" s="2994">
        <v>9.1297999999999995</v>
      </c>
      <c r="BB335" s="2994">
        <v>9.6008999999999993</v>
      </c>
      <c r="BC335" s="2994">
        <v>9.8329000000000004</v>
      </c>
      <c r="BD335" s="3471">
        <v>10.5901</v>
      </c>
      <c r="BE335" s="3471">
        <v>6.5105000000000004</v>
      </c>
      <c r="BF335" s="3471">
        <v>0</v>
      </c>
    </row>
    <row r="336" spans="1:58">
      <c r="A336" s="1817" t="str">
        <f t="shared" si="11"/>
        <v>Central AmericaApricots</v>
      </c>
      <c r="B336" s="1818" t="s">
        <v>305</v>
      </c>
      <c r="C336" s="1818" t="s">
        <v>7286</v>
      </c>
      <c r="D336" s="3463" t="str">
        <f>VLOOKUP(B336,List_Yield!$G$4:$J$14,4,FALSE)</f>
        <v>Central America</v>
      </c>
      <c r="E336" s="3463" t="str">
        <f t="shared" si="10"/>
        <v>Central AmericaApricots</v>
      </c>
      <c r="F336" s="2994">
        <v>14.012</v>
      </c>
      <c r="G336" s="2994">
        <v>14.316700000000001</v>
      </c>
      <c r="H336" s="2994">
        <v>14.7623</v>
      </c>
      <c r="I336" s="2994">
        <v>14.8294</v>
      </c>
      <c r="J336" s="2994">
        <v>14.8406</v>
      </c>
      <c r="K336" s="2994">
        <v>14.852499999999999</v>
      </c>
      <c r="L336" s="2994">
        <v>14.684900000000001</v>
      </c>
      <c r="M336" s="2994">
        <v>14.847899999999999</v>
      </c>
      <c r="N336" s="2994">
        <v>12.2425</v>
      </c>
      <c r="O336" s="2994">
        <v>10.757999999999999</v>
      </c>
      <c r="P336" s="2994">
        <v>10.8042</v>
      </c>
      <c r="Q336" s="2994">
        <v>7.8551000000000002</v>
      </c>
      <c r="R336" s="2994">
        <v>9.6442999999999994</v>
      </c>
      <c r="S336" s="2994">
        <v>7.6063999999999998</v>
      </c>
      <c r="T336" s="2994">
        <v>6.4798</v>
      </c>
      <c r="U336" s="2994">
        <v>7.1708999999999996</v>
      </c>
      <c r="V336" s="2994">
        <v>7.0129000000000001</v>
      </c>
      <c r="W336" s="2994">
        <v>6.1512000000000002</v>
      </c>
      <c r="X336" s="2994">
        <v>6.6291000000000002</v>
      </c>
      <c r="Y336" s="2994">
        <v>5.5069999999999997</v>
      </c>
      <c r="Z336" s="2994">
        <v>5.7618</v>
      </c>
      <c r="AA336" s="2994">
        <v>21.5442</v>
      </c>
      <c r="AB336" s="2994">
        <v>17.247699999999998</v>
      </c>
      <c r="AC336" s="2994">
        <v>34.759500000000003</v>
      </c>
      <c r="AD336" s="2994">
        <v>5.6565000000000003</v>
      </c>
      <c r="AE336" s="2994">
        <v>4.1210000000000004</v>
      </c>
      <c r="AF336" s="2994">
        <v>6.6302000000000003</v>
      </c>
      <c r="AG336" s="2994">
        <v>6.2317</v>
      </c>
      <c r="AH336" s="2994">
        <v>5.1509999999999998</v>
      </c>
      <c r="AI336" s="2994">
        <v>6.2866</v>
      </c>
      <c r="AJ336" s="2994">
        <v>7.1040999999999999</v>
      </c>
      <c r="AK336" s="2994">
        <v>6.2801</v>
      </c>
      <c r="AL336" s="2994">
        <v>4.6360000000000001</v>
      </c>
      <c r="AM336" s="2994">
        <v>3.3860999999999999</v>
      </c>
      <c r="AN336" s="2994">
        <v>6.0789999999999997</v>
      </c>
      <c r="AO336" s="2994">
        <v>4.4202000000000004</v>
      </c>
      <c r="AP336" s="2994">
        <v>5.0266000000000002</v>
      </c>
      <c r="AQ336" s="2994">
        <v>5.1787000000000001</v>
      </c>
      <c r="AR336" s="2994">
        <v>5.3780999999999999</v>
      </c>
      <c r="AS336" s="2994">
        <v>5.2196999999999996</v>
      </c>
      <c r="AT336" s="2994">
        <v>3.9296000000000002</v>
      </c>
      <c r="AU336" s="2994">
        <v>4.7249999999999996</v>
      </c>
      <c r="AV336" s="2994">
        <v>4.4103000000000003</v>
      </c>
      <c r="AW336" s="2994">
        <v>4.6849999999999996</v>
      </c>
      <c r="AX336" s="2994">
        <v>4.5704000000000002</v>
      </c>
      <c r="AY336" s="2994">
        <v>4.8735999999999997</v>
      </c>
      <c r="AZ336" s="2994">
        <v>4.2774000000000001</v>
      </c>
      <c r="BA336" s="2994">
        <v>4.5179</v>
      </c>
      <c r="BB336" s="2994">
        <v>4.2862</v>
      </c>
      <c r="BC336" s="2994">
        <v>3.9003000000000001</v>
      </c>
      <c r="BD336" s="3471">
        <v>3.4939</v>
      </c>
      <c r="BE336" s="3471">
        <v>3.7667000000000002</v>
      </c>
      <c r="BF336" s="3471">
        <v>0</v>
      </c>
    </row>
    <row r="337" spans="1:58">
      <c r="A337" s="1817" t="str">
        <f t="shared" si="11"/>
        <v>Central AmericaAreca nuts</v>
      </c>
      <c r="B337" s="1818" t="s">
        <v>305</v>
      </c>
      <c r="C337" s="1818" t="s">
        <v>7287</v>
      </c>
      <c r="D337" s="3463" t="str">
        <f>VLOOKUP(B337,List_Yield!$G$4:$J$14,4,FALSE)</f>
        <v>Central America</v>
      </c>
      <c r="E337" s="3463" t="str">
        <f t="shared" si="10"/>
        <v>Central AmericaAreca nuts</v>
      </c>
      <c r="F337" s="2994">
        <v>0</v>
      </c>
      <c r="G337" s="2994">
        <v>0</v>
      </c>
      <c r="H337" s="2994">
        <v>0</v>
      </c>
      <c r="I337" s="2994">
        <v>0</v>
      </c>
      <c r="J337" s="2994">
        <v>0</v>
      </c>
      <c r="K337" s="2994">
        <v>0</v>
      </c>
      <c r="L337" s="2994">
        <v>0</v>
      </c>
      <c r="M337" s="2994">
        <v>0</v>
      </c>
      <c r="N337" s="2994">
        <v>0</v>
      </c>
      <c r="O337" s="2994">
        <v>0</v>
      </c>
      <c r="P337" s="2994">
        <v>0</v>
      </c>
      <c r="Q337" s="2994">
        <v>0</v>
      </c>
      <c r="R337" s="2994">
        <v>0</v>
      </c>
      <c r="S337" s="2994">
        <v>0</v>
      </c>
      <c r="T337" s="2994">
        <v>0</v>
      </c>
      <c r="U337" s="2994">
        <v>0</v>
      </c>
      <c r="V337" s="2994">
        <v>0</v>
      </c>
      <c r="W337" s="2994">
        <v>0</v>
      </c>
      <c r="X337" s="2994">
        <v>0</v>
      </c>
      <c r="Y337" s="2994">
        <v>0</v>
      </c>
      <c r="Z337" s="2994">
        <v>0</v>
      </c>
      <c r="AA337" s="2994">
        <v>0</v>
      </c>
      <c r="AB337" s="2994">
        <v>0</v>
      </c>
      <c r="AC337" s="2994">
        <v>0</v>
      </c>
      <c r="AD337" s="2994">
        <v>0</v>
      </c>
      <c r="AE337" s="2994">
        <v>0</v>
      </c>
      <c r="AF337" s="2994">
        <v>0</v>
      </c>
      <c r="AG337" s="2994">
        <v>0</v>
      </c>
      <c r="AH337" s="2994">
        <v>0</v>
      </c>
      <c r="AI337" s="2994">
        <v>0</v>
      </c>
      <c r="AJ337" s="2994">
        <v>0</v>
      </c>
      <c r="AK337" s="2994">
        <v>0</v>
      </c>
      <c r="AL337" s="2994">
        <v>0</v>
      </c>
      <c r="AM337" s="2994">
        <v>0</v>
      </c>
      <c r="AN337" s="2994">
        <v>0</v>
      </c>
      <c r="AO337" s="2994">
        <v>0</v>
      </c>
      <c r="AP337" s="2994">
        <v>0</v>
      </c>
      <c r="AQ337" s="2994">
        <v>0</v>
      </c>
      <c r="AR337" s="2994">
        <v>0</v>
      </c>
      <c r="AS337" s="2994">
        <v>0</v>
      </c>
      <c r="AT337" s="2994">
        <v>0</v>
      </c>
      <c r="AU337" s="2994">
        <v>0</v>
      </c>
      <c r="AV337" s="2994">
        <v>0</v>
      </c>
      <c r="AW337" s="2994">
        <v>0</v>
      </c>
      <c r="AX337" s="2994">
        <v>0</v>
      </c>
      <c r="AY337" s="2994">
        <v>0</v>
      </c>
      <c r="AZ337" s="2994">
        <v>0</v>
      </c>
      <c r="BA337" s="2994">
        <v>0</v>
      </c>
      <c r="BB337" s="2994">
        <v>0</v>
      </c>
      <c r="BC337" s="2994">
        <v>0</v>
      </c>
      <c r="BD337" s="3471">
        <v>0</v>
      </c>
      <c r="BE337" s="3471">
        <v>0</v>
      </c>
      <c r="BF337" s="3471">
        <v>0</v>
      </c>
    </row>
    <row r="338" spans="1:58">
      <c r="A338" s="1817" t="str">
        <f t="shared" si="11"/>
        <v>Central AmericaArtichokes</v>
      </c>
      <c r="B338" s="1818" t="s">
        <v>305</v>
      </c>
      <c r="C338" s="1818" t="s">
        <v>7288</v>
      </c>
      <c r="D338" s="3463" t="str">
        <f>VLOOKUP(B338,List_Yield!$G$4:$J$14,4,FALSE)</f>
        <v>Central America</v>
      </c>
      <c r="E338" s="3463" t="str">
        <f t="shared" si="10"/>
        <v>Central AmericaArtichokes</v>
      </c>
      <c r="F338" s="2994">
        <v>0</v>
      </c>
      <c r="G338" s="2994">
        <v>0</v>
      </c>
      <c r="H338" s="2994">
        <v>0</v>
      </c>
      <c r="I338" s="2994">
        <v>0</v>
      </c>
      <c r="J338" s="2994">
        <v>0</v>
      </c>
      <c r="K338" s="2994">
        <v>0</v>
      </c>
      <c r="L338" s="2994">
        <v>0</v>
      </c>
      <c r="M338" s="2994">
        <v>0</v>
      </c>
      <c r="N338" s="2994">
        <v>0</v>
      </c>
      <c r="O338" s="2994">
        <v>0</v>
      </c>
      <c r="P338" s="2994">
        <v>0</v>
      </c>
      <c r="Q338" s="2994">
        <v>0</v>
      </c>
      <c r="R338" s="2994">
        <v>0</v>
      </c>
      <c r="S338" s="2994">
        <v>0</v>
      </c>
      <c r="T338" s="2994">
        <v>0</v>
      </c>
      <c r="U338" s="2994">
        <v>0</v>
      </c>
      <c r="V338" s="2994">
        <v>0</v>
      </c>
      <c r="W338" s="2994">
        <v>0</v>
      </c>
      <c r="X338" s="2994">
        <v>0</v>
      </c>
      <c r="Y338" s="2994">
        <v>5</v>
      </c>
      <c r="Z338" s="2994">
        <v>4</v>
      </c>
      <c r="AA338" s="2994">
        <v>6</v>
      </c>
      <c r="AB338" s="2994">
        <v>12</v>
      </c>
      <c r="AC338" s="2994">
        <v>0</v>
      </c>
      <c r="AD338" s="2994">
        <v>2.7778</v>
      </c>
      <c r="AE338" s="2994">
        <v>1.3043</v>
      </c>
      <c r="AF338" s="2994">
        <v>3.3452000000000002</v>
      </c>
      <c r="AG338" s="2994">
        <v>6.8587999999999996</v>
      </c>
      <c r="AH338" s="2994">
        <v>4.9551999999999996</v>
      </c>
      <c r="AI338" s="2994">
        <v>7.1841999999999997</v>
      </c>
      <c r="AJ338" s="2994">
        <v>5.07</v>
      </c>
      <c r="AK338" s="2994">
        <v>7.9661</v>
      </c>
      <c r="AL338" s="2994">
        <v>7.1315999999999997</v>
      </c>
      <c r="AM338" s="2994">
        <v>7.3461999999999996</v>
      </c>
      <c r="AN338" s="2994">
        <v>9.3964999999999996</v>
      </c>
      <c r="AO338" s="2994">
        <v>7.9451999999999998</v>
      </c>
      <c r="AP338" s="2994">
        <v>10.595499999999999</v>
      </c>
      <c r="AQ338" s="2994">
        <v>12</v>
      </c>
      <c r="AR338" s="2994">
        <v>11.8855</v>
      </c>
      <c r="AS338" s="2994">
        <v>11.6846</v>
      </c>
      <c r="AT338" s="2994">
        <v>11.8714</v>
      </c>
      <c r="AU338" s="2994">
        <v>12.4129</v>
      </c>
      <c r="AV338" s="2994">
        <v>7.3701999999999996</v>
      </c>
      <c r="AW338" s="2994">
        <v>12.4611</v>
      </c>
      <c r="AX338" s="2994">
        <v>9.5585000000000004</v>
      </c>
      <c r="AY338" s="2994">
        <v>9.4301999999999992</v>
      </c>
      <c r="AZ338" s="2994">
        <v>9.2918000000000003</v>
      </c>
      <c r="BA338" s="2994">
        <v>12.3301</v>
      </c>
      <c r="BB338" s="2994">
        <v>10.4648</v>
      </c>
      <c r="BC338" s="2994">
        <v>11.9137</v>
      </c>
      <c r="BD338" s="3471">
        <v>12.996</v>
      </c>
      <c r="BE338" s="3471">
        <v>16.065999999999999</v>
      </c>
      <c r="BF338" s="3471">
        <v>0</v>
      </c>
    </row>
    <row r="339" spans="1:58">
      <c r="A339" s="1817" t="str">
        <f t="shared" si="11"/>
        <v>Central AmericaAsparagus</v>
      </c>
      <c r="B339" s="1818" t="s">
        <v>305</v>
      </c>
      <c r="C339" s="1818" t="s">
        <v>7289</v>
      </c>
      <c r="D339" s="3463" t="str">
        <f>VLOOKUP(B339,List_Yield!$G$4:$J$14,4,FALSE)</f>
        <v>Central America</v>
      </c>
      <c r="E339" s="3463" t="str">
        <f t="shared" si="10"/>
        <v>Central AmericaAsparagus</v>
      </c>
      <c r="F339" s="2994">
        <v>3.8462000000000001</v>
      </c>
      <c r="G339" s="2994">
        <v>3.8462000000000001</v>
      </c>
      <c r="H339" s="2994">
        <v>3.7037</v>
      </c>
      <c r="I339" s="2994">
        <v>3.7778</v>
      </c>
      <c r="J339" s="2994">
        <v>3.7778</v>
      </c>
      <c r="K339" s="2994">
        <v>3.7143000000000002</v>
      </c>
      <c r="L339" s="2994">
        <v>3.7856999999999998</v>
      </c>
      <c r="M339" s="2994">
        <v>3.9285999999999999</v>
      </c>
      <c r="N339" s="2994">
        <v>4.1379000000000001</v>
      </c>
      <c r="O339" s="2994">
        <v>4.3333000000000004</v>
      </c>
      <c r="P339" s="2994">
        <v>4.3834</v>
      </c>
      <c r="Q339" s="2994">
        <v>4</v>
      </c>
      <c r="R339" s="2994">
        <v>4.6666999999999996</v>
      </c>
      <c r="S339" s="2994">
        <v>4.6666999999999996</v>
      </c>
      <c r="T339" s="2994">
        <v>4.6601999999999997</v>
      </c>
      <c r="U339" s="2994">
        <v>4.2858000000000001</v>
      </c>
      <c r="V339" s="2994">
        <v>4.5837000000000003</v>
      </c>
      <c r="W339" s="2994">
        <v>6.2750000000000004</v>
      </c>
      <c r="X339" s="2994">
        <v>5.1334</v>
      </c>
      <c r="Y339" s="2994">
        <v>4.7161</v>
      </c>
      <c r="Z339" s="2994">
        <v>4.7304000000000004</v>
      </c>
      <c r="AA339" s="2994">
        <v>4.9004000000000003</v>
      </c>
      <c r="AB339" s="2994">
        <v>3.8841000000000001</v>
      </c>
      <c r="AC339" s="2994">
        <v>3.3839999999999999</v>
      </c>
      <c r="AD339" s="2994">
        <v>4.8041</v>
      </c>
      <c r="AE339" s="2994">
        <v>4.7782999999999998</v>
      </c>
      <c r="AF339" s="2994">
        <v>5.9505999999999997</v>
      </c>
      <c r="AG339" s="2994">
        <v>5.2377000000000002</v>
      </c>
      <c r="AH339" s="2994">
        <v>4.4837999999999996</v>
      </c>
      <c r="AI339" s="2994">
        <v>4.3305999999999996</v>
      </c>
      <c r="AJ339" s="2994">
        <v>4.0848000000000004</v>
      </c>
      <c r="AK339" s="2994">
        <v>3.8616999999999999</v>
      </c>
      <c r="AL339" s="2994">
        <v>3.2139000000000002</v>
      </c>
      <c r="AM339" s="2994">
        <v>3.7113</v>
      </c>
      <c r="AN339" s="2994">
        <v>3.6274000000000002</v>
      </c>
      <c r="AO339" s="2994">
        <v>3.0030000000000001</v>
      </c>
      <c r="AP339" s="2994">
        <v>3.3102</v>
      </c>
      <c r="AQ339" s="2994">
        <v>3.1568999999999998</v>
      </c>
      <c r="AR339" s="2994">
        <v>4.1047000000000002</v>
      </c>
      <c r="AS339" s="2994">
        <v>3.7631000000000001</v>
      </c>
      <c r="AT339" s="2994">
        <v>4.4260000000000002</v>
      </c>
      <c r="AU339" s="2994">
        <v>4.0030000000000001</v>
      </c>
      <c r="AV339" s="2994">
        <v>4.2877000000000001</v>
      </c>
      <c r="AW339" s="2994">
        <v>4.3920000000000003</v>
      </c>
      <c r="AX339" s="2994">
        <v>4.3178999999999998</v>
      </c>
      <c r="AY339" s="2994">
        <v>4.1810999999999998</v>
      </c>
      <c r="AZ339" s="2994">
        <v>4.3163999999999998</v>
      </c>
      <c r="BA339" s="2994">
        <v>4.3037999999999998</v>
      </c>
      <c r="BB339" s="2994">
        <v>4.2941000000000003</v>
      </c>
      <c r="BC339" s="2994">
        <v>4.2992999999999997</v>
      </c>
      <c r="BD339" s="3471">
        <v>4.2988999999999997</v>
      </c>
      <c r="BE339" s="3471">
        <v>7.3734000000000002</v>
      </c>
      <c r="BF339" s="3471">
        <v>0</v>
      </c>
    </row>
    <row r="340" spans="1:58">
      <c r="A340" s="1817" t="str">
        <f t="shared" si="11"/>
        <v>Central AmericaAvocados</v>
      </c>
      <c r="B340" s="1818" t="s">
        <v>305</v>
      </c>
      <c r="C340" s="1818" t="s">
        <v>7290</v>
      </c>
      <c r="D340" s="3463" t="str">
        <f>VLOOKUP(B340,List_Yield!$G$4:$J$14,4,FALSE)</f>
        <v>Central America</v>
      </c>
      <c r="E340" s="3463" t="str">
        <f t="shared" si="10"/>
        <v>Central AmericaAvocados</v>
      </c>
      <c r="F340" s="2994">
        <v>11.283899999999999</v>
      </c>
      <c r="G340" s="2994">
        <v>11.3497</v>
      </c>
      <c r="H340" s="2994">
        <v>11.634399999999999</v>
      </c>
      <c r="I340" s="2994">
        <v>11.634</v>
      </c>
      <c r="J340" s="2994">
        <v>11.869300000000001</v>
      </c>
      <c r="K340" s="2994">
        <v>11.4123</v>
      </c>
      <c r="L340" s="2994">
        <v>10.799799999999999</v>
      </c>
      <c r="M340" s="2994">
        <v>11.0932</v>
      </c>
      <c r="N340" s="2994">
        <v>11.002800000000001</v>
      </c>
      <c r="O340" s="2994">
        <v>10.895200000000001</v>
      </c>
      <c r="P340" s="2994">
        <v>9.5982000000000003</v>
      </c>
      <c r="Q340" s="2994">
        <v>8.7710000000000008</v>
      </c>
      <c r="R340" s="2994">
        <v>9.1312999999999995</v>
      </c>
      <c r="S340" s="2994">
        <v>8.0533999999999999</v>
      </c>
      <c r="T340" s="2994">
        <v>7.7976999999999999</v>
      </c>
      <c r="U340" s="2994">
        <v>7.8573000000000004</v>
      </c>
      <c r="V340" s="2994">
        <v>7.6383000000000001</v>
      </c>
      <c r="W340" s="2994">
        <v>7.8696999999999999</v>
      </c>
      <c r="X340" s="2994">
        <v>7.6516999999999999</v>
      </c>
      <c r="Y340" s="2994">
        <v>8.1679999999999993</v>
      </c>
      <c r="Z340" s="2994">
        <v>8.3208000000000002</v>
      </c>
      <c r="AA340" s="2994">
        <v>8.6193000000000008</v>
      </c>
      <c r="AB340" s="2994">
        <v>7.5301</v>
      </c>
      <c r="AC340" s="2994">
        <v>7.7912999999999997</v>
      </c>
      <c r="AD340" s="2994">
        <v>7.7530999999999999</v>
      </c>
      <c r="AE340" s="2994">
        <v>9.1952999999999996</v>
      </c>
      <c r="AF340" s="2994">
        <v>8.3710000000000004</v>
      </c>
      <c r="AG340" s="2994">
        <v>8.6193000000000008</v>
      </c>
      <c r="AH340" s="2994">
        <v>8.1655999999999995</v>
      </c>
      <c r="AI340" s="2994">
        <v>8.7116000000000007</v>
      </c>
      <c r="AJ340" s="2994">
        <v>9.1753999999999998</v>
      </c>
      <c r="AK340" s="2994">
        <v>8.1618999999999993</v>
      </c>
      <c r="AL340" s="2994">
        <v>8.4364000000000008</v>
      </c>
      <c r="AM340" s="2994">
        <v>8.7408999999999999</v>
      </c>
      <c r="AN340" s="2994">
        <v>8.6463999999999999</v>
      </c>
      <c r="AO340" s="2994">
        <v>9.0709</v>
      </c>
      <c r="AP340" s="2994">
        <v>9.0982000000000003</v>
      </c>
      <c r="AQ340" s="2994">
        <v>9.2448999999999995</v>
      </c>
      <c r="AR340" s="2994">
        <v>9.2025000000000006</v>
      </c>
      <c r="AS340" s="2994">
        <v>9.3513999999999999</v>
      </c>
      <c r="AT340" s="2994">
        <v>9.6363000000000003</v>
      </c>
      <c r="AU340" s="2994">
        <v>9.2865000000000002</v>
      </c>
      <c r="AV340" s="2994">
        <v>9.1862999999999992</v>
      </c>
      <c r="AW340" s="2994">
        <v>9.5129000000000001</v>
      </c>
      <c r="AX340" s="2994">
        <v>9.5495000000000001</v>
      </c>
      <c r="AY340" s="2994">
        <v>10.494899999999999</v>
      </c>
      <c r="AZ340" s="2994">
        <v>10.1328</v>
      </c>
      <c r="BA340" s="2994">
        <v>9.9258000000000006</v>
      </c>
      <c r="BB340" s="2994">
        <v>9.77</v>
      </c>
      <c r="BC340" s="2994">
        <v>8.7809000000000008</v>
      </c>
      <c r="BD340" s="3471">
        <v>9.6389999999999993</v>
      </c>
      <c r="BE340" s="3471">
        <v>9.7079000000000004</v>
      </c>
      <c r="BF340" s="3471">
        <v>0</v>
      </c>
    </row>
    <row r="341" spans="1:58">
      <c r="A341" s="1817" t="str">
        <f t="shared" si="11"/>
        <v>Central AmericaBambara beans</v>
      </c>
      <c r="B341" s="1818" t="s">
        <v>305</v>
      </c>
      <c r="C341" s="1818" t="s">
        <v>7291</v>
      </c>
      <c r="D341" s="3463" t="str">
        <f>VLOOKUP(B341,List_Yield!$G$4:$J$14,4,FALSE)</f>
        <v>Central America</v>
      </c>
      <c r="E341" s="3463" t="str">
        <f t="shared" si="10"/>
        <v>Central AmericaBambara beans</v>
      </c>
      <c r="F341" s="2994">
        <v>0</v>
      </c>
      <c r="G341" s="2994">
        <v>0</v>
      </c>
      <c r="H341" s="2994">
        <v>0</v>
      </c>
      <c r="I341" s="2994">
        <v>0</v>
      </c>
      <c r="J341" s="2994">
        <v>0</v>
      </c>
      <c r="K341" s="2994">
        <v>0</v>
      </c>
      <c r="L341" s="2994">
        <v>0</v>
      </c>
      <c r="M341" s="2994">
        <v>0</v>
      </c>
      <c r="N341" s="2994">
        <v>0</v>
      </c>
      <c r="O341" s="2994">
        <v>0</v>
      </c>
      <c r="P341" s="2994">
        <v>0</v>
      </c>
      <c r="Q341" s="2994">
        <v>0</v>
      </c>
      <c r="R341" s="2994">
        <v>0</v>
      </c>
      <c r="S341" s="2994">
        <v>0</v>
      </c>
      <c r="T341" s="2994">
        <v>0</v>
      </c>
      <c r="U341" s="2994">
        <v>0</v>
      </c>
      <c r="V341" s="2994">
        <v>0</v>
      </c>
      <c r="W341" s="2994">
        <v>0</v>
      </c>
      <c r="X341" s="2994">
        <v>0</v>
      </c>
      <c r="Y341" s="2994">
        <v>0</v>
      </c>
      <c r="Z341" s="2994">
        <v>0</v>
      </c>
      <c r="AA341" s="2994">
        <v>0</v>
      </c>
      <c r="AB341" s="2994">
        <v>0</v>
      </c>
      <c r="AC341" s="2994">
        <v>0</v>
      </c>
      <c r="AD341" s="2994">
        <v>0</v>
      </c>
      <c r="AE341" s="2994">
        <v>0</v>
      </c>
      <c r="AF341" s="2994">
        <v>0</v>
      </c>
      <c r="AG341" s="2994">
        <v>0</v>
      </c>
      <c r="AH341" s="2994">
        <v>0</v>
      </c>
      <c r="AI341" s="2994">
        <v>0</v>
      </c>
      <c r="AJ341" s="2994">
        <v>0</v>
      </c>
      <c r="AK341" s="2994">
        <v>0</v>
      </c>
      <c r="AL341" s="2994">
        <v>0</v>
      </c>
      <c r="AM341" s="2994">
        <v>0</v>
      </c>
      <c r="AN341" s="2994">
        <v>0</v>
      </c>
      <c r="AO341" s="2994">
        <v>0</v>
      </c>
      <c r="AP341" s="2994">
        <v>0</v>
      </c>
      <c r="AQ341" s="2994">
        <v>0</v>
      </c>
      <c r="AR341" s="2994">
        <v>0</v>
      </c>
      <c r="AS341" s="2994">
        <v>0</v>
      </c>
      <c r="AT341" s="2994">
        <v>0</v>
      </c>
      <c r="AU341" s="2994">
        <v>0</v>
      </c>
      <c r="AV341" s="2994">
        <v>0</v>
      </c>
      <c r="AW341" s="2994">
        <v>0</v>
      </c>
      <c r="AX341" s="2994">
        <v>0</v>
      </c>
      <c r="AY341" s="2994">
        <v>0</v>
      </c>
      <c r="AZ341" s="2994">
        <v>0</v>
      </c>
      <c r="BA341" s="2994">
        <v>0</v>
      </c>
      <c r="BB341" s="2994">
        <v>0</v>
      </c>
      <c r="BC341" s="2994">
        <v>0</v>
      </c>
      <c r="BD341" s="3471">
        <v>0</v>
      </c>
      <c r="BE341" s="3471">
        <v>0</v>
      </c>
      <c r="BF341" s="3471">
        <v>0</v>
      </c>
    </row>
    <row r="342" spans="1:58">
      <c r="A342" s="1817" t="str">
        <f t="shared" si="11"/>
        <v>Central AmericaBananas</v>
      </c>
      <c r="B342" s="1818" t="s">
        <v>305</v>
      </c>
      <c r="C342" s="1818" t="s">
        <v>1336</v>
      </c>
      <c r="D342" s="3463" t="str">
        <f>VLOOKUP(B342,List_Yield!$G$4:$J$14,4,FALSE)</f>
        <v>Central America</v>
      </c>
      <c r="E342" s="3463" t="str">
        <f t="shared" si="10"/>
        <v>Central AmericaBananas</v>
      </c>
      <c r="F342" s="2994">
        <v>17.757200000000001</v>
      </c>
      <c r="G342" s="2994">
        <v>17.764900000000001</v>
      </c>
      <c r="H342" s="2994">
        <v>17.798999999999999</v>
      </c>
      <c r="I342" s="2994">
        <v>17.531400000000001</v>
      </c>
      <c r="J342" s="2994">
        <v>17.986699999999999</v>
      </c>
      <c r="K342" s="2994">
        <v>19.675699999999999</v>
      </c>
      <c r="L342" s="2994">
        <v>20.889700000000001</v>
      </c>
      <c r="M342" s="2994">
        <v>23.1496</v>
      </c>
      <c r="N342" s="2994">
        <v>23.8796</v>
      </c>
      <c r="O342" s="2994">
        <v>23.828600000000002</v>
      </c>
      <c r="P342" s="2994">
        <v>24.416599999999999</v>
      </c>
      <c r="Q342" s="2994">
        <v>25.099</v>
      </c>
      <c r="R342" s="2994">
        <v>27.400300000000001</v>
      </c>
      <c r="S342" s="2994">
        <v>26.4451</v>
      </c>
      <c r="T342" s="2994">
        <v>23.1555</v>
      </c>
      <c r="U342" s="2994">
        <v>24.271899999999999</v>
      </c>
      <c r="V342" s="2994">
        <v>26.544</v>
      </c>
      <c r="W342" s="2994">
        <v>28.5243</v>
      </c>
      <c r="X342" s="2994">
        <v>31.117799999999999</v>
      </c>
      <c r="Y342" s="2994">
        <v>28.8734</v>
      </c>
      <c r="Z342" s="2994">
        <v>27.777000000000001</v>
      </c>
      <c r="AA342" s="2994">
        <v>30.790700000000001</v>
      </c>
      <c r="AB342" s="2994">
        <v>30.696100000000001</v>
      </c>
      <c r="AC342" s="2994">
        <v>33.964199999999998</v>
      </c>
      <c r="AD342" s="2994">
        <v>34.096800000000002</v>
      </c>
      <c r="AE342" s="2994">
        <v>31.8184</v>
      </c>
      <c r="AF342" s="2994">
        <v>34.631399999999999</v>
      </c>
      <c r="AG342" s="2994">
        <v>34.154400000000003</v>
      </c>
      <c r="AH342" s="2994">
        <v>35.7986</v>
      </c>
      <c r="AI342" s="2994">
        <v>37.354799999999997</v>
      </c>
      <c r="AJ342" s="2994">
        <v>36.268799999999999</v>
      </c>
      <c r="AK342" s="2994">
        <v>37.4694</v>
      </c>
      <c r="AL342" s="2994">
        <v>33.616999999999997</v>
      </c>
      <c r="AM342" s="2994">
        <v>34.4953</v>
      </c>
      <c r="AN342" s="2994">
        <v>35.143900000000002</v>
      </c>
      <c r="AO342" s="2994">
        <v>39.978999999999999</v>
      </c>
      <c r="AP342" s="2994">
        <v>35.792499999999997</v>
      </c>
      <c r="AQ342" s="2994">
        <v>35.851100000000002</v>
      </c>
      <c r="AR342" s="2994">
        <v>33.899099999999997</v>
      </c>
      <c r="AS342" s="2994">
        <v>35.054299999999998</v>
      </c>
      <c r="AT342" s="2994">
        <v>36.197600000000001</v>
      </c>
      <c r="AU342" s="2994">
        <v>39.6355</v>
      </c>
      <c r="AV342" s="2994">
        <v>39.6235</v>
      </c>
      <c r="AW342" s="2994">
        <v>39.763800000000003</v>
      </c>
      <c r="AX342" s="2994">
        <v>34.019599999999997</v>
      </c>
      <c r="AY342" s="2994">
        <v>37.583300000000001</v>
      </c>
      <c r="AZ342" s="2994">
        <v>36.494100000000003</v>
      </c>
      <c r="BA342" s="2994">
        <v>36.503900000000002</v>
      </c>
      <c r="BB342" s="2994">
        <v>36.119100000000003</v>
      </c>
      <c r="BC342" s="2994">
        <v>35.959800000000001</v>
      </c>
      <c r="BD342" s="3471">
        <v>36.742899999999999</v>
      </c>
      <c r="BE342" s="3471">
        <v>37.159999999999997</v>
      </c>
      <c r="BF342" s="3471">
        <v>0</v>
      </c>
    </row>
    <row r="343" spans="1:58">
      <c r="A343" s="1817" t="str">
        <f t="shared" si="11"/>
        <v>Central AmericaBarley</v>
      </c>
      <c r="B343" s="1818" t="s">
        <v>305</v>
      </c>
      <c r="C343" s="1818" t="s">
        <v>1337</v>
      </c>
      <c r="D343" s="3463" t="str">
        <f>VLOOKUP(B343,List_Yield!$G$4:$J$14,4,FALSE)</f>
        <v>Central America</v>
      </c>
      <c r="E343" s="3463" t="str">
        <f t="shared" si="10"/>
        <v>Central AmericaBarley</v>
      </c>
      <c r="F343" s="2994">
        <v>0.74709999999999999</v>
      </c>
      <c r="G343" s="2994">
        <v>0.78459999999999996</v>
      </c>
      <c r="H343" s="2994">
        <v>0.79879999999999995</v>
      </c>
      <c r="I343" s="2994">
        <v>0.80589999999999995</v>
      </c>
      <c r="J343" s="2994">
        <v>0.85419999999999996</v>
      </c>
      <c r="K343" s="2994">
        <v>0.9143</v>
      </c>
      <c r="L343" s="2994">
        <v>0.85299999999999998</v>
      </c>
      <c r="M343" s="2994">
        <v>1.0037</v>
      </c>
      <c r="N343" s="2994">
        <v>0.86760000000000004</v>
      </c>
      <c r="O343" s="2994">
        <v>1.0605</v>
      </c>
      <c r="P343" s="2994">
        <v>1.2222999999999999</v>
      </c>
      <c r="Q343" s="2994">
        <v>1.4262999999999999</v>
      </c>
      <c r="R343" s="2994">
        <v>1.4948999999999999</v>
      </c>
      <c r="S343" s="2994">
        <v>1.4444999999999999</v>
      </c>
      <c r="T343" s="2994">
        <v>1.5367999999999999</v>
      </c>
      <c r="U343" s="2994">
        <v>1.5107999999999999</v>
      </c>
      <c r="V343" s="2994">
        <v>1.6812</v>
      </c>
      <c r="W343" s="2994">
        <v>1.7044999999999999</v>
      </c>
      <c r="X343" s="2994">
        <v>1.4683999999999999</v>
      </c>
      <c r="Y343" s="2994">
        <v>1.6593</v>
      </c>
      <c r="Z343" s="2994">
        <v>2.0293999999999999</v>
      </c>
      <c r="AA343" s="2994">
        <v>1.8453999999999999</v>
      </c>
      <c r="AB343" s="2994">
        <v>1.8355999999999999</v>
      </c>
      <c r="AC343" s="2994">
        <v>2.1852999999999998</v>
      </c>
      <c r="AD343" s="2994">
        <v>1.9105000000000001</v>
      </c>
      <c r="AE343" s="2994">
        <v>1.9214</v>
      </c>
      <c r="AF343" s="2994">
        <v>2.157</v>
      </c>
      <c r="AG343" s="2994">
        <v>1.4978</v>
      </c>
      <c r="AH343" s="2994">
        <v>1.6486000000000001</v>
      </c>
      <c r="AI343" s="2994">
        <v>1.8684000000000001</v>
      </c>
      <c r="AJ343" s="2994">
        <v>2.0388999999999999</v>
      </c>
      <c r="AK343" s="2994">
        <v>1.8935999999999999</v>
      </c>
      <c r="AL343" s="2994">
        <v>2.3028</v>
      </c>
      <c r="AM343" s="2994">
        <v>2.6377000000000002</v>
      </c>
      <c r="AN343" s="2994">
        <v>1.9713000000000001</v>
      </c>
      <c r="AO343" s="2994">
        <v>2.0638000000000001</v>
      </c>
      <c r="AP343" s="2994">
        <v>1.9281999999999999</v>
      </c>
      <c r="AQ343" s="2994">
        <v>1.5327</v>
      </c>
      <c r="AR343" s="2994">
        <v>1.9911000000000001</v>
      </c>
      <c r="AS343" s="2994">
        <v>2.4447999999999999</v>
      </c>
      <c r="AT343" s="2994">
        <v>2.444</v>
      </c>
      <c r="AU343" s="2994">
        <v>2.5977000000000001</v>
      </c>
      <c r="AV343" s="2994">
        <v>2.9681000000000002</v>
      </c>
      <c r="AW343" s="2994">
        <v>2.851</v>
      </c>
      <c r="AX343" s="2994">
        <v>2.4786999999999999</v>
      </c>
      <c r="AY343" s="2994">
        <v>2.7503000000000002</v>
      </c>
      <c r="AZ343" s="2994">
        <v>2.2789999999999999</v>
      </c>
      <c r="BA343" s="2994">
        <v>2.5108999999999999</v>
      </c>
      <c r="BB343" s="2994">
        <v>2.1667000000000001</v>
      </c>
      <c r="BC343" s="2994">
        <v>2.5070999999999999</v>
      </c>
      <c r="BD343" s="3471">
        <v>2.2277999999999998</v>
      </c>
      <c r="BE343" s="3471">
        <v>3.1368</v>
      </c>
      <c r="BF343" s="3471">
        <v>1.9994000000000001</v>
      </c>
    </row>
    <row r="344" spans="1:58">
      <c r="A344" s="1817" t="str">
        <f t="shared" si="11"/>
        <v>Central AmericaBastfibres, other</v>
      </c>
      <c r="B344" s="1818" t="s">
        <v>305</v>
      </c>
      <c r="C344" s="1818" t="s">
        <v>7292</v>
      </c>
      <c r="D344" s="3463" t="str">
        <f>VLOOKUP(B344,List_Yield!$G$4:$J$14,4,FALSE)</f>
        <v>Central America</v>
      </c>
      <c r="E344" s="3463" t="str">
        <f t="shared" si="10"/>
        <v>Central AmericaBastfibres, other</v>
      </c>
      <c r="F344" s="2994">
        <v>1.2666999999999999</v>
      </c>
      <c r="G344" s="2994">
        <v>1.25</v>
      </c>
      <c r="H344" s="2994">
        <v>1.1578999999999999</v>
      </c>
      <c r="I344" s="2994">
        <v>1.75</v>
      </c>
      <c r="J344" s="2994">
        <v>1.7895000000000001</v>
      </c>
      <c r="K344" s="2994">
        <v>1.7538</v>
      </c>
      <c r="L344" s="2994">
        <v>1.6129</v>
      </c>
      <c r="M344" s="2994">
        <v>1.6552</v>
      </c>
      <c r="N344" s="2994">
        <v>1.7352000000000001</v>
      </c>
      <c r="O344" s="2994">
        <v>1.4872000000000001</v>
      </c>
      <c r="P344" s="2994">
        <v>1.7582</v>
      </c>
      <c r="Q344" s="2994">
        <v>1.7644</v>
      </c>
      <c r="R344" s="2994">
        <v>1.7492000000000001</v>
      </c>
      <c r="S344" s="2994">
        <v>1.8142</v>
      </c>
      <c r="T344" s="2994">
        <v>1.8070999999999999</v>
      </c>
      <c r="U344" s="2994">
        <v>0.9718</v>
      </c>
      <c r="V344" s="2994">
        <v>0.94059999999999999</v>
      </c>
      <c r="W344" s="2994">
        <v>1.3966000000000001</v>
      </c>
      <c r="X344" s="2994">
        <v>1.04</v>
      </c>
      <c r="Y344" s="2994">
        <v>1.0933999999999999</v>
      </c>
      <c r="Z344" s="2994">
        <v>1.1117999999999999</v>
      </c>
      <c r="AA344" s="2994">
        <v>1.1093999999999999</v>
      </c>
      <c r="AB344" s="2994">
        <v>1.1388</v>
      </c>
      <c r="AC344" s="2994">
        <v>1.1579999999999999</v>
      </c>
      <c r="AD344" s="2994">
        <v>1.3816999999999999</v>
      </c>
      <c r="AE344" s="2994">
        <v>1.3851</v>
      </c>
      <c r="AF344" s="2994">
        <v>1.3986000000000001</v>
      </c>
      <c r="AG344" s="2994">
        <v>1.4054</v>
      </c>
      <c r="AH344" s="2994">
        <v>1.0315000000000001</v>
      </c>
      <c r="AI344" s="2994">
        <v>1.0122</v>
      </c>
      <c r="AJ344" s="2994">
        <v>1.0043</v>
      </c>
      <c r="AK344" s="2994">
        <v>1.0029999999999999</v>
      </c>
      <c r="AL344" s="2994">
        <v>1.0023</v>
      </c>
      <c r="AM344" s="2994">
        <v>1</v>
      </c>
      <c r="AN344" s="2994">
        <v>0.97640000000000005</v>
      </c>
      <c r="AO344" s="2994">
        <v>1.1343000000000001</v>
      </c>
      <c r="AP344" s="2994">
        <v>1.1082000000000001</v>
      </c>
      <c r="AQ344" s="2994">
        <v>1.1096999999999999</v>
      </c>
      <c r="AR344" s="2994">
        <v>0.75490000000000002</v>
      </c>
      <c r="AS344" s="2994">
        <v>0.78</v>
      </c>
      <c r="AT344" s="2994">
        <v>0.8095</v>
      </c>
      <c r="AU344" s="2994">
        <v>0.54059999999999997</v>
      </c>
      <c r="AV344" s="2994">
        <v>0.52590000000000003</v>
      </c>
      <c r="AW344" s="2994">
        <v>0.86060000000000003</v>
      </c>
      <c r="AX344" s="2994">
        <v>0.79459999999999997</v>
      </c>
      <c r="AY344" s="2994">
        <v>0.78080000000000005</v>
      </c>
      <c r="AZ344" s="2994">
        <v>0.76839999999999997</v>
      </c>
      <c r="BA344" s="2994">
        <v>0.81420000000000003</v>
      </c>
      <c r="BB344" s="2994">
        <v>0.72270000000000001</v>
      </c>
      <c r="BC344" s="2994">
        <v>0.61140000000000005</v>
      </c>
      <c r="BD344" s="3471">
        <v>0.67120000000000002</v>
      </c>
      <c r="BE344" s="3471">
        <v>0.67120000000000002</v>
      </c>
      <c r="BF344" s="3471">
        <v>0</v>
      </c>
    </row>
    <row r="345" spans="1:58">
      <c r="A345" s="1817" t="str">
        <f t="shared" si="11"/>
        <v>Central AmericaBeans, dry</v>
      </c>
      <c r="B345" s="1818" t="s">
        <v>305</v>
      </c>
      <c r="C345" s="1818" t="s">
        <v>1338</v>
      </c>
      <c r="D345" s="3463" t="str">
        <f>VLOOKUP(B345,List_Yield!$G$4:$J$14,4,FALSE)</f>
        <v>Central America</v>
      </c>
      <c r="E345" s="3463" t="str">
        <f t="shared" si="10"/>
        <v>Central AmericaBeans, dry</v>
      </c>
      <c r="F345" s="2994">
        <v>0.46629999999999999</v>
      </c>
      <c r="G345" s="2994">
        <v>0.41849999999999998</v>
      </c>
      <c r="H345" s="2994">
        <v>0.42630000000000001</v>
      </c>
      <c r="I345" s="2994">
        <v>0.45190000000000002</v>
      </c>
      <c r="J345" s="2994">
        <v>0.43459999999999999</v>
      </c>
      <c r="K345" s="2994">
        <v>0.47570000000000001</v>
      </c>
      <c r="L345" s="2994">
        <v>0.5272</v>
      </c>
      <c r="M345" s="2994">
        <v>0.50519999999999998</v>
      </c>
      <c r="N345" s="2994">
        <v>0.53129999999999999</v>
      </c>
      <c r="O345" s="2994">
        <v>0.53749999999999998</v>
      </c>
      <c r="P345" s="2994">
        <v>0.49469999999999997</v>
      </c>
      <c r="Q345" s="2994">
        <v>0.52549999999999997</v>
      </c>
      <c r="R345" s="2994">
        <v>0.55259999999999998</v>
      </c>
      <c r="S345" s="2994">
        <v>0.63129999999999997</v>
      </c>
      <c r="T345" s="2994">
        <v>0.58160000000000001</v>
      </c>
      <c r="U345" s="2994">
        <v>0.5706</v>
      </c>
      <c r="V345" s="2994">
        <v>0.48970000000000002</v>
      </c>
      <c r="W345" s="2994">
        <v>0.61899999999999999</v>
      </c>
      <c r="X345" s="2994">
        <v>0.61960000000000004</v>
      </c>
      <c r="Y345" s="2994">
        <v>0.61019999999999996</v>
      </c>
      <c r="Z345" s="2994">
        <v>0.67879999999999996</v>
      </c>
      <c r="AA345" s="2994">
        <v>0.63849999999999996</v>
      </c>
      <c r="AB345" s="2994">
        <v>0.65990000000000004</v>
      </c>
      <c r="AC345" s="2994">
        <v>0.5786</v>
      </c>
      <c r="AD345" s="2994">
        <v>0.53639999999999999</v>
      </c>
      <c r="AE345" s="2994">
        <v>0.59960000000000002</v>
      </c>
      <c r="AF345" s="2994">
        <v>0.56899999999999995</v>
      </c>
      <c r="AG345" s="2994">
        <v>0.48070000000000002</v>
      </c>
      <c r="AH345" s="2994">
        <v>0.51029999999999998</v>
      </c>
      <c r="AI345" s="2994">
        <v>0.63980000000000004</v>
      </c>
      <c r="AJ345" s="2994">
        <v>0.69740000000000002</v>
      </c>
      <c r="AK345" s="2994">
        <v>0.59430000000000005</v>
      </c>
      <c r="AL345" s="2994">
        <v>0.69320000000000004</v>
      </c>
      <c r="AM345" s="2994">
        <v>0.65720000000000001</v>
      </c>
      <c r="AN345" s="2994">
        <v>0.63219999999999998</v>
      </c>
      <c r="AO345" s="2994">
        <v>0.66200000000000003</v>
      </c>
      <c r="AP345" s="2994">
        <v>0.60829999999999995</v>
      </c>
      <c r="AQ345" s="2994">
        <v>0.6109</v>
      </c>
      <c r="AR345" s="2994">
        <v>0.62680000000000002</v>
      </c>
      <c r="AS345" s="2994">
        <v>0.63370000000000004</v>
      </c>
      <c r="AT345" s="2994">
        <v>0.66090000000000004</v>
      </c>
      <c r="AU345" s="2994">
        <v>0.75339999999999996</v>
      </c>
      <c r="AV345" s="2994">
        <v>0.75160000000000005</v>
      </c>
      <c r="AW345" s="2994">
        <v>0.71160000000000001</v>
      </c>
      <c r="AX345" s="2994">
        <v>0.67920000000000003</v>
      </c>
      <c r="AY345" s="2994">
        <v>0.78500000000000003</v>
      </c>
      <c r="AZ345" s="2994">
        <v>0.69269999999999998</v>
      </c>
      <c r="BA345" s="2994">
        <v>0.72270000000000001</v>
      </c>
      <c r="BB345" s="2994">
        <v>0.83950000000000002</v>
      </c>
      <c r="BC345" s="2994">
        <v>0.72570000000000001</v>
      </c>
      <c r="BD345" s="3471">
        <v>0.70289999999999997</v>
      </c>
      <c r="BE345" s="3471">
        <v>0.746</v>
      </c>
      <c r="BF345" s="3471">
        <v>0.78269999999999995</v>
      </c>
    </row>
    <row r="346" spans="1:58">
      <c r="A346" s="1817" t="str">
        <f t="shared" si="11"/>
        <v>Central AmericaBeans, green</v>
      </c>
      <c r="B346" s="1818" t="s">
        <v>305</v>
      </c>
      <c r="C346" s="1818" t="s">
        <v>1339</v>
      </c>
      <c r="D346" s="3463" t="str">
        <f>VLOOKUP(B346,List_Yield!$G$4:$J$14,4,FALSE)</f>
        <v>Central America</v>
      </c>
      <c r="E346" s="3463" t="str">
        <f t="shared" si="10"/>
        <v>Central AmericaBeans, green</v>
      </c>
      <c r="F346" s="2994">
        <v>1.4979</v>
      </c>
      <c r="G346" s="2994">
        <v>1.5586</v>
      </c>
      <c r="H346" s="2994">
        <v>1.5309999999999999</v>
      </c>
      <c r="I346" s="2994">
        <v>1.5470999999999999</v>
      </c>
      <c r="J346" s="2994">
        <v>1.5962000000000001</v>
      </c>
      <c r="K346" s="2994">
        <v>1.6364000000000001</v>
      </c>
      <c r="L346" s="2994">
        <v>1.5823</v>
      </c>
      <c r="M346" s="2994">
        <v>1.617</v>
      </c>
      <c r="N346" s="2994">
        <v>1.6982999999999999</v>
      </c>
      <c r="O346" s="2994">
        <v>1.7173</v>
      </c>
      <c r="P346" s="2994">
        <v>2.3814000000000002</v>
      </c>
      <c r="Q346" s="2994">
        <v>2.7275999999999998</v>
      </c>
      <c r="R346" s="2994">
        <v>2.8468</v>
      </c>
      <c r="S346" s="2994">
        <v>2.5952000000000002</v>
      </c>
      <c r="T346" s="2994">
        <v>2.8489</v>
      </c>
      <c r="U346" s="2994">
        <v>2.9251999999999998</v>
      </c>
      <c r="V346" s="2994">
        <v>2.6124999999999998</v>
      </c>
      <c r="W346" s="2994">
        <v>3.2534000000000001</v>
      </c>
      <c r="X346" s="2994">
        <v>5.4690000000000003</v>
      </c>
      <c r="Y346" s="2994">
        <v>5.4569000000000001</v>
      </c>
      <c r="Z346" s="2994">
        <v>4.8339999999999996</v>
      </c>
      <c r="AA346" s="2994">
        <v>5.8146000000000004</v>
      </c>
      <c r="AB346" s="2994">
        <v>5.3113000000000001</v>
      </c>
      <c r="AC346" s="2994">
        <v>5.7546999999999997</v>
      </c>
      <c r="AD346" s="2994">
        <v>6.2167000000000003</v>
      </c>
      <c r="AE346" s="2994">
        <v>5.4196</v>
      </c>
      <c r="AF346" s="2994">
        <v>5.8705999999999996</v>
      </c>
      <c r="AG346" s="2994">
        <v>4.7385999999999999</v>
      </c>
      <c r="AH346" s="2994">
        <v>5.2645999999999997</v>
      </c>
      <c r="AI346" s="2994">
        <v>5.6524000000000001</v>
      </c>
      <c r="AJ346" s="2994">
        <v>6.0582000000000003</v>
      </c>
      <c r="AK346" s="2994">
        <v>6.1090999999999998</v>
      </c>
      <c r="AL346" s="2994">
        <v>7.0976999999999997</v>
      </c>
      <c r="AM346" s="2994">
        <v>5.4938000000000002</v>
      </c>
      <c r="AN346" s="2994">
        <v>5.6124999999999998</v>
      </c>
      <c r="AO346" s="2994">
        <v>7.6390000000000002</v>
      </c>
      <c r="AP346" s="2994">
        <v>7.5750000000000002</v>
      </c>
      <c r="AQ346" s="2994">
        <v>6.7539999999999996</v>
      </c>
      <c r="AR346" s="2994">
        <v>10.2615</v>
      </c>
      <c r="AS346" s="2994">
        <v>8.6189</v>
      </c>
      <c r="AT346" s="2994">
        <v>9.2715999999999994</v>
      </c>
      <c r="AU346" s="2994">
        <v>9.3917000000000002</v>
      </c>
      <c r="AV346" s="2994">
        <v>9.6356000000000002</v>
      </c>
      <c r="AW346" s="2994">
        <v>9.9908000000000001</v>
      </c>
      <c r="AX346" s="2994">
        <v>9.2286999999999999</v>
      </c>
      <c r="AY346" s="2994">
        <v>9.8080999999999996</v>
      </c>
      <c r="AZ346" s="2994">
        <v>9.9367999999999999</v>
      </c>
      <c r="BA346" s="2994">
        <v>9.8427000000000007</v>
      </c>
      <c r="BB346" s="2994">
        <v>8.4288000000000007</v>
      </c>
      <c r="BC346" s="2994">
        <v>9.1768999999999998</v>
      </c>
      <c r="BD346" s="3471">
        <v>9.0328999999999997</v>
      </c>
      <c r="BE346" s="3471">
        <v>8.8454999999999995</v>
      </c>
      <c r="BF346" s="3471">
        <v>0</v>
      </c>
    </row>
    <row r="347" spans="1:58">
      <c r="A347" s="1817" t="str">
        <f t="shared" si="11"/>
        <v>Central AmericaBerries nes</v>
      </c>
      <c r="B347" s="1818" t="s">
        <v>305</v>
      </c>
      <c r="C347" s="1818" t="s">
        <v>7293</v>
      </c>
      <c r="D347" s="3463" t="str">
        <f>VLOOKUP(B347,List_Yield!$G$4:$J$14,4,FALSE)</f>
        <v>Central America</v>
      </c>
      <c r="E347" s="3463" t="str">
        <f t="shared" si="10"/>
        <v>Central AmericaBerries nes</v>
      </c>
      <c r="F347" s="2994">
        <v>0</v>
      </c>
      <c r="G347" s="2994">
        <v>0</v>
      </c>
      <c r="H347" s="2994">
        <v>0</v>
      </c>
      <c r="I347" s="2994">
        <v>0</v>
      </c>
      <c r="J347" s="2994">
        <v>0</v>
      </c>
      <c r="K347" s="2994">
        <v>0</v>
      </c>
      <c r="L347" s="2994">
        <v>0</v>
      </c>
      <c r="M347" s="2994">
        <v>0</v>
      </c>
      <c r="N347" s="2994">
        <v>0</v>
      </c>
      <c r="O347" s="2994">
        <v>0</v>
      </c>
      <c r="P347" s="2994">
        <v>0</v>
      </c>
      <c r="Q347" s="2994">
        <v>0</v>
      </c>
      <c r="R347" s="2994">
        <v>0</v>
      </c>
      <c r="S347" s="2994">
        <v>0</v>
      </c>
      <c r="T347" s="2994">
        <v>0</v>
      </c>
      <c r="U347" s="2994">
        <v>0</v>
      </c>
      <c r="V347" s="2994">
        <v>0</v>
      </c>
      <c r="W347" s="2994">
        <v>0</v>
      </c>
      <c r="X347" s="2994">
        <v>0</v>
      </c>
      <c r="Y347" s="2994">
        <v>0</v>
      </c>
      <c r="Z347" s="2994">
        <v>0</v>
      </c>
      <c r="AA347" s="2994">
        <v>0</v>
      </c>
      <c r="AB347" s="2994">
        <v>0</v>
      </c>
      <c r="AC347" s="2994">
        <v>0</v>
      </c>
      <c r="AD347" s="2994">
        <v>34</v>
      </c>
      <c r="AE347" s="2994">
        <v>35</v>
      </c>
      <c r="AF347" s="2994">
        <v>34</v>
      </c>
      <c r="AG347" s="2994">
        <v>34</v>
      </c>
      <c r="AH347" s="2994">
        <v>30</v>
      </c>
      <c r="AI347" s="2994">
        <v>30.054300000000001</v>
      </c>
      <c r="AJ347" s="2994">
        <v>17.583300000000001</v>
      </c>
      <c r="AK347" s="2994">
        <v>5.5250000000000004</v>
      </c>
      <c r="AL347" s="2994">
        <v>18.598600000000001</v>
      </c>
      <c r="AM347" s="2994">
        <v>11.0769</v>
      </c>
      <c r="AN347" s="2994">
        <v>14.2662</v>
      </c>
      <c r="AO347" s="2994">
        <v>14.3917</v>
      </c>
      <c r="AP347" s="2994">
        <v>8.2550000000000008</v>
      </c>
      <c r="AQ347" s="2994">
        <v>11.969200000000001</v>
      </c>
      <c r="AR347" s="2994">
        <v>12.673400000000001</v>
      </c>
      <c r="AS347" s="2994">
        <v>13.5054</v>
      </c>
      <c r="AT347" s="2994">
        <v>12.086499999999999</v>
      </c>
      <c r="AU347" s="2994">
        <v>11.0962</v>
      </c>
      <c r="AV347" s="2994">
        <v>13.9664</v>
      </c>
      <c r="AW347" s="2994">
        <v>12.647</v>
      </c>
      <c r="AX347" s="2994">
        <v>13.3635</v>
      </c>
      <c r="AY347" s="2994">
        <v>14.0449</v>
      </c>
      <c r="AZ347" s="2994">
        <v>13.7317</v>
      </c>
      <c r="BA347" s="2994">
        <v>18.315000000000001</v>
      </c>
      <c r="BB347" s="2994">
        <v>17.362400000000001</v>
      </c>
      <c r="BC347" s="2994">
        <v>9.6728000000000005</v>
      </c>
      <c r="BD347" s="3471">
        <v>12.657500000000001</v>
      </c>
      <c r="BE347" s="3471">
        <v>12.254200000000001</v>
      </c>
      <c r="BF347" s="3471">
        <v>0</v>
      </c>
    </row>
    <row r="348" spans="1:58">
      <c r="A348" s="1817" t="str">
        <f t="shared" si="11"/>
        <v>Central AmericaBlueberries</v>
      </c>
      <c r="B348" s="1818" t="s">
        <v>305</v>
      </c>
      <c r="C348" s="1818" t="s">
        <v>7294</v>
      </c>
      <c r="D348" s="3463" t="str">
        <f>VLOOKUP(B348,List_Yield!$G$4:$J$14,4,FALSE)</f>
        <v>Central America</v>
      </c>
      <c r="E348" s="3463" t="str">
        <f t="shared" si="10"/>
        <v>Central AmericaBlueberries</v>
      </c>
      <c r="F348" s="2994">
        <v>0</v>
      </c>
      <c r="G348" s="2994">
        <v>0</v>
      </c>
      <c r="H348" s="2994">
        <v>0</v>
      </c>
      <c r="I348" s="2994">
        <v>0</v>
      </c>
      <c r="J348" s="2994">
        <v>0</v>
      </c>
      <c r="K348" s="2994">
        <v>0</v>
      </c>
      <c r="L348" s="2994">
        <v>0</v>
      </c>
      <c r="M348" s="2994">
        <v>0</v>
      </c>
      <c r="N348" s="2994">
        <v>0</v>
      </c>
      <c r="O348" s="2994">
        <v>0</v>
      </c>
      <c r="P348" s="2994">
        <v>0</v>
      </c>
      <c r="Q348" s="2994">
        <v>0</v>
      </c>
      <c r="R348" s="2994">
        <v>0</v>
      </c>
      <c r="S348" s="2994">
        <v>0</v>
      </c>
      <c r="T348" s="2994">
        <v>0</v>
      </c>
      <c r="U348" s="2994">
        <v>0</v>
      </c>
      <c r="V348" s="2994">
        <v>0</v>
      </c>
      <c r="W348" s="2994">
        <v>0</v>
      </c>
      <c r="X348" s="2994">
        <v>0</v>
      </c>
      <c r="Y348" s="2994">
        <v>0</v>
      </c>
      <c r="Z348" s="2994">
        <v>0</v>
      </c>
      <c r="AA348" s="2994">
        <v>0</v>
      </c>
      <c r="AB348" s="2994">
        <v>0</v>
      </c>
      <c r="AC348" s="2994">
        <v>0</v>
      </c>
      <c r="AD348" s="2994">
        <v>0</v>
      </c>
      <c r="AE348" s="2994">
        <v>0</v>
      </c>
      <c r="AF348" s="2994">
        <v>0</v>
      </c>
      <c r="AG348" s="2994">
        <v>0</v>
      </c>
      <c r="AH348" s="2994">
        <v>0</v>
      </c>
      <c r="AI348" s="2994">
        <v>0</v>
      </c>
      <c r="AJ348" s="2994">
        <v>0</v>
      </c>
      <c r="AK348" s="2994">
        <v>0</v>
      </c>
      <c r="AL348" s="2994">
        <v>4</v>
      </c>
      <c r="AM348" s="2994">
        <v>5.36</v>
      </c>
      <c r="AN348" s="2994">
        <v>4.8150000000000004</v>
      </c>
      <c r="AO348" s="2994">
        <v>5.5</v>
      </c>
      <c r="AP348" s="2994">
        <v>2.8250000000000002</v>
      </c>
      <c r="AQ348" s="2994">
        <v>3.3913000000000002</v>
      </c>
      <c r="AR348" s="2994">
        <v>4.1818</v>
      </c>
      <c r="AS348" s="2994">
        <v>4.75</v>
      </c>
      <c r="AT348" s="2994">
        <v>6.3333000000000004</v>
      </c>
      <c r="AU348" s="2994">
        <v>5.3333000000000004</v>
      </c>
      <c r="AV348" s="2994">
        <v>4.9166999999999996</v>
      </c>
      <c r="AW348" s="2994">
        <v>4.6666999999999996</v>
      </c>
      <c r="AX348" s="2994">
        <v>4.3333000000000004</v>
      </c>
      <c r="AY348" s="2994">
        <v>4.7142999999999997</v>
      </c>
      <c r="AZ348" s="2994">
        <v>8.7857000000000003</v>
      </c>
      <c r="BA348" s="2994">
        <v>2.4194</v>
      </c>
      <c r="BB348" s="2994">
        <v>8.3947000000000003</v>
      </c>
      <c r="BC348" s="2994">
        <v>9.9906000000000006</v>
      </c>
      <c r="BD348" s="3471">
        <v>10.540900000000001</v>
      </c>
      <c r="BE348" s="3471">
        <v>8.1254000000000008</v>
      </c>
      <c r="BF348" s="3471">
        <v>0</v>
      </c>
    </row>
    <row r="349" spans="1:58">
      <c r="A349" s="1817" t="str">
        <f t="shared" si="11"/>
        <v>Central AmericaBrazil nuts, with shell</v>
      </c>
      <c r="B349" s="1818" t="s">
        <v>305</v>
      </c>
      <c r="C349" s="1818" t="s">
        <v>7295</v>
      </c>
      <c r="D349" s="3463" t="str">
        <f>VLOOKUP(B349,List_Yield!$G$4:$J$14,4,FALSE)</f>
        <v>Central America</v>
      </c>
      <c r="E349" s="3463" t="str">
        <f t="shared" si="10"/>
        <v>Central AmericaBrazil nuts, with shell</v>
      </c>
      <c r="F349" s="2994">
        <v>0</v>
      </c>
      <c r="G349" s="2994">
        <v>0</v>
      </c>
      <c r="H349" s="2994">
        <v>0</v>
      </c>
      <c r="I349" s="2994">
        <v>0</v>
      </c>
      <c r="J349" s="2994">
        <v>0</v>
      </c>
      <c r="K349" s="2994">
        <v>0</v>
      </c>
      <c r="L349" s="2994">
        <v>0</v>
      </c>
      <c r="M349" s="2994">
        <v>0</v>
      </c>
      <c r="N349" s="2994">
        <v>0</v>
      </c>
      <c r="O349" s="2994">
        <v>0</v>
      </c>
      <c r="P349" s="2994">
        <v>0</v>
      </c>
      <c r="Q349" s="2994">
        <v>0</v>
      </c>
      <c r="R349" s="2994">
        <v>0</v>
      </c>
      <c r="S349" s="2994">
        <v>0</v>
      </c>
      <c r="T349" s="2994">
        <v>0</v>
      </c>
      <c r="U349" s="2994">
        <v>0</v>
      </c>
      <c r="V349" s="2994">
        <v>0</v>
      </c>
      <c r="W349" s="2994">
        <v>0</v>
      </c>
      <c r="X349" s="2994">
        <v>0</v>
      </c>
      <c r="Y349" s="2994">
        <v>0</v>
      </c>
      <c r="Z349" s="2994">
        <v>0</v>
      </c>
      <c r="AA349" s="2994">
        <v>0</v>
      </c>
      <c r="AB349" s="2994">
        <v>0</v>
      </c>
      <c r="AC349" s="2994">
        <v>0</v>
      </c>
      <c r="AD349" s="2994">
        <v>0</v>
      </c>
      <c r="AE349" s="2994">
        <v>0</v>
      </c>
      <c r="AF349" s="2994">
        <v>0</v>
      </c>
      <c r="AG349" s="2994">
        <v>0</v>
      </c>
      <c r="AH349" s="2994">
        <v>0</v>
      </c>
      <c r="AI349" s="2994">
        <v>0</v>
      </c>
      <c r="AJ349" s="2994">
        <v>0</v>
      </c>
      <c r="AK349" s="2994">
        <v>0</v>
      </c>
      <c r="AL349" s="2994">
        <v>0</v>
      </c>
      <c r="AM349" s="2994">
        <v>0</v>
      </c>
      <c r="AN349" s="2994">
        <v>0</v>
      </c>
      <c r="AO349" s="2994">
        <v>0</v>
      </c>
      <c r="AP349" s="2994">
        <v>0</v>
      </c>
      <c r="AQ349" s="2994">
        <v>0</v>
      </c>
      <c r="AR349" s="2994">
        <v>0</v>
      </c>
      <c r="AS349" s="2994">
        <v>0</v>
      </c>
      <c r="AT349" s="2994">
        <v>0</v>
      </c>
      <c r="AU349" s="2994">
        <v>0</v>
      </c>
      <c r="AV349" s="2994">
        <v>0</v>
      </c>
      <c r="AW349" s="2994">
        <v>0</v>
      </c>
      <c r="AX349" s="2994">
        <v>0</v>
      </c>
      <c r="AY349" s="2994">
        <v>0</v>
      </c>
      <c r="AZ349" s="2994">
        <v>0</v>
      </c>
      <c r="BA349" s="2994">
        <v>0</v>
      </c>
      <c r="BB349" s="2994">
        <v>0</v>
      </c>
      <c r="BC349" s="2994">
        <v>0</v>
      </c>
      <c r="BD349" s="3471">
        <v>0</v>
      </c>
      <c r="BE349" s="3471">
        <v>0</v>
      </c>
      <c r="BF349" s="3471">
        <v>0</v>
      </c>
    </row>
    <row r="350" spans="1:58">
      <c r="A350" s="1817" t="str">
        <f t="shared" si="11"/>
        <v>Central AmericaBroad beans, horse beans, dry</v>
      </c>
      <c r="B350" s="1818" t="s">
        <v>305</v>
      </c>
      <c r="C350" s="1818" t="s">
        <v>7296</v>
      </c>
      <c r="D350" s="3463" t="str">
        <f>VLOOKUP(B350,List_Yield!$G$4:$J$14,4,FALSE)</f>
        <v>Central America</v>
      </c>
      <c r="E350" s="3463" t="str">
        <f t="shared" si="10"/>
        <v>Central AmericaBroad beans, horse beans, dry</v>
      </c>
      <c r="F350" s="2994">
        <v>0.62109999999999999</v>
      </c>
      <c r="G350" s="2994">
        <v>0.65990000000000004</v>
      </c>
      <c r="H350" s="2994">
        <v>0.69069999999999998</v>
      </c>
      <c r="I350" s="2994">
        <v>0.70140000000000002</v>
      </c>
      <c r="J350" s="2994">
        <v>0.70660000000000001</v>
      </c>
      <c r="K350" s="2994">
        <v>0.72209999999999996</v>
      </c>
      <c r="L350" s="2994">
        <v>0.74580000000000002</v>
      </c>
      <c r="M350" s="2994">
        <v>0.70740000000000003</v>
      </c>
      <c r="N350" s="2994">
        <v>0.53869999999999996</v>
      </c>
      <c r="O350" s="2994">
        <v>0.55479999999999996</v>
      </c>
      <c r="P350" s="2994">
        <v>0.5948</v>
      </c>
      <c r="Q350" s="2994">
        <v>0.5766</v>
      </c>
      <c r="R350" s="2994">
        <v>0.6008</v>
      </c>
      <c r="S350" s="2994">
        <v>0.49869999999999998</v>
      </c>
      <c r="T350" s="2994">
        <v>0.72440000000000004</v>
      </c>
      <c r="U350" s="2994">
        <v>0.71950000000000003</v>
      </c>
      <c r="V350" s="2994">
        <v>0.52380000000000004</v>
      </c>
      <c r="W350" s="2994">
        <v>0.82909999999999995</v>
      </c>
      <c r="X350" s="2994">
        <v>1.4918</v>
      </c>
      <c r="Y350" s="2994">
        <v>1.5148999999999999</v>
      </c>
      <c r="Z350" s="2994">
        <v>0.55920000000000003</v>
      </c>
      <c r="AA350" s="2994">
        <v>1.0569999999999999</v>
      </c>
      <c r="AB350" s="2994">
        <v>0.94379999999999997</v>
      </c>
      <c r="AC350" s="2994">
        <v>1.2991999999999999</v>
      </c>
      <c r="AD350" s="2994">
        <v>1.8539000000000001</v>
      </c>
      <c r="AE350" s="2994">
        <v>0.54169999999999996</v>
      </c>
      <c r="AF350" s="2994">
        <v>0.62309999999999999</v>
      </c>
      <c r="AG350" s="2994">
        <v>0.68879999999999997</v>
      </c>
      <c r="AH350" s="2994">
        <v>0.81440000000000001</v>
      </c>
      <c r="AI350" s="2994">
        <v>0.79890000000000005</v>
      </c>
      <c r="AJ350" s="2994">
        <v>0.92989999999999995</v>
      </c>
      <c r="AK350" s="2994">
        <v>0.85140000000000005</v>
      </c>
      <c r="AL350" s="2994">
        <v>0.71050000000000002</v>
      </c>
      <c r="AM350" s="2994">
        <v>0.68520000000000003</v>
      </c>
      <c r="AN350" s="2994">
        <v>0.75190000000000001</v>
      </c>
      <c r="AO350" s="2994">
        <v>0.76229999999999998</v>
      </c>
      <c r="AP350" s="2994">
        <v>0.77510000000000001</v>
      </c>
      <c r="AQ350" s="2994">
        <v>0.79330000000000001</v>
      </c>
      <c r="AR350" s="2994">
        <v>0.67820000000000003</v>
      </c>
      <c r="AS350" s="2994">
        <v>0.75449999999999995</v>
      </c>
      <c r="AT350" s="2994">
        <v>0.85</v>
      </c>
      <c r="AU350" s="2994">
        <v>0.9718</v>
      </c>
      <c r="AV350" s="2994">
        <v>1.0289999999999999</v>
      </c>
      <c r="AW350" s="2994">
        <v>0.99429999999999996</v>
      </c>
      <c r="AX350" s="2994">
        <v>1.0187999999999999</v>
      </c>
      <c r="AY350" s="2994">
        <v>1.0598000000000001</v>
      </c>
      <c r="AZ350" s="2994">
        <v>1.0565</v>
      </c>
      <c r="BA350" s="2994">
        <v>1.1176999999999999</v>
      </c>
      <c r="BB350" s="2994">
        <v>0.96830000000000005</v>
      </c>
      <c r="BC350" s="2994">
        <v>0.97440000000000004</v>
      </c>
      <c r="BD350" s="3471">
        <v>0.8306</v>
      </c>
      <c r="BE350" s="3471">
        <v>1.0448</v>
      </c>
      <c r="BF350" s="3471">
        <v>1.2296</v>
      </c>
    </row>
    <row r="351" spans="1:58">
      <c r="A351" s="1817" t="str">
        <f t="shared" si="11"/>
        <v>Central AmericaBuckwheat</v>
      </c>
      <c r="B351" s="1818" t="s">
        <v>305</v>
      </c>
      <c r="C351" s="1818" t="s">
        <v>7297</v>
      </c>
      <c r="D351" s="3463" t="str">
        <f>VLOOKUP(B351,List_Yield!$G$4:$J$14,4,FALSE)</f>
        <v>Central America</v>
      </c>
      <c r="E351" s="3463" t="str">
        <f t="shared" si="10"/>
        <v>Central AmericaBuckwheat</v>
      </c>
      <c r="F351" s="2994">
        <v>0</v>
      </c>
      <c r="G351" s="2994">
        <v>0</v>
      </c>
      <c r="H351" s="2994">
        <v>0</v>
      </c>
      <c r="I351" s="2994">
        <v>0</v>
      </c>
      <c r="J351" s="2994">
        <v>0</v>
      </c>
      <c r="K351" s="2994">
        <v>0</v>
      </c>
      <c r="L351" s="2994">
        <v>0</v>
      </c>
      <c r="M351" s="2994">
        <v>0</v>
      </c>
      <c r="N351" s="2994">
        <v>0</v>
      </c>
      <c r="O351" s="2994">
        <v>0</v>
      </c>
      <c r="P351" s="2994">
        <v>0</v>
      </c>
      <c r="Q351" s="2994">
        <v>0</v>
      </c>
      <c r="R351" s="2994">
        <v>0</v>
      </c>
      <c r="S351" s="2994">
        <v>0</v>
      </c>
      <c r="T351" s="2994">
        <v>0</v>
      </c>
      <c r="U351" s="2994">
        <v>0</v>
      </c>
      <c r="V351" s="2994">
        <v>0</v>
      </c>
      <c r="W351" s="2994">
        <v>0</v>
      </c>
      <c r="X351" s="2994">
        <v>0</v>
      </c>
      <c r="Y351" s="2994">
        <v>0</v>
      </c>
      <c r="Z351" s="2994">
        <v>0</v>
      </c>
      <c r="AA351" s="2994">
        <v>0</v>
      </c>
      <c r="AB351" s="2994">
        <v>0</v>
      </c>
      <c r="AC351" s="2994">
        <v>0</v>
      </c>
      <c r="AD351" s="2994">
        <v>0</v>
      </c>
      <c r="AE351" s="2994">
        <v>0</v>
      </c>
      <c r="AF351" s="2994">
        <v>0</v>
      </c>
      <c r="AG351" s="2994">
        <v>0</v>
      </c>
      <c r="AH351" s="2994">
        <v>0</v>
      </c>
      <c r="AI351" s="2994">
        <v>0</v>
      </c>
      <c r="AJ351" s="2994">
        <v>0</v>
      </c>
      <c r="AK351" s="2994">
        <v>0</v>
      </c>
      <c r="AL351" s="2994">
        <v>0</v>
      </c>
      <c r="AM351" s="2994">
        <v>0</v>
      </c>
      <c r="AN351" s="2994">
        <v>0</v>
      </c>
      <c r="AO351" s="2994">
        <v>0</v>
      </c>
      <c r="AP351" s="2994">
        <v>0</v>
      </c>
      <c r="AQ351" s="2994">
        <v>0</v>
      </c>
      <c r="AR351" s="2994">
        <v>0</v>
      </c>
      <c r="AS351" s="2994">
        <v>0</v>
      </c>
      <c r="AT351" s="2994">
        <v>0</v>
      </c>
      <c r="AU351" s="2994">
        <v>0</v>
      </c>
      <c r="AV351" s="2994">
        <v>0</v>
      </c>
      <c r="AW351" s="2994">
        <v>0</v>
      </c>
      <c r="AX351" s="2994">
        <v>0</v>
      </c>
      <c r="AY351" s="2994">
        <v>0</v>
      </c>
      <c r="AZ351" s="2994">
        <v>0</v>
      </c>
      <c r="BA351" s="2994">
        <v>0</v>
      </c>
      <c r="BB351" s="2994">
        <v>0</v>
      </c>
      <c r="BC351" s="2994">
        <v>0</v>
      </c>
      <c r="BD351" s="3471">
        <v>0</v>
      </c>
      <c r="BE351" s="3471">
        <v>0</v>
      </c>
      <c r="BF351" s="3471">
        <v>0</v>
      </c>
    </row>
    <row r="352" spans="1:58">
      <c r="A352" s="1817" t="str">
        <f t="shared" si="11"/>
        <v>Central AmericaCabbages and other brassicas</v>
      </c>
      <c r="B352" s="1818" t="s">
        <v>305</v>
      </c>
      <c r="C352" s="1818" t="s">
        <v>7298</v>
      </c>
      <c r="D352" s="3463" t="str">
        <f>VLOOKUP(B352,List_Yield!$G$4:$J$14,4,FALSE)</f>
        <v>Central America</v>
      </c>
      <c r="E352" s="3463" t="str">
        <f t="shared" si="10"/>
        <v>Central AmericaCabbages and other brassicas</v>
      </c>
      <c r="F352" s="2994">
        <v>7.4839000000000002</v>
      </c>
      <c r="G352" s="2994">
        <v>7.3667999999999996</v>
      </c>
      <c r="H352" s="2994">
        <v>7.9188000000000001</v>
      </c>
      <c r="I352" s="2994">
        <v>7.4664999999999999</v>
      </c>
      <c r="J352" s="2994">
        <v>7.5065999999999997</v>
      </c>
      <c r="K352" s="2994">
        <v>7.5342000000000002</v>
      </c>
      <c r="L352" s="2994">
        <v>7.2938000000000001</v>
      </c>
      <c r="M352" s="2994">
        <v>7.1082999999999998</v>
      </c>
      <c r="N352" s="2994">
        <v>7.0121000000000002</v>
      </c>
      <c r="O352" s="2994">
        <v>7.0614999999999997</v>
      </c>
      <c r="P352" s="2994">
        <v>7.1228999999999996</v>
      </c>
      <c r="Q352" s="2994">
        <v>6.8749000000000002</v>
      </c>
      <c r="R352" s="2994">
        <v>6.6978999999999997</v>
      </c>
      <c r="S352" s="2994">
        <v>6.5749000000000004</v>
      </c>
      <c r="T352" s="2994">
        <v>6.4646999999999997</v>
      </c>
      <c r="U352" s="2994">
        <v>8.6888000000000005</v>
      </c>
      <c r="V352" s="2994">
        <v>8.2187999999999999</v>
      </c>
      <c r="W352" s="2994">
        <v>7.7027999999999999</v>
      </c>
      <c r="X352" s="2994">
        <v>8.8597999999999999</v>
      </c>
      <c r="Y352" s="2994">
        <v>8.7340999999999998</v>
      </c>
      <c r="Z352" s="2994">
        <v>10.338800000000001</v>
      </c>
      <c r="AA352" s="2994">
        <v>10.6271</v>
      </c>
      <c r="AB352" s="2994">
        <v>11.6525</v>
      </c>
      <c r="AC352" s="2994">
        <v>13.7934</v>
      </c>
      <c r="AD352" s="2994">
        <v>12.0657</v>
      </c>
      <c r="AE352" s="2994">
        <v>14.456</v>
      </c>
      <c r="AF352" s="2994">
        <v>14.553000000000001</v>
      </c>
      <c r="AG352" s="2994">
        <v>15.120699999999999</v>
      </c>
      <c r="AH352" s="2994">
        <v>14.8743</v>
      </c>
      <c r="AI352" s="2994">
        <v>13.6782</v>
      </c>
      <c r="AJ352" s="2994">
        <v>13.726599999999999</v>
      </c>
      <c r="AK352" s="2994">
        <v>15.0273</v>
      </c>
      <c r="AL352" s="2994">
        <v>14.809100000000001</v>
      </c>
      <c r="AM352" s="2994">
        <v>15.1464</v>
      </c>
      <c r="AN352" s="2994">
        <v>12.894500000000001</v>
      </c>
      <c r="AO352" s="2994">
        <v>14.3277</v>
      </c>
      <c r="AP352" s="2994">
        <v>14.8797</v>
      </c>
      <c r="AQ352" s="2994">
        <v>15.665800000000001</v>
      </c>
      <c r="AR352" s="2994">
        <v>15.312900000000001</v>
      </c>
      <c r="AS352" s="2994">
        <v>13.196400000000001</v>
      </c>
      <c r="AT352" s="2994">
        <v>14.1378</v>
      </c>
      <c r="AU352" s="2994">
        <v>13.7148</v>
      </c>
      <c r="AV352" s="2994">
        <v>15.1197</v>
      </c>
      <c r="AW352" s="2994">
        <v>15.390499999999999</v>
      </c>
      <c r="AX352" s="2994">
        <v>16.6675</v>
      </c>
      <c r="AY352" s="2994">
        <v>15.8005</v>
      </c>
      <c r="AZ352" s="2994">
        <v>16.645600000000002</v>
      </c>
      <c r="BA352" s="2994">
        <v>16.042000000000002</v>
      </c>
      <c r="BB352" s="2994">
        <v>16.075700000000001</v>
      </c>
      <c r="BC352" s="2994">
        <v>15.959199999999999</v>
      </c>
      <c r="BD352" s="3471">
        <v>16.7849</v>
      </c>
      <c r="BE352" s="3471">
        <v>15.9755</v>
      </c>
      <c r="BF352" s="3471">
        <v>0</v>
      </c>
    </row>
    <row r="353" spans="1:58">
      <c r="A353" s="1817" t="str">
        <f t="shared" si="11"/>
        <v>Central AmericaCanary seed</v>
      </c>
      <c r="B353" s="1818" t="s">
        <v>305</v>
      </c>
      <c r="C353" s="1818" t="s">
        <v>7299</v>
      </c>
      <c r="D353" s="3463" t="str">
        <f>VLOOKUP(B353,List_Yield!$G$4:$J$14,4,FALSE)</f>
        <v>Central America</v>
      </c>
      <c r="E353" s="3463" t="str">
        <f t="shared" si="10"/>
        <v>Central AmericaCanary seed</v>
      </c>
      <c r="F353" s="2994">
        <v>0.84389999999999998</v>
      </c>
      <c r="G353" s="2994">
        <v>0.91</v>
      </c>
      <c r="H353" s="2994">
        <v>0.93589999999999995</v>
      </c>
      <c r="I353" s="2994">
        <v>0.94010000000000005</v>
      </c>
      <c r="J353" s="2994">
        <v>0.96519999999999995</v>
      </c>
      <c r="K353" s="2994">
        <v>0.93510000000000004</v>
      </c>
      <c r="L353" s="2994">
        <v>1.0636000000000001</v>
      </c>
      <c r="M353" s="2994">
        <v>1.1828000000000001</v>
      </c>
      <c r="N353" s="2994">
        <v>1.3666</v>
      </c>
      <c r="O353" s="2994">
        <v>1.1819999999999999</v>
      </c>
      <c r="P353" s="2994">
        <v>1.2822</v>
      </c>
      <c r="Q353" s="2994">
        <v>1.5195000000000001</v>
      </c>
      <c r="R353" s="2994">
        <v>1.5289999999999999</v>
      </c>
      <c r="S353" s="2994">
        <v>1.2808999999999999</v>
      </c>
      <c r="T353" s="2994">
        <v>1.1109</v>
      </c>
      <c r="U353" s="2994">
        <v>1.1921999999999999</v>
      </c>
      <c r="V353" s="2994">
        <v>1.1456</v>
      </c>
      <c r="W353" s="2994">
        <v>1.2375</v>
      </c>
      <c r="X353" s="2994">
        <v>1.2668999999999999</v>
      </c>
      <c r="Y353" s="2994">
        <v>0.90720000000000001</v>
      </c>
      <c r="Z353" s="2994">
        <v>0.99739999999999995</v>
      </c>
      <c r="AA353" s="2994">
        <v>1.8556999999999999</v>
      </c>
      <c r="AB353" s="2994">
        <v>1.4256</v>
      </c>
      <c r="AC353" s="2994">
        <v>1.1808000000000001</v>
      </c>
      <c r="AD353" s="2994">
        <v>1.0049999999999999</v>
      </c>
      <c r="AE353" s="2994">
        <v>1.1964999999999999</v>
      </c>
      <c r="AF353" s="2994">
        <v>0.92079999999999995</v>
      </c>
      <c r="AG353" s="2994">
        <v>1.0580000000000001</v>
      </c>
      <c r="AH353" s="2994">
        <v>1.2283999999999999</v>
      </c>
      <c r="AI353" s="2994">
        <v>1.1001000000000001</v>
      </c>
      <c r="AJ353" s="2994">
        <v>0.93869999999999998</v>
      </c>
      <c r="AK353" s="2994">
        <v>0.87680000000000002</v>
      </c>
      <c r="AL353" s="2994">
        <v>0.84850000000000003</v>
      </c>
      <c r="AM353" s="2994">
        <v>0.69430000000000003</v>
      </c>
      <c r="AN353" s="2994">
        <v>0.84040000000000004</v>
      </c>
      <c r="AO353" s="2994">
        <v>0.88270000000000004</v>
      </c>
      <c r="AP353" s="2994">
        <v>0.73709999999999998</v>
      </c>
      <c r="AQ353" s="2994">
        <v>0.84950000000000003</v>
      </c>
      <c r="AR353" s="2994">
        <v>0.85670000000000002</v>
      </c>
      <c r="AS353" s="2994">
        <v>0.67110000000000003</v>
      </c>
      <c r="AT353" s="2994">
        <v>0.89629999999999999</v>
      </c>
      <c r="AU353" s="2994">
        <v>0.70179999999999998</v>
      </c>
      <c r="AV353" s="2994">
        <v>1.5241</v>
      </c>
      <c r="AW353" s="2994">
        <v>0.97609999999999997</v>
      </c>
      <c r="AX353" s="2994">
        <v>0.98729999999999996</v>
      </c>
      <c r="AY353" s="2994">
        <v>0.98</v>
      </c>
      <c r="AZ353" s="2994">
        <v>0.97860000000000003</v>
      </c>
      <c r="BA353" s="2994">
        <v>1.3121</v>
      </c>
      <c r="BB353" s="2994">
        <v>0.62570000000000003</v>
      </c>
      <c r="BC353" s="2994">
        <v>1.0707</v>
      </c>
      <c r="BD353" s="3471">
        <v>1.0414000000000001</v>
      </c>
      <c r="BE353" s="3471">
        <v>1</v>
      </c>
      <c r="BF353" s="3471">
        <v>0.99399999999999999</v>
      </c>
    </row>
    <row r="354" spans="1:58">
      <c r="A354" s="1817" t="str">
        <f t="shared" si="11"/>
        <v>Central AmericaCarobs</v>
      </c>
      <c r="B354" s="1818" t="s">
        <v>305</v>
      </c>
      <c r="C354" s="1818" t="s">
        <v>7300</v>
      </c>
      <c r="D354" s="3463" t="str">
        <f>VLOOKUP(B354,List_Yield!$G$4:$J$14,4,FALSE)</f>
        <v>Central America</v>
      </c>
      <c r="E354" s="3463" t="str">
        <f t="shared" si="10"/>
        <v>Central AmericaCarobs</v>
      </c>
      <c r="F354" s="2994">
        <v>0</v>
      </c>
      <c r="G354" s="2994">
        <v>0</v>
      </c>
      <c r="H354" s="2994">
        <v>0</v>
      </c>
      <c r="I354" s="2994">
        <v>0</v>
      </c>
      <c r="J354" s="2994">
        <v>0</v>
      </c>
      <c r="K354" s="2994">
        <v>0</v>
      </c>
      <c r="L354" s="2994">
        <v>0</v>
      </c>
      <c r="M354" s="2994">
        <v>0</v>
      </c>
      <c r="N354" s="2994">
        <v>0</v>
      </c>
      <c r="O354" s="2994">
        <v>0</v>
      </c>
      <c r="P354" s="2994">
        <v>0</v>
      </c>
      <c r="Q354" s="2994">
        <v>0</v>
      </c>
      <c r="R354" s="2994">
        <v>0</v>
      </c>
      <c r="S354" s="2994">
        <v>0</v>
      </c>
      <c r="T354" s="2994">
        <v>0</v>
      </c>
      <c r="U354" s="2994">
        <v>0</v>
      </c>
      <c r="V354" s="2994">
        <v>0</v>
      </c>
      <c r="W354" s="2994">
        <v>0</v>
      </c>
      <c r="X354" s="2994">
        <v>0</v>
      </c>
      <c r="Y354" s="2994">
        <v>0.89580000000000004</v>
      </c>
      <c r="Z354" s="2994">
        <v>2.1429</v>
      </c>
      <c r="AA354" s="2994">
        <v>2.5571000000000002</v>
      </c>
      <c r="AB354" s="2994">
        <v>2.8571</v>
      </c>
      <c r="AC354" s="2994">
        <v>2.0714000000000001</v>
      </c>
      <c r="AD354" s="2994">
        <v>1.1000000000000001</v>
      </c>
      <c r="AE354" s="2994">
        <v>0</v>
      </c>
      <c r="AF354" s="2994">
        <v>0</v>
      </c>
      <c r="AG354" s="2994">
        <v>0.6</v>
      </c>
      <c r="AH354" s="2994">
        <v>0.64290000000000003</v>
      </c>
      <c r="AI354" s="2994">
        <v>0.6714</v>
      </c>
      <c r="AJ354" s="2994">
        <v>0.84289999999999998</v>
      </c>
      <c r="AK354" s="2994">
        <v>1.6143000000000001</v>
      </c>
      <c r="AL354" s="2994">
        <v>0.92859999999999998</v>
      </c>
      <c r="AM354" s="2994">
        <v>1.1143000000000001</v>
      </c>
      <c r="AN354" s="2994">
        <v>0.97140000000000004</v>
      </c>
      <c r="AO354" s="2994">
        <v>0.77139999999999997</v>
      </c>
      <c r="AP354" s="2994">
        <v>0.61429999999999996</v>
      </c>
      <c r="AQ354" s="2994">
        <v>1.0713999999999999</v>
      </c>
      <c r="AR354" s="2994">
        <v>1.1143000000000001</v>
      </c>
      <c r="AS354" s="2994">
        <v>0.61429999999999996</v>
      </c>
      <c r="AT354" s="2994">
        <v>0.57140000000000002</v>
      </c>
      <c r="AU354" s="2994">
        <v>1.2</v>
      </c>
      <c r="AV354" s="2994">
        <v>0</v>
      </c>
      <c r="AW354" s="2994">
        <v>0</v>
      </c>
      <c r="AX354" s="2994">
        <v>0.5</v>
      </c>
      <c r="AY354" s="2994">
        <v>0.71430000000000005</v>
      </c>
      <c r="AZ354" s="2994">
        <v>0.5</v>
      </c>
      <c r="BA354" s="2994">
        <v>1.3036000000000001</v>
      </c>
      <c r="BB354" s="2994">
        <v>0</v>
      </c>
      <c r="BC354" s="2994">
        <v>1</v>
      </c>
      <c r="BD354" s="3471">
        <v>1</v>
      </c>
      <c r="BE354" s="3471">
        <v>1.1667000000000001</v>
      </c>
      <c r="BF354" s="3471">
        <v>0</v>
      </c>
    </row>
    <row r="355" spans="1:58">
      <c r="A355" s="1817" t="str">
        <f t="shared" si="11"/>
        <v>Central AmericaCarrots and turnips</v>
      </c>
      <c r="B355" s="1818" t="s">
        <v>305</v>
      </c>
      <c r="C355" s="1818" t="s">
        <v>1340</v>
      </c>
      <c r="D355" s="3463" t="str">
        <f>VLOOKUP(B355,List_Yield!$G$4:$J$14,4,FALSE)</f>
        <v>Central America</v>
      </c>
      <c r="E355" s="3463" t="str">
        <f t="shared" si="10"/>
        <v>Central AmericaCarrots and turnips</v>
      </c>
      <c r="F355" s="2994">
        <v>36.721299999999999</v>
      </c>
      <c r="G355" s="2994">
        <v>36.4925</v>
      </c>
      <c r="H355" s="2994">
        <v>36.301400000000001</v>
      </c>
      <c r="I355" s="2994">
        <v>36.301400000000001</v>
      </c>
      <c r="J355" s="2994">
        <v>36.369399999999999</v>
      </c>
      <c r="K355" s="2994">
        <v>37.643300000000004</v>
      </c>
      <c r="L355" s="2994">
        <v>35.906399999999998</v>
      </c>
      <c r="M355" s="2994">
        <v>34.56</v>
      </c>
      <c r="N355" s="2994">
        <v>32.917700000000004</v>
      </c>
      <c r="O355" s="2994">
        <v>33.5533</v>
      </c>
      <c r="P355" s="2994">
        <v>34.345199999999998</v>
      </c>
      <c r="Q355" s="2994">
        <v>30.701899999999998</v>
      </c>
      <c r="R355" s="2994">
        <v>28.5944</v>
      </c>
      <c r="S355" s="2994">
        <v>27.680800000000001</v>
      </c>
      <c r="T355" s="2994">
        <v>28.2012</v>
      </c>
      <c r="U355" s="2994">
        <v>29.248999999999999</v>
      </c>
      <c r="V355" s="2994">
        <v>18.636199999999999</v>
      </c>
      <c r="W355" s="2994">
        <v>20.8919</v>
      </c>
      <c r="X355" s="2994">
        <v>23.168399999999998</v>
      </c>
      <c r="Y355" s="2994">
        <v>22.302499999999998</v>
      </c>
      <c r="Z355" s="2994">
        <v>20.1462</v>
      </c>
      <c r="AA355" s="2994">
        <v>21.424099999999999</v>
      </c>
      <c r="AB355" s="2994">
        <v>22.584499999999998</v>
      </c>
      <c r="AC355" s="2994">
        <v>24.523800000000001</v>
      </c>
      <c r="AD355" s="2994">
        <v>23.558</v>
      </c>
      <c r="AE355" s="2994">
        <v>22.962199999999999</v>
      </c>
      <c r="AF355" s="2994">
        <v>23.488700000000001</v>
      </c>
      <c r="AG355" s="2994">
        <v>21.93</v>
      </c>
      <c r="AH355" s="2994">
        <v>23.504300000000001</v>
      </c>
      <c r="AI355" s="2994">
        <v>23.851099999999999</v>
      </c>
      <c r="AJ355" s="2994">
        <v>24.008400000000002</v>
      </c>
      <c r="AK355" s="2994">
        <v>24.847799999999999</v>
      </c>
      <c r="AL355" s="2994">
        <v>26.567900000000002</v>
      </c>
      <c r="AM355" s="2994">
        <v>24.721699999999998</v>
      </c>
      <c r="AN355" s="2994">
        <v>23.242599999999999</v>
      </c>
      <c r="AO355" s="2994">
        <v>22.779699999999998</v>
      </c>
      <c r="AP355" s="2994">
        <v>23.6328</v>
      </c>
      <c r="AQ355" s="2994">
        <v>22.715800000000002</v>
      </c>
      <c r="AR355" s="2994">
        <v>22.872699999999998</v>
      </c>
      <c r="AS355" s="2994">
        <v>23.119199999999999</v>
      </c>
      <c r="AT355" s="2994">
        <v>23.815300000000001</v>
      </c>
      <c r="AU355" s="2994">
        <v>24.262799999999999</v>
      </c>
      <c r="AV355" s="2994">
        <v>25.550999999999998</v>
      </c>
      <c r="AW355" s="2994">
        <v>24.9636</v>
      </c>
      <c r="AX355" s="2994">
        <v>25.498899999999999</v>
      </c>
      <c r="AY355" s="2994">
        <v>24.926300000000001</v>
      </c>
      <c r="AZ355" s="2994">
        <v>26.4832</v>
      </c>
      <c r="BA355" s="2994">
        <v>25.7788</v>
      </c>
      <c r="BB355" s="2994">
        <v>26.254200000000001</v>
      </c>
      <c r="BC355" s="2994">
        <v>25.203900000000001</v>
      </c>
      <c r="BD355" s="3471">
        <v>26.869299999999999</v>
      </c>
      <c r="BE355" s="3471">
        <v>26.523700000000002</v>
      </c>
      <c r="BF355" s="3471">
        <v>0</v>
      </c>
    </row>
    <row r="356" spans="1:58">
      <c r="A356" s="1817" t="str">
        <f t="shared" si="11"/>
        <v>Central AmericaCashew nuts, with shell</v>
      </c>
      <c r="B356" s="1818" t="s">
        <v>305</v>
      </c>
      <c r="C356" s="1818" t="s">
        <v>1341</v>
      </c>
      <c r="D356" s="3463" t="str">
        <f>VLOOKUP(B356,List_Yield!$G$4:$J$14,4,FALSE)</f>
        <v>Central America</v>
      </c>
      <c r="E356" s="3463" t="str">
        <f t="shared" si="10"/>
        <v>Central AmericaCashew nuts, with shell</v>
      </c>
      <c r="F356" s="2994">
        <v>0.85709999999999997</v>
      </c>
      <c r="G356" s="2994">
        <v>0.85709999999999997</v>
      </c>
      <c r="H356" s="2994">
        <v>0.86109999999999998</v>
      </c>
      <c r="I356" s="2994">
        <v>0.86109999999999998</v>
      </c>
      <c r="J356" s="2994">
        <v>0.8649</v>
      </c>
      <c r="K356" s="2994">
        <v>0.8649</v>
      </c>
      <c r="L356" s="2994">
        <v>0.86839999999999995</v>
      </c>
      <c r="M356" s="2994">
        <v>0.84619999999999995</v>
      </c>
      <c r="N356" s="2994">
        <v>0.85</v>
      </c>
      <c r="O356" s="2994">
        <v>0.82930000000000004</v>
      </c>
      <c r="P356" s="2994">
        <v>0.83330000000000004</v>
      </c>
      <c r="Q356" s="2994">
        <v>0.81399999999999995</v>
      </c>
      <c r="R356" s="2994">
        <v>0.81820000000000004</v>
      </c>
      <c r="S356" s="2994">
        <v>0.82220000000000004</v>
      </c>
      <c r="T356" s="2994">
        <v>0.83020000000000005</v>
      </c>
      <c r="U356" s="2994">
        <v>0.83020000000000005</v>
      </c>
      <c r="V356" s="2994">
        <v>0.8105</v>
      </c>
      <c r="W356" s="2994">
        <v>0.78839999999999999</v>
      </c>
      <c r="X356" s="2994">
        <v>0.78859999999999997</v>
      </c>
      <c r="Y356" s="2994">
        <v>0.82030000000000003</v>
      </c>
      <c r="Z356" s="2994">
        <v>0.82030000000000003</v>
      </c>
      <c r="AA356" s="2994">
        <v>0.78859999999999997</v>
      </c>
      <c r="AB356" s="2994">
        <v>0.91159999999999997</v>
      </c>
      <c r="AC356" s="2994">
        <v>0.78390000000000004</v>
      </c>
      <c r="AD356" s="2994">
        <v>1.0368999999999999</v>
      </c>
      <c r="AE356" s="2994">
        <v>0.89290000000000003</v>
      </c>
      <c r="AF356" s="2994">
        <v>0.83750000000000002</v>
      </c>
      <c r="AG356" s="2994">
        <v>0.76139999999999997</v>
      </c>
      <c r="AH356" s="2994">
        <v>0.64649999999999996</v>
      </c>
      <c r="AI356" s="2994">
        <v>0.96289999999999998</v>
      </c>
      <c r="AJ356" s="2994">
        <v>1.0119</v>
      </c>
      <c r="AK356" s="2994">
        <v>0.80879999999999996</v>
      </c>
      <c r="AL356" s="2994">
        <v>0.77300000000000002</v>
      </c>
      <c r="AM356" s="2994">
        <v>0.85229999999999995</v>
      </c>
      <c r="AN356" s="2994">
        <v>0.64770000000000005</v>
      </c>
      <c r="AO356" s="2994">
        <v>0.70220000000000005</v>
      </c>
      <c r="AP356" s="2994">
        <v>0.70799999999999996</v>
      </c>
      <c r="AQ356" s="2994">
        <v>0.68440000000000001</v>
      </c>
      <c r="AR356" s="2994">
        <v>0.87680000000000002</v>
      </c>
      <c r="AS356" s="2994">
        <v>0.95209999999999995</v>
      </c>
      <c r="AT356" s="2994">
        <v>0.91910000000000003</v>
      </c>
      <c r="AU356" s="2994">
        <v>1.5661</v>
      </c>
      <c r="AV356" s="2994">
        <v>1.1989000000000001</v>
      </c>
      <c r="AW356" s="2994">
        <v>1.3269</v>
      </c>
      <c r="AX356" s="2994">
        <v>1.3751</v>
      </c>
      <c r="AY356" s="2994">
        <v>1.4367000000000001</v>
      </c>
      <c r="AZ356" s="2994">
        <v>1.1772</v>
      </c>
      <c r="BA356" s="2994">
        <v>1.4908999999999999</v>
      </c>
      <c r="BB356" s="2994">
        <v>1.4471000000000001</v>
      </c>
      <c r="BC356" s="2994">
        <v>1.3813</v>
      </c>
      <c r="BD356" s="3471">
        <v>1.4306000000000001</v>
      </c>
      <c r="BE356" s="3471">
        <v>1.4108000000000001</v>
      </c>
      <c r="BF356" s="3471">
        <v>0</v>
      </c>
    </row>
    <row r="357" spans="1:58">
      <c r="A357" s="1817" t="str">
        <f t="shared" si="11"/>
        <v>Central AmericaCashewapple</v>
      </c>
      <c r="B357" s="1818" t="s">
        <v>305</v>
      </c>
      <c r="C357" s="1818" t="s">
        <v>7301</v>
      </c>
      <c r="D357" s="3463" t="str">
        <f>VLOOKUP(B357,List_Yield!$G$4:$J$14,4,FALSE)</f>
        <v>Central America</v>
      </c>
      <c r="E357" s="3463" t="str">
        <f t="shared" si="10"/>
        <v>Central AmericaCashewapple</v>
      </c>
      <c r="F357" s="2994">
        <v>0</v>
      </c>
      <c r="G357" s="2994">
        <v>0</v>
      </c>
      <c r="H357" s="2994">
        <v>0</v>
      </c>
      <c r="I357" s="2994">
        <v>0</v>
      </c>
      <c r="J357" s="2994">
        <v>0</v>
      </c>
      <c r="K357" s="2994">
        <v>0</v>
      </c>
      <c r="L357" s="2994">
        <v>0</v>
      </c>
      <c r="M357" s="2994">
        <v>0</v>
      </c>
      <c r="N357" s="2994">
        <v>0</v>
      </c>
      <c r="O357" s="2994">
        <v>0</v>
      </c>
      <c r="P357" s="2994">
        <v>0</v>
      </c>
      <c r="Q357" s="2994">
        <v>0</v>
      </c>
      <c r="R357" s="2994">
        <v>0</v>
      </c>
      <c r="S357" s="2994">
        <v>0</v>
      </c>
      <c r="T357" s="2994">
        <v>0</v>
      </c>
      <c r="U357" s="2994">
        <v>0</v>
      </c>
      <c r="V357" s="2994">
        <v>0</v>
      </c>
      <c r="W357" s="2994">
        <v>0</v>
      </c>
      <c r="X357" s="2994">
        <v>0</v>
      </c>
      <c r="Y357" s="2994">
        <v>0</v>
      </c>
      <c r="Z357" s="2994">
        <v>0</v>
      </c>
      <c r="AA357" s="2994">
        <v>0</v>
      </c>
      <c r="AB357" s="2994">
        <v>0</v>
      </c>
      <c r="AC357" s="2994">
        <v>0</v>
      </c>
      <c r="AD357" s="2994">
        <v>0</v>
      </c>
      <c r="AE357" s="2994">
        <v>0</v>
      </c>
      <c r="AF357" s="2994">
        <v>0</v>
      </c>
      <c r="AG357" s="2994">
        <v>0</v>
      </c>
      <c r="AH357" s="2994">
        <v>0</v>
      </c>
      <c r="AI357" s="2994">
        <v>0</v>
      </c>
      <c r="AJ357" s="2994">
        <v>0</v>
      </c>
      <c r="AK357" s="2994">
        <v>0</v>
      </c>
      <c r="AL357" s="2994">
        <v>0</v>
      </c>
      <c r="AM357" s="2994">
        <v>0</v>
      </c>
      <c r="AN357" s="2994">
        <v>0</v>
      </c>
      <c r="AO357" s="2994">
        <v>0</v>
      </c>
      <c r="AP357" s="2994">
        <v>0</v>
      </c>
      <c r="AQ357" s="2994">
        <v>0</v>
      </c>
      <c r="AR357" s="2994">
        <v>0</v>
      </c>
      <c r="AS357" s="2994">
        <v>0</v>
      </c>
      <c r="AT357" s="2994">
        <v>0</v>
      </c>
      <c r="AU357" s="2994">
        <v>0</v>
      </c>
      <c r="AV357" s="2994">
        <v>0</v>
      </c>
      <c r="AW357" s="2994">
        <v>0</v>
      </c>
      <c r="AX357" s="2994">
        <v>0</v>
      </c>
      <c r="AY357" s="2994">
        <v>0</v>
      </c>
      <c r="AZ357" s="2994">
        <v>0</v>
      </c>
      <c r="BA357" s="2994">
        <v>0</v>
      </c>
      <c r="BB357" s="2994">
        <v>0</v>
      </c>
      <c r="BC357" s="2994">
        <v>0</v>
      </c>
      <c r="BD357" s="3471">
        <v>0</v>
      </c>
      <c r="BE357" s="3471">
        <v>0</v>
      </c>
      <c r="BF357" s="3471">
        <v>0</v>
      </c>
    </row>
    <row r="358" spans="1:58">
      <c r="A358" s="1817" t="str">
        <f t="shared" si="11"/>
        <v>Central AmericaCassava</v>
      </c>
      <c r="B358" s="1818" t="s">
        <v>305</v>
      </c>
      <c r="C358" s="1818" t="s">
        <v>1342</v>
      </c>
      <c r="D358" s="3463" t="str">
        <f>VLOOKUP(B358,List_Yield!$G$4:$J$14,4,FALSE)</f>
        <v>Central America</v>
      </c>
      <c r="E358" s="3463" t="str">
        <f t="shared" si="10"/>
        <v>Central AmericaCassava</v>
      </c>
      <c r="F358" s="2994">
        <v>6.7728999999999999</v>
      </c>
      <c r="G358" s="2994">
        <v>6.8250999999999999</v>
      </c>
      <c r="H358" s="2994">
        <v>6.8525</v>
      </c>
      <c r="I358" s="2994">
        <v>6.9477000000000002</v>
      </c>
      <c r="J358" s="2994">
        <v>7.0648</v>
      </c>
      <c r="K358" s="2994">
        <v>7.1424000000000003</v>
      </c>
      <c r="L358" s="2994">
        <v>7.0839999999999996</v>
      </c>
      <c r="M358" s="2994">
        <v>7.3143000000000002</v>
      </c>
      <c r="N358" s="2994">
        <v>7.1467999999999998</v>
      </c>
      <c r="O358" s="2994">
        <v>7.4829999999999997</v>
      </c>
      <c r="P358" s="2994">
        <v>7.6302000000000003</v>
      </c>
      <c r="Q358" s="2994">
        <v>7.8399000000000001</v>
      </c>
      <c r="R358" s="2994">
        <v>7.3228999999999997</v>
      </c>
      <c r="S358" s="2994">
        <v>7.2953999999999999</v>
      </c>
      <c r="T358" s="2994">
        <v>7.3010000000000002</v>
      </c>
      <c r="U358" s="2994">
        <v>7.4345999999999997</v>
      </c>
      <c r="V358" s="2994">
        <v>7.0880999999999998</v>
      </c>
      <c r="W358" s="2994">
        <v>6.7495000000000003</v>
      </c>
      <c r="X358" s="2994">
        <v>6.9009</v>
      </c>
      <c r="Y358" s="2994">
        <v>6.2289000000000003</v>
      </c>
      <c r="Z358" s="2994">
        <v>6.4587000000000003</v>
      </c>
      <c r="AA358" s="2994">
        <v>7.2786999999999997</v>
      </c>
      <c r="AB358" s="2994">
        <v>8.0372000000000003</v>
      </c>
      <c r="AC358" s="2994">
        <v>7.6990999999999996</v>
      </c>
      <c r="AD358" s="2994">
        <v>7.7845000000000004</v>
      </c>
      <c r="AE358" s="2994">
        <v>8.0489999999999995</v>
      </c>
      <c r="AF358" s="2994">
        <v>8.4873999999999992</v>
      </c>
      <c r="AG358" s="2994">
        <v>9.0803999999999991</v>
      </c>
      <c r="AH358" s="2994">
        <v>9.1324000000000005</v>
      </c>
      <c r="AI358" s="2994">
        <v>8.5703999999999994</v>
      </c>
      <c r="AJ358" s="2994">
        <v>9.5414999999999992</v>
      </c>
      <c r="AK358" s="2994">
        <v>9.9847000000000001</v>
      </c>
      <c r="AL358" s="2994">
        <v>10.7074</v>
      </c>
      <c r="AM358" s="2994">
        <v>12.3451</v>
      </c>
      <c r="AN358" s="2994">
        <v>9.6786999999999992</v>
      </c>
      <c r="AO358" s="2994">
        <v>9.9506999999999994</v>
      </c>
      <c r="AP358" s="2994">
        <v>9.3665000000000003</v>
      </c>
      <c r="AQ358" s="2994">
        <v>9.7462</v>
      </c>
      <c r="AR358" s="2994">
        <v>8.0861000000000001</v>
      </c>
      <c r="AS358" s="2994">
        <v>7.9394999999999998</v>
      </c>
      <c r="AT358" s="2994">
        <v>9.7609999999999992</v>
      </c>
      <c r="AU358" s="2994">
        <v>8.4863</v>
      </c>
      <c r="AV358" s="2994">
        <v>9.0472000000000001</v>
      </c>
      <c r="AW358" s="2994">
        <v>7.9599000000000002</v>
      </c>
      <c r="AX358" s="2994">
        <v>6.7967000000000004</v>
      </c>
      <c r="AY358" s="2994">
        <v>7.0439999999999996</v>
      </c>
      <c r="AZ358" s="2994">
        <v>8.1455000000000002</v>
      </c>
      <c r="BA358" s="2994">
        <v>8.6434999999999995</v>
      </c>
      <c r="BB358" s="2994">
        <v>9.6292000000000009</v>
      </c>
      <c r="BC358" s="2994">
        <v>9.4450000000000003</v>
      </c>
      <c r="BD358" s="3471">
        <v>11.398300000000001</v>
      </c>
      <c r="BE358" s="3471">
        <v>9.6738</v>
      </c>
      <c r="BF358" s="3471">
        <v>9.7914999999999992</v>
      </c>
    </row>
    <row r="359" spans="1:58">
      <c r="A359" s="1817" t="str">
        <f t="shared" si="11"/>
        <v>Central AmericaCassava leaves</v>
      </c>
      <c r="B359" s="1818" t="s">
        <v>305</v>
      </c>
      <c r="C359" s="1818" t="s">
        <v>7302</v>
      </c>
      <c r="D359" s="3463" t="str">
        <f>VLOOKUP(B359,List_Yield!$G$4:$J$14,4,FALSE)</f>
        <v>Central America</v>
      </c>
      <c r="E359" s="3463" t="str">
        <f t="shared" si="10"/>
        <v>Central AmericaCassava leaves</v>
      </c>
      <c r="F359" s="2994">
        <v>0</v>
      </c>
      <c r="G359" s="2994">
        <v>0</v>
      </c>
      <c r="H359" s="2994">
        <v>0</v>
      </c>
      <c r="I359" s="2994">
        <v>0</v>
      </c>
      <c r="J359" s="2994">
        <v>0</v>
      </c>
      <c r="K359" s="2994">
        <v>0</v>
      </c>
      <c r="L359" s="2994">
        <v>0</v>
      </c>
      <c r="M359" s="2994">
        <v>0</v>
      </c>
      <c r="N359" s="2994">
        <v>0</v>
      </c>
      <c r="O359" s="2994">
        <v>0</v>
      </c>
      <c r="P359" s="2994">
        <v>0</v>
      </c>
      <c r="Q359" s="2994">
        <v>0</v>
      </c>
      <c r="R359" s="2994">
        <v>0</v>
      </c>
      <c r="S359" s="2994">
        <v>0</v>
      </c>
      <c r="T359" s="2994">
        <v>0</v>
      </c>
      <c r="U359" s="2994">
        <v>0</v>
      </c>
      <c r="V359" s="2994">
        <v>0</v>
      </c>
      <c r="W359" s="2994">
        <v>0</v>
      </c>
      <c r="X359" s="2994">
        <v>0</v>
      </c>
      <c r="Y359" s="2994">
        <v>0</v>
      </c>
      <c r="Z359" s="2994">
        <v>0</v>
      </c>
      <c r="AA359" s="2994">
        <v>0</v>
      </c>
      <c r="AB359" s="2994">
        <v>0</v>
      </c>
      <c r="AC359" s="2994">
        <v>0</v>
      </c>
      <c r="AD359" s="2994">
        <v>0</v>
      </c>
      <c r="AE359" s="2994">
        <v>0</v>
      </c>
      <c r="AF359" s="2994">
        <v>0</v>
      </c>
      <c r="AG359" s="2994">
        <v>0</v>
      </c>
      <c r="AH359" s="2994">
        <v>0</v>
      </c>
      <c r="AI359" s="2994">
        <v>0</v>
      </c>
      <c r="AJ359" s="2994">
        <v>0</v>
      </c>
      <c r="AK359" s="2994">
        <v>0</v>
      </c>
      <c r="AL359" s="2994">
        <v>0</v>
      </c>
      <c r="AM359" s="2994">
        <v>0</v>
      </c>
      <c r="AN359" s="2994">
        <v>0</v>
      </c>
      <c r="AO359" s="2994">
        <v>0</v>
      </c>
      <c r="AP359" s="2994">
        <v>0</v>
      </c>
      <c r="AQ359" s="2994">
        <v>0</v>
      </c>
      <c r="AR359" s="2994">
        <v>0</v>
      </c>
      <c r="AS359" s="2994">
        <v>0</v>
      </c>
      <c r="AT359" s="2994">
        <v>0</v>
      </c>
      <c r="AU359" s="2994">
        <v>0</v>
      </c>
      <c r="AV359" s="2994">
        <v>0</v>
      </c>
      <c r="AW359" s="2994">
        <v>0</v>
      </c>
      <c r="AX359" s="2994">
        <v>0</v>
      </c>
      <c r="AY359" s="2994">
        <v>0</v>
      </c>
      <c r="AZ359" s="2994">
        <v>0</v>
      </c>
      <c r="BA359" s="2994">
        <v>0</v>
      </c>
      <c r="BB359" s="2994">
        <v>0</v>
      </c>
      <c r="BC359" s="2994">
        <v>0</v>
      </c>
      <c r="BD359" s="3471">
        <v>0</v>
      </c>
      <c r="BE359" s="3471">
        <v>0</v>
      </c>
      <c r="BF359" s="3471">
        <v>0</v>
      </c>
    </row>
    <row r="360" spans="1:58">
      <c r="A360" s="1817" t="str">
        <f t="shared" si="11"/>
        <v>Central AmericaCastor oil seed</v>
      </c>
      <c r="B360" s="1818" t="s">
        <v>305</v>
      </c>
      <c r="C360" s="1818" t="s">
        <v>7303</v>
      </c>
      <c r="D360" s="3463" t="str">
        <f>VLOOKUP(B360,List_Yield!$G$4:$J$14,4,FALSE)</f>
        <v>Central America</v>
      </c>
      <c r="E360" s="3463" t="str">
        <f t="shared" si="10"/>
        <v>Central AmericaCastor oil seed</v>
      </c>
      <c r="F360" s="2994">
        <v>0.67620000000000002</v>
      </c>
      <c r="G360" s="2994">
        <v>0.6734</v>
      </c>
      <c r="H360" s="2994">
        <v>0.66720000000000002</v>
      </c>
      <c r="I360" s="2994">
        <v>0.65349999999999997</v>
      </c>
      <c r="J360" s="2994">
        <v>0.56069999999999998</v>
      </c>
      <c r="K360" s="2994">
        <v>0.49130000000000001</v>
      </c>
      <c r="L360" s="2994">
        <v>0.4274</v>
      </c>
      <c r="M360" s="2994">
        <v>0.42630000000000001</v>
      </c>
      <c r="N360" s="2994">
        <v>0.46010000000000001</v>
      </c>
      <c r="O360" s="2994">
        <v>0.62229999999999996</v>
      </c>
      <c r="P360" s="2994">
        <v>0.41639999999999999</v>
      </c>
      <c r="Q360" s="2994">
        <v>0.32779999999999998</v>
      </c>
      <c r="R360" s="2994">
        <v>0.37890000000000001</v>
      </c>
      <c r="S360" s="2994">
        <v>0.40039999999999998</v>
      </c>
      <c r="T360" s="2994">
        <v>0.4199</v>
      </c>
      <c r="U360" s="2994">
        <v>0.4052</v>
      </c>
      <c r="V360" s="2994">
        <v>0.40539999999999998</v>
      </c>
      <c r="W360" s="2994">
        <v>0.4047</v>
      </c>
      <c r="X360" s="2994">
        <v>0.48609999999999998</v>
      </c>
      <c r="Y360" s="2994">
        <v>0.76019999999999999</v>
      </c>
      <c r="Z360" s="2994">
        <v>0.52539999999999998</v>
      </c>
      <c r="AA360" s="2994">
        <v>0.51980000000000004</v>
      </c>
      <c r="AB360" s="2994">
        <v>0.49309999999999998</v>
      </c>
      <c r="AC360" s="2994">
        <v>0.37559999999999999</v>
      </c>
      <c r="AD360" s="2994">
        <v>0.3876</v>
      </c>
      <c r="AE360" s="2994">
        <v>0.83979999999999999</v>
      </c>
      <c r="AF360" s="2994">
        <v>0.87760000000000005</v>
      </c>
      <c r="AG360" s="2994">
        <v>0.89019999999999999</v>
      </c>
      <c r="AH360" s="2994">
        <v>0.48280000000000001</v>
      </c>
      <c r="AI360" s="2994">
        <v>0.5</v>
      </c>
      <c r="AJ360" s="2994">
        <v>0.51670000000000005</v>
      </c>
      <c r="AK360" s="2994">
        <v>0.1726</v>
      </c>
      <c r="AL360" s="2994">
        <v>0.52</v>
      </c>
      <c r="AM360" s="2994">
        <v>0.76160000000000005</v>
      </c>
      <c r="AN360" s="2994">
        <v>0.54990000000000006</v>
      </c>
      <c r="AO360" s="2994">
        <v>0.54990000000000006</v>
      </c>
      <c r="AP360" s="2994">
        <v>0.55000000000000004</v>
      </c>
      <c r="AQ360" s="2994">
        <v>0.3</v>
      </c>
      <c r="AR360" s="2994">
        <v>0.32</v>
      </c>
      <c r="AS360" s="2994">
        <v>0.32</v>
      </c>
      <c r="AT360" s="2994">
        <v>0.35</v>
      </c>
      <c r="AU360" s="2994">
        <v>0.35</v>
      </c>
      <c r="AV360" s="2994">
        <v>0.2417</v>
      </c>
      <c r="AW360" s="2994">
        <v>0.16059999999999999</v>
      </c>
      <c r="AX360" s="2994">
        <v>0.2</v>
      </c>
      <c r="AY360" s="2994">
        <v>0.2</v>
      </c>
      <c r="AZ360" s="2994">
        <v>0.2</v>
      </c>
      <c r="BA360" s="2994">
        <v>1.5</v>
      </c>
      <c r="BB360" s="2994">
        <v>0.8</v>
      </c>
      <c r="BC360" s="2994">
        <v>0.57140000000000002</v>
      </c>
      <c r="BD360" s="3471">
        <v>0.8</v>
      </c>
      <c r="BE360" s="3471">
        <v>1</v>
      </c>
      <c r="BF360" s="3471">
        <v>1</v>
      </c>
    </row>
    <row r="361" spans="1:58">
      <c r="A361" s="1817" t="str">
        <f t="shared" si="11"/>
        <v>Central AmericaCauliflowers and broccoli</v>
      </c>
      <c r="B361" s="1818" t="s">
        <v>305</v>
      </c>
      <c r="C361" s="1818" t="s">
        <v>1343</v>
      </c>
      <c r="D361" s="3463" t="str">
        <f>VLOOKUP(B361,List_Yield!$G$4:$J$14,4,FALSE)</f>
        <v>Central America</v>
      </c>
      <c r="E361" s="3463" t="str">
        <f t="shared" si="10"/>
        <v>Central AmericaCauliflowers and broccoli</v>
      </c>
      <c r="F361" s="2994">
        <v>10</v>
      </c>
      <c r="G361" s="2994">
        <v>10</v>
      </c>
      <c r="H361" s="2994">
        <v>10</v>
      </c>
      <c r="I361" s="2994">
        <v>10</v>
      </c>
      <c r="J361" s="2994">
        <v>10</v>
      </c>
      <c r="K361" s="2994">
        <v>10</v>
      </c>
      <c r="L361" s="2994">
        <v>10</v>
      </c>
      <c r="M361" s="2994">
        <v>10</v>
      </c>
      <c r="N361" s="2994">
        <v>10</v>
      </c>
      <c r="O361" s="2994">
        <v>10</v>
      </c>
      <c r="P361" s="2994">
        <v>10</v>
      </c>
      <c r="Q361" s="2994">
        <v>10</v>
      </c>
      <c r="R361" s="2994">
        <v>11.818199999999999</v>
      </c>
      <c r="S361" s="2994">
        <v>11.428599999999999</v>
      </c>
      <c r="T361" s="2994">
        <v>11.3688</v>
      </c>
      <c r="U361" s="2994">
        <v>10.808400000000001</v>
      </c>
      <c r="V361" s="2994">
        <v>9.6721000000000004</v>
      </c>
      <c r="W361" s="2994">
        <v>12.3017</v>
      </c>
      <c r="X361" s="2994">
        <v>10.4924</v>
      </c>
      <c r="Y361" s="2994">
        <v>9.5545000000000009</v>
      </c>
      <c r="Z361" s="2994">
        <v>13.1333</v>
      </c>
      <c r="AA361" s="2994">
        <v>14.619300000000001</v>
      </c>
      <c r="AB361" s="2994">
        <v>11.505100000000001</v>
      </c>
      <c r="AC361" s="2994">
        <v>11.8971</v>
      </c>
      <c r="AD361" s="2994">
        <v>11.3879</v>
      </c>
      <c r="AE361" s="2994">
        <v>11.0436</v>
      </c>
      <c r="AF361" s="2994">
        <v>10.439500000000001</v>
      </c>
      <c r="AG361" s="2994">
        <v>12.381600000000001</v>
      </c>
      <c r="AH361" s="2994">
        <v>12.6396</v>
      </c>
      <c r="AI361" s="2994">
        <v>11.740500000000001</v>
      </c>
      <c r="AJ361" s="2994">
        <v>11.1226</v>
      </c>
      <c r="AK361" s="2994">
        <v>11.4512</v>
      </c>
      <c r="AL361" s="2994">
        <v>11.4217</v>
      </c>
      <c r="AM361" s="2994">
        <v>11.354200000000001</v>
      </c>
      <c r="AN361" s="2994">
        <v>11.665100000000001</v>
      </c>
      <c r="AO361" s="2994">
        <v>11.585800000000001</v>
      </c>
      <c r="AP361" s="2994">
        <v>12.2887</v>
      </c>
      <c r="AQ361" s="2994">
        <v>12.8612</v>
      </c>
      <c r="AR361" s="2994">
        <v>13.2461</v>
      </c>
      <c r="AS361" s="2994">
        <v>12.399800000000001</v>
      </c>
      <c r="AT361" s="2994">
        <v>13.233000000000001</v>
      </c>
      <c r="AU361" s="2994">
        <v>13.658799999999999</v>
      </c>
      <c r="AV361" s="2994">
        <v>13.2927</v>
      </c>
      <c r="AW361" s="2994">
        <v>13.5351</v>
      </c>
      <c r="AX361" s="2994">
        <v>14.0023</v>
      </c>
      <c r="AY361" s="2994">
        <v>13.691800000000001</v>
      </c>
      <c r="AZ361" s="2994">
        <v>14.0304</v>
      </c>
      <c r="BA361" s="2994">
        <v>14.61</v>
      </c>
      <c r="BB361" s="2994">
        <v>14.264799999999999</v>
      </c>
      <c r="BC361" s="2994">
        <v>14.0459</v>
      </c>
      <c r="BD361" s="3471">
        <v>14.2006</v>
      </c>
      <c r="BE361" s="3471">
        <v>14.3172</v>
      </c>
      <c r="BF361" s="3471">
        <v>0</v>
      </c>
    </row>
    <row r="362" spans="1:58">
      <c r="A362" s="1817" t="str">
        <f t="shared" si="11"/>
        <v>Central AmericaCereals, nes</v>
      </c>
      <c r="B362" s="1818" t="s">
        <v>305</v>
      </c>
      <c r="C362" s="1818" t="s">
        <v>1344</v>
      </c>
      <c r="D362" s="3463" t="str">
        <f>VLOOKUP(B362,List_Yield!$G$4:$J$14,4,FALSE)</f>
        <v>Central America</v>
      </c>
      <c r="E362" s="3463" t="str">
        <f t="shared" si="10"/>
        <v>Central AmericaCereals, nes</v>
      </c>
      <c r="F362" s="2994">
        <v>0</v>
      </c>
      <c r="G362" s="2994">
        <v>0</v>
      </c>
      <c r="H362" s="2994">
        <v>0</v>
      </c>
      <c r="I362" s="2994">
        <v>0</v>
      </c>
      <c r="J362" s="2994">
        <v>0</v>
      </c>
      <c r="K362" s="2994">
        <v>0</v>
      </c>
      <c r="L362" s="2994">
        <v>0</v>
      </c>
      <c r="M362" s="2994">
        <v>0</v>
      </c>
      <c r="N362" s="2994">
        <v>0</v>
      </c>
      <c r="O362" s="2994">
        <v>0</v>
      </c>
      <c r="P362" s="2994">
        <v>0</v>
      </c>
      <c r="Q362" s="2994">
        <v>0</v>
      </c>
      <c r="R362" s="2994">
        <v>0</v>
      </c>
      <c r="S362" s="2994">
        <v>0</v>
      </c>
      <c r="T362" s="2994">
        <v>0</v>
      </c>
      <c r="U362" s="2994">
        <v>0</v>
      </c>
      <c r="V362" s="2994">
        <v>0</v>
      </c>
      <c r="W362" s="2994">
        <v>0</v>
      </c>
      <c r="X362" s="2994">
        <v>0</v>
      </c>
      <c r="Y362" s="2994">
        <v>0</v>
      </c>
      <c r="Z362" s="2994">
        <v>0</v>
      </c>
      <c r="AA362" s="2994">
        <v>0.51029999999999998</v>
      </c>
      <c r="AB362" s="2994">
        <v>0.3</v>
      </c>
      <c r="AC362" s="2994">
        <v>0.7</v>
      </c>
      <c r="AD362" s="2994">
        <v>0.78200000000000003</v>
      </c>
      <c r="AE362" s="2994">
        <v>0.94940000000000002</v>
      </c>
      <c r="AF362" s="2994">
        <v>1.0465</v>
      </c>
      <c r="AG362" s="2994">
        <v>1.3083</v>
      </c>
      <c r="AH362" s="2994">
        <v>1.0448</v>
      </c>
      <c r="AI362" s="2994">
        <v>0.83560000000000001</v>
      </c>
      <c r="AJ362" s="2994">
        <v>1.1316999999999999</v>
      </c>
      <c r="AK362" s="2994">
        <v>1.1475</v>
      </c>
      <c r="AL362" s="2994">
        <v>0.89139999999999997</v>
      </c>
      <c r="AM362" s="2994">
        <v>1.1811</v>
      </c>
      <c r="AN362" s="2994">
        <v>1.218</v>
      </c>
      <c r="AO362" s="2994">
        <v>1.2244999999999999</v>
      </c>
      <c r="AP362" s="2994">
        <v>1.2141</v>
      </c>
      <c r="AQ362" s="2994">
        <v>1.0497000000000001</v>
      </c>
      <c r="AR362" s="2994">
        <v>1.8262</v>
      </c>
      <c r="AS362" s="2994">
        <v>1.3593999999999999</v>
      </c>
      <c r="AT362" s="2994">
        <v>1.4676</v>
      </c>
      <c r="AU362" s="2994">
        <v>1.1989000000000001</v>
      </c>
      <c r="AV362" s="2994">
        <v>1.6173999999999999</v>
      </c>
      <c r="AW362" s="2994">
        <v>1.6011</v>
      </c>
      <c r="AX362" s="2994">
        <v>1.4581</v>
      </c>
      <c r="AY362" s="2994">
        <v>1.5481</v>
      </c>
      <c r="AZ362" s="2994">
        <v>1.6497999999999999</v>
      </c>
      <c r="BA362" s="2994">
        <v>1.2817000000000001</v>
      </c>
      <c r="BB362" s="2994">
        <v>1.5092000000000001</v>
      </c>
      <c r="BC362" s="2994">
        <v>1.2282</v>
      </c>
      <c r="BD362" s="3471">
        <v>1.2591000000000001</v>
      </c>
      <c r="BE362" s="3471">
        <v>1.2998000000000001</v>
      </c>
      <c r="BF362" s="3471">
        <v>1.2383999999999999</v>
      </c>
    </row>
    <row r="363" spans="1:58">
      <c r="A363" s="1817" t="str">
        <f t="shared" si="11"/>
        <v>Central AmericaCherries</v>
      </c>
      <c r="B363" s="1818" t="s">
        <v>305</v>
      </c>
      <c r="C363" s="1818" t="s">
        <v>7304</v>
      </c>
      <c r="D363" s="3463" t="str">
        <f>VLOOKUP(B363,List_Yield!$G$4:$J$14,4,FALSE)</f>
        <v>Central America</v>
      </c>
      <c r="E363" s="3463" t="str">
        <f t="shared" si="10"/>
        <v>Central AmericaCherries</v>
      </c>
      <c r="F363" s="2994">
        <v>0</v>
      </c>
      <c r="G363" s="2994">
        <v>0</v>
      </c>
      <c r="H363" s="2994">
        <v>0</v>
      </c>
      <c r="I363" s="2994">
        <v>0</v>
      </c>
      <c r="J363" s="2994">
        <v>0</v>
      </c>
      <c r="K363" s="2994">
        <v>0</v>
      </c>
      <c r="L363" s="2994">
        <v>0</v>
      </c>
      <c r="M363" s="2994">
        <v>0</v>
      </c>
      <c r="N363" s="2994">
        <v>0</v>
      </c>
      <c r="O363" s="2994">
        <v>0</v>
      </c>
      <c r="P363" s="2994">
        <v>0</v>
      </c>
      <c r="Q363" s="2994">
        <v>0</v>
      </c>
      <c r="R363" s="2994">
        <v>0</v>
      </c>
      <c r="S363" s="2994">
        <v>0</v>
      </c>
      <c r="T363" s="2994">
        <v>0</v>
      </c>
      <c r="U363" s="2994">
        <v>0</v>
      </c>
      <c r="V363" s="2994">
        <v>0</v>
      </c>
      <c r="W363" s="2994">
        <v>0</v>
      </c>
      <c r="X363" s="2994">
        <v>0</v>
      </c>
      <c r="Y363" s="2994">
        <v>3.4906000000000001</v>
      </c>
      <c r="Z363" s="2994">
        <v>3.0926</v>
      </c>
      <c r="AA363" s="2994">
        <v>2.9630000000000001</v>
      </c>
      <c r="AB363" s="2994">
        <v>6.4443999999999999</v>
      </c>
      <c r="AC363" s="2994">
        <v>5.2</v>
      </c>
      <c r="AD363" s="2994">
        <v>5.1666999999999996</v>
      </c>
      <c r="AE363" s="2994">
        <v>1.35</v>
      </c>
      <c r="AF363" s="2994">
        <v>2</v>
      </c>
      <c r="AG363" s="2994">
        <v>3.55</v>
      </c>
      <c r="AH363" s="2994">
        <v>1.3158000000000001</v>
      </c>
      <c r="AI363" s="2994">
        <v>2</v>
      </c>
      <c r="AJ363" s="2994">
        <v>5.0999999999999996</v>
      </c>
      <c r="AK363" s="2994">
        <v>0</v>
      </c>
      <c r="AL363" s="2994">
        <v>0</v>
      </c>
      <c r="AM363" s="2994">
        <v>4.9486999999999997</v>
      </c>
      <c r="AN363" s="2994">
        <v>5</v>
      </c>
      <c r="AO363" s="2994">
        <v>6.62</v>
      </c>
      <c r="AP363" s="2994">
        <v>15.8429</v>
      </c>
      <c r="AQ363" s="2994">
        <v>9.2799999999999994</v>
      </c>
      <c r="AR363" s="2994">
        <v>10.2958</v>
      </c>
      <c r="AS363" s="2994">
        <v>6.2253999999999996</v>
      </c>
      <c r="AT363" s="2994">
        <v>2</v>
      </c>
      <c r="AU363" s="2994">
        <v>0</v>
      </c>
      <c r="AV363" s="2994">
        <v>0</v>
      </c>
      <c r="AW363" s="2994">
        <v>0</v>
      </c>
      <c r="AX363" s="2994">
        <v>0</v>
      </c>
      <c r="AY363" s="2994">
        <v>0</v>
      </c>
      <c r="AZ363" s="2994">
        <v>0</v>
      </c>
      <c r="BA363" s="2994">
        <v>0</v>
      </c>
      <c r="BB363" s="2994">
        <v>0</v>
      </c>
      <c r="BC363" s="2994">
        <v>0.5</v>
      </c>
      <c r="BD363" s="3471">
        <v>0</v>
      </c>
      <c r="BE363" s="3471">
        <v>1.5</v>
      </c>
      <c r="BF363" s="3471">
        <v>0</v>
      </c>
    </row>
    <row r="364" spans="1:58">
      <c r="A364" s="1817" t="str">
        <f t="shared" si="11"/>
        <v>Central AmericaCherries, sour</v>
      </c>
      <c r="B364" s="1818" t="s">
        <v>305</v>
      </c>
      <c r="C364" s="1818" t="s">
        <v>7305</v>
      </c>
      <c r="D364" s="3463" t="str">
        <f>VLOOKUP(B364,List_Yield!$G$4:$J$14,4,FALSE)</f>
        <v>Central America</v>
      </c>
      <c r="E364" s="3463" t="str">
        <f t="shared" si="10"/>
        <v>Central AmericaCherries, sour</v>
      </c>
      <c r="F364" s="2994">
        <v>0</v>
      </c>
      <c r="G364" s="2994">
        <v>0</v>
      </c>
      <c r="H364" s="2994">
        <v>0</v>
      </c>
      <c r="I364" s="2994">
        <v>0</v>
      </c>
      <c r="J364" s="2994">
        <v>0</v>
      </c>
      <c r="K364" s="2994">
        <v>0</v>
      </c>
      <c r="L364" s="2994">
        <v>0</v>
      </c>
      <c r="M364" s="2994">
        <v>0</v>
      </c>
      <c r="N364" s="2994">
        <v>0</v>
      </c>
      <c r="O364" s="2994">
        <v>0</v>
      </c>
      <c r="P364" s="2994">
        <v>0</v>
      </c>
      <c r="Q364" s="2994">
        <v>0</v>
      </c>
      <c r="R364" s="2994">
        <v>0</v>
      </c>
      <c r="S364" s="2994">
        <v>0</v>
      </c>
      <c r="T364" s="2994">
        <v>0</v>
      </c>
      <c r="U364" s="2994">
        <v>0</v>
      </c>
      <c r="V364" s="2994">
        <v>0</v>
      </c>
      <c r="W364" s="2994">
        <v>0</v>
      </c>
      <c r="X364" s="2994">
        <v>0</v>
      </c>
      <c r="Y364" s="2994">
        <v>0</v>
      </c>
      <c r="Z364" s="2994">
        <v>0</v>
      </c>
      <c r="AA364" s="2994">
        <v>0</v>
      </c>
      <c r="AB364" s="2994">
        <v>0</v>
      </c>
      <c r="AC364" s="2994">
        <v>0</v>
      </c>
      <c r="AD364" s="2994">
        <v>0</v>
      </c>
      <c r="AE364" s="2994">
        <v>0</v>
      </c>
      <c r="AF364" s="2994">
        <v>0</v>
      </c>
      <c r="AG364" s="2994">
        <v>0</v>
      </c>
      <c r="AH364" s="2994">
        <v>0</v>
      </c>
      <c r="AI364" s="2994">
        <v>0</v>
      </c>
      <c r="AJ364" s="2994">
        <v>0</v>
      </c>
      <c r="AK364" s="2994">
        <v>0</v>
      </c>
      <c r="AL364" s="2994">
        <v>0</v>
      </c>
      <c r="AM364" s="2994">
        <v>0</v>
      </c>
      <c r="AN364" s="2994">
        <v>0</v>
      </c>
      <c r="AO364" s="2994">
        <v>0</v>
      </c>
      <c r="AP364" s="2994">
        <v>0</v>
      </c>
      <c r="AQ364" s="2994">
        <v>0</v>
      </c>
      <c r="AR364" s="2994">
        <v>0</v>
      </c>
      <c r="AS364" s="2994">
        <v>0</v>
      </c>
      <c r="AT364" s="2994">
        <v>0</v>
      </c>
      <c r="AU364" s="2994">
        <v>0</v>
      </c>
      <c r="AV364" s="2994">
        <v>0</v>
      </c>
      <c r="AW364" s="2994">
        <v>0</v>
      </c>
      <c r="AX364" s="2994">
        <v>0</v>
      </c>
      <c r="AY364" s="2994">
        <v>0</v>
      </c>
      <c r="AZ364" s="2994">
        <v>0</v>
      </c>
      <c r="BA364" s="2994">
        <v>0</v>
      </c>
      <c r="BB364" s="2994">
        <v>0</v>
      </c>
      <c r="BC364" s="2994">
        <v>0</v>
      </c>
      <c r="BD364" s="3471">
        <v>0</v>
      </c>
      <c r="BE364" s="3471">
        <v>0</v>
      </c>
      <c r="BF364" s="3471">
        <v>0</v>
      </c>
    </row>
    <row r="365" spans="1:58">
      <c r="A365" s="1817" t="str">
        <f t="shared" si="11"/>
        <v>Central AmericaChestnut</v>
      </c>
      <c r="B365" s="1818" t="s">
        <v>305</v>
      </c>
      <c r="C365" s="1818" t="s">
        <v>7306</v>
      </c>
      <c r="D365" s="3463" t="str">
        <f>VLOOKUP(B365,List_Yield!$G$4:$J$14,4,FALSE)</f>
        <v>Central America</v>
      </c>
      <c r="E365" s="3463" t="str">
        <f t="shared" si="10"/>
        <v>Central AmericaChestnut</v>
      </c>
      <c r="F365" s="2994">
        <v>0</v>
      </c>
      <c r="G365" s="2994">
        <v>0</v>
      </c>
      <c r="H365" s="2994">
        <v>0</v>
      </c>
      <c r="I365" s="2994">
        <v>0</v>
      </c>
      <c r="J365" s="2994">
        <v>0</v>
      </c>
      <c r="K365" s="2994">
        <v>0</v>
      </c>
      <c r="L365" s="2994">
        <v>0</v>
      </c>
      <c r="M365" s="2994">
        <v>0</v>
      </c>
      <c r="N365" s="2994">
        <v>0</v>
      </c>
      <c r="O365" s="2994">
        <v>0</v>
      </c>
      <c r="P365" s="2994">
        <v>0</v>
      </c>
      <c r="Q365" s="2994">
        <v>0</v>
      </c>
      <c r="R365" s="2994">
        <v>0</v>
      </c>
      <c r="S365" s="2994">
        <v>0</v>
      </c>
      <c r="T365" s="2994">
        <v>0</v>
      </c>
      <c r="U365" s="2994">
        <v>0</v>
      </c>
      <c r="V365" s="2994">
        <v>0</v>
      </c>
      <c r="W365" s="2994">
        <v>0</v>
      </c>
      <c r="X365" s="2994">
        <v>0</v>
      </c>
      <c r="Y365" s="2994">
        <v>0</v>
      </c>
      <c r="Z365" s="2994">
        <v>0</v>
      </c>
      <c r="AA365" s="2994">
        <v>0</v>
      </c>
      <c r="AB365" s="2994">
        <v>0</v>
      </c>
      <c r="AC365" s="2994">
        <v>0</v>
      </c>
      <c r="AD365" s="2994">
        <v>0</v>
      </c>
      <c r="AE365" s="2994">
        <v>0</v>
      </c>
      <c r="AF365" s="2994">
        <v>0</v>
      </c>
      <c r="AG365" s="2994">
        <v>0</v>
      </c>
      <c r="AH365" s="2994">
        <v>0</v>
      </c>
      <c r="AI365" s="2994">
        <v>0</v>
      </c>
      <c r="AJ365" s="2994">
        <v>0</v>
      </c>
      <c r="AK365" s="2994">
        <v>0</v>
      </c>
      <c r="AL365" s="2994">
        <v>0</v>
      </c>
      <c r="AM365" s="2994">
        <v>0</v>
      </c>
      <c r="AN365" s="2994">
        <v>0</v>
      </c>
      <c r="AO365" s="2994">
        <v>0</v>
      </c>
      <c r="AP365" s="2994">
        <v>0</v>
      </c>
      <c r="AQ365" s="2994">
        <v>0</v>
      </c>
      <c r="AR365" s="2994">
        <v>0</v>
      </c>
      <c r="AS365" s="2994">
        <v>0</v>
      </c>
      <c r="AT365" s="2994">
        <v>0</v>
      </c>
      <c r="AU365" s="2994">
        <v>0</v>
      </c>
      <c r="AV365" s="2994">
        <v>0</v>
      </c>
      <c r="AW365" s="2994">
        <v>0</v>
      </c>
      <c r="AX365" s="2994">
        <v>0</v>
      </c>
      <c r="AY365" s="2994">
        <v>0</v>
      </c>
      <c r="AZ365" s="2994">
        <v>0</v>
      </c>
      <c r="BA365" s="2994">
        <v>0</v>
      </c>
      <c r="BB365" s="2994">
        <v>0</v>
      </c>
      <c r="BC365" s="2994">
        <v>0</v>
      </c>
      <c r="BD365" s="3471">
        <v>0</v>
      </c>
      <c r="BE365" s="3471">
        <v>0</v>
      </c>
      <c r="BF365" s="3471">
        <v>0</v>
      </c>
    </row>
    <row r="366" spans="1:58">
      <c r="A366" s="1817" t="str">
        <f t="shared" si="11"/>
        <v>Central AmericaChick peas</v>
      </c>
      <c r="B366" s="1818" t="s">
        <v>305</v>
      </c>
      <c r="C366" s="1818" t="s">
        <v>7307</v>
      </c>
      <c r="D366" s="3463" t="str">
        <f>VLOOKUP(B366,List_Yield!$G$4:$J$14,4,FALSE)</f>
        <v>Central America</v>
      </c>
      <c r="E366" s="3463" t="str">
        <f t="shared" si="10"/>
        <v>Central AmericaChick peas</v>
      </c>
      <c r="F366" s="2994">
        <v>0.86309999999999998</v>
      </c>
      <c r="G366" s="2994">
        <v>0.88380000000000003</v>
      </c>
      <c r="H366" s="2994">
        <v>0.92700000000000005</v>
      </c>
      <c r="I366" s="2994">
        <v>0.90400000000000003</v>
      </c>
      <c r="J366" s="2994">
        <v>0.87239999999999995</v>
      </c>
      <c r="K366" s="2994">
        <v>0.92920000000000003</v>
      </c>
      <c r="L366" s="2994">
        <v>0.85760000000000003</v>
      </c>
      <c r="M366" s="2994">
        <v>0.88670000000000004</v>
      </c>
      <c r="N366" s="2994">
        <v>0.88880000000000003</v>
      </c>
      <c r="O366" s="2994">
        <v>0.89090000000000003</v>
      </c>
      <c r="P366" s="2994">
        <v>0.7772</v>
      </c>
      <c r="Q366" s="2994">
        <v>0.92169999999999996</v>
      </c>
      <c r="R366" s="2994">
        <v>1.0455000000000001</v>
      </c>
      <c r="S366" s="2994">
        <v>1.0044999999999999</v>
      </c>
      <c r="T366" s="2994">
        <v>1.0233000000000001</v>
      </c>
      <c r="U366" s="2994">
        <v>0.69330000000000003</v>
      </c>
      <c r="V366" s="2994">
        <v>1.0763</v>
      </c>
      <c r="W366" s="2994">
        <v>1.0873999999999999</v>
      </c>
      <c r="X366" s="2994">
        <v>1.1728000000000001</v>
      </c>
      <c r="Y366" s="2994">
        <v>1.1379999999999999</v>
      </c>
      <c r="Z366" s="2994">
        <v>1.0003</v>
      </c>
      <c r="AA366" s="2994">
        <v>1.0723</v>
      </c>
      <c r="AB366" s="2994">
        <v>1.1386000000000001</v>
      </c>
      <c r="AC366" s="2994">
        <v>1.2829999999999999</v>
      </c>
      <c r="AD366" s="2994">
        <v>1.0390999999999999</v>
      </c>
      <c r="AE366" s="2994">
        <v>1.0976999999999999</v>
      </c>
      <c r="AF366" s="2994">
        <v>1.2324999999999999</v>
      </c>
      <c r="AG366" s="2994">
        <v>1.1173999999999999</v>
      </c>
      <c r="AH366" s="2994">
        <v>1.2822</v>
      </c>
      <c r="AI366" s="2994">
        <v>1.3387</v>
      </c>
      <c r="AJ366" s="2994">
        <v>1.5991</v>
      </c>
      <c r="AK366" s="2994">
        <v>1.333</v>
      </c>
      <c r="AL366" s="2994">
        <v>1.4623999999999999</v>
      </c>
      <c r="AM366" s="2994">
        <v>1.5729</v>
      </c>
      <c r="AN366" s="2994">
        <v>1.5307999999999999</v>
      </c>
      <c r="AO366" s="2994">
        <v>1.6264000000000001</v>
      </c>
      <c r="AP366" s="2994">
        <v>1.6662999999999999</v>
      </c>
      <c r="AQ366" s="2994">
        <v>1.4468000000000001</v>
      </c>
      <c r="AR366" s="2994">
        <v>1.4410000000000001</v>
      </c>
      <c r="AS366" s="2994">
        <v>1.7331000000000001</v>
      </c>
      <c r="AT366" s="2994">
        <v>1.677</v>
      </c>
      <c r="AU366" s="2994">
        <v>1.5952999999999999</v>
      </c>
      <c r="AV366" s="2994">
        <v>1.2482</v>
      </c>
      <c r="AW366" s="2994">
        <v>1.4138999999999999</v>
      </c>
      <c r="AX366" s="2994">
        <v>1.3706</v>
      </c>
      <c r="AY366" s="2994">
        <v>1.4421999999999999</v>
      </c>
      <c r="AZ366" s="2994">
        <v>1.6560999999999999</v>
      </c>
      <c r="BA366" s="2994">
        <v>1.8093999999999999</v>
      </c>
      <c r="BB366" s="2994">
        <v>1.6902999999999999</v>
      </c>
      <c r="BC366" s="2994">
        <v>1.4786999999999999</v>
      </c>
      <c r="BD366" s="3471">
        <v>1.5008999999999999</v>
      </c>
      <c r="BE366" s="3471">
        <v>2.0367999999999999</v>
      </c>
      <c r="BF366" s="3471">
        <v>1.8169</v>
      </c>
    </row>
    <row r="367" spans="1:58">
      <c r="A367" s="1817" t="str">
        <f t="shared" si="11"/>
        <v>Central AmericaChicory roots</v>
      </c>
      <c r="B367" s="1818" t="s">
        <v>305</v>
      </c>
      <c r="C367" s="1818" t="s">
        <v>7308</v>
      </c>
      <c r="D367" s="3463" t="str">
        <f>VLOOKUP(B367,List_Yield!$G$4:$J$14,4,FALSE)</f>
        <v>Central America</v>
      </c>
      <c r="E367" s="3463" t="str">
        <f t="shared" si="10"/>
        <v>Central AmericaChicory roots</v>
      </c>
      <c r="F367" s="2994">
        <v>0</v>
      </c>
      <c r="G367" s="2994">
        <v>0</v>
      </c>
      <c r="H367" s="2994">
        <v>0</v>
      </c>
      <c r="I367" s="2994">
        <v>0</v>
      </c>
      <c r="J367" s="2994">
        <v>0</v>
      </c>
      <c r="K367" s="2994">
        <v>0</v>
      </c>
      <c r="L367" s="2994">
        <v>0</v>
      </c>
      <c r="M367" s="2994">
        <v>0</v>
      </c>
      <c r="N367" s="2994">
        <v>0</v>
      </c>
      <c r="O367" s="2994">
        <v>0</v>
      </c>
      <c r="P367" s="2994">
        <v>0</v>
      </c>
      <c r="Q367" s="2994">
        <v>0</v>
      </c>
      <c r="R367" s="2994">
        <v>0</v>
      </c>
      <c r="S367" s="2994">
        <v>0</v>
      </c>
      <c r="T367" s="2994">
        <v>0</v>
      </c>
      <c r="U367" s="2994">
        <v>0</v>
      </c>
      <c r="V367" s="2994">
        <v>0</v>
      </c>
      <c r="W367" s="2994">
        <v>0</v>
      </c>
      <c r="X367" s="2994">
        <v>0</v>
      </c>
      <c r="Y367" s="2994">
        <v>0</v>
      </c>
      <c r="Z367" s="2994">
        <v>0</v>
      </c>
      <c r="AA367" s="2994">
        <v>0</v>
      </c>
      <c r="AB367" s="2994">
        <v>0</v>
      </c>
      <c r="AC367" s="2994">
        <v>0</v>
      </c>
      <c r="AD367" s="2994">
        <v>0</v>
      </c>
      <c r="AE367" s="2994">
        <v>0</v>
      </c>
      <c r="AF367" s="2994">
        <v>0</v>
      </c>
      <c r="AG367" s="2994">
        <v>0</v>
      </c>
      <c r="AH367" s="2994">
        <v>0</v>
      </c>
      <c r="AI367" s="2994">
        <v>0</v>
      </c>
      <c r="AJ367" s="2994">
        <v>0</v>
      </c>
      <c r="AK367" s="2994">
        <v>0</v>
      </c>
      <c r="AL367" s="2994">
        <v>0</v>
      </c>
      <c r="AM367" s="2994">
        <v>0</v>
      </c>
      <c r="AN367" s="2994">
        <v>0</v>
      </c>
      <c r="AO367" s="2994">
        <v>0</v>
      </c>
      <c r="AP367" s="2994">
        <v>0</v>
      </c>
      <c r="AQ367" s="2994">
        <v>0</v>
      </c>
      <c r="AR367" s="2994">
        <v>0</v>
      </c>
      <c r="AS367" s="2994">
        <v>0</v>
      </c>
      <c r="AT367" s="2994">
        <v>0</v>
      </c>
      <c r="AU367" s="2994">
        <v>0</v>
      </c>
      <c r="AV367" s="2994">
        <v>0</v>
      </c>
      <c r="AW367" s="2994">
        <v>0</v>
      </c>
      <c r="AX367" s="2994">
        <v>0</v>
      </c>
      <c r="AY367" s="2994">
        <v>0</v>
      </c>
      <c r="AZ367" s="2994">
        <v>0</v>
      </c>
      <c r="BA367" s="2994">
        <v>0</v>
      </c>
      <c r="BB367" s="2994">
        <v>0</v>
      </c>
      <c r="BC367" s="2994">
        <v>0</v>
      </c>
      <c r="BD367" s="3471">
        <v>0</v>
      </c>
      <c r="BE367" s="3471">
        <v>0</v>
      </c>
      <c r="BF367" s="3471">
        <v>0</v>
      </c>
    </row>
    <row r="368" spans="1:58">
      <c r="A368" s="1817" t="str">
        <f t="shared" si="11"/>
        <v>Central AmericaChillies and peppers, dry</v>
      </c>
      <c r="B368" s="1818" t="s">
        <v>305</v>
      </c>
      <c r="C368" s="1818" t="s">
        <v>7309</v>
      </c>
      <c r="D368" s="3463" t="str">
        <f>VLOOKUP(B368,List_Yield!$G$4:$J$14,4,FALSE)</f>
        <v>Central America</v>
      </c>
      <c r="E368" s="3463" t="str">
        <f t="shared" si="10"/>
        <v>Central AmericaChillies and peppers, dry</v>
      </c>
      <c r="F368" s="2994">
        <v>0.73270000000000002</v>
      </c>
      <c r="G368" s="2994">
        <v>0.7389</v>
      </c>
      <c r="H368" s="2994">
        <v>0.77080000000000004</v>
      </c>
      <c r="I368" s="2994">
        <v>0.81950000000000001</v>
      </c>
      <c r="J368" s="2994">
        <v>0.95350000000000001</v>
      </c>
      <c r="K368" s="2994">
        <v>0.92249999999999999</v>
      </c>
      <c r="L368" s="2994">
        <v>1.0185999999999999</v>
      </c>
      <c r="M368" s="2994">
        <v>1.0835999999999999</v>
      </c>
      <c r="N368" s="2994">
        <v>1.1607000000000001</v>
      </c>
      <c r="O368" s="2994">
        <v>1.1089</v>
      </c>
      <c r="P368" s="2994">
        <v>1.1487000000000001</v>
      </c>
      <c r="Q368" s="2994">
        <v>1.1368</v>
      </c>
      <c r="R368" s="2994">
        <v>1.1879</v>
      </c>
      <c r="S368" s="2994">
        <v>1.2882</v>
      </c>
      <c r="T368" s="2994">
        <v>1.1172</v>
      </c>
      <c r="U368" s="2994">
        <v>1.1291</v>
      </c>
      <c r="V368" s="2994">
        <v>1.0553999999999999</v>
      </c>
      <c r="W368" s="2994">
        <v>1.1231</v>
      </c>
      <c r="X368" s="2994">
        <v>1.2943</v>
      </c>
      <c r="Y368" s="2994">
        <v>1.3567</v>
      </c>
      <c r="Z368" s="2994">
        <v>1.1846000000000001</v>
      </c>
      <c r="AA368" s="2994">
        <v>1.2483</v>
      </c>
      <c r="AB368" s="2994">
        <v>1.2448999999999999</v>
      </c>
      <c r="AC368" s="2994">
        <v>1.3022</v>
      </c>
      <c r="AD368" s="2994">
        <v>1.2354000000000001</v>
      </c>
      <c r="AE368" s="2994">
        <v>1.3615999999999999</v>
      </c>
      <c r="AF368" s="2994">
        <v>1.5051000000000001</v>
      </c>
      <c r="AG368" s="2994">
        <v>1.1666000000000001</v>
      </c>
      <c r="AH368" s="2994">
        <v>1.3833</v>
      </c>
      <c r="AI368" s="2994">
        <v>1.4205000000000001</v>
      </c>
      <c r="AJ368" s="2994">
        <v>1.3655999999999999</v>
      </c>
      <c r="AK368" s="2994">
        <v>1.3079000000000001</v>
      </c>
      <c r="AL368" s="2994">
        <v>1.4677</v>
      </c>
      <c r="AM368" s="2994">
        <v>1.4121999999999999</v>
      </c>
      <c r="AN368" s="2994">
        <v>1.4460999999999999</v>
      </c>
      <c r="AO368" s="2994">
        <v>1.5144</v>
      </c>
      <c r="AP368" s="2994">
        <v>1.6302000000000001</v>
      </c>
      <c r="AQ368" s="2994">
        <v>1.6175999999999999</v>
      </c>
      <c r="AR368" s="2994">
        <v>1.2688999999999999</v>
      </c>
      <c r="AS368" s="2994">
        <v>1.4695</v>
      </c>
      <c r="AT368" s="2994">
        <v>1.6040000000000001</v>
      </c>
      <c r="AU368" s="2994">
        <v>1.6422000000000001</v>
      </c>
      <c r="AV368" s="2994">
        <v>1.6143000000000001</v>
      </c>
      <c r="AW368" s="2994">
        <v>1.6055999999999999</v>
      </c>
      <c r="AX368" s="2994">
        <v>1.6111</v>
      </c>
      <c r="AY368" s="2994">
        <v>1.6076999999999999</v>
      </c>
      <c r="AZ368" s="2994">
        <v>1.6215999999999999</v>
      </c>
      <c r="BA368" s="2994">
        <v>1.601</v>
      </c>
      <c r="BB368" s="2994">
        <v>1.5279</v>
      </c>
      <c r="BC368" s="2994">
        <v>1.7316</v>
      </c>
      <c r="BD368" s="3471">
        <v>1.8807</v>
      </c>
      <c r="BE368" s="3471">
        <v>1.8462000000000001</v>
      </c>
      <c r="BF368" s="3471">
        <v>0</v>
      </c>
    </row>
    <row r="369" spans="1:58">
      <c r="A369" s="1817" t="str">
        <f t="shared" si="11"/>
        <v>Central AmericaChillies and peppers, green</v>
      </c>
      <c r="B369" s="1818" t="s">
        <v>305</v>
      </c>
      <c r="C369" s="1818" t="s">
        <v>7310</v>
      </c>
      <c r="D369" s="3463" t="str">
        <f>VLOOKUP(B369,List_Yield!$G$4:$J$14,4,FALSE)</f>
        <v>Central America</v>
      </c>
      <c r="E369" s="3463" t="str">
        <f t="shared" si="10"/>
        <v>Central AmericaChillies and peppers, green</v>
      </c>
      <c r="F369" s="2994">
        <v>2.8906000000000001</v>
      </c>
      <c r="G369" s="2994">
        <v>2.968</v>
      </c>
      <c r="H369" s="2994">
        <v>3.1061999999999999</v>
      </c>
      <c r="I369" s="2994">
        <v>3.2614000000000001</v>
      </c>
      <c r="J369" s="2994">
        <v>3.2662</v>
      </c>
      <c r="K369" s="2994">
        <v>3.9666999999999999</v>
      </c>
      <c r="L369" s="2994">
        <v>5.2944000000000004</v>
      </c>
      <c r="M369" s="2994">
        <v>5.0358000000000001</v>
      </c>
      <c r="N369" s="2994">
        <v>5.0358000000000001</v>
      </c>
      <c r="O369" s="2994">
        <v>5.2732999999999999</v>
      </c>
      <c r="P369" s="2994">
        <v>6.8884999999999996</v>
      </c>
      <c r="Q369" s="2994">
        <v>7.1439000000000004</v>
      </c>
      <c r="R369" s="2994">
        <v>7.0106000000000002</v>
      </c>
      <c r="S369" s="2994">
        <v>7.4335000000000004</v>
      </c>
      <c r="T369" s="2994">
        <v>6.7816999999999998</v>
      </c>
      <c r="U369" s="2994">
        <v>8.3820999999999994</v>
      </c>
      <c r="V369" s="2994">
        <v>9.6257999999999999</v>
      </c>
      <c r="W369" s="2994">
        <v>9.4640000000000004</v>
      </c>
      <c r="X369" s="2994">
        <v>8.57</v>
      </c>
      <c r="Y369" s="2994">
        <v>8.7126000000000001</v>
      </c>
      <c r="Z369" s="2994">
        <v>9.0213999999999999</v>
      </c>
      <c r="AA369" s="2994">
        <v>8.2372999999999994</v>
      </c>
      <c r="AB369" s="2994">
        <v>9.5907</v>
      </c>
      <c r="AC369" s="2994">
        <v>10.387499999999999</v>
      </c>
      <c r="AD369" s="2994">
        <v>8.3343000000000007</v>
      </c>
      <c r="AE369" s="2994">
        <v>8.1331000000000007</v>
      </c>
      <c r="AF369" s="2994">
        <v>10.1058</v>
      </c>
      <c r="AG369" s="2994">
        <v>8.1303000000000001</v>
      </c>
      <c r="AH369" s="2994">
        <v>8.5995000000000008</v>
      </c>
      <c r="AI369" s="2994">
        <v>9.4171999999999993</v>
      </c>
      <c r="AJ369" s="2994">
        <v>10.160399999999999</v>
      </c>
      <c r="AK369" s="2994">
        <v>8.9154999999999998</v>
      </c>
      <c r="AL369" s="2994">
        <v>8.4494000000000007</v>
      </c>
      <c r="AM369" s="2994">
        <v>9.1175999999999995</v>
      </c>
      <c r="AN369" s="2994">
        <v>11.9786</v>
      </c>
      <c r="AO369" s="2994">
        <v>11.7751</v>
      </c>
      <c r="AP369" s="2994">
        <v>14.377599999999999</v>
      </c>
      <c r="AQ369" s="2994">
        <v>11.818899999999999</v>
      </c>
      <c r="AR369" s="2994">
        <v>11.012600000000001</v>
      </c>
      <c r="AS369" s="2994">
        <v>11.9544</v>
      </c>
      <c r="AT369" s="2994">
        <v>12.7438</v>
      </c>
      <c r="AU369" s="2994">
        <v>12.735099999999999</v>
      </c>
      <c r="AV369" s="2994">
        <v>13.255100000000001</v>
      </c>
      <c r="AW369" s="2994">
        <v>17.241900000000001</v>
      </c>
      <c r="AX369" s="2994">
        <v>17.385300000000001</v>
      </c>
      <c r="AY369" s="2994">
        <v>18.080100000000002</v>
      </c>
      <c r="AZ369" s="2994">
        <v>21.282399999999999</v>
      </c>
      <c r="BA369" s="2994">
        <v>15.6432</v>
      </c>
      <c r="BB369" s="2994">
        <v>13.9565</v>
      </c>
      <c r="BC369" s="2994">
        <v>16.287099999999999</v>
      </c>
      <c r="BD369" s="3471">
        <v>14.859</v>
      </c>
      <c r="BE369" s="3471">
        <v>17.488900000000001</v>
      </c>
      <c r="BF369" s="3471">
        <v>0</v>
      </c>
    </row>
    <row r="370" spans="1:58">
      <c r="A370" s="1817" t="str">
        <f t="shared" si="11"/>
        <v>Central AmericaCinnamon (canella)</v>
      </c>
      <c r="B370" s="1818" t="s">
        <v>305</v>
      </c>
      <c r="C370" s="1818" t="s">
        <v>7311</v>
      </c>
      <c r="D370" s="3463" t="str">
        <f>VLOOKUP(B370,List_Yield!$G$4:$J$14,4,FALSE)</f>
        <v>Central America</v>
      </c>
      <c r="E370" s="3463" t="str">
        <f t="shared" si="10"/>
        <v>Central AmericaCinnamon (canella)</v>
      </c>
      <c r="F370" s="2994">
        <v>0</v>
      </c>
      <c r="G370" s="2994">
        <v>0</v>
      </c>
      <c r="H370" s="2994">
        <v>0</v>
      </c>
      <c r="I370" s="2994">
        <v>0</v>
      </c>
      <c r="J370" s="2994">
        <v>0</v>
      </c>
      <c r="K370" s="2994">
        <v>0</v>
      </c>
      <c r="L370" s="2994">
        <v>0</v>
      </c>
      <c r="M370" s="2994">
        <v>0</v>
      </c>
      <c r="N370" s="2994">
        <v>0</v>
      </c>
      <c r="O370" s="2994">
        <v>0</v>
      </c>
      <c r="P370" s="2994">
        <v>0</v>
      </c>
      <c r="Q370" s="2994">
        <v>0</v>
      </c>
      <c r="R370" s="2994">
        <v>0</v>
      </c>
      <c r="S370" s="2994">
        <v>0</v>
      </c>
      <c r="T370" s="2994">
        <v>0</v>
      </c>
      <c r="U370" s="2994">
        <v>0</v>
      </c>
      <c r="V370" s="2994">
        <v>0</v>
      </c>
      <c r="W370" s="2994">
        <v>0</v>
      </c>
      <c r="X370" s="2994">
        <v>0</v>
      </c>
      <c r="Y370" s="2994">
        <v>0</v>
      </c>
      <c r="Z370" s="2994">
        <v>0</v>
      </c>
      <c r="AA370" s="2994">
        <v>0</v>
      </c>
      <c r="AB370" s="2994">
        <v>0</v>
      </c>
      <c r="AC370" s="2994">
        <v>0</v>
      </c>
      <c r="AD370" s="2994">
        <v>0</v>
      </c>
      <c r="AE370" s="2994">
        <v>0</v>
      </c>
      <c r="AF370" s="2994">
        <v>0</v>
      </c>
      <c r="AG370" s="2994">
        <v>0</v>
      </c>
      <c r="AH370" s="2994">
        <v>0</v>
      </c>
      <c r="AI370" s="2994">
        <v>0</v>
      </c>
      <c r="AJ370" s="2994">
        <v>0</v>
      </c>
      <c r="AK370" s="2994">
        <v>0</v>
      </c>
      <c r="AL370" s="2994">
        <v>0</v>
      </c>
      <c r="AM370" s="2994">
        <v>0</v>
      </c>
      <c r="AN370" s="2994">
        <v>0</v>
      </c>
      <c r="AO370" s="2994">
        <v>0</v>
      </c>
      <c r="AP370" s="2994">
        <v>0</v>
      </c>
      <c r="AQ370" s="2994">
        <v>0</v>
      </c>
      <c r="AR370" s="2994">
        <v>0</v>
      </c>
      <c r="AS370" s="2994">
        <v>0</v>
      </c>
      <c r="AT370" s="2994">
        <v>0</v>
      </c>
      <c r="AU370" s="2994">
        <v>0</v>
      </c>
      <c r="AV370" s="2994">
        <v>0</v>
      </c>
      <c r="AW370" s="2994">
        <v>0</v>
      </c>
      <c r="AX370" s="2994">
        <v>0</v>
      </c>
      <c r="AY370" s="2994">
        <v>0</v>
      </c>
      <c r="AZ370" s="2994">
        <v>0</v>
      </c>
      <c r="BA370" s="2994">
        <v>0</v>
      </c>
      <c r="BB370" s="2994">
        <v>0</v>
      </c>
      <c r="BC370" s="2994">
        <v>0</v>
      </c>
      <c r="BD370" s="3471">
        <v>0</v>
      </c>
      <c r="BE370" s="3471">
        <v>0</v>
      </c>
      <c r="BF370" s="3471">
        <v>0</v>
      </c>
    </row>
    <row r="371" spans="1:58">
      <c r="A371" s="1817" t="str">
        <f t="shared" si="11"/>
        <v>Central AmericaCloves</v>
      </c>
      <c r="B371" s="1818" t="s">
        <v>305</v>
      </c>
      <c r="C371" s="1818" t="s">
        <v>7312</v>
      </c>
      <c r="D371" s="3463" t="str">
        <f>VLOOKUP(B371,List_Yield!$G$4:$J$14,4,FALSE)</f>
        <v>Central America</v>
      </c>
      <c r="E371" s="3463" t="str">
        <f t="shared" si="10"/>
        <v>Central AmericaCloves</v>
      </c>
      <c r="F371" s="2994">
        <v>0</v>
      </c>
      <c r="G371" s="2994">
        <v>0</v>
      </c>
      <c r="H371" s="2994">
        <v>0</v>
      </c>
      <c r="I371" s="2994">
        <v>0</v>
      </c>
      <c r="J371" s="2994">
        <v>0</v>
      </c>
      <c r="K371" s="2994">
        <v>0</v>
      </c>
      <c r="L371" s="2994">
        <v>0</v>
      </c>
      <c r="M371" s="2994">
        <v>0</v>
      </c>
      <c r="N371" s="2994">
        <v>0</v>
      </c>
      <c r="O371" s="2994">
        <v>0</v>
      </c>
      <c r="P371" s="2994">
        <v>0</v>
      </c>
      <c r="Q371" s="2994">
        <v>0</v>
      </c>
      <c r="R371" s="2994">
        <v>0</v>
      </c>
      <c r="S371" s="2994">
        <v>0</v>
      </c>
      <c r="T371" s="2994">
        <v>0</v>
      </c>
      <c r="U371" s="2994">
        <v>0</v>
      </c>
      <c r="V371" s="2994">
        <v>0</v>
      </c>
      <c r="W371" s="2994">
        <v>0</v>
      </c>
      <c r="X371" s="2994">
        <v>0</v>
      </c>
      <c r="Y371" s="2994">
        <v>0</v>
      </c>
      <c r="Z371" s="2994">
        <v>0</v>
      </c>
      <c r="AA371" s="2994">
        <v>0</v>
      </c>
      <c r="AB371" s="2994">
        <v>0</v>
      </c>
      <c r="AC371" s="2994">
        <v>0</v>
      </c>
      <c r="AD371" s="2994">
        <v>0</v>
      </c>
      <c r="AE371" s="2994">
        <v>0</v>
      </c>
      <c r="AF371" s="2994">
        <v>0</v>
      </c>
      <c r="AG371" s="2994">
        <v>0</v>
      </c>
      <c r="AH371" s="2994">
        <v>0</v>
      </c>
      <c r="AI371" s="2994">
        <v>0</v>
      </c>
      <c r="AJ371" s="2994">
        <v>0</v>
      </c>
      <c r="AK371" s="2994">
        <v>0</v>
      </c>
      <c r="AL371" s="2994">
        <v>0</v>
      </c>
      <c r="AM371" s="2994">
        <v>0</v>
      </c>
      <c r="AN371" s="2994">
        <v>0</v>
      </c>
      <c r="AO371" s="2994">
        <v>0</v>
      </c>
      <c r="AP371" s="2994">
        <v>0</v>
      </c>
      <c r="AQ371" s="2994">
        <v>0</v>
      </c>
      <c r="AR371" s="2994">
        <v>0</v>
      </c>
      <c r="AS371" s="2994">
        <v>0</v>
      </c>
      <c r="AT371" s="2994">
        <v>0</v>
      </c>
      <c r="AU371" s="2994">
        <v>0</v>
      </c>
      <c r="AV371" s="2994">
        <v>0</v>
      </c>
      <c r="AW371" s="2994">
        <v>0</v>
      </c>
      <c r="AX371" s="2994">
        <v>0</v>
      </c>
      <c r="AY371" s="2994">
        <v>0</v>
      </c>
      <c r="AZ371" s="2994">
        <v>0</v>
      </c>
      <c r="BA371" s="2994">
        <v>0</v>
      </c>
      <c r="BB371" s="2994">
        <v>0</v>
      </c>
      <c r="BC371" s="2994">
        <v>0</v>
      </c>
      <c r="BD371" s="3471">
        <v>0</v>
      </c>
      <c r="BE371" s="3471">
        <v>0</v>
      </c>
      <c r="BF371" s="3471">
        <v>0</v>
      </c>
    </row>
    <row r="372" spans="1:58">
      <c r="A372" s="1817" t="str">
        <f t="shared" si="11"/>
        <v>Central AmericaCocoa, beans</v>
      </c>
      <c r="B372" s="1818" t="s">
        <v>305</v>
      </c>
      <c r="C372" s="1818" t="s">
        <v>7313</v>
      </c>
      <c r="D372" s="3463" t="str">
        <f>VLOOKUP(B372,List_Yield!$G$4:$J$14,4,FALSE)</f>
        <v>Central America</v>
      </c>
      <c r="E372" s="3463" t="str">
        <f t="shared" si="10"/>
        <v>Central AmericaCocoa, beans</v>
      </c>
      <c r="F372" s="2994">
        <v>0.3755</v>
      </c>
      <c r="G372" s="2994">
        <v>0.41420000000000001</v>
      </c>
      <c r="H372" s="2994">
        <v>0.39889999999999998</v>
      </c>
      <c r="I372" s="2994">
        <v>0.30230000000000001</v>
      </c>
      <c r="J372" s="2994">
        <v>0.28339999999999999</v>
      </c>
      <c r="K372" s="2994">
        <v>0.31759999999999999</v>
      </c>
      <c r="L372" s="2994">
        <v>0.31840000000000002</v>
      </c>
      <c r="M372" s="2994">
        <v>0.33829999999999999</v>
      </c>
      <c r="N372" s="2994">
        <v>0.3034</v>
      </c>
      <c r="O372" s="2994">
        <v>0.30640000000000001</v>
      </c>
      <c r="P372" s="2994">
        <v>0.30199999999999999</v>
      </c>
      <c r="Q372" s="2994">
        <v>0.42709999999999998</v>
      </c>
      <c r="R372" s="2994">
        <v>0.37069999999999997</v>
      </c>
      <c r="S372" s="2994">
        <v>0.38379999999999997</v>
      </c>
      <c r="T372" s="2994">
        <v>0.4204</v>
      </c>
      <c r="U372" s="2994">
        <v>0.39050000000000001</v>
      </c>
      <c r="V372" s="2994">
        <v>0.38690000000000002</v>
      </c>
      <c r="W372" s="2994">
        <v>0.53059999999999996</v>
      </c>
      <c r="X372" s="2994">
        <v>0.48399999999999999</v>
      </c>
      <c r="Y372" s="2994">
        <v>0.47439999999999999</v>
      </c>
      <c r="Z372" s="2994">
        <v>0.4148</v>
      </c>
      <c r="AA372" s="2994">
        <v>0.54749999999999999</v>
      </c>
      <c r="AB372" s="2994">
        <v>0.50760000000000005</v>
      </c>
      <c r="AC372" s="2994">
        <v>0.48530000000000001</v>
      </c>
      <c r="AD372" s="2994">
        <v>0.63759999999999994</v>
      </c>
      <c r="AE372" s="2994">
        <v>0.56840000000000002</v>
      </c>
      <c r="AF372" s="2994">
        <v>0.54600000000000004</v>
      </c>
      <c r="AG372" s="2994">
        <v>0.6381</v>
      </c>
      <c r="AH372" s="2994">
        <v>0.60589999999999999</v>
      </c>
      <c r="AI372" s="2994">
        <v>0.49959999999999999</v>
      </c>
      <c r="AJ372" s="2994">
        <v>0.5373</v>
      </c>
      <c r="AK372" s="2994">
        <v>0.49880000000000002</v>
      </c>
      <c r="AL372" s="2994">
        <v>0.59889999999999999</v>
      </c>
      <c r="AM372" s="2994">
        <v>0.48110000000000003</v>
      </c>
      <c r="AN372" s="2994">
        <v>0.48270000000000002</v>
      </c>
      <c r="AO372" s="2994">
        <v>0.40160000000000001</v>
      </c>
      <c r="AP372" s="2994">
        <v>0.49299999999999999</v>
      </c>
      <c r="AQ372" s="2994">
        <v>0.49070000000000003</v>
      </c>
      <c r="AR372" s="2994">
        <v>0.45269999999999999</v>
      </c>
      <c r="AS372" s="2994">
        <v>0.33979999999999999</v>
      </c>
      <c r="AT372" s="2994">
        <v>0.51480000000000004</v>
      </c>
      <c r="AU372" s="2994">
        <v>0.52900000000000003</v>
      </c>
      <c r="AV372" s="2994">
        <v>0.60329999999999995</v>
      </c>
      <c r="AW372" s="2994">
        <v>0.56310000000000004</v>
      </c>
      <c r="AX372" s="2994">
        <v>0.63449999999999995</v>
      </c>
      <c r="AY372" s="2994">
        <v>0.63829999999999998</v>
      </c>
      <c r="AZ372" s="2994">
        <v>0.66239999999999999</v>
      </c>
      <c r="BA372" s="2994">
        <v>0.63570000000000004</v>
      </c>
      <c r="BB372" s="2994">
        <v>0.62960000000000005</v>
      </c>
      <c r="BC372" s="2994">
        <v>0.64890000000000003</v>
      </c>
      <c r="BD372" s="3471">
        <v>0.70340000000000003</v>
      </c>
      <c r="BE372" s="3471">
        <v>0.70750000000000002</v>
      </c>
      <c r="BF372" s="3471">
        <v>0</v>
      </c>
    </row>
    <row r="373" spans="1:58">
      <c r="A373" s="1817" t="str">
        <f t="shared" si="11"/>
        <v>Central AmericaCoconuts</v>
      </c>
      <c r="B373" s="1818" t="s">
        <v>305</v>
      </c>
      <c r="C373" s="1818" t="s">
        <v>7314</v>
      </c>
      <c r="D373" s="3463" t="str">
        <f>VLOOKUP(B373,List_Yield!$G$4:$J$14,4,FALSE)</f>
        <v>Central America</v>
      </c>
      <c r="E373" s="3463" t="str">
        <f t="shared" si="10"/>
        <v>Central AmericaCoconuts</v>
      </c>
      <c r="F373" s="2994">
        <v>13.478999999999999</v>
      </c>
      <c r="G373" s="2994">
        <v>13.911799999999999</v>
      </c>
      <c r="H373" s="2994">
        <v>11.413</v>
      </c>
      <c r="I373" s="2994">
        <v>11.8101</v>
      </c>
      <c r="J373" s="2994">
        <v>11.945399999999999</v>
      </c>
      <c r="K373" s="2994">
        <v>13.0383</v>
      </c>
      <c r="L373" s="2994">
        <v>11.860099999999999</v>
      </c>
      <c r="M373" s="2994">
        <v>12.0998</v>
      </c>
      <c r="N373" s="2994">
        <v>8.2960999999999991</v>
      </c>
      <c r="O373" s="2994">
        <v>7.4767000000000001</v>
      </c>
      <c r="P373" s="2994">
        <v>7.0896999999999997</v>
      </c>
      <c r="Q373" s="2994">
        <v>6.6619000000000002</v>
      </c>
      <c r="R373" s="2994">
        <v>6.4020999999999999</v>
      </c>
      <c r="S373" s="2994">
        <v>6.0720000000000001</v>
      </c>
      <c r="T373" s="2994">
        <v>6.3445999999999998</v>
      </c>
      <c r="U373" s="2994">
        <v>6.2956000000000003</v>
      </c>
      <c r="V373" s="2994">
        <v>6.1128</v>
      </c>
      <c r="W373" s="2994">
        <v>6.2031999999999998</v>
      </c>
      <c r="X373" s="2994">
        <v>5.7572999999999999</v>
      </c>
      <c r="Y373" s="2994">
        <v>6.4208999999999996</v>
      </c>
      <c r="Z373" s="2994">
        <v>6.1348000000000003</v>
      </c>
      <c r="AA373" s="2994">
        <v>6.4446000000000003</v>
      </c>
      <c r="AB373" s="2994">
        <v>6.6948999999999996</v>
      </c>
      <c r="AC373" s="2994">
        <v>6.0723000000000003</v>
      </c>
      <c r="AD373" s="2994">
        <v>6.8731</v>
      </c>
      <c r="AE373" s="2994">
        <v>5.8765999999999998</v>
      </c>
      <c r="AF373" s="2994">
        <v>5.3064</v>
      </c>
      <c r="AG373" s="2994">
        <v>5.3057999999999996</v>
      </c>
      <c r="AH373" s="2994">
        <v>6.4370000000000003</v>
      </c>
      <c r="AI373" s="2994">
        <v>6.2938999999999998</v>
      </c>
      <c r="AJ373" s="2994">
        <v>5.9954999999999998</v>
      </c>
      <c r="AK373" s="2994">
        <v>6.0364000000000004</v>
      </c>
      <c r="AL373" s="2994">
        <v>6.4580000000000002</v>
      </c>
      <c r="AM373" s="2994">
        <v>6.4330999999999996</v>
      </c>
      <c r="AN373" s="2994">
        <v>6.8986000000000001</v>
      </c>
      <c r="AO373" s="2994">
        <v>6.5458999999999996</v>
      </c>
      <c r="AP373" s="2994">
        <v>6.9493999999999998</v>
      </c>
      <c r="AQ373" s="2994">
        <v>7.5025000000000004</v>
      </c>
      <c r="AR373" s="2994">
        <v>6.4913999999999996</v>
      </c>
      <c r="AS373" s="2994">
        <v>6.4946000000000002</v>
      </c>
      <c r="AT373" s="2994">
        <v>6.7451999999999996</v>
      </c>
      <c r="AU373" s="2994">
        <v>6.6478000000000002</v>
      </c>
      <c r="AV373" s="2994">
        <v>6.7565</v>
      </c>
      <c r="AW373" s="2994">
        <v>6.7744999999999997</v>
      </c>
      <c r="AX373" s="2994">
        <v>6.8841999999999999</v>
      </c>
      <c r="AY373" s="2994">
        <v>6.8878000000000004</v>
      </c>
      <c r="AZ373" s="2994">
        <v>6.8377999999999997</v>
      </c>
      <c r="BA373" s="2994">
        <v>6.9786000000000001</v>
      </c>
      <c r="BB373" s="2994">
        <v>6.9654999999999996</v>
      </c>
      <c r="BC373" s="2994">
        <v>6.9398999999999997</v>
      </c>
      <c r="BD373" s="3471">
        <v>6.9607999999999999</v>
      </c>
      <c r="BE373" s="3471">
        <v>6.4565000000000001</v>
      </c>
      <c r="BF373" s="3471">
        <v>6.5880999999999998</v>
      </c>
    </row>
    <row r="374" spans="1:58">
      <c r="A374" s="1817" t="str">
        <f t="shared" si="11"/>
        <v>Central AmericaCoffee, green</v>
      </c>
      <c r="B374" s="1818" t="s">
        <v>305</v>
      </c>
      <c r="C374" s="1818" t="s">
        <v>1347</v>
      </c>
      <c r="D374" s="3463" t="str">
        <f>VLOOKUP(B374,List_Yield!$G$4:$J$14,4,FALSE)</f>
        <v>Central America</v>
      </c>
      <c r="E374" s="3463" t="str">
        <f t="shared" si="10"/>
        <v>Central AmericaCoffee, green</v>
      </c>
      <c r="F374" s="2994">
        <v>0.50280000000000002</v>
      </c>
      <c r="G374" s="2994">
        <v>0.50600000000000001</v>
      </c>
      <c r="H374" s="2994">
        <v>0.50700000000000001</v>
      </c>
      <c r="I374" s="2994">
        <v>0.50749999999999995</v>
      </c>
      <c r="J374" s="2994">
        <v>0.52349999999999997</v>
      </c>
      <c r="K374" s="2994">
        <v>0.53190000000000004</v>
      </c>
      <c r="L374" s="2994">
        <v>0.58220000000000005</v>
      </c>
      <c r="M374" s="2994">
        <v>0.56969999999999998</v>
      </c>
      <c r="N374" s="2994">
        <v>0.624</v>
      </c>
      <c r="O374" s="2994">
        <v>0.61380000000000001</v>
      </c>
      <c r="P374" s="2994">
        <v>0.6079</v>
      </c>
      <c r="Q374" s="2994">
        <v>0.61219999999999997</v>
      </c>
      <c r="R374" s="2994">
        <v>0.62819999999999998</v>
      </c>
      <c r="S374" s="2994">
        <v>0.66490000000000005</v>
      </c>
      <c r="T374" s="2994">
        <v>0.65780000000000005</v>
      </c>
      <c r="U374" s="2994">
        <v>0.64990000000000003</v>
      </c>
      <c r="V374" s="2994">
        <v>0.63019999999999998</v>
      </c>
      <c r="W374" s="2994">
        <v>0.71750000000000003</v>
      </c>
      <c r="X374" s="2994">
        <v>0.69620000000000004</v>
      </c>
      <c r="Y374" s="2994">
        <v>0.67069999999999996</v>
      </c>
      <c r="Z374" s="2994">
        <v>0.70699999999999996</v>
      </c>
      <c r="AA374" s="2994">
        <v>0.67669999999999997</v>
      </c>
      <c r="AB374" s="2994">
        <v>0.67930000000000001</v>
      </c>
      <c r="AC374" s="2994">
        <v>0.70179999999999998</v>
      </c>
      <c r="AD374" s="2994">
        <v>0.67879999999999996</v>
      </c>
      <c r="AE374" s="2994">
        <v>0.70599999999999996</v>
      </c>
      <c r="AF374" s="2994">
        <v>0.71550000000000002</v>
      </c>
      <c r="AG374" s="2994">
        <v>0.7208</v>
      </c>
      <c r="AH374" s="2994">
        <v>0.69179999999999997</v>
      </c>
      <c r="AI374" s="2994">
        <v>0.81010000000000004</v>
      </c>
      <c r="AJ374" s="2994">
        <v>0.6905</v>
      </c>
      <c r="AK374" s="2994">
        <v>0.7329</v>
      </c>
      <c r="AL374" s="2994">
        <v>0.6784</v>
      </c>
      <c r="AM374" s="2994">
        <v>0.64</v>
      </c>
      <c r="AN374" s="2994">
        <v>0.65810000000000002</v>
      </c>
      <c r="AO374" s="2994">
        <v>0.7036</v>
      </c>
      <c r="AP374" s="2994">
        <v>0.73470000000000002</v>
      </c>
      <c r="AQ374" s="2994">
        <v>0.68899999999999995</v>
      </c>
      <c r="AR374" s="2994">
        <v>0.73160000000000003</v>
      </c>
      <c r="AS374" s="2994">
        <v>0.76549999999999996</v>
      </c>
      <c r="AT374" s="2994">
        <v>0.68220000000000003</v>
      </c>
      <c r="AU374" s="2994">
        <v>0.63680000000000003</v>
      </c>
      <c r="AV374" s="2994">
        <v>0.63580000000000003</v>
      </c>
      <c r="AW374" s="2994">
        <v>0.62380000000000002</v>
      </c>
      <c r="AX374" s="2994">
        <v>0.63439999999999996</v>
      </c>
      <c r="AY374" s="2994">
        <v>0.6018</v>
      </c>
      <c r="AZ374" s="2994">
        <v>0.64670000000000005</v>
      </c>
      <c r="BA374" s="2994">
        <v>0.6331</v>
      </c>
      <c r="BB374" s="2994">
        <v>0.61360000000000003</v>
      </c>
      <c r="BC374" s="2994">
        <v>0.61860000000000004</v>
      </c>
      <c r="BD374" s="3471">
        <v>0.66690000000000005</v>
      </c>
      <c r="BE374" s="3471">
        <v>0.70689999999999997</v>
      </c>
      <c r="BF374" s="3471">
        <v>0</v>
      </c>
    </row>
    <row r="375" spans="1:58">
      <c r="A375" s="1817" t="str">
        <f t="shared" si="11"/>
        <v>Central AmericaCoir</v>
      </c>
      <c r="B375" s="1818" t="s">
        <v>305</v>
      </c>
      <c r="C375" s="1818" t="s">
        <v>7315</v>
      </c>
      <c r="D375" s="3463" t="str">
        <f>VLOOKUP(B375,List_Yield!$G$4:$J$14,4,FALSE)</f>
        <v>Central America</v>
      </c>
      <c r="E375" s="3463" t="str">
        <f t="shared" si="10"/>
        <v>Central AmericaCoir</v>
      </c>
      <c r="F375" s="2994">
        <v>0</v>
      </c>
      <c r="G375" s="2994">
        <v>0</v>
      </c>
      <c r="H375" s="2994">
        <v>0</v>
      </c>
      <c r="I375" s="2994">
        <v>0</v>
      </c>
      <c r="J375" s="2994">
        <v>0</v>
      </c>
      <c r="K375" s="2994">
        <v>0</v>
      </c>
      <c r="L375" s="2994">
        <v>0</v>
      </c>
      <c r="M375" s="2994">
        <v>0</v>
      </c>
      <c r="N375" s="2994">
        <v>0</v>
      </c>
      <c r="O375" s="2994">
        <v>0</v>
      </c>
      <c r="P375" s="2994">
        <v>0</v>
      </c>
      <c r="Q375" s="2994">
        <v>0</v>
      </c>
      <c r="R375" s="2994">
        <v>0</v>
      </c>
      <c r="S375" s="2994">
        <v>0</v>
      </c>
      <c r="T375" s="2994">
        <v>0</v>
      </c>
      <c r="U375" s="2994">
        <v>0</v>
      </c>
      <c r="V375" s="2994">
        <v>0</v>
      </c>
      <c r="W375" s="2994">
        <v>0</v>
      </c>
      <c r="X375" s="2994">
        <v>0</v>
      </c>
      <c r="Y375" s="2994">
        <v>0</v>
      </c>
      <c r="Z375" s="2994">
        <v>0</v>
      </c>
      <c r="AA375" s="2994">
        <v>0</v>
      </c>
      <c r="AB375" s="2994">
        <v>0</v>
      </c>
      <c r="AC375" s="2994">
        <v>0</v>
      </c>
      <c r="AD375" s="2994">
        <v>0</v>
      </c>
      <c r="AE375" s="2994">
        <v>0</v>
      </c>
      <c r="AF375" s="2994">
        <v>0</v>
      </c>
      <c r="AG375" s="2994">
        <v>0</v>
      </c>
      <c r="AH375" s="2994">
        <v>0</v>
      </c>
      <c r="AI375" s="2994">
        <v>0</v>
      </c>
      <c r="AJ375" s="2994">
        <v>0</v>
      </c>
      <c r="AK375" s="2994">
        <v>0</v>
      </c>
      <c r="AL375" s="2994">
        <v>0</v>
      </c>
      <c r="AM375" s="2994">
        <v>0</v>
      </c>
      <c r="AN375" s="2994">
        <v>0</v>
      </c>
      <c r="AO375" s="2994">
        <v>0</v>
      </c>
      <c r="AP375" s="2994">
        <v>0</v>
      </c>
      <c r="AQ375" s="2994">
        <v>0</v>
      </c>
      <c r="AR375" s="2994">
        <v>0</v>
      </c>
      <c r="AS375" s="2994">
        <v>0</v>
      </c>
      <c r="AT375" s="2994">
        <v>0</v>
      </c>
      <c r="AU375" s="2994">
        <v>0</v>
      </c>
      <c r="AV375" s="2994">
        <v>0</v>
      </c>
      <c r="AW375" s="2994">
        <v>0</v>
      </c>
      <c r="AX375" s="2994">
        <v>0</v>
      </c>
      <c r="AY375" s="2994">
        <v>0</v>
      </c>
      <c r="AZ375" s="2994">
        <v>0</v>
      </c>
      <c r="BA375" s="2994">
        <v>0</v>
      </c>
      <c r="BB375" s="2994">
        <v>0</v>
      </c>
      <c r="BC375" s="2994">
        <v>0</v>
      </c>
      <c r="BD375" s="3471">
        <v>0</v>
      </c>
      <c r="BE375" s="3471">
        <v>0</v>
      </c>
      <c r="BF375" s="3471">
        <v>0</v>
      </c>
    </row>
    <row r="376" spans="1:58">
      <c r="A376" s="1817" t="str">
        <f t="shared" si="11"/>
        <v>Central AmericaCow peas, dry</v>
      </c>
      <c r="B376" s="1818" t="s">
        <v>305</v>
      </c>
      <c r="C376" s="1818" t="s">
        <v>1329</v>
      </c>
      <c r="D376" s="3463" t="str">
        <f>VLOOKUP(B376,List_Yield!$G$4:$J$14,4,FALSE)</f>
        <v>Central America</v>
      </c>
      <c r="E376" s="3463" t="str">
        <f t="shared" si="10"/>
        <v>Central AmericaCow peas, dry</v>
      </c>
      <c r="F376" s="2994">
        <v>0</v>
      </c>
      <c r="G376" s="2994">
        <v>0</v>
      </c>
      <c r="H376" s="2994">
        <v>0</v>
      </c>
      <c r="I376" s="2994">
        <v>0</v>
      </c>
      <c r="J376" s="2994">
        <v>0</v>
      </c>
      <c r="K376" s="2994">
        <v>0</v>
      </c>
      <c r="L376" s="2994">
        <v>0</v>
      </c>
      <c r="M376" s="2994">
        <v>0</v>
      </c>
      <c r="N376" s="2994">
        <v>0</v>
      </c>
      <c r="O376" s="2994">
        <v>0</v>
      </c>
      <c r="P376" s="2994">
        <v>0</v>
      </c>
      <c r="Q376" s="2994">
        <v>0</v>
      </c>
      <c r="R376" s="2994">
        <v>0</v>
      </c>
      <c r="S376" s="2994">
        <v>0</v>
      </c>
      <c r="T376" s="2994">
        <v>0</v>
      </c>
      <c r="U376" s="2994">
        <v>0</v>
      </c>
      <c r="V376" s="2994">
        <v>0</v>
      </c>
      <c r="W376" s="2994">
        <v>0</v>
      </c>
      <c r="X376" s="2994">
        <v>0</v>
      </c>
      <c r="Y376" s="2994">
        <v>0</v>
      </c>
      <c r="Z376" s="2994">
        <v>0</v>
      </c>
      <c r="AA376" s="2994">
        <v>0</v>
      </c>
      <c r="AB376" s="2994">
        <v>0</v>
      </c>
      <c r="AC376" s="2994">
        <v>0</v>
      </c>
      <c r="AD376" s="2994">
        <v>0</v>
      </c>
      <c r="AE376" s="2994">
        <v>0</v>
      </c>
      <c r="AF376" s="2994">
        <v>0</v>
      </c>
      <c r="AG376" s="2994">
        <v>0</v>
      </c>
      <c r="AH376" s="2994">
        <v>0</v>
      </c>
      <c r="AI376" s="2994">
        <v>0</v>
      </c>
      <c r="AJ376" s="2994">
        <v>0</v>
      </c>
      <c r="AK376" s="2994">
        <v>0</v>
      </c>
      <c r="AL376" s="2994">
        <v>0</v>
      </c>
      <c r="AM376" s="2994">
        <v>0</v>
      </c>
      <c r="AN376" s="2994">
        <v>0</v>
      </c>
      <c r="AO376" s="2994">
        <v>0</v>
      </c>
      <c r="AP376" s="2994">
        <v>0</v>
      </c>
      <c r="AQ376" s="2994">
        <v>0</v>
      </c>
      <c r="AR376" s="2994">
        <v>0</v>
      </c>
      <c r="AS376" s="2994">
        <v>0</v>
      </c>
      <c r="AT376" s="2994">
        <v>0</v>
      </c>
      <c r="AU376" s="2994">
        <v>0</v>
      </c>
      <c r="AV376" s="2994">
        <v>0</v>
      </c>
      <c r="AW376" s="2994">
        <v>0</v>
      </c>
      <c r="AX376" s="2994">
        <v>0</v>
      </c>
      <c r="AY376" s="2994">
        <v>0</v>
      </c>
      <c r="AZ376" s="2994">
        <v>0</v>
      </c>
      <c r="BA376" s="2994">
        <v>0</v>
      </c>
      <c r="BB376" s="2994">
        <v>0</v>
      </c>
      <c r="BC376" s="2994">
        <v>0</v>
      </c>
      <c r="BD376" s="3471">
        <v>0</v>
      </c>
      <c r="BE376" s="3471">
        <v>0</v>
      </c>
      <c r="BF376" s="3471">
        <v>0</v>
      </c>
    </row>
    <row r="377" spans="1:58">
      <c r="A377" s="1817" t="str">
        <f t="shared" si="11"/>
        <v>Central AmericaCranberries</v>
      </c>
      <c r="B377" s="1818" t="s">
        <v>305</v>
      </c>
      <c r="C377" s="1818" t="s">
        <v>7316</v>
      </c>
      <c r="D377" s="3463" t="str">
        <f>VLOOKUP(B377,List_Yield!$G$4:$J$14,4,FALSE)</f>
        <v>Central America</v>
      </c>
      <c r="E377" s="3463" t="str">
        <f t="shared" si="10"/>
        <v>Central AmericaCranberries</v>
      </c>
      <c r="F377" s="2994">
        <v>0</v>
      </c>
      <c r="G377" s="2994">
        <v>0</v>
      </c>
      <c r="H377" s="2994">
        <v>0</v>
      </c>
      <c r="I377" s="2994">
        <v>0</v>
      </c>
      <c r="J377" s="2994">
        <v>0</v>
      </c>
      <c r="K377" s="2994">
        <v>0</v>
      </c>
      <c r="L377" s="2994">
        <v>0</v>
      </c>
      <c r="M377" s="2994">
        <v>0</v>
      </c>
      <c r="N377" s="2994">
        <v>0</v>
      </c>
      <c r="O377" s="2994">
        <v>0</v>
      </c>
      <c r="P377" s="2994">
        <v>0</v>
      </c>
      <c r="Q377" s="2994">
        <v>0</v>
      </c>
      <c r="R377" s="2994">
        <v>0</v>
      </c>
      <c r="S377" s="2994">
        <v>0</v>
      </c>
      <c r="T377" s="2994">
        <v>0</v>
      </c>
      <c r="U377" s="2994">
        <v>0</v>
      </c>
      <c r="V377" s="2994">
        <v>0</v>
      </c>
      <c r="W377" s="2994">
        <v>0</v>
      </c>
      <c r="X377" s="2994">
        <v>0</v>
      </c>
      <c r="Y377" s="2994">
        <v>0</v>
      </c>
      <c r="Z377" s="2994">
        <v>0</v>
      </c>
      <c r="AA377" s="2994">
        <v>0</v>
      </c>
      <c r="AB377" s="2994">
        <v>0</v>
      </c>
      <c r="AC377" s="2994">
        <v>0</v>
      </c>
      <c r="AD377" s="2994">
        <v>0</v>
      </c>
      <c r="AE377" s="2994">
        <v>0</v>
      </c>
      <c r="AF377" s="2994">
        <v>0</v>
      </c>
      <c r="AG377" s="2994">
        <v>0</v>
      </c>
      <c r="AH377" s="2994">
        <v>0</v>
      </c>
      <c r="AI377" s="2994">
        <v>0</v>
      </c>
      <c r="AJ377" s="2994">
        <v>0</v>
      </c>
      <c r="AK377" s="2994">
        <v>0</v>
      </c>
      <c r="AL377" s="2994">
        <v>0</v>
      </c>
      <c r="AM377" s="2994">
        <v>0</v>
      </c>
      <c r="AN377" s="2994">
        <v>0</v>
      </c>
      <c r="AO377" s="2994">
        <v>0</v>
      </c>
      <c r="AP377" s="2994">
        <v>0</v>
      </c>
      <c r="AQ377" s="2994">
        <v>0</v>
      </c>
      <c r="AR377" s="2994">
        <v>0</v>
      </c>
      <c r="AS377" s="2994">
        <v>0</v>
      </c>
      <c r="AT377" s="2994">
        <v>0</v>
      </c>
      <c r="AU377" s="2994">
        <v>0</v>
      </c>
      <c r="AV377" s="2994">
        <v>0</v>
      </c>
      <c r="AW377" s="2994">
        <v>0</v>
      </c>
      <c r="AX377" s="2994">
        <v>0</v>
      </c>
      <c r="AY377" s="2994">
        <v>0</v>
      </c>
      <c r="AZ377" s="2994">
        <v>0</v>
      </c>
      <c r="BA377" s="2994">
        <v>0</v>
      </c>
      <c r="BB377" s="2994">
        <v>0</v>
      </c>
      <c r="BC377" s="2994">
        <v>0</v>
      </c>
      <c r="BD377" s="3471">
        <v>0</v>
      </c>
      <c r="BE377" s="3471">
        <v>0</v>
      </c>
      <c r="BF377" s="3471">
        <v>0</v>
      </c>
    </row>
    <row r="378" spans="1:58">
      <c r="A378" s="1817" t="str">
        <f t="shared" si="11"/>
        <v>Central AmericaCucumbers and gherkins</v>
      </c>
      <c r="B378" s="1818" t="s">
        <v>305</v>
      </c>
      <c r="C378" s="1818" t="s">
        <v>7317</v>
      </c>
      <c r="D378" s="3463" t="str">
        <f>VLOOKUP(B378,List_Yield!$G$4:$J$14,4,FALSE)</f>
        <v>Central America</v>
      </c>
      <c r="E378" s="3463" t="str">
        <f t="shared" si="10"/>
        <v>Central AmericaCucumbers and gherkins</v>
      </c>
      <c r="F378" s="2994">
        <v>11.3832</v>
      </c>
      <c r="G378" s="2994">
        <v>11.360300000000001</v>
      </c>
      <c r="H378" s="2994">
        <v>11.334099999999999</v>
      </c>
      <c r="I378" s="2994">
        <v>11.4771</v>
      </c>
      <c r="J378" s="2994">
        <v>11.6128</v>
      </c>
      <c r="K378" s="2994">
        <v>12.418100000000001</v>
      </c>
      <c r="L378" s="2994">
        <v>12.234</v>
      </c>
      <c r="M378" s="2994">
        <v>12.0771</v>
      </c>
      <c r="N378" s="2994">
        <v>11.9399</v>
      </c>
      <c r="O378" s="2994">
        <v>12.430099999999999</v>
      </c>
      <c r="P378" s="2994">
        <v>10.1934</v>
      </c>
      <c r="Q378" s="2994">
        <v>8.3300999999999998</v>
      </c>
      <c r="R378" s="2994">
        <v>10.5456</v>
      </c>
      <c r="S378" s="2994">
        <v>11.090400000000001</v>
      </c>
      <c r="T378" s="2994">
        <v>8.1045999999999996</v>
      </c>
      <c r="U378" s="2994">
        <v>9.5385000000000009</v>
      </c>
      <c r="V378" s="2994">
        <v>20.027200000000001</v>
      </c>
      <c r="W378" s="2994">
        <v>19.747399999999999</v>
      </c>
      <c r="X378" s="2994">
        <v>17.792999999999999</v>
      </c>
      <c r="Y378" s="2994">
        <v>25.404399999999999</v>
      </c>
      <c r="Z378" s="2994">
        <v>28.438199999999998</v>
      </c>
      <c r="AA378" s="2994">
        <v>22.858000000000001</v>
      </c>
      <c r="AB378" s="2994">
        <v>16.993500000000001</v>
      </c>
      <c r="AC378" s="2994">
        <v>16.2288</v>
      </c>
      <c r="AD378" s="2994">
        <v>20.7483</v>
      </c>
      <c r="AE378" s="2994">
        <v>18.600300000000001</v>
      </c>
      <c r="AF378" s="2994">
        <v>18.996500000000001</v>
      </c>
      <c r="AG378" s="2994">
        <v>15.6724</v>
      </c>
      <c r="AH378" s="2994">
        <v>16.623999999999999</v>
      </c>
      <c r="AI378" s="2994">
        <v>18.5335</v>
      </c>
      <c r="AJ378" s="2994">
        <v>17.5335</v>
      </c>
      <c r="AK378" s="2994">
        <v>14.2456</v>
      </c>
      <c r="AL378" s="2994">
        <v>18.6874</v>
      </c>
      <c r="AM378" s="2994">
        <v>18.6294</v>
      </c>
      <c r="AN378" s="2994">
        <v>21.0779</v>
      </c>
      <c r="AO378" s="2994">
        <v>18.690899999999999</v>
      </c>
      <c r="AP378" s="2994">
        <v>22.118099999999998</v>
      </c>
      <c r="AQ378" s="2994">
        <v>24.275400000000001</v>
      </c>
      <c r="AR378" s="2994">
        <v>24.606000000000002</v>
      </c>
      <c r="AS378" s="2994">
        <v>24.9251</v>
      </c>
      <c r="AT378" s="2994">
        <v>24.413599999999999</v>
      </c>
      <c r="AU378" s="2994">
        <v>24.770700000000001</v>
      </c>
      <c r="AV378" s="2994">
        <v>25.034199999999998</v>
      </c>
      <c r="AW378" s="2994">
        <v>26.197399999999998</v>
      </c>
      <c r="AX378" s="2994">
        <v>26.491599999999998</v>
      </c>
      <c r="AY378" s="2994">
        <v>28.225999999999999</v>
      </c>
      <c r="AZ378" s="2994">
        <v>28.817900000000002</v>
      </c>
      <c r="BA378" s="2994">
        <v>29.446899999999999</v>
      </c>
      <c r="BB378" s="2994">
        <v>29.7928</v>
      </c>
      <c r="BC378" s="2994">
        <v>29.422799999999999</v>
      </c>
      <c r="BD378" s="3471">
        <v>29.434699999999999</v>
      </c>
      <c r="BE378" s="3471">
        <v>39.650100000000002</v>
      </c>
      <c r="BF378" s="3471">
        <v>0</v>
      </c>
    </row>
    <row r="379" spans="1:58">
      <c r="A379" s="1817" t="str">
        <f t="shared" si="11"/>
        <v>Central AmericaCurrants</v>
      </c>
      <c r="B379" s="1818" t="s">
        <v>305</v>
      </c>
      <c r="C379" s="1818" t="s">
        <v>7318</v>
      </c>
      <c r="D379" s="3463" t="str">
        <f>VLOOKUP(B379,List_Yield!$G$4:$J$14,4,FALSE)</f>
        <v>Central America</v>
      </c>
      <c r="E379" s="3463" t="str">
        <f t="shared" si="10"/>
        <v>Central AmericaCurrants</v>
      </c>
      <c r="F379" s="2994">
        <v>0</v>
      </c>
      <c r="G379" s="2994">
        <v>0</v>
      </c>
      <c r="H379" s="2994">
        <v>0</v>
      </c>
      <c r="I379" s="2994">
        <v>0</v>
      </c>
      <c r="J379" s="2994">
        <v>0</v>
      </c>
      <c r="K379" s="2994">
        <v>0</v>
      </c>
      <c r="L379" s="2994">
        <v>0</v>
      </c>
      <c r="M379" s="2994">
        <v>0</v>
      </c>
      <c r="N379" s="2994">
        <v>0</v>
      </c>
      <c r="O379" s="2994">
        <v>0</v>
      </c>
      <c r="P379" s="2994">
        <v>0</v>
      </c>
      <c r="Q379" s="2994">
        <v>0</v>
      </c>
      <c r="R379" s="2994">
        <v>0</v>
      </c>
      <c r="S379" s="2994">
        <v>0</v>
      </c>
      <c r="T379" s="2994">
        <v>0</v>
      </c>
      <c r="U379" s="2994">
        <v>0</v>
      </c>
      <c r="V379" s="2994">
        <v>0</v>
      </c>
      <c r="W379" s="2994">
        <v>0</v>
      </c>
      <c r="X379" s="2994">
        <v>0</v>
      </c>
      <c r="Y379" s="2994">
        <v>0</v>
      </c>
      <c r="Z379" s="2994">
        <v>0</v>
      </c>
      <c r="AA379" s="2994">
        <v>0</v>
      </c>
      <c r="AB379" s="2994">
        <v>0</v>
      </c>
      <c r="AC379" s="2994">
        <v>0</v>
      </c>
      <c r="AD379" s="2994">
        <v>0</v>
      </c>
      <c r="AE379" s="2994">
        <v>0</v>
      </c>
      <c r="AF379" s="2994">
        <v>0</v>
      </c>
      <c r="AG379" s="2994">
        <v>0</v>
      </c>
      <c r="AH379" s="2994">
        <v>0</v>
      </c>
      <c r="AI379" s="2994">
        <v>0</v>
      </c>
      <c r="AJ379" s="2994">
        <v>0</v>
      </c>
      <c r="AK379" s="2994">
        <v>0</v>
      </c>
      <c r="AL379" s="2994">
        <v>0</v>
      </c>
      <c r="AM379" s="2994">
        <v>0</v>
      </c>
      <c r="AN379" s="2994">
        <v>0</v>
      </c>
      <c r="AO379" s="2994">
        <v>0</v>
      </c>
      <c r="AP379" s="2994">
        <v>0</v>
      </c>
      <c r="AQ379" s="2994">
        <v>0</v>
      </c>
      <c r="AR379" s="2994">
        <v>0</v>
      </c>
      <c r="AS379" s="2994">
        <v>0</v>
      </c>
      <c r="AT379" s="2994">
        <v>0</v>
      </c>
      <c r="AU379" s="2994">
        <v>0</v>
      </c>
      <c r="AV379" s="2994">
        <v>0</v>
      </c>
      <c r="AW379" s="2994">
        <v>0</v>
      </c>
      <c r="AX379" s="2994">
        <v>0</v>
      </c>
      <c r="AY379" s="2994">
        <v>0</v>
      </c>
      <c r="AZ379" s="2994">
        <v>0</v>
      </c>
      <c r="BA379" s="2994">
        <v>0</v>
      </c>
      <c r="BB379" s="2994">
        <v>0</v>
      </c>
      <c r="BC379" s="2994">
        <v>0</v>
      </c>
      <c r="BD379" s="3471">
        <v>0</v>
      </c>
      <c r="BE379" s="3471">
        <v>0</v>
      </c>
      <c r="BF379" s="3471">
        <v>0</v>
      </c>
    </row>
    <row r="380" spans="1:58">
      <c r="A380" s="1817" t="str">
        <f t="shared" si="11"/>
        <v>Central AmericaDates</v>
      </c>
      <c r="B380" s="1818" t="s">
        <v>305</v>
      </c>
      <c r="C380" s="1818" t="s">
        <v>1348</v>
      </c>
      <c r="D380" s="3463" t="str">
        <f>VLOOKUP(B380,List_Yield!$G$4:$J$14,4,FALSE)</f>
        <v>Central America</v>
      </c>
      <c r="E380" s="3463" t="str">
        <f t="shared" si="10"/>
        <v>Central AmericaDates</v>
      </c>
      <c r="F380" s="2994">
        <v>7.5400999999999998</v>
      </c>
      <c r="G380" s="2994">
        <v>7.8288000000000002</v>
      </c>
      <c r="H380" s="2994">
        <v>9.3364999999999991</v>
      </c>
      <c r="I380" s="2994">
        <v>9.2393999999999998</v>
      </c>
      <c r="J380" s="2994">
        <v>9.6427999999999994</v>
      </c>
      <c r="K380" s="2994">
        <v>9.8666999999999998</v>
      </c>
      <c r="L380" s="2994">
        <v>9.6302000000000003</v>
      </c>
      <c r="M380" s="2994">
        <v>9.8533000000000008</v>
      </c>
      <c r="N380" s="2994">
        <v>4.2916999999999996</v>
      </c>
      <c r="O380" s="2994">
        <v>5.9044999999999996</v>
      </c>
      <c r="P380" s="2994">
        <v>6.1482000000000001</v>
      </c>
      <c r="Q380" s="2994">
        <v>5.7183000000000002</v>
      </c>
      <c r="R380" s="2994">
        <v>5.7183000000000002</v>
      </c>
      <c r="S380" s="2994">
        <v>5.4462999999999999</v>
      </c>
      <c r="T380" s="2994">
        <v>4.6395</v>
      </c>
      <c r="U380" s="2994">
        <v>1.1624000000000001</v>
      </c>
      <c r="V380" s="2994">
        <v>3.5737999999999999</v>
      </c>
      <c r="W380" s="2994">
        <v>2.6347999999999998</v>
      </c>
      <c r="X380" s="2994">
        <v>2.6518000000000002</v>
      </c>
      <c r="Y380" s="2994">
        <v>2.6015000000000001</v>
      </c>
      <c r="Z380" s="2994">
        <v>2.5851000000000002</v>
      </c>
      <c r="AA380" s="2994">
        <v>3.0933999999999999</v>
      </c>
      <c r="AB380" s="2994">
        <v>2.2229000000000001</v>
      </c>
      <c r="AC380" s="2994">
        <v>2.7526000000000002</v>
      </c>
      <c r="AD380" s="2994">
        <v>3.4626000000000001</v>
      </c>
      <c r="AE380" s="2994">
        <v>3.2183000000000002</v>
      </c>
      <c r="AF380" s="2994">
        <v>2.7730000000000001</v>
      </c>
      <c r="AG380" s="2994">
        <v>2.1556999999999999</v>
      </c>
      <c r="AH380" s="2994">
        <v>2.2475000000000001</v>
      </c>
      <c r="AI380" s="2994">
        <v>2.0495000000000001</v>
      </c>
      <c r="AJ380" s="2994">
        <v>2.0154999999999998</v>
      </c>
      <c r="AK380" s="2994">
        <v>2.681</v>
      </c>
      <c r="AL380" s="2994">
        <v>2.7551999999999999</v>
      </c>
      <c r="AM380" s="2994">
        <v>3.0646</v>
      </c>
      <c r="AN380" s="2994">
        <v>3.2692000000000001</v>
      </c>
      <c r="AO380" s="2994">
        <v>3.2736000000000001</v>
      </c>
      <c r="AP380" s="2994">
        <v>2.6802999999999999</v>
      </c>
      <c r="AQ380" s="2994">
        <v>3.6596000000000002</v>
      </c>
      <c r="AR380" s="2994">
        <v>4.1798999999999999</v>
      </c>
      <c r="AS380" s="2994">
        <v>4.4351000000000003</v>
      </c>
      <c r="AT380" s="2994">
        <v>4.6532999999999998</v>
      </c>
      <c r="AU380" s="2994">
        <v>4.1791999999999998</v>
      </c>
      <c r="AV380" s="2994">
        <v>3.7745000000000002</v>
      </c>
      <c r="AW380" s="2994">
        <v>3.5646</v>
      </c>
      <c r="AX380" s="2994">
        <v>4.5926</v>
      </c>
      <c r="AY380" s="2994">
        <v>4.7808000000000002</v>
      </c>
      <c r="AZ380" s="2994">
        <v>4.6779000000000002</v>
      </c>
      <c r="BA380" s="2994">
        <v>4.8375000000000004</v>
      </c>
      <c r="BB380" s="2994">
        <v>5.1086999999999998</v>
      </c>
      <c r="BC380" s="2994">
        <v>6.2689000000000004</v>
      </c>
      <c r="BD380" s="3471">
        <v>6.8936999999999999</v>
      </c>
      <c r="BE380" s="3471">
        <v>6.3552</v>
      </c>
      <c r="BF380" s="3471">
        <v>0</v>
      </c>
    </row>
    <row r="381" spans="1:58">
      <c r="A381" s="1817" t="str">
        <f t="shared" si="11"/>
        <v>Central AmericaEggplants (aubergines)</v>
      </c>
      <c r="B381" s="1818" t="s">
        <v>305</v>
      </c>
      <c r="C381" s="1818" t="s">
        <v>1349</v>
      </c>
      <c r="D381" s="3463" t="str">
        <f>VLOOKUP(B381,List_Yield!$G$4:$J$14,4,FALSE)</f>
        <v>Central America</v>
      </c>
      <c r="E381" s="3463" t="str">
        <f t="shared" ref="E381:E444" si="12">CONCATENATE(D381,C381)</f>
        <v>Central AmericaEggplants (aubergines)</v>
      </c>
      <c r="F381" s="2994">
        <v>8.3942999999999994</v>
      </c>
      <c r="G381" s="2994">
        <v>8.3597000000000001</v>
      </c>
      <c r="H381" s="2994">
        <v>8.2873000000000001</v>
      </c>
      <c r="I381" s="2994">
        <v>8.3575999999999997</v>
      </c>
      <c r="J381" s="2994">
        <v>8.3596000000000004</v>
      </c>
      <c r="K381" s="2994">
        <v>8.3510000000000009</v>
      </c>
      <c r="L381" s="2994">
        <v>8.4278999999999993</v>
      </c>
      <c r="M381" s="2994">
        <v>8.7288999999999994</v>
      </c>
      <c r="N381" s="2994">
        <v>15.6105</v>
      </c>
      <c r="O381" s="2994">
        <v>16.442299999999999</v>
      </c>
      <c r="P381" s="2994">
        <v>21.273399999999999</v>
      </c>
      <c r="Q381" s="2994">
        <v>19.089200000000002</v>
      </c>
      <c r="R381" s="2994">
        <v>18.616199999999999</v>
      </c>
      <c r="S381" s="2994">
        <v>19.4206</v>
      </c>
      <c r="T381" s="2994">
        <v>19.5</v>
      </c>
      <c r="U381" s="2994">
        <v>15.616</v>
      </c>
      <c r="V381" s="2994">
        <v>16.093299999999999</v>
      </c>
      <c r="W381" s="2994">
        <v>21.420999999999999</v>
      </c>
      <c r="X381" s="2994">
        <v>24.850300000000001</v>
      </c>
      <c r="Y381" s="2994">
        <v>40.920699999999997</v>
      </c>
      <c r="Z381" s="2994">
        <v>39.867600000000003</v>
      </c>
      <c r="AA381" s="2994">
        <v>21.690799999999999</v>
      </c>
      <c r="AB381" s="2994">
        <v>25.743300000000001</v>
      </c>
      <c r="AC381" s="2994">
        <v>24.240600000000001</v>
      </c>
      <c r="AD381" s="2994">
        <v>25.524799999999999</v>
      </c>
      <c r="AE381" s="2994">
        <v>28.985499999999998</v>
      </c>
      <c r="AF381" s="2994">
        <v>34.833100000000002</v>
      </c>
      <c r="AG381" s="2994">
        <v>26.871400000000001</v>
      </c>
      <c r="AH381" s="2994">
        <v>23.3325</v>
      </c>
      <c r="AI381" s="2994">
        <v>35.339799999999997</v>
      </c>
      <c r="AJ381" s="2994">
        <v>32.880299999999998</v>
      </c>
      <c r="AK381" s="2994">
        <v>27.101600000000001</v>
      </c>
      <c r="AL381" s="2994">
        <v>27.389399999999998</v>
      </c>
      <c r="AM381" s="2994">
        <v>38.103900000000003</v>
      </c>
      <c r="AN381" s="2994">
        <v>42.816400000000002</v>
      </c>
      <c r="AO381" s="2994">
        <v>34.898800000000001</v>
      </c>
      <c r="AP381" s="2994">
        <v>27.37</v>
      </c>
      <c r="AQ381" s="2994">
        <v>26.937999999999999</v>
      </c>
      <c r="AR381" s="2994">
        <v>21.9133</v>
      </c>
      <c r="AS381" s="2994">
        <v>26.287400000000002</v>
      </c>
      <c r="AT381" s="2994">
        <v>26.725100000000001</v>
      </c>
      <c r="AU381" s="2994">
        <v>23.627800000000001</v>
      </c>
      <c r="AV381" s="2994">
        <v>24.242599999999999</v>
      </c>
      <c r="AW381" s="2994">
        <v>26.479099999999999</v>
      </c>
      <c r="AX381" s="2994">
        <v>32.822000000000003</v>
      </c>
      <c r="AY381" s="2994">
        <v>40.393900000000002</v>
      </c>
      <c r="AZ381" s="2994">
        <v>43.509</v>
      </c>
      <c r="BA381" s="2994">
        <v>41.561999999999998</v>
      </c>
      <c r="BB381" s="2994">
        <v>42.893000000000001</v>
      </c>
      <c r="BC381" s="2994">
        <v>48.808900000000001</v>
      </c>
      <c r="BD381" s="3471">
        <v>50.902200000000001</v>
      </c>
      <c r="BE381" s="3471">
        <v>74.416499999999999</v>
      </c>
      <c r="BF381" s="3471">
        <v>0</v>
      </c>
    </row>
    <row r="382" spans="1:58">
      <c r="A382" s="1817" t="str">
        <f t="shared" si="11"/>
        <v>Central AmericaFibre crops nes</v>
      </c>
      <c r="B382" s="1818" t="s">
        <v>305</v>
      </c>
      <c r="C382" s="1818" t="s">
        <v>7319</v>
      </c>
      <c r="D382" s="3463" t="str">
        <f>VLOOKUP(B382,List_Yield!$G$4:$J$14,4,FALSE)</f>
        <v>Central America</v>
      </c>
      <c r="E382" s="3463" t="str">
        <f t="shared" si="12"/>
        <v>Central AmericaFibre crops nes</v>
      </c>
      <c r="F382" s="2994">
        <v>0</v>
      </c>
      <c r="G382" s="2994">
        <v>0</v>
      </c>
      <c r="H382" s="2994">
        <v>0</v>
      </c>
      <c r="I382" s="2994">
        <v>0</v>
      </c>
      <c r="J382" s="2994">
        <v>0</v>
      </c>
      <c r="K382" s="2994">
        <v>0</v>
      </c>
      <c r="L382" s="2994">
        <v>0</v>
      </c>
      <c r="M382" s="2994">
        <v>0</v>
      </c>
      <c r="N382" s="2994">
        <v>0</v>
      </c>
      <c r="O382" s="2994">
        <v>0</v>
      </c>
      <c r="P382" s="2994">
        <v>0</v>
      </c>
      <c r="Q382" s="2994">
        <v>0</v>
      </c>
      <c r="R382" s="2994">
        <v>0</v>
      </c>
      <c r="S382" s="2994">
        <v>0</v>
      </c>
      <c r="T382" s="2994">
        <v>0</v>
      </c>
      <c r="U382" s="2994">
        <v>0</v>
      </c>
      <c r="V382" s="2994">
        <v>0</v>
      </c>
      <c r="W382" s="2994">
        <v>0</v>
      </c>
      <c r="X382" s="2994">
        <v>0</v>
      </c>
      <c r="Y382" s="2994">
        <v>0</v>
      </c>
      <c r="Z382" s="2994">
        <v>0</v>
      </c>
      <c r="AA382" s="2994">
        <v>0</v>
      </c>
      <c r="AB382" s="2994">
        <v>0</v>
      </c>
      <c r="AC382" s="2994">
        <v>0</v>
      </c>
      <c r="AD382" s="2994">
        <v>0</v>
      </c>
      <c r="AE382" s="2994">
        <v>0</v>
      </c>
      <c r="AF382" s="2994">
        <v>0</v>
      </c>
      <c r="AG382" s="2994">
        <v>0</v>
      </c>
      <c r="AH382" s="2994">
        <v>0</v>
      </c>
      <c r="AI382" s="2994">
        <v>0</v>
      </c>
      <c r="AJ382" s="2994">
        <v>0</v>
      </c>
      <c r="AK382" s="2994">
        <v>0</v>
      </c>
      <c r="AL382" s="2994">
        <v>0</v>
      </c>
      <c r="AM382" s="2994">
        <v>0</v>
      </c>
      <c r="AN382" s="2994">
        <v>0</v>
      </c>
      <c r="AO382" s="2994">
        <v>0</v>
      </c>
      <c r="AP382" s="2994">
        <v>0</v>
      </c>
      <c r="AQ382" s="2994">
        <v>0</v>
      </c>
      <c r="AR382" s="2994">
        <v>0</v>
      </c>
      <c r="AS382" s="2994">
        <v>0</v>
      </c>
      <c r="AT382" s="2994">
        <v>0</v>
      </c>
      <c r="AU382" s="2994">
        <v>0</v>
      </c>
      <c r="AV382" s="2994">
        <v>0</v>
      </c>
      <c r="AW382" s="2994">
        <v>0</v>
      </c>
      <c r="AX382" s="2994">
        <v>0</v>
      </c>
      <c r="AY382" s="2994">
        <v>0</v>
      </c>
      <c r="AZ382" s="2994">
        <v>0</v>
      </c>
      <c r="BA382" s="2994">
        <v>0</v>
      </c>
      <c r="BB382" s="2994">
        <v>0</v>
      </c>
      <c r="BC382" s="2994">
        <v>0</v>
      </c>
      <c r="BD382" s="3471">
        <v>0</v>
      </c>
      <c r="BE382" s="3471">
        <v>0</v>
      </c>
      <c r="BF382" s="3471">
        <v>0</v>
      </c>
    </row>
    <row r="383" spans="1:58">
      <c r="A383" s="1817" t="str">
        <f t="shared" si="11"/>
        <v>Central AmericaFigs</v>
      </c>
      <c r="B383" s="1818" t="s">
        <v>305</v>
      </c>
      <c r="C383" s="1818" t="s">
        <v>7320</v>
      </c>
      <c r="D383" s="3463" t="str">
        <f>VLOOKUP(B383,List_Yield!$G$4:$J$14,4,FALSE)</f>
        <v>Central America</v>
      </c>
      <c r="E383" s="3463" t="str">
        <f t="shared" si="12"/>
        <v>Central AmericaFigs</v>
      </c>
      <c r="F383" s="2994">
        <v>6.6437999999999997</v>
      </c>
      <c r="G383" s="2994">
        <v>7.3578000000000001</v>
      </c>
      <c r="H383" s="2994">
        <v>7.9093999999999998</v>
      </c>
      <c r="I383" s="2994">
        <v>7.9103000000000003</v>
      </c>
      <c r="J383" s="2994">
        <v>7.9652000000000003</v>
      </c>
      <c r="K383" s="2994">
        <v>8.1056000000000008</v>
      </c>
      <c r="L383" s="2994">
        <v>8.1721000000000004</v>
      </c>
      <c r="M383" s="2994">
        <v>8.1379999999999999</v>
      </c>
      <c r="N383" s="2994">
        <v>6.8014000000000001</v>
      </c>
      <c r="O383" s="2994">
        <v>7.1616</v>
      </c>
      <c r="P383" s="2994">
        <v>7.1882999999999999</v>
      </c>
      <c r="Q383" s="2994">
        <v>6.9550000000000001</v>
      </c>
      <c r="R383" s="2994">
        <v>6.3817000000000004</v>
      </c>
      <c r="S383" s="2994">
        <v>7.7588999999999997</v>
      </c>
      <c r="T383" s="2994">
        <v>6.8026999999999997</v>
      </c>
      <c r="U383" s="2994">
        <v>5.0221999999999998</v>
      </c>
      <c r="V383" s="2994">
        <v>5.7350000000000003</v>
      </c>
      <c r="W383" s="2994">
        <v>5.6287000000000003</v>
      </c>
      <c r="X383" s="2994">
        <v>6.3529999999999998</v>
      </c>
      <c r="Y383" s="2994">
        <v>6.2625000000000002</v>
      </c>
      <c r="Z383" s="2994">
        <v>6.0574000000000003</v>
      </c>
      <c r="AA383" s="2994">
        <v>5.4863999999999997</v>
      </c>
      <c r="AB383" s="2994">
        <v>6.3867000000000003</v>
      </c>
      <c r="AC383" s="2994">
        <v>4.7678000000000003</v>
      </c>
      <c r="AD383" s="2994">
        <v>6.1271000000000004</v>
      </c>
      <c r="AE383" s="2994">
        <v>4.9855</v>
      </c>
      <c r="AF383" s="2994">
        <v>6.0888</v>
      </c>
      <c r="AG383" s="2994">
        <v>4.5068000000000001</v>
      </c>
      <c r="AH383" s="2994">
        <v>4.8273000000000001</v>
      </c>
      <c r="AI383" s="2994">
        <v>4.3266999999999998</v>
      </c>
      <c r="AJ383" s="2994">
        <v>3.2869000000000002</v>
      </c>
      <c r="AK383" s="2994">
        <v>4.2157</v>
      </c>
      <c r="AL383" s="2994">
        <v>4.8978000000000002</v>
      </c>
      <c r="AM383" s="2994">
        <v>5.4828000000000001</v>
      </c>
      <c r="AN383" s="2994">
        <v>3.8266</v>
      </c>
      <c r="AO383" s="2994">
        <v>3.7368999999999999</v>
      </c>
      <c r="AP383" s="2994">
        <v>3.8513000000000002</v>
      </c>
      <c r="AQ383" s="2994">
        <v>3.077</v>
      </c>
      <c r="AR383" s="2994">
        <v>3.5966999999999998</v>
      </c>
      <c r="AS383" s="2994">
        <v>2.9394</v>
      </c>
      <c r="AT383" s="2994">
        <v>3.3696000000000002</v>
      </c>
      <c r="AU383" s="2994">
        <v>3.0811999999999999</v>
      </c>
      <c r="AV383" s="2994">
        <v>3.4581</v>
      </c>
      <c r="AW383" s="2994">
        <v>4.2361000000000004</v>
      </c>
      <c r="AX383" s="2994">
        <v>4.7544000000000004</v>
      </c>
      <c r="AY383" s="2994">
        <v>6.1325000000000003</v>
      </c>
      <c r="AZ383" s="2994">
        <v>5.6485000000000003</v>
      </c>
      <c r="BA383" s="2994">
        <v>4.2714999999999996</v>
      </c>
      <c r="BB383" s="2994">
        <v>3.9091999999999998</v>
      </c>
      <c r="BC383" s="2994">
        <v>4.4067999999999996</v>
      </c>
      <c r="BD383" s="3471">
        <v>4.4741999999999997</v>
      </c>
      <c r="BE383" s="3471">
        <v>4.2004000000000001</v>
      </c>
      <c r="BF383" s="3471">
        <v>0</v>
      </c>
    </row>
    <row r="384" spans="1:58">
      <c r="A384" s="1817" t="str">
        <f t="shared" si="11"/>
        <v>Central AmericaFlax fibre and tow</v>
      </c>
      <c r="B384" s="1818" t="s">
        <v>305</v>
      </c>
      <c r="C384" s="1818" t="s">
        <v>7321</v>
      </c>
      <c r="D384" s="3463" t="str">
        <f>VLOOKUP(B384,List_Yield!$G$4:$J$14,4,FALSE)</f>
        <v>Central America</v>
      </c>
      <c r="E384" s="3463" t="str">
        <f t="shared" si="12"/>
        <v>Central AmericaFlax fibre and tow</v>
      </c>
      <c r="F384" s="2994">
        <v>0</v>
      </c>
      <c r="G384" s="2994">
        <v>0</v>
      </c>
      <c r="H384" s="2994">
        <v>0</v>
      </c>
      <c r="I384" s="2994">
        <v>0</v>
      </c>
      <c r="J384" s="2994">
        <v>0</v>
      </c>
      <c r="K384" s="2994">
        <v>0</v>
      </c>
      <c r="L384" s="2994">
        <v>0</v>
      </c>
      <c r="M384" s="2994">
        <v>0</v>
      </c>
      <c r="N384" s="2994">
        <v>0</v>
      </c>
      <c r="O384" s="2994">
        <v>0</v>
      </c>
      <c r="P384" s="2994">
        <v>0</v>
      </c>
      <c r="Q384" s="2994">
        <v>0</v>
      </c>
      <c r="R384" s="2994">
        <v>0</v>
      </c>
      <c r="S384" s="2994">
        <v>0</v>
      </c>
      <c r="T384" s="2994">
        <v>0</v>
      </c>
      <c r="U384" s="2994">
        <v>0</v>
      </c>
      <c r="V384" s="2994">
        <v>0</v>
      </c>
      <c r="W384" s="2994">
        <v>0</v>
      </c>
      <c r="X384" s="2994">
        <v>0</v>
      </c>
      <c r="Y384" s="2994">
        <v>0</v>
      </c>
      <c r="Z384" s="2994">
        <v>0</v>
      </c>
      <c r="AA384" s="2994">
        <v>0</v>
      </c>
      <c r="AB384" s="2994">
        <v>0</v>
      </c>
      <c r="AC384" s="2994">
        <v>0</v>
      </c>
      <c r="AD384" s="2994">
        <v>0</v>
      </c>
      <c r="AE384" s="2994">
        <v>0</v>
      </c>
      <c r="AF384" s="2994">
        <v>0</v>
      </c>
      <c r="AG384" s="2994">
        <v>0</v>
      </c>
      <c r="AH384" s="2994">
        <v>0</v>
      </c>
      <c r="AI384" s="2994">
        <v>0</v>
      </c>
      <c r="AJ384" s="2994">
        <v>0</v>
      </c>
      <c r="AK384" s="2994">
        <v>0</v>
      </c>
      <c r="AL384" s="2994">
        <v>0</v>
      </c>
      <c r="AM384" s="2994">
        <v>0</v>
      </c>
      <c r="AN384" s="2994">
        <v>0</v>
      </c>
      <c r="AO384" s="2994">
        <v>0</v>
      </c>
      <c r="AP384" s="2994">
        <v>0</v>
      </c>
      <c r="AQ384" s="2994">
        <v>0</v>
      </c>
      <c r="AR384" s="2994">
        <v>0</v>
      </c>
      <c r="AS384" s="2994">
        <v>0</v>
      </c>
      <c r="AT384" s="2994">
        <v>0</v>
      </c>
      <c r="AU384" s="2994">
        <v>0</v>
      </c>
      <c r="AV384" s="2994">
        <v>0</v>
      </c>
      <c r="AW384" s="2994">
        <v>0</v>
      </c>
      <c r="AX384" s="2994">
        <v>0</v>
      </c>
      <c r="AY384" s="2994">
        <v>0</v>
      </c>
      <c r="AZ384" s="2994">
        <v>0</v>
      </c>
      <c r="BA384" s="2994">
        <v>0</v>
      </c>
      <c r="BB384" s="2994">
        <v>0</v>
      </c>
      <c r="BC384" s="2994">
        <v>0</v>
      </c>
      <c r="BD384" s="3471">
        <v>0</v>
      </c>
      <c r="BE384" s="3471">
        <v>0</v>
      </c>
      <c r="BF384" s="3471">
        <v>0</v>
      </c>
    </row>
    <row r="385" spans="1:58">
      <c r="A385" s="1817" t="str">
        <f t="shared" si="11"/>
        <v>Central AmericaFonio</v>
      </c>
      <c r="B385" s="1818" t="s">
        <v>305</v>
      </c>
      <c r="C385" s="1818" t="s">
        <v>7322</v>
      </c>
      <c r="D385" s="3463" t="str">
        <f>VLOOKUP(B385,List_Yield!$G$4:$J$14,4,FALSE)</f>
        <v>Central America</v>
      </c>
      <c r="E385" s="3463" t="str">
        <f t="shared" si="12"/>
        <v>Central AmericaFonio</v>
      </c>
      <c r="F385" s="2994">
        <v>0</v>
      </c>
      <c r="G385" s="2994">
        <v>0</v>
      </c>
      <c r="H385" s="2994">
        <v>0</v>
      </c>
      <c r="I385" s="2994">
        <v>0</v>
      </c>
      <c r="J385" s="2994">
        <v>0</v>
      </c>
      <c r="K385" s="2994">
        <v>0</v>
      </c>
      <c r="L385" s="2994">
        <v>0</v>
      </c>
      <c r="M385" s="2994">
        <v>0</v>
      </c>
      <c r="N385" s="2994">
        <v>0</v>
      </c>
      <c r="O385" s="2994">
        <v>0</v>
      </c>
      <c r="P385" s="2994">
        <v>0</v>
      </c>
      <c r="Q385" s="2994">
        <v>0</v>
      </c>
      <c r="R385" s="2994">
        <v>0</v>
      </c>
      <c r="S385" s="2994">
        <v>0</v>
      </c>
      <c r="T385" s="2994">
        <v>0</v>
      </c>
      <c r="U385" s="2994">
        <v>0</v>
      </c>
      <c r="V385" s="2994">
        <v>0</v>
      </c>
      <c r="W385" s="2994">
        <v>0</v>
      </c>
      <c r="X385" s="2994">
        <v>0</v>
      </c>
      <c r="Y385" s="2994">
        <v>0</v>
      </c>
      <c r="Z385" s="2994">
        <v>0</v>
      </c>
      <c r="AA385" s="2994">
        <v>0</v>
      </c>
      <c r="AB385" s="2994">
        <v>0</v>
      </c>
      <c r="AC385" s="2994">
        <v>0</v>
      </c>
      <c r="AD385" s="2994">
        <v>0</v>
      </c>
      <c r="AE385" s="2994">
        <v>0</v>
      </c>
      <c r="AF385" s="2994">
        <v>0</v>
      </c>
      <c r="AG385" s="2994">
        <v>0</v>
      </c>
      <c r="AH385" s="2994">
        <v>0</v>
      </c>
      <c r="AI385" s="2994">
        <v>0</v>
      </c>
      <c r="AJ385" s="2994">
        <v>0</v>
      </c>
      <c r="AK385" s="2994">
        <v>0</v>
      </c>
      <c r="AL385" s="2994">
        <v>0</v>
      </c>
      <c r="AM385" s="2994">
        <v>0</v>
      </c>
      <c r="AN385" s="2994">
        <v>0</v>
      </c>
      <c r="AO385" s="2994">
        <v>0</v>
      </c>
      <c r="AP385" s="2994">
        <v>0</v>
      </c>
      <c r="AQ385" s="2994">
        <v>0</v>
      </c>
      <c r="AR385" s="2994">
        <v>0</v>
      </c>
      <c r="AS385" s="2994">
        <v>0</v>
      </c>
      <c r="AT385" s="2994">
        <v>0</v>
      </c>
      <c r="AU385" s="2994">
        <v>0</v>
      </c>
      <c r="AV385" s="2994">
        <v>0</v>
      </c>
      <c r="AW385" s="2994">
        <v>0</v>
      </c>
      <c r="AX385" s="2994">
        <v>0</v>
      </c>
      <c r="AY385" s="2994">
        <v>0</v>
      </c>
      <c r="AZ385" s="2994">
        <v>0</v>
      </c>
      <c r="BA385" s="2994">
        <v>0</v>
      </c>
      <c r="BB385" s="2994">
        <v>0</v>
      </c>
      <c r="BC385" s="2994">
        <v>0</v>
      </c>
      <c r="BD385" s="3471">
        <v>0</v>
      </c>
      <c r="BE385" s="3471">
        <v>0</v>
      </c>
      <c r="BF385" s="3471">
        <v>0</v>
      </c>
    </row>
    <row r="386" spans="1:58">
      <c r="A386" s="1817" t="str">
        <f t="shared" ref="A386:A449" si="13">CONCATENATE(B386,C386)</f>
        <v>Central AmericaFruit, citrus nes</v>
      </c>
      <c r="B386" s="1818" t="s">
        <v>305</v>
      </c>
      <c r="C386" s="1818" t="s">
        <v>7323</v>
      </c>
      <c r="D386" s="3463" t="str">
        <f>VLOOKUP(B386,List_Yield!$G$4:$J$14,4,FALSE)</f>
        <v>Central America</v>
      </c>
      <c r="E386" s="3463" t="str">
        <f t="shared" si="12"/>
        <v>Central AmericaFruit, citrus nes</v>
      </c>
      <c r="F386" s="2994">
        <v>6.5</v>
      </c>
      <c r="G386" s="2994">
        <v>6.5468999999999999</v>
      </c>
      <c r="H386" s="2994">
        <v>6.8841000000000001</v>
      </c>
      <c r="I386" s="2994">
        <v>6.8830999999999998</v>
      </c>
      <c r="J386" s="2994">
        <v>7.0972</v>
      </c>
      <c r="K386" s="2994">
        <v>7.1010999999999997</v>
      </c>
      <c r="L386" s="2994">
        <v>6.5319000000000003</v>
      </c>
      <c r="M386" s="2994">
        <v>7.1383000000000001</v>
      </c>
      <c r="N386" s="2994">
        <v>7.3907999999999996</v>
      </c>
      <c r="O386" s="2994">
        <v>7.1512000000000002</v>
      </c>
      <c r="P386" s="2994">
        <v>6.8387000000000002</v>
      </c>
      <c r="Q386" s="2994">
        <v>7.2</v>
      </c>
      <c r="R386" s="2994">
        <v>7.1028000000000002</v>
      </c>
      <c r="S386" s="2994">
        <v>6.0434999999999999</v>
      </c>
      <c r="T386" s="2994">
        <v>6.0246000000000004</v>
      </c>
      <c r="U386" s="2994">
        <v>5.8833000000000002</v>
      </c>
      <c r="V386" s="2994">
        <v>6.0480999999999998</v>
      </c>
      <c r="W386" s="2994">
        <v>6.05</v>
      </c>
      <c r="X386" s="2994">
        <v>6.0517000000000003</v>
      </c>
      <c r="Y386" s="2994">
        <v>20.8</v>
      </c>
      <c r="Z386" s="2994">
        <v>12</v>
      </c>
      <c r="AA386" s="2994">
        <v>10.1</v>
      </c>
      <c r="AB386" s="2994">
        <v>9.1001999999999992</v>
      </c>
      <c r="AC386" s="2994">
        <v>10.6</v>
      </c>
      <c r="AD386" s="2994">
        <v>9.2799999999999994</v>
      </c>
      <c r="AE386" s="2994">
        <v>11.102600000000001</v>
      </c>
      <c r="AF386" s="2994">
        <v>14.946899999999999</v>
      </c>
      <c r="AG386" s="2994">
        <v>17.031400000000001</v>
      </c>
      <c r="AH386" s="2994">
        <v>9.5672999999999995</v>
      </c>
      <c r="AI386" s="2994">
        <v>10.996</v>
      </c>
      <c r="AJ386" s="2994">
        <v>11.8042</v>
      </c>
      <c r="AK386" s="2994">
        <v>8.4720999999999993</v>
      </c>
      <c r="AL386" s="2994">
        <v>5.0366</v>
      </c>
      <c r="AM386" s="2994">
        <v>5.6334</v>
      </c>
      <c r="AN386" s="2994">
        <v>4.4592000000000001</v>
      </c>
      <c r="AO386" s="2994">
        <v>5.0522999999999998</v>
      </c>
      <c r="AP386" s="2994">
        <v>4.4446000000000003</v>
      </c>
      <c r="AQ386" s="2994">
        <v>4.3743999999999996</v>
      </c>
      <c r="AR386" s="2994">
        <v>4.6531000000000002</v>
      </c>
      <c r="AS386" s="2994">
        <v>4.9459999999999997</v>
      </c>
      <c r="AT386" s="2994">
        <v>4.9969000000000001</v>
      </c>
      <c r="AU386" s="2994">
        <v>4.9756</v>
      </c>
      <c r="AV386" s="2994">
        <v>4.6345999999999998</v>
      </c>
      <c r="AW386" s="2994">
        <v>4.6653000000000002</v>
      </c>
      <c r="AX386" s="2994">
        <v>4.6100000000000003</v>
      </c>
      <c r="AY386" s="2994">
        <v>4.9858000000000002</v>
      </c>
      <c r="AZ386" s="2994">
        <v>5.0058999999999996</v>
      </c>
      <c r="BA386" s="2994">
        <v>5.2146999999999997</v>
      </c>
      <c r="BB386" s="2994">
        <v>5.1536</v>
      </c>
      <c r="BC386" s="2994">
        <v>5.0972</v>
      </c>
      <c r="BD386" s="3471">
        <v>5.1216999999999997</v>
      </c>
      <c r="BE386" s="3471">
        <v>5.1357999999999997</v>
      </c>
      <c r="BF386" s="3471">
        <v>0</v>
      </c>
    </row>
    <row r="387" spans="1:58">
      <c r="A387" s="1817" t="str">
        <f t="shared" si="13"/>
        <v>Central AmericaFruit, fresh nes</v>
      </c>
      <c r="B387" s="1818" t="s">
        <v>305</v>
      </c>
      <c r="C387" s="1818" t="s">
        <v>7324</v>
      </c>
      <c r="D387" s="3463" t="str">
        <f>VLOOKUP(B387,List_Yield!$G$4:$J$14,4,FALSE)</f>
        <v>Central America</v>
      </c>
      <c r="E387" s="3463" t="str">
        <f t="shared" si="12"/>
        <v>Central AmericaFruit, fresh nes</v>
      </c>
      <c r="F387" s="2994">
        <v>25.503599999999999</v>
      </c>
      <c r="G387" s="2994">
        <v>16.356999999999999</v>
      </c>
      <c r="H387" s="2994">
        <v>17.244499999999999</v>
      </c>
      <c r="I387" s="2994">
        <v>17.5505</v>
      </c>
      <c r="J387" s="2994">
        <v>17.657699999999998</v>
      </c>
      <c r="K387" s="2994">
        <v>17.924299999999999</v>
      </c>
      <c r="L387" s="2994">
        <v>20.218599999999999</v>
      </c>
      <c r="M387" s="2994">
        <v>23.953700000000001</v>
      </c>
      <c r="N387" s="2994">
        <v>22.971499999999999</v>
      </c>
      <c r="O387" s="2994">
        <v>22.603999999999999</v>
      </c>
      <c r="P387" s="2994">
        <v>25.6219</v>
      </c>
      <c r="Q387" s="2994">
        <v>26.0992</v>
      </c>
      <c r="R387" s="2994">
        <v>25.752600000000001</v>
      </c>
      <c r="S387" s="2994">
        <v>26.292200000000001</v>
      </c>
      <c r="T387" s="2994">
        <v>27.496700000000001</v>
      </c>
      <c r="U387" s="2994">
        <v>28.458300000000001</v>
      </c>
      <c r="V387" s="2994">
        <v>30.536100000000001</v>
      </c>
      <c r="W387" s="2994">
        <v>30.084599999999998</v>
      </c>
      <c r="X387" s="2994">
        <v>29.338999999999999</v>
      </c>
      <c r="Y387" s="2994">
        <v>21.7562</v>
      </c>
      <c r="Z387" s="2994">
        <v>14.6892</v>
      </c>
      <c r="AA387" s="2994">
        <v>13.4579</v>
      </c>
      <c r="AB387" s="2994">
        <v>15.377000000000001</v>
      </c>
      <c r="AC387" s="2994">
        <v>15.1119</v>
      </c>
      <c r="AD387" s="2994">
        <v>7.6905999999999999</v>
      </c>
      <c r="AE387" s="2994">
        <v>7.1809000000000003</v>
      </c>
      <c r="AF387" s="2994">
        <v>6.9150999999999998</v>
      </c>
      <c r="AG387" s="2994">
        <v>6.7708000000000004</v>
      </c>
      <c r="AH387" s="2994">
        <v>6.9935</v>
      </c>
      <c r="AI387" s="2994">
        <v>7.2214</v>
      </c>
      <c r="AJ387" s="2994">
        <v>6.5646000000000004</v>
      </c>
      <c r="AK387" s="2994">
        <v>6.1433</v>
      </c>
      <c r="AL387" s="2994">
        <v>6.0433000000000003</v>
      </c>
      <c r="AM387" s="2994">
        <v>6.2371999999999996</v>
      </c>
      <c r="AN387" s="2994">
        <v>5.4269999999999996</v>
      </c>
      <c r="AO387" s="2994">
        <v>6.7333999999999996</v>
      </c>
      <c r="AP387" s="2994">
        <v>6.8772000000000002</v>
      </c>
      <c r="AQ387" s="2994">
        <v>6.6974999999999998</v>
      </c>
      <c r="AR387" s="2994">
        <v>6.6332000000000004</v>
      </c>
      <c r="AS387" s="2994">
        <v>6.7412000000000001</v>
      </c>
      <c r="AT387" s="2994">
        <v>6.9355000000000002</v>
      </c>
      <c r="AU387" s="2994">
        <v>7.1013000000000002</v>
      </c>
      <c r="AV387" s="2994">
        <v>6.7420999999999998</v>
      </c>
      <c r="AW387" s="2994">
        <v>6.8798000000000004</v>
      </c>
      <c r="AX387" s="2994">
        <v>6.9934000000000003</v>
      </c>
      <c r="AY387" s="2994">
        <v>7.2080000000000002</v>
      </c>
      <c r="AZ387" s="2994">
        <v>7.2645999999999997</v>
      </c>
      <c r="BA387" s="2994">
        <v>7.3137999999999996</v>
      </c>
      <c r="BB387" s="2994">
        <v>7.0110000000000001</v>
      </c>
      <c r="BC387" s="2994">
        <v>6.8562000000000003</v>
      </c>
      <c r="BD387" s="3471">
        <v>7.0483000000000002</v>
      </c>
      <c r="BE387" s="3471">
        <v>6.9886999999999997</v>
      </c>
      <c r="BF387" s="3471">
        <v>0</v>
      </c>
    </row>
    <row r="388" spans="1:58">
      <c r="A388" s="1817" t="str">
        <f t="shared" si="13"/>
        <v>Central AmericaFruit, pome nes</v>
      </c>
      <c r="B388" s="1818" t="s">
        <v>305</v>
      </c>
      <c r="C388" s="1818" t="s">
        <v>7325</v>
      </c>
      <c r="D388" s="3463" t="str">
        <f>VLOOKUP(B388,List_Yield!$G$4:$J$14,4,FALSE)</f>
        <v>Central America</v>
      </c>
      <c r="E388" s="3463" t="str">
        <f t="shared" si="12"/>
        <v>Central AmericaFruit, pome nes</v>
      </c>
      <c r="F388" s="2994">
        <v>0</v>
      </c>
      <c r="G388" s="2994">
        <v>0</v>
      </c>
      <c r="H388" s="2994">
        <v>0</v>
      </c>
      <c r="I388" s="2994">
        <v>0</v>
      </c>
      <c r="J388" s="2994">
        <v>0</v>
      </c>
      <c r="K388" s="2994">
        <v>0</v>
      </c>
      <c r="L388" s="2994">
        <v>0</v>
      </c>
      <c r="M388" s="2994">
        <v>0</v>
      </c>
      <c r="N388" s="2994">
        <v>0</v>
      </c>
      <c r="O388" s="2994">
        <v>0</v>
      </c>
      <c r="P388" s="2994">
        <v>0</v>
      </c>
      <c r="Q388" s="2994">
        <v>0</v>
      </c>
      <c r="R388" s="2994">
        <v>0</v>
      </c>
      <c r="S388" s="2994">
        <v>0</v>
      </c>
      <c r="T388" s="2994">
        <v>0</v>
      </c>
      <c r="U388" s="2994">
        <v>0</v>
      </c>
      <c r="V388" s="2994">
        <v>0</v>
      </c>
      <c r="W388" s="2994">
        <v>0</v>
      </c>
      <c r="X388" s="2994">
        <v>0</v>
      </c>
      <c r="Y388" s="2994">
        <v>0</v>
      </c>
      <c r="Z388" s="2994">
        <v>0</v>
      </c>
      <c r="AA388" s="2994">
        <v>0</v>
      </c>
      <c r="AB388" s="2994">
        <v>0</v>
      </c>
      <c r="AC388" s="2994">
        <v>0</v>
      </c>
      <c r="AD388" s="2994">
        <v>0</v>
      </c>
      <c r="AE388" s="2994">
        <v>0</v>
      </c>
      <c r="AF388" s="2994">
        <v>0</v>
      </c>
      <c r="AG388" s="2994">
        <v>0</v>
      </c>
      <c r="AH388" s="2994">
        <v>0</v>
      </c>
      <c r="AI388" s="2994">
        <v>0</v>
      </c>
      <c r="AJ388" s="2994">
        <v>0</v>
      </c>
      <c r="AK388" s="2994">
        <v>0</v>
      </c>
      <c r="AL388" s="2994">
        <v>0</v>
      </c>
      <c r="AM388" s="2994">
        <v>0</v>
      </c>
      <c r="AN388" s="2994">
        <v>0</v>
      </c>
      <c r="AO388" s="2994">
        <v>0</v>
      </c>
      <c r="AP388" s="2994">
        <v>0</v>
      </c>
      <c r="AQ388" s="2994">
        <v>0</v>
      </c>
      <c r="AR388" s="2994">
        <v>0</v>
      </c>
      <c r="AS388" s="2994">
        <v>0</v>
      </c>
      <c r="AT388" s="2994">
        <v>0</v>
      </c>
      <c r="AU388" s="2994">
        <v>0</v>
      </c>
      <c r="AV388" s="2994">
        <v>0</v>
      </c>
      <c r="AW388" s="2994">
        <v>0</v>
      </c>
      <c r="AX388" s="2994">
        <v>0</v>
      </c>
      <c r="AY388" s="2994">
        <v>0</v>
      </c>
      <c r="AZ388" s="2994">
        <v>0</v>
      </c>
      <c r="BA388" s="2994">
        <v>0</v>
      </c>
      <c r="BB388" s="2994">
        <v>0</v>
      </c>
      <c r="BC388" s="2994">
        <v>0</v>
      </c>
      <c r="BD388" s="3471">
        <v>0</v>
      </c>
      <c r="BE388" s="3471">
        <v>0</v>
      </c>
      <c r="BF388" s="3471">
        <v>0</v>
      </c>
    </row>
    <row r="389" spans="1:58">
      <c r="A389" s="1817" t="str">
        <f t="shared" si="13"/>
        <v>Central AmericaFruit, stone nes</v>
      </c>
      <c r="B389" s="1818" t="s">
        <v>305</v>
      </c>
      <c r="C389" s="1818" t="s">
        <v>7326</v>
      </c>
      <c r="D389" s="3463" t="str">
        <f>VLOOKUP(B389,List_Yield!$G$4:$J$14,4,FALSE)</f>
        <v>Central America</v>
      </c>
      <c r="E389" s="3463" t="str">
        <f t="shared" si="12"/>
        <v>Central AmericaFruit, stone nes</v>
      </c>
      <c r="F389" s="2994">
        <v>0</v>
      </c>
      <c r="G389" s="2994">
        <v>0</v>
      </c>
      <c r="H389" s="2994">
        <v>0</v>
      </c>
      <c r="I389" s="2994">
        <v>0</v>
      </c>
      <c r="J389" s="2994">
        <v>0</v>
      </c>
      <c r="K389" s="2994">
        <v>0</v>
      </c>
      <c r="L389" s="2994">
        <v>0</v>
      </c>
      <c r="M389" s="2994">
        <v>0</v>
      </c>
      <c r="N389" s="2994">
        <v>0</v>
      </c>
      <c r="O389" s="2994">
        <v>0</v>
      </c>
      <c r="P389" s="2994">
        <v>0</v>
      </c>
      <c r="Q389" s="2994">
        <v>0</v>
      </c>
      <c r="R389" s="2994">
        <v>0</v>
      </c>
      <c r="S389" s="2994">
        <v>0</v>
      </c>
      <c r="T389" s="2994">
        <v>0</v>
      </c>
      <c r="U389" s="2994">
        <v>0</v>
      </c>
      <c r="V389" s="2994">
        <v>0</v>
      </c>
      <c r="W389" s="2994">
        <v>0</v>
      </c>
      <c r="X389" s="2994">
        <v>0</v>
      </c>
      <c r="Y389" s="2994">
        <v>0</v>
      </c>
      <c r="Z389" s="2994">
        <v>0</v>
      </c>
      <c r="AA389" s="2994">
        <v>0</v>
      </c>
      <c r="AB389" s="2994">
        <v>0</v>
      </c>
      <c r="AC389" s="2994">
        <v>0</v>
      </c>
      <c r="AD389" s="2994">
        <v>0</v>
      </c>
      <c r="AE389" s="2994">
        <v>0</v>
      </c>
      <c r="AF389" s="2994">
        <v>0</v>
      </c>
      <c r="AG389" s="2994">
        <v>0</v>
      </c>
      <c r="AH389" s="2994">
        <v>0</v>
      </c>
      <c r="AI389" s="2994">
        <v>0</v>
      </c>
      <c r="AJ389" s="2994">
        <v>0</v>
      </c>
      <c r="AK389" s="2994">
        <v>0</v>
      </c>
      <c r="AL389" s="2994">
        <v>0</v>
      </c>
      <c r="AM389" s="2994">
        <v>0</v>
      </c>
      <c r="AN389" s="2994">
        <v>0</v>
      </c>
      <c r="AO389" s="2994">
        <v>0</v>
      </c>
      <c r="AP389" s="2994">
        <v>0</v>
      </c>
      <c r="AQ389" s="2994">
        <v>0</v>
      </c>
      <c r="AR389" s="2994">
        <v>0</v>
      </c>
      <c r="AS389" s="2994">
        <v>0</v>
      </c>
      <c r="AT389" s="2994">
        <v>0</v>
      </c>
      <c r="AU389" s="2994">
        <v>0</v>
      </c>
      <c r="AV389" s="2994">
        <v>0</v>
      </c>
      <c r="AW389" s="2994">
        <v>0</v>
      </c>
      <c r="AX389" s="2994">
        <v>0</v>
      </c>
      <c r="AY389" s="2994">
        <v>0</v>
      </c>
      <c r="AZ389" s="2994">
        <v>0</v>
      </c>
      <c r="BA389" s="2994">
        <v>0</v>
      </c>
      <c r="BB389" s="2994">
        <v>0</v>
      </c>
      <c r="BC389" s="2994">
        <v>0</v>
      </c>
      <c r="BD389" s="3471">
        <v>0</v>
      </c>
      <c r="BE389" s="3471">
        <v>0</v>
      </c>
      <c r="BF389" s="3471">
        <v>0</v>
      </c>
    </row>
    <row r="390" spans="1:58">
      <c r="A390" s="1817" t="str">
        <f t="shared" si="13"/>
        <v>Central AmericaFruit, tropical fresh nes</v>
      </c>
      <c r="B390" s="1818" t="s">
        <v>305</v>
      </c>
      <c r="C390" s="1818" t="s">
        <v>7327</v>
      </c>
      <c r="D390" s="3463" t="str">
        <f>VLOOKUP(B390,List_Yield!$G$4:$J$14,4,FALSE)</f>
        <v>Central America</v>
      </c>
      <c r="E390" s="3463" t="str">
        <f t="shared" si="12"/>
        <v>Central AmericaFruit, tropical fresh nes</v>
      </c>
      <c r="F390" s="2994">
        <v>13.414300000000001</v>
      </c>
      <c r="G390" s="2994">
        <v>15.1351</v>
      </c>
      <c r="H390" s="2994">
        <v>15.5564</v>
      </c>
      <c r="I390" s="2994">
        <v>16.238900000000001</v>
      </c>
      <c r="J390" s="2994">
        <v>17.4878</v>
      </c>
      <c r="K390" s="2994">
        <v>18.1615</v>
      </c>
      <c r="L390" s="2994">
        <v>17.149999999999999</v>
      </c>
      <c r="M390" s="2994">
        <v>16.940999999999999</v>
      </c>
      <c r="N390" s="2994">
        <v>15.1136</v>
      </c>
      <c r="O390" s="2994">
        <v>13.7072</v>
      </c>
      <c r="P390" s="2994">
        <v>12.311999999999999</v>
      </c>
      <c r="Q390" s="2994">
        <v>11.292</v>
      </c>
      <c r="R390" s="2994">
        <v>11.6188</v>
      </c>
      <c r="S390" s="2994">
        <v>12.362299999999999</v>
      </c>
      <c r="T390" s="2994">
        <v>10.3828</v>
      </c>
      <c r="U390" s="2994">
        <v>10.457100000000001</v>
      </c>
      <c r="V390" s="2994">
        <v>8.6635000000000009</v>
      </c>
      <c r="W390" s="2994">
        <v>9.5121000000000002</v>
      </c>
      <c r="X390" s="2994">
        <v>9.2043999999999997</v>
      </c>
      <c r="Y390" s="2994">
        <v>10.737299999999999</v>
      </c>
      <c r="Z390" s="2994">
        <v>10.4674</v>
      </c>
      <c r="AA390" s="2994">
        <v>16.437000000000001</v>
      </c>
      <c r="AB390" s="2994">
        <v>15.2949</v>
      </c>
      <c r="AC390" s="2994">
        <v>16.708600000000001</v>
      </c>
      <c r="AD390" s="2994">
        <v>7.5640000000000001</v>
      </c>
      <c r="AE390" s="2994">
        <v>10.8857</v>
      </c>
      <c r="AF390" s="2994">
        <v>12.1896</v>
      </c>
      <c r="AG390" s="2994">
        <v>11.0915</v>
      </c>
      <c r="AH390" s="2994">
        <v>12.3352</v>
      </c>
      <c r="AI390" s="2994">
        <v>12.416499999999999</v>
      </c>
      <c r="AJ390" s="2994">
        <v>11.8903</v>
      </c>
      <c r="AK390" s="2994">
        <v>11.428100000000001</v>
      </c>
      <c r="AL390" s="2994">
        <v>11.9079</v>
      </c>
      <c r="AM390" s="2994">
        <v>11.3421</v>
      </c>
      <c r="AN390" s="2994">
        <v>11.1739</v>
      </c>
      <c r="AO390" s="2994">
        <v>11.208399999999999</v>
      </c>
      <c r="AP390" s="2994">
        <v>9.1549999999999994</v>
      </c>
      <c r="AQ390" s="2994">
        <v>9.8678000000000008</v>
      </c>
      <c r="AR390" s="2994">
        <v>10.2829</v>
      </c>
      <c r="AS390" s="2994">
        <v>9.8625000000000007</v>
      </c>
      <c r="AT390" s="2994">
        <v>9.8567</v>
      </c>
      <c r="AU390" s="2994">
        <v>9.9837000000000007</v>
      </c>
      <c r="AV390" s="2994">
        <v>9.8640000000000008</v>
      </c>
      <c r="AW390" s="2994">
        <v>9.8829999999999991</v>
      </c>
      <c r="AX390" s="2994">
        <v>9.9213000000000005</v>
      </c>
      <c r="AY390" s="2994">
        <v>9.8512000000000004</v>
      </c>
      <c r="AZ390" s="2994">
        <v>9.8614999999999995</v>
      </c>
      <c r="BA390" s="2994">
        <v>9.9580000000000002</v>
      </c>
      <c r="BB390" s="2994">
        <v>9.9982000000000006</v>
      </c>
      <c r="BC390" s="2994">
        <v>9.3611000000000004</v>
      </c>
      <c r="BD390" s="3471">
        <v>9.6763999999999992</v>
      </c>
      <c r="BE390" s="3471">
        <v>9.7904999999999998</v>
      </c>
      <c r="BF390" s="3471">
        <v>0</v>
      </c>
    </row>
    <row r="391" spans="1:58">
      <c r="A391" s="1817" t="str">
        <f t="shared" si="13"/>
        <v>Central AmericaGarlic</v>
      </c>
      <c r="B391" s="1818" t="s">
        <v>305</v>
      </c>
      <c r="C391" s="1818" t="s">
        <v>7328</v>
      </c>
      <c r="D391" s="3463" t="str">
        <f>VLOOKUP(B391,List_Yield!$G$4:$J$14,4,FALSE)</f>
        <v>Central America</v>
      </c>
      <c r="E391" s="3463" t="str">
        <f t="shared" si="12"/>
        <v>Central AmericaGarlic</v>
      </c>
      <c r="F391" s="2994">
        <v>2.9015</v>
      </c>
      <c r="G391" s="2994">
        <v>3.1295999999999999</v>
      </c>
      <c r="H391" s="2994">
        <v>3.1793</v>
      </c>
      <c r="I391" s="2994">
        <v>3.0556999999999999</v>
      </c>
      <c r="J391" s="2994">
        <v>3.1044999999999998</v>
      </c>
      <c r="K391" s="2994">
        <v>3.1196000000000002</v>
      </c>
      <c r="L391" s="2994">
        <v>4.7747000000000002</v>
      </c>
      <c r="M391" s="2994">
        <v>4.4553000000000003</v>
      </c>
      <c r="N391" s="2994">
        <v>4.3792999999999997</v>
      </c>
      <c r="O391" s="2994">
        <v>4.3897000000000004</v>
      </c>
      <c r="P391" s="2994">
        <v>4.8960999999999997</v>
      </c>
      <c r="Q391" s="2994">
        <v>5.1234999999999999</v>
      </c>
      <c r="R391" s="2994">
        <v>5.2089999999999996</v>
      </c>
      <c r="S391" s="2994">
        <v>4.7552000000000003</v>
      </c>
      <c r="T391" s="2994">
        <v>4.5426000000000002</v>
      </c>
      <c r="U391" s="2994">
        <v>4.6275000000000004</v>
      </c>
      <c r="V391" s="2994">
        <v>4.7675999999999998</v>
      </c>
      <c r="W391" s="2994">
        <v>5.9053000000000004</v>
      </c>
      <c r="X391" s="2994">
        <v>6.3869999999999996</v>
      </c>
      <c r="Y391" s="2994">
        <v>6.7233000000000001</v>
      </c>
      <c r="Z391" s="2994">
        <v>6.758</v>
      </c>
      <c r="AA391" s="2994">
        <v>7.1214000000000004</v>
      </c>
      <c r="AB391" s="2994">
        <v>7.3643999999999998</v>
      </c>
      <c r="AC391" s="2994">
        <v>7.4074</v>
      </c>
      <c r="AD391" s="2994">
        <v>7.7275999999999998</v>
      </c>
      <c r="AE391" s="2994">
        <v>7.1916000000000002</v>
      </c>
      <c r="AF391" s="2994">
        <v>7.2544000000000004</v>
      </c>
      <c r="AG391" s="2994">
        <v>7.2026000000000003</v>
      </c>
      <c r="AH391" s="2994">
        <v>6.5853999999999999</v>
      </c>
      <c r="AI391" s="2994">
        <v>6.9387999999999996</v>
      </c>
      <c r="AJ391" s="2994">
        <v>6.9428000000000001</v>
      </c>
      <c r="AK391" s="2994">
        <v>6.9992000000000001</v>
      </c>
      <c r="AL391" s="2994">
        <v>6.6402999999999999</v>
      </c>
      <c r="AM391" s="2994">
        <v>7.3472</v>
      </c>
      <c r="AN391" s="2994">
        <v>6.8204000000000002</v>
      </c>
      <c r="AO391" s="2994">
        <v>7.4724000000000004</v>
      </c>
      <c r="AP391" s="2994">
        <v>7.8792</v>
      </c>
      <c r="AQ391" s="2994">
        <v>7.1863999999999999</v>
      </c>
      <c r="AR391" s="2994">
        <v>7.2683999999999997</v>
      </c>
      <c r="AS391" s="2994">
        <v>7.2609000000000004</v>
      </c>
      <c r="AT391" s="2994">
        <v>8.0495000000000001</v>
      </c>
      <c r="AU391" s="2994">
        <v>8.1951000000000001</v>
      </c>
      <c r="AV391" s="2994">
        <v>7.9024999999999999</v>
      </c>
      <c r="AW391" s="2994">
        <v>7.9871999999999996</v>
      </c>
      <c r="AX391" s="2994">
        <v>8.6829999999999998</v>
      </c>
      <c r="AY391" s="2994">
        <v>8.3042999999999996</v>
      </c>
      <c r="AZ391" s="2994">
        <v>9.7960999999999991</v>
      </c>
      <c r="BA391" s="2994">
        <v>9.3841999999999999</v>
      </c>
      <c r="BB391" s="2994">
        <v>9.3931000000000004</v>
      </c>
      <c r="BC391" s="2994">
        <v>9.0281000000000002</v>
      </c>
      <c r="BD391" s="3471">
        <v>9.5090000000000003</v>
      </c>
      <c r="BE391" s="3471">
        <v>9.5663</v>
      </c>
      <c r="BF391" s="3471">
        <v>0</v>
      </c>
    </row>
    <row r="392" spans="1:58">
      <c r="A392" s="1817" t="str">
        <f t="shared" si="13"/>
        <v>Central AmericaGinger</v>
      </c>
      <c r="B392" s="1818" t="s">
        <v>305</v>
      </c>
      <c r="C392" s="1818" t="s">
        <v>7329</v>
      </c>
      <c r="D392" s="3463" t="str">
        <f>VLOOKUP(B392,List_Yield!$G$4:$J$14,4,FALSE)</f>
        <v>Central America</v>
      </c>
      <c r="E392" s="3463" t="str">
        <f t="shared" si="12"/>
        <v>Central AmericaGinger</v>
      </c>
      <c r="F392" s="2994">
        <v>0</v>
      </c>
      <c r="G392" s="2994">
        <v>0</v>
      </c>
      <c r="H392" s="2994">
        <v>0</v>
      </c>
      <c r="I392" s="2994">
        <v>0</v>
      </c>
      <c r="J392" s="2994">
        <v>0</v>
      </c>
      <c r="K392" s="2994">
        <v>0</v>
      </c>
      <c r="L392" s="2994">
        <v>0</v>
      </c>
      <c r="M392" s="2994">
        <v>0</v>
      </c>
      <c r="N392" s="2994">
        <v>0</v>
      </c>
      <c r="O392" s="2994">
        <v>0</v>
      </c>
      <c r="P392" s="2994">
        <v>0</v>
      </c>
      <c r="Q392" s="2994">
        <v>0</v>
      </c>
      <c r="R392" s="2994">
        <v>0</v>
      </c>
      <c r="S392" s="2994">
        <v>0</v>
      </c>
      <c r="T392" s="2994">
        <v>0</v>
      </c>
      <c r="U392" s="2994">
        <v>0</v>
      </c>
      <c r="V392" s="2994">
        <v>0</v>
      </c>
      <c r="W392" s="2994">
        <v>0</v>
      </c>
      <c r="X392" s="2994">
        <v>0</v>
      </c>
      <c r="Y392" s="2994">
        <v>0</v>
      </c>
      <c r="Z392" s="2994">
        <v>0</v>
      </c>
      <c r="AA392" s="2994">
        <v>0</v>
      </c>
      <c r="AB392" s="2994">
        <v>0</v>
      </c>
      <c r="AC392" s="2994">
        <v>0</v>
      </c>
      <c r="AD392" s="2994">
        <v>0</v>
      </c>
      <c r="AE392" s="2994">
        <v>13.1579</v>
      </c>
      <c r="AF392" s="2994">
        <v>13.1579</v>
      </c>
      <c r="AG392" s="2994">
        <v>12.962999999999999</v>
      </c>
      <c r="AH392" s="2994">
        <v>13.0435</v>
      </c>
      <c r="AI392" s="2994">
        <v>13</v>
      </c>
      <c r="AJ392" s="2994">
        <v>13</v>
      </c>
      <c r="AK392" s="2994">
        <v>13</v>
      </c>
      <c r="AL392" s="2994">
        <v>16</v>
      </c>
      <c r="AM392" s="2994">
        <v>17.333300000000001</v>
      </c>
      <c r="AN392" s="2994">
        <v>20</v>
      </c>
      <c r="AO392" s="2994">
        <v>12.993499999999999</v>
      </c>
      <c r="AP392" s="2994">
        <v>13</v>
      </c>
      <c r="AQ392" s="2994">
        <v>12.997</v>
      </c>
      <c r="AR392" s="2994">
        <v>11.1364</v>
      </c>
      <c r="AS392" s="2994">
        <v>10.4931</v>
      </c>
      <c r="AT392" s="2994">
        <v>8.3763000000000005</v>
      </c>
      <c r="AU392" s="2994">
        <v>8.8530999999999995</v>
      </c>
      <c r="AV392" s="2994">
        <v>8.1658000000000008</v>
      </c>
      <c r="AW392" s="2994">
        <v>12.1455</v>
      </c>
      <c r="AX392" s="2994">
        <v>16.2879</v>
      </c>
      <c r="AY392" s="2994">
        <v>21.358599999999999</v>
      </c>
      <c r="AZ392" s="2994">
        <v>9.7569999999999997</v>
      </c>
      <c r="BA392" s="2994">
        <v>14.545500000000001</v>
      </c>
      <c r="BB392" s="2994">
        <v>13.172700000000001</v>
      </c>
      <c r="BC392" s="2994">
        <v>13.3071</v>
      </c>
      <c r="BD392" s="3471">
        <v>13.7339</v>
      </c>
      <c r="BE392" s="3471">
        <v>11.130699999999999</v>
      </c>
      <c r="BF392" s="3471">
        <v>0</v>
      </c>
    </row>
    <row r="393" spans="1:58">
      <c r="A393" s="1817" t="str">
        <f t="shared" si="13"/>
        <v>Central AmericaGooseberries</v>
      </c>
      <c r="B393" s="1818" t="s">
        <v>305</v>
      </c>
      <c r="C393" s="1818" t="s">
        <v>7330</v>
      </c>
      <c r="D393" s="3463" t="str">
        <f>VLOOKUP(B393,List_Yield!$G$4:$J$14,4,FALSE)</f>
        <v>Central America</v>
      </c>
      <c r="E393" s="3463" t="str">
        <f t="shared" si="12"/>
        <v>Central AmericaGooseberries</v>
      </c>
      <c r="F393" s="2994">
        <v>0</v>
      </c>
      <c r="G393" s="2994">
        <v>0</v>
      </c>
      <c r="H393" s="2994">
        <v>0</v>
      </c>
      <c r="I393" s="2994">
        <v>0</v>
      </c>
      <c r="J393" s="2994">
        <v>0</v>
      </c>
      <c r="K393" s="2994">
        <v>0</v>
      </c>
      <c r="L393" s="2994">
        <v>0</v>
      </c>
      <c r="M393" s="2994">
        <v>0</v>
      </c>
      <c r="N393" s="2994">
        <v>0</v>
      </c>
      <c r="O393" s="2994">
        <v>0</v>
      </c>
      <c r="P393" s="2994">
        <v>0</v>
      </c>
      <c r="Q393" s="2994">
        <v>0</v>
      </c>
      <c r="R393" s="2994">
        <v>0</v>
      </c>
      <c r="S393" s="2994">
        <v>0</v>
      </c>
      <c r="T393" s="2994">
        <v>0</v>
      </c>
      <c r="U393" s="2994">
        <v>0</v>
      </c>
      <c r="V393" s="2994">
        <v>0</v>
      </c>
      <c r="W393" s="2994">
        <v>0</v>
      </c>
      <c r="X393" s="2994">
        <v>0</v>
      </c>
      <c r="Y393" s="2994">
        <v>0</v>
      </c>
      <c r="Z393" s="2994">
        <v>0</v>
      </c>
      <c r="AA393" s="2994">
        <v>0</v>
      </c>
      <c r="AB393" s="2994">
        <v>0</v>
      </c>
      <c r="AC393" s="2994">
        <v>0</v>
      </c>
      <c r="AD393" s="2994">
        <v>0</v>
      </c>
      <c r="AE393" s="2994">
        <v>0</v>
      </c>
      <c r="AF393" s="2994">
        <v>0</v>
      </c>
      <c r="AG393" s="2994">
        <v>0</v>
      </c>
      <c r="AH393" s="2994">
        <v>0</v>
      </c>
      <c r="AI393" s="2994">
        <v>0</v>
      </c>
      <c r="AJ393" s="2994">
        <v>0</v>
      </c>
      <c r="AK393" s="2994">
        <v>0</v>
      </c>
      <c r="AL393" s="2994">
        <v>0</v>
      </c>
      <c r="AM393" s="2994">
        <v>0</v>
      </c>
      <c r="AN393" s="2994">
        <v>0</v>
      </c>
      <c r="AO393" s="2994">
        <v>0</v>
      </c>
      <c r="AP393" s="2994">
        <v>0</v>
      </c>
      <c r="AQ393" s="2994">
        <v>0</v>
      </c>
      <c r="AR393" s="2994">
        <v>0</v>
      </c>
      <c r="AS393" s="2994">
        <v>0</v>
      </c>
      <c r="AT393" s="2994">
        <v>0</v>
      </c>
      <c r="AU393" s="2994">
        <v>0</v>
      </c>
      <c r="AV393" s="2994">
        <v>0</v>
      </c>
      <c r="AW393" s="2994">
        <v>0</v>
      </c>
      <c r="AX393" s="2994">
        <v>0</v>
      </c>
      <c r="AY393" s="2994">
        <v>0</v>
      </c>
      <c r="AZ393" s="2994">
        <v>0</v>
      </c>
      <c r="BA393" s="2994">
        <v>0</v>
      </c>
      <c r="BB393" s="2994">
        <v>0</v>
      </c>
      <c r="BC393" s="2994">
        <v>0</v>
      </c>
      <c r="BD393" s="3471">
        <v>0</v>
      </c>
      <c r="BE393" s="3471">
        <v>0</v>
      </c>
      <c r="BF393" s="3471">
        <v>0</v>
      </c>
    </row>
    <row r="394" spans="1:58">
      <c r="A394" s="1817" t="str">
        <f t="shared" si="13"/>
        <v>Central AmericaGrain, mixed</v>
      </c>
      <c r="B394" s="1818" t="s">
        <v>305</v>
      </c>
      <c r="C394" s="1818" t="s">
        <v>7331</v>
      </c>
      <c r="D394" s="3463" t="str">
        <f>VLOOKUP(B394,List_Yield!$G$4:$J$14,4,FALSE)</f>
        <v>Central America</v>
      </c>
      <c r="E394" s="3463" t="str">
        <f t="shared" si="12"/>
        <v>Central AmericaGrain, mixed</v>
      </c>
      <c r="F394" s="2994">
        <v>0</v>
      </c>
      <c r="G394" s="2994">
        <v>0</v>
      </c>
      <c r="H394" s="2994">
        <v>0</v>
      </c>
      <c r="I394" s="2994">
        <v>0</v>
      </c>
      <c r="J394" s="2994">
        <v>0</v>
      </c>
      <c r="K394" s="2994">
        <v>0</v>
      </c>
      <c r="L394" s="2994">
        <v>0</v>
      </c>
      <c r="M394" s="2994">
        <v>0</v>
      </c>
      <c r="N394" s="2994">
        <v>0</v>
      </c>
      <c r="O394" s="2994">
        <v>0</v>
      </c>
      <c r="P394" s="2994">
        <v>0</v>
      </c>
      <c r="Q394" s="2994">
        <v>0</v>
      </c>
      <c r="R394" s="2994">
        <v>0</v>
      </c>
      <c r="S394" s="2994">
        <v>0</v>
      </c>
      <c r="T394" s="2994">
        <v>0</v>
      </c>
      <c r="U394" s="2994">
        <v>0</v>
      </c>
      <c r="V394" s="2994">
        <v>0</v>
      </c>
      <c r="W394" s="2994">
        <v>0</v>
      </c>
      <c r="X394" s="2994">
        <v>0</v>
      </c>
      <c r="Y394" s="2994">
        <v>0</v>
      </c>
      <c r="Z394" s="2994">
        <v>0</v>
      </c>
      <c r="AA394" s="2994">
        <v>0</v>
      </c>
      <c r="AB394" s="2994">
        <v>0</v>
      </c>
      <c r="AC394" s="2994">
        <v>0</v>
      </c>
      <c r="AD394" s="2994">
        <v>0</v>
      </c>
      <c r="AE394" s="2994">
        <v>0</v>
      </c>
      <c r="AF394" s="2994">
        <v>0</v>
      </c>
      <c r="AG394" s="2994">
        <v>0</v>
      </c>
      <c r="AH394" s="2994">
        <v>0</v>
      </c>
      <c r="AI394" s="2994">
        <v>0</v>
      </c>
      <c r="AJ394" s="2994">
        <v>0</v>
      </c>
      <c r="AK394" s="2994">
        <v>0</v>
      </c>
      <c r="AL394" s="2994">
        <v>0</v>
      </c>
      <c r="AM394" s="2994">
        <v>0</v>
      </c>
      <c r="AN394" s="2994">
        <v>0</v>
      </c>
      <c r="AO394" s="2994">
        <v>0</v>
      </c>
      <c r="AP394" s="2994">
        <v>0</v>
      </c>
      <c r="AQ394" s="2994">
        <v>0</v>
      </c>
      <c r="AR394" s="2994">
        <v>0</v>
      </c>
      <c r="AS394" s="2994">
        <v>0</v>
      </c>
      <c r="AT394" s="2994">
        <v>0</v>
      </c>
      <c r="AU394" s="2994">
        <v>0</v>
      </c>
      <c r="AV394" s="2994">
        <v>0</v>
      </c>
      <c r="AW394" s="2994">
        <v>0</v>
      </c>
      <c r="AX394" s="2994">
        <v>0</v>
      </c>
      <c r="AY394" s="2994">
        <v>0</v>
      </c>
      <c r="AZ394" s="2994">
        <v>0</v>
      </c>
      <c r="BA394" s="2994">
        <v>0</v>
      </c>
      <c r="BB394" s="2994">
        <v>0</v>
      </c>
      <c r="BC394" s="2994">
        <v>0</v>
      </c>
      <c r="BD394" s="3471">
        <v>0</v>
      </c>
      <c r="BE394" s="3471">
        <v>0</v>
      </c>
      <c r="BF394" s="3471">
        <v>0</v>
      </c>
    </row>
    <row r="395" spans="1:58">
      <c r="A395" s="1817" t="str">
        <f t="shared" si="13"/>
        <v>Central AmericaGrapefruit (inc. pomelos)</v>
      </c>
      <c r="B395" s="1818" t="s">
        <v>305</v>
      </c>
      <c r="C395" s="1818" t="s">
        <v>1351</v>
      </c>
      <c r="D395" s="3463" t="str">
        <f>VLOOKUP(B395,List_Yield!$G$4:$J$14,4,FALSE)</f>
        <v>Central America</v>
      </c>
      <c r="E395" s="3463" t="str">
        <f t="shared" si="12"/>
        <v>Central AmericaGrapefruit (inc. pomelos)</v>
      </c>
      <c r="F395" s="2994">
        <v>15.565200000000001</v>
      </c>
      <c r="G395" s="2994">
        <v>10.9292</v>
      </c>
      <c r="H395" s="2994">
        <v>9.5550999999999995</v>
      </c>
      <c r="I395" s="2994">
        <v>11.4147</v>
      </c>
      <c r="J395" s="2994">
        <v>10.3027</v>
      </c>
      <c r="K395" s="2994">
        <v>10.103199999999999</v>
      </c>
      <c r="L395" s="2994">
        <v>10.1807</v>
      </c>
      <c r="M395" s="2994">
        <v>10.1264</v>
      </c>
      <c r="N395" s="2994">
        <v>14.889900000000001</v>
      </c>
      <c r="O395" s="2994">
        <v>12.049099999999999</v>
      </c>
      <c r="P395" s="2994">
        <v>12.585900000000001</v>
      </c>
      <c r="Q395" s="2994">
        <v>12.3423</v>
      </c>
      <c r="R395" s="2994">
        <v>11.6968</v>
      </c>
      <c r="S395" s="2994">
        <v>13.688000000000001</v>
      </c>
      <c r="T395" s="2994">
        <v>16.104600000000001</v>
      </c>
      <c r="U395" s="2994">
        <v>17.567</v>
      </c>
      <c r="V395" s="2994">
        <v>13.988300000000001</v>
      </c>
      <c r="W395" s="2994">
        <v>20.214600000000001</v>
      </c>
      <c r="X395" s="2994">
        <v>17.9998</v>
      </c>
      <c r="Y395" s="2994">
        <v>15.5876</v>
      </c>
      <c r="Z395" s="2994">
        <v>15.192399999999999</v>
      </c>
      <c r="AA395" s="2994">
        <v>16.862200000000001</v>
      </c>
      <c r="AB395" s="2994">
        <v>16.1051</v>
      </c>
      <c r="AC395" s="2994">
        <v>18.535299999999999</v>
      </c>
      <c r="AD395" s="2994">
        <v>15.2559</v>
      </c>
      <c r="AE395" s="2994">
        <v>18.2913</v>
      </c>
      <c r="AF395" s="2994">
        <v>16.238199999999999</v>
      </c>
      <c r="AG395" s="2994">
        <v>16.194299999999998</v>
      </c>
      <c r="AH395" s="2994">
        <v>13.9207</v>
      </c>
      <c r="AI395" s="2994">
        <v>14.907999999999999</v>
      </c>
      <c r="AJ395" s="2994">
        <v>11.625</v>
      </c>
      <c r="AK395" s="2994">
        <v>11.759399999999999</v>
      </c>
      <c r="AL395" s="2994">
        <v>11.8691</v>
      </c>
      <c r="AM395" s="2994">
        <v>12.8034</v>
      </c>
      <c r="AN395" s="2994">
        <v>13.2303</v>
      </c>
      <c r="AO395" s="2994">
        <v>17.921600000000002</v>
      </c>
      <c r="AP395" s="2994">
        <v>17.923500000000001</v>
      </c>
      <c r="AQ395" s="2994">
        <v>14.7567</v>
      </c>
      <c r="AR395" s="2994">
        <v>15.295199999999999</v>
      </c>
      <c r="AS395" s="2994">
        <v>16.8034</v>
      </c>
      <c r="AT395" s="2994">
        <v>19.558</v>
      </c>
      <c r="AU395" s="2994">
        <v>18.922899999999998</v>
      </c>
      <c r="AV395" s="2994">
        <v>21.1706</v>
      </c>
      <c r="AW395" s="2994">
        <v>22.8508</v>
      </c>
      <c r="AX395" s="2994">
        <v>21.334599999999998</v>
      </c>
      <c r="AY395" s="2994">
        <v>22.973400000000002</v>
      </c>
      <c r="AZ395" s="2994">
        <v>18.173300000000001</v>
      </c>
      <c r="BA395" s="2994">
        <v>21.6767</v>
      </c>
      <c r="BB395" s="2994">
        <v>21.178000000000001</v>
      </c>
      <c r="BC395" s="2994">
        <v>20.5457</v>
      </c>
      <c r="BD395" s="3471">
        <v>20.801300000000001</v>
      </c>
      <c r="BE395" s="3471">
        <v>21.863700000000001</v>
      </c>
      <c r="BF395" s="3471">
        <v>0</v>
      </c>
    </row>
    <row r="396" spans="1:58">
      <c r="A396" s="1817" t="str">
        <f t="shared" si="13"/>
        <v>Central AmericaGrapes</v>
      </c>
      <c r="B396" s="1818" t="s">
        <v>305</v>
      </c>
      <c r="C396" s="1818" t="s">
        <v>1352</v>
      </c>
      <c r="D396" s="3463" t="str">
        <f>VLOOKUP(B396,List_Yield!$G$4:$J$14,4,FALSE)</f>
        <v>Central America</v>
      </c>
      <c r="E396" s="3463" t="str">
        <f t="shared" si="12"/>
        <v>Central AmericaGrapes</v>
      </c>
      <c r="F396" s="2994">
        <v>5.9673999999999996</v>
      </c>
      <c r="G396" s="2994">
        <v>5.9294000000000002</v>
      </c>
      <c r="H396" s="2994">
        <v>6.2138</v>
      </c>
      <c r="I396" s="2994">
        <v>6.4779</v>
      </c>
      <c r="J396" s="2994">
        <v>7.0978000000000003</v>
      </c>
      <c r="K396" s="2994">
        <v>7.2557</v>
      </c>
      <c r="L396" s="2994">
        <v>6.8964999999999996</v>
      </c>
      <c r="M396" s="2994">
        <v>7.3716999999999997</v>
      </c>
      <c r="N396" s="2994">
        <v>6.8426999999999998</v>
      </c>
      <c r="O396" s="2994">
        <v>8.9895999999999994</v>
      </c>
      <c r="P396" s="2994">
        <v>8.4228000000000005</v>
      </c>
      <c r="Q396" s="2994">
        <v>8.8068000000000008</v>
      </c>
      <c r="R396" s="2994">
        <v>9.0239999999999991</v>
      </c>
      <c r="S396" s="2994">
        <v>9.1454000000000004</v>
      </c>
      <c r="T396" s="2994">
        <v>9.9288000000000007</v>
      </c>
      <c r="U396" s="2994">
        <v>9.6036000000000001</v>
      </c>
      <c r="V396" s="2994">
        <v>9.2825000000000006</v>
      </c>
      <c r="W396" s="2994">
        <v>10.436500000000001</v>
      </c>
      <c r="X396" s="2994">
        <v>10.4427</v>
      </c>
      <c r="Y396" s="2994">
        <v>9.4314999999999998</v>
      </c>
      <c r="Z396" s="2994">
        <v>10.884600000000001</v>
      </c>
      <c r="AA396" s="2994">
        <v>10.545</v>
      </c>
      <c r="AB396" s="2994">
        <v>10.517099999999999</v>
      </c>
      <c r="AC396" s="2994">
        <v>8.3988999999999994</v>
      </c>
      <c r="AD396" s="2994">
        <v>9.4574999999999996</v>
      </c>
      <c r="AE396" s="2994">
        <v>9.0139999999999993</v>
      </c>
      <c r="AF396" s="2994">
        <v>9.2980999999999998</v>
      </c>
      <c r="AG396" s="2994">
        <v>10.433999999999999</v>
      </c>
      <c r="AH396" s="2994">
        <v>9.8895</v>
      </c>
      <c r="AI396" s="2994">
        <v>9.0305999999999997</v>
      </c>
      <c r="AJ396" s="2994">
        <v>11.4099</v>
      </c>
      <c r="AK396" s="2994">
        <v>12.0883</v>
      </c>
      <c r="AL396" s="2994">
        <v>10.779400000000001</v>
      </c>
      <c r="AM396" s="2994">
        <v>12.574299999999999</v>
      </c>
      <c r="AN396" s="2994">
        <v>10.9346</v>
      </c>
      <c r="AO396" s="2994">
        <v>9.6722000000000001</v>
      </c>
      <c r="AP396" s="2994">
        <v>11.782</v>
      </c>
      <c r="AQ396" s="2994">
        <v>11.9924</v>
      </c>
      <c r="AR396" s="2994">
        <v>11.802199999999999</v>
      </c>
      <c r="AS396" s="2994">
        <v>9.3874999999999993</v>
      </c>
      <c r="AT396" s="2994">
        <v>11.4343</v>
      </c>
      <c r="AU396" s="2994">
        <v>10.782299999999999</v>
      </c>
      <c r="AV396" s="2994">
        <v>11.2646</v>
      </c>
      <c r="AW396" s="2994">
        <v>8.984</v>
      </c>
      <c r="AX396" s="2994">
        <v>11.632400000000001</v>
      </c>
      <c r="AY396" s="2994">
        <v>8.0367999999999995</v>
      </c>
      <c r="AZ396" s="2994">
        <v>11.677300000000001</v>
      </c>
      <c r="BA396" s="2994">
        <v>11.343999999999999</v>
      </c>
      <c r="BB396" s="2994">
        <v>10.2699</v>
      </c>
      <c r="BC396" s="2994">
        <v>10.8725</v>
      </c>
      <c r="BD396" s="3471">
        <v>9.9735999999999994</v>
      </c>
      <c r="BE396" s="3471">
        <v>13.284599999999999</v>
      </c>
      <c r="BF396" s="3471">
        <v>0</v>
      </c>
    </row>
    <row r="397" spans="1:58">
      <c r="A397" s="1817" t="str">
        <f t="shared" si="13"/>
        <v>Central AmericaGroundnuts, with shell</v>
      </c>
      <c r="B397" s="1818" t="s">
        <v>305</v>
      </c>
      <c r="C397" s="1818" t="s">
        <v>1353</v>
      </c>
      <c r="D397" s="3463" t="str">
        <f>VLOOKUP(B397,List_Yield!$G$4:$J$14,4,FALSE)</f>
        <v>Central America</v>
      </c>
      <c r="E397" s="3463" t="str">
        <f t="shared" si="12"/>
        <v>Central AmericaGroundnuts, with shell</v>
      </c>
      <c r="F397" s="2994">
        <v>1.2513000000000001</v>
      </c>
      <c r="G397" s="2994">
        <v>1.2604</v>
      </c>
      <c r="H397" s="2994">
        <v>1.2405999999999999</v>
      </c>
      <c r="I397" s="2994">
        <v>1.2634000000000001</v>
      </c>
      <c r="J397" s="2994">
        <v>1.3310999999999999</v>
      </c>
      <c r="K397" s="2994">
        <v>1.4363999999999999</v>
      </c>
      <c r="L397" s="2994">
        <v>1.2431000000000001</v>
      </c>
      <c r="M397" s="2994">
        <v>1.2854000000000001</v>
      </c>
      <c r="N397" s="2994">
        <v>1.3634999999999999</v>
      </c>
      <c r="O397" s="2994">
        <v>1.3926000000000001</v>
      </c>
      <c r="P397" s="2994">
        <v>1.3536999999999999</v>
      </c>
      <c r="Q397" s="2994">
        <v>1.4537</v>
      </c>
      <c r="R397" s="2994">
        <v>1.4381999999999999</v>
      </c>
      <c r="S397" s="2994">
        <v>1.3504</v>
      </c>
      <c r="T397" s="2994">
        <v>1.1558999999999999</v>
      </c>
      <c r="U397" s="2994">
        <v>1.3289</v>
      </c>
      <c r="V397" s="2994">
        <v>1.3816999999999999</v>
      </c>
      <c r="W397" s="2994">
        <v>1.5064</v>
      </c>
      <c r="X397" s="2994">
        <v>1.0814999999999999</v>
      </c>
      <c r="Y397" s="2994">
        <v>1.2838000000000001</v>
      </c>
      <c r="Z397" s="2994">
        <v>1.2511000000000001</v>
      </c>
      <c r="AA397" s="2994">
        <v>1.3643000000000001</v>
      </c>
      <c r="AB397" s="2994">
        <v>2.0076000000000001</v>
      </c>
      <c r="AC397" s="2994">
        <v>1.1840999999999999</v>
      </c>
      <c r="AD397" s="2994">
        <v>1.1449</v>
      </c>
      <c r="AE397" s="2994">
        <v>1.1513</v>
      </c>
      <c r="AF397" s="2994">
        <v>1.0477000000000001</v>
      </c>
      <c r="AG397" s="2994">
        <v>1.2222999999999999</v>
      </c>
      <c r="AH397" s="2994">
        <v>1.2881</v>
      </c>
      <c r="AI397" s="2994">
        <v>1.3090999999999999</v>
      </c>
      <c r="AJ397" s="2994">
        <v>1.3334999999999999</v>
      </c>
      <c r="AK397" s="2994">
        <v>1.3411</v>
      </c>
      <c r="AL397" s="2994">
        <v>1.4126000000000001</v>
      </c>
      <c r="AM397" s="2994">
        <v>1.6849000000000001</v>
      </c>
      <c r="AN397" s="2994">
        <v>1.4628000000000001</v>
      </c>
      <c r="AO397" s="2994">
        <v>1.587</v>
      </c>
      <c r="AP397" s="2994">
        <v>1.5891999999999999</v>
      </c>
      <c r="AQ397" s="2994">
        <v>1.6069</v>
      </c>
      <c r="AR397" s="2994">
        <v>1.9988999999999999</v>
      </c>
      <c r="AS397" s="2994">
        <v>2.0758000000000001</v>
      </c>
      <c r="AT397" s="2994">
        <v>2.1591999999999998</v>
      </c>
      <c r="AU397" s="2994">
        <v>2.0339</v>
      </c>
      <c r="AV397" s="2994">
        <v>3.0253000000000001</v>
      </c>
      <c r="AW397" s="2994">
        <v>2.653</v>
      </c>
      <c r="AX397" s="2994">
        <v>3.0743</v>
      </c>
      <c r="AY397" s="2994">
        <v>2.9577</v>
      </c>
      <c r="AZ397" s="2994">
        <v>2.9125000000000001</v>
      </c>
      <c r="BA397" s="2994">
        <v>3.0211000000000001</v>
      </c>
      <c r="BB397" s="2994">
        <v>2.9535999999999998</v>
      </c>
      <c r="BC397" s="2994">
        <v>3.0165999999999999</v>
      </c>
      <c r="BD397" s="3471">
        <v>2.726</v>
      </c>
      <c r="BE397" s="3471">
        <v>3.3224999999999998</v>
      </c>
      <c r="BF397" s="3471">
        <v>2.7968000000000002</v>
      </c>
    </row>
    <row r="398" spans="1:58">
      <c r="A398" s="1817" t="str">
        <f t="shared" si="13"/>
        <v>Central AmericaHazelnuts, with shell</v>
      </c>
      <c r="B398" s="1818" t="s">
        <v>305</v>
      </c>
      <c r="C398" s="1818" t="s">
        <v>7332</v>
      </c>
      <c r="D398" s="3463" t="str">
        <f>VLOOKUP(B398,List_Yield!$G$4:$J$14,4,FALSE)</f>
        <v>Central America</v>
      </c>
      <c r="E398" s="3463" t="str">
        <f t="shared" si="12"/>
        <v>Central AmericaHazelnuts, with shell</v>
      </c>
      <c r="F398" s="2994">
        <v>0</v>
      </c>
      <c r="G398" s="2994">
        <v>0</v>
      </c>
      <c r="H398" s="2994">
        <v>0</v>
      </c>
      <c r="I398" s="2994">
        <v>0</v>
      </c>
      <c r="J398" s="2994">
        <v>0</v>
      </c>
      <c r="K398" s="2994">
        <v>0</v>
      </c>
      <c r="L398" s="2994">
        <v>0</v>
      </c>
      <c r="M398" s="2994">
        <v>0</v>
      </c>
      <c r="N398" s="2994">
        <v>0</v>
      </c>
      <c r="O398" s="2994">
        <v>0</v>
      </c>
      <c r="P398" s="2994">
        <v>0</v>
      </c>
      <c r="Q398" s="2994">
        <v>0</v>
      </c>
      <c r="R398" s="2994">
        <v>0</v>
      </c>
      <c r="S398" s="2994">
        <v>0</v>
      </c>
      <c r="T398" s="2994">
        <v>0</v>
      </c>
      <c r="U398" s="2994">
        <v>0</v>
      </c>
      <c r="V398" s="2994">
        <v>0</v>
      </c>
      <c r="W398" s="2994">
        <v>0</v>
      </c>
      <c r="X398" s="2994">
        <v>0</v>
      </c>
      <c r="Y398" s="2994">
        <v>0</v>
      </c>
      <c r="Z398" s="2994">
        <v>0</v>
      </c>
      <c r="AA398" s="2994">
        <v>0</v>
      </c>
      <c r="AB398" s="2994">
        <v>0</v>
      </c>
      <c r="AC398" s="2994">
        <v>0</v>
      </c>
      <c r="AD398" s="2994">
        <v>0</v>
      </c>
      <c r="AE398" s="2994">
        <v>0</v>
      </c>
      <c r="AF398" s="2994">
        <v>0</v>
      </c>
      <c r="AG398" s="2994">
        <v>0</v>
      </c>
      <c r="AH398" s="2994">
        <v>0</v>
      </c>
      <c r="AI398" s="2994">
        <v>0</v>
      </c>
      <c r="AJ398" s="2994">
        <v>0</v>
      </c>
      <c r="AK398" s="2994">
        <v>0</v>
      </c>
      <c r="AL398" s="2994">
        <v>0</v>
      </c>
      <c r="AM398" s="2994">
        <v>0</v>
      </c>
      <c r="AN398" s="2994">
        <v>0</v>
      </c>
      <c r="AO398" s="2994">
        <v>0</v>
      </c>
      <c r="AP398" s="2994">
        <v>0</v>
      </c>
      <c r="AQ398" s="2994">
        <v>0</v>
      </c>
      <c r="AR398" s="2994">
        <v>0</v>
      </c>
      <c r="AS398" s="2994">
        <v>0</v>
      </c>
      <c r="AT398" s="2994">
        <v>0</v>
      </c>
      <c r="AU398" s="2994">
        <v>0</v>
      </c>
      <c r="AV398" s="2994">
        <v>0</v>
      </c>
      <c r="AW398" s="2994">
        <v>0</v>
      </c>
      <c r="AX398" s="2994">
        <v>0</v>
      </c>
      <c r="AY398" s="2994">
        <v>0</v>
      </c>
      <c r="AZ398" s="2994">
        <v>0</v>
      </c>
      <c r="BA398" s="2994">
        <v>0</v>
      </c>
      <c r="BB398" s="2994">
        <v>0</v>
      </c>
      <c r="BC398" s="2994">
        <v>0</v>
      </c>
      <c r="BD398" s="3471">
        <v>0</v>
      </c>
      <c r="BE398" s="3471">
        <v>0</v>
      </c>
      <c r="BF398" s="3471">
        <v>0</v>
      </c>
    </row>
    <row r="399" spans="1:58">
      <c r="A399" s="1817" t="str">
        <f t="shared" si="13"/>
        <v>Central AmericaHemp tow waste</v>
      </c>
      <c r="B399" s="1818" t="s">
        <v>305</v>
      </c>
      <c r="C399" s="1818" t="s">
        <v>7333</v>
      </c>
      <c r="D399" s="3463" t="str">
        <f>VLOOKUP(B399,List_Yield!$G$4:$J$14,4,FALSE)</f>
        <v>Central America</v>
      </c>
      <c r="E399" s="3463" t="str">
        <f t="shared" si="12"/>
        <v>Central AmericaHemp tow waste</v>
      </c>
      <c r="F399" s="2994">
        <v>0</v>
      </c>
      <c r="G399" s="2994">
        <v>0</v>
      </c>
      <c r="H399" s="2994">
        <v>0</v>
      </c>
      <c r="I399" s="2994">
        <v>0</v>
      </c>
      <c r="J399" s="2994">
        <v>0</v>
      </c>
      <c r="K399" s="2994">
        <v>0</v>
      </c>
      <c r="L399" s="2994">
        <v>0</v>
      </c>
      <c r="M399" s="2994">
        <v>0</v>
      </c>
      <c r="N399" s="2994">
        <v>0</v>
      </c>
      <c r="O399" s="2994">
        <v>0</v>
      </c>
      <c r="P399" s="2994">
        <v>0</v>
      </c>
      <c r="Q399" s="2994">
        <v>0</v>
      </c>
      <c r="R399" s="2994">
        <v>0</v>
      </c>
      <c r="S399" s="2994">
        <v>0</v>
      </c>
      <c r="T399" s="2994">
        <v>0</v>
      </c>
      <c r="U399" s="2994">
        <v>0</v>
      </c>
      <c r="V399" s="2994">
        <v>0</v>
      </c>
      <c r="W399" s="2994">
        <v>0</v>
      </c>
      <c r="X399" s="2994">
        <v>0</v>
      </c>
      <c r="Y399" s="2994">
        <v>0</v>
      </c>
      <c r="Z399" s="2994">
        <v>0</v>
      </c>
      <c r="AA399" s="2994">
        <v>0</v>
      </c>
      <c r="AB399" s="2994">
        <v>0</v>
      </c>
      <c r="AC399" s="2994">
        <v>0</v>
      </c>
      <c r="AD399" s="2994">
        <v>0</v>
      </c>
      <c r="AE399" s="2994">
        <v>0</v>
      </c>
      <c r="AF399" s="2994">
        <v>0</v>
      </c>
      <c r="AG399" s="2994">
        <v>0</v>
      </c>
      <c r="AH399" s="2994">
        <v>0</v>
      </c>
      <c r="AI399" s="2994">
        <v>0</v>
      </c>
      <c r="AJ399" s="2994">
        <v>0</v>
      </c>
      <c r="AK399" s="2994">
        <v>0</v>
      </c>
      <c r="AL399" s="2994">
        <v>0</v>
      </c>
      <c r="AM399" s="2994">
        <v>0</v>
      </c>
      <c r="AN399" s="2994">
        <v>0</v>
      </c>
      <c r="AO399" s="2994">
        <v>0</v>
      </c>
      <c r="AP399" s="2994">
        <v>0</v>
      </c>
      <c r="AQ399" s="2994">
        <v>0</v>
      </c>
      <c r="AR399" s="2994">
        <v>0</v>
      </c>
      <c r="AS399" s="2994">
        <v>0</v>
      </c>
      <c r="AT399" s="2994">
        <v>0</v>
      </c>
      <c r="AU399" s="2994">
        <v>0</v>
      </c>
      <c r="AV399" s="2994">
        <v>0</v>
      </c>
      <c r="AW399" s="2994">
        <v>0</v>
      </c>
      <c r="AX399" s="2994">
        <v>0</v>
      </c>
      <c r="AY399" s="2994">
        <v>0</v>
      </c>
      <c r="AZ399" s="2994">
        <v>0</v>
      </c>
      <c r="BA399" s="2994">
        <v>0</v>
      </c>
      <c r="BB399" s="2994">
        <v>0</v>
      </c>
      <c r="BC399" s="2994">
        <v>0</v>
      </c>
      <c r="BD399" s="3471">
        <v>0</v>
      </c>
      <c r="BE399" s="3471">
        <v>0</v>
      </c>
      <c r="BF399" s="3471">
        <v>0</v>
      </c>
    </row>
    <row r="400" spans="1:58">
      <c r="A400" s="1817" t="str">
        <f t="shared" si="13"/>
        <v>Central AmericaHempseed</v>
      </c>
      <c r="B400" s="1818" t="s">
        <v>305</v>
      </c>
      <c r="C400" s="1818" t="s">
        <v>7334</v>
      </c>
      <c r="D400" s="3463" t="str">
        <f>VLOOKUP(B400,List_Yield!$G$4:$J$14,4,FALSE)</f>
        <v>Central America</v>
      </c>
      <c r="E400" s="3463" t="str">
        <f t="shared" si="12"/>
        <v>Central AmericaHempseed</v>
      </c>
      <c r="F400" s="2994">
        <v>0</v>
      </c>
      <c r="G400" s="2994">
        <v>0</v>
      </c>
      <c r="H400" s="2994">
        <v>0</v>
      </c>
      <c r="I400" s="2994">
        <v>0</v>
      </c>
      <c r="J400" s="2994">
        <v>0</v>
      </c>
      <c r="K400" s="2994">
        <v>0</v>
      </c>
      <c r="L400" s="2994">
        <v>0</v>
      </c>
      <c r="M400" s="2994">
        <v>0</v>
      </c>
      <c r="N400" s="2994">
        <v>0</v>
      </c>
      <c r="O400" s="2994">
        <v>0</v>
      </c>
      <c r="P400" s="2994">
        <v>0</v>
      </c>
      <c r="Q400" s="2994">
        <v>0</v>
      </c>
      <c r="R400" s="2994">
        <v>0</v>
      </c>
      <c r="S400" s="2994">
        <v>0</v>
      </c>
      <c r="T400" s="2994">
        <v>0</v>
      </c>
      <c r="U400" s="2994">
        <v>0</v>
      </c>
      <c r="V400" s="2994">
        <v>0</v>
      </c>
      <c r="W400" s="2994">
        <v>0</v>
      </c>
      <c r="X400" s="2994">
        <v>0</v>
      </c>
      <c r="Y400" s="2994">
        <v>0</v>
      </c>
      <c r="Z400" s="2994">
        <v>0</v>
      </c>
      <c r="AA400" s="2994">
        <v>0</v>
      </c>
      <c r="AB400" s="2994">
        <v>0</v>
      </c>
      <c r="AC400" s="2994">
        <v>0</v>
      </c>
      <c r="AD400" s="2994">
        <v>0</v>
      </c>
      <c r="AE400" s="2994">
        <v>0</v>
      </c>
      <c r="AF400" s="2994">
        <v>0</v>
      </c>
      <c r="AG400" s="2994">
        <v>0</v>
      </c>
      <c r="AH400" s="2994">
        <v>0</v>
      </c>
      <c r="AI400" s="2994">
        <v>0</v>
      </c>
      <c r="AJ400" s="2994">
        <v>0</v>
      </c>
      <c r="AK400" s="2994">
        <v>0</v>
      </c>
      <c r="AL400" s="2994">
        <v>0</v>
      </c>
      <c r="AM400" s="2994">
        <v>0</v>
      </c>
      <c r="AN400" s="2994">
        <v>0</v>
      </c>
      <c r="AO400" s="2994">
        <v>0</v>
      </c>
      <c r="AP400" s="2994">
        <v>0</v>
      </c>
      <c r="AQ400" s="2994">
        <v>0</v>
      </c>
      <c r="AR400" s="2994">
        <v>0</v>
      </c>
      <c r="AS400" s="2994">
        <v>0</v>
      </c>
      <c r="AT400" s="2994">
        <v>0</v>
      </c>
      <c r="AU400" s="2994">
        <v>0</v>
      </c>
      <c r="AV400" s="2994">
        <v>0</v>
      </c>
      <c r="AW400" s="2994">
        <v>0</v>
      </c>
      <c r="AX400" s="2994">
        <v>0</v>
      </c>
      <c r="AY400" s="2994">
        <v>0</v>
      </c>
      <c r="AZ400" s="2994">
        <v>0</v>
      </c>
      <c r="BA400" s="2994">
        <v>0</v>
      </c>
      <c r="BB400" s="2994">
        <v>0</v>
      </c>
      <c r="BC400" s="2994">
        <v>0</v>
      </c>
      <c r="BD400" s="3471">
        <v>0</v>
      </c>
      <c r="BE400" s="3471">
        <v>0</v>
      </c>
      <c r="BF400" s="3471">
        <v>0</v>
      </c>
    </row>
    <row r="401" spans="1:58">
      <c r="A401" s="1817" t="str">
        <f t="shared" si="13"/>
        <v>Central AmericaHops</v>
      </c>
      <c r="B401" s="1818" t="s">
        <v>305</v>
      </c>
      <c r="C401" s="1818" t="s">
        <v>7335</v>
      </c>
      <c r="D401" s="3463" t="str">
        <f>VLOOKUP(B401,List_Yield!$G$4:$J$14,4,FALSE)</f>
        <v>Central America</v>
      </c>
      <c r="E401" s="3463" t="str">
        <f t="shared" si="12"/>
        <v>Central AmericaHops</v>
      </c>
      <c r="F401" s="2994">
        <v>0</v>
      </c>
      <c r="G401" s="2994">
        <v>0</v>
      </c>
      <c r="H401" s="2994">
        <v>0</v>
      </c>
      <c r="I401" s="2994">
        <v>0</v>
      </c>
      <c r="J401" s="2994">
        <v>0</v>
      </c>
      <c r="K401" s="2994">
        <v>0</v>
      </c>
      <c r="L401" s="2994">
        <v>0</v>
      </c>
      <c r="M401" s="2994">
        <v>0</v>
      </c>
      <c r="N401" s="2994">
        <v>0</v>
      </c>
      <c r="O401" s="2994">
        <v>0</v>
      </c>
      <c r="P401" s="2994">
        <v>0</v>
      </c>
      <c r="Q401" s="2994">
        <v>0</v>
      </c>
      <c r="R401" s="2994">
        <v>0</v>
      </c>
      <c r="S401" s="2994">
        <v>0</v>
      </c>
      <c r="T401" s="2994">
        <v>0</v>
      </c>
      <c r="U401" s="2994">
        <v>0</v>
      </c>
      <c r="V401" s="2994">
        <v>0</v>
      </c>
      <c r="W401" s="2994">
        <v>0</v>
      </c>
      <c r="X401" s="2994">
        <v>0</v>
      </c>
      <c r="Y401" s="2994">
        <v>0</v>
      </c>
      <c r="Z401" s="2994">
        <v>0</v>
      </c>
      <c r="AA401" s="2994">
        <v>0</v>
      </c>
      <c r="AB401" s="2994">
        <v>0</v>
      </c>
      <c r="AC401" s="2994">
        <v>0</v>
      </c>
      <c r="AD401" s="2994">
        <v>0</v>
      </c>
      <c r="AE401" s="2994">
        <v>0</v>
      </c>
      <c r="AF401" s="2994">
        <v>0</v>
      </c>
      <c r="AG401" s="2994">
        <v>0</v>
      </c>
      <c r="AH401" s="2994">
        <v>0</v>
      </c>
      <c r="AI401" s="2994">
        <v>0</v>
      </c>
      <c r="AJ401" s="2994">
        <v>0</v>
      </c>
      <c r="AK401" s="2994">
        <v>0</v>
      </c>
      <c r="AL401" s="2994">
        <v>0</v>
      </c>
      <c r="AM401" s="2994">
        <v>0</v>
      </c>
      <c r="AN401" s="2994">
        <v>0</v>
      </c>
      <c r="AO401" s="2994">
        <v>0</v>
      </c>
      <c r="AP401" s="2994">
        <v>0</v>
      </c>
      <c r="AQ401" s="2994">
        <v>0</v>
      </c>
      <c r="AR401" s="2994">
        <v>0</v>
      </c>
      <c r="AS401" s="2994">
        <v>0</v>
      </c>
      <c r="AT401" s="2994">
        <v>0</v>
      </c>
      <c r="AU401" s="2994">
        <v>0</v>
      </c>
      <c r="AV401" s="2994">
        <v>0</v>
      </c>
      <c r="AW401" s="2994">
        <v>0</v>
      </c>
      <c r="AX401" s="2994">
        <v>0</v>
      </c>
      <c r="AY401" s="2994">
        <v>0</v>
      </c>
      <c r="AZ401" s="2994">
        <v>0</v>
      </c>
      <c r="BA401" s="2994">
        <v>0</v>
      </c>
      <c r="BB401" s="2994">
        <v>0</v>
      </c>
      <c r="BC401" s="2994">
        <v>0</v>
      </c>
      <c r="BD401" s="3471">
        <v>0</v>
      </c>
      <c r="BE401" s="3471">
        <v>0</v>
      </c>
      <c r="BF401" s="3471">
        <v>0</v>
      </c>
    </row>
    <row r="402" spans="1:58">
      <c r="A402" s="1817" t="str">
        <f t="shared" si="13"/>
        <v>Central AmericaJojoba seed</v>
      </c>
      <c r="B402" s="1818" t="s">
        <v>305</v>
      </c>
      <c r="C402" s="1818" t="s">
        <v>7336</v>
      </c>
      <c r="D402" s="3463" t="str">
        <f>VLOOKUP(B402,List_Yield!$G$4:$J$14,4,FALSE)</f>
        <v>Central America</v>
      </c>
      <c r="E402" s="3463" t="str">
        <f t="shared" si="12"/>
        <v>Central AmericaJojoba seed</v>
      </c>
      <c r="F402" s="2994">
        <v>0</v>
      </c>
      <c r="G402" s="2994">
        <v>0</v>
      </c>
      <c r="H402" s="2994">
        <v>0</v>
      </c>
      <c r="I402" s="2994">
        <v>0</v>
      </c>
      <c r="J402" s="2994">
        <v>0</v>
      </c>
      <c r="K402" s="2994">
        <v>0</v>
      </c>
      <c r="L402" s="2994">
        <v>0</v>
      </c>
      <c r="M402" s="2994">
        <v>0</v>
      </c>
      <c r="N402" s="2994">
        <v>0</v>
      </c>
      <c r="O402" s="2994">
        <v>0</v>
      </c>
      <c r="P402" s="2994">
        <v>0</v>
      </c>
      <c r="Q402" s="2994">
        <v>0</v>
      </c>
      <c r="R402" s="2994">
        <v>0</v>
      </c>
      <c r="S402" s="2994">
        <v>0</v>
      </c>
      <c r="T402" s="2994">
        <v>0</v>
      </c>
      <c r="U402" s="2994">
        <v>0</v>
      </c>
      <c r="V402" s="2994">
        <v>0</v>
      </c>
      <c r="W402" s="2994">
        <v>0</v>
      </c>
      <c r="X402" s="2994">
        <v>0</v>
      </c>
      <c r="Y402" s="2994">
        <v>0</v>
      </c>
      <c r="Z402" s="2994">
        <v>0</v>
      </c>
      <c r="AA402" s="2994">
        <v>0.35870000000000002</v>
      </c>
      <c r="AB402" s="2994">
        <v>0.29389999999999999</v>
      </c>
      <c r="AC402" s="2994">
        <v>0.40920000000000001</v>
      </c>
      <c r="AD402" s="2994">
        <v>0.33729999999999999</v>
      </c>
      <c r="AE402" s="2994">
        <v>0.4335</v>
      </c>
      <c r="AF402" s="2994">
        <v>0.36109999999999998</v>
      </c>
      <c r="AG402" s="2994">
        <v>0.3004</v>
      </c>
      <c r="AH402" s="2994">
        <v>0.44640000000000002</v>
      </c>
      <c r="AI402" s="2994">
        <v>0.33979999999999999</v>
      </c>
      <c r="AJ402" s="2994">
        <v>0.42770000000000002</v>
      </c>
      <c r="AK402" s="2994">
        <v>0.56279999999999997</v>
      </c>
      <c r="AL402" s="2994">
        <v>0.4153</v>
      </c>
      <c r="AM402" s="2994">
        <v>0.71619999999999995</v>
      </c>
      <c r="AN402" s="2994">
        <v>1</v>
      </c>
      <c r="AO402" s="2994">
        <v>0.71630000000000005</v>
      </c>
      <c r="AP402" s="2994">
        <v>0.8347</v>
      </c>
      <c r="AQ402" s="2994">
        <v>0.7</v>
      </c>
      <c r="AR402" s="2994">
        <v>0.8</v>
      </c>
      <c r="AS402" s="2994">
        <v>0.8</v>
      </c>
      <c r="AT402" s="2994">
        <v>0.30969999999999998</v>
      </c>
      <c r="AU402" s="2994">
        <v>0.2</v>
      </c>
      <c r="AV402" s="2994">
        <v>0.9</v>
      </c>
      <c r="AW402" s="2994">
        <v>0.9</v>
      </c>
      <c r="AX402" s="2994">
        <v>0.3</v>
      </c>
      <c r="AY402" s="2994">
        <v>0.252</v>
      </c>
      <c r="AZ402" s="2994">
        <v>0.3</v>
      </c>
      <c r="BA402" s="2994">
        <v>0.32869999999999999</v>
      </c>
      <c r="BB402" s="2994">
        <v>0.30120000000000002</v>
      </c>
      <c r="BC402" s="2994">
        <v>0.38040000000000002</v>
      </c>
      <c r="BD402" s="3471">
        <v>0.39660000000000001</v>
      </c>
      <c r="BE402" s="3471">
        <v>0.41670000000000001</v>
      </c>
      <c r="BF402" s="3471">
        <v>0.41670000000000001</v>
      </c>
    </row>
    <row r="403" spans="1:58">
      <c r="A403" s="1817" t="str">
        <f t="shared" si="13"/>
        <v>Central AmericaJute</v>
      </c>
      <c r="B403" s="1818" t="s">
        <v>305</v>
      </c>
      <c r="C403" s="1818" t="s">
        <v>7337</v>
      </c>
      <c r="D403" s="3463" t="str">
        <f>VLOOKUP(B403,List_Yield!$G$4:$J$14,4,FALSE)</f>
        <v>Central America</v>
      </c>
      <c r="E403" s="3463" t="str">
        <f t="shared" si="12"/>
        <v>Central AmericaJute</v>
      </c>
      <c r="F403" s="2994">
        <v>0</v>
      </c>
      <c r="G403" s="2994">
        <v>0</v>
      </c>
      <c r="H403" s="2994">
        <v>0</v>
      </c>
      <c r="I403" s="2994">
        <v>0</v>
      </c>
      <c r="J403" s="2994">
        <v>0</v>
      </c>
      <c r="K403" s="2994">
        <v>0</v>
      </c>
      <c r="L403" s="2994">
        <v>0</v>
      </c>
      <c r="M403" s="2994">
        <v>0</v>
      </c>
      <c r="N403" s="2994">
        <v>0</v>
      </c>
      <c r="O403" s="2994">
        <v>0</v>
      </c>
      <c r="P403" s="2994">
        <v>0</v>
      </c>
      <c r="Q403" s="2994">
        <v>0</v>
      </c>
      <c r="R403" s="2994">
        <v>0</v>
      </c>
      <c r="S403" s="2994">
        <v>0</v>
      </c>
      <c r="T403" s="2994">
        <v>0</v>
      </c>
      <c r="U403" s="2994">
        <v>0</v>
      </c>
      <c r="V403" s="2994">
        <v>0</v>
      </c>
      <c r="W403" s="2994">
        <v>0</v>
      </c>
      <c r="X403" s="2994">
        <v>0</v>
      </c>
      <c r="Y403" s="2994">
        <v>0</v>
      </c>
      <c r="Z403" s="2994">
        <v>0</v>
      </c>
      <c r="AA403" s="2994">
        <v>0</v>
      </c>
      <c r="AB403" s="2994">
        <v>0</v>
      </c>
      <c r="AC403" s="2994">
        <v>0</v>
      </c>
      <c r="AD403" s="2994">
        <v>0</v>
      </c>
      <c r="AE403" s="2994">
        <v>0</v>
      </c>
      <c r="AF403" s="2994">
        <v>0</v>
      </c>
      <c r="AG403" s="2994">
        <v>0</v>
      </c>
      <c r="AH403" s="2994">
        <v>0</v>
      </c>
      <c r="AI403" s="2994">
        <v>0</v>
      </c>
      <c r="AJ403" s="2994">
        <v>0</v>
      </c>
      <c r="AK403" s="2994">
        <v>0</v>
      </c>
      <c r="AL403" s="2994">
        <v>0</v>
      </c>
      <c r="AM403" s="2994">
        <v>0</v>
      </c>
      <c r="AN403" s="2994">
        <v>0</v>
      </c>
      <c r="AO403" s="2994">
        <v>0</v>
      </c>
      <c r="AP403" s="2994">
        <v>0</v>
      </c>
      <c r="AQ403" s="2994">
        <v>0</v>
      </c>
      <c r="AR403" s="2994">
        <v>0</v>
      </c>
      <c r="AS403" s="2994">
        <v>0</v>
      </c>
      <c r="AT403" s="2994">
        <v>0</v>
      </c>
      <c r="AU403" s="2994">
        <v>0</v>
      </c>
      <c r="AV403" s="2994">
        <v>0</v>
      </c>
      <c r="AW403" s="2994">
        <v>0</v>
      </c>
      <c r="AX403" s="2994">
        <v>0</v>
      </c>
      <c r="AY403" s="2994">
        <v>1.9486000000000001</v>
      </c>
      <c r="AZ403" s="2994">
        <v>1.9429000000000001</v>
      </c>
      <c r="BA403" s="2994">
        <v>1.9429000000000001</v>
      </c>
      <c r="BB403" s="2994">
        <v>1.8234999999999999</v>
      </c>
      <c r="BC403" s="2994">
        <v>1.7142999999999999</v>
      </c>
      <c r="BD403" s="3471">
        <v>1.64</v>
      </c>
      <c r="BE403" s="3471">
        <v>1.8</v>
      </c>
      <c r="BF403" s="3471">
        <v>0</v>
      </c>
    </row>
    <row r="404" spans="1:58">
      <c r="A404" s="1817" t="str">
        <f t="shared" si="13"/>
        <v>Central AmericaKapok fruit</v>
      </c>
      <c r="B404" s="1818" t="s">
        <v>305</v>
      </c>
      <c r="C404" s="1818" t="s">
        <v>7338</v>
      </c>
      <c r="D404" s="3463" t="str">
        <f>VLOOKUP(B404,List_Yield!$G$4:$J$14,4,FALSE)</f>
        <v>Central America</v>
      </c>
      <c r="E404" s="3463" t="str">
        <f t="shared" si="12"/>
        <v>Central AmericaKapok fruit</v>
      </c>
      <c r="F404" s="2994">
        <v>0</v>
      </c>
      <c r="G404" s="2994">
        <v>0</v>
      </c>
      <c r="H404" s="2994">
        <v>0</v>
      </c>
      <c r="I404" s="2994">
        <v>0</v>
      </c>
      <c r="J404" s="2994">
        <v>0</v>
      </c>
      <c r="K404" s="2994">
        <v>0</v>
      </c>
      <c r="L404" s="2994">
        <v>0</v>
      </c>
      <c r="M404" s="2994">
        <v>0</v>
      </c>
      <c r="N404" s="2994">
        <v>0</v>
      </c>
      <c r="O404" s="2994">
        <v>0</v>
      </c>
      <c r="P404" s="2994">
        <v>0</v>
      </c>
      <c r="Q404" s="2994">
        <v>0</v>
      </c>
      <c r="R404" s="2994">
        <v>0</v>
      </c>
      <c r="S404" s="2994">
        <v>0</v>
      </c>
      <c r="T404" s="2994">
        <v>0</v>
      </c>
      <c r="U404" s="2994">
        <v>0</v>
      </c>
      <c r="V404" s="2994">
        <v>0</v>
      </c>
      <c r="W404" s="2994">
        <v>0</v>
      </c>
      <c r="X404" s="2994">
        <v>0</v>
      </c>
      <c r="Y404" s="2994">
        <v>0</v>
      </c>
      <c r="Z404" s="2994">
        <v>0</v>
      </c>
      <c r="AA404" s="2994">
        <v>0</v>
      </c>
      <c r="AB404" s="2994">
        <v>0</v>
      </c>
      <c r="AC404" s="2994">
        <v>0</v>
      </c>
      <c r="AD404" s="2994">
        <v>0</v>
      </c>
      <c r="AE404" s="2994">
        <v>0</v>
      </c>
      <c r="AF404" s="2994">
        <v>0</v>
      </c>
      <c r="AG404" s="2994">
        <v>0</v>
      </c>
      <c r="AH404" s="2994">
        <v>0</v>
      </c>
      <c r="AI404" s="2994">
        <v>0</v>
      </c>
      <c r="AJ404" s="2994">
        <v>0</v>
      </c>
      <c r="AK404" s="2994">
        <v>0</v>
      </c>
      <c r="AL404" s="2994">
        <v>0</v>
      </c>
      <c r="AM404" s="2994">
        <v>0</v>
      </c>
      <c r="AN404" s="2994">
        <v>0</v>
      </c>
      <c r="AO404" s="2994">
        <v>0</v>
      </c>
      <c r="AP404" s="2994">
        <v>0</v>
      </c>
      <c r="AQ404" s="2994">
        <v>0</v>
      </c>
      <c r="AR404" s="2994">
        <v>0</v>
      </c>
      <c r="AS404" s="2994">
        <v>0</v>
      </c>
      <c r="AT404" s="2994">
        <v>0</v>
      </c>
      <c r="AU404" s="2994">
        <v>0</v>
      </c>
      <c r="AV404" s="2994">
        <v>0</v>
      </c>
      <c r="AW404" s="2994">
        <v>0</v>
      </c>
      <c r="AX404" s="2994">
        <v>0</v>
      </c>
      <c r="AY404" s="2994">
        <v>0</v>
      </c>
      <c r="AZ404" s="2994">
        <v>0</v>
      </c>
      <c r="BA404" s="2994">
        <v>0</v>
      </c>
      <c r="BB404" s="2994">
        <v>0</v>
      </c>
      <c r="BC404" s="2994">
        <v>0</v>
      </c>
      <c r="BD404" s="3471">
        <v>0</v>
      </c>
      <c r="BE404" s="3471">
        <v>0</v>
      </c>
      <c r="BF404" s="3471">
        <v>0</v>
      </c>
    </row>
    <row r="405" spans="1:58">
      <c r="A405" s="1817" t="str">
        <f t="shared" si="13"/>
        <v>Central AmericaKarite nuts (sheanuts)</v>
      </c>
      <c r="B405" s="1818" t="s">
        <v>305</v>
      </c>
      <c r="C405" s="1818" t="s">
        <v>7339</v>
      </c>
      <c r="D405" s="3463" t="str">
        <f>VLOOKUP(B405,List_Yield!$G$4:$J$14,4,FALSE)</f>
        <v>Central America</v>
      </c>
      <c r="E405" s="3463" t="str">
        <f t="shared" si="12"/>
        <v>Central AmericaKarite nuts (sheanuts)</v>
      </c>
      <c r="F405" s="2994">
        <v>0</v>
      </c>
      <c r="G405" s="2994">
        <v>0</v>
      </c>
      <c r="H405" s="2994">
        <v>0</v>
      </c>
      <c r="I405" s="2994">
        <v>0</v>
      </c>
      <c r="J405" s="2994">
        <v>0</v>
      </c>
      <c r="K405" s="2994">
        <v>0</v>
      </c>
      <c r="L405" s="2994">
        <v>0</v>
      </c>
      <c r="M405" s="2994">
        <v>0</v>
      </c>
      <c r="N405" s="2994">
        <v>0</v>
      </c>
      <c r="O405" s="2994">
        <v>0</v>
      </c>
      <c r="P405" s="2994">
        <v>0</v>
      </c>
      <c r="Q405" s="2994">
        <v>0</v>
      </c>
      <c r="R405" s="2994">
        <v>0</v>
      </c>
      <c r="S405" s="2994">
        <v>0</v>
      </c>
      <c r="T405" s="2994">
        <v>0</v>
      </c>
      <c r="U405" s="2994">
        <v>0</v>
      </c>
      <c r="V405" s="2994">
        <v>0</v>
      </c>
      <c r="W405" s="2994">
        <v>0</v>
      </c>
      <c r="X405" s="2994">
        <v>0</v>
      </c>
      <c r="Y405" s="2994">
        <v>0</v>
      </c>
      <c r="Z405" s="2994">
        <v>0</v>
      </c>
      <c r="AA405" s="2994">
        <v>0</v>
      </c>
      <c r="AB405" s="2994">
        <v>0</v>
      </c>
      <c r="AC405" s="2994">
        <v>0</v>
      </c>
      <c r="AD405" s="2994">
        <v>0</v>
      </c>
      <c r="AE405" s="2994">
        <v>0</v>
      </c>
      <c r="AF405" s="2994">
        <v>0</v>
      </c>
      <c r="AG405" s="2994">
        <v>0</v>
      </c>
      <c r="AH405" s="2994">
        <v>0</v>
      </c>
      <c r="AI405" s="2994">
        <v>0</v>
      </c>
      <c r="AJ405" s="2994">
        <v>0</v>
      </c>
      <c r="AK405" s="2994">
        <v>0</v>
      </c>
      <c r="AL405" s="2994">
        <v>0</v>
      </c>
      <c r="AM405" s="2994">
        <v>0</v>
      </c>
      <c r="AN405" s="2994">
        <v>0</v>
      </c>
      <c r="AO405" s="2994">
        <v>0</v>
      </c>
      <c r="AP405" s="2994">
        <v>0</v>
      </c>
      <c r="AQ405" s="2994">
        <v>0</v>
      </c>
      <c r="AR405" s="2994">
        <v>0</v>
      </c>
      <c r="AS405" s="2994">
        <v>0</v>
      </c>
      <c r="AT405" s="2994">
        <v>0</v>
      </c>
      <c r="AU405" s="2994">
        <v>0</v>
      </c>
      <c r="AV405" s="2994">
        <v>0</v>
      </c>
      <c r="AW405" s="2994">
        <v>0</v>
      </c>
      <c r="AX405" s="2994">
        <v>0</v>
      </c>
      <c r="AY405" s="2994">
        <v>0</v>
      </c>
      <c r="AZ405" s="2994">
        <v>0</v>
      </c>
      <c r="BA405" s="2994">
        <v>0</v>
      </c>
      <c r="BB405" s="2994">
        <v>0</v>
      </c>
      <c r="BC405" s="2994">
        <v>0</v>
      </c>
      <c r="BD405" s="3471">
        <v>0</v>
      </c>
      <c r="BE405" s="3471">
        <v>0</v>
      </c>
      <c r="BF405" s="3471">
        <v>0</v>
      </c>
    </row>
    <row r="406" spans="1:58">
      <c r="A406" s="1817" t="str">
        <f t="shared" si="13"/>
        <v>Central AmericaKiwi fruit</v>
      </c>
      <c r="B406" s="1818" t="s">
        <v>305</v>
      </c>
      <c r="C406" s="1818" t="s">
        <v>7340</v>
      </c>
      <c r="D406" s="3463" t="str">
        <f>VLOOKUP(B406,List_Yield!$G$4:$J$14,4,FALSE)</f>
        <v>Central America</v>
      </c>
      <c r="E406" s="3463" t="str">
        <f t="shared" si="12"/>
        <v>Central AmericaKiwi fruit</v>
      </c>
      <c r="F406" s="2994">
        <v>0</v>
      </c>
      <c r="G406" s="2994">
        <v>0</v>
      </c>
      <c r="H406" s="2994">
        <v>0</v>
      </c>
      <c r="I406" s="2994">
        <v>0</v>
      </c>
      <c r="J406" s="2994">
        <v>0</v>
      </c>
      <c r="K406" s="2994">
        <v>0</v>
      </c>
      <c r="L406" s="2994">
        <v>0</v>
      </c>
      <c r="M406" s="2994">
        <v>0</v>
      </c>
      <c r="N406" s="2994">
        <v>0</v>
      </c>
      <c r="O406" s="2994">
        <v>0</v>
      </c>
      <c r="P406" s="2994">
        <v>0</v>
      </c>
      <c r="Q406" s="2994">
        <v>0</v>
      </c>
      <c r="R406" s="2994">
        <v>0</v>
      </c>
      <c r="S406" s="2994">
        <v>0</v>
      </c>
      <c r="T406" s="2994">
        <v>0</v>
      </c>
      <c r="U406" s="2994">
        <v>0</v>
      </c>
      <c r="V406" s="2994">
        <v>0</v>
      </c>
      <c r="W406" s="2994">
        <v>0</v>
      </c>
      <c r="X406" s="2994">
        <v>0</v>
      </c>
      <c r="Y406" s="2994">
        <v>0</v>
      </c>
      <c r="Z406" s="2994">
        <v>0</v>
      </c>
      <c r="AA406" s="2994">
        <v>0</v>
      </c>
      <c r="AB406" s="2994">
        <v>0</v>
      </c>
      <c r="AC406" s="2994">
        <v>0</v>
      </c>
      <c r="AD406" s="2994">
        <v>0</v>
      </c>
      <c r="AE406" s="2994">
        <v>0</v>
      </c>
      <c r="AF406" s="2994">
        <v>0</v>
      </c>
      <c r="AG406" s="2994">
        <v>0</v>
      </c>
      <c r="AH406" s="2994">
        <v>0</v>
      </c>
      <c r="AI406" s="2994">
        <v>0</v>
      </c>
      <c r="AJ406" s="2994">
        <v>0</v>
      </c>
      <c r="AK406" s="2994">
        <v>0</v>
      </c>
      <c r="AL406" s="2994">
        <v>0</v>
      </c>
      <c r="AM406" s="2994">
        <v>0</v>
      </c>
      <c r="AN406" s="2994">
        <v>0</v>
      </c>
      <c r="AO406" s="2994">
        <v>0</v>
      </c>
      <c r="AP406" s="2994">
        <v>0</v>
      </c>
      <c r="AQ406" s="2994">
        <v>0</v>
      </c>
      <c r="AR406" s="2994">
        <v>0</v>
      </c>
      <c r="AS406" s="2994">
        <v>0</v>
      </c>
      <c r="AT406" s="2994">
        <v>0</v>
      </c>
      <c r="AU406" s="2994">
        <v>0</v>
      </c>
      <c r="AV406" s="2994">
        <v>0</v>
      </c>
      <c r="AW406" s="2994">
        <v>0</v>
      </c>
      <c r="AX406" s="2994">
        <v>0</v>
      </c>
      <c r="AY406" s="2994">
        <v>0</v>
      </c>
      <c r="AZ406" s="2994">
        <v>0</v>
      </c>
      <c r="BA406" s="2994">
        <v>0</v>
      </c>
      <c r="BB406" s="2994">
        <v>0</v>
      </c>
      <c r="BC406" s="2994">
        <v>0</v>
      </c>
      <c r="BD406" s="3471">
        <v>0</v>
      </c>
      <c r="BE406" s="3471">
        <v>0</v>
      </c>
      <c r="BF406" s="3471">
        <v>0</v>
      </c>
    </row>
    <row r="407" spans="1:58">
      <c r="A407" s="1817" t="str">
        <f t="shared" si="13"/>
        <v>Central AmericaKola nuts</v>
      </c>
      <c r="B407" s="1818" t="s">
        <v>305</v>
      </c>
      <c r="C407" s="1818" t="s">
        <v>7341</v>
      </c>
      <c r="D407" s="3463" t="str">
        <f>VLOOKUP(B407,List_Yield!$G$4:$J$14,4,FALSE)</f>
        <v>Central America</v>
      </c>
      <c r="E407" s="3463" t="str">
        <f t="shared" si="12"/>
        <v>Central AmericaKola nuts</v>
      </c>
      <c r="F407" s="2994">
        <v>0</v>
      </c>
      <c r="G407" s="2994">
        <v>0</v>
      </c>
      <c r="H407" s="2994">
        <v>0</v>
      </c>
      <c r="I407" s="2994">
        <v>0</v>
      </c>
      <c r="J407" s="2994">
        <v>0</v>
      </c>
      <c r="K407" s="2994">
        <v>0</v>
      </c>
      <c r="L407" s="2994">
        <v>0</v>
      </c>
      <c r="M407" s="2994">
        <v>0</v>
      </c>
      <c r="N407" s="2994">
        <v>0</v>
      </c>
      <c r="O407" s="2994">
        <v>0</v>
      </c>
      <c r="P407" s="2994">
        <v>0</v>
      </c>
      <c r="Q407" s="2994">
        <v>0</v>
      </c>
      <c r="R407" s="2994">
        <v>0</v>
      </c>
      <c r="S407" s="2994">
        <v>0</v>
      </c>
      <c r="T407" s="2994">
        <v>0</v>
      </c>
      <c r="U407" s="2994">
        <v>0</v>
      </c>
      <c r="V407" s="2994">
        <v>0</v>
      </c>
      <c r="W407" s="2994">
        <v>0</v>
      </c>
      <c r="X407" s="2994">
        <v>0</v>
      </c>
      <c r="Y407" s="2994">
        <v>0</v>
      </c>
      <c r="Z407" s="2994">
        <v>0</v>
      </c>
      <c r="AA407" s="2994">
        <v>0</v>
      </c>
      <c r="AB407" s="2994">
        <v>0</v>
      </c>
      <c r="AC407" s="2994">
        <v>0</v>
      </c>
      <c r="AD407" s="2994">
        <v>0</v>
      </c>
      <c r="AE407" s="2994">
        <v>0</v>
      </c>
      <c r="AF407" s="2994">
        <v>0</v>
      </c>
      <c r="AG407" s="2994">
        <v>0</v>
      </c>
      <c r="AH407" s="2994">
        <v>0</v>
      </c>
      <c r="AI407" s="2994">
        <v>0</v>
      </c>
      <c r="AJ407" s="2994">
        <v>0</v>
      </c>
      <c r="AK407" s="2994">
        <v>0</v>
      </c>
      <c r="AL407" s="2994">
        <v>0</v>
      </c>
      <c r="AM407" s="2994">
        <v>0</v>
      </c>
      <c r="AN407" s="2994">
        <v>0</v>
      </c>
      <c r="AO407" s="2994">
        <v>0</v>
      </c>
      <c r="AP407" s="2994">
        <v>0</v>
      </c>
      <c r="AQ407" s="2994">
        <v>0</v>
      </c>
      <c r="AR407" s="2994">
        <v>0</v>
      </c>
      <c r="AS407" s="2994">
        <v>0</v>
      </c>
      <c r="AT407" s="2994">
        <v>0</v>
      </c>
      <c r="AU407" s="2994">
        <v>0</v>
      </c>
      <c r="AV407" s="2994">
        <v>0</v>
      </c>
      <c r="AW407" s="2994">
        <v>0</v>
      </c>
      <c r="AX407" s="2994">
        <v>0</v>
      </c>
      <c r="AY407" s="2994">
        <v>0</v>
      </c>
      <c r="AZ407" s="2994">
        <v>0</v>
      </c>
      <c r="BA407" s="2994">
        <v>0</v>
      </c>
      <c r="BB407" s="2994">
        <v>0</v>
      </c>
      <c r="BC407" s="2994">
        <v>0</v>
      </c>
      <c r="BD407" s="3471">
        <v>0</v>
      </c>
      <c r="BE407" s="3471">
        <v>0</v>
      </c>
      <c r="BF407" s="3471">
        <v>0</v>
      </c>
    </row>
    <row r="408" spans="1:58">
      <c r="A408" s="1817" t="str">
        <f t="shared" si="13"/>
        <v>Central AmericaLeeks, other alliaceous vegetables</v>
      </c>
      <c r="B408" s="1818" t="s">
        <v>305</v>
      </c>
      <c r="C408" s="1818" t="s">
        <v>7342</v>
      </c>
      <c r="D408" s="3463" t="str">
        <f>VLOOKUP(B408,List_Yield!$G$4:$J$14,4,FALSE)</f>
        <v>Central America</v>
      </c>
      <c r="E408" s="3463" t="str">
        <f t="shared" si="12"/>
        <v>Central AmericaLeeks, other alliaceous vegetables</v>
      </c>
      <c r="F408" s="2994">
        <v>0</v>
      </c>
      <c r="G408" s="2994">
        <v>0</v>
      </c>
      <c r="H408" s="2994">
        <v>0</v>
      </c>
      <c r="I408" s="2994">
        <v>0</v>
      </c>
      <c r="J408" s="2994">
        <v>0</v>
      </c>
      <c r="K408" s="2994">
        <v>0</v>
      </c>
      <c r="L408" s="2994">
        <v>0</v>
      </c>
      <c r="M408" s="2994">
        <v>0</v>
      </c>
      <c r="N408" s="2994">
        <v>0</v>
      </c>
      <c r="O408" s="2994">
        <v>0</v>
      </c>
      <c r="P408" s="2994">
        <v>0</v>
      </c>
      <c r="Q408" s="2994">
        <v>0</v>
      </c>
      <c r="R408" s="2994">
        <v>0</v>
      </c>
      <c r="S408" s="2994">
        <v>0</v>
      </c>
      <c r="T408" s="2994">
        <v>0</v>
      </c>
      <c r="U408" s="2994">
        <v>0</v>
      </c>
      <c r="V408" s="2994">
        <v>0</v>
      </c>
      <c r="W408" s="2994">
        <v>0</v>
      </c>
      <c r="X408" s="2994">
        <v>0</v>
      </c>
      <c r="Y408" s="2994">
        <v>0</v>
      </c>
      <c r="Z408" s="2994">
        <v>10.5</v>
      </c>
      <c r="AA408" s="2994">
        <v>0</v>
      </c>
      <c r="AB408" s="2994">
        <v>0</v>
      </c>
      <c r="AC408" s="2994">
        <v>0</v>
      </c>
      <c r="AD408" s="2994">
        <v>14.6</v>
      </c>
      <c r="AE408" s="2994">
        <v>12</v>
      </c>
      <c r="AF408" s="2994">
        <v>11.5</v>
      </c>
      <c r="AG408" s="2994">
        <v>11.333299999999999</v>
      </c>
      <c r="AH408" s="2994">
        <v>12</v>
      </c>
      <c r="AI408" s="2994">
        <v>11.666700000000001</v>
      </c>
      <c r="AJ408" s="2994">
        <v>11.428599999999999</v>
      </c>
      <c r="AK408" s="2994">
        <v>11.3636</v>
      </c>
      <c r="AL408" s="2994">
        <v>11.952</v>
      </c>
      <c r="AM408" s="2994">
        <v>11.4724</v>
      </c>
      <c r="AN408" s="2994">
        <v>11.528700000000001</v>
      </c>
      <c r="AO408" s="2994">
        <v>11.5267</v>
      </c>
      <c r="AP408" s="2994">
        <v>15.260400000000001</v>
      </c>
      <c r="AQ408" s="2994">
        <v>7.9622000000000002</v>
      </c>
      <c r="AR408" s="2994">
        <v>15.2402</v>
      </c>
      <c r="AS408" s="2994">
        <v>15.2995</v>
      </c>
      <c r="AT408" s="2994">
        <v>15.2995</v>
      </c>
      <c r="AU408" s="2994">
        <v>19.6663</v>
      </c>
      <c r="AV408" s="2994">
        <v>15.5006</v>
      </c>
      <c r="AW408" s="2994">
        <v>13.907999999999999</v>
      </c>
      <c r="AX408" s="2994">
        <v>13.907999999999999</v>
      </c>
      <c r="AY408" s="2994">
        <v>15.4885</v>
      </c>
      <c r="AZ408" s="2994">
        <v>15.561299999999999</v>
      </c>
      <c r="BA408" s="2994">
        <v>15.5046</v>
      </c>
      <c r="BB408" s="2994">
        <v>15.426399999999999</v>
      </c>
      <c r="BC408" s="2994">
        <v>15.4983</v>
      </c>
      <c r="BD408" s="3471">
        <v>15.456099999999999</v>
      </c>
      <c r="BE408" s="3471">
        <v>16.595199999999998</v>
      </c>
      <c r="BF408" s="3471">
        <v>0</v>
      </c>
    </row>
    <row r="409" spans="1:58">
      <c r="A409" s="1817" t="str">
        <f t="shared" si="13"/>
        <v>Central AmericaLemons and limes</v>
      </c>
      <c r="B409" s="1818" t="s">
        <v>305</v>
      </c>
      <c r="C409" s="1818" t="s">
        <v>7343</v>
      </c>
      <c r="D409" s="3463" t="str">
        <f>VLOOKUP(B409,List_Yield!$G$4:$J$14,4,FALSE)</f>
        <v>Central America</v>
      </c>
      <c r="E409" s="3463" t="str">
        <f t="shared" si="12"/>
        <v>Central AmericaLemons and limes</v>
      </c>
      <c r="F409" s="2994">
        <v>8.1646999999999998</v>
      </c>
      <c r="G409" s="2994">
        <v>8.7246000000000006</v>
      </c>
      <c r="H409" s="2994">
        <v>9.3689</v>
      </c>
      <c r="I409" s="2994">
        <v>9.2614999999999998</v>
      </c>
      <c r="J409" s="2994">
        <v>9.9141999999999992</v>
      </c>
      <c r="K409" s="2994">
        <v>10.036799999999999</v>
      </c>
      <c r="L409" s="2994">
        <v>9.9789999999999992</v>
      </c>
      <c r="M409" s="2994">
        <v>9.9887999999999995</v>
      </c>
      <c r="N409" s="2994">
        <v>9.7832000000000008</v>
      </c>
      <c r="O409" s="2994">
        <v>9.6430000000000007</v>
      </c>
      <c r="P409" s="2994">
        <v>10.3873</v>
      </c>
      <c r="Q409" s="2994">
        <v>9.6117000000000008</v>
      </c>
      <c r="R409" s="2994">
        <v>9.7980999999999998</v>
      </c>
      <c r="S409" s="2994">
        <v>9.5378000000000007</v>
      </c>
      <c r="T409" s="2994">
        <v>9.5363000000000007</v>
      </c>
      <c r="U409" s="2994">
        <v>9.8268000000000004</v>
      </c>
      <c r="V409" s="2994">
        <v>9.4122000000000003</v>
      </c>
      <c r="W409" s="2994">
        <v>9.3234999999999992</v>
      </c>
      <c r="X409" s="2994">
        <v>9.5995000000000008</v>
      </c>
      <c r="Y409" s="2994">
        <v>10.6732</v>
      </c>
      <c r="Z409" s="2994">
        <v>10.7601</v>
      </c>
      <c r="AA409" s="2994">
        <v>11.4811</v>
      </c>
      <c r="AB409" s="2994">
        <v>10.3718</v>
      </c>
      <c r="AC409" s="2994">
        <v>13.2407</v>
      </c>
      <c r="AD409" s="2994">
        <v>12.679500000000001</v>
      </c>
      <c r="AE409" s="2994">
        <v>11.319000000000001</v>
      </c>
      <c r="AF409" s="2994">
        <v>11.255699999999999</v>
      </c>
      <c r="AG409" s="2994">
        <v>10.775399999999999</v>
      </c>
      <c r="AH409" s="2994">
        <v>11.498799999999999</v>
      </c>
      <c r="AI409" s="2994">
        <v>10.417199999999999</v>
      </c>
      <c r="AJ409" s="2994">
        <v>10.6951</v>
      </c>
      <c r="AK409" s="2994">
        <v>10.858700000000001</v>
      </c>
      <c r="AL409" s="2994">
        <v>9.9434000000000005</v>
      </c>
      <c r="AM409" s="2994">
        <v>10.894600000000001</v>
      </c>
      <c r="AN409" s="2994">
        <v>11.5901</v>
      </c>
      <c r="AO409" s="2994">
        <v>12.0138</v>
      </c>
      <c r="AP409" s="2994">
        <v>11.9535</v>
      </c>
      <c r="AQ409" s="2994">
        <v>11.631500000000001</v>
      </c>
      <c r="AR409" s="2994">
        <v>12.551</v>
      </c>
      <c r="AS409" s="2994">
        <v>13.751200000000001</v>
      </c>
      <c r="AT409" s="2994">
        <v>13.1067</v>
      </c>
      <c r="AU409" s="2994">
        <v>14.047499999999999</v>
      </c>
      <c r="AV409" s="2994">
        <v>13.420199999999999</v>
      </c>
      <c r="AW409" s="2994">
        <v>13.871700000000001</v>
      </c>
      <c r="AX409" s="2994">
        <v>13.4998</v>
      </c>
      <c r="AY409" s="2994">
        <v>13.540699999999999</v>
      </c>
      <c r="AZ409" s="2994">
        <v>13.5671</v>
      </c>
      <c r="BA409" s="2994">
        <v>15.117900000000001</v>
      </c>
      <c r="BB409" s="2994">
        <v>14.2904</v>
      </c>
      <c r="BC409" s="2994">
        <v>13.4255</v>
      </c>
      <c r="BD409" s="3471">
        <v>14.4465</v>
      </c>
      <c r="BE409" s="3471">
        <v>14.0214</v>
      </c>
      <c r="BF409" s="3471">
        <v>0</v>
      </c>
    </row>
    <row r="410" spans="1:58">
      <c r="A410" s="1817" t="str">
        <f t="shared" si="13"/>
        <v>Central AmericaLentils</v>
      </c>
      <c r="B410" s="1818" t="s">
        <v>305</v>
      </c>
      <c r="C410" s="1818" t="s">
        <v>7344</v>
      </c>
      <c r="D410" s="3463" t="str">
        <f>VLOOKUP(B410,List_Yield!$G$4:$J$14,4,FALSE)</f>
        <v>Central America</v>
      </c>
      <c r="E410" s="3463" t="str">
        <f t="shared" si="12"/>
        <v>Central AmericaLentils</v>
      </c>
      <c r="F410" s="2994">
        <v>0.83609999999999995</v>
      </c>
      <c r="G410" s="2994">
        <v>0.88729999999999998</v>
      </c>
      <c r="H410" s="2994">
        <v>0.87909999999999999</v>
      </c>
      <c r="I410" s="2994">
        <v>0.88500000000000001</v>
      </c>
      <c r="J410" s="2994">
        <v>0.89</v>
      </c>
      <c r="K410" s="2994">
        <v>0.9</v>
      </c>
      <c r="L410" s="2994">
        <v>0.873</v>
      </c>
      <c r="M410" s="2994">
        <v>0.86460000000000004</v>
      </c>
      <c r="N410" s="2994">
        <v>0.65890000000000004</v>
      </c>
      <c r="O410" s="2994">
        <v>0.71179999999999999</v>
      </c>
      <c r="P410" s="2994">
        <v>0.87390000000000001</v>
      </c>
      <c r="Q410" s="2994">
        <v>0.72289999999999999</v>
      </c>
      <c r="R410" s="2994">
        <v>0.88529999999999998</v>
      </c>
      <c r="S410" s="2994">
        <v>0.72760000000000002</v>
      </c>
      <c r="T410" s="2994">
        <v>0.85929999999999995</v>
      </c>
      <c r="U410" s="2994">
        <v>0.56999999999999995</v>
      </c>
      <c r="V410" s="2994">
        <v>0.93579999999999997</v>
      </c>
      <c r="W410" s="2994">
        <v>1.0101</v>
      </c>
      <c r="X410" s="2994">
        <v>0.73180000000000001</v>
      </c>
      <c r="Y410" s="2994">
        <v>0.9798</v>
      </c>
      <c r="Z410" s="2994">
        <v>0.84060000000000001</v>
      </c>
      <c r="AA410" s="2994">
        <v>0.92290000000000005</v>
      </c>
      <c r="AB410" s="2994">
        <v>0.82289999999999996</v>
      </c>
      <c r="AC410" s="2994">
        <v>0.92069999999999996</v>
      </c>
      <c r="AD410" s="2994">
        <v>0.84630000000000005</v>
      </c>
      <c r="AE410" s="2994">
        <v>1.048</v>
      </c>
      <c r="AF410" s="2994">
        <v>1.0245</v>
      </c>
      <c r="AG410" s="2994">
        <v>0.90410000000000001</v>
      </c>
      <c r="AH410" s="2994">
        <v>1.7173</v>
      </c>
      <c r="AI410" s="2994">
        <v>1.9641999999999999</v>
      </c>
      <c r="AJ410" s="2994">
        <v>0.91900000000000004</v>
      </c>
      <c r="AK410" s="2994">
        <v>0.71560000000000001</v>
      </c>
      <c r="AL410" s="2994">
        <v>0.76039999999999996</v>
      </c>
      <c r="AM410" s="2994">
        <v>0.84589999999999999</v>
      </c>
      <c r="AN410" s="2994">
        <v>1.0343</v>
      </c>
      <c r="AO410" s="2994">
        <v>0.92759999999999998</v>
      </c>
      <c r="AP410" s="2994">
        <v>0.92369999999999997</v>
      </c>
      <c r="AQ410" s="2994">
        <v>0.44619999999999999</v>
      </c>
      <c r="AR410" s="2994">
        <v>0.96870000000000001</v>
      </c>
      <c r="AS410" s="2994">
        <v>1.0225</v>
      </c>
      <c r="AT410" s="2994">
        <v>0.86880000000000002</v>
      </c>
      <c r="AU410" s="2994">
        <v>1.2219</v>
      </c>
      <c r="AV410" s="2994">
        <v>0.68340000000000001</v>
      </c>
      <c r="AW410" s="2994">
        <v>0.80200000000000005</v>
      </c>
      <c r="AX410" s="2994">
        <v>0.89139999999999997</v>
      </c>
      <c r="AY410" s="2994">
        <v>1.032</v>
      </c>
      <c r="AZ410" s="2994">
        <v>1.1571</v>
      </c>
      <c r="BA410" s="2994">
        <v>0.98440000000000005</v>
      </c>
      <c r="BB410" s="2994">
        <v>0.98250000000000004</v>
      </c>
      <c r="BC410" s="2994">
        <v>0.69740000000000002</v>
      </c>
      <c r="BD410" s="3471">
        <v>1.2057</v>
      </c>
      <c r="BE410" s="3471">
        <v>0.86240000000000006</v>
      </c>
      <c r="BF410" s="3471">
        <v>0.2858</v>
      </c>
    </row>
    <row r="411" spans="1:58">
      <c r="A411" s="1817" t="str">
        <f t="shared" si="13"/>
        <v>Central AmericaLettuce and chicory</v>
      </c>
      <c r="B411" s="1818" t="s">
        <v>305</v>
      </c>
      <c r="C411" s="1818" t="s">
        <v>7345</v>
      </c>
      <c r="D411" s="3463" t="str">
        <f>VLOOKUP(B411,List_Yield!$G$4:$J$14,4,FALSE)</f>
        <v>Central America</v>
      </c>
      <c r="E411" s="3463" t="str">
        <f t="shared" si="12"/>
        <v>Central AmericaLettuce and chicory</v>
      </c>
      <c r="F411" s="2994">
        <v>11.0741</v>
      </c>
      <c r="G411" s="2994">
        <v>11.2044</v>
      </c>
      <c r="H411" s="2994">
        <v>11.3309</v>
      </c>
      <c r="I411" s="2994">
        <v>11.223800000000001</v>
      </c>
      <c r="J411" s="2994">
        <v>10.986599999999999</v>
      </c>
      <c r="K411" s="2994">
        <v>11.194100000000001</v>
      </c>
      <c r="L411" s="2994">
        <v>10.051500000000001</v>
      </c>
      <c r="M411" s="2994">
        <v>10.226000000000001</v>
      </c>
      <c r="N411" s="2994">
        <v>10.5427</v>
      </c>
      <c r="O411" s="2994">
        <v>12.748200000000001</v>
      </c>
      <c r="P411" s="2994">
        <v>12.026300000000001</v>
      </c>
      <c r="Q411" s="2994">
        <v>14.400700000000001</v>
      </c>
      <c r="R411" s="2994">
        <v>14.6424</v>
      </c>
      <c r="S411" s="2994">
        <v>14.8842</v>
      </c>
      <c r="T411" s="2994">
        <v>15.3375</v>
      </c>
      <c r="U411" s="2994">
        <v>16.116599999999998</v>
      </c>
      <c r="V411" s="2994">
        <v>16.042899999999999</v>
      </c>
      <c r="W411" s="2994">
        <v>14.006600000000001</v>
      </c>
      <c r="X411" s="2994">
        <v>15.222799999999999</v>
      </c>
      <c r="Y411" s="2994">
        <v>16.9757</v>
      </c>
      <c r="Z411" s="2994">
        <v>15.7369</v>
      </c>
      <c r="AA411" s="2994">
        <v>16.444400000000002</v>
      </c>
      <c r="AB411" s="2994">
        <v>18.109300000000001</v>
      </c>
      <c r="AC411" s="2994">
        <v>19.070499999999999</v>
      </c>
      <c r="AD411" s="2994">
        <v>16.567799999999998</v>
      </c>
      <c r="AE411" s="2994">
        <v>17.390699999999999</v>
      </c>
      <c r="AF411" s="2994">
        <v>17.136299999999999</v>
      </c>
      <c r="AG411" s="2994">
        <v>18.178699999999999</v>
      </c>
      <c r="AH411" s="2994">
        <v>19.660499999999999</v>
      </c>
      <c r="AI411" s="2994">
        <v>19.075600000000001</v>
      </c>
      <c r="AJ411" s="2994">
        <v>20.519400000000001</v>
      </c>
      <c r="AK411" s="2994">
        <v>20.058</v>
      </c>
      <c r="AL411" s="2994">
        <v>19.4514</v>
      </c>
      <c r="AM411" s="2994">
        <v>18.506699999999999</v>
      </c>
      <c r="AN411" s="2994">
        <v>18.985700000000001</v>
      </c>
      <c r="AO411" s="2994">
        <v>19.633600000000001</v>
      </c>
      <c r="AP411" s="2994">
        <v>19.634599999999999</v>
      </c>
      <c r="AQ411" s="2994">
        <v>18.8233</v>
      </c>
      <c r="AR411" s="2994">
        <v>20.011900000000001</v>
      </c>
      <c r="AS411" s="2994">
        <v>20.2559</v>
      </c>
      <c r="AT411" s="2994">
        <v>20.715</v>
      </c>
      <c r="AU411" s="2994">
        <v>21.131399999999999</v>
      </c>
      <c r="AV411" s="2994">
        <v>20.876799999999999</v>
      </c>
      <c r="AW411" s="2994">
        <v>19.427</v>
      </c>
      <c r="AX411" s="2994">
        <v>20.531500000000001</v>
      </c>
      <c r="AY411" s="2994">
        <v>19.927</v>
      </c>
      <c r="AZ411" s="2994">
        <v>21.953600000000002</v>
      </c>
      <c r="BA411" s="2994">
        <v>22.020600000000002</v>
      </c>
      <c r="BB411" s="2994">
        <v>20.730799999999999</v>
      </c>
      <c r="BC411" s="2994">
        <v>21.127400000000002</v>
      </c>
      <c r="BD411" s="3471">
        <v>20.699400000000001</v>
      </c>
      <c r="BE411" s="3471">
        <v>21.241599999999998</v>
      </c>
      <c r="BF411" s="3471">
        <v>0</v>
      </c>
    </row>
    <row r="412" spans="1:58">
      <c r="A412" s="1817" t="str">
        <f t="shared" si="13"/>
        <v>Central AmericaLinseed</v>
      </c>
      <c r="B412" s="1818" t="s">
        <v>305</v>
      </c>
      <c r="C412" s="1818" t="s">
        <v>1355</v>
      </c>
      <c r="D412" s="3463" t="str">
        <f>VLOOKUP(B412,List_Yield!$G$4:$J$14,4,FALSE)</f>
        <v>Central America</v>
      </c>
      <c r="E412" s="3463" t="str">
        <f t="shared" si="12"/>
        <v>Central AmericaLinseed</v>
      </c>
      <c r="F412" s="2994">
        <v>0.74370000000000003</v>
      </c>
      <c r="G412" s="2994">
        <v>0.78659999999999997</v>
      </c>
      <c r="H412" s="2994">
        <v>0.76060000000000005</v>
      </c>
      <c r="I412" s="2994">
        <v>0.79330000000000001</v>
      </c>
      <c r="J412" s="2994">
        <v>0.91790000000000005</v>
      </c>
      <c r="K412" s="2994">
        <v>0.94</v>
      </c>
      <c r="L412" s="2994">
        <v>0.92200000000000004</v>
      </c>
      <c r="M412" s="2994">
        <v>0.79769999999999996</v>
      </c>
      <c r="N412" s="2994">
        <v>1.0778000000000001</v>
      </c>
      <c r="O412" s="2994">
        <v>1.4963</v>
      </c>
      <c r="P412" s="2994">
        <v>1.5048999999999999</v>
      </c>
      <c r="Q412" s="2994">
        <v>1.4908999999999999</v>
      </c>
      <c r="R412" s="2994">
        <v>1.532</v>
      </c>
      <c r="S412" s="2994">
        <v>1.3967000000000001</v>
      </c>
      <c r="T412" s="2994">
        <v>1.7092000000000001</v>
      </c>
      <c r="U412" s="2994">
        <v>1.5845</v>
      </c>
      <c r="V412" s="2994">
        <v>1.6321000000000001</v>
      </c>
      <c r="W412" s="2994">
        <v>1.6778999999999999</v>
      </c>
      <c r="X412" s="2994">
        <v>0.85260000000000002</v>
      </c>
      <c r="Y412" s="2994">
        <v>0.9526</v>
      </c>
      <c r="Z412" s="2994">
        <v>0.99299999999999999</v>
      </c>
      <c r="AA412" s="2994">
        <v>0.82699999999999996</v>
      </c>
      <c r="AB412" s="2994">
        <v>1.0610999999999999</v>
      </c>
      <c r="AC412" s="2994">
        <v>0.84789999999999999</v>
      </c>
      <c r="AD412" s="2994">
        <v>0.76029999999999998</v>
      </c>
      <c r="AE412" s="2994">
        <v>0.6804</v>
      </c>
      <c r="AF412" s="2994">
        <v>0.35339999999999999</v>
      </c>
      <c r="AG412" s="2994">
        <v>0.42859999999999998</v>
      </c>
      <c r="AH412" s="2994">
        <v>1.8169</v>
      </c>
      <c r="AI412" s="2994">
        <v>2.4906000000000001</v>
      </c>
      <c r="AJ412" s="2994">
        <v>0.4</v>
      </c>
      <c r="AK412" s="2994">
        <v>0.4</v>
      </c>
      <c r="AL412" s="2994">
        <v>0.2545</v>
      </c>
      <c r="AM412" s="2994">
        <v>10</v>
      </c>
      <c r="AN412" s="2994">
        <v>6</v>
      </c>
      <c r="AO412" s="2994">
        <v>8</v>
      </c>
      <c r="AP412" s="2994">
        <v>10</v>
      </c>
      <c r="AQ412" s="2994">
        <v>8</v>
      </c>
      <c r="AR412" s="2994">
        <v>6.5</v>
      </c>
      <c r="AS412" s="2994">
        <v>0.625</v>
      </c>
      <c r="AT412" s="2994">
        <v>0.60609999999999997</v>
      </c>
      <c r="AU412" s="2994">
        <v>0.7</v>
      </c>
      <c r="AV412" s="2994">
        <v>0.71109999999999995</v>
      </c>
      <c r="AW412" s="2994">
        <v>0.68969999999999998</v>
      </c>
      <c r="AX412" s="2994">
        <v>0.68569999999999998</v>
      </c>
      <c r="AY412" s="2994">
        <v>0.70589999999999997</v>
      </c>
      <c r="AZ412" s="2994">
        <v>0.69899999999999995</v>
      </c>
      <c r="BA412" s="2994">
        <v>0.6986</v>
      </c>
      <c r="BB412" s="2994">
        <v>0.69230000000000003</v>
      </c>
      <c r="BC412" s="2994">
        <v>0.69440000000000002</v>
      </c>
      <c r="BD412" s="3471">
        <v>0.69230000000000003</v>
      </c>
      <c r="BE412" s="3471">
        <v>0.68</v>
      </c>
      <c r="BF412" s="3471">
        <v>0.66669999999999996</v>
      </c>
    </row>
    <row r="413" spans="1:58">
      <c r="A413" s="1817" t="str">
        <f t="shared" si="13"/>
        <v>Central AmericaLupins</v>
      </c>
      <c r="B413" s="1818" t="s">
        <v>305</v>
      </c>
      <c r="C413" s="1818" t="s">
        <v>7346</v>
      </c>
      <c r="D413" s="3463" t="str">
        <f>VLOOKUP(B413,List_Yield!$G$4:$J$14,4,FALSE)</f>
        <v>Central America</v>
      </c>
      <c r="E413" s="3463" t="str">
        <f t="shared" si="12"/>
        <v>Central AmericaLupins</v>
      </c>
      <c r="F413" s="2994">
        <v>0</v>
      </c>
      <c r="G413" s="2994">
        <v>0</v>
      </c>
      <c r="H413" s="2994">
        <v>0</v>
      </c>
      <c r="I413" s="2994">
        <v>0</v>
      </c>
      <c r="J413" s="2994">
        <v>0</v>
      </c>
      <c r="K413" s="2994">
        <v>0</v>
      </c>
      <c r="L413" s="2994">
        <v>0</v>
      </c>
      <c r="M413" s="2994">
        <v>0</v>
      </c>
      <c r="N413" s="2994">
        <v>0</v>
      </c>
      <c r="O413" s="2994">
        <v>0</v>
      </c>
      <c r="P413" s="2994">
        <v>0</v>
      </c>
      <c r="Q413" s="2994">
        <v>0</v>
      </c>
      <c r="R413" s="2994">
        <v>0</v>
      </c>
      <c r="S413" s="2994">
        <v>0</v>
      </c>
      <c r="T413" s="2994">
        <v>0</v>
      </c>
      <c r="U413" s="2994">
        <v>0</v>
      </c>
      <c r="V413" s="2994">
        <v>0</v>
      </c>
      <c r="W413" s="2994">
        <v>0</v>
      </c>
      <c r="X413" s="2994">
        <v>0</v>
      </c>
      <c r="Y413" s="2994">
        <v>0</v>
      </c>
      <c r="Z413" s="2994">
        <v>0</v>
      </c>
      <c r="AA413" s="2994">
        <v>0</v>
      </c>
      <c r="AB413" s="2994">
        <v>0</v>
      </c>
      <c r="AC413" s="2994">
        <v>0</v>
      </c>
      <c r="AD413" s="2994">
        <v>0</v>
      </c>
      <c r="AE413" s="2994">
        <v>0</v>
      </c>
      <c r="AF413" s="2994">
        <v>0</v>
      </c>
      <c r="AG413" s="2994">
        <v>0</v>
      </c>
      <c r="AH413" s="2994">
        <v>0</v>
      </c>
      <c r="AI413" s="2994">
        <v>0</v>
      </c>
      <c r="AJ413" s="2994">
        <v>0</v>
      </c>
      <c r="AK413" s="2994">
        <v>0</v>
      </c>
      <c r="AL413" s="2994">
        <v>0</v>
      </c>
      <c r="AM413" s="2994">
        <v>0</v>
      </c>
      <c r="AN413" s="2994">
        <v>0</v>
      </c>
      <c r="AO413" s="2994">
        <v>0</v>
      </c>
      <c r="AP413" s="2994">
        <v>0</v>
      </c>
      <c r="AQ413" s="2994">
        <v>0</v>
      </c>
      <c r="AR413" s="2994">
        <v>0</v>
      </c>
      <c r="AS413" s="2994">
        <v>0</v>
      </c>
      <c r="AT413" s="2994">
        <v>0</v>
      </c>
      <c r="AU413" s="2994">
        <v>0</v>
      </c>
      <c r="AV413" s="2994">
        <v>0</v>
      </c>
      <c r="AW413" s="2994">
        <v>0</v>
      </c>
      <c r="AX413" s="2994">
        <v>0</v>
      </c>
      <c r="AY413" s="2994">
        <v>0</v>
      </c>
      <c r="AZ413" s="2994">
        <v>0</v>
      </c>
      <c r="BA413" s="2994">
        <v>0</v>
      </c>
      <c r="BB413" s="2994">
        <v>0</v>
      </c>
      <c r="BC413" s="2994">
        <v>0</v>
      </c>
      <c r="BD413" s="3471">
        <v>0</v>
      </c>
      <c r="BE413" s="3471">
        <v>0</v>
      </c>
      <c r="BF413" s="3471">
        <v>0</v>
      </c>
    </row>
    <row r="414" spans="1:58">
      <c r="A414" s="1817" t="str">
        <f t="shared" si="13"/>
        <v>Central AmericaMaize</v>
      </c>
      <c r="B414" s="1818" t="s">
        <v>305</v>
      </c>
      <c r="C414" s="1818" t="s">
        <v>1356</v>
      </c>
      <c r="D414" s="3463" t="str">
        <f>VLOOKUP(B414,List_Yield!$G$4:$J$14,4,FALSE)</f>
        <v>Central America</v>
      </c>
      <c r="E414" s="3463" t="str">
        <f t="shared" si="12"/>
        <v>Central AmericaMaize</v>
      </c>
      <c r="F414" s="2994">
        <v>0.9738</v>
      </c>
      <c r="G414" s="2994">
        <v>0.98480000000000001</v>
      </c>
      <c r="H414" s="2994">
        <v>0.98</v>
      </c>
      <c r="I414" s="2994">
        <v>1.1066</v>
      </c>
      <c r="J414" s="2994">
        <v>1.1316999999999999</v>
      </c>
      <c r="K414" s="2994">
        <v>1.1021000000000001</v>
      </c>
      <c r="L414" s="2994">
        <v>1.1029</v>
      </c>
      <c r="M414" s="2994">
        <v>1.1599999999999999</v>
      </c>
      <c r="N414" s="2994">
        <v>1.1675</v>
      </c>
      <c r="O414" s="2994">
        <v>1.1959</v>
      </c>
      <c r="P414" s="2994">
        <v>1.2596000000000001</v>
      </c>
      <c r="Q414" s="2994">
        <v>1.2353000000000001</v>
      </c>
      <c r="R414" s="2994">
        <v>1.175</v>
      </c>
      <c r="S414" s="2994">
        <v>1.1852</v>
      </c>
      <c r="T414" s="2994">
        <v>1.2863</v>
      </c>
      <c r="U414" s="2994">
        <v>1.1848000000000001</v>
      </c>
      <c r="V414" s="2994">
        <v>1.3248</v>
      </c>
      <c r="W414" s="2994">
        <v>1.4887999999999999</v>
      </c>
      <c r="X414" s="2994">
        <v>1.5081</v>
      </c>
      <c r="Y414" s="2994">
        <v>1.7427999999999999</v>
      </c>
      <c r="Z414" s="2994">
        <v>1.7574000000000001</v>
      </c>
      <c r="AA414" s="2994">
        <v>1.7276</v>
      </c>
      <c r="AB414" s="2994">
        <v>1.7479</v>
      </c>
      <c r="AC414" s="2994">
        <v>1.7943</v>
      </c>
      <c r="AD414" s="2994">
        <v>1.8085</v>
      </c>
      <c r="AE414" s="2994">
        <v>1.794</v>
      </c>
      <c r="AF414" s="2994">
        <v>1.6843999999999999</v>
      </c>
      <c r="AG414" s="2994">
        <v>1.6453</v>
      </c>
      <c r="AH414" s="2994">
        <v>1.7130000000000001</v>
      </c>
      <c r="AI414" s="2994">
        <v>1.9541999999999999</v>
      </c>
      <c r="AJ414" s="2994">
        <v>1.9559</v>
      </c>
      <c r="AK414" s="2994">
        <v>2.2187000000000001</v>
      </c>
      <c r="AL414" s="2994">
        <v>2.2949000000000002</v>
      </c>
      <c r="AM414" s="2994">
        <v>2.1240999999999999</v>
      </c>
      <c r="AN414" s="2994">
        <v>2.1993</v>
      </c>
      <c r="AO414" s="2994">
        <v>2.1509</v>
      </c>
      <c r="AP414" s="2994">
        <v>2.2311999999999999</v>
      </c>
      <c r="AQ414" s="2994">
        <v>2.1922999999999999</v>
      </c>
      <c r="AR414" s="2994">
        <v>2.3239000000000001</v>
      </c>
      <c r="AS414" s="2994">
        <v>2.3140000000000001</v>
      </c>
      <c r="AT414" s="2994">
        <v>2.4211</v>
      </c>
      <c r="AU414" s="2994">
        <v>2.5154000000000001</v>
      </c>
      <c r="AV414" s="2994">
        <v>2.5666000000000002</v>
      </c>
      <c r="AW414" s="2994">
        <v>2.6151</v>
      </c>
      <c r="AX414" s="2994">
        <v>2.6438000000000001</v>
      </c>
      <c r="AY414" s="2994">
        <v>2.75</v>
      </c>
      <c r="AZ414" s="2994">
        <v>3.0076999999999998</v>
      </c>
      <c r="BA414" s="2994">
        <v>3.0910000000000002</v>
      </c>
      <c r="BB414" s="2994">
        <v>2.9527999999999999</v>
      </c>
      <c r="BC414" s="2994">
        <v>2.9910999999999999</v>
      </c>
      <c r="BD414" s="3471">
        <v>2.6789999999999998</v>
      </c>
      <c r="BE414" s="3471">
        <v>2.9390999999999998</v>
      </c>
      <c r="BF414" s="3471">
        <v>2.9451999999999998</v>
      </c>
    </row>
    <row r="415" spans="1:58">
      <c r="A415" s="1817" t="str">
        <f t="shared" si="13"/>
        <v>Central AmericaMaize, green</v>
      </c>
      <c r="B415" s="1818" t="s">
        <v>305</v>
      </c>
      <c r="C415" s="1818" t="s">
        <v>1357</v>
      </c>
      <c r="D415" s="3463" t="str">
        <f>VLOOKUP(B415,List_Yield!$G$4:$J$14,4,FALSE)</f>
        <v>Central America</v>
      </c>
      <c r="E415" s="3463" t="str">
        <f t="shared" si="12"/>
        <v>Central AmericaMaize, green</v>
      </c>
      <c r="F415" s="2994">
        <v>0</v>
      </c>
      <c r="G415" s="2994">
        <v>0</v>
      </c>
      <c r="H415" s="2994">
        <v>0</v>
      </c>
      <c r="I415" s="2994">
        <v>0</v>
      </c>
      <c r="J415" s="2994">
        <v>0</v>
      </c>
      <c r="K415" s="2994">
        <v>0</v>
      </c>
      <c r="L415" s="2994">
        <v>0</v>
      </c>
      <c r="M415" s="2994">
        <v>0</v>
      </c>
      <c r="N415" s="2994">
        <v>0</v>
      </c>
      <c r="O415" s="2994">
        <v>0</v>
      </c>
      <c r="P415" s="2994">
        <v>0</v>
      </c>
      <c r="Q415" s="2994">
        <v>0</v>
      </c>
      <c r="R415" s="2994">
        <v>0</v>
      </c>
      <c r="S415" s="2994">
        <v>0</v>
      </c>
      <c r="T415" s="2994">
        <v>0</v>
      </c>
      <c r="U415" s="2994">
        <v>0</v>
      </c>
      <c r="V415" s="2994">
        <v>0</v>
      </c>
      <c r="W415" s="2994">
        <v>0</v>
      </c>
      <c r="X415" s="2994">
        <v>0</v>
      </c>
      <c r="Y415" s="2994">
        <v>9.6210000000000004</v>
      </c>
      <c r="Z415" s="2994">
        <v>9.0900999999999996</v>
      </c>
      <c r="AA415" s="2994">
        <v>10.4269</v>
      </c>
      <c r="AB415" s="2994">
        <v>10.7018</v>
      </c>
      <c r="AC415" s="2994">
        <v>10.748900000000001</v>
      </c>
      <c r="AD415" s="2994">
        <v>10.6516</v>
      </c>
      <c r="AE415" s="2994">
        <v>10.979200000000001</v>
      </c>
      <c r="AF415" s="2994">
        <v>9.0078999999999994</v>
      </c>
      <c r="AG415" s="2994">
        <v>9.2918000000000003</v>
      </c>
      <c r="AH415" s="2994">
        <v>10.3674</v>
      </c>
      <c r="AI415" s="2994">
        <v>9.1928999999999998</v>
      </c>
      <c r="AJ415" s="2994">
        <v>9.5838000000000001</v>
      </c>
      <c r="AK415" s="2994">
        <v>9.9184999999999999</v>
      </c>
      <c r="AL415" s="2994">
        <v>9.6052999999999997</v>
      </c>
      <c r="AM415" s="2994">
        <v>9.3231999999999999</v>
      </c>
      <c r="AN415" s="2994">
        <v>9.7337000000000007</v>
      </c>
      <c r="AO415" s="2994">
        <v>10.710100000000001</v>
      </c>
      <c r="AP415" s="2994">
        <v>9.6428999999999991</v>
      </c>
      <c r="AQ415" s="2994">
        <v>9.9672000000000001</v>
      </c>
      <c r="AR415" s="2994">
        <v>10.492000000000001</v>
      </c>
      <c r="AS415" s="2994">
        <v>11.1808</v>
      </c>
      <c r="AT415" s="2994">
        <v>12.5397</v>
      </c>
      <c r="AU415" s="2994">
        <v>11.699</v>
      </c>
      <c r="AV415" s="2994">
        <v>11.6454</v>
      </c>
      <c r="AW415" s="2994">
        <v>9.7737999999999996</v>
      </c>
      <c r="AX415" s="2994">
        <v>8.9724000000000004</v>
      </c>
      <c r="AY415" s="2994">
        <v>9.4884000000000004</v>
      </c>
      <c r="AZ415" s="2994">
        <v>11.007899999999999</v>
      </c>
      <c r="BA415" s="2994">
        <v>10.812900000000001</v>
      </c>
      <c r="BB415" s="2994">
        <v>9.9059000000000008</v>
      </c>
      <c r="BC415" s="2994">
        <v>11.5403</v>
      </c>
      <c r="BD415" s="3471">
        <v>12.076700000000001</v>
      </c>
      <c r="BE415" s="3471">
        <v>12.464600000000001</v>
      </c>
      <c r="BF415" s="3471">
        <v>0</v>
      </c>
    </row>
    <row r="416" spans="1:58">
      <c r="A416" s="1817" t="str">
        <f t="shared" si="13"/>
        <v>Central AmericaMangoes, mangosteens, guavas</v>
      </c>
      <c r="B416" s="1818" t="s">
        <v>305</v>
      </c>
      <c r="C416" s="1818" t="s">
        <v>1358</v>
      </c>
      <c r="D416" s="3463" t="str">
        <f>VLOOKUP(B416,List_Yield!$G$4:$J$14,4,FALSE)</f>
        <v>Central America</v>
      </c>
      <c r="E416" s="3463" t="str">
        <f t="shared" si="12"/>
        <v>Central AmericaMangoes, mangosteens, guavas</v>
      </c>
      <c r="F416" s="2994">
        <v>25.657699999999998</v>
      </c>
      <c r="G416" s="2994">
        <v>27.482500000000002</v>
      </c>
      <c r="H416" s="2994">
        <v>28.444900000000001</v>
      </c>
      <c r="I416" s="2994">
        <v>29.108899999999998</v>
      </c>
      <c r="J416" s="2994">
        <v>29.063700000000001</v>
      </c>
      <c r="K416" s="2994">
        <v>28.8643</v>
      </c>
      <c r="L416" s="2994">
        <v>28.822500000000002</v>
      </c>
      <c r="M416" s="2994">
        <v>29.299600000000002</v>
      </c>
      <c r="N416" s="2994">
        <v>26.836099999999998</v>
      </c>
      <c r="O416" s="2994">
        <v>22.111799999999999</v>
      </c>
      <c r="P416" s="2994">
        <v>14.3354</v>
      </c>
      <c r="Q416" s="2994">
        <v>13.3895</v>
      </c>
      <c r="R416" s="2994">
        <v>12.2622</v>
      </c>
      <c r="S416" s="2994">
        <v>13.8058</v>
      </c>
      <c r="T416" s="2994">
        <v>11.1229</v>
      </c>
      <c r="U416" s="2994">
        <v>11.328799999999999</v>
      </c>
      <c r="V416" s="2994">
        <v>10.1701</v>
      </c>
      <c r="W416" s="2994">
        <v>11.7262</v>
      </c>
      <c r="X416" s="2994">
        <v>10.2858</v>
      </c>
      <c r="Y416" s="2994">
        <v>10.4344</v>
      </c>
      <c r="Z416" s="2994">
        <v>17.5093</v>
      </c>
      <c r="AA416" s="2994">
        <v>10.9557</v>
      </c>
      <c r="AB416" s="2994">
        <v>10.362500000000001</v>
      </c>
      <c r="AC416" s="2994">
        <v>11.3017</v>
      </c>
      <c r="AD416" s="2994">
        <v>10.19</v>
      </c>
      <c r="AE416" s="2994">
        <v>10.9217</v>
      </c>
      <c r="AF416" s="2994">
        <v>10.470800000000001</v>
      </c>
      <c r="AG416" s="2994">
        <v>10.108700000000001</v>
      </c>
      <c r="AH416" s="2994">
        <v>9.8896999999999995</v>
      </c>
      <c r="AI416" s="2994">
        <v>9.4807000000000006</v>
      </c>
      <c r="AJ416" s="2994">
        <v>9.3134999999999994</v>
      </c>
      <c r="AK416" s="2994">
        <v>8.4654000000000007</v>
      </c>
      <c r="AL416" s="2994">
        <v>9.2966999999999995</v>
      </c>
      <c r="AM416" s="2994">
        <v>8.7674000000000003</v>
      </c>
      <c r="AN416" s="2994">
        <v>10.057</v>
      </c>
      <c r="AO416" s="2994">
        <v>8.907</v>
      </c>
      <c r="AP416" s="2994">
        <v>10.160500000000001</v>
      </c>
      <c r="AQ416" s="2994">
        <v>9.7537000000000003</v>
      </c>
      <c r="AR416" s="2994">
        <v>9.8806999999999992</v>
      </c>
      <c r="AS416" s="2994">
        <v>10.3367</v>
      </c>
      <c r="AT416" s="2994">
        <v>9.3686000000000007</v>
      </c>
      <c r="AU416" s="2994">
        <v>9.0341000000000005</v>
      </c>
      <c r="AV416" s="2994">
        <v>7.6327999999999996</v>
      </c>
      <c r="AW416" s="2994">
        <v>9.0696999999999992</v>
      </c>
      <c r="AX416" s="2994">
        <v>8.8130000000000006</v>
      </c>
      <c r="AY416" s="2994">
        <v>9.9743999999999993</v>
      </c>
      <c r="AZ416" s="2994">
        <v>9.5481999999999996</v>
      </c>
      <c r="BA416" s="2994">
        <v>9.5570000000000004</v>
      </c>
      <c r="BB416" s="2994">
        <v>8.6525999999999996</v>
      </c>
      <c r="BC416" s="2994">
        <v>9.0371000000000006</v>
      </c>
      <c r="BD416" s="3471">
        <v>9.0037000000000003</v>
      </c>
      <c r="BE416" s="3471">
        <v>8.7971000000000004</v>
      </c>
      <c r="BF416" s="3471">
        <v>0</v>
      </c>
    </row>
    <row r="417" spans="1:58">
      <c r="A417" s="1817" t="str">
        <f t="shared" si="13"/>
        <v>Central AmericaManila fibre (abaca)</v>
      </c>
      <c r="B417" s="1818" t="s">
        <v>305</v>
      </c>
      <c r="C417" s="1818" t="s">
        <v>7347</v>
      </c>
      <c r="D417" s="3463" t="str">
        <f>VLOOKUP(B417,List_Yield!$G$4:$J$14,4,FALSE)</f>
        <v>Central America</v>
      </c>
      <c r="E417" s="3463" t="str">
        <f t="shared" si="12"/>
        <v>Central AmericaManila fibre (abaca)</v>
      </c>
      <c r="F417" s="2994">
        <v>1.04</v>
      </c>
      <c r="G417" s="2994">
        <v>1.0357000000000001</v>
      </c>
      <c r="H417" s="2994">
        <v>1.0444</v>
      </c>
      <c r="I417" s="2994">
        <v>1.0182</v>
      </c>
      <c r="J417" s="2994">
        <v>1.0088999999999999</v>
      </c>
      <c r="K417" s="2994">
        <v>1.0158</v>
      </c>
      <c r="L417" s="2994">
        <v>1</v>
      </c>
      <c r="M417" s="2994">
        <v>1</v>
      </c>
      <c r="N417" s="2994">
        <v>1</v>
      </c>
      <c r="O417" s="2994">
        <v>1</v>
      </c>
      <c r="P417" s="2994">
        <v>1</v>
      </c>
      <c r="Q417" s="2994">
        <v>1</v>
      </c>
      <c r="R417" s="2994">
        <v>1</v>
      </c>
      <c r="S417" s="2994">
        <v>1</v>
      </c>
      <c r="T417" s="2994">
        <v>1</v>
      </c>
      <c r="U417" s="2994">
        <v>1</v>
      </c>
      <c r="V417" s="2994">
        <v>1</v>
      </c>
      <c r="W417" s="2994">
        <v>1</v>
      </c>
      <c r="X417" s="2994">
        <v>1</v>
      </c>
      <c r="Y417" s="2994">
        <v>1</v>
      </c>
      <c r="Z417" s="2994">
        <v>1</v>
      </c>
      <c r="AA417" s="2994">
        <v>1</v>
      </c>
      <c r="AB417" s="2994">
        <v>1</v>
      </c>
      <c r="AC417" s="2994">
        <v>1</v>
      </c>
      <c r="AD417" s="2994">
        <v>1</v>
      </c>
      <c r="AE417" s="2994">
        <v>1</v>
      </c>
      <c r="AF417" s="2994">
        <v>1</v>
      </c>
      <c r="AG417" s="2994">
        <v>1</v>
      </c>
      <c r="AH417" s="2994">
        <v>1</v>
      </c>
      <c r="AI417" s="2994">
        <v>0.86319999999999997</v>
      </c>
      <c r="AJ417" s="2994">
        <v>0.61460000000000004</v>
      </c>
      <c r="AK417" s="2994">
        <v>0.58979999999999999</v>
      </c>
      <c r="AL417" s="2994">
        <v>1</v>
      </c>
      <c r="AM417" s="2994">
        <v>0.90600000000000003</v>
      </c>
      <c r="AN417" s="2994">
        <v>1.036</v>
      </c>
      <c r="AO417" s="2994">
        <v>1.1835</v>
      </c>
      <c r="AP417" s="2994">
        <v>1.1838</v>
      </c>
      <c r="AQ417" s="2994">
        <v>1.3072999999999999</v>
      </c>
      <c r="AR417" s="2994">
        <v>1.3607</v>
      </c>
      <c r="AS417" s="2994">
        <v>1.5721000000000001</v>
      </c>
      <c r="AT417" s="2994">
        <v>1.7958000000000001</v>
      </c>
      <c r="AU417" s="2994">
        <v>1.4724999999999999</v>
      </c>
      <c r="AV417" s="2994">
        <v>1.6022000000000001</v>
      </c>
      <c r="AW417" s="2994">
        <v>1.4721</v>
      </c>
      <c r="AX417" s="2994">
        <v>1.3261000000000001</v>
      </c>
      <c r="AY417" s="2994">
        <v>1.2733000000000001</v>
      </c>
      <c r="AZ417" s="2994">
        <v>1.2291000000000001</v>
      </c>
      <c r="BA417" s="2994">
        <v>1.2712000000000001</v>
      </c>
      <c r="BB417" s="2994">
        <v>1.2179</v>
      </c>
      <c r="BC417" s="2994">
        <v>1.1089</v>
      </c>
      <c r="BD417" s="3471">
        <v>1.1807000000000001</v>
      </c>
      <c r="BE417" s="3471">
        <v>1.1807000000000001</v>
      </c>
      <c r="BF417" s="3471">
        <v>0</v>
      </c>
    </row>
    <row r="418" spans="1:58">
      <c r="A418" s="1817" t="str">
        <f t="shared" si="13"/>
        <v>Central AmericaMaté</v>
      </c>
      <c r="B418" s="1818" t="s">
        <v>305</v>
      </c>
      <c r="C418" s="1818" t="s">
        <v>2268</v>
      </c>
      <c r="D418" s="3463" t="str">
        <f>VLOOKUP(B418,List_Yield!$G$4:$J$14,4,FALSE)</f>
        <v>Central America</v>
      </c>
      <c r="E418" s="3463" t="str">
        <f t="shared" si="12"/>
        <v>Central AmericaMaté</v>
      </c>
      <c r="F418" s="2994">
        <v>0</v>
      </c>
      <c r="G418" s="2994">
        <v>0</v>
      </c>
      <c r="H418" s="2994">
        <v>0</v>
      </c>
      <c r="I418" s="2994">
        <v>0</v>
      </c>
      <c r="J418" s="2994">
        <v>0</v>
      </c>
      <c r="K418" s="2994">
        <v>0</v>
      </c>
      <c r="L418" s="2994">
        <v>0</v>
      </c>
      <c r="M418" s="2994">
        <v>0</v>
      </c>
      <c r="N418" s="2994">
        <v>0</v>
      </c>
      <c r="O418" s="2994">
        <v>0</v>
      </c>
      <c r="P418" s="2994">
        <v>0</v>
      </c>
      <c r="Q418" s="2994">
        <v>0</v>
      </c>
      <c r="R418" s="2994">
        <v>0</v>
      </c>
      <c r="S418" s="2994">
        <v>0</v>
      </c>
      <c r="T418" s="2994">
        <v>0</v>
      </c>
      <c r="U418" s="2994">
        <v>0</v>
      </c>
      <c r="V418" s="2994">
        <v>0</v>
      </c>
      <c r="W418" s="2994">
        <v>0</v>
      </c>
      <c r="X418" s="2994">
        <v>0</v>
      </c>
      <c r="Y418" s="2994">
        <v>0</v>
      </c>
      <c r="Z418" s="2994">
        <v>0</v>
      </c>
      <c r="AA418" s="2994">
        <v>0</v>
      </c>
      <c r="AB418" s="2994">
        <v>0</v>
      </c>
      <c r="AC418" s="2994">
        <v>0</v>
      </c>
      <c r="AD418" s="2994">
        <v>0</v>
      </c>
      <c r="AE418" s="2994">
        <v>0</v>
      </c>
      <c r="AF418" s="2994">
        <v>0</v>
      </c>
      <c r="AG418" s="2994">
        <v>0</v>
      </c>
      <c r="AH418" s="2994">
        <v>0</v>
      </c>
      <c r="AI418" s="2994">
        <v>0</v>
      </c>
      <c r="AJ418" s="2994">
        <v>0</v>
      </c>
      <c r="AK418" s="2994">
        <v>0</v>
      </c>
      <c r="AL418" s="2994">
        <v>0</v>
      </c>
      <c r="AM418" s="2994">
        <v>0</v>
      </c>
      <c r="AN418" s="2994">
        <v>0</v>
      </c>
      <c r="AO418" s="2994">
        <v>0</v>
      </c>
      <c r="AP418" s="2994">
        <v>0</v>
      </c>
      <c r="AQ418" s="2994">
        <v>0</v>
      </c>
      <c r="AR418" s="2994">
        <v>0</v>
      </c>
      <c r="AS418" s="2994">
        <v>0</v>
      </c>
      <c r="AT418" s="2994">
        <v>0</v>
      </c>
      <c r="AU418" s="2994">
        <v>0</v>
      </c>
      <c r="AV418" s="2994">
        <v>0</v>
      </c>
      <c r="AW418" s="2994">
        <v>0</v>
      </c>
      <c r="AX418" s="2994">
        <v>0</v>
      </c>
      <c r="AY418" s="2994">
        <v>0</v>
      </c>
      <c r="AZ418" s="2994">
        <v>0</v>
      </c>
      <c r="BA418" s="2994">
        <v>0</v>
      </c>
      <c r="BB418" s="2994">
        <v>0</v>
      </c>
      <c r="BC418" s="2994">
        <v>0</v>
      </c>
      <c r="BD418" s="3471">
        <v>0</v>
      </c>
      <c r="BE418" s="3471">
        <v>0</v>
      </c>
      <c r="BF418" s="3471">
        <v>0</v>
      </c>
    </row>
    <row r="419" spans="1:58">
      <c r="A419" s="1817" t="str">
        <f t="shared" si="13"/>
        <v>Central AmericaMelons, other (inc.cantaloupes)</v>
      </c>
      <c r="B419" s="1818" t="s">
        <v>305</v>
      </c>
      <c r="C419" s="1818" t="s">
        <v>7348</v>
      </c>
      <c r="D419" s="3463" t="str">
        <f>VLOOKUP(B419,List_Yield!$G$4:$J$14,4,FALSE)</f>
        <v>Central America</v>
      </c>
      <c r="E419" s="3463" t="str">
        <f t="shared" si="12"/>
        <v>Central AmericaMelons, other (inc.cantaloupes)</v>
      </c>
      <c r="F419" s="2994">
        <v>5.2087000000000003</v>
      </c>
      <c r="G419" s="2994">
        <v>8.6038999999999994</v>
      </c>
      <c r="H419" s="2994">
        <v>8.8535000000000004</v>
      </c>
      <c r="I419" s="2994">
        <v>8.9872999999999994</v>
      </c>
      <c r="J419" s="2994">
        <v>14.3131</v>
      </c>
      <c r="K419" s="2994">
        <v>13.1896</v>
      </c>
      <c r="L419" s="2994">
        <v>11.4758</v>
      </c>
      <c r="M419" s="2994">
        <v>11.7674</v>
      </c>
      <c r="N419" s="2994">
        <v>9.5474999999999994</v>
      </c>
      <c r="O419" s="2994">
        <v>9.7800999999999991</v>
      </c>
      <c r="P419" s="2994">
        <v>9.8666999999999998</v>
      </c>
      <c r="Q419" s="2994">
        <v>11.772</v>
      </c>
      <c r="R419" s="2994">
        <v>11.5846</v>
      </c>
      <c r="S419" s="2994">
        <v>11.3933</v>
      </c>
      <c r="T419" s="2994">
        <v>11.9849</v>
      </c>
      <c r="U419" s="2994">
        <v>11.581</v>
      </c>
      <c r="V419" s="2994">
        <v>13.393599999999999</v>
      </c>
      <c r="W419" s="2994">
        <v>13.0625</v>
      </c>
      <c r="X419" s="2994">
        <v>12.9232</v>
      </c>
      <c r="Y419" s="2994">
        <v>11.569000000000001</v>
      </c>
      <c r="Z419" s="2994">
        <v>13.9572</v>
      </c>
      <c r="AA419" s="2994">
        <v>12.324999999999999</v>
      </c>
      <c r="AB419" s="2994">
        <v>13.0433</v>
      </c>
      <c r="AC419" s="2994">
        <v>11.856400000000001</v>
      </c>
      <c r="AD419" s="2994">
        <v>12.4374</v>
      </c>
      <c r="AE419" s="2994">
        <v>11.892799999999999</v>
      </c>
      <c r="AF419" s="2994">
        <v>11.8735</v>
      </c>
      <c r="AG419" s="2994">
        <v>12.0778</v>
      </c>
      <c r="AH419" s="2994">
        <v>12.833299999999999</v>
      </c>
      <c r="AI419" s="2994">
        <v>12.9389</v>
      </c>
      <c r="AJ419" s="2994">
        <v>12.8201</v>
      </c>
      <c r="AK419" s="2994">
        <v>12.7852</v>
      </c>
      <c r="AL419" s="2994">
        <v>14.5609</v>
      </c>
      <c r="AM419" s="2994">
        <v>16.0825</v>
      </c>
      <c r="AN419" s="2994">
        <v>15.7973</v>
      </c>
      <c r="AO419" s="2994">
        <v>17.893899999999999</v>
      </c>
      <c r="AP419" s="2994">
        <v>19.003599999999999</v>
      </c>
      <c r="AQ419" s="2994">
        <v>19.446400000000001</v>
      </c>
      <c r="AR419" s="2994">
        <v>19.502800000000001</v>
      </c>
      <c r="AS419" s="2994">
        <v>21.1234</v>
      </c>
      <c r="AT419" s="2994">
        <v>21.842099999999999</v>
      </c>
      <c r="AU419" s="2994">
        <v>22.288399999999999</v>
      </c>
      <c r="AV419" s="2994">
        <v>21.952000000000002</v>
      </c>
      <c r="AW419" s="2994">
        <v>20.940300000000001</v>
      </c>
      <c r="AX419" s="2994">
        <v>20.790199999999999</v>
      </c>
      <c r="AY419" s="2994">
        <v>22.4864</v>
      </c>
      <c r="AZ419" s="2994">
        <v>21.844200000000001</v>
      </c>
      <c r="BA419" s="2994">
        <v>21.254100000000001</v>
      </c>
      <c r="BB419" s="2994">
        <v>24.289300000000001</v>
      </c>
      <c r="BC419" s="2994">
        <v>23.943000000000001</v>
      </c>
      <c r="BD419" s="3471">
        <v>24.777999999999999</v>
      </c>
      <c r="BE419" s="3471">
        <v>23.9297</v>
      </c>
      <c r="BF419" s="3471">
        <v>0</v>
      </c>
    </row>
    <row r="420" spans="1:58">
      <c r="A420" s="1817" t="str">
        <f t="shared" si="13"/>
        <v>Central AmericaMelonseed</v>
      </c>
      <c r="B420" s="1818" t="s">
        <v>305</v>
      </c>
      <c r="C420" s="1818" t="s">
        <v>7349</v>
      </c>
      <c r="D420" s="3463" t="str">
        <f>VLOOKUP(B420,List_Yield!$G$4:$J$14,4,FALSE)</f>
        <v>Central America</v>
      </c>
      <c r="E420" s="3463" t="str">
        <f t="shared" si="12"/>
        <v>Central AmericaMelonseed</v>
      </c>
      <c r="F420" s="2994">
        <v>0</v>
      </c>
      <c r="G420" s="2994">
        <v>0</v>
      </c>
      <c r="H420" s="2994">
        <v>0</v>
      </c>
      <c r="I420" s="2994">
        <v>0</v>
      </c>
      <c r="J420" s="2994">
        <v>0</v>
      </c>
      <c r="K420" s="2994">
        <v>0</v>
      </c>
      <c r="L420" s="2994">
        <v>0</v>
      </c>
      <c r="M420" s="2994">
        <v>0</v>
      </c>
      <c r="N420" s="2994">
        <v>0</v>
      </c>
      <c r="O420" s="2994">
        <v>0</v>
      </c>
      <c r="P420" s="2994">
        <v>0</v>
      </c>
      <c r="Q420" s="2994">
        <v>0</v>
      </c>
      <c r="R420" s="2994">
        <v>0</v>
      </c>
      <c r="S420" s="2994">
        <v>0</v>
      </c>
      <c r="T420" s="2994">
        <v>0</v>
      </c>
      <c r="U420" s="2994">
        <v>0</v>
      </c>
      <c r="V420" s="2994">
        <v>0</v>
      </c>
      <c r="W420" s="2994">
        <v>0</v>
      </c>
      <c r="X420" s="2994">
        <v>0</v>
      </c>
      <c r="Y420" s="2994">
        <v>0</v>
      </c>
      <c r="Z420" s="2994">
        <v>0</v>
      </c>
      <c r="AA420" s="2994">
        <v>0</v>
      </c>
      <c r="AB420" s="2994">
        <v>0</v>
      </c>
      <c r="AC420" s="2994">
        <v>0</v>
      </c>
      <c r="AD420" s="2994">
        <v>0</v>
      </c>
      <c r="AE420" s="2994">
        <v>0</v>
      </c>
      <c r="AF420" s="2994">
        <v>0</v>
      </c>
      <c r="AG420" s="2994">
        <v>0</v>
      </c>
      <c r="AH420" s="2994">
        <v>0</v>
      </c>
      <c r="AI420" s="2994">
        <v>0</v>
      </c>
      <c r="AJ420" s="2994">
        <v>0</v>
      </c>
      <c r="AK420" s="2994">
        <v>0.1719</v>
      </c>
      <c r="AL420" s="2994">
        <v>0.1111</v>
      </c>
      <c r="AM420" s="2994">
        <v>9.01E-2</v>
      </c>
      <c r="AN420" s="2994">
        <v>0</v>
      </c>
      <c r="AO420" s="2994">
        <v>0.1333</v>
      </c>
      <c r="AP420" s="2994">
        <v>0.1807</v>
      </c>
      <c r="AQ420" s="2994">
        <v>0.1731</v>
      </c>
      <c r="AR420" s="2994">
        <v>0.17649999999999999</v>
      </c>
      <c r="AS420" s="2994">
        <v>0.15279999999999999</v>
      </c>
      <c r="AT420" s="2994">
        <v>0</v>
      </c>
      <c r="AU420" s="2994">
        <v>0.14710000000000001</v>
      </c>
      <c r="AV420" s="2994">
        <v>0.1429</v>
      </c>
      <c r="AW420" s="2994">
        <v>0.3</v>
      </c>
      <c r="AX420" s="2994">
        <v>0.17860000000000001</v>
      </c>
      <c r="AY420" s="2994">
        <v>0.2</v>
      </c>
      <c r="AZ420" s="2994">
        <v>0.1923</v>
      </c>
      <c r="BA420" s="2994">
        <v>0.1875</v>
      </c>
      <c r="BB420" s="2994">
        <v>0.125</v>
      </c>
      <c r="BC420" s="2994">
        <v>0.33329999999999999</v>
      </c>
      <c r="BD420" s="3471">
        <v>0.56669999999999998</v>
      </c>
      <c r="BE420" s="3471">
        <v>0.35849999999999999</v>
      </c>
      <c r="BF420" s="3471">
        <v>0.36359999999999998</v>
      </c>
    </row>
    <row r="421" spans="1:58">
      <c r="A421" s="1817" t="str">
        <f t="shared" si="13"/>
        <v>Central AmericaMillet</v>
      </c>
      <c r="B421" s="1818" t="s">
        <v>305</v>
      </c>
      <c r="C421" s="1818" t="s">
        <v>1359</v>
      </c>
      <c r="D421" s="3463" t="str">
        <f>VLOOKUP(B421,List_Yield!$G$4:$J$14,4,FALSE)</f>
        <v>Central America</v>
      </c>
      <c r="E421" s="3463" t="str">
        <f t="shared" si="12"/>
        <v>Central AmericaMillet</v>
      </c>
      <c r="F421" s="2994">
        <v>0</v>
      </c>
      <c r="G421" s="2994">
        <v>0</v>
      </c>
      <c r="H421" s="2994">
        <v>0</v>
      </c>
      <c r="I421" s="2994">
        <v>0</v>
      </c>
      <c r="J421" s="2994">
        <v>0</v>
      </c>
      <c r="K421" s="2994">
        <v>0</v>
      </c>
      <c r="L421" s="2994">
        <v>0</v>
      </c>
      <c r="M421" s="2994">
        <v>0</v>
      </c>
      <c r="N421" s="2994">
        <v>0</v>
      </c>
      <c r="O421" s="2994">
        <v>0</v>
      </c>
      <c r="P421" s="2994">
        <v>0</v>
      </c>
      <c r="Q421" s="2994">
        <v>0</v>
      </c>
      <c r="R421" s="2994">
        <v>0</v>
      </c>
      <c r="S421" s="2994">
        <v>0</v>
      </c>
      <c r="T421" s="2994">
        <v>0</v>
      </c>
      <c r="U421" s="2994">
        <v>0</v>
      </c>
      <c r="V421" s="2994">
        <v>0</v>
      </c>
      <c r="W421" s="2994">
        <v>0</v>
      </c>
      <c r="X421" s="2994">
        <v>0</v>
      </c>
      <c r="Y421" s="2994">
        <v>0</v>
      </c>
      <c r="Z421" s="2994">
        <v>0</v>
      </c>
      <c r="AA421" s="2994">
        <v>0</v>
      </c>
      <c r="AB421" s="2994">
        <v>0</v>
      </c>
      <c r="AC421" s="2994">
        <v>0</v>
      </c>
      <c r="AD421" s="2994">
        <v>0.45450000000000002</v>
      </c>
      <c r="AE421" s="2994">
        <v>0.57140000000000002</v>
      </c>
      <c r="AF421" s="2994">
        <v>0.64710000000000001</v>
      </c>
      <c r="AG421" s="2994">
        <v>0.5</v>
      </c>
      <c r="AH421" s="2994">
        <v>0.82609999999999995</v>
      </c>
      <c r="AI421" s="2994">
        <v>0.5</v>
      </c>
      <c r="AJ421" s="2994">
        <v>0.92310000000000003</v>
      </c>
      <c r="AK421" s="2994">
        <v>1.1667000000000001</v>
      </c>
      <c r="AL421" s="2994">
        <v>1</v>
      </c>
      <c r="AM421" s="2994">
        <v>0.75</v>
      </c>
      <c r="AN421" s="2994">
        <v>0</v>
      </c>
      <c r="AO421" s="2994">
        <v>0</v>
      </c>
      <c r="AP421" s="2994">
        <v>0.59089999999999998</v>
      </c>
      <c r="AQ421" s="2994">
        <v>0.60709999999999997</v>
      </c>
      <c r="AR421" s="2994">
        <v>0.66669999999999996</v>
      </c>
      <c r="AS421" s="2994">
        <v>0.875</v>
      </c>
      <c r="AT421" s="2994">
        <v>0.89470000000000005</v>
      </c>
      <c r="AU421" s="2994">
        <v>0.89090000000000003</v>
      </c>
      <c r="AV421" s="2994">
        <v>0.94120000000000004</v>
      </c>
      <c r="AW421" s="2994">
        <v>0.9</v>
      </c>
      <c r="AX421" s="2994">
        <v>1</v>
      </c>
      <c r="AY421" s="2994">
        <v>1</v>
      </c>
      <c r="AZ421" s="2994">
        <v>1.1465000000000001</v>
      </c>
      <c r="BA421" s="2994">
        <v>0.94699999999999995</v>
      </c>
      <c r="BB421" s="2994">
        <v>0.94199999999999995</v>
      </c>
      <c r="BC421" s="2994">
        <v>0.9607</v>
      </c>
      <c r="BD421" s="3471">
        <v>0.88900000000000001</v>
      </c>
      <c r="BE421" s="3471">
        <v>0.94120000000000004</v>
      </c>
      <c r="BF421" s="3471">
        <v>0.94289999999999996</v>
      </c>
    </row>
    <row r="422" spans="1:58">
      <c r="A422" s="1817" t="str">
        <f t="shared" si="13"/>
        <v>Central AmericaMushrooms and truffles</v>
      </c>
      <c r="B422" s="1818" t="s">
        <v>305</v>
      </c>
      <c r="C422" s="1818" t="s">
        <v>7350</v>
      </c>
      <c r="D422" s="3463" t="str">
        <f>VLOOKUP(B422,List_Yield!$G$4:$J$14,4,FALSE)</f>
        <v>Central America</v>
      </c>
      <c r="E422" s="3463" t="str">
        <f t="shared" si="12"/>
        <v>Central AmericaMushrooms and truffles</v>
      </c>
      <c r="F422" s="2994">
        <v>0</v>
      </c>
      <c r="G422" s="2994">
        <v>0</v>
      </c>
      <c r="H422" s="2994">
        <v>0</v>
      </c>
      <c r="I422" s="2994">
        <v>0</v>
      </c>
      <c r="J422" s="2994">
        <v>0</v>
      </c>
      <c r="K422" s="2994">
        <v>0</v>
      </c>
      <c r="L422" s="2994">
        <v>0</v>
      </c>
      <c r="M422" s="2994">
        <v>0</v>
      </c>
      <c r="N422" s="2994">
        <v>0</v>
      </c>
      <c r="O422" s="2994">
        <v>0</v>
      </c>
      <c r="P422" s="2994">
        <v>0</v>
      </c>
      <c r="Q422" s="2994">
        <v>0</v>
      </c>
      <c r="R422" s="2994">
        <v>0</v>
      </c>
      <c r="S422" s="2994">
        <v>0</v>
      </c>
      <c r="T422" s="2994">
        <v>0</v>
      </c>
      <c r="U422" s="2994">
        <v>0</v>
      </c>
      <c r="V422" s="2994">
        <v>0</v>
      </c>
      <c r="W422" s="2994">
        <v>0</v>
      </c>
      <c r="X422" s="2994">
        <v>0</v>
      </c>
      <c r="Y422" s="2994">
        <v>0</v>
      </c>
      <c r="Z422" s="2994">
        <v>0</v>
      </c>
      <c r="AA422" s="2994">
        <v>0</v>
      </c>
      <c r="AB422" s="2994">
        <v>0</v>
      </c>
      <c r="AC422" s="2994">
        <v>0</v>
      </c>
      <c r="AD422" s="2994">
        <v>0</v>
      </c>
      <c r="AE422" s="2994">
        <v>0</v>
      </c>
      <c r="AF422" s="2994">
        <v>0</v>
      </c>
      <c r="AG422" s="2994">
        <v>0</v>
      </c>
      <c r="AH422" s="2994">
        <v>0</v>
      </c>
      <c r="AI422" s="2994">
        <v>0</v>
      </c>
      <c r="AJ422" s="2994">
        <v>0</v>
      </c>
      <c r="AK422" s="2994">
        <v>0</v>
      </c>
      <c r="AL422" s="2994">
        <v>0</v>
      </c>
      <c r="AM422" s="2994">
        <v>0</v>
      </c>
      <c r="AN422" s="2994">
        <v>0</v>
      </c>
      <c r="AO422" s="2994">
        <v>0</v>
      </c>
      <c r="AP422" s="2994">
        <v>0</v>
      </c>
      <c r="AQ422" s="2994">
        <v>0</v>
      </c>
      <c r="AR422" s="2994">
        <v>0</v>
      </c>
      <c r="AS422" s="2994">
        <v>0</v>
      </c>
      <c r="AT422" s="2994">
        <v>0</v>
      </c>
      <c r="AU422" s="2994">
        <v>0</v>
      </c>
      <c r="AV422" s="2994">
        <v>0</v>
      </c>
      <c r="AW422" s="2994">
        <v>0</v>
      </c>
      <c r="AX422" s="2994">
        <v>0</v>
      </c>
      <c r="AY422" s="2994">
        <v>0</v>
      </c>
      <c r="AZ422" s="2994">
        <v>0</v>
      </c>
      <c r="BA422" s="2994">
        <v>0</v>
      </c>
      <c r="BB422" s="2994">
        <v>0</v>
      </c>
      <c r="BC422" s="2994">
        <v>0</v>
      </c>
      <c r="BD422" s="3471">
        <v>0</v>
      </c>
      <c r="BE422" s="3471">
        <v>0</v>
      </c>
      <c r="BF422" s="3471">
        <v>0</v>
      </c>
    </row>
    <row r="423" spans="1:58">
      <c r="A423" s="1817" t="str">
        <f t="shared" si="13"/>
        <v>Central AmericaMustard seed</v>
      </c>
      <c r="B423" s="1818" t="s">
        <v>305</v>
      </c>
      <c r="C423" s="1818" t="s">
        <v>7351</v>
      </c>
      <c r="D423" s="3463" t="str">
        <f>VLOOKUP(B423,List_Yield!$G$4:$J$14,4,FALSE)</f>
        <v>Central America</v>
      </c>
      <c r="E423" s="3463" t="str">
        <f t="shared" si="12"/>
        <v>Central AmericaMustard seed</v>
      </c>
      <c r="F423" s="2994">
        <v>0</v>
      </c>
      <c r="G423" s="2994">
        <v>0</v>
      </c>
      <c r="H423" s="2994">
        <v>0</v>
      </c>
      <c r="I423" s="2994">
        <v>0</v>
      </c>
      <c r="J423" s="2994">
        <v>0</v>
      </c>
      <c r="K423" s="2994">
        <v>0</v>
      </c>
      <c r="L423" s="2994">
        <v>0</v>
      </c>
      <c r="M423" s="2994">
        <v>0</v>
      </c>
      <c r="N423" s="2994">
        <v>0</v>
      </c>
      <c r="O423" s="2994">
        <v>0</v>
      </c>
      <c r="P423" s="2994">
        <v>0</v>
      </c>
      <c r="Q423" s="2994">
        <v>0</v>
      </c>
      <c r="R423" s="2994">
        <v>0</v>
      </c>
      <c r="S423" s="2994">
        <v>0</v>
      </c>
      <c r="T423" s="2994">
        <v>0</v>
      </c>
      <c r="U423" s="2994">
        <v>0</v>
      </c>
      <c r="V423" s="2994">
        <v>0</v>
      </c>
      <c r="W423" s="2994">
        <v>0</v>
      </c>
      <c r="X423" s="2994">
        <v>0</v>
      </c>
      <c r="Y423" s="2994">
        <v>4</v>
      </c>
      <c r="Z423" s="2994">
        <v>9.6</v>
      </c>
      <c r="AA423" s="2994">
        <v>0</v>
      </c>
      <c r="AB423" s="2994">
        <v>0</v>
      </c>
      <c r="AC423" s="2994">
        <v>0</v>
      </c>
      <c r="AD423" s="2994">
        <v>6.7778</v>
      </c>
      <c r="AE423" s="2994">
        <v>25</v>
      </c>
      <c r="AF423" s="2994">
        <v>8.25</v>
      </c>
      <c r="AG423" s="2994">
        <v>14.961499999999999</v>
      </c>
      <c r="AH423" s="2994">
        <v>0.61899999999999999</v>
      </c>
      <c r="AI423" s="2994">
        <v>0.54549999999999998</v>
      </c>
      <c r="AJ423" s="2994">
        <v>0.59260000000000002</v>
      </c>
      <c r="AK423" s="2994">
        <v>1.1935</v>
      </c>
      <c r="AL423" s="2994">
        <v>0</v>
      </c>
      <c r="AM423" s="2994">
        <v>4.5</v>
      </c>
      <c r="AN423" s="2994">
        <v>1</v>
      </c>
      <c r="AO423" s="2994">
        <v>1.1667000000000001</v>
      </c>
      <c r="AP423" s="2994">
        <v>2.5625</v>
      </c>
      <c r="AQ423" s="2994">
        <v>2.5</v>
      </c>
      <c r="AR423" s="2994">
        <v>2.3029999999999999</v>
      </c>
      <c r="AS423" s="2994">
        <v>2.2999999999999998</v>
      </c>
      <c r="AT423" s="2994">
        <v>2.375</v>
      </c>
      <c r="AU423" s="2994">
        <v>2.375</v>
      </c>
      <c r="AV423" s="2994">
        <v>33.333300000000001</v>
      </c>
      <c r="AW423" s="2994">
        <v>58</v>
      </c>
      <c r="AX423" s="2994">
        <v>68</v>
      </c>
      <c r="AY423" s="2994">
        <v>30</v>
      </c>
      <c r="AZ423" s="2994">
        <v>16.739100000000001</v>
      </c>
      <c r="BA423" s="2994">
        <v>15</v>
      </c>
      <c r="BB423" s="2994">
        <v>2</v>
      </c>
      <c r="BC423" s="2994">
        <v>1.9</v>
      </c>
      <c r="BD423" s="3471">
        <v>2.8182</v>
      </c>
      <c r="BE423" s="3471">
        <v>1</v>
      </c>
      <c r="BF423" s="3471">
        <v>1.3332999999999999</v>
      </c>
    </row>
    <row r="424" spans="1:58">
      <c r="A424" s="1817" t="str">
        <f t="shared" si="13"/>
        <v>Central AmericaNutmeg, mace and cardamoms</v>
      </c>
      <c r="B424" s="1818" t="s">
        <v>305</v>
      </c>
      <c r="C424" s="1818" t="s">
        <v>7352</v>
      </c>
      <c r="D424" s="3463" t="str">
        <f>VLOOKUP(B424,List_Yield!$G$4:$J$14,4,FALSE)</f>
        <v>Central America</v>
      </c>
      <c r="E424" s="3463" t="str">
        <f t="shared" si="12"/>
        <v>Central AmericaNutmeg, mace and cardamoms</v>
      </c>
      <c r="F424" s="2994">
        <v>0</v>
      </c>
      <c r="G424" s="2994">
        <v>0</v>
      </c>
      <c r="H424" s="2994">
        <v>0</v>
      </c>
      <c r="I424" s="2994">
        <v>0</v>
      </c>
      <c r="J424" s="2994">
        <v>0</v>
      </c>
      <c r="K424" s="2994">
        <v>0</v>
      </c>
      <c r="L424" s="2994">
        <v>0</v>
      </c>
      <c r="M424" s="2994">
        <v>0</v>
      </c>
      <c r="N424" s="2994">
        <v>0</v>
      </c>
      <c r="O424" s="2994">
        <v>0</v>
      </c>
      <c r="P424" s="2994">
        <v>0</v>
      </c>
      <c r="Q424" s="2994">
        <v>7.7799999999999994E-2</v>
      </c>
      <c r="R424" s="2994">
        <v>0.1295</v>
      </c>
      <c r="S424" s="2994">
        <v>0.16819999999999999</v>
      </c>
      <c r="T424" s="2994">
        <v>0.19439999999999999</v>
      </c>
      <c r="U424" s="2994">
        <v>0.19439999999999999</v>
      </c>
      <c r="V424" s="2994">
        <v>0.19439999999999999</v>
      </c>
      <c r="W424" s="2994">
        <v>0.19520000000000001</v>
      </c>
      <c r="X424" s="2994">
        <v>0.19439999999999999</v>
      </c>
      <c r="Y424" s="2994">
        <v>0.21479999999999999</v>
      </c>
      <c r="Z424" s="2994">
        <v>0.2107</v>
      </c>
      <c r="AA424" s="2994">
        <v>0.23019999999999999</v>
      </c>
      <c r="AB424" s="2994">
        <v>0.26040000000000002</v>
      </c>
      <c r="AC424" s="2994">
        <v>0.221</v>
      </c>
      <c r="AD424" s="2994">
        <v>0.22409999999999999</v>
      </c>
      <c r="AE424" s="2994">
        <v>0.23580000000000001</v>
      </c>
      <c r="AF424" s="2994">
        <v>0.2616</v>
      </c>
      <c r="AG424" s="2994">
        <v>0.27879999999999999</v>
      </c>
      <c r="AH424" s="2994">
        <v>0.26740000000000003</v>
      </c>
      <c r="AI424" s="2994">
        <v>0.26700000000000002</v>
      </c>
      <c r="AJ424" s="2994">
        <v>0.28570000000000001</v>
      </c>
      <c r="AK424" s="2994">
        <v>0.29189999999999999</v>
      </c>
      <c r="AL424" s="2994">
        <v>0.2843</v>
      </c>
      <c r="AM424" s="2994">
        <v>0.31159999999999999</v>
      </c>
      <c r="AN424" s="2994">
        <v>0.32500000000000001</v>
      </c>
      <c r="AO424" s="2994">
        <v>0.4451</v>
      </c>
      <c r="AP424" s="2994">
        <v>0.43840000000000001</v>
      </c>
      <c r="AQ424" s="2994">
        <v>0.36030000000000001</v>
      </c>
      <c r="AR424" s="2994">
        <v>0.35220000000000001</v>
      </c>
      <c r="AS424" s="2994">
        <v>0.36609999999999998</v>
      </c>
      <c r="AT424" s="2994">
        <v>0.36809999999999998</v>
      </c>
      <c r="AU424" s="2994">
        <v>0.3674</v>
      </c>
      <c r="AV424" s="2994">
        <v>0.36680000000000001</v>
      </c>
      <c r="AW424" s="2994">
        <v>0.36709999999999998</v>
      </c>
      <c r="AX424" s="2994">
        <v>0.3674</v>
      </c>
      <c r="AY424" s="2994">
        <v>0.34739999999999999</v>
      </c>
      <c r="AZ424" s="2994">
        <v>0.36120000000000002</v>
      </c>
      <c r="BA424" s="2994">
        <v>0.35659999999999997</v>
      </c>
      <c r="BB424" s="2994">
        <v>0.36070000000000002</v>
      </c>
      <c r="BC424" s="2994">
        <v>0.36349999999999999</v>
      </c>
      <c r="BD424" s="3471">
        <v>0.38090000000000002</v>
      </c>
      <c r="BE424" s="3471">
        <v>0.37869999999999998</v>
      </c>
      <c r="BF424" s="3471">
        <v>0</v>
      </c>
    </row>
    <row r="425" spans="1:58">
      <c r="A425" s="1817" t="str">
        <f t="shared" si="13"/>
        <v>Central AmericaNuts, nes</v>
      </c>
      <c r="B425" s="1818" t="s">
        <v>305</v>
      </c>
      <c r="C425" s="1818" t="s">
        <v>7353</v>
      </c>
      <c r="D425" s="3463" t="str">
        <f>VLOOKUP(B425,List_Yield!$G$4:$J$14,4,FALSE)</f>
        <v>Central America</v>
      </c>
      <c r="E425" s="3463" t="str">
        <f t="shared" si="12"/>
        <v>Central AmericaNuts, nes</v>
      </c>
      <c r="F425" s="2994">
        <v>4.68</v>
      </c>
      <c r="G425" s="2994">
        <v>4.4141000000000004</v>
      </c>
      <c r="H425" s="2994">
        <v>4.49</v>
      </c>
      <c r="I425" s="2994">
        <v>4.6002000000000001</v>
      </c>
      <c r="J425" s="2994">
        <v>4.9398999999999997</v>
      </c>
      <c r="K425" s="2994">
        <v>4.8859000000000004</v>
      </c>
      <c r="L425" s="2994">
        <v>4.2386999999999997</v>
      </c>
      <c r="M425" s="2994">
        <v>4.4819000000000004</v>
      </c>
      <c r="N425" s="2994">
        <v>3.2317999999999998</v>
      </c>
      <c r="O425" s="2994">
        <v>4.2667000000000002</v>
      </c>
      <c r="P425" s="2994">
        <v>2.9270999999999998</v>
      </c>
      <c r="Q425" s="2994">
        <v>1.74</v>
      </c>
      <c r="R425" s="2994">
        <v>1.77</v>
      </c>
      <c r="S425" s="2994">
        <v>1.7456</v>
      </c>
      <c r="T425" s="2994">
        <v>1.5640000000000001</v>
      </c>
      <c r="U425" s="2994">
        <v>1.2670999999999999</v>
      </c>
      <c r="V425" s="2994">
        <v>0.92659999999999998</v>
      </c>
      <c r="W425" s="2994">
        <v>1.2901</v>
      </c>
      <c r="X425" s="2994">
        <v>1.3441000000000001</v>
      </c>
      <c r="Y425" s="2994">
        <v>0.79620000000000002</v>
      </c>
      <c r="Z425" s="2994">
        <v>0.92249999999999999</v>
      </c>
      <c r="AA425" s="2994">
        <v>0.87780000000000002</v>
      </c>
      <c r="AB425" s="2994">
        <v>1.2558</v>
      </c>
      <c r="AC425" s="2994">
        <v>1.1569</v>
      </c>
      <c r="AD425" s="2994">
        <v>1.2385999999999999</v>
      </c>
      <c r="AE425" s="2994">
        <v>1.0484</v>
      </c>
      <c r="AF425" s="2994">
        <v>1.2206999999999999</v>
      </c>
      <c r="AG425" s="2994">
        <v>1.1134999999999999</v>
      </c>
      <c r="AH425" s="2994">
        <v>1.1022000000000001</v>
      </c>
      <c r="AI425" s="2994">
        <v>1.0497000000000001</v>
      </c>
      <c r="AJ425" s="2994">
        <v>1.2222999999999999</v>
      </c>
      <c r="AK425" s="2994">
        <v>1.2803</v>
      </c>
      <c r="AL425" s="2994">
        <v>1.4161999999999999</v>
      </c>
      <c r="AM425" s="2994">
        <v>1.2856000000000001</v>
      </c>
      <c r="AN425" s="2994">
        <v>1.3543000000000001</v>
      </c>
      <c r="AO425" s="2994">
        <v>1.4021999999999999</v>
      </c>
      <c r="AP425" s="2994">
        <v>1.4410000000000001</v>
      </c>
      <c r="AQ425" s="2994">
        <v>1.6141000000000001</v>
      </c>
      <c r="AR425" s="2994">
        <v>1.5906</v>
      </c>
      <c r="AS425" s="2994">
        <v>1.4854000000000001</v>
      </c>
      <c r="AT425" s="2994">
        <v>1.6309</v>
      </c>
      <c r="AU425" s="2994">
        <v>1.5923</v>
      </c>
      <c r="AV425" s="2994">
        <v>1.9369000000000001</v>
      </c>
      <c r="AW425" s="2994">
        <v>1.8033999999999999</v>
      </c>
      <c r="AX425" s="2994">
        <v>1.8018000000000001</v>
      </c>
      <c r="AY425" s="2994">
        <v>1.9523999999999999</v>
      </c>
      <c r="AZ425" s="2994">
        <v>1.9648000000000001</v>
      </c>
      <c r="BA425" s="2994">
        <v>1.8156000000000001</v>
      </c>
      <c r="BB425" s="2994">
        <v>1.7904</v>
      </c>
      <c r="BC425" s="2994">
        <v>1.0291999999999999</v>
      </c>
      <c r="BD425" s="3471">
        <v>1.0644</v>
      </c>
      <c r="BE425" s="3471">
        <v>1.0844</v>
      </c>
      <c r="BF425" s="3471">
        <v>0</v>
      </c>
    </row>
    <row r="426" spans="1:58">
      <c r="A426" s="1817" t="str">
        <f t="shared" si="13"/>
        <v>Central AmericaOats</v>
      </c>
      <c r="B426" s="1818" t="s">
        <v>305</v>
      </c>
      <c r="C426" s="1818" t="s">
        <v>1323</v>
      </c>
      <c r="D426" s="3463" t="str">
        <f>VLOOKUP(B426,List_Yield!$G$4:$J$14,4,FALSE)</f>
        <v>Central America</v>
      </c>
      <c r="E426" s="3463" t="str">
        <f t="shared" si="12"/>
        <v>Central AmericaOats</v>
      </c>
      <c r="F426" s="2994">
        <v>0.80920000000000003</v>
      </c>
      <c r="G426" s="2994">
        <v>0.86439999999999995</v>
      </c>
      <c r="H426" s="2994">
        <v>0.86809999999999998</v>
      </c>
      <c r="I426" s="2994">
        <v>0.875</v>
      </c>
      <c r="J426" s="2994">
        <v>0.878</v>
      </c>
      <c r="K426" s="2994">
        <v>0.8075</v>
      </c>
      <c r="L426" s="2994">
        <v>0.90310000000000001</v>
      </c>
      <c r="M426" s="2994">
        <v>1.0074000000000001</v>
      </c>
      <c r="N426" s="2994">
        <v>0.76880000000000004</v>
      </c>
      <c r="O426" s="2994">
        <v>0.79379999999999995</v>
      </c>
      <c r="P426" s="2994">
        <v>0.47460000000000002</v>
      </c>
      <c r="Q426" s="2994">
        <v>0.64100000000000001</v>
      </c>
      <c r="R426" s="2994">
        <v>0.84760000000000002</v>
      </c>
      <c r="S426" s="2994">
        <v>0.85240000000000005</v>
      </c>
      <c r="T426" s="2994">
        <v>1.4730000000000001</v>
      </c>
      <c r="U426" s="2994">
        <v>0.72260000000000002</v>
      </c>
      <c r="V426" s="2994">
        <v>0.77080000000000004</v>
      </c>
      <c r="W426" s="2994">
        <v>0.93320000000000003</v>
      </c>
      <c r="X426" s="2994">
        <v>0.92749999999999999</v>
      </c>
      <c r="Y426" s="2994">
        <v>1.5757000000000001</v>
      </c>
      <c r="Z426" s="2994">
        <v>1.1989000000000001</v>
      </c>
      <c r="AA426" s="2994">
        <v>1.0678000000000001</v>
      </c>
      <c r="AB426" s="2994">
        <v>1.2804</v>
      </c>
      <c r="AC426" s="2994">
        <v>1.5892999999999999</v>
      </c>
      <c r="AD426" s="2994">
        <v>1.3922000000000001</v>
      </c>
      <c r="AE426" s="2994">
        <v>1.3105</v>
      </c>
      <c r="AF426" s="2994">
        <v>1.2857000000000001</v>
      </c>
      <c r="AG426" s="2994">
        <v>1.482</v>
      </c>
      <c r="AH426" s="2994">
        <v>1.3920999999999999</v>
      </c>
      <c r="AI426" s="2994">
        <v>1.5741000000000001</v>
      </c>
      <c r="AJ426" s="2994">
        <v>1.7269000000000001</v>
      </c>
      <c r="AK426" s="2994">
        <v>1.1188</v>
      </c>
      <c r="AL426" s="2994">
        <v>1.1902999999999999</v>
      </c>
      <c r="AM426" s="2994">
        <v>1.3129999999999999</v>
      </c>
      <c r="AN426" s="2994">
        <v>1.7904</v>
      </c>
      <c r="AO426" s="2994">
        <v>1.8929</v>
      </c>
      <c r="AP426" s="2994">
        <v>1.5881000000000001</v>
      </c>
      <c r="AQ426" s="2994">
        <v>1.3676999999999999</v>
      </c>
      <c r="AR426" s="2994">
        <v>1.4863999999999999</v>
      </c>
      <c r="AS426" s="2994">
        <v>1.4108000000000001</v>
      </c>
      <c r="AT426" s="2994">
        <v>1.2790999999999999</v>
      </c>
      <c r="AU426" s="2994">
        <v>1.5033000000000001</v>
      </c>
      <c r="AV426" s="2994">
        <v>2.0251000000000001</v>
      </c>
      <c r="AW426" s="2994">
        <v>1.5375000000000001</v>
      </c>
      <c r="AX426" s="2994">
        <v>1.6611</v>
      </c>
      <c r="AY426" s="2994">
        <v>2.0007000000000001</v>
      </c>
      <c r="AZ426" s="2994">
        <v>1.7243999999999999</v>
      </c>
      <c r="BA426" s="2994">
        <v>1.4688000000000001</v>
      </c>
      <c r="BB426" s="2994">
        <v>1.8121</v>
      </c>
      <c r="BC426" s="2994">
        <v>1.6647000000000001</v>
      </c>
      <c r="BD426" s="3471">
        <v>0.97919999999999996</v>
      </c>
      <c r="BE426" s="3471">
        <v>1.7935000000000001</v>
      </c>
      <c r="BF426" s="3471">
        <v>1.8448</v>
      </c>
    </row>
    <row r="427" spans="1:58">
      <c r="A427" s="1817" t="str">
        <f t="shared" si="13"/>
        <v>Central AmericaOil, palm fruit</v>
      </c>
      <c r="B427" s="1818" t="s">
        <v>305</v>
      </c>
      <c r="C427" s="1818" t="s">
        <v>7354</v>
      </c>
      <c r="D427" s="3463" t="str">
        <f>VLOOKUP(B427,List_Yield!$G$4:$J$14,4,FALSE)</f>
        <v>Central America</v>
      </c>
      <c r="E427" s="3463" t="str">
        <f t="shared" si="12"/>
        <v>Central AmericaOil, palm fruit</v>
      </c>
      <c r="F427" s="2994">
        <v>12.6854</v>
      </c>
      <c r="G427" s="2994">
        <v>12.8492</v>
      </c>
      <c r="H427" s="2994">
        <v>11.955</v>
      </c>
      <c r="I427" s="2994">
        <v>12.2735</v>
      </c>
      <c r="J427" s="2994">
        <v>12.519399999999999</v>
      </c>
      <c r="K427" s="2994">
        <v>12.5299</v>
      </c>
      <c r="L427" s="2994">
        <v>12.569599999999999</v>
      </c>
      <c r="M427" s="2994">
        <v>12.304600000000001</v>
      </c>
      <c r="N427" s="2994">
        <v>11.2118</v>
      </c>
      <c r="O427" s="2994">
        <v>11.3626</v>
      </c>
      <c r="P427" s="2994">
        <v>12.847099999999999</v>
      </c>
      <c r="Q427" s="2994">
        <v>9.9941999999999993</v>
      </c>
      <c r="R427" s="2994">
        <v>10.6379</v>
      </c>
      <c r="S427" s="2994">
        <v>10.633699999999999</v>
      </c>
      <c r="T427" s="2994">
        <v>11.1706</v>
      </c>
      <c r="U427" s="2994">
        <v>10.976599999999999</v>
      </c>
      <c r="V427" s="2994">
        <v>10.8835</v>
      </c>
      <c r="W427" s="2994">
        <v>9.8108000000000004</v>
      </c>
      <c r="X427" s="2994">
        <v>8.7090999999999994</v>
      </c>
      <c r="Y427" s="2994">
        <v>9.0111000000000008</v>
      </c>
      <c r="Z427" s="2994">
        <v>9.2355999999999998</v>
      </c>
      <c r="AA427" s="2994">
        <v>11.2271</v>
      </c>
      <c r="AB427" s="2994">
        <v>11.2126</v>
      </c>
      <c r="AC427" s="2994">
        <v>13.4002</v>
      </c>
      <c r="AD427" s="2994">
        <v>13.151199999999999</v>
      </c>
      <c r="AE427" s="2994">
        <v>14.133699999999999</v>
      </c>
      <c r="AF427" s="2994">
        <v>14.2453</v>
      </c>
      <c r="AG427" s="2994">
        <v>14.680099999999999</v>
      </c>
      <c r="AH427" s="2994">
        <v>13.304500000000001</v>
      </c>
      <c r="AI427" s="2994">
        <v>13.640499999999999</v>
      </c>
      <c r="AJ427" s="2994">
        <v>13.156000000000001</v>
      </c>
      <c r="AK427" s="2994">
        <v>13.791700000000001</v>
      </c>
      <c r="AL427" s="2994">
        <v>14.9567</v>
      </c>
      <c r="AM427" s="2994">
        <v>15.3588</v>
      </c>
      <c r="AN427" s="2994">
        <v>15.560700000000001</v>
      </c>
      <c r="AO427" s="2994">
        <v>16.0045</v>
      </c>
      <c r="AP427" s="2994">
        <v>16.8507</v>
      </c>
      <c r="AQ427" s="2994">
        <v>17.1038</v>
      </c>
      <c r="AR427" s="2994">
        <v>15.595700000000001</v>
      </c>
      <c r="AS427" s="2994">
        <v>16.13</v>
      </c>
      <c r="AT427" s="2994">
        <v>15.202299999999999</v>
      </c>
      <c r="AU427" s="2994">
        <v>14.420199999999999</v>
      </c>
      <c r="AV427" s="2994">
        <v>14.993</v>
      </c>
      <c r="AW427" s="2994">
        <v>14.3169</v>
      </c>
      <c r="AX427" s="2994">
        <v>14.6714</v>
      </c>
      <c r="AY427" s="2994">
        <v>17.242100000000001</v>
      </c>
      <c r="AZ427" s="2994">
        <v>16.430900000000001</v>
      </c>
      <c r="BA427" s="2994">
        <v>15.4695</v>
      </c>
      <c r="BB427" s="2994">
        <v>15.758100000000001</v>
      </c>
      <c r="BC427" s="2994">
        <v>16.534400000000002</v>
      </c>
      <c r="BD427" s="3471">
        <v>17.805800000000001</v>
      </c>
      <c r="BE427" s="3471">
        <v>17.955100000000002</v>
      </c>
      <c r="BF427" s="3471">
        <v>17.167400000000001</v>
      </c>
    </row>
    <row r="428" spans="1:58">
      <c r="A428" s="1817" t="str">
        <f t="shared" si="13"/>
        <v>Central AmericaOilseeds nes</v>
      </c>
      <c r="B428" s="1818" t="s">
        <v>305</v>
      </c>
      <c r="C428" s="1818" t="s">
        <v>7355</v>
      </c>
      <c r="D428" s="3463" t="str">
        <f>VLOOKUP(B428,List_Yield!$G$4:$J$14,4,FALSE)</f>
        <v>Central America</v>
      </c>
      <c r="E428" s="3463" t="str">
        <f t="shared" si="12"/>
        <v>Central AmericaOilseeds nes</v>
      </c>
      <c r="F428" s="2994">
        <v>0</v>
      </c>
      <c r="G428" s="2994">
        <v>0</v>
      </c>
      <c r="H428" s="2994">
        <v>0</v>
      </c>
      <c r="I428" s="2994">
        <v>0</v>
      </c>
      <c r="J428" s="2994">
        <v>0</v>
      </c>
      <c r="K428" s="2994">
        <v>0</v>
      </c>
      <c r="L428" s="2994">
        <v>0</v>
      </c>
      <c r="M428" s="2994">
        <v>0</v>
      </c>
      <c r="N428" s="2994">
        <v>0</v>
      </c>
      <c r="O428" s="2994">
        <v>0</v>
      </c>
      <c r="P428" s="2994">
        <v>0</v>
      </c>
      <c r="Q428" s="2994">
        <v>0</v>
      </c>
      <c r="R428" s="2994">
        <v>0</v>
      </c>
      <c r="S428" s="2994">
        <v>0</v>
      </c>
      <c r="T428" s="2994">
        <v>0</v>
      </c>
      <c r="U428" s="2994">
        <v>0</v>
      </c>
      <c r="V428" s="2994">
        <v>0</v>
      </c>
      <c r="W428" s="2994">
        <v>0</v>
      </c>
      <c r="X428" s="2994">
        <v>0</v>
      </c>
      <c r="Y428" s="2994">
        <v>0</v>
      </c>
      <c r="Z428" s="2994">
        <v>0</v>
      </c>
      <c r="AA428" s="2994">
        <v>0</v>
      </c>
      <c r="AB428" s="2994">
        <v>0</v>
      </c>
      <c r="AC428" s="2994">
        <v>0</v>
      </c>
      <c r="AD428" s="2994">
        <v>0</v>
      </c>
      <c r="AE428" s="2994">
        <v>0</v>
      </c>
      <c r="AF428" s="2994">
        <v>0</v>
      </c>
      <c r="AG428" s="2994">
        <v>0</v>
      </c>
      <c r="AH428" s="2994">
        <v>0</v>
      </c>
      <c r="AI428" s="2994">
        <v>0</v>
      </c>
      <c r="AJ428" s="2994">
        <v>0</v>
      </c>
      <c r="AK428" s="2994">
        <v>0</v>
      </c>
      <c r="AL428" s="2994">
        <v>0</v>
      </c>
      <c r="AM428" s="2994">
        <v>0</v>
      </c>
      <c r="AN428" s="2994">
        <v>0</v>
      </c>
      <c r="AO428" s="2994">
        <v>0</v>
      </c>
      <c r="AP428" s="2994">
        <v>0</v>
      </c>
      <c r="AQ428" s="2994">
        <v>0</v>
      </c>
      <c r="AR428" s="2994">
        <v>0</v>
      </c>
      <c r="AS428" s="2994">
        <v>0</v>
      </c>
      <c r="AT428" s="2994">
        <v>0</v>
      </c>
      <c r="AU428" s="2994">
        <v>0</v>
      </c>
      <c r="AV428" s="2994">
        <v>0</v>
      </c>
      <c r="AW428" s="2994">
        <v>0</v>
      </c>
      <c r="AX428" s="2994">
        <v>0</v>
      </c>
      <c r="AY428" s="2994">
        <v>0</v>
      </c>
      <c r="AZ428" s="2994">
        <v>0</v>
      </c>
      <c r="BA428" s="2994">
        <v>0</v>
      </c>
      <c r="BB428" s="2994">
        <v>0</v>
      </c>
      <c r="BC428" s="2994">
        <v>0</v>
      </c>
      <c r="BD428" s="3471">
        <v>0</v>
      </c>
      <c r="BE428" s="3471">
        <v>0</v>
      </c>
      <c r="BF428" s="3471">
        <v>0</v>
      </c>
    </row>
    <row r="429" spans="1:58">
      <c r="A429" s="1817" t="str">
        <f t="shared" si="13"/>
        <v>Central AmericaOkra</v>
      </c>
      <c r="B429" s="1818" t="s">
        <v>305</v>
      </c>
      <c r="C429" s="1818" t="s">
        <v>7356</v>
      </c>
      <c r="D429" s="3463" t="str">
        <f>VLOOKUP(B429,List_Yield!$G$4:$J$14,4,FALSE)</f>
        <v>Central America</v>
      </c>
      <c r="E429" s="3463" t="str">
        <f t="shared" si="12"/>
        <v>Central AmericaOkra</v>
      </c>
      <c r="F429" s="2994">
        <v>5.8823999999999996</v>
      </c>
      <c r="G429" s="2994">
        <v>5.8823999999999996</v>
      </c>
      <c r="H429" s="2994">
        <v>5.8823999999999996</v>
      </c>
      <c r="I429" s="2994">
        <v>6</v>
      </c>
      <c r="J429" s="2994">
        <v>6.1905000000000001</v>
      </c>
      <c r="K429" s="2994">
        <v>6.0869999999999997</v>
      </c>
      <c r="L429" s="2994">
        <v>6</v>
      </c>
      <c r="M429" s="2994">
        <v>5.9259000000000004</v>
      </c>
      <c r="N429" s="2994">
        <v>5.8823999999999996</v>
      </c>
      <c r="O429" s="2994">
        <v>6</v>
      </c>
      <c r="P429" s="2994">
        <v>6.1111000000000004</v>
      </c>
      <c r="Q429" s="2994">
        <v>5.4054000000000002</v>
      </c>
      <c r="R429" s="2994">
        <v>6</v>
      </c>
      <c r="S429" s="2994">
        <v>6</v>
      </c>
      <c r="T429" s="2994">
        <v>6.0606</v>
      </c>
      <c r="U429" s="2994">
        <v>6.0606</v>
      </c>
      <c r="V429" s="2994">
        <v>6.0606</v>
      </c>
      <c r="W429" s="2994">
        <v>6</v>
      </c>
      <c r="X429" s="2994">
        <v>5.7142999999999997</v>
      </c>
      <c r="Y429" s="2994">
        <v>6.5622999999999996</v>
      </c>
      <c r="Z429" s="2994">
        <v>7.9889000000000001</v>
      </c>
      <c r="AA429" s="2994">
        <v>7.8037000000000001</v>
      </c>
      <c r="AB429" s="2994">
        <v>5.6120999999999999</v>
      </c>
      <c r="AC429" s="2994">
        <v>9.2265999999999995</v>
      </c>
      <c r="AD429" s="2994">
        <v>8.7461000000000002</v>
      </c>
      <c r="AE429" s="2994">
        <v>8.3882999999999992</v>
      </c>
      <c r="AF429" s="2994">
        <v>7.0471000000000004</v>
      </c>
      <c r="AG429" s="2994">
        <v>7.0853000000000002</v>
      </c>
      <c r="AH429" s="2994">
        <v>6.8064999999999998</v>
      </c>
      <c r="AI429" s="2994">
        <v>6.6449999999999996</v>
      </c>
      <c r="AJ429" s="2994">
        <v>7.2618</v>
      </c>
      <c r="AK429" s="2994">
        <v>5.7142999999999997</v>
      </c>
      <c r="AL429" s="2994">
        <v>7.6121999999999996</v>
      </c>
      <c r="AM429" s="2994">
        <v>5.7619999999999996</v>
      </c>
      <c r="AN429" s="2994">
        <v>6.9218999999999999</v>
      </c>
      <c r="AO429" s="2994">
        <v>7.1188000000000002</v>
      </c>
      <c r="AP429" s="2994">
        <v>7.2066999999999997</v>
      </c>
      <c r="AQ429" s="2994">
        <v>5.9978999999999996</v>
      </c>
      <c r="AR429" s="2994">
        <v>7.1835000000000004</v>
      </c>
      <c r="AS429" s="2994">
        <v>6.4057000000000004</v>
      </c>
      <c r="AT429" s="2994">
        <v>7.0429000000000004</v>
      </c>
      <c r="AU429" s="2994">
        <v>6.4701000000000004</v>
      </c>
      <c r="AV429" s="2994">
        <v>7.9828000000000001</v>
      </c>
      <c r="AW429" s="2994">
        <v>7.0532000000000004</v>
      </c>
      <c r="AX429" s="2994">
        <v>7.0751999999999997</v>
      </c>
      <c r="AY429" s="2994">
        <v>8.3629999999999995</v>
      </c>
      <c r="AZ429" s="2994">
        <v>10.6873</v>
      </c>
      <c r="BA429" s="2994">
        <v>8.0818999999999992</v>
      </c>
      <c r="BB429" s="2994">
        <v>7.8326000000000002</v>
      </c>
      <c r="BC429" s="2994">
        <v>7.3543000000000003</v>
      </c>
      <c r="BD429" s="3471">
        <v>8.2736000000000001</v>
      </c>
      <c r="BE429" s="3471">
        <v>8.1044999999999998</v>
      </c>
      <c r="BF429" s="3471">
        <v>0</v>
      </c>
    </row>
    <row r="430" spans="1:58">
      <c r="A430" s="1817" t="str">
        <f t="shared" si="13"/>
        <v>Central AmericaOlives</v>
      </c>
      <c r="B430" s="1818" t="s">
        <v>305</v>
      </c>
      <c r="C430" s="1818" t="s">
        <v>1361</v>
      </c>
      <c r="D430" s="3463" t="str">
        <f>VLOOKUP(B430,List_Yield!$G$4:$J$14,4,FALSE)</f>
        <v>Central America</v>
      </c>
      <c r="E430" s="3463" t="str">
        <f t="shared" si="12"/>
        <v>Central AmericaOlives</v>
      </c>
      <c r="F430" s="2994">
        <v>1.0593999999999999</v>
      </c>
      <c r="G430" s="2994">
        <v>1.1514</v>
      </c>
      <c r="H430" s="2994">
        <v>1.1516999999999999</v>
      </c>
      <c r="I430" s="2994">
        <v>1.7444</v>
      </c>
      <c r="J430" s="2994">
        <v>1.8323</v>
      </c>
      <c r="K430" s="2994">
        <v>1.8363</v>
      </c>
      <c r="L430" s="2994">
        <v>1.8059000000000001</v>
      </c>
      <c r="M430" s="2994">
        <v>1.8721000000000001</v>
      </c>
      <c r="N430" s="2994">
        <v>1.9541999999999999</v>
      </c>
      <c r="O430" s="2994">
        <v>1.8843000000000001</v>
      </c>
      <c r="P430" s="2994">
        <v>1.8968</v>
      </c>
      <c r="Q430" s="2994">
        <v>1.9423999999999999</v>
      </c>
      <c r="R430" s="2994">
        <v>1.4281999999999999</v>
      </c>
      <c r="S430" s="2994">
        <v>1.0972</v>
      </c>
      <c r="T430" s="2994">
        <v>1.0662</v>
      </c>
      <c r="U430" s="2994">
        <v>1.2693000000000001</v>
      </c>
      <c r="V430" s="2994">
        <v>1.6402000000000001</v>
      </c>
      <c r="W430" s="2994">
        <v>3.4866999999999999</v>
      </c>
      <c r="X430" s="2994">
        <v>2.9983</v>
      </c>
      <c r="Y430" s="2994">
        <v>2.8589000000000002</v>
      </c>
      <c r="Z430" s="2994">
        <v>1.3802000000000001</v>
      </c>
      <c r="AA430" s="2994">
        <v>1.8872</v>
      </c>
      <c r="AB430" s="2994">
        <v>1.5619000000000001</v>
      </c>
      <c r="AC430" s="2994">
        <v>1.5636000000000001</v>
      </c>
      <c r="AD430" s="2994">
        <v>2.6640999999999999</v>
      </c>
      <c r="AE430" s="2994">
        <v>1.7158</v>
      </c>
      <c r="AF430" s="2994">
        <v>1.8556999999999999</v>
      </c>
      <c r="AG430" s="2994">
        <v>1.4392</v>
      </c>
      <c r="AH430" s="2994">
        <v>1.3989</v>
      </c>
      <c r="AI430" s="2994">
        <v>1.7020999999999999</v>
      </c>
      <c r="AJ430" s="2994">
        <v>1.6927000000000001</v>
      </c>
      <c r="AK430" s="2994">
        <v>2.7469000000000001</v>
      </c>
      <c r="AL430" s="2994">
        <v>2.0207999999999999</v>
      </c>
      <c r="AM430" s="2994">
        <v>1.6875</v>
      </c>
      <c r="AN430" s="2994">
        <v>2.5579999999999998</v>
      </c>
      <c r="AO430" s="2994">
        <v>1.7418</v>
      </c>
      <c r="AP430" s="2994">
        <v>2.391</v>
      </c>
      <c r="AQ430" s="2994">
        <v>3.3043</v>
      </c>
      <c r="AR430" s="2994">
        <v>2.0874999999999999</v>
      </c>
      <c r="AS430" s="2994">
        <v>2.1956000000000002</v>
      </c>
      <c r="AT430" s="2994">
        <v>3.0891999999999999</v>
      </c>
      <c r="AU430" s="2994">
        <v>2.4971999999999999</v>
      </c>
      <c r="AV430" s="2994">
        <v>2.0406</v>
      </c>
      <c r="AW430" s="2994">
        <v>2.3915000000000002</v>
      </c>
      <c r="AX430" s="2994">
        <v>2.9798</v>
      </c>
      <c r="AY430" s="2994">
        <v>2.625</v>
      </c>
      <c r="AZ430" s="2994">
        <v>3.0693999999999999</v>
      </c>
      <c r="BA430" s="2994">
        <v>2.8715000000000002</v>
      </c>
      <c r="BB430" s="2994">
        <v>3.1766999999999999</v>
      </c>
      <c r="BC430" s="2994">
        <v>3.1166</v>
      </c>
      <c r="BD430" s="3471">
        <v>1.9552</v>
      </c>
      <c r="BE430" s="3471">
        <v>2.5306999999999999</v>
      </c>
      <c r="BF430" s="3471">
        <v>3.0676000000000001</v>
      </c>
    </row>
    <row r="431" spans="1:58">
      <c r="A431" s="1817" t="str">
        <f t="shared" si="13"/>
        <v>Central AmericaOnions, dry</v>
      </c>
      <c r="B431" s="1818" t="s">
        <v>305</v>
      </c>
      <c r="C431" s="1818" t="s">
        <v>1362</v>
      </c>
      <c r="D431" s="3463" t="str">
        <f>VLOOKUP(B431,List_Yield!$G$4:$J$14,4,FALSE)</f>
        <v>Central America</v>
      </c>
      <c r="E431" s="3463" t="str">
        <f t="shared" si="12"/>
        <v>Central AmericaOnions, dry</v>
      </c>
      <c r="F431" s="2994">
        <v>4.6178999999999997</v>
      </c>
      <c r="G431" s="2994">
        <v>5.6219999999999999</v>
      </c>
      <c r="H431" s="2994">
        <v>6.2648999999999999</v>
      </c>
      <c r="I431" s="2994">
        <v>6.3761000000000001</v>
      </c>
      <c r="J431" s="2994">
        <v>6.3864000000000001</v>
      </c>
      <c r="K431" s="2994">
        <v>6.4596</v>
      </c>
      <c r="L431" s="2994">
        <v>9.3659999999999997</v>
      </c>
      <c r="M431" s="2994">
        <v>9.2297999999999991</v>
      </c>
      <c r="N431" s="2994">
        <v>8.3762000000000008</v>
      </c>
      <c r="O431" s="2994">
        <v>7.9989999999999997</v>
      </c>
      <c r="P431" s="2994">
        <v>9.8838000000000008</v>
      </c>
      <c r="Q431" s="2994">
        <v>10.185499999999999</v>
      </c>
      <c r="R431" s="2994">
        <v>12.1183</v>
      </c>
      <c r="S431" s="2994">
        <v>12.1043</v>
      </c>
      <c r="T431" s="2994">
        <v>11.067500000000001</v>
      </c>
      <c r="U431" s="2994">
        <v>12.581099999999999</v>
      </c>
      <c r="V431" s="2994">
        <v>13.411300000000001</v>
      </c>
      <c r="W431" s="2994">
        <v>13.3874</v>
      </c>
      <c r="X431" s="2994">
        <v>13.291</v>
      </c>
      <c r="Y431" s="2994">
        <v>13.528</v>
      </c>
      <c r="Z431" s="2994">
        <v>13.4123</v>
      </c>
      <c r="AA431" s="2994">
        <v>15.4847</v>
      </c>
      <c r="AB431" s="2994">
        <v>15.465199999999999</v>
      </c>
      <c r="AC431" s="2994">
        <v>15.6388</v>
      </c>
      <c r="AD431" s="2994">
        <v>15.9612</v>
      </c>
      <c r="AE431" s="2994">
        <v>15.1052</v>
      </c>
      <c r="AF431" s="2994">
        <v>14.332700000000001</v>
      </c>
      <c r="AG431" s="2994">
        <v>14.474600000000001</v>
      </c>
      <c r="AH431" s="2994">
        <v>15.5601</v>
      </c>
      <c r="AI431" s="2994">
        <v>17.079499999999999</v>
      </c>
      <c r="AJ431" s="2994">
        <v>19.441199999999998</v>
      </c>
      <c r="AK431" s="2994">
        <v>16.569199999999999</v>
      </c>
      <c r="AL431" s="2994">
        <v>17.809999999999999</v>
      </c>
      <c r="AM431" s="2994">
        <v>19.351099999999999</v>
      </c>
      <c r="AN431" s="2994">
        <v>18.631599999999999</v>
      </c>
      <c r="AO431" s="2994">
        <v>19.0047</v>
      </c>
      <c r="AP431" s="2994">
        <v>20.262799999999999</v>
      </c>
      <c r="AQ431" s="2994">
        <v>21.33</v>
      </c>
      <c r="AR431" s="2994">
        <v>22.276599999999998</v>
      </c>
      <c r="AS431" s="2994">
        <v>20.8262</v>
      </c>
      <c r="AT431" s="2994">
        <v>22.428999999999998</v>
      </c>
      <c r="AU431" s="2994">
        <v>23.47</v>
      </c>
      <c r="AV431" s="2994">
        <v>26.360499999999998</v>
      </c>
      <c r="AW431" s="2994">
        <v>25.628599999999999</v>
      </c>
      <c r="AX431" s="2994">
        <v>24.550599999999999</v>
      </c>
      <c r="AY431" s="2994">
        <v>25.9148</v>
      </c>
      <c r="AZ431" s="2994">
        <v>27.418900000000001</v>
      </c>
      <c r="BA431" s="2994">
        <v>27.620699999999999</v>
      </c>
      <c r="BB431" s="2994">
        <v>27.262699999999999</v>
      </c>
      <c r="BC431" s="2994">
        <v>26.455100000000002</v>
      </c>
      <c r="BD431" s="3471">
        <v>27.361000000000001</v>
      </c>
      <c r="BE431" s="3471">
        <v>26.767199999999999</v>
      </c>
      <c r="BF431" s="3471">
        <v>0</v>
      </c>
    </row>
    <row r="432" spans="1:58">
      <c r="A432" s="1817" t="str">
        <f t="shared" si="13"/>
        <v>Central AmericaOnions, shallots, green</v>
      </c>
      <c r="B432" s="1818" t="s">
        <v>305</v>
      </c>
      <c r="C432" s="1818" t="s">
        <v>7357</v>
      </c>
      <c r="D432" s="3463" t="str">
        <f>VLOOKUP(B432,List_Yield!$G$4:$J$14,4,FALSE)</f>
        <v>Central America</v>
      </c>
      <c r="E432" s="3463" t="str">
        <f t="shared" si="12"/>
        <v>Central AmericaOnions, shallots, green</v>
      </c>
      <c r="F432" s="2994">
        <v>0</v>
      </c>
      <c r="G432" s="2994">
        <v>0</v>
      </c>
      <c r="H432" s="2994">
        <v>0</v>
      </c>
      <c r="I432" s="2994">
        <v>0</v>
      </c>
      <c r="J432" s="2994">
        <v>0</v>
      </c>
      <c r="K432" s="2994">
        <v>0</v>
      </c>
      <c r="L432" s="2994">
        <v>0</v>
      </c>
      <c r="M432" s="2994">
        <v>0</v>
      </c>
      <c r="N432" s="2994">
        <v>0</v>
      </c>
      <c r="O432" s="2994">
        <v>0</v>
      </c>
      <c r="P432" s="2994">
        <v>0</v>
      </c>
      <c r="Q432" s="2994">
        <v>0</v>
      </c>
      <c r="R432" s="2994">
        <v>0</v>
      </c>
      <c r="S432" s="2994">
        <v>0</v>
      </c>
      <c r="T432" s="2994">
        <v>0</v>
      </c>
      <c r="U432" s="2994">
        <v>0</v>
      </c>
      <c r="V432" s="2994">
        <v>0</v>
      </c>
      <c r="W432" s="2994">
        <v>0</v>
      </c>
      <c r="X432" s="2994">
        <v>0</v>
      </c>
      <c r="Y432" s="2994">
        <v>0</v>
      </c>
      <c r="Z432" s="2994">
        <v>0</v>
      </c>
      <c r="AA432" s="2994">
        <v>0</v>
      </c>
      <c r="AB432" s="2994">
        <v>0</v>
      </c>
      <c r="AC432" s="2994">
        <v>0</v>
      </c>
      <c r="AD432" s="2994">
        <v>0</v>
      </c>
      <c r="AE432" s="2994">
        <v>0</v>
      </c>
      <c r="AF432" s="2994">
        <v>0</v>
      </c>
      <c r="AG432" s="2994">
        <v>0</v>
      </c>
      <c r="AH432" s="2994">
        <v>0</v>
      </c>
      <c r="AI432" s="2994">
        <v>11.639799999999999</v>
      </c>
      <c r="AJ432" s="2994">
        <v>12.004200000000001</v>
      </c>
      <c r="AK432" s="2994">
        <v>11.356299999999999</v>
      </c>
      <c r="AL432" s="2994">
        <v>11.6442</v>
      </c>
      <c r="AM432" s="2994">
        <v>12.1412</v>
      </c>
      <c r="AN432" s="2994">
        <v>11.9518</v>
      </c>
      <c r="AO432" s="2994">
        <v>12.8444</v>
      </c>
      <c r="AP432" s="2994">
        <v>12.388999999999999</v>
      </c>
      <c r="AQ432" s="2994">
        <v>12.360799999999999</v>
      </c>
      <c r="AR432" s="2994">
        <v>11.0845</v>
      </c>
      <c r="AS432" s="2994">
        <v>10.8041</v>
      </c>
      <c r="AT432" s="2994">
        <v>12.688800000000001</v>
      </c>
      <c r="AU432" s="2994">
        <v>12.354200000000001</v>
      </c>
      <c r="AV432" s="2994">
        <v>12.3025</v>
      </c>
      <c r="AW432" s="2994">
        <v>12.194900000000001</v>
      </c>
      <c r="AX432" s="2994">
        <v>11.7492</v>
      </c>
      <c r="AY432" s="2994">
        <v>11.544700000000001</v>
      </c>
      <c r="AZ432" s="2994">
        <v>11.4316</v>
      </c>
      <c r="BA432" s="2994">
        <v>10.844900000000001</v>
      </c>
      <c r="BB432" s="2994">
        <v>10.294499999999999</v>
      </c>
      <c r="BC432" s="2994">
        <v>11.0656</v>
      </c>
      <c r="BD432" s="3471">
        <v>10.6447</v>
      </c>
      <c r="BE432" s="3471">
        <v>10.698399999999999</v>
      </c>
      <c r="BF432" s="3471">
        <v>0</v>
      </c>
    </row>
    <row r="433" spans="1:58">
      <c r="A433" s="1817" t="str">
        <f t="shared" si="13"/>
        <v>Central AmericaOranges</v>
      </c>
      <c r="B433" s="1818" t="s">
        <v>305</v>
      </c>
      <c r="C433" s="1818" t="s">
        <v>1363</v>
      </c>
      <c r="D433" s="3463" t="str">
        <f>VLOOKUP(B433,List_Yield!$G$4:$J$14,4,FALSE)</f>
        <v>Central America</v>
      </c>
      <c r="E433" s="3463" t="str">
        <f t="shared" si="12"/>
        <v>Central AmericaOranges</v>
      </c>
      <c r="F433" s="2994">
        <v>10.2972</v>
      </c>
      <c r="G433" s="2994">
        <v>10.6546</v>
      </c>
      <c r="H433" s="2994">
        <v>10.4598</v>
      </c>
      <c r="I433" s="2994">
        <v>10.3324</v>
      </c>
      <c r="J433" s="2994">
        <v>14.1342</v>
      </c>
      <c r="K433" s="2994">
        <v>13.3775</v>
      </c>
      <c r="L433" s="2994">
        <v>12.284700000000001</v>
      </c>
      <c r="M433" s="2994">
        <v>11.449</v>
      </c>
      <c r="N433" s="2994">
        <v>10.8452</v>
      </c>
      <c r="O433" s="2994">
        <v>8.1320999999999994</v>
      </c>
      <c r="P433" s="2994">
        <v>10.149900000000001</v>
      </c>
      <c r="Q433" s="2994">
        <v>10.2523</v>
      </c>
      <c r="R433" s="2994">
        <v>10.545500000000001</v>
      </c>
      <c r="S433" s="2994">
        <v>8.9788999999999994</v>
      </c>
      <c r="T433" s="2994">
        <v>9.6905999999999999</v>
      </c>
      <c r="U433" s="2994">
        <v>10.838699999999999</v>
      </c>
      <c r="V433" s="2994">
        <v>10.910600000000001</v>
      </c>
      <c r="W433" s="2994">
        <v>11.3165</v>
      </c>
      <c r="X433" s="2994">
        <v>11.1371</v>
      </c>
      <c r="Y433" s="2994">
        <v>10.485900000000001</v>
      </c>
      <c r="Z433" s="2994">
        <v>10.677300000000001</v>
      </c>
      <c r="AA433" s="2994">
        <v>11.8521</v>
      </c>
      <c r="AB433" s="2994">
        <v>11.099600000000001</v>
      </c>
      <c r="AC433" s="2994">
        <v>10.839</v>
      </c>
      <c r="AD433" s="2994">
        <v>12.727600000000001</v>
      </c>
      <c r="AE433" s="2994">
        <v>13.2105</v>
      </c>
      <c r="AF433" s="2994">
        <v>10.923400000000001</v>
      </c>
      <c r="AG433" s="2994">
        <v>12.2301</v>
      </c>
      <c r="AH433" s="2994">
        <v>12.4549</v>
      </c>
      <c r="AI433" s="2994">
        <v>11.7616</v>
      </c>
      <c r="AJ433" s="2994">
        <v>11.8607</v>
      </c>
      <c r="AK433" s="2994">
        <v>10.8874</v>
      </c>
      <c r="AL433" s="2994">
        <v>11.3332</v>
      </c>
      <c r="AM433" s="2994">
        <v>11.6717</v>
      </c>
      <c r="AN433" s="2994">
        <v>12.2127</v>
      </c>
      <c r="AO433" s="2994">
        <v>11.886699999999999</v>
      </c>
      <c r="AP433" s="2994">
        <v>12.2347</v>
      </c>
      <c r="AQ433" s="2994">
        <v>10.5648</v>
      </c>
      <c r="AR433" s="2994">
        <v>10.716699999999999</v>
      </c>
      <c r="AS433" s="2994">
        <v>11.6837</v>
      </c>
      <c r="AT433" s="2994">
        <v>12.3514</v>
      </c>
      <c r="AU433" s="2994">
        <v>12.3949</v>
      </c>
      <c r="AV433" s="2994">
        <v>11.6448</v>
      </c>
      <c r="AW433" s="2994">
        <v>12.231199999999999</v>
      </c>
      <c r="AX433" s="2994">
        <v>13.0518</v>
      </c>
      <c r="AY433" s="2994">
        <v>13.2239</v>
      </c>
      <c r="AZ433" s="2994">
        <v>12.9315</v>
      </c>
      <c r="BA433" s="2994">
        <v>12.5131</v>
      </c>
      <c r="BB433" s="2994">
        <v>12.9435</v>
      </c>
      <c r="BC433" s="2994">
        <v>11.9442</v>
      </c>
      <c r="BD433" s="3471">
        <v>12.0855</v>
      </c>
      <c r="BE433" s="3471">
        <v>11.7181</v>
      </c>
      <c r="BF433" s="3471">
        <v>0</v>
      </c>
    </row>
    <row r="434" spans="1:58">
      <c r="A434" s="1817" t="str">
        <f t="shared" si="13"/>
        <v>Central AmericaPapayas</v>
      </c>
      <c r="B434" s="1818" t="s">
        <v>305</v>
      </c>
      <c r="C434" s="1818" t="s">
        <v>7358</v>
      </c>
      <c r="D434" s="3463" t="str">
        <f>VLOOKUP(B434,List_Yield!$G$4:$J$14,4,FALSE)</f>
        <v>Central America</v>
      </c>
      <c r="E434" s="3463" t="str">
        <f t="shared" si="12"/>
        <v>Central AmericaPapayas</v>
      </c>
      <c r="F434" s="2994">
        <v>22.509699999999999</v>
      </c>
      <c r="G434" s="2994">
        <v>22.402200000000001</v>
      </c>
      <c r="H434" s="2994">
        <v>22.841799999999999</v>
      </c>
      <c r="I434" s="2994">
        <v>22.555199999999999</v>
      </c>
      <c r="J434" s="2994">
        <v>23.953900000000001</v>
      </c>
      <c r="K434" s="2994">
        <v>23.1919</v>
      </c>
      <c r="L434" s="2994">
        <v>22.561199999999999</v>
      </c>
      <c r="M434" s="2994">
        <v>26.5383</v>
      </c>
      <c r="N434" s="2994">
        <v>23.824100000000001</v>
      </c>
      <c r="O434" s="2994">
        <v>22.689399999999999</v>
      </c>
      <c r="P434" s="2994">
        <v>24.191800000000001</v>
      </c>
      <c r="Q434" s="2994">
        <v>19.8977</v>
      </c>
      <c r="R434" s="2994">
        <v>20.281400000000001</v>
      </c>
      <c r="S434" s="2994">
        <v>17.334800000000001</v>
      </c>
      <c r="T434" s="2994">
        <v>24.700199999999999</v>
      </c>
      <c r="U434" s="2994">
        <v>23.669899999999998</v>
      </c>
      <c r="V434" s="2994">
        <v>26.1187</v>
      </c>
      <c r="W434" s="2994">
        <v>25.228899999999999</v>
      </c>
      <c r="X434" s="2994">
        <v>22.622499999999999</v>
      </c>
      <c r="Y434" s="2994">
        <v>23.1965</v>
      </c>
      <c r="Z434" s="2994">
        <v>22.307500000000001</v>
      </c>
      <c r="AA434" s="2994">
        <v>22.9496</v>
      </c>
      <c r="AB434" s="2994">
        <v>27.7151</v>
      </c>
      <c r="AC434" s="2994">
        <v>34.218899999999998</v>
      </c>
      <c r="AD434" s="2994">
        <v>31.720500000000001</v>
      </c>
      <c r="AE434" s="2994">
        <v>31.363800000000001</v>
      </c>
      <c r="AF434" s="2994">
        <v>28.9819</v>
      </c>
      <c r="AG434" s="2994">
        <v>23.2502</v>
      </c>
      <c r="AH434" s="2994">
        <v>23.414300000000001</v>
      </c>
      <c r="AI434" s="2994">
        <v>26.034400000000002</v>
      </c>
      <c r="AJ434" s="2994">
        <v>25.3675</v>
      </c>
      <c r="AK434" s="2994">
        <v>27.083100000000002</v>
      </c>
      <c r="AL434" s="2994">
        <v>22.12</v>
      </c>
      <c r="AM434" s="2994">
        <v>27.125299999999999</v>
      </c>
      <c r="AN434" s="2994">
        <v>33.018000000000001</v>
      </c>
      <c r="AO434" s="2994">
        <v>28.353899999999999</v>
      </c>
      <c r="AP434" s="2994">
        <v>29.1999</v>
      </c>
      <c r="AQ434" s="2994">
        <v>27.248899999999999</v>
      </c>
      <c r="AR434" s="2994">
        <v>30.179099999999998</v>
      </c>
      <c r="AS434" s="2994">
        <v>35.248800000000003</v>
      </c>
      <c r="AT434" s="2994">
        <v>35.5623</v>
      </c>
      <c r="AU434" s="2994">
        <v>38.362000000000002</v>
      </c>
      <c r="AV434" s="2994">
        <v>34.416499999999999</v>
      </c>
      <c r="AW434" s="2994">
        <v>35.676400000000001</v>
      </c>
      <c r="AX434" s="2994">
        <v>35.368099999999998</v>
      </c>
      <c r="AY434" s="2994">
        <v>37.705500000000001</v>
      </c>
      <c r="AZ434" s="2994">
        <v>41.194800000000001</v>
      </c>
      <c r="BA434" s="2994">
        <v>38.690300000000001</v>
      </c>
      <c r="BB434" s="2994">
        <v>41.705599999999997</v>
      </c>
      <c r="BC434" s="2994">
        <v>40.374499999999998</v>
      </c>
      <c r="BD434" s="3471">
        <v>40.682899999999997</v>
      </c>
      <c r="BE434" s="3471">
        <v>43.994799999999998</v>
      </c>
      <c r="BF434" s="3471">
        <v>0</v>
      </c>
    </row>
    <row r="435" spans="1:58">
      <c r="A435" s="1817" t="str">
        <f t="shared" si="13"/>
        <v>Central AmericaPeaches and nectarines</v>
      </c>
      <c r="B435" s="1818" t="s">
        <v>305</v>
      </c>
      <c r="C435" s="1818" t="s">
        <v>1364</v>
      </c>
      <c r="D435" s="3463" t="str">
        <f>VLOOKUP(B435,List_Yield!$G$4:$J$14,4,FALSE)</f>
        <v>Central America</v>
      </c>
      <c r="E435" s="3463" t="str">
        <f t="shared" si="12"/>
        <v>Central AmericaPeaches and nectarines</v>
      </c>
      <c r="F435" s="2994">
        <v>13.6724</v>
      </c>
      <c r="G435" s="2994">
        <v>12.573499999999999</v>
      </c>
      <c r="H435" s="2994">
        <v>13.6252</v>
      </c>
      <c r="I435" s="2994">
        <v>13.6</v>
      </c>
      <c r="J435" s="2994">
        <v>13.726599999999999</v>
      </c>
      <c r="K435" s="2994">
        <v>13.6433</v>
      </c>
      <c r="L435" s="2994">
        <v>13.566700000000001</v>
      </c>
      <c r="M435" s="2994">
        <v>13.6219</v>
      </c>
      <c r="N435" s="2994">
        <v>11.9574</v>
      </c>
      <c r="O435" s="2994">
        <v>11.546200000000001</v>
      </c>
      <c r="P435" s="2994">
        <v>8.7788000000000004</v>
      </c>
      <c r="Q435" s="2994">
        <v>8.2851999999999997</v>
      </c>
      <c r="R435" s="2994">
        <v>7.8341000000000003</v>
      </c>
      <c r="S435" s="2994">
        <v>8.7457999999999991</v>
      </c>
      <c r="T435" s="2994">
        <v>9.4039999999999999</v>
      </c>
      <c r="U435" s="2994">
        <v>7.5396000000000001</v>
      </c>
      <c r="V435" s="2994">
        <v>7.6167999999999996</v>
      </c>
      <c r="W435" s="2994">
        <v>7.3544999999999998</v>
      </c>
      <c r="X435" s="2994">
        <v>6.8841999999999999</v>
      </c>
      <c r="Y435" s="2994">
        <v>7.8907999999999996</v>
      </c>
      <c r="Z435" s="2994">
        <v>7.4675000000000002</v>
      </c>
      <c r="AA435" s="2994">
        <v>6.4104999999999999</v>
      </c>
      <c r="AB435" s="2994">
        <v>5.3226000000000004</v>
      </c>
      <c r="AC435" s="2994">
        <v>6.1372</v>
      </c>
      <c r="AD435" s="2994">
        <v>6.0266000000000002</v>
      </c>
      <c r="AE435" s="2994">
        <v>5.3361999999999998</v>
      </c>
      <c r="AF435" s="2994">
        <v>4.3620000000000001</v>
      </c>
      <c r="AG435" s="2994">
        <v>5.101</v>
      </c>
      <c r="AH435" s="2994">
        <v>4.5094000000000003</v>
      </c>
      <c r="AI435" s="2994">
        <v>4.6021000000000001</v>
      </c>
      <c r="AJ435" s="2994">
        <v>3.4630999999999998</v>
      </c>
      <c r="AK435" s="2994">
        <v>3.3315000000000001</v>
      </c>
      <c r="AL435" s="2994">
        <v>4.1555999999999997</v>
      </c>
      <c r="AM435" s="2994">
        <v>4.4145000000000003</v>
      </c>
      <c r="AN435" s="2994">
        <v>3.5985999999999998</v>
      </c>
      <c r="AO435" s="2994">
        <v>4.3666</v>
      </c>
      <c r="AP435" s="2994">
        <v>4.1524999999999999</v>
      </c>
      <c r="AQ435" s="2994">
        <v>3.6316999999999999</v>
      </c>
      <c r="AR435" s="2994">
        <v>4.09</v>
      </c>
      <c r="AS435" s="2994">
        <v>4.2409999999999997</v>
      </c>
      <c r="AT435" s="2994">
        <v>4.9089999999999998</v>
      </c>
      <c r="AU435" s="2994">
        <v>5.5218999999999996</v>
      </c>
      <c r="AV435" s="2994">
        <v>5.2568999999999999</v>
      </c>
      <c r="AW435" s="2994">
        <v>6.1123000000000003</v>
      </c>
      <c r="AX435" s="2994">
        <v>5.9950999999999999</v>
      </c>
      <c r="AY435" s="2994">
        <v>5.6864999999999997</v>
      </c>
      <c r="AZ435" s="2994">
        <v>5.0983000000000001</v>
      </c>
      <c r="BA435" s="2994">
        <v>5.2438000000000002</v>
      </c>
      <c r="BB435" s="2994">
        <v>5.0388000000000002</v>
      </c>
      <c r="BC435" s="2994">
        <v>5.8174999999999999</v>
      </c>
      <c r="BD435" s="3471">
        <v>5.0979000000000001</v>
      </c>
      <c r="BE435" s="3471">
        <v>5.3944999999999999</v>
      </c>
      <c r="BF435" s="3471">
        <v>0</v>
      </c>
    </row>
    <row r="436" spans="1:58">
      <c r="A436" s="1817" t="str">
        <f t="shared" si="13"/>
        <v>Central AmericaPears</v>
      </c>
      <c r="B436" s="1818" t="s">
        <v>305</v>
      </c>
      <c r="C436" s="1818" t="s">
        <v>7359</v>
      </c>
      <c r="D436" s="3463" t="str">
        <f>VLOOKUP(B436,List_Yield!$G$4:$J$14,4,FALSE)</f>
        <v>Central America</v>
      </c>
      <c r="E436" s="3463" t="str">
        <f t="shared" si="12"/>
        <v>Central AmericaPears</v>
      </c>
      <c r="F436" s="2994">
        <v>10.7064</v>
      </c>
      <c r="G436" s="2994">
        <v>10.7338</v>
      </c>
      <c r="H436" s="2994">
        <v>11.175599999999999</v>
      </c>
      <c r="I436" s="2994">
        <v>11.1999</v>
      </c>
      <c r="J436" s="2994">
        <v>11.6412</v>
      </c>
      <c r="K436" s="2994">
        <v>11.758900000000001</v>
      </c>
      <c r="L436" s="2994">
        <v>11.4795</v>
      </c>
      <c r="M436" s="2994">
        <v>11.3637</v>
      </c>
      <c r="N436" s="2994">
        <v>10.0609</v>
      </c>
      <c r="O436" s="2994">
        <v>8.2469000000000001</v>
      </c>
      <c r="P436" s="2994">
        <v>8.9826999999999995</v>
      </c>
      <c r="Q436" s="2994">
        <v>8.6027000000000005</v>
      </c>
      <c r="R436" s="2994">
        <v>8.7064000000000004</v>
      </c>
      <c r="S436" s="2994">
        <v>8.6173999999999999</v>
      </c>
      <c r="T436" s="2994">
        <v>9.5608000000000004</v>
      </c>
      <c r="U436" s="2994">
        <v>9.1896000000000004</v>
      </c>
      <c r="V436" s="2994">
        <v>7.9438000000000004</v>
      </c>
      <c r="W436" s="2994">
        <v>9.4859000000000009</v>
      </c>
      <c r="X436" s="2994">
        <v>7.8460999999999999</v>
      </c>
      <c r="Y436" s="2994">
        <v>7.7934999999999999</v>
      </c>
      <c r="Z436" s="2994">
        <v>8.3521000000000001</v>
      </c>
      <c r="AA436" s="2994">
        <v>9.2990999999999993</v>
      </c>
      <c r="AB436" s="2994">
        <v>7.8917999999999999</v>
      </c>
      <c r="AC436" s="2994">
        <v>7.7824</v>
      </c>
      <c r="AD436" s="2994">
        <v>9.0501000000000005</v>
      </c>
      <c r="AE436" s="2994">
        <v>6.51</v>
      </c>
      <c r="AF436" s="2994">
        <v>7.9454000000000002</v>
      </c>
      <c r="AG436" s="2994">
        <v>7.8163</v>
      </c>
      <c r="AH436" s="2994">
        <v>4.7107999999999999</v>
      </c>
      <c r="AI436" s="2994">
        <v>5.3750999999999998</v>
      </c>
      <c r="AJ436" s="2994">
        <v>9.1740999999999993</v>
      </c>
      <c r="AK436" s="2994">
        <v>7.4702000000000002</v>
      </c>
      <c r="AL436" s="2994">
        <v>7.2972999999999999</v>
      </c>
      <c r="AM436" s="2994">
        <v>6.4752999999999998</v>
      </c>
      <c r="AN436" s="2994">
        <v>5.2567000000000004</v>
      </c>
      <c r="AO436" s="2994">
        <v>7.5972999999999997</v>
      </c>
      <c r="AP436" s="2994">
        <v>7.5446</v>
      </c>
      <c r="AQ436" s="2994">
        <v>4.9644000000000004</v>
      </c>
      <c r="AR436" s="2994">
        <v>7.4763999999999999</v>
      </c>
      <c r="AS436" s="2994">
        <v>6.4622000000000002</v>
      </c>
      <c r="AT436" s="2994">
        <v>6.7862999999999998</v>
      </c>
      <c r="AU436" s="2994">
        <v>6.8228</v>
      </c>
      <c r="AV436" s="2994">
        <v>6.3987999999999996</v>
      </c>
      <c r="AW436" s="2994">
        <v>6.7484999999999999</v>
      </c>
      <c r="AX436" s="2994">
        <v>6.6817000000000002</v>
      </c>
      <c r="AY436" s="2994">
        <v>6.2347999999999999</v>
      </c>
      <c r="AZ436" s="2994">
        <v>5.5221</v>
      </c>
      <c r="BA436" s="2994">
        <v>5.6292</v>
      </c>
      <c r="BB436" s="2994">
        <v>6.6624999999999996</v>
      </c>
      <c r="BC436" s="2994">
        <v>6.2683999999999997</v>
      </c>
      <c r="BD436" s="3471">
        <v>6.3792999999999997</v>
      </c>
      <c r="BE436" s="3471">
        <v>5.2914000000000003</v>
      </c>
      <c r="BF436" s="3471">
        <v>0</v>
      </c>
    </row>
    <row r="437" spans="1:58">
      <c r="A437" s="1817" t="str">
        <f t="shared" si="13"/>
        <v>Central AmericaPeas, dry</v>
      </c>
      <c r="B437" s="1818" t="s">
        <v>305</v>
      </c>
      <c r="C437" s="1818" t="s">
        <v>1365</v>
      </c>
      <c r="D437" s="3463" t="str">
        <f>VLOOKUP(B437,List_Yield!$G$4:$J$14,4,FALSE)</f>
        <v>Central America</v>
      </c>
      <c r="E437" s="3463" t="str">
        <f t="shared" si="12"/>
        <v>Central AmericaPeas, dry</v>
      </c>
      <c r="F437" s="2994">
        <v>0.70369999999999999</v>
      </c>
      <c r="G437" s="2994">
        <v>0.70889999999999997</v>
      </c>
      <c r="H437" s="2994">
        <v>0.70420000000000005</v>
      </c>
      <c r="I437" s="2994">
        <v>0.71499999999999997</v>
      </c>
      <c r="J437" s="2994">
        <v>0.72030000000000005</v>
      </c>
      <c r="K437" s="2994">
        <v>0.72450000000000003</v>
      </c>
      <c r="L437" s="2994">
        <v>0.62060000000000004</v>
      </c>
      <c r="M437" s="2994">
        <v>0.65339999999999998</v>
      </c>
      <c r="N437" s="2994">
        <v>0.59740000000000004</v>
      </c>
      <c r="O437" s="2994">
        <v>0.67610000000000003</v>
      </c>
      <c r="P437" s="2994">
        <v>0.53949999999999998</v>
      </c>
      <c r="Q437" s="2994">
        <v>0.56340000000000001</v>
      </c>
      <c r="R437" s="2994">
        <v>0.63060000000000005</v>
      </c>
      <c r="S437" s="2994">
        <v>0.6</v>
      </c>
      <c r="T437" s="2994">
        <v>0.63990000000000002</v>
      </c>
      <c r="U437" s="2994">
        <v>0.62129999999999996</v>
      </c>
      <c r="V437" s="2994">
        <v>0.51070000000000004</v>
      </c>
      <c r="W437" s="2994">
        <v>0.51259999999999994</v>
      </c>
      <c r="X437" s="2994">
        <v>0.57550000000000001</v>
      </c>
      <c r="Y437" s="2994">
        <v>0.52070000000000005</v>
      </c>
      <c r="Z437" s="2994">
        <v>0.75800000000000001</v>
      </c>
      <c r="AA437" s="2994">
        <v>0.36359999999999998</v>
      </c>
      <c r="AB437" s="2994">
        <v>0.41020000000000001</v>
      </c>
      <c r="AC437" s="2994">
        <v>0.53649999999999998</v>
      </c>
      <c r="AD437" s="2994">
        <v>0.54149999999999998</v>
      </c>
      <c r="AE437" s="2994">
        <v>0.57969999999999999</v>
      </c>
      <c r="AF437" s="2994">
        <v>0.65880000000000005</v>
      </c>
      <c r="AG437" s="2994">
        <v>0.64539999999999997</v>
      </c>
      <c r="AH437" s="2994">
        <v>0.66410000000000002</v>
      </c>
      <c r="AI437" s="2994">
        <v>0.85350000000000004</v>
      </c>
      <c r="AJ437" s="2994">
        <v>0.68869999999999998</v>
      </c>
      <c r="AK437" s="2994">
        <v>0.80249999999999999</v>
      </c>
      <c r="AL437" s="2994">
        <v>0.88390000000000002</v>
      </c>
      <c r="AM437" s="2994">
        <v>1.0612999999999999</v>
      </c>
      <c r="AN437" s="2994">
        <v>1.0642</v>
      </c>
      <c r="AO437" s="2994">
        <v>1.1008</v>
      </c>
      <c r="AP437" s="2994">
        <v>1.1855</v>
      </c>
      <c r="AQ437" s="2994">
        <v>1.0643</v>
      </c>
      <c r="AR437" s="2994">
        <v>1.1013999999999999</v>
      </c>
      <c r="AS437" s="2994">
        <v>1.2732000000000001</v>
      </c>
      <c r="AT437" s="2994">
        <v>1.2806999999999999</v>
      </c>
      <c r="AU437" s="2994">
        <v>1.2928999999999999</v>
      </c>
      <c r="AV437" s="2994">
        <v>1.8953</v>
      </c>
      <c r="AW437" s="2994">
        <v>1.5697000000000001</v>
      </c>
      <c r="AX437" s="2994">
        <v>1.1815</v>
      </c>
      <c r="AY437" s="2994">
        <v>1.0868</v>
      </c>
      <c r="AZ437" s="2994">
        <v>1.0892999999999999</v>
      </c>
      <c r="BA437" s="2994">
        <v>1.0609999999999999</v>
      </c>
      <c r="BB437" s="2994">
        <v>1.1032</v>
      </c>
      <c r="BC437" s="2994">
        <v>1.1302000000000001</v>
      </c>
      <c r="BD437" s="3471">
        <v>1.2363</v>
      </c>
      <c r="BE437" s="3471">
        <v>1.0531999999999999</v>
      </c>
      <c r="BF437" s="3471">
        <v>1.1708000000000001</v>
      </c>
    </row>
    <row r="438" spans="1:58">
      <c r="A438" s="1817" t="str">
        <f t="shared" si="13"/>
        <v>Central AmericaPeas, green</v>
      </c>
      <c r="B438" s="1818" t="s">
        <v>305</v>
      </c>
      <c r="C438" s="1818" t="s">
        <v>1366</v>
      </c>
      <c r="D438" s="3463" t="str">
        <f>VLOOKUP(B438,List_Yield!$G$4:$J$14,4,FALSE)</f>
        <v>Central America</v>
      </c>
      <c r="E438" s="3463" t="str">
        <f t="shared" si="12"/>
        <v>Central AmericaPeas, green</v>
      </c>
      <c r="F438" s="2994">
        <v>1.2985</v>
      </c>
      <c r="G438" s="2994">
        <v>1.4441999999999999</v>
      </c>
      <c r="H438" s="2994">
        <v>1.4450000000000001</v>
      </c>
      <c r="I438" s="2994">
        <v>1.4631000000000001</v>
      </c>
      <c r="J438" s="2994">
        <v>1.2067000000000001</v>
      </c>
      <c r="K438" s="2994">
        <v>1.2214</v>
      </c>
      <c r="L438" s="2994">
        <v>1.7766999999999999</v>
      </c>
      <c r="M438" s="2994">
        <v>2.0809000000000002</v>
      </c>
      <c r="N438" s="2994">
        <v>1.7743</v>
      </c>
      <c r="O438" s="2994">
        <v>2.2084000000000001</v>
      </c>
      <c r="P438" s="2994">
        <v>2.6223999999999998</v>
      </c>
      <c r="Q438" s="2994">
        <v>2.7862</v>
      </c>
      <c r="R438" s="2994">
        <v>2.9659</v>
      </c>
      <c r="S438" s="2994">
        <v>3.1181000000000001</v>
      </c>
      <c r="T438" s="2994">
        <v>3.0434999999999999</v>
      </c>
      <c r="U438" s="2994">
        <v>3.1368999999999998</v>
      </c>
      <c r="V438" s="2994">
        <v>2.9456000000000002</v>
      </c>
      <c r="W438" s="2994">
        <v>3.1781999999999999</v>
      </c>
      <c r="X438" s="2994">
        <v>2.6301000000000001</v>
      </c>
      <c r="Y438" s="2994">
        <v>3.1442999999999999</v>
      </c>
      <c r="Z438" s="2994">
        <v>4.0162000000000004</v>
      </c>
      <c r="AA438" s="2994">
        <v>4.1128999999999998</v>
      </c>
      <c r="AB438" s="2994">
        <v>3.4365000000000001</v>
      </c>
      <c r="AC438" s="2994">
        <v>3.7795999999999998</v>
      </c>
      <c r="AD438" s="2994">
        <v>3.403</v>
      </c>
      <c r="AE438" s="2994">
        <v>3.4750000000000001</v>
      </c>
      <c r="AF438" s="2994">
        <v>3.9910000000000001</v>
      </c>
      <c r="AG438" s="2994">
        <v>3.8121</v>
      </c>
      <c r="AH438" s="2994">
        <v>3.8972000000000002</v>
      </c>
      <c r="AI438" s="2994">
        <v>4.4009</v>
      </c>
      <c r="AJ438" s="2994">
        <v>4.1035000000000004</v>
      </c>
      <c r="AK438" s="2994">
        <v>3.9001999999999999</v>
      </c>
      <c r="AL438" s="2994">
        <v>4.6571999999999996</v>
      </c>
      <c r="AM438" s="2994">
        <v>4.4425999999999997</v>
      </c>
      <c r="AN438" s="2994">
        <v>4.5968999999999998</v>
      </c>
      <c r="AO438" s="2994">
        <v>4.9084000000000003</v>
      </c>
      <c r="AP438" s="2994">
        <v>4.9725000000000001</v>
      </c>
      <c r="AQ438" s="2994">
        <v>4.9981</v>
      </c>
      <c r="AR438" s="2994">
        <v>5.6325000000000003</v>
      </c>
      <c r="AS438" s="2994">
        <v>5.5848000000000004</v>
      </c>
      <c r="AT438" s="2994">
        <v>5.7294999999999998</v>
      </c>
      <c r="AU438" s="2994">
        <v>5.2542</v>
      </c>
      <c r="AV438" s="2994">
        <v>5.6405000000000003</v>
      </c>
      <c r="AW438" s="2994">
        <v>5.8243999999999998</v>
      </c>
      <c r="AX438" s="2994">
        <v>5.8079000000000001</v>
      </c>
      <c r="AY438" s="2994">
        <v>5.1365999999999996</v>
      </c>
      <c r="AZ438" s="2994">
        <v>5.5532000000000004</v>
      </c>
      <c r="BA438" s="2994">
        <v>5.4770000000000003</v>
      </c>
      <c r="BB438" s="2994">
        <v>5.5411999999999999</v>
      </c>
      <c r="BC438" s="2994">
        <v>5.6383999999999999</v>
      </c>
      <c r="BD438" s="3471">
        <v>5.5594000000000001</v>
      </c>
      <c r="BE438" s="3471">
        <v>5.4637000000000002</v>
      </c>
      <c r="BF438" s="3471">
        <v>0</v>
      </c>
    </row>
    <row r="439" spans="1:58">
      <c r="A439" s="1817" t="str">
        <f t="shared" si="13"/>
        <v>Central AmericaPepper (piper spp.)</v>
      </c>
      <c r="B439" s="1818" t="s">
        <v>305</v>
      </c>
      <c r="C439" s="1818" t="s">
        <v>7360</v>
      </c>
      <c r="D439" s="3463" t="str">
        <f>VLOOKUP(B439,List_Yield!$G$4:$J$14,4,FALSE)</f>
        <v>Central America</v>
      </c>
      <c r="E439" s="3463" t="str">
        <f t="shared" si="12"/>
        <v>Central AmericaPepper (piper spp.)</v>
      </c>
      <c r="F439" s="2994">
        <v>1.5</v>
      </c>
      <c r="G439" s="2994">
        <v>1.4582999999999999</v>
      </c>
      <c r="H439" s="2994">
        <v>1.6667000000000001</v>
      </c>
      <c r="I439" s="2994">
        <v>1.6215999999999999</v>
      </c>
      <c r="J439" s="2994">
        <v>1.5</v>
      </c>
      <c r="K439" s="2994">
        <v>1.6304000000000001</v>
      </c>
      <c r="L439" s="2994">
        <v>1.675</v>
      </c>
      <c r="M439" s="2994">
        <v>1.6738999999999999</v>
      </c>
      <c r="N439" s="2994">
        <v>1.7307999999999999</v>
      </c>
      <c r="O439" s="2994">
        <v>1.5447</v>
      </c>
      <c r="P439" s="2994">
        <v>1.7646999999999999</v>
      </c>
      <c r="Q439" s="2994">
        <v>1.7646999999999999</v>
      </c>
      <c r="R439" s="2994">
        <v>1.7241</v>
      </c>
      <c r="S439" s="2994">
        <v>1.8182</v>
      </c>
      <c r="T439" s="2994">
        <v>1.5168999999999999</v>
      </c>
      <c r="U439" s="2994">
        <v>1.9530000000000001</v>
      </c>
      <c r="V439" s="2994">
        <v>1.2744</v>
      </c>
      <c r="W439" s="2994">
        <v>1.3405</v>
      </c>
      <c r="X439" s="2994">
        <v>1.1527000000000001</v>
      </c>
      <c r="Y439" s="2994">
        <v>0.87129999999999996</v>
      </c>
      <c r="Z439" s="2994">
        <v>1.5142</v>
      </c>
      <c r="AA439" s="2994">
        <v>1.2914000000000001</v>
      </c>
      <c r="AB439" s="2994">
        <v>1.4681999999999999</v>
      </c>
      <c r="AC439" s="2994">
        <v>1.2724</v>
      </c>
      <c r="AD439" s="2994">
        <v>1.7182999999999999</v>
      </c>
      <c r="AE439" s="2994">
        <v>0.91200000000000003</v>
      </c>
      <c r="AF439" s="2994">
        <v>0.80940000000000001</v>
      </c>
      <c r="AG439" s="2994">
        <v>0.85499999999999998</v>
      </c>
      <c r="AH439" s="2994">
        <v>0.78090000000000004</v>
      </c>
      <c r="AI439" s="2994">
        <v>0.76500000000000001</v>
      </c>
      <c r="AJ439" s="2994">
        <v>1.0085999999999999</v>
      </c>
      <c r="AK439" s="2994">
        <v>1.8242</v>
      </c>
      <c r="AL439" s="2994">
        <v>1.1972</v>
      </c>
      <c r="AM439" s="2994">
        <v>1.2170000000000001</v>
      </c>
      <c r="AN439" s="2994">
        <v>2.0507</v>
      </c>
      <c r="AO439" s="2994">
        <v>1.0383</v>
      </c>
      <c r="AP439" s="2994">
        <v>0.9899</v>
      </c>
      <c r="AQ439" s="2994">
        <v>0.84130000000000005</v>
      </c>
      <c r="AR439" s="2994">
        <v>1.5623</v>
      </c>
      <c r="AS439" s="2994">
        <v>1.2619</v>
      </c>
      <c r="AT439" s="2994">
        <v>1.2144999999999999</v>
      </c>
      <c r="AU439" s="2994">
        <v>1.2109000000000001</v>
      </c>
      <c r="AV439" s="2994">
        <v>1.4766999999999999</v>
      </c>
      <c r="AW439" s="2994">
        <v>1.4598</v>
      </c>
      <c r="AX439" s="2994">
        <v>0.8891</v>
      </c>
      <c r="AY439" s="2994">
        <v>1.1820999999999999</v>
      </c>
      <c r="AZ439" s="2994">
        <v>1.5489999999999999</v>
      </c>
      <c r="BA439" s="2994">
        <v>1.5309999999999999</v>
      </c>
      <c r="BB439" s="2994">
        <v>1.5149999999999999</v>
      </c>
      <c r="BC439" s="2994">
        <v>1.3491</v>
      </c>
      <c r="BD439" s="3471">
        <v>1.3142</v>
      </c>
      <c r="BE439" s="3471">
        <v>1.1994</v>
      </c>
      <c r="BF439" s="3471">
        <v>0</v>
      </c>
    </row>
    <row r="440" spans="1:58">
      <c r="A440" s="1817" t="str">
        <f t="shared" si="13"/>
        <v>Central AmericaPeppermint</v>
      </c>
      <c r="B440" s="1818" t="s">
        <v>305</v>
      </c>
      <c r="C440" s="1818" t="s">
        <v>7361</v>
      </c>
      <c r="D440" s="3463" t="str">
        <f>VLOOKUP(B440,List_Yield!$G$4:$J$14,4,FALSE)</f>
        <v>Central America</v>
      </c>
      <c r="E440" s="3463" t="str">
        <f t="shared" si="12"/>
        <v>Central AmericaPeppermint</v>
      </c>
      <c r="F440" s="2994">
        <v>0</v>
      </c>
      <c r="G440" s="2994">
        <v>0</v>
      </c>
      <c r="H440" s="2994">
        <v>0</v>
      </c>
      <c r="I440" s="2994">
        <v>0</v>
      </c>
      <c r="J440" s="2994">
        <v>0</v>
      </c>
      <c r="K440" s="2994">
        <v>0</v>
      </c>
      <c r="L440" s="2994">
        <v>0</v>
      </c>
      <c r="M440" s="2994">
        <v>0</v>
      </c>
      <c r="N440" s="2994">
        <v>0</v>
      </c>
      <c r="O440" s="2994">
        <v>0</v>
      </c>
      <c r="P440" s="2994">
        <v>0</v>
      </c>
      <c r="Q440" s="2994">
        <v>0</v>
      </c>
      <c r="R440" s="2994">
        <v>0</v>
      </c>
      <c r="S440" s="2994">
        <v>0</v>
      </c>
      <c r="T440" s="2994">
        <v>0</v>
      </c>
      <c r="U440" s="2994">
        <v>0</v>
      </c>
      <c r="V440" s="2994">
        <v>0</v>
      </c>
      <c r="W440" s="2994">
        <v>0</v>
      </c>
      <c r="X440" s="2994">
        <v>0</v>
      </c>
      <c r="Y440" s="2994">
        <v>0</v>
      </c>
      <c r="Z440" s="2994">
        <v>0</v>
      </c>
      <c r="AA440" s="2994">
        <v>0</v>
      </c>
      <c r="AB440" s="2994">
        <v>0</v>
      </c>
      <c r="AC440" s="2994">
        <v>0</v>
      </c>
      <c r="AD440" s="2994">
        <v>0</v>
      </c>
      <c r="AE440" s="2994">
        <v>0</v>
      </c>
      <c r="AF440" s="2994">
        <v>0</v>
      </c>
      <c r="AG440" s="2994">
        <v>0</v>
      </c>
      <c r="AH440" s="2994">
        <v>0</v>
      </c>
      <c r="AI440" s="2994">
        <v>0</v>
      </c>
      <c r="AJ440" s="2994">
        <v>0</v>
      </c>
      <c r="AK440" s="2994">
        <v>0</v>
      </c>
      <c r="AL440" s="2994">
        <v>0</v>
      </c>
      <c r="AM440" s="2994">
        <v>0</v>
      </c>
      <c r="AN440" s="2994">
        <v>0</v>
      </c>
      <c r="AO440" s="2994">
        <v>0</v>
      </c>
      <c r="AP440" s="2994">
        <v>0</v>
      </c>
      <c r="AQ440" s="2994">
        <v>0</v>
      </c>
      <c r="AR440" s="2994">
        <v>0</v>
      </c>
      <c r="AS440" s="2994">
        <v>0</v>
      </c>
      <c r="AT440" s="2994">
        <v>0</v>
      </c>
      <c r="AU440" s="2994">
        <v>0</v>
      </c>
      <c r="AV440" s="2994">
        <v>0</v>
      </c>
      <c r="AW440" s="2994">
        <v>0</v>
      </c>
      <c r="AX440" s="2994">
        <v>0</v>
      </c>
      <c r="AY440" s="2994">
        <v>0</v>
      </c>
      <c r="AZ440" s="2994">
        <v>0</v>
      </c>
      <c r="BA440" s="2994">
        <v>0</v>
      </c>
      <c r="BB440" s="2994">
        <v>0</v>
      </c>
      <c r="BC440" s="2994">
        <v>0</v>
      </c>
      <c r="BD440" s="3471">
        <v>0</v>
      </c>
      <c r="BE440" s="3471">
        <v>0</v>
      </c>
      <c r="BF440" s="3471">
        <v>0</v>
      </c>
    </row>
    <row r="441" spans="1:58">
      <c r="A441" s="1817" t="str">
        <f t="shared" si="13"/>
        <v>Central AmericaPersimmons</v>
      </c>
      <c r="B441" s="1818" t="s">
        <v>305</v>
      </c>
      <c r="C441" s="1818" t="s">
        <v>7362</v>
      </c>
      <c r="D441" s="3463" t="str">
        <f>VLOOKUP(B441,List_Yield!$G$4:$J$14,4,FALSE)</f>
        <v>Central America</v>
      </c>
      <c r="E441" s="3463" t="str">
        <f t="shared" si="12"/>
        <v>Central AmericaPersimmons</v>
      </c>
      <c r="F441" s="2994">
        <v>0</v>
      </c>
      <c r="G441" s="2994">
        <v>0</v>
      </c>
      <c r="H441" s="2994">
        <v>0</v>
      </c>
      <c r="I441" s="2994">
        <v>0</v>
      </c>
      <c r="J441" s="2994">
        <v>0</v>
      </c>
      <c r="K441" s="2994">
        <v>0</v>
      </c>
      <c r="L441" s="2994">
        <v>0</v>
      </c>
      <c r="M441" s="2994">
        <v>0</v>
      </c>
      <c r="N441" s="2994">
        <v>0</v>
      </c>
      <c r="O441" s="2994">
        <v>0</v>
      </c>
      <c r="P441" s="2994">
        <v>0</v>
      </c>
      <c r="Q441" s="2994">
        <v>0</v>
      </c>
      <c r="R441" s="2994">
        <v>0</v>
      </c>
      <c r="S441" s="2994">
        <v>0</v>
      </c>
      <c r="T441" s="2994">
        <v>0</v>
      </c>
      <c r="U441" s="2994">
        <v>0</v>
      </c>
      <c r="V441" s="2994">
        <v>0</v>
      </c>
      <c r="W441" s="2994">
        <v>0</v>
      </c>
      <c r="X441" s="2994">
        <v>0</v>
      </c>
      <c r="Y441" s="2994">
        <v>0</v>
      </c>
      <c r="Z441" s="2994">
        <v>6.5</v>
      </c>
      <c r="AA441" s="2994">
        <v>6.0869999999999997</v>
      </c>
      <c r="AB441" s="2994">
        <v>6</v>
      </c>
      <c r="AC441" s="2994">
        <v>6.5217000000000001</v>
      </c>
      <c r="AD441" s="2994">
        <v>5</v>
      </c>
      <c r="AE441" s="2994">
        <v>7.7691999999999997</v>
      </c>
      <c r="AF441" s="2994">
        <v>6.2812999999999999</v>
      </c>
      <c r="AG441" s="2994">
        <v>7.1818</v>
      </c>
      <c r="AH441" s="2994">
        <v>6.1538000000000004</v>
      </c>
      <c r="AI441" s="2994">
        <v>5.9782999999999999</v>
      </c>
      <c r="AJ441" s="2994">
        <v>2.5870000000000002</v>
      </c>
      <c r="AK441" s="2994">
        <v>6.3913000000000002</v>
      </c>
      <c r="AL441" s="2994">
        <v>7.6364000000000001</v>
      </c>
      <c r="AM441" s="2994">
        <v>7.1364000000000001</v>
      </c>
      <c r="AN441" s="2994">
        <v>6.85</v>
      </c>
      <c r="AO441" s="2994">
        <v>8.7857000000000003</v>
      </c>
      <c r="AP441" s="2994">
        <v>9.0625</v>
      </c>
      <c r="AQ441" s="2994">
        <v>8.8000000000000007</v>
      </c>
      <c r="AR441" s="2994">
        <v>8.8444000000000003</v>
      </c>
      <c r="AS441" s="2994">
        <v>8.8214000000000006</v>
      </c>
      <c r="AT441" s="2994">
        <v>8.5532000000000004</v>
      </c>
      <c r="AU441" s="2994">
        <v>6.6207000000000003</v>
      </c>
      <c r="AV441" s="2994">
        <v>7.383</v>
      </c>
      <c r="AW441" s="2994">
        <v>7.8571</v>
      </c>
      <c r="AX441" s="2994">
        <v>8.5814000000000004</v>
      </c>
      <c r="AY441" s="2994">
        <v>8.1999999999999993</v>
      </c>
      <c r="AZ441" s="2994">
        <v>9.8222000000000005</v>
      </c>
      <c r="BA441" s="2994">
        <v>9.5263000000000009</v>
      </c>
      <c r="BB441" s="2994">
        <v>10.8421</v>
      </c>
      <c r="BC441" s="2994">
        <v>9.5526</v>
      </c>
      <c r="BD441" s="3471">
        <v>12.3889</v>
      </c>
      <c r="BE441" s="3471">
        <v>13.5556</v>
      </c>
      <c r="BF441" s="3471">
        <v>0</v>
      </c>
    </row>
    <row r="442" spans="1:58">
      <c r="A442" s="1817" t="str">
        <f t="shared" si="13"/>
        <v>Central AmericaPigeon peas</v>
      </c>
      <c r="B442" s="1818" t="s">
        <v>305</v>
      </c>
      <c r="C442" s="1818" t="s">
        <v>7363</v>
      </c>
      <c r="D442" s="3463" t="str">
        <f>VLOOKUP(B442,List_Yield!$G$4:$J$14,4,FALSE)</f>
        <v>Central America</v>
      </c>
      <c r="E442" s="3463" t="str">
        <f t="shared" si="12"/>
        <v>Central AmericaPigeon peas</v>
      </c>
      <c r="F442" s="2994">
        <v>0.7</v>
      </c>
      <c r="G442" s="2994">
        <v>0.7</v>
      </c>
      <c r="H442" s="2994">
        <v>0.7</v>
      </c>
      <c r="I442" s="2994">
        <v>0.65</v>
      </c>
      <c r="J442" s="2994">
        <v>0.65</v>
      </c>
      <c r="K442" s="2994">
        <v>0.65</v>
      </c>
      <c r="L442" s="2994">
        <v>0.65</v>
      </c>
      <c r="M442" s="2994">
        <v>0.65</v>
      </c>
      <c r="N442" s="2994">
        <v>0.6</v>
      </c>
      <c r="O442" s="2994">
        <v>0.71319999999999995</v>
      </c>
      <c r="P442" s="2994">
        <v>0.7</v>
      </c>
      <c r="Q442" s="2994">
        <v>0.75</v>
      </c>
      <c r="R442" s="2994">
        <v>0.73350000000000004</v>
      </c>
      <c r="S442" s="2994">
        <v>0.74099999999999999</v>
      </c>
      <c r="T442" s="2994">
        <v>0.74850000000000005</v>
      </c>
      <c r="U442" s="2994">
        <v>0.75600000000000001</v>
      </c>
      <c r="V442" s="2994">
        <v>0.76400000000000001</v>
      </c>
      <c r="W442" s="2994">
        <v>0.77649999999999997</v>
      </c>
      <c r="X442" s="2994">
        <v>0.79200000000000004</v>
      </c>
      <c r="Y442" s="2994">
        <v>0.95430000000000004</v>
      </c>
      <c r="Z442" s="2994">
        <v>0.89910000000000001</v>
      </c>
      <c r="AA442" s="2994">
        <v>0.79039999999999999</v>
      </c>
      <c r="AB442" s="2994">
        <v>0.84730000000000005</v>
      </c>
      <c r="AC442" s="2994">
        <v>0.85770000000000002</v>
      </c>
      <c r="AD442" s="2994">
        <v>0.86890000000000001</v>
      </c>
      <c r="AE442" s="2994">
        <v>0.86460000000000004</v>
      </c>
      <c r="AF442" s="2994">
        <v>0.86140000000000005</v>
      </c>
      <c r="AG442" s="2994">
        <v>0.85929999999999995</v>
      </c>
      <c r="AH442" s="2994">
        <v>0.69899999999999995</v>
      </c>
      <c r="AI442" s="2994">
        <v>0.41420000000000001</v>
      </c>
      <c r="AJ442" s="2994">
        <v>0.4778</v>
      </c>
      <c r="AK442" s="2994">
        <v>0.3574</v>
      </c>
      <c r="AL442" s="2994">
        <v>0.5</v>
      </c>
      <c r="AM442" s="2994">
        <v>0.5</v>
      </c>
      <c r="AN442" s="2994">
        <v>0.51180000000000003</v>
      </c>
      <c r="AO442" s="2994">
        <v>0.49840000000000001</v>
      </c>
      <c r="AP442" s="2994">
        <v>0.44879999999999998</v>
      </c>
      <c r="AQ442" s="2994">
        <v>0.44919999999999999</v>
      </c>
      <c r="AR442" s="2994">
        <v>0.44850000000000001</v>
      </c>
      <c r="AS442" s="2994">
        <v>0.44850000000000001</v>
      </c>
      <c r="AT442" s="2994">
        <v>0.44890000000000002</v>
      </c>
      <c r="AU442" s="2994">
        <v>0.45119999999999999</v>
      </c>
      <c r="AV442" s="2994">
        <v>0.3926</v>
      </c>
      <c r="AW442" s="2994">
        <v>0.44740000000000002</v>
      </c>
      <c r="AX442" s="2994">
        <v>0.4698</v>
      </c>
      <c r="AY442" s="2994">
        <v>0.59260000000000002</v>
      </c>
      <c r="AZ442" s="2994">
        <v>0.61219999999999997</v>
      </c>
      <c r="BA442" s="2994">
        <v>0.40620000000000001</v>
      </c>
      <c r="BB442" s="2994">
        <v>0.43430000000000002</v>
      </c>
      <c r="BC442" s="2994">
        <v>0.44969999999999999</v>
      </c>
      <c r="BD442" s="3471">
        <v>0.52190000000000003</v>
      </c>
      <c r="BE442" s="3471">
        <v>0.51839999999999997</v>
      </c>
      <c r="BF442" s="3471">
        <v>0.51839999999999997</v>
      </c>
    </row>
    <row r="443" spans="1:58">
      <c r="A443" s="1817" t="str">
        <f t="shared" si="13"/>
        <v>Central AmericaPineapples</v>
      </c>
      <c r="B443" s="1818" t="s">
        <v>305</v>
      </c>
      <c r="C443" s="1818" t="s">
        <v>1325</v>
      </c>
      <c r="D443" s="3463" t="str">
        <f>VLOOKUP(B443,List_Yield!$G$4:$J$14,4,FALSE)</f>
        <v>Central America</v>
      </c>
      <c r="E443" s="3463" t="str">
        <f t="shared" si="12"/>
        <v>Central AmericaPineapples</v>
      </c>
      <c r="F443" s="2994">
        <v>20.349399999999999</v>
      </c>
      <c r="G443" s="2994">
        <v>20.087599999999998</v>
      </c>
      <c r="H443" s="2994">
        <v>19.995799999999999</v>
      </c>
      <c r="I443" s="2994">
        <v>20.252300000000002</v>
      </c>
      <c r="J443" s="2994">
        <v>22.479600000000001</v>
      </c>
      <c r="K443" s="2994">
        <v>22.8</v>
      </c>
      <c r="L443" s="2994">
        <v>22.280999999999999</v>
      </c>
      <c r="M443" s="2994">
        <v>22.034600000000001</v>
      </c>
      <c r="N443" s="2994">
        <v>22.6096</v>
      </c>
      <c r="O443" s="2994">
        <v>21.971499999999999</v>
      </c>
      <c r="P443" s="2994">
        <v>27.4191</v>
      </c>
      <c r="Q443" s="2994">
        <v>26.1434</v>
      </c>
      <c r="R443" s="2994">
        <v>27.602900000000002</v>
      </c>
      <c r="S443" s="2994">
        <v>30.339200000000002</v>
      </c>
      <c r="T443" s="2994">
        <v>27.789100000000001</v>
      </c>
      <c r="U443" s="2994">
        <v>28.282</v>
      </c>
      <c r="V443" s="2994">
        <v>29.642800000000001</v>
      </c>
      <c r="W443" s="2994">
        <v>30.0808</v>
      </c>
      <c r="X443" s="2994">
        <v>29.743099999999998</v>
      </c>
      <c r="Y443" s="2994">
        <v>31.331199999999999</v>
      </c>
      <c r="Z443" s="2994">
        <v>30.549199999999999</v>
      </c>
      <c r="AA443" s="2994">
        <v>29.174499999999998</v>
      </c>
      <c r="AB443" s="2994">
        <v>30.302900000000001</v>
      </c>
      <c r="AC443" s="2994">
        <v>30.5518</v>
      </c>
      <c r="AD443" s="2994">
        <v>25.944800000000001</v>
      </c>
      <c r="AE443" s="2994">
        <v>22.620699999999999</v>
      </c>
      <c r="AF443" s="2994">
        <v>25.68</v>
      </c>
      <c r="AG443" s="2994">
        <v>26.261800000000001</v>
      </c>
      <c r="AH443" s="2994">
        <v>42.314</v>
      </c>
      <c r="AI443" s="2994">
        <v>42.33</v>
      </c>
      <c r="AJ443" s="2994">
        <v>38.474899999999998</v>
      </c>
      <c r="AK443" s="2994">
        <v>37.342599999999997</v>
      </c>
      <c r="AL443" s="2994">
        <v>36.067999999999998</v>
      </c>
      <c r="AM443" s="2994">
        <v>40.805</v>
      </c>
      <c r="AN443" s="2994">
        <v>36.767800000000001</v>
      </c>
      <c r="AO443" s="2994">
        <v>39.712899999999998</v>
      </c>
      <c r="AP443" s="2994">
        <v>41.741500000000002</v>
      </c>
      <c r="AQ443" s="2994">
        <v>42.554900000000004</v>
      </c>
      <c r="AR443" s="2994">
        <v>48.7303</v>
      </c>
      <c r="AS443" s="2994">
        <v>46.069299999999998</v>
      </c>
      <c r="AT443" s="2994">
        <v>47.5471</v>
      </c>
      <c r="AU443" s="2994">
        <v>46.846299999999999</v>
      </c>
      <c r="AV443" s="2994">
        <v>45.373399999999997</v>
      </c>
      <c r="AW443" s="2994">
        <v>47.328499999999998</v>
      </c>
      <c r="AX443" s="2994">
        <v>45.528700000000001</v>
      </c>
      <c r="AY443" s="2994">
        <v>57.523099999999999</v>
      </c>
      <c r="AZ443" s="2994">
        <v>43.459200000000003</v>
      </c>
      <c r="BA443" s="2994">
        <v>41.5914</v>
      </c>
      <c r="BB443" s="2994">
        <v>38.521000000000001</v>
      </c>
      <c r="BC443" s="2994">
        <v>39.7288</v>
      </c>
      <c r="BD443" s="3471">
        <v>43.522300000000001</v>
      </c>
      <c r="BE443" s="3471">
        <v>47.911099999999998</v>
      </c>
      <c r="BF443" s="3471">
        <v>0</v>
      </c>
    </row>
    <row r="444" spans="1:58">
      <c r="A444" s="1817" t="str">
        <f t="shared" si="13"/>
        <v>Central AmericaPistachios</v>
      </c>
      <c r="B444" s="1818" t="s">
        <v>305</v>
      </c>
      <c r="C444" s="1818" t="s">
        <v>7364</v>
      </c>
      <c r="D444" s="3463" t="str">
        <f>VLOOKUP(B444,List_Yield!$G$4:$J$14,4,FALSE)</f>
        <v>Central America</v>
      </c>
      <c r="E444" s="3463" t="str">
        <f t="shared" si="12"/>
        <v>Central AmericaPistachios</v>
      </c>
      <c r="F444" s="2994">
        <v>0</v>
      </c>
      <c r="G444" s="2994">
        <v>0</v>
      </c>
      <c r="H444" s="2994">
        <v>0</v>
      </c>
      <c r="I444" s="2994">
        <v>0</v>
      </c>
      <c r="J444" s="2994">
        <v>0</v>
      </c>
      <c r="K444" s="2994">
        <v>0</v>
      </c>
      <c r="L444" s="2994">
        <v>0</v>
      </c>
      <c r="M444" s="2994">
        <v>0</v>
      </c>
      <c r="N444" s="2994">
        <v>0</v>
      </c>
      <c r="O444" s="2994">
        <v>0</v>
      </c>
      <c r="P444" s="2994">
        <v>0</v>
      </c>
      <c r="Q444" s="2994">
        <v>0</v>
      </c>
      <c r="R444" s="2994">
        <v>0</v>
      </c>
      <c r="S444" s="2994">
        <v>0</v>
      </c>
      <c r="T444" s="2994">
        <v>0</v>
      </c>
      <c r="U444" s="2994">
        <v>0</v>
      </c>
      <c r="V444" s="2994">
        <v>0</v>
      </c>
      <c r="W444" s="2994">
        <v>0</v>
      </c>
      <c r="X444" s="2994">
        <v>0</v>
      </c>
      <c r="Y444" s="2994">
        <v>0</v>
      </c>
      <c r="Z444" s="2994">
        <v>0</v>
      </c>
      <c r="AA444" s="2994">
        <v>0</v>
      </c>
      <c r="AB444" s="2994">
        <v>0</v>
      </c>
      <c r="AC444" s="2994">
        <v>0.33329999999999999</v>
      </c>
      <c r="AD444" s="2994">
        <v>0.48149999999999998</v>
      </c>
      <c r="AE444" s="2994">
        <v>0.72729999999999995</v>
      </c>
      <c r="AF444" s="2994">
        <v>0</v>
      </c>
      <c r="AG444" s="2994">
        <v>0</v>
      </c>
      <c r="AH444" s="2994">
        <v>0</v>
      </c>
      <c r="AI444" s="2994">
        <v>0</v>
      </c>
      <c r="AJ444" s="2994">
        <v>0.71430000000000005</v>
      </c>
      <c r="AK444" s="2994">
        <v>1.1584000000000001</v>
      </c>
      <c r="AL444" s="2994">
        <v>0.9</v>
      </c>
      <c r="AM444" s="2994">
        <v>0.15</v>
      </c>
      <c r="AN444" s="2994">
        <v>0.1875</v>
      </c>
      <c r="AO444" s="2994">
        <v>0.16250000000000001</v>
      </c>
      <c r="AP444" s="2994">
        <v>0.64200000000000002</v>
      </c>
      <c r="AQ444" s="2994">
        <v>0.48759999999999998</v>
      </c>
      <c r="AR444" s="2994">
        <v>0.44440000000000002</v>
      </c>
      <c r="AS444" s="2994">
        <v>0.36470000000000002</v>
      </c>
      <c r="AT444" s="2994">
        <v>0.2283</v>
      </c>
      <c r="AU444" s="2994">
        <v>0.4375</v>
      </c>
      <c r="AV444" s="2994">
        <v>0.4375</v>
      </c>
      <c r="AW444" s="2994">
        <v>0.28210000000000002</v>
      </c>
      <c r="AX444" s="2994">
        <v>0.66669999999999996</v>
      </c>
      <c r="AY444" s="2994">
        <v>0.16</v>
      </c>
      <c r="AZ444" s="2994">
        <v>0.27779999999999999</v>
      </c>
      <c r="BA444" s="2994">
        <v>0.63639999999999997</v>
      </c>
      <c r="BB444" s="2994">
        <v>0.54100000000000004</v>
      </c>
      <c r="BC444" s="2994">
        <v>0.4965</v>
      </c>
      <c r="BD444" s="3471">
        <v>0.56100000000000005</v>
      </c>
      <c r="BE444" s="3471">
        <v>0.57579999999999998</v>
      </c>
      <c r="BF444" s="3471">
        <v>0</v>
      </c>
    </row>
    <row r="445" spans="1:58">
      <c r="A445" s="1817" t="str">
        <f t="shared" si="13"/>
        <v>Central AmericaPlantains</v>
      </c>
      <c r="B445" s="1818" t="s">
        <v>305</v>
      </c>
      <c r="C445" s="1818" t="s">
        <v>1367</v>
      </c>
      <c r="D445" s="3463" t="str">
        <f>VLOOKUP(B445,List_Yield!$G$4:$J$14,4,FALSE)</f>
        <v>Central America</v>
      </c>
      <c r="E445" s="3463" t="str">
        <f t="shared" ref="E445:E508" si="14">CONCATENATE(D445,C445)</f>
        <v>Central AmericaPlantains</v>
      </c>
      <c r="F445" s="2994">
        <v>12.510999999999999</v>
      </c>
      <c r="G445" s="2994">
        <v>12.7194</v>
      </c>
      <c r="H445" s="2994">
        <v>12.520899999999999</v>
      </c>
      <c r="I445" s="2994">
        <v>12.5002</v>
      </c>
      <c r="J445" s="2994">
        <v>12.787699999999999</v>
      </c>
      <c r="K445" s="2994">
        <v>13.2516</v>
      </c>
      <c r="L445" s="2994">
        <v>13.8858</v>
      </c>
      <c r="M445" s="2994">
        <v>14.9787</v>
      </c>
      <c r="N445" s="2994">
        <v>15.5745</v>
      </c>
      <c r="O445" s="2994">
        <v>13.6983</v>
      </c>
      <c r="P445" s="2994">
        <v>13.9739</v>
      </c>
      <c r="Q445" s="2994">
        <v>14.3371</v>
      </c>
      <c r="R445" s="2994">
        <v>14.5868</v>
      </c>
      <c r="S445" s="2994">
        <v>14.144600000000001</v>
      </c>
      <c r="T445" s="2994">
        <v>13.7462</v>
      </c>
      <c r="U445" s="2994">
        <v>13.7628</v>
      </c>
      <c r="V445" s="2994">
        <v>13.295299999999999</v>
      </c>
      <c r="W445" s="2994">
        <v>13.151199999999999</v>
      </c>
      <c r="X445" s="2994">
        <v>13.3306</v>
      </c>
      <c r="Y445" s="2994">
        <v>13.9292</v>
      </c>
      <c r="Z445" s="2994">
        <v>14.404299999999999</v>
      </c>
      <c r="AA445" s="2994">
        <v>11.5022</v>
      </c>
      <c r="AB445" s="2994">
        <v>10.5815</v>
      </c>
      <c r="AC445" s="2994">
        <v>12.2536</v>
      </c>
      <c r="AD445" s="2994">
        <v>11.2826</v>
      </c>
      <c r="AE445" s="2994">
        <v>11.6739</v>
      </c>
      <c r="AF445" s="2994">
        <v>12.0252</v>
      </c>
      <c r="AG445" s="2994">
        <v>11.0723</v>
      </c>
      <c r="AH445" s="2994">
        <v>16.102499999999999</v>
      </c>
      <c r="AI445" s="2994">
        <v>15.745100000000001</v>
      </c>
      <c r="AJ445" s="2994">
        <v>15.4955</v>
      </c>
      <c r="AK445" s="2994">
        <v>15.058299999999999</v>
      </c>
      <c r="AL445" s="2994">
        <v>15.1922</v>
      </c>
      <c r="AM445" s="2994">
        <v>16.126300000000001</v>
      </c>
      <c r="AN445" s="2994">
        <v>16.067699999999999</v>
      </c>
      <c r="AO445" s="2994">
        <v>14.8971</v>
      </c>
      <c r="AP445" s="2994">
        <v>15.1785</v>
      </c>
      <c r="AQ445" s="2994">
        <v>14.4864</v>
      </c>
      <c r="AR445" s="2994">
        <v>14.3353</v>
      </c>
      <c r="AS445" s="2994">
        <v>16.366199999999999</v>
      </c>
      <c r="AT445" s="2994">
        <v>16.483699999999999</v>
      </c>
      <c r="AU445" s="2994">
        <v>15.2416</v>
      </c>
      <c r="AV445" s="2994">
        <v>14.719900000000001</v>
      </c>
      <c r="AW445" s="2994">
        <v>14.790699999999999</v>
      </c>
      <c r="AX445" s="2994">
        <v>13.623100000000001</v>
      </c>
      <c r="AY445" s="2994">
        <v>12.542400000000001</v>
      </c>
      <c r="AZ445" s="2994">
        <v>12.9032</v>
      </c>
      <c r="BA445" s="2994">
        <v>13.7072</v>
      </c>
      <c r="BB445" s="2994">
        <v>13.9191</v>
      </c>
      <c r="BC445" s="2994">
        <v>11.8436</v>
      </c>
      <c r="BD445" s="3471">
        <v>11.5701</v>
      </c>
      <c r="BE445" s="3471">
        <v>11.704499999999999</v>
      </c>
      <c r="BF445" s="3471">
        <v>0</v>
      </c>
    </row>
    <row r="446" spans="1:58">
      <c r="A446" s="1817" t="str">
        <f t="shared" si="13"/>
        <v>Central AmericaPlums and sloes</v>
      </c>
      <c r="B446" s="1818" t="s">
        <v>305</v>
      </c>
      <c r="C446" s="1818" t="s">
        <v>7365</v>
      </c>
      <c r="D446" s="3463" t="str">
        <f>VLOOKUP(B446,List_Yield!$G$4:$J$14,4,FALSE)</f>
        <v>Central America</v>
      </c>
      <c r="E446" s="3463" t="str">
        <f t="shared" si="14"/>
        <v>Central AmericaPlums and sloes</v>
      </c>
      <c r="F446" s="2994">
        <v>9.0595999999999997</v>
      </c>
      <c r="G446" s="2994">
        <v>9.3839000000000006</v>
      </c>
      <c r="H446" s="2994">
        <v>9.4332999999999991</v>
      </c>
      <c r="I446" s="2994">
        <v>9.4760000000000009</v>
      </c>
      <c r="J446" s="2994">
        <v>10.992900000000001</v>
      </c>
      <c r="K446" s="2994">
        <v>10.9056</v>
      </c>
      <c r="L446" s="2994">
        <v>10.705500000000001</v>
      </c>
      <c r="M446" s="2994">
        <v>10.745799999999999</v>
      </c>
      <c r="N446" s="2994">
        <v>10.408099999999999</v>
      </c>
      <c r="O446" s="2994">
        <v>8.3933999999999997</v>
      </c>
      <c r="P446" s="2994">
        <v>8.5136000000000003</v>
      </c>
      <c r="Q446" s="2994">
        <v>7.4249999999999998</v>
      </c>
      <c r="R446" s="2994">
        <v>8.3759999999999994</v>
      </c>
      <c r="S446" s="2994">
        <v>5.9837999999999996</v>
      </c>
      <c r="T446" s="2994">
        <v>7.0217999999999998</v>
      </c>
      <c r="U446" s="2994">
        <v>6.9337999999999997</v>
      </c>
      <c r="V446" s="2994">
        <v>6.8654999999999999</v>
      </c>
      <c r="W446" s="2994">
        <v>6.8066000000000004</v>
      </c>
      <c r="X446" s="2994">
        <v>6.5991999999999997</v>
      </c>
      <c r="Y446" s="2994">
        <v>6.1729000000000003</v>
      </c>
      <c r="Z446" s="2994">
        <v>5.5746000000000002</v>
      </c>
      <c r="AA446" s="2994">
        <v>5.3548999999999998</v>
      </c>
      <c r="AB446" s="2994">
        <v>6.0637999999999996</v>
      </c>
      <c r="AC446" s="2994">
        <v>5.5362999999999998</v>
      </c>
      <c r="AD446" s="2994">
        <v>5.3437999999999999</v>
      </c>
      <c r="AE446" s="2994">
        <v>5.1315</v>
      </c>
      <c r="AF446" s="2994">
        <v>5.0475000000000003</v>
      </c>
      <c r="AG446" s="2994">
        <v>5.3855000000000004</v>
      </c>
      <c r="AH446" s="2994">
        <v>3.8637000000000001</v>
      </c>
      <c r="AI446" s="2994">
        <v>4.2602000000000002</v>
      </c>
      <c r="AJ446" s="2994">
        <v>3.9982000000000002</v>
      </c>
      <c r="AK446" s="2994">
        <v>6.0263999999999998</v>
      </c>
      <c r="AL446" s="2994">
        <v>5.4581</v>
      </c>
      <c r="AM446" s="2994">
        <v>5.7370999999999999</v>
      </c>
      <c r="AN446" s="2994">
        <v>5.4573999999999998</v>
      </c>
      <c r="AO446" s="2994">
        <v>5.0430999999999999</v>
      </c>
      <c r="AP446" s="2994">
        <v>5.0362999999999998</v>
      </c>
      <c r="AQ446" s="2994">
        <v>4.3567999999999998</v>
      </c>
      <c r="AR446" s="2994">
        <v>5.4024000000000001</v>
      </c>
      <c r="AS446" s="2994">
        <v>5.1936</v>
      </c>
      <c r="AT446" s="2994">
        <v>4.7784000000000004</v>
      </c>
      <c r="AU446" s="2994">
        <v>4.8540999999999999</v>
      </c>
      <c r="AV446" s="2994">
        <v>4.8680000000000003</v>
      </c>
      <c r="AW446" s="2994">
        <v>5.1656000000000004</v>
      </c>
      <c r="AX446" s="2994">
        <v>5.0857999999999999</v>
      </c>
      <c r="AY446" s="2994">
        <v>4.9378000000000002</v>
      </c>
      <c r="AZ446" s="2994">
        <v>4.5126999999999997</v>
      </c>
      <c r="BA446" s="2994">
        <v>4.7386999999999997</v>
      </c>
      <c r="BB446" s="2994">
        <v>4.76</v>
      </c>
      <c r="BC446" s="2994">
        <v>4.6989000000000001</v>
      </c>
      <c r="BD446" s="3471">
        <v>4.7206000000000001</v>
      </c>
      <c r="BE446" s="3471">
        <v>4.3829000000000002</v>
      </c>
      <c r="BF446" s="3471">
        <v>0</v>
      </c>
    </row>
    <row r="447" spans="1:58">
      <c r="A447" s="1817" t="str">
        <f t="shared" si="13"/>
        <v>Central AmericaPopcorn</v>
      </c>
      <c r="B447" s="1818" t="s">
        <v>305</v>
      </c>
      <c r="C447" s="1818" t="s">
        <v>7366</v>
      </c>
      <c r="D447" s="3463" t="str">
        <f>VLOOKUP(B447,List_Yield!$G$4:$J$14,4,FALSE)</f>
        <v>Central America</v>
      </c>
      <c r="E447" s="3463" t="str">
        <f t="shared" si="14"/>
        <v>Central AmericaPopcorn</v>
      </c>
      <c r="F447" s="2994">
        <v>0</v>
      </c>
      <c r="G447" s="2994">
        <v>0</v>
      </c>
      <c r="H447" s="2994">
        <v>0</v>
      </c>
      <c r="I447" s="2994">
        <v>0</v>
      </c>
      <c r="J447" s="2994">
        <v>0</v>
      </c>
      <c r="K447" s="2994">
        <v>0</v>
      </c>
      <c r="L447" s="2994">
        <v>0</v>
      </c>
      <c r="M447" s="2994">
        <v>0</v>
      </c>
      <c r="N447" s="2994">
        <v>0</v>
      </c>
      <c r="O447" s="2994">
        <v>0</v>
      </c>
      <c r="P447" s="2994">
        <v>0</v>
      </c>
      <c r="Q447" s="2994">
        <v>0</v>
      </c>
      <c r="R447" s="2994">
        <v>0</v>
      </c>
      <c r="S447" s="2994">
        <v>0</v>
      </c>
      <c r="T447" s="2994">
        <v>0</v>
      </c>
      <c r="U447" s="2994">
        <v>0</v>
      </c>
      <c r="V447" s="2994">
        <v>0</v>
      </c>
      <c r="W447" s="2994">
        <v>0</v>
      </c>
      <c r="X447" s="2994">
        <v>0</v>
      </c>
      <c r="Y447" s="2994">
        <v>0</v>
      </c>
      <c r="Z447" s="2994">
        <v>0</v>
      </c>
      <c r="AA447" s="2994">
        <v>0</v>
      </c>
      <c r="AB447" s="2994">
        <v>0</v>
      </c>
      <c r="AC447" s="2994">
        <v>0</v>
      </c>
      <c r="AD447" s="2994">
        <v>0</v>
      </c>
      <c r="AE447" s="2994">
        <v>0</v>
      </c>
      <c r="AF447" s="2994">
        <v>0</v>
      </c>
      <c r="AG447" s="2994">
        <v>0</v>
      </c>
      <c r="AH447" s="2994">
        <v>0</v>
      </c>
      <c r="AI447" s="2994">
        <v>0</v>
      </c>
      <c r="AJ447" s="2994">
        <v>0</v>
      </c>
      <c r="AK447" s="2994">
        <v>0</v>
      </c>
      <c r="AL447" s="2994">
        <v>0</v>
      </c>
      <c r="AM447" s="2994">
        <v>0</v>
      </c>
      <c r="AN447" s="2994">
        <v>0</v>
      </c>
      <c r="AO447" s="2994">
        <v>0</v>
      </c>
      <c r="AP447" s="2994">
        <v>0</v>
      </c>
      <c r="AQ447" s="2994">
        <v>0</v>
      </c>
      <c r="AR447" s="2994">
        <v>0</v>
      </c>
      <c r="AS447" s="2994">
        <v>0</v>
      </c>
      <c r="AT447" s="2994">
        <v>0</v>
      </c>
      <c r="AU447" s="2994">
        <v>0</v>
      </c>
      <c r="AV447" s="2994">
        <v>0</v>
      </c>
      <c r="AW447" s="2994">
        <v>0</v>
      </c>
      <c r="AX447" s="2994">
        <v>0</v>
      </c>
      <c r="AY447" s="2994">
        <v>0</v>
      </c>
      <c r="AZ447" s="2994">
        <v>0</v>
      </c>
      <c r="BA447" s="2994">
        <v>0</v>
      </c>
      <c r="BB447" s="2994">
        <v>0</v>
      </c>
      <c r="BC447" s="2994">
        <v>0</v>
      </c>
      <c r="BD447" s="3471">
        <v>0</v>
      </c>
      <c r="BE447" s="3471">
        <v>0</v>
      </c>
      <c r="BF447" s="3471">
        <v>0</v>
      </c>
    </row>
    <row r="448" spans="1:58">
      <c r="A448" s="1817" t="str">
        <f t="shared" si="13"/>
        <v>Central AmericaPoppy seed</v>
      </c>
      <c r="B448" s="1818" t="s">
        <v>305</v>
      </c>
      <c r="C448" s="1818" t="s">
        <v>7367</v>
      </c>
      <c r="D448" s="3463" t="str">
        <f>VLOOKUP(B448,List_Yield!$G$4:$J$14,4,FALSE)</f>
        <v>Central America</v>
      </c>
      <c r="E448" s="3463" t="str">
        <f t="shared" si="14"/>
        <v>Central AmericaPoppy seed</v>
      </c>
      <c r="F448" s="2994">
        <v>0</v>
      </c>
      <c r="G448" s="2994">
        <v>0</v>
      </c>
      <c r="H448" s="2994">
        <v>0</v>
      </c>
      <c r="I448" s="2994">
        <v>0</v>
      </c>
      <c r="J448" s="2994">
        <v>0</v>
      </c>
      <c r="K448" s="2994">
        <v>0</v>
      </c>
      <c r="L448" s="2994">
        <v>0</v>
      </c>
      <c r="M448" s="2994">
        <v>0</v>
      </c>
      <c r="N448" s="2994">
        <v>0</v>
      </c>
      <c r="O448" s="2994">
        <v>0</v>
      </c>
      <c r="P448" s="2994">
        <v>0</v>
      </c>
      <c r="Q448" s="2994">
        <v>0</v>
      </c>
      <c r="R448" s="2994">
        <v>0</v>
      </c>
      <c r="S448" s="2994">
        <v>0</v>
      </c>
      <c r="T448" s="2994">
        <v>0</v>
      </c>
      <c r="U448" s="2994">
        <v>0</v>
      </c>
      <c r="V448" s="2994">
        <v>0</v>
      </c>
      <c r="W448" s="2994">
        <v>0</v>
      </c>
      <c r="X448" s="2994">
        <v>0</v>
      </c>
      <c r="Y448" s="2994">
        <v>0</v>
      </c>
      <c r="Z448" s="2994">
        <v>0</v>
      </c>
      <c r="AA448" s="2994">
        <v>0</v>
      </c>
      <c r="AB448" s="2994">
        <v>0</v>
      </c>
      <c r="AC448" s="2994">
        <v>0</v>
      </c>
      <c r="AD448" s="2994">
        <v>0</v>
      </c>
      <c r="AE448" s="2994">
        <v>0</v>
      </c>
      <c r="AF448" s="2994">
        <v>0</v>
      </c>
      <c r="AG448" s="2994">
        <v>0</v>
      </c>
      <c r="AH448" s="2994">
        <v>0</v>
      </c>
      <c r="AI448" s="2994">
        <v>0</v>
      </c>
      <c r="AJ448" s="2994">
        <v>0</v>
      </c>
      <c r="AK448" s="2994">
        <v>0</v>
      </c>
      <c r="AL448" s="2994">
        <v>0</v>
      </c>
      <c r="AM448" s="2994">
        <v>0</v>
      </c>
      <c r="AN448" s="2994">
        <v>0</v>
      </c>
      <c r="AO448" s="2994">
        <v>0</v>
      </c>
      <c r="AP448" s="2994">
        <v>0</v>
      </c>
      <c r="AQ448" s="2994">
        <v>0</v>
      </c>
      <c r="AR448" s="2994">
        <v>0</v>
      </c>
      <c r="AS448" s="2994">
        <v>0</v>
      </c>
      <c r="AT448" s="2994">
        <v>0</v>
      </c>
      <c r="AU448" s="2994">
        <v>0</v>
      </c>
      <c r="AV448" s="2994">
        <v>0</v>
      </c>
      <c r="AW448" s="2994">
        <v>0</v>
      </c>
      <c r="AX448" s="2994">
        <v>0</v>
      </c>
      <c r="AY448" s="2994">
        <v>0</v>
      </c>
      <c r="AZ448" s="2994">
        <v>0</v>
      </c>
      <c r="BA448" s="2994">
        <v>0</v>
      </c>
      <c r="BB448" s="2994">
        <v>0</v>
      </c>
      <c r="BC448" s="2994">
        <v>0</v>
      </c>
      <c r="BD448" s="3471">
        <v>0</v>
      </c>
      <c r="BE448" s="3471">
        <v>0</v>
      </c>
      <c r="BF448" s="3471">
        <v>0</v>
      </c>
    </row>
    <row r="449" spans="1:58">
      <c r="A449" s="1817" t="str">
        <f t="shared" si="13"/>
        <v>Central AmericaPotatoes</v>
      </c>
      <c r="B449" s="1818" t="s">
        <v>305</v>
      </c>
      <c r="C449" s="1818" t="s">
        <v>1368</v>
      </c>
      <c r="D449" s="3463" t="str">
        <f>VLOOKUP(B449,List_Yield!$G$4:$J$14,4,FALSE)</f>
        <v>Central America</v>
      </c>
      <c r="E449" s="3463" t="str">
        <f t="shared" si="14"/>
        <v>Central AmericaPotatoes</v>
      </c>
      <c r="F449" s="2994">
        <v>6.6215999999999999</v>
      </c>
      <c r="G449" s="2994">
        <v>7.8966000000000003</v>
      </c>
      <c r="H449" s="2994">
        <v>7.9641999999999999</v>
      </c>
      <c r="I449" s="2994">
        <v>8.1502999999999997</v>
      </c>
      <c r="J449" s="2994">
        <v>7.7813999999999997</v>
      </c>
      <c r="K449" s="2994">
        <v>8.0800999999999998</v>
      </c>
      <c r="L449" s="2994">
        <v>9.1282999999999994</v>
      </c>
      <c r="M449" s="2994">
        <v>9.0335999999999999</v>
      </c>
      <c r="N449" s="2994">
        <v>9.4649999999999999</v>
      </c>
      <c r="O449" s="2994">
        <v>9.7135999999999996</v>
      </c>
      <c r="P449" s="2994">
        <v>10.042199999999999</v>
      </c>
      <c r="Q449" s="2994">
        <v>10.3963</v>
      </c>
      <c r="R449" s="2994">
        <v>10.7593</v>
      </c>
      <c r="S449" s="2994">
        <v>10.0327</v>
      </c>
      <c r="T449" s="2994">
        <v>10.8049</v>
      </c>
      <c r="U449" s="2994">
        <v>10.738300000000001</v>
      </c>
      <c r="V449" s="2994">
        <v>9.9957999999999991</v>
      </c>
      <c r="W449" s="2994">
        <v>11.427199999999999</v>
      </c>
      <c r="X449" s="2994">
        <v>11.0707</v>
      </c>
      <c r="Y449" s="2994">
        <v>11.98</v>
      </c>
      <c r="Z449" s="2994">
        <v>10.830399999999999</v>
      </c>
      <c r="AA449" s="2994">
        <v>12.4903</v>
      </c>
      <c r="AB449" s="2994">
        <v>10.717499999999999</v>
      </c>
      <c r="AC449" s="2994">
        <v>12.8561</v>
      </c>
      <c r="AD449" s="2994">
        <v>12.8714</v>
      </c>
      <c r="AE449" s="2994">
        <v>13.3162</v>
      </c>
      <c r="AF449" s="2994">
        <v>12.739000000000001</v>
      </c>
      <c r="AG449" s="2994">
        <v>12.855</v>
      </c>
      <c r="AH449" s="2994">
        <v>15.1897</v>
      </c>
      <c r="AI449" s="2994">
        <v>16.268699999999999</v>
      </c>
      <c r="AJ449" s="2994">
        <v>16.651599999999998</v>
      </c>
      <c r="AK449" s="2994">
        <v>17.327400000000001</v>
      </c>
      <c r="AL449" s="2994">
        <v>17.306000000000001</v>
      </c>
      <c r="AM449" s="2994">
        <v>18.987300000000001</v>
      </c>
      <c r="AN449" s="2994">
        <v>19.638100000000001</v>
      </c>
      <c r="AO449" s="2994">
        <v>20.151499999999999</v>
      </c>
      <c r="AP449" s="2994">
        <v>20.542000000000002</v>
      </c>
      <c r="AQ449" s="2994">
        <v>20.3188</v>
      </c>
      <c r="AR449" s="2994">
        <v>21.654199999999999</v>
      </c>
      <c r="AS449" s="2994">
        <v>23.246500000000001</v>
      </c>
      <c r="AT449" s="2994">
        <v>23.4114</v>
      </c>
      <c r="AU449" s="2994">
        <v>23.422799999999999</v>
      </c>
      <c r="AV449" s="2994">
        <v>24.4588</v>
      </c>
      <c r="AW449" s="2994">
        <v>24.091100000000001</v>
      </c>
      <c r="AX449" s="2994">
        <v>25.484999999999999</v>
      </c>
      <c r="AY449" s="2994">
        <v>24.379899999999999</v>
      </c>
      <c r="AZ449" s="2994">
        <v>25.871700000000001</v>
      </c>
      <c r="BA449" s="2994">
        <v>26.686</v>
      </c>
      <c r="BB449" s="2994">
        <v>26.6006</v>
      </c>
      <c r="BC449" s="2994">
        <v>26.295000000000002</v>
      </c>
      <c r="BD449" s="3471">
        <v>25.244700000000002</v>
      </c>
      <c r="BE449" s="3471">
        <v>25.6739</v>
      </c>
      <c r="BF449" s="3471">
        <v>25.8109</v>
      </c>
    </row>
    <row r="450" spans="1:58">
      <c r="A450" s="1817" t="str">
        <f t="shared" ref="A450:A513" si="15">CONCATENATE(B450,C450)</f>
        <v>Central AmericaPulses, nes</v>
      </c>
      <c r="B450" s="1818" t="s">
        <v>305</v>
      </c>
      <c r="C450" s="1818" t="s">
        <v>1369</v>
      </c>
      <c r="D450" s="3463" t="str">
        <f>VLOOKUP(B450,List_Yield!$G$4:$J$14,4,FALSE)</f>
        <v>Central America</v>
      </c>
      <c r="E450" s="3463" t="str">
        <f t="shared" si="14"/>
        <v>Central AmericaPulses, nes</v>
      </c>
      <c r="F450" s="2994">
        <v>0</v>
      </c>
      <c r="G450" s="2994">
        <v>0</v>
      </c>
      <c r="H450" s="2994">
        <v>0</v>
      </c>
      <c r="I450" s="2994">
        <v>0</v>
      </c>
      <c r="J450" s="2994">
        <v>0</v>
      </c>
      <c r="K450" s="2994">
        <v>0</v>
      </c>
      <c r="L450" s="2994">
        <v>0</v>
      </c>
      <c r="M450" s="2994">
        <v>0</v>
      </c>
      <c r="N450" s="2994">
        <v>0</v>
      </c>
      <c r="O450" s="2994">
        <v>0</v>
      </c>
      <c r="P450" s="2994">
        <v>0</v>
      </c>
      <c r="Q450" s="2994">
        <v>0</v>
      </c>
      <c r="R450" s="2994">
        <v>0</v>
      </c>
      <c r="S450" s="2994">
        <v>0</v>
      </c>
      <c r="T450" s="2994">
        <v>0</v>
      </c>
      <c r="U450" s="2994">
        <v>0</v>
      </c>
      <c r="V450" s="2994">
        <v>0</v>
      </c>
      <c r="W450" s="2994">
        <v>0</v>
      </c>
      <c r="X450" s="2994">
        <v>0</v>
      </c>
      <c r="Y450" s="2994">
        <v>0</v>
      </c>
      <c r="Z450" s="2994">
        <v>0</v>
      </c>
      <c r="AA450" s="2994">
        <v>0</v>
      </c>
      <c r="AB450" s="2994">
        <v>0</v>
      </c>
      <c r="AC450" s="2994">
        <v>6.3064999999999998</v>
      </c>
      <c r="AD450" s="2994">
        <v>6.3587999999999996</v>
      </c>
      <c r="AE450" s="2994">
        <v>6.5175999999999998</v>
      </c>
      <c r="AF450" s="2994">
        <v>6.5030999999999999</v>
      </c>
      <c r="AG450" s="2994">
        <v>6.5974000000000004</v>
      </c>
      <c r="AH450" s="2994">
        <v>2.1621999999999999</v>
      </c>
      <c r="AI450" s="2994">
        <v>1.9187000000000001</v>
      </c>
      <c r="AJ450" s="2994">
        <v>2.3245</v>
      </c>
      <c r="AK450" s="2994">
        <v>2.0200999999999998</v>
      </c>
      <c r="AL450" s="2994">
        <v>2.0065</v>
      </c>
      <c r="AM450" s="2994">
        <v>2.5724999999999998</v>
      </c>
      <c r="AN450" s="2994">
        <v>3.0722999999999998</v>
      </c>
      <c r="AO450" s="2994">
        <v>2.4270999999999998</v>
      </c>
      <c r="AP450" s="2994">
        <v>2.3536000000000001</v>
      </c>
      <c r="AQ450" s="2994">
        <v>2.6838000000000002</v>
      </c>
      <c r="AR450" s="2994">
        <v>3.1355</v>
      </c>
      <c r="AS450" s="2994">
        <v>2.8336000000000001</v>
      </c>
      <c r="AT450" s="2994">
        <v>2.7035</v>
      </c>
      <c r="AU450" s="2994">
        <v>2.4799000000000002</v>
      </c>
      <c r="AV450" s="2994">
        <v>2.4733000000000001</v>
      </c>
      <c r="AW450" s="2994">
        <v>2.4584999999999999</v>
      </c>
      <c r="AX450" s="2994">
        <v>2.4630000000000001</v>
      </c>
      <c r="AY450" s="2994">
        <v>2.4723999999999999</v>
      </c>
      <c r="AZ450" s="2994">
        <v>2.6671</v>
      </c>
      <c r="BA450" s="2994">
        <v>2.6162000000000001</v>
      </c>
      <c r="BB450" s="2994">
        <v>2.7097000000000002</v>
      </c>
      <c r="BC450" s="2994">
        <v>3.0375000000000001</v>
      </c>
      <c r="BD450" s="3471">
        <v>3.0501</v>
      </c>
      <c r="BE450" s="3471">
        <v>3.1585999999999999</v>
      </c>
      <c r="BF450" s="3471">
        <v>3.1657000000000002</v>
      </c>
    </row>
    <row r="451" spans="1:58">
      <c r="A451" s="1817" t="str">
        <f t="shared" si="15"/>
        <v>Central AmericaPumpkins, squash and gourds</v>
      </c>
      <c r="B451" s="1818" t="s">
        <v>305</v>
      </c>
      <c r="C451" s="1818" t="s">
        <v>7368</v>
      </c>
      <c r="D451" s="3463" t="str">
        <f>VLOOKUP(B451,List_Yield!$G$4:$J$14,4,FALSE)</f>
        <v>Central America</v>
      </c>
      <c r="E451" s="3463" t="str">
        <f t="shared" si="14"/>
        <v>Central AmericaPumpkins, squash and gourds</v>
      </c>
      <c r="F451" s="2994">
        <v>10</v>
      </c>
      <c r="G451" s="2994">
        <v>10</v>
      </c>
      <c r="H451" s="2994">
        <v>10</v>
      </c>
      <c r="I451" s="2994">
        <v>10</v>
      </c>
      <c r="J451" s="2994">
        <v>10</v>
      </c>
      <c r="K451" s="2994">
        <v>9.9145000000000003</v>
      </c>
      <c r="L451" s="2994">
        <v>9.9153000000000002</v>
      </c>
      <c r="M451" s="2994">
        <v>9.9160000000000004</v>
      </c>
      <c r="N451" s="2994">
        <v>9.9167000000000005</v>
      </c>
      <c r="O451" s="2994">
        <v>9.9174000000000007</v>
      </c>
      <c r="P451" s="2994">
        <v>10</v>
      </c>
      <c r="Q451" s="2994">
        <v>10</v>
      </c>
      <c r="R451" s="2994">
        <v>10</v>
      </c>
      <c r="S451" s="2994">
        <v>10</v>
      </c>
      <c r="T451" s="2994">
        <v>10.130800000000001</v>
      </c>
      <c r="U451" s="2994">
        <v>9.1181000000000001</v>
      </c>
      <c r="V451" s="2994">
        <v>10.9472</v>
      </c>
      <c r="W451" s="2994">
        <v>9.5267999999999997</v>
      </c>
      <c r="X451" s="2994">
        <v>10.5139</v>
      </c>
      <c r="Y451" s="2994">
        <v>8.1607000000000003</v>
      </c>
      <c r="Z451" s="2994">
        <v>9.18</v>
      </c>
      <c r="AA451" s="2994">
        <v>9.8876000000000008</v>
      </c>
      <c r="AB451" s="2994">
        <v>12.1782</v>
      </c>
      <c r="AC451" s="2994">
        <v>10.3666</v>
      </c>
      <c r="AD451" s="2994">
        <v>3.8841999999999999</v>
      </c>
      <c r="AE451" s="2994">
        <v>10.167</v>
      </c>
      <c r="AF451" s="2994">
        <v>10.1957</v>
      </c>
      <c r="AG451" s="2994">
        <v>10.979100000000001</v>
      </c>
      <c r="AH451" s="2994">
        <v>9.3651999999999997</v>
      </c>
      <c r="AI451" s="2994">
        <v>7.5861999999999998</v>
      </c>
      <c r="AJ451" s="2994">
        <v>7.9664000000000001</v>
      </c>
      <c r="AK451" s="2994">
        <v>9.4995999999999992</v>
      </c>
      <c r="AL451" s="2994">
        <v>11.009499999999999</v>
      </c>
      <c r="AM451" s="2994">
        <v>11.557499999999999</v>
      </c>
      <c r="AN451" s="2994">
        <v>10.5174</v>
      </c>
      <c r="AO451" s="2994">
        <v>14.2826</v>
      </c>
      <c r="AP451" s="2994">
        <v>14.3024</v>
      </c>
      <c r="AQ451" s="2994">
        <v>14.8947</v>
      </c>
      <c r="AR451" s="2994">
        <v>14.007899999999999</v>
      </c>
      <c r="AS451" s="2994">
        <v>12.966799999999999</v>
      </c>
      <c r="AT451" s="2994">
        <v>19.3794</v>
      </c>
      <c r="AU451" s="2994">
        <v>12.642300000000001</v>
      </c>
      <c r="AV451" s="2994">
        <v>14.4232</v>
      </c>
      <c r="AW451" s="2994">
        <v>15.316000000000001</v>
      </c>
      <c r="AX451" s="2994">
        <v>14.441800000000001</v>
      </c>
      <c r="AY451" s="2994">
        <v>13.9109</v>
      </c>
      <c r="AZ451" s="2994">
        <v>13.621499999999999</v>
      </c>
      <c r="BA451" s="2994">
        <v>15.4749</v>
      </c>
      <c r="BB451" s="2994">
        <v>17.8766</v>
      </c>
      <c r="BC451" s="2994">
        <v>15.8316</v>
      </c>
      <c r="BD451" s="3471">
        <v>16.383099999999999</v>
      </c>
      <c r="BE451" s="3471">
        <v>16.2133</v>
      </c>
      <c r="BF451" s="3471">
        <v>0</v>
      </c>
    </row>
    <row r="452" spans="1:58">
      <c r="A452" s="1817" t="str">
        <f t="shared" si="15"/>
        <v>Central AmericaPyrethrum, dried</v>
      </c>
      <c r="B452" s="1818" t="s">
        <v>305</v>
      </c>
      <c r="C452" s="1818" t="s">
        <v>7369</v>
      </c>
      <c r="D452" s="3463" t="str">
        <f>VLOOKUP(B452,List_Yield!$G$4:$J$14,4,FALSE)</f>
        <v>Central America</v>
      </c>
      <c r="E452" s="3463" t="str">
        <f t="shared" si="14"/>
        <v>Central AmericaPyrethrum, dried</v>
      </c>
      <c r="F452" s="2994">
        <v>0</v>
      </c>
      <c r="G452" s="2994">
        <v>0</v>
      </c>
      <c r="H452" s="2994">
        <v>0</v>
      </c>
      <c r="I452" s="2994">
        <v>0</v>
      </c>
      <c r="J452" s="2994">
        <v>0</v>
      </c>
      <c r="K452" s="2994">
        <v>0</v>
      </c>
      <c r="L452" s="2994">
        <v>0</v>
      </c>
      <c r="M452" s="2994">
        <v>0</v>
      </c>
      <c r="N452" s="2994">
        <v>0</v>
      </c>
      <c r="O452" s="2994">
        <v>0</v>
      </c>
      <c r="P452" s="2994">
        <v>0</v>
      </c>
      <c r="Q452" s="2994">
        <v>0</v>
      </c>
      <c r="R452" s="2994">
        <v>0</v>
      </c>
      <c r="S452" s="2994">
        <v>0</v>
      </c>
      <c r="T452" s="2994">
        <v>0</v>
      </c>
      <c r="U452" s="2994">
        <v>0</v>
      </c>
      <c r="V452" s="2994">
        <v>0</v>
      </c>
      <c r="W452" s="2994">
        <v>0</v>
      </c>
      <c r="X452" s="2994">
        <v>0</v>
      </c>
      <c r="Y452" s="2994">
        <v>0</v>
      </c>
      <c r="Z452" s="2994">
        <v>0</v>
      </c>
      <c r="AA452" s="2994">
        <v>0</v>
      </c>
      <c r="AB452" s="2994">
        <v>0</v>
      </c>
      <c r="AC452" s="2994">
        <v>0</v>
      </c>
      <c r="AD452" s="2994">
        <v>0</v>
      </c>
      <c r="AE452" s="2994">
        <v>0</v>
      </c>
      <c r="AF452" s="2994">
        <v>0</v>
      </c>
      <c r="AG452" s="2994">
        <v>0</v>
      </c>
      <c r="AH452" s="2994">
        <v>0</v>
      </c>
      <c r="AI452" s="2994">
        <v>0</v>
      </c>
      <c r="AJ452" s="2994">
        <v>0</v>
      </c>
      <c r="AK452" s="2994">
        <v>0</v>
      </c>
      <c r="AL452" s="2994">
        <v>0</v>
      </c>
      <c r="AM452" s="2994">
        <v>0</v>
      </c>
      <c r="AN452" s="2994">
        <v>0</v>
      </c>
      <c r="AO452" s="2994">
        <v>0</v>
      </c>
      <c r="AP452" s="2994">
        <v>0</v>
      </c>
      <c r="AQ452" s="2994">
        <v>0</v>
      </c>
      <c r="AR452" s="2994">
        <v>0</v>
      </c>
      <c r="AS452" s="2994">
        <v>0</v>
      </c>
      <c r="AT452" s="2994">
        <v>0</v>
      </c>
      <c r="AU452" s="2994">
        <v>0</v>
      </c>
      <c r="AV452" s="2994">
        <v>0</v>
      </c>
      <c r="AW452" s="2994">
        <v>0</v>
      </c>
      <c r="AX452" s="2994">
        <v>0</v>
      </c>
      <c r="AY452" s="2994">
        <v>0</v>
      </c>
      <c r="AZ452" s="2994">
        <v>0</v>
      </c>
      <c r="BA452" s="2994">
        <v>0</v>
      </c>
      <c r="BB452" s="2994">
        <v>0</v>
      </c>
      <c r="BC452" s="2994">
        <v>0</v>
      </c>
      <c r="BD452" s="3471">
        <v>0</v>
      </c>
      <c r="BE452" s="3471">
        <v>0</v>
      </c>
      <c r="BF452" s="3471">
        <v>0</v>
      </c>
    </row>
    <row r="453" spans="1:58">
      <c r="A453" s="1817" t="str">
        <f t="shared" si="15"/>
        <v>Central AmericaQuinces</v>
      </c>
      <c r="B453" s="1818" t="s">
        <v>305</v>
      </c>
      <c r="C453" s="1818" t="s">
        <v>7370</v>
      </c>
      <c r="D453" s="3463" t="str">
        <f>VLOOKUP(B453,List_Yield!$G$4:$J$14,4,FALSE)</f>
        <v>Central America</v>
      </c>
      <c r="E453" s="3463" t="str">
        <f t="shared" si="14"/>
        <v>Central AmericaQuinces</v>
      </c>
      <c r="F453" s="2994">
        <v>13.808199999999999</v>
      </c>
      <c r="G453" s="2994">
        <v>14.3247</v>
      </c>
      <c r="H453" s="2994">
        <v>14.09</v>
      </c>
      <c r="I453" s="2994">
        <v>14.427</v>
      </c>
      <c r="J453" s="2994">
        <v>14.811</v>
      </c>
      <c r="K453" s="2994">
        <v>15.2508</v>
      </c>
      <c r="L453" s="2994">
        <v>15.165900000000001</v>
      </c>
      <c r="M453" s="2994">
        <v>14.5345</v>
      </c>
      <c r="N453" s="2994">
        <v>12.4878</v>
      </c>
      <c r="O453" s="2994">
        <v>12.1387</v>
      </c>
      <c r="P453" s="2994">
        <v>11.347099999999999</v>
      </c>
      <c r="Q453" s="2994">
        <v>9.8064</v>
      </c>
      <c r="R453" s="2994">
        <v>9.5381999999999998</v>
      </c>
      <c r="S453" s="2994">
        <v>10.3454</v>
      </c>
      <c r="T453" s="2994">
        <v>10.759399999999999</v>
      </c>
      <c r="U453" s="2994">
        <v>10.376099999999999</v>
      </c>
      <c r="V453" s="2994">
        <v>9.0542999999999996</v>
      </c>
      <c r="W453" s="2994">
        <v>9.6011000000000006</v>
      </c>
      <c r="X453" s="2994">
        <v>12.0875</v>
      </c>
      <c r="Y453" s="2994">
        <v>11.3468</v>
      </c>
      <c r="Z453" s="2994">
        <v>10.5205</v>
      </c>
      <c r="AA453" s="2994">
        <v>12.060600000000001</v>
      </c>
      <c r="AB453" s="2994">
        <v>10.8209</v>
      </c>
      <c r="AC453" s="2994">
        <v>9.7378</v>
      </c>
      <c r="AD453" s="2994">
        <v>9.5207999999999995</v>
      </c>
      <c r="AE453" s="2994">
        <v>8.1645000000000003</v>
      </c>
      <c r="AF453" s="2994">
        <v>6.4622000000000002</v>
      </c>
      <c r="AG453" s="2994">
        <v>11.726699999999999</v>
      </c>
      <c r="AH453" s="2994">
        <v>10.0596</v>
      </c>
      <c r="AI453" s="2994">
        <v>12.7767</v>
      </c>
      <c r="AJ453" s="2994">
        <v>9.7710000000000008</v>
      </c>
      <c r="AK453" s="2994">
        <v>9.3436000000000003</v>
      </c>
      <c r="AL453" s="2994">
        <v>6.2031000000000001</v>
      </c>
      <c r="AM453" s="2994">
        <v>7.4215999999999998</v>
      </c>
      <c r="AN453" s="2994">
        <v>6.6852999999999998</v>
      </c>
      <c r="AO453" s="2994">
        <v>5.3250999999999999</v>
      </c>
      <c r="AP453" s="2994">
        <v>8.3254000000000001</v>
      </c>
      <c r="AQ453" s="2994">
        <v>9.8506</v>
      </c>
      <c r="AR453" s="2994">
        <v>8.827</v>
      </c>
      <c r="AS453" s="2994">
        <v>9.3142999999999994</v>
      </c>
      <c r="AT453" s="2994">
        <v>9.0625</v>
      </c>
      <c r="AU453" s="2994">
        <v>11.2958</v>
      </c>
      <c r="AV453" s="2994">
        <v>9.3857999999999997</v>
      </c>
      <c r="AW453" s="2994">
        <v>7.7119999999999997</v>
      </c>
      <c r="AX453" s="2994">
        <v>6.2651000000000003</v>
      </c>
      <c r="AY453" s="2994">
        <v>10.304500000000001</v>
      </c>
      <c r="AZ453" s="2994">
        <v>8.8068000000000008</v>
      </c>
      <c r="BA453" s="2994">
        <v>10.1303</v>
      </c>
      <c r="BB453" s="2994">
        <v>8.9169</v>
      </c>
      <c r="BC453" s="2994">
        <v>8.0724</v>
      </c>
      <c r="BD453" s="3471">
        <v>7.4165999999999999</v>
      </c>
      <c r="BE453" s="3471">
        <v>8.2932000000000006</v>
      </c>
      <c r="BF453" s="3471">
        <v>0</v>
      </c>
    </row>
    <row r="454" spans="1:58">
      <c r="A454" s="1817" t="str">
        <f t="shared" si="15"/>
        <v>Central AmericaQuinoa</v>
      </c>
      <c r="B454" s="1818" t="s">
        <v>305</v>
      </c>
      <c r="C454" s="1818" t="s">
        <v>1385</v>
      </c>
      <c r="D454" s="3463" t="str">
        <f>VLOOKUP(B454,List_Yield!$G$4:$J$14,4,FALSE)</f>
        <v>Central America</v>
      </c>
      <c r="E454" s="3463" t="str">
        <f t="shared" si="14"/>
        <v>Central AmericaQuinoa</v>
      </c>
      <c r="F454" s="2994">
        <v>0</v>
      </c>
      <c r="G454" s="2994">
        <v>0</v>
      </c>
      <c r="H454" s="2994">
        <v>0</v>
      </c>
      <c r="I454" s="2994">
        <v>0</v>
      </c>
      <c r="J454" s="2994">
        <v>0</v>
      </c>
      <c r="K454" s="2994">
        <v>0</v>
      </c>
      <c r="L454" s="2994">
        <v>0</v>
      </c>
      <c r="M454" s="2994">
        <v>0</v>
      </c>
      <c r="N454" s="2994">
        <v>0</v>
      </c>
      <c r="O454" s="2994">
        <v>0</v>
      </c>
      <c r="P454" s="2994">
        <v>0</v>
      </c>
      <c r="Q454" s="2994">
        <v>0</v>
      </c>
      <c r="R454" s="2994">
        <v>0</v>
      </c>
      <c r="S454" s="2994">
        <v>0</v>
      </c>
      <c r="T454" s="2994">
        <v>0</v>
      </c>
      <c r="U454" s="2994">
        <v>0</v>
      </c>
      <c r="V454" s="2994">
        <v>0</v>
      </c>
      <c r="W454" s="2994">
        <v>0</v>
      </c>
      <c r="X454" s="2994">
        <v>0</v>
      </c>
      <c r="Y454" s="2994">
        <v>0</v>
      </c>
      <c r="Z454" s="2994">
        <v>0</v>
      </c>
      <c r="AA454" s="2994">
        <v>0</v>
      </c>
      <c r="AB454" s="2994">
        <v>0</v>
      </c>
      <c r="AC454" s="2994">
        <v>0</v>
      </c>
      <c r="AD454" s="2994">
        <v>0</v>
      </c>
      <c r="AE454" s="2994">
        <v>0</v>
      </c>
      <c r="AF454" s="2994">
        <v>0</v>
      </c>
      <c r="AG454" s="2994">
        <v>0</v>
      </c>
      <c r="AH454" s="2994">
        <v>0</v>
      </c>
      <c r="AI454" s="2994">
        <v>0</v>
      </c>
      <c r="AJ454" s="2994">
        <v>0</v>
      </c>
      <c r="AK454" s="2994">
        <v>0</v>
      </c>
      <c r="AL454" s="2994">
        <v>0</v>
      </c>
      <c r="AM454" s="2994">
        <v>0</v>
      </c>
      <c r="AN454" s="2994">
        <v>0</v>
      </c>
      <c r="AO454" s="2994">
        <v>0</v>
      </c>
      <c r="AP454" s="2994">
        <v>0</v>
      </c>
      <c r="AQ454" s="2994">
        <v>0</v>
      </c>
      <c r="AR454" s="2994">
        <v>0</v>
      </c>
      <c r="AS454" s="2994">
        <v>0</v>
      </c>
      <c r="AT454" s="2994">
        <v>0</v>
      </c>
      <c r="AU454" s="2994">
        <v>0</v>
      </c>
      <c r="AV454" s="2994">
        <v>0</v>
      </c>
      <c r="AW454" s="2994">
        <v>0</v>
      </c>
      <c r="AX454" s="2994">
        <v>0</v>
      </c>
      <c r="AY454" s="2994">
        <v>0</v>
      </c>
      <c r="AZ454" s="2994">
        <v>0</v>
      </c>
      <c r="BA454" s="2994">
        <v>0</v>
      </c>
      <c r="BB454" s="2994">
        <v>0</v>
      </c>
      <c r="BC454" s="2994">
        <v>0</v>
      </c>
      <c r="BD454" s="3471">
        <v>0</v>
      </c>
      <c r="BE454" s="3471">
        <v>0</v>
      </c>
      <c r="BF454" s="3471">
        <v>0</v>
      </c>
    </row>
    <row r="455" spans="1:58">
      <c r="A455" s="1817" t="str">
        <f t="shared" si="15"/>
        <v>Central AmericaRamie</v>
      </c>
      <c r="B455" s="1818" t="s">
        <v>305</v>
      </c>
      <c r="C455" s="1818" t="s">
        <v>7371</v>
      </c>
      <c r="D455" s="3463" t="str">
        <f>VLOOKUP(B455,List_Yield!$G$4:$J$14,4,FALSE)</f>
        <v>Central America</v>
      </c>
      <c r="E455" s="3463" t="str">
        <f t="shared" si="14"/>
        <v>Central AmericaRamie</v>
      </c>
      <c r="F455" s="2994">
        <v>0</v>
      </c>
      <c r="G455" s="2994">
        <v>0</v>
      </c>
      <c r="H455" s="2994">
        <v>0</v>
      </c>
      <c r="I455" s="2994">
        <v>0</v>
      </c>
      <c r="J455" s="2994">
        <v>0</v>
      </c>
      <c r="K455" s="2994">
        <v>0</v>
      </c>
      <c r="L455" s="2994">
        <v>0</v>
      </c>
      <c r="M455" s="2994">
        <v>0</v>
      </c>
      <c r="N455" s="2994">
        <v>0</v>
      </c>
      <c r="O455" s="2994">
        <v>0</v>
      </c>
      <c r="P455" s="2994">
        <v>0</v>
      </c>
      <c r="Q455" s="2994">
        <v>0</v>
      </c>
      <c r="R455" s="2994">
        <v>0</v>
      </c>
      <c r="S455" s="2994">
        <v>0</v>
      </c>
      <c r="T455" s="2994">
        <v>0</v>
      </c>
      <c r="U455" s="2994">
        <v>0</v>
      </c>
      <c r="V455" s="2994">
        <v>0</v>
      </c>
      <c r="W455" s="2994">
        <v>0</v>
      </c>
      <c r="X455" s="2994">
        <v>0</v>
      </c>
      <c r="Y455" s="2994">
        <v>0</v>
      </c>
      <c r="Z455" s="2994">
        <v>0</v>
      </c>
      <c r="AA455" s="2994">
        <v>0</v>
      </c>
      <c r="AB455" s="2994">
        <v>0</v>
      </c>
      <c r="AC455" s="2994">
        <v>0</v>
      </c>
      <c r="AD455" s="2994">
        <v>0</v>
      </c>
      <c r="AE455" s="2994">
        <v>0</v>
      </c>
      <c r="AF455" s="2994">
        <v>0</v>
      </c>
      <c r="AG455" s="2994">
        <v>0</v>
      </c>
      <c r="AH455" s="2994">
        <v>0</v>
      </c>
      <c r="AI455" s="2994">
        <v>0</v>
      </c>
      <c r="AJ455" s="2994">
        <v>0</v>
      </c>
      <c r="AK455" s="2994">
        <v>0</v>
      </c>
      <c r="AL455" s="2994">
        <v>0</v>
      </c>
      <c r="AM455" s="2994">
        <v>0</v>
      </c>
      <c r="AN455" s="2994">
        <v>0</v>
      </c>
      <c r="AO455" s="2994">
        <v>0</v>
      </c>
      <c r="AP455" s="2994">
        <v>0</v>
      </c>
      <c r="AQ455" s="2994">
        <v>0</v>
      </c>
      <c r="AR455" s="2994">
        <v>0</v>
      </c>
      <c r="AS455" s="2994">
        <v>0</v>
      </c>
      <c r="AT455" s="2994">
        <v>0</v>
      </c>
      <c r="AU455" s="2994">
        <v>0</v>
      </c>
      <c r="AV455" s="2994">
        <v>0</v>
      </c>
      <c r="AW455" s="2994">
        <v>0</v>
      </c>
      <c r="AX455" s="2994">
        <v>0</v>
      </c>
      <c r="AY455" s="2994">
        <v>0</v>
      </c>
      <c r="AZ455" s="2994">
        <v>0</v>
      </c>
      <c r="BA455" s="2994">
        <v>0</v>
      </c>
      <c r="BB455" s="2994">
        <v>0</v>
      </c>
      <c r="BC455" s="2994">
        <v>0</v>
      </c>
      <c r="BD455" s="3471">
        <v>0</v>
      </c>
      <c r="BE455" s="3471">
        <v>0</v>
      </c>
      <c r="BF455" s="3471">
        <v>0</v>
      </c>
    </row>
    <row r="456" spans="1:58">
      <c r="A456" s="1817" t="str">
        <f t="shared" si="15"/>
        <v>Central AmericaRapeseed</v>
      </c>
      <c r="B456" s="1818" t="s">
        <v>305</v>
      </c>
      <c r="C456" s="1818" t="s">
        <v>7372</v>
      </c>
      <c r="D456" s="3463" t="str">
        <f>VLOOKUP(B456,List_Yield!$G$4:$J$14,4,FALSE)</f>
        <v>Central America</v>
      </c>
      <c r="E456" s="3463" t="str">
        <f t="shared" si="14"/>
        <v>Central AmericaRapeseed</v>
      </c>
      <c r="F456" s="2994">
        <v>0.66669999999999996</v>
      </c>
      <c r="G456" s="2994">
        <v>0.5</v>
      </c>
      <c r="H456" s="2994">
        <v>0.6</v>
      </c>
      <c r="I456" s="2994">
        <v>0.5</v>
      </c>
      <c r="J456" s="2994">
        <v>0.66669999999999996</v>
      </c>
      <c r="K456" s="2994">
        <v>0.71430000000000005</v>
      </c>
      <c r="L456" s="2994">
        <v>0.71430000000000005</v>
      </c>
      <c r="M456" s="2994">
        <v>0.71430000000000005</v>
      </c>
      <c r="N456" s="2994">
        <v>0.71430000000000005</v>
      </c>
      <c r="O456" s="2994">
        <v>1</v>
      </c>
      <c r="P456" s="2994">
        <v>1</v>
      </c>
      <c r="Q456" s="2994">
        <v>1</v>
      </c>
      <c r="R456" s="2994">
        <v>1</v>
      </c>
      <c r="S456" s="2994">
        <v>1</v>
      </c>
      <c r="T456" s="2994">
        <v>1</v>
      </c>
      <c r="U456" s="2994">
        <v>1</v>
      </c>
      <c r="V456" s="2994">
        <v>1</v>
      </c>
      <c r="W456" s="2994">
        <v>1</v>
      </c>
      <c r="X456" s="2994">
        <v>1</v>
      </c>
      <c r="Y456" s="2994">
        <v>1</v>
      </c>
      <c r="Z456" s="2994">
        <v>1</v>
      </c>
      <c r="AA456" s="2994">
        <v>1</v>
      </c>
      <c r="AB456" s="2994">
        <v>1.5</v>
      </c>
      <c r="AC456" s="2994">
        <v>1</v>
      </c>
      <c r="AD456" s="2994">
        <v>1.5</v>
      </c>
      <c r="AE456" s="2994">
        <v>1.6071</v>
      </c>
      <c r="AF456" s="2994">
        <v>2.5714000000000001</v>
      </c>
      <c r="AG456" s="2994">
        <v>0.5</v>
      </c>
      <c r="AH456" s="2994">
        <v>0.4</v>
      </c>
      <c r="AI456" s="2994">
        <v>0.5</v>
      </c>
      <c r="AJ456" s="2994">
        <v>0.93840000000000001</v>
      </c>
      <c r="AK456" s="2994">
        <v>0.91990000000000005</v>
      </c>
      <c r="AL456" s="2994">
        <v>1.0772999999999999</v>
      </c>
      <c r="AM456" s="2994">
        <v>1.1388</v>
      </c>
      <c r="AN456" s="2994">
        <v>1.036</v>
      </c>
      <c r="AO456" s="2994">
        <v>1.1823999999999999</v>
      </c>
      <c r="AP456" s="2994">
        <v>1.1352</v>
      </c>
      <c r="AQ456" s="2994">
        <v>1</v>
      </c>
      <c r="AR456" s="2994">
        <v>1.5</v>
      </c>
      <c r="AS456" s="2994">
        <v>1.4</v>
      </c>
      <c r="AT456" s="2994">
        <v>2</v>
      </c>
      <c r="AU456" s="2994">
        <v>1</v>
      </c>
      <c r="AV456" s="2994">
        <v>1</v>
      </c>
      <c r="AW456" s="2994">
        <v>2</v>
      </c>
      <c r="AX456" s="2994">
        <v>1.25</v>
      </c>
      <c r="AY456" s="2994">
        <v>1.6</v>
      </c>
      <c r="AZ456" s="2994">
        <v>1.3332999999999999</v>
      </c>
      <c r="BA456" s="2994">
        <v>2</v>
      </c>
      <c r="BB456" s="2994">
        <v>1.5044</v>
      </c>
      <c r="BC456" s="2994">
        <v>0</v>
      </c>
      <c r="BD456" s="3471">
        <v>0.16220000000000001</v>
      </c>
      <c r="BE456" s="3471">
        <v>15</v>
      </c>
      <c r="BF456" s="3471">
        <v>15</v>
      </c>
    </row>
    <row r="457" spans="1:58">
      <c r="A457" s="1817" t="str">
        <f t="shared" si="15"/>
        <v>Central AmericaRaspberries</v>
      </c>
      <c r="B457" s="1818" t="s">
        <v>305</v>
      </c>
      <c r="C457" s="1818" t="s">
        <v>7373</v>
      </c>
      <c r="D457" s="3463" t="str">
        <f>VLOOKUP(B457,List_Yield!$G$4:$J$14,4,FALSE)</f>
        <v>Central America</v>
      </c>
      <c r="E457" s="3463" t="str">
        <f t="shared" si="14"/>
        <v>Central AmericaRaspberries</v>
      </c>
      <c r="F457" s="2994">
        <v>0</v>
      </c>
      <c r="G457" s="2994">
        <v>0</v>
      </c>
      <c r="H457" s="2994">
        <v>0</v>
      </c>
      <c r="I457" s="2994">
        <v>0</v>
      </c>
      <c r="J457" s="2994">
        <v>0</v>
      </c>
      <c r="K457" s="2994">
        <v>0</v>
      </c>
      <c r="L457" s="2994">
        <v>0</v>
      </c>
      <c r="M457" s="2994">
        <v>0</v>
      </c>
      <c r="N457" s="2994">
        <v>0</v>
      </c>
      <c r="O457" s="2994">
        <v>0</v>
      </c>
      <c r="P457" s="2994">
        <v>0</v>
      </c>
      <c r="Q457" s="2994">
        <v>0</v>
      </c>
      <c r="R457" s="2994">
        <v>0</v>
      </c>
      <c r="S457" s="2994">
        <v>0</v>
      </c>
      <c r="T457" s="2994">
        <v>0</v>
      </c>
      <c r="U457" s="2994">
        <v>0</v>
      </c>
      <c r="V457" s="2994">
        <v>0</v>
      </c>
      <c r="W457" s="2994">
        <v>0</v>
      </c>
      <c r="X457" s="2994">
        <v>0</v>
      </c>
      <c r="Y457" s="2994">
        <v>0</v>
      </c>
      <c r="Z457" s="2994">
        <v>0</v>
      </c>
      <c r="AA457" s="2994">
        <v>0</v>
      </c>
      <c r="AB457" s="2994">
        <v>0</v>
      </c>
      <c r="AC457" s="2994">
        <v>0</v>
      </c>
      <c r="AD457" s="2994">
        <v>0</v>
      </c>
      <c r="AE457" s="2994">
        <v>3</v>
      </c>
      <c r="AF457" s="2994">
        <v>2</v>
      </c>
      <c r="AG457" s="2994">
        <v>1.25</v>
      </c>
      <c r="AH457" s="2994">
        <v>1.25</v>
      </c>
      <c r="AI457" s="2994">
        <v>1</v>
      </c>
      <c r="AJ457" s="2994">
        <v>1</v>
      </c>
      <c r="AK457" s="2994">
        <v>3</v>
      </c>
      <c r="AL457" s="2994">
        <v>2.75</v>
      </c>
      <c r="AM457" s="2994">
        <v>4.8666999999999998</v>
      </c>
      <c r="AN457" s="2994">
        <v>8.6889000000000003</v>
      </c>
      <c r="AO457" s="2994">
        <v>9.2251999999999992</v>
      </c>
      <c r="AP457" s="2994">
        <v>7.3436000000000003</v>
      </c>
      <c r="AQ457" s="2994">
        <v>9.9693000000000005</v>
      </c>
      <c r="AR457" s="2994">
        <v>6.9108999999999998</v>
      </c>
      <c r="AS457" s="2994">
        <v>6.5780000000000003</v>
      </c>
      <c r="AT457" s="2994">
        <v>6.4743000000000004</v>
      </c>
      <c r="AU457" s="2994">
        <v>9.9320000000000004</v>
      </c>
      <c r="AV457" s="2994">
        <v>7.7552000000000003</v>
      </c>
      <c r="AW457" s="2994">
        <v>10.7979</v>
      </c>
      <c r="AX457" s="2994">
        <v>11.785</v>
      </c>
      <c r="AY457" s="2994">
        <v>15.9573</v>
      </c>
      <c r="AZ457" s="2994">
        <v>14.808999999999999</v>
      </c>
      <c r="BA457" s="2994">
        <v>16.696100000000001</v>
      </c>
      <c r="BB457" s="2994">
        <v>15.933</v>
      </c>
      <c r="BC457" s="2994">
        <v>16.043600000000001</v>
      </c>
      <c r="BD457" s="3471">
        <v>16.202300000000001</v>
      </c>
      <c r="BE457" s="3471">
        <v>14.537599999999999</v>
      </c>
      <c r="BF457" s="3471">
        <v>0</v>
      </c>
    </row>
    <row r="458" spans="1:58">
      <c r="A458" s="1817" t="str">
        <f t="shared" si="15"/>
        <v>Central AmericaRice, paddy</v>
      </c>
      <c r="B458" s="1818" t="s">
        <v>305</v>
      </c>
      <c r="C458" s="1818" t="s">
        <v>1370</v>
      </c>
      <c r="D458" s="3463" t="str">
        <f>VLOOKUP(B458,List_Yield!$G$4:$J$14,4,FALSE)</f>
        <v>Central America</v>
      </c>
      <c r="E458" s="3463" t="str">
        <f t="shared" si="14"/>
        <v>Central AmericaRice, paddy</v>
      </c>
      <c r="F458" s="2994">
        <v>1.6845000000000001</v>
      </c>
      <c r="G458" s="2994">
        <v>1.6352</v>
      </c>
      <c r="H458" s="2994">
        <v>1.6758999999999999</v>
      </c>
      <c r="I458" s="2994">
        <v>1.6197999999999999</v>
      </c>
      <c r="J458" s="2994">
        <v>1.9023000000000001</v>
      </c>
      <c r="K458" s="2994">
        <v>1.843</v>
      </c>
      <c r="L458" s="2994">
        <v>1.9542999999999999</v>
      </c>
      <c r="M458" s="2994">
        <v>1.9930000000000001</v>
      </c>
      <c r="N458" s="2994">
        <v>2.0295999999999998</v>
      </c>
      <c r="O458" s="2994">
        <v>2.2473999999999998</v>
      </c>
      <c r="P458" s="2994">
        <v>2.2362000000000002</v>
      </c>
      <c r="Q458" s="2994">
        <v>2.1836000000000002</v>
      </c>
      <c r="R458" s="2994">
        <v>2.3006000000000002</v>
      </c>
      <c r="S458" s="2994">
        <v>2.1960000000000002</v>
      </c>
      <c r="T458" s="2994">
        <v>2.4011999999999998</v>
      </c>
      <c r="U458" s="2994">
        <v>2.0735000000000001</v>
      </c>
      <c r="V458" s="2994">
        <v>2.4954000000000001</v>
      </c>
      <c r="W458" s="2994">
        <v>2.6042999999999998</v>
      </c>
      <c r="X458" s="2994">
        <v>2.7326999999999999</v>
      </c>
      <c r="Y458" s="2994">
        <v>3.0289000000000001</v>
      </c>
      <c r="Z458" s="2994">
        <v>3.1547999999999998</v>
      </c>
      <c r="AA458" s="2994">
        <v>2.6974</v>
      </c>
      <c r="AB458" s="2994">
        <v>2.9689000000000001</v>
      </c>
      <c r="AC458" s="2994">
        <v>3.0844999999999998</v>
      </c>
      <c r="AD458" s="2994">
        <v>3.2132000000000001</v>
      </c>
      <c r="AE458" s="2994">
        <v>3.0225</v>
      </c>
      <c r="AF458" s="2994">
        <v>3.1627999999999998</v>
      </c>
      <c r="AG458" s="2994">
        <v>3.1150000000000002</v>
      </c>
      <c r="AH458" s="2994">
        <v>3.0916000000000001</v>
      </c>
      <c r="AI458" s="2994">
        <v>3.1728999999999998</v>
      </c>
      <c r="AJ458" s="2994">
        <v>3.25</v>
      </c>
      <c r="AK458" s="2994">
        <v>3.2772000000000001</v>
      </c>
      <c r="AL458" s="2994">
        <v>3.4361999999999999</v>
      </c>
      <c r="AM458" s="2994">
        <v>3.3906000000000001</v>
      </c>
      <c r="AN458" s="2994">
        <v>3.3721000000000001</v>
      </c>
      <c r="AO458" s="2994">
        <v>3.3875999999999999</v>
      </c>
      <c r="AP458" s="2994">
        <v>3.5015999999999998</v>
      </c>
      <c r="AQ458" s="2994">
        <v>3.4592999999999998</v>
      </c>
      <c r="AR458" s="2994">
        <v>3.7103000000000002</v>
      </c>
      <c r="AS458" s="2994">
        <v>3.3965000000000001</v>
      </c>
      <c r="AT458" s="2994">
        <v>3.0615000000000001</v>
      </c>
      <c r="AU458" s="2994">
        <v>3.1545000000000001</v>
      </c>
      <c r="AV458" s="2994">
        <v>3.1427999999999998</v>
      </c>
      <c r="AW458" s="2994">
        <v>3.0171999999999999</v>
      </c>
      <c r="AX458" s="2994">
        <v>3.2667000000000002</v>
      </c>
      <c r="AY458" s="2994">
        <v>3.6215000000000002</v>
      </c>
      <c r="AZ458" s="2994">
        <v>3.5230999999999999</v>
      </c>
      <c r="BA458" s="2994">
        <v>3.7907999999999999</v>
      </c>
      <c r="BB458" s="2994">
        <v>3.7667999999999999</v>
      </c>
      <c r="BC458" s="2994">
        <v>3.9144999999999999</v>
      </c>
      <c r="BD458" s="3471">
        <v>3.8698999999999999</v>
      </c>
      <c r="BE458" s="3471">
        <v>3.7262</v>
      </c>
      <c r="BF458" s="3471">
        <v>4.2102000000000004</v>
      </c>
    </row>
    <row r="459" spans="1:58">
      <c r="A459" s="1817" t="str">
        <f t="shared" si="15"/>
        <v>Central AmericaRoots and tubers, nes</v>
      </c>
      <c r="B459" s="1818" t="s">
        <v>305</v>
      </c>
      <c r="C459" s="1818" t="s">
        <v>7374</v>
      </c>
      <c r="D459" s="3463" t="str">
        <f>VLOOKUP(B459,List_Yield!$G$4:$J$14,4,FALSE)</f>
        <v>Central America</v>
      </c>
      <c r="E459" s="3463" t="str">
        <f t="shared" si="14"/>
        <v>Central AmericaRoots and tubers, nes</v>
      </c>
      <c r="F459" s="2994">
        <v>6.7106000000000003</v>
      </c>
      <c r="G459" s="2994">
        <v>6.7778</v>
      </c>
      <c r="H459" s="2994">
        <v>7.1772999999999998</v>
      </c>
      <c r="I459" s="2994">
        <v>7.7259000000000002</v>
      </c>
      <c r="J459" s="2994">
        <v>6.8977000000000004</v>
      </c>
      <c r="K459" s="2994">
        <v>7.2728000000000002</v>
      </c>
      <c r="L459" s="2994">
        <v>7.1993999999999998</v>
      </c>
      <c r="M459" s="2994">
        <v>6.9512999999999998</v>
      </c>
      <c r="N459" s="2994">
        <v>7.1567999999999996</v>
      </c>
      <c r="O459" s="2994">
        <v>7.4005999999999998</v>
      </c>
      <c r="P459" s="2994">
        <v>9.2207000000000008</v>
      </c>
      <c r="Q459" s="2994">
        <v>11.224</v>
      </c>
      <c r="R459" s="2994">
        <v>8.99</v>
      </c>
      <c r="S459" s="2994">
        <v>12.5</v>
      </c>
      <c r="T459" s="2994">
        <v>10.758100000000001</v>
      </c>
      <c r="U459" s="2994">
        <v>10.728400000000001</v>
      </c>
      <c r="V459" s="2994">
        <v>13.822100000000001</v>
      </c>
      <c r="W459" s="2994">
        <v>19.820399999999999</v>
      </c>
      <c r="X459" s="2994">
        <v>11.361499999999999</v>
      </c>
      <c r="Y459" s="2994">
        <v>18.787700000000001</v>
      </c>
      <c r="Z459" s="2994">
        <v>22.540500000000002</v>
      </c>
      <c r="AA459" s="2994">
        <v>21.855599999999999</v>
      </c>
      <c r="AB459" s="2994">
        <v>24.257100000000001</v>
      </c>
      <c r="AC459" s="2994">
        <v>23.892299999999999</v>
      </c>
      <c r="AD459" s="2994">
        <v>21.6877</v>
      </c>
      <c r="AE459" s="2994">
        <v>24.039300000000001</v>
      </c>
      <c r="AF459" s="2994">
        <v>21.811499999999999</v>
      </c>
      <c r="AG459" s="2994">
        <v>19.984400000000001</v>
      </c>
      <c r="AH459" s="2994">
        <v>20.006499999999999</v>
      </c>
      <c r="AI459" s="2994">
        <v>17.8505</v>
      </c>
      <c r="AJ459" s="2994">
        <v>17.0261</v>
      </c>
      <c r="AK459" s="2994">
        <v>17.790700000000001</v>
      </c>
      <c r="AL459" s="2994">
        <v>19.565999999999999</v>
      </c>
      <c r="AM459" s="2994">
        <v>17.483499999999999</v>
      </c>
      <c r="AN459" s="2994">
        <v>17.447399999999998</v>
      </c>
      <c r="AO459" s="2994">
        <v>17.683499999999999</v>
      </c>
      <c r="AP459" s="2994">
        <v>16.425699999999999</v>
      </c>
      <c r="AQ459" s="2994">
        <v>19.876799999999999</v>
      </c>
      <c r="AR459" s="2994">
        <v>16.8796</v>
      </c>
      <c r="AS459" s="2994">
        <v>17.907800000000002</v>
      </c>
      <c r="AT459" s="2994">
        <v>16.426100000000002</v>
      </c>
      <c r="AU459" s="2994">
        <v>15.848599999999999</v>
      </c>
      <c r="AV459" s="2994">
        <v>17.730599999999999</v>
      </c>
      <c r="AW459" s="2994">
        <v>17.361000000000001</v>
      </c>
      <c r="AX459" s="2994">
        <v>18.316500000000001</v>
      </c>
      <c r="AY459" s="2994">
        <v>18.192</v>
      </c>
      <c r="AZ459" s="2994">
        <v>16.401199999999999</v>
      </c>
      <c r="BA459" s="2994">
        <v>16.545100000000001</v>
      </c>
      <c r="BB459" s="2994">
        <v>14.8735</v>
      </c>
      <c r="BC459" s="2994">
        <v>16.6693</v>
      </c>
      <c r="BD459" s="3471">
        <v>16.0639</v>
      </c>
      <c r="BE459" s="3471">
        <v>16.6174</v>
      </c>
      <c r="BF459" s="3471">
        <v>15.718500000000001</v>
      </c>
    </row>
    <row r="460" spans="1:58">
      <c r="A460" s="1817" t="str">
        <f t="shared" si="15"/>
        <v>Central AmericaRubber, natural</v>
      </c>
      <c r="B460" s="1818" t="s">
        <v>305</v>
      </c>
      <c r="C460" s="1818" t="s">
        <v>7375</v>
      </c>
      <c r="D460" s="3463" t="str">
        <f>VLOOKUP(B460,List_Yield!$G$4:$J$14,4,FALSE)</f>
        <v>Central America</v>
      </c>
      <c r="E460" s="3463" t="str">
        <f t="shared" si="14"/>
        <v>Central AmericaRubber, natural</v>
      </c>
      <c r="F460" s="2994">
        <v>0</v>
      </c>
      <c r="G460" s="2994">
        <v>0</v>
      </c>
      <c r="H460" s="2994">
        <v>0</v>
      </c>
      <c r="I460" s="2994">
        <v>0</v>
      </c>
      <c r="J460" s="2994">
        <v>0</v>
      </c>
      <c r="K460" s="2994">
        <v>0</v>
      </c>
      <c r="L460" s="2994">
        <v>0</v>
      </c>
      <c r="M460" s="2994">
        <v>0</v>
      </c>
      <c r="N460" s="2994">
        <v>0</v>
      </c>
      <c r="O460" s="2994">
        <v>0</v>
      </c>
      <c r="P460" s="2994">
        <v>0</v>
      </c>
      <c r="Q460" s="2994">
        <v>0</v>
      </c>
      <c r="R460" s="2994">
        <v>0</v>
      </c>
      <c r="S460" s="2994">
        <v>0</v>
      </c>
      <c r="T460" s="2994">
        <v>0</v>
      </c>
      <c r="U460" s="2994">
        <v>0</v>
      </c>
      <c r="V460" s="2994">
        <v>0</v>
      </c>
      <c r="W460" s="2994">
        <v>0</v>
      </c>
      <c r="X460" s="2994">
        <v>0</v>
      </c>
      <c r="Y460" s="2994">
        <v>1.2333000000000001</v>
      </c>
      <c r="Z460" s="2994">
        <v>0.99470000000000003</v>
      </c>
      <c r="AA460" s="2994">
        <v>1.046</v>
      </c>
      <c r="AB460" s="2994">
        <v>1.4442999999999999</v>
      </c>
      <c r="AC460" s="2994">
        <v>1.4272</v>
      </c>
      <c r="AD460" s="2994">
        <v>0.89880000000000004</v>
      </c>
      <c r="AE460" s="2994">
        <v>0.97060000000000002</v>
      </c>
      <c r="AF460" s="2994">
        <v>0.91690000000000005</v>
      </c>
      <c r="AG460" s="2994">
        <v>1.1173</v>
      </c>
      <c r="AH460" s="2994">
        <v>1.7428999999999999</v>
      </c>
      <c r="AI460" s="2994">
        <v>1.6077999999999999</v>
      </c>
      <c r="AJ460" s="2994">
        <v>1.5508</v>
      </c>
      <c r="AK460" s="2994">
        <v>1.5849</v>
      </c>
      <c r="AL460" s="2994">
        <v>1.762</v>
      </c>
      <c r="AM460" s="2994">
        <v>1.7850999999999999</v>
      </c>
      <c r="AN460" s="2994">
        <v>1.3177000000000001</v>
      </c>
      <c r="AO460" s="2994">
        <v>1.3386</v>
      </c>
      <c r="AP460" s="2994">
        <v>1.3028</v>
      </c>
      <c r="AQ460" s="2994">
        <v>1.2988999999999999</v>
      </c>
      <c r="AR460" s="2994">
        <v>1.2548999999999999</v>
      </c>
      <c r="AS460" s="2994">
        <v>1.3</v>
      </c>
      <c r="AT460" s="2994">
        <v>1.2929999999999999</v>
      </c>
      <c r="AU460" s="2994">
        <v>1.2646999999999999</v>
      </c>
      <c r="AV460" s="2994">
        <v>1.3089</v>
      </c>
      <c r="AW460" s="2994">
        <v>1.3408</v>
      </c>
      <c r="AX460" s="2994">
        <v>1.2963</v>
      </c>
      <c r="AY460" s="2994">
        <v>1.3182</v>
      </c>
      <c r="AZ460" s="2994">
        <v>1.286</v>
      </c>
      <c r="BA460" s="2994">
        <v>1.2955000000000001</v>
      </c>
      <c r="BB460" s="2994">
        <v>1.2998000000000001</v>
      </c>
      <c r="BC460" s="2994">
        <v>1.3586</v>
      </c>
      <c r="BD460" s="3471">
        <v>1.5210999999999999</v>
      </c>
      <c r="BE460" s="3471">
        <v>1.6015999999999999</v>
      </c>
      <c r="BF460" s="3471">
        <v>0</v>
      </c>
    </row>
    <row r="461" spans="1:58">
      <c r="A461" s="1817" t="str">
        <f t="shared" si="15"/>
        <v>Central AmericaRye</v>
      </c>
      <c r="B461" s="1818" t="s">
        <v>305</v>
      </c>
      <c r="C461" s="1818" t="s">
        <v>1327</v>
      </c>
      <c r="D461" s="3463" t="str">
        <f>VLOOKUP(B461,List_Yield!$G$4:$J$14,4,FALSE)</f>
        <v>Central America</v>
      </c>
      <c r="E461" s="3463" t="str">
        <f t="shared" si="14"/>
        <v>Central AmericaRye</v>
      </c>
      <c r="F461" s="2994">
        <v>0</v>
      </c>
      <c r="G461" s="2994">
        <v>0</v>
      </c>
      <c r="H461" s="2994">
        <v>0</v>
      </c>
      <c r="I461" s="2994">
        <v>0</v>
      </c>
      <c r="J461" s="2994">
        <v>0</v>
      </c>
      <c r="K461" s="2994">
        <v>0</v>
      </c>
      <c r="L461" s="2994">
        <v>0</v>
      </c>
      <c r="M461" s="2994">
        <v>0</v>
      </c>
      <c r="N461" s="2994">
        <v>0</v>
      </c>
      <c r="O461" s="2994">
        <v>0</v>
      </c>
      <c r="P461" s="2994">
        <v>0</v>
      </c>
      <c r="Q461" s="2994">
        <v>0</v>
      </c>
      <c r="R461" s="2994">
        <v>0</v>
      </c>
      <c r="S461" s="2994">
        <v>0</v>
      </c>
      <c r="T461" s="2994">
        <v>0</v>
      </c>
      <c r="U461" s="2994">
        <v>0</v>
      </c>
      <c r="V461" s="2994">
        <v>0</v>
      </c>
      <c r="W461" s="2994">
        <v>0</v>
      </c>
      <c r="X461" s="2994">
        <v>0</v>
      </c>
      <c r="Y461" s="2994">
        <v>0</v>
      </c>
      <c r="Z461" s="2994">
        <v>0</v>
      </c>
      <c r="AA461" s="2994">
        <v>1</v>
      </c>
      <c r="AB461" s="2994">
        <v>0</v>
      </c>
      <c r="AC461" s="2994">
        <v>0</v>
      </c>
      <c r="AD461" s="2994">
        <v>0</v>
      </c>
      <c r="AE461" s="2994">
        <v>3</v>
      </c>
      <c r="AF461" s="2994">
        <v>3.5</v>
      </c>
      <c r="AG461" s="2994">
        <v>3</v>
      </c>
      <c r="AH461" s="2994">
        <v>3.5</v>
      </c>
      <c r="AI461" s="2994">
        <v>3</v>
      </c>
      <c r="AJ461" s="2994">
        <v>2.5781999999999998</v>
      </c>
      <c r="AK461" s="2994">
        <v>3.3538000000000001</v>
      </c>
      <c r="AL461" s="2994">
        <v>2</v>
      </c>
      <c r="AM461" s="2994">
        <v>4</v>
      </c>
      <c r="AN461" s="2994">
        <v>5</v>
      </c>
      <c r="AO461" s="2994">
        <v>3</v>
      </c>
      <c r="AP461" s="2994">
        <v>0</v>
      </c>
      <c r="AQ461" s="2994">
        <v>2.8571</v>
      </c>
      <c r="AR461" s="2994">
        <v>2.9230999999999998</v>
      </c>
      <c r="AS461" s="2994">
        <v>0</v>
      </c>
      <c r="AT461" s="2994">
        <v>2.5909</v>
      </c>
      <c r="AU461" s="2994">
        <v>2.65</v>
      </c>
      <c r="AV461" s="2994">
        <v>1</v>
      </c>
      <c r="AW461" s="2994">
        <v>1.75</v>
      </c>
      <c r="AX461" s="2994">
        <v>1.1200000000000001</v>
      </c>
      <c r="AY461" s="2994">
        <v>1.68</v>
      </c>
      <c r="AZ461" s="2994">
        <v>9</v>
      </c>
      <c r="BA461" s="2994">
        <v>1.1175999999999999</v>
      </c>
      <c r="BB461" s="2994">
        <v>1.1765000000000001</v>
      </c>
      <c r="BC461" s="2994">
        <v>1.3095000000000001</v>
      </c>
      <c r="BD461" s="3471">
        <v>1.5</v>
      </c>
      <c r="BE461" s="3471">
        <v>1</v>
      </c>
      <c r="BF461" s="3471">
        <v>1.7222</v>
      </c>
    </row>
    <row r="462" spans="1:58">
      <c r="A462" s="1817" t="str">
        <f t="shared" si="15"/>
        <v>Central AmericaSafflower seed</v>
      </c>
      <c r="B462" s="1818" t="s">
        <v>305</v>
      </c>
      <c r="C462" s="1818" t="s">
        <v>7376</v>
      </c>
      <c r="D462" s="3463" t="str">
        <f>VLOOKUP(B462,List_Yield!$G$4:$J$14,4,FALSE)</f>
        <v>Central America</v>
      </c>
      <c r="E462" s="3463" t="str">
        <f t="shared" si="14"/>
        <v>Central AmericaSafflower seed</v>
      </c>
      <c r="F462" s="2994">
        <v>1.2597</v>
      </c>
      <c r="G462" s="2994">
        <v>1.2702</v>
      </c>
      <c r="H462" s="2994">
        <v>1.2982</v>
      </c>
      <c r="I462" s="2994">
        <v>1.3246</v>
      </c>
      <c r="J462" s="2994">
        <v>1.3541000000000001</v>
      </c>
      <c r="K462" s="2994">
        <v>1.4323999999999999</v>
      </c>
      <c r="L462" s="2994">
        <v>1.4858</v>
      </c>
      <c r="M462" s="2994">
        <v>1.1912</v>
      </c>
      <c r="N462" s="2994">
        <v>1.4427000000000001</v>
      </c>
      <c r="O462" s="2994">
        <v>1.6449</v>
      </c>
      <c r="P462" s="2994">
        <v>1.5503</v>
      </c>
      <c r="Q462" s="2994">
        <v>1.3644000000000001</v>
      </c>
      <c r="R462" s="2994">
        <v>1.506</v>
      </c>
      <c r="S462" s="2994">
        <v>1.4215</v>
      </c>
      <c r="T462" s="2994">
        <v>1.4661999999999999</v>
      </c>
      <c r="U462" s="2994">
        <v>1.2995000000000001</v>
      </c>
      <c r="V462" s="2994">
        <v>1.2842</v>
      </c>
      <c r="W462" s="2994">
        <v>1.4347000000000001</v>
      </c>
      <c r="X462" s="2994">
        <v>1.2013</v>
      </c>
      <c r="Y462" s="2994">
        <v>1.1524000000000001</v>
      </c>
      <c r="Z462" s="2994">
        <v>0.81279999999999997</v>
      </c>
      <c r="AA462" s="2994">
        <v>1.2575000000000001</v>
      </c>
      <c r="AB462" s="2994">
        <v>0.79959999999999998</v>
      </c>
      <c r="AC462" s="2994">
        <v>0.9365</v>
      </c>
      <c r="AD462" s="2994">
        <v>0.64780000000000004</v>
      </c>
      <c r="AE462" s="2994">
        <v>0.7964</v>
      </c>
      <c r="AF462" s="2994">
        <v>0.79279999999999995</v>
      </c>
      <c r="AG462" s="2994">
        <v>1.2307999999999999</v>
      </c>
      <c r="AH462" s="2994">
        <v>0.95440000000000003</v>
      </c>
      <c r="AI462" s="2994">
        <v>1.0139</v>
      </c>
      <c r="AJ462" s="2994">
        <v>0.94099999999999995</v>
      </c>
      <c r="AK462" s="2994">
        <v>0.50590000000000002</v>
      </c>
      <c r="AL462" s="2994">
        <v>0.86990000000000001</v>
      </c>
      <c r="AM462" s="2994">
        <v>1.1083000000000001</v>
      </c>
      <c r="AN462" s="2994">
        <v>1.1701999999999999</v>
      </c>
      <c r="AO462" s="2994">
        <v>1.5064</v>
      </c>
      <c r="AP462" s="2994">
        <v>1.754</v>
      </c>
      <c r="AQ462" s="2994">
        <v>1.3904000000000001</v>
      </c>
      <c r="AR462" s="2994">
        <v>1.5606</v>
      </c>
      <c r="AS462" s="2994">
        <v>1.1385000000000001</v>
      </c>
      <c r="AT462" s="2994">
        <v>0.98680000000000001</v>
      </c>
      <c r="AU462" s="2994">
        <v>1.0018</v>
      </c>
      <c r="AV462" s="2994">
        <v>1.3683000000000001</v>
      </c>
      <c r="AW462" s="2994">
        <v>1.089</v>
      </c>
      <c r="AX462" s="2994">
        <v>1.0858000000000001</v>
      </c>
      <c r="AY462" s="2994">
        <v>1.0523</v>
      </c>
      <c r="AZ462" s="2994">
        <v>1.2168000000000001</v>
      </c>
      <c r="BA462" s="2994">
        <v>1.4833000000000001</v>
      </c>
      <c r="BB462" s="2994">
        <v>1.1746000000000001</v>
      </c>
      <c r="BC462" s="2994">
        <v>1.1564000000000001</v>
      </c>
      <c r="BD462" s="3471">
        <v>2.0847000000000002</v>
      </c>
      <c r="BE462" s="3471">
        <v>1.4893000000000001</v>
      </c>
      <c r="BF462" s="3471">
        <v>1.1409</v>
      </c>
    </row>
    <row r="463" spans="1:58">
      <c r="A463" s="1817" t="str">
        <f t="shared" si="15"/>
        <v>Central AmericaSeed cotton</v>
      </c>
      <c r="B463" s="1818" t="s">
        <v>305</v>
      </c>
      <c r="C463" s="1818" t="s">
        <v>1371</v>
      </c>
      <c r="D463" s="3463" t="str">
        <f>VLOOKUP(B463,List_Yield!$G$4:$J$14,4,FALSE)</f>
        <v>Central America</v>
      </c>
      <c r="E463" s="3463" t="str">
        <f t="shared" si="14"/>
        <v>Central AmericaSeed cotton</v>
      </c>
      <c r="F463" s="2994">
        <v>1.5467</v>
      </c>
      <c r="G463" s="2994">
        <v>1.6992</v>
      </c>
      <c r="H463" s="2994">
        <v>1.7851999999999999</v>
      </c>
      <c r="I463" s="2994">
        <v>1.9152</v>
      </c>
      <c r="J463" s="2994">
        <v>2.0398000000000001</v>
      </c>
      <c r="K463" s="2994">
        <v>2.0649999999999999</v>
      </c>
      <c r="L463" s="2994">
        <v>2.0123000000000002</v>
      </c>
      <c r="M463" s="2994">
        <v>2.1953999999999998</v>
      </c>
      <c r="N463" s="2994">
        <v>2.1274000000000002</v>
      </c>
      <c r="O463" s="2994">
        <v>2.1604999999999999</v>
      </c>
      <c r="P463" s="2994">
        <v>2.2930999999999999</v>
      </c>
      <c r="Q463" s="2994">
        <v>2.3258000000000001</v>
      </c>
      <c r="R463" s="2994">
        <v>2.3616999999999999</v>
      </c>
      <c r="S463" s="2994">
        <v>2.4365999999999999</v>
      </c>
      <c r="T463" s="2994">
        <v>2.3675999999999999</v>
      </c>
      <c r="U463" s="2994">
        <v>2.5444</v>
      </c>
      <c r="V463" s="2994">
        <v>2.6181999999999999</v>
      </c>
      <c r="W463" s="2994">
        <v>2.6738</v>
      </c>
      <c r="X463" s="2994">
        <v>2.6779000000000002</v>
      </c>
      <c r="Y463" s="2994">
        <v>2.9173</v>
      </c>
      <c r="Z463" s="2994">
        <v>2.7319</v>
      </c>
      <c r="AA463" s="2994">
        <v>2.6229</v>
      </c>
      <c r="AB463" s="2994">
        <v>2.7892000000000001</v>
      </c>
      <c r="AC463" s="2994">
        <v>2.6625999999999999</v>
      </c>
      <c r="AD463" s="2994">
        <v>2.5709</v>
      </c>
      <c r="AE463" s="2994">
        <v>2.19</v>
      </c>
      <c r="AF463" s="2994">
        <v>3.0670999999999999</v>
      </c>
      <c r="AG463" s="2994">
        <v>2.5859000000000001</v>
      </c>
      <c r="AH463" s="2994">
        <v>2.4607000000000001</v>
      </c>
      <c r="AI463" s="2994">
        <v>2.4498000000000002</v>
      </c>
      <c r="AJ463" s="2994">
        <v>2.2473999999999998</v>
      </c>
      <c r="AK463" s="2994">
        <v>2.2772999999999999</v>
      </c>
      <c r="AL463" s="2994">
        <v>2.1654</v>
      </c>
      <c r="AM463" s="2994">
        <v>2.0655999999999999</v>
      </c>
      <c r="AN463" s="2994">
        <v>2.2700999999999998</v>
      </c>
      <c r="AO463" s="2994">
        <v>2.4857</v>
      </c>
      <c r="AP463" s="2994">
        <v>3.0348000000000002</v>
      </c>
      <c r="AQ463" s="2994">
        <v>2.8437000000000001</v>
      </c>
      <c r="AR463" s="2994">
        <v>2.9173</v>
      </c>
      <c r="AS463" s="2994">
        <v>2.8178999999999998</v>
      </c>
      <c r="AT463" s="2994">
        <v>3.0647000000000002</v>
      </c>
      <c r="AU463" s="2994">
        <v>3.0122</v>
      </c>
      <c r="AV463" s="2994">
        <v>3.3618999999999999</v>
      </c>
      <c r="AW463" s="2994">
        <v>3.4613</v>
      </c>
      <c r="AX463" s="2994">
        <v>3.0259</v>
      </c>
      <c r="AY463" s="2994">
        <v>3.7467999999999999</v>
      </c>
      <c r="AZ463" s="2994">
        <v>3.3982999999999999</v>
      </c>
      <c r="BA463" s="2994">
        <v>3.5537999999999998</v>
      </c>
      <c r="BB463" s="2994">
        <v>3.7313999999999998</v>
      </c>
      <c r="BC463" s="2994">
        <v>3.8140000000000001</v>
      </c>
      <c r="BD463" s="3471">
        <v>3.7953000000000001</v>
      </c>
      <c r="BE463" s="3471">
        <v>4.2249999999999996</v>
      </c>
      <c r="BF463" s="3471">
        <v>4.6031000000000004</v>
      </c>
    </row>
    <row r="464" spans="1:58">
      <c r="A464" s="1817" t="str">
        <f t="shared" si="15"/>
        <v>Central AmericaSesame seed</v>
      </c>
      <c r="B464" s="1818" t="s">
        <v>305</v>
      </c>
      <c r="C464" s="1818" t="s">
        <v>1319</v>
      </c>
      <c r="D464" s="3463" t="str">
        <f>VLOOKUP(B464,List_Yield!$G$4:$J$14,4,FALSE)</f>
        <v>Central America</v>
      </c>
      <c r="E464" s="3463" t="str">
        <f t="shared" si="14"/>
        <v>Central AmericaSesame seed</v>
      </c>
      <c r="F464" s="2994">
        <v>0.67810000000000004</v>
      </c>
      <c r="G464" s="2994">
        <v>0.6633</v>
      </c>
      <c r="H464" s="2994">
        <v>0.67449999999999999</v>
      </c>
      <c r="I464" s="2994">
        <v>0.65880000000000005</v>
      </c>
      <c r="J464" s="2994">
        <v>0.5857</v>
      </c>
      <c r="K464" s="2994">
        <v>0.66800000000000004</v>
      </c>
      <c r="L464" s="2994">
        <v>0.58460000000000001</v>
      </c>
      <c r="M464" s="2994">
        <v>0.61609999999999998</v>
      </c>
      <c r="N464" s="2994">
        <v>0.66820000000000002</v>
      </c>
      <c r="O464" s="2994">
        <v>0.67100000000000004</v>
      </c>
      <c r="P464" s="2994">
        <v>0.64800000000000002</v>
      </c>
      <c r="Q464" s="2994">
        <v>0.6069</v>
      </c>
      <c r="R464" s="2994">
        <v>0.72540000000000004</v>
      </c>
      <c r="S464" s="2994">
        <v>0.68220000000000003</v>
      </c>
      <c r="T464" s="2994">
        <v>0.54330000000000001</v>
      </c>
      <c r="U464" s="2994">
        <v>0.48620000000000002</v>
      </c>
      <c r="V464" s="2994">
        <v>0.61460000000000004</v>
      </c>
      <c r="W464" s="2994">
        <v>0.58089999999999997</v>
      </c>
      <c r="X464" s="2994">
        <v>0.58830000000000005</v>
      </c>
      <c r="Y464" s="2994">
        <v>0.54630000000000001</v>
      </c>
      <c r="Z464" s="2994">
        <v>0.55159999999999998</v>
      </c>
      <c r="AA464" s="2994">
        <v>0.51590000000000003</v>
      </c>
      <c r="AB464" s="2994">
        <v>0.58089999999999997</v>
      </c>
      <c r="AC464" s="2994">
        <v>0.56969999999999998</v>
      </c>
      <c r="AD464" s="2994">
        <v>0.61380000000000001</v>
      </c>
      <c r="AE464" s="2994">
        <v>0.60309999999999997</v>
      </c>
      <c r="AF464" s="2994">
        <v>0.56140000000000001</v>
      </c>
      <c r="AG464" s="2994">
        <v>0.52980000000000005</v>
      </c>
      <c r="AH464" s="2994">
        <v>0.60929999999999995</v>
      </c>
      <c r="AI464" s="2994">
        <v>0.5625</v>
      </c>
      <c r="AJ464" s="2994">
        <v>0.52180000000000004</v>
      </c>
      <c r="AK464" s="2994">
        <v>0.61060000000000003</v>
      </c>
      <c r="AL464" s="2994">
        <v>0.64870000000000005</v>
      </c>
      <c r="AM464" s="2994">
        <v>0.66180000000000005</v>
      </c>
      <c r="AN464" s="2994">
        <v>0.64400000000000002</v>
      </c>
      <c r="AO464" s="2994">
        <v>0.63170000000000004</v>
      </c>
      <c r="AP464" s="2994">
        <v>0.51039999999999996</v>
      </c>
      <c r="AQ464" s="2994">
        <v>0.55479999999999996</v>
      </c>
      <c r="AR464" s="2994">
        <v>0.60499999999999998</v>
      </c>
      <c r="AS464" s="2994">
        <v>0.49780000000000002</v>
      </c>
      <c r="AT464" s="2994">
        <v>0.60840000000000005</v>
      </c>
      <c r="AU464" s="2994">
        <v>0.58240000000000003</v>
      </c>
      <c r="AV464" s="2994">
        <v>0.59640000000000004</v>
      </c>
      <c r="AW464" s="2994">
        <v>0.68769999999999998</v>
      </c>
      <c r="AX464" s="2994">
        <v>0.68740000000000001</v>
      </c>
      <c r="AY464" s="2994">
        <v>0.65149999999999997</v>
      </c>
      <c r="AZ464" s="2994">
        <v>0.64539999999999997</v>
      </c>
      <c r="BA464" s="2994">
        <v>0.67259999999999998</v>
      </c>
      <c r="BB464" s="2994">
        <v>0.63519999999999999</v>
      </c>
      <c r="BC464" s="2994">
        <v>0.74119999999999997</v>
      </c>
      <c r="BD464" s="3471">
        <v>0.80969999999999998</v>
      </c>
      <c r="BE464" s="3471">
        <v>0.94279999999999997</v>
      </c>
      <c r="BF464" s="3471">
        <v>0.91449999999999998</v>
      </c>
    </row>
    <row r="465" spans="1:58">
      <c r="A465" s="1817" t="str">
        <f t="shared" si="15"/>
        <v>Central AmericaSisal</v>
      </c>
      <c r="B465" s="1818" t="s">
        <v>305</v>
      </c>
      <c r="C465" s="1818" t="s">
        <v>1372</v>
      </c>
      <c r="D465" s="3463" t="str">
        <f>VLOOKUP(B465,List_Yield!$G$4:$J$14,4,FALSE)</f>
        <v>Central America</v>
      </c>
      <c r="E465" s="3463" t="str">
        <f t="shared" si="14"/>
        <v>Central AmericaSisal</v>
      </c>
      <c r="F465" s="2994">
        <v>0.89480000000000004</v>
      </c>
      <c r="G465" s="2994">
        <v>0.88319999999999999</v>
      </c>
      <c r="H465" s="2994">
        <v>0.93400000000000005</v>
      </c>
      <c r="I465" s="2994">
        <v>0.92330000000000001</v>
      </c>
      <c r="J465" s="2994">
        <v>0.7339</v>
      </c>
      <c r="K465" s="2994">
        <v>0.69450000000000001</v>
      </c>
      <c r="L465" s="2994">
        <v>0.71079999999999999</v>
      </c>
      <c r="M465" s="2994">
        <v>0.73860000000000003</v>
      </c>
      <c r="N465" s="2994">
        <v>0.72940000000000005</v>
      </c>
      <c r="O465" s="2994">
        <v>0.81620000000000004</v>
      </c>
      <c r="P465" s="2994">
        <v>0.78849999999999998</v>
      </c>
      <c r="Q465" s="2994">
        <v>0.73309999999999997</v>
      </c>
      <c r="R465" s="2994">
        <v>0.73750000000000004</v>
      </c>
      <c r="S465" s="2994">
        <v>0.7752</v>
      </c>
      <c r="T465" s="2994">
        <v>0.73619999999999997</v>
      </c>
      <c r="U465" s="2994">
        <v>0.70150000000000001</v>
      </c>
      <c r="V465" s="2994">
        <v>0.57740000000000002</v>
      </c>
      <c r="W465" s="2994">
        <v>0.59250000000000003</v>
      </c>
      <c r="X465" s="2994">
        <v>0.58499999999999996</v>
      </c>
      <c r="Y465" s="2994">
        <v>0.61080000000000001</v>
      </c>
      <c r="Z465" s="2994">
        <v>0.64670000000000005</v>
      </c>
      <c r="AA465" s="2994">
        <v>0.56030000000000002</v>
      </c>
      <c r="AB465" s="2994">
        <v>0.58309999999999995</v>
      </c>
      <c r="AC465" s="2994">
        <v>0.52029999999999998</v>
      </c>
      <c r="AD465" s="2994">
        <v>0.45900000000000002</v>
      </c>
      <c r="AE465" s="2994">
        <v>0.56069999999999998</v>
      </c>
      <c r="AF465" s="2994">
        <v>0.39429999999999998</v>
      </c>
      <c r="AG465" s="2994">
        <v>0.82450000000000001</v>
      </c>
      <c r="AH465" s="2994">
        <v>0.54849999999999999</v>
      </c>
      <c r="AI465" s="2994">
        <v>0.63919999999999999</v>
      </c>
      <c r="AJ465" s="2994">
        <v>0.65620000000000001</v>
      </c>
      <c r="AK465" s="2994">
        <v>0.58640000000000003</v>
      </c>
      <c r="AL465" s="2994">
        <v>0.57250000000000001</v>
      </c>
      <c r="AM465" s="2994">
        <v>0.59289999999999998</v>
      </c>
      <c r="AN465" s="2994">
        <v>0.61339999999999995</v>
      </c>
      <c r="AO465" s="2994">
        <v>0.63390000000000002</v>
      </c>
      <c r="AP465" s="2994">
        <v>0.89559999999999995</v>
      </c>
      <c r="AQ465" s="2994">
        <v>0.73199999999999998</v>
      </c>
      <c r="AR465" s="2994">
        <v>0.58409999999999995</v>
      </c>
      <c r="AS465" s="2994">
        <v>1.7865</v>
      </c>
      <c r="AT465" s="2994">
        <v>0.57420000000000004</v>
      </c>
      <c r="AU465" s="2994">
        <v>0.67930000000000001</v>
      </c>
      <c r="AV465" s="2994">
        <v>0.73319999999999996</v>
      </c>
      <c r="AW465" s="2994">
        <v>0.65480000000000005</v>
      </c>
      <c r="AX465" s="2994">
        <v>0.60809999999999997</v>
      </c>
      <c r="AY465" s="2994">
        <v>0.65439999999999998</v>
      </c>
      <c r="AZ465" s="2994">
        <v>0.63690000000000002</v>
      </c>
      <c r="BA465" s="2994">
        <v>0.57310000000000005</v>
      </c>
      <c r="BB465" s="2994">
        <v>0.76049999999999995</v>
      </c>
      <c r="BC465" s="2994">
        <v>0.69310000000000005</v>
      </c>
      <c r="BD465" s="3471">
        <v>0.73719999999999997</v>
      </c>
      <c r="BE465" s="3471">
        <v>0.73719999999999997</v>
      </c>
      <c r="BF465" s="3471">
        <v>0</v>
      </c>
    </row>
    <row r="466" spans="1:58">
      <c r="A466" s="1817" t="str">
        <f t="shared" si="15"/>
        <v>Central AmericaSorghum</v>
      </c>
      <c r="B466" s="1818" t="s">
        <v>305</v>
      </c>
      <c r="C466" s="1818" t="s">
        <v>1373</v>
      </c>
      <c r="D466" s="3463" t="str">
        <f>VLOOKUP(B466,List_Yield!$G$4:$J$14,4,FALSE)</f>
        <v>Central America</v>
      </c>
      <c r="E466" s="3463" t="str">
        <f t="shared" si="14"/>
        <v>Central AmericaSorghum</v>
      </c>
      <c r="F466" s="2994">
        <v>1.4503999999999999</v>
      </c>
      <c r="G466" s="2994">
        <v>1.4919</v>
      </c>
      <c r="H466" s="2994">
        <v>1.4641</v>
      </c>
      <c r="I466" s="2994">
        <v>1.48</v>
      </c>
      <c r="J466" s="2994">
        <v>1.7608999999999999</v>
      </c>
      <c r="K466" s="2994">
        <v>2.0158999999999998</v>
      </c>
      <c r="L466" s="2994">
        <v>2.0960999999999999</v>
      </c>
      <c r="M466" s="2994">
        <v>2.2202999999999999</v>
      </c>
      <c r="N466" s="2994">
        <v>2.4076</v>
      </c>
      <c r="O466" s="2994">
        <v>2.4540999999999999</v>
      </c>
      <c r="P466" s="2994">
        <v>2.3271000000000002</v>
      </c>
      <c r="Q466" s="2994">
        <v>2.1253000000000002</v>
      </c>
      <c r="R466" s="2994">
        <v>2.4824000000000002</v>
      </c>
      <c r="S466" s="2994">
        <v>2.4491000000000001</v>
      </c>
      <c r="T466" s="2994">
        <v>2.5823999999999998</v>
      </c>
      <c r="U466" s="2994">
        <v>2.8157000000000001</v>
      </c>
      <c r="V466" s="2994">
        <v>2.7126999999999999</v>
      </c>
      <c r="W466" s="2994">
        <v>2.6646000000000001</v>
      </c>
      <c r="X466" s="2994">
        <v>2.9396</v>
      </c>
      <c r="Y466" s="2994">
        <v>2.7816000000000001</v>
      </c>
      <c r="Z466" s="2994">
        <v>3.2787999999999999</v>
      </c>
      <c r="AA466" s="2994">
        <v>3.2761</v>
      </c>
      <c r="AB466" s="2994">
        <v>2.9049</v>
      </c>
      <c r="AC466" s="2994">
        <v>2.7982</v>
      </c>
      <c r="AD466" s="2994">
        <v>3.2317999999999998</v>
      </c>
      <c r="AE466" s="2994">
        <v>2.8549000000000002</v>
      </c>
      <c r="AF466" s="2994">
        <v>3.0882000000000001</v>
      </c>
      <c r="AG466" s="2994">
        <v>2.9994000000000001</v>
      </c>
      <c r="AH466" s="2994">
        <v>2.8058000000000001</v>
      </c>
      <c r="AI466" s="2994">
        <v>3.0007999999999999</v>
      </c>
      <c r="AJ466" s="2994">
        <v>2.7717000000000001</v>
      </c>
      <c r="AK466" s="2994">
        <v>3.4022000000000001</v>
      </c>
      <c r="AL466" s="2994">
        <v>2.5110999999999999</v>
      </c>
      <c r="AM466" s="2994">
        <v>2.6255000000000002</v>
      </c>
      <c r="AN466" s="2994">
        <v>2.7524000000000002</v>
      </c>
      <c r="AO466" s="2994">
        <v>2.9283999999999999</v>
      </c>
      <c r="AP466" s="2994">
        <v>2.8308</v>
      </c>
      <c r="AQ466" s="2994">
        <v>3.0674999999999999</v>
      </c>
      <c r="AR466" s="2994">
        <v>2.7711999999999999</v>
      </c>
      <c r="AS466" s="2994">
        <v>2.8809999999999998</v>
      </c>
      <c r="AT466" s="2994">
        <v>3.1591</v>
      </c>
      <c r="AU466" s="2994">
        <v>2.8186</v>
      </c>
      <c r="AV466" s="2994">
        <v>3.0948000000000002</v>
      </c>
      <c r="AW466" s="2994">
        <v>3.5594000000000001</v>
      </c>
      <c r="AX466" s="2994">
        <v>3.2145999999999999</v>
      </c>
      <c r="AY466" s="2994">
        <v>3.2139000000000002</v>
      </c>
      <c r="AZ466" s="2994">
        <v>3.266</v>
      </c>
      <c r="BA466" s="2994">
        <v>3.3496999999999999</v>
      </c>
      <c r="BB466" s="2994">
        <v>3.3809</v>
      </c>
      <c r="BC466" s="2994">
        <v>3.6816</v>
      </c>
      <c r="BD466" s="3471">
        <v>3.4845999999999999</v>
      </c>
      <c r="BE466" s="3471">
        <v>3.585</v>
      </c>
      <c r="BF466" s="3471">
        <v>3.5202</v>
      </c>
    </row>
    <row r="467" spans="1:58">
      <c r="A467" s="1817" t="str">
        <f t="shared" si="15"/>
        <v>Central AmericaSoybeans</v>
      </c>
      <c r="B467" s="1818" t="s">
        <v>305</v>
      </c>
      <c r="C467" s="1818" t="s">
        <v>1333</v>
      </c>
      <c r="D467" s="3463" t="str">
        <f>VLOOKUP(B467,List_Yield!$G$4:$J$14,4,FALSE)</f>
        <v>Central America</v>
      </c>
      <c r="E467" s="3463" t="str">
        <f t="shared" si="14"/>
        <v>Central AmericaSoybeans</v>
      </c>
      <c r="F467" s="2994">
        <v>1.9850000000000001</v>
      </c>
      <c r="G467" s="2994">
        <v>2.0756999999999999</v>
      </c>
      <c r="H467" s="2994">
        <v>2.0512999999999999</v>
      </c>
      <c r="I467" s="2994">
        <v>1.9657</v>
      </c>
      <c r="J467" s="2994">
        <v>2.1086999999999998</v>
      </c>
      <c r="K467" s="2994">
        <v>1.7485999999999999</v>
      </c>
      <c r="L467" s="2994">
        <v>1.8749</v>
      </c>
      <c r="M467" s="2994">
        <v>2.0691999999999999</v>
      </c>
      <c r="N467" s="2994">
        <v>1.7567999999999999</v>
      </c>
      <c r="O467" s="2994">
        <v>1.9198999999999999</v>
      </c>
      <c r="P467" s="2994">
        <v>1.9843999999999999</v>
      </c>
      <c r="Q467" s="2994">
        <v>1.7</v>
      </c>
      <c r="R467" s="2994">
        <v>1.877</v>
      </c>
      <c r="S467" s="2994">
        <v>1.6363000000000001</v>
      </c>
      <c r="T467" s="2994">
        <v>1.7379</v>
      </c>
      <c r="U467" s="2994">
        <v>1.7528999999999999</v>
      </c>
      <c r="V467" s="2994">
        <v>1.6424000000000001</v>
      </c>
      <c r="W467" s="2994">
        <v>1.5427</v>
      </c>
      <c r="X467" s="2994">
        <v>1.8626</v>
      </c>
      <c r="Y467" s="2994">
        <v>2.0878000000000001</v>
      </c>
      <c r="Z467" s="2994">
        <v>1.9501999999999999</v>
      </c>
      <c r="AA467" s="2994">
        <v>1.7259</v>
      </c>
      <c r="AB467" s="2994">
        <v>1.7524999999999999</v>
      </c>
      <c r="AC467" s="2994">
        <v>1.7474000000000001</v>
      </c>
      <c r="AD467" s="2994">
        <v>1.9321999999999999</v>
      </c>
      <c r="AE467" s="2994">
        <v>1.8464</v>
      </c>
      <c r="AF467" s="2994">
        <v>1.7678</v>
      </c>
      <c r="AG467" s="2994">
        <v>1.6693</v>
      </c>
      <c r="AH467" s="2994">
        <v>2.0306999999999999</v>
      </c>
      <c r="AI467" s="2994">
        <v>2.0379999999999998</v>
      </c>
      <c r="AJ467" s="2994">
        <v>2.1343000000000001</v>
      </c>
      <c r="AK467" s="2994">
        <v>1.8763000000000001</v>
      </c>
      <c r="AL467" s="2994">
        <v>2.1305999999999998</v>
      </c>
      <c r="AM467" s="2994">
        <v>1.8720000000000001</v>
      </c>
      <c r="AN467" s="2994">
        <v>1.5902000000000001</v>
      </c>
      <c r="AO467" s="2994">
        <v>1.6512</v>
      </c>
      <c r="AP467" s="2994">
        <v>1.7131000000000001</v>
      </c>
      <c r="AQ467" s="2994">
        <v>1.7191000000000001</v>
      </c>
      <c r="AR467" s="2994">
        <v>1.8371</v>
      </c>
      <c r="AS467" s="2994">
        <v>1.6836</v>
      </c>
      <c r="AT467" s="2994">
        <v>1.8232999999999999</v>
      </c>
      <c r="AU467" s="2994">
        <v>1.7577</v>
      </c>
      <c r="AV467" s="2994">
        <v>1.9721</v>
      </c>
      <c r="AW467" s="2994">
        <v>1.6787000000000001</v>
      </c>
      <c r="AX467" s="2994">
        <v>2.0363000000000002</v>
      </c>
      <c r="AY467" s="2994">
        <v>1.7495000000000001</v>
      </c>
      <c r="AZ467" s="2994">
        <v>1.6586000000000001</v>
      </c>
      <c r="BA467" s="2994">
        <v>2.1175000000000002</v>
      </c>
      <c r="BB467" s="2994">
        <v>1.9879</v>
      </c>
      <c r="BC467" s="2994">
        <v>1.2474000000000001</v>
      </c>
      <c r="BD467" s="3471">
        <v>1.4495</v>
      </c>
      <c r="BE467" s="3471">
        <v>1.8253999999999999</v>
      </c>
      <c r="BF467" s="3471">
        <v>1.6255999999999999</v>
      </c>
    </row>
    <row r="468" spans="1:58">
      <c r="A468" s="1817" t="str">
        <f t="shared" si="15"/>
        <v>Central AmericaSpices, nes</v>
      </c>
      <c r="B468" s="1818" t="s">
        <v>305</v>
      </c>
      <c r="C468" s="1818" t="s">
        <v>7377</v>
      </c>
      <c r="D468" s="3463" t="str">
        <f>VLOOKUP(B468,List_Yield!$G$4:$J$14,4,FALSE)</f>
        <v>Central America</v>
      </c>
      <c r="E468" s="3463" t="str">
        <f t="shared" si="14"/>
        <v>Central AmericaSpices, nes</v>
      </c>
      <c r="F468" s="2994">
        <v>0</v>
      </c>
      <c r="G468" s="2994">
        <v>0</v>
      </c>
      <c r="H468" s="2994">
        <v>0</v>
      </c>
      <c r="I468" s="2994">
        <v>0</v>
      </c>
      <c r="J468" s="2994">
        <v>0</v>
      </c>
      <c r="K468" s="2994">
        <v>0</v>
      </c>
      <c r="L468" s="2994">
        <v>0</v>
      </c>
      <c r="M468" s="2994">
        <v>0</v>
      </c>
      <c r="N468" s="2994">
        <v>0</v>
      </c>
      <c r="O468" s="2994">
        <v>0</v>
      </c>
      <c r="P468" s="2994">
        <v>0</v>
      </c>
      <c r="Q468" s="2994">
        <v>0</v>
      </c>
      <c r="R468" s="2994">
        <v>0</v>
      </c>
      <c r="S468" s="2994">
        <v>0</v>
      </c>
      <c r="T468" s="2994">
        <v>0</v>
      </c>
      <c r="U468" s="2994">
        <v>0</v>
      </c>
      <c r="V468" s="2994">
        <v>0</v>
      </c>
      <c r="W468" s="2994">
        <v>0</v>
      </c>
      <c r="X468" s="2994">
        <v>0</v>
      </c>
      <c r="Y468" s="2994">
        <v>4.6017999999999999</v>
      </c>
      <c r="Z468" s="2994">
        <v>2.4653</v>
      </c>
      <c r="AA468" s="2994">
        <v>1.9291</v>
      </c>
      <c r="AB468" s="2994">
        <v>0.94899999999999995</v>
      </c>
      <c r="AC468" s="2994">
        <v>1.1956</v>
      </c>
      <c r="AD468" s="2994">
        <v>1.0542</v>
      </c>
      <c r="AE468" s="2994">
        <v>1.8818999999999999</v>
      </c>
      <c r="AF468" s="2994">
        <v>5.0894000000000004</v>
      </c>
      <c r="AG468" s="2994">
        <v>2.5</v>
      </c>
      <c r="AH468" s="2994">
        <v>3.7078000000000002</v>
      </c>
      <c r="AI468" s="2994">
        <v>7.2</v>
      </c>
      <c r="AJ468" s="2994">
        <v>6.9339000000000004</v>
      </c>
      <c r="AK468" s="2994">
        <v>3.6284000000000001</v>
      </c>
      <c r="AL468" s="2994">
        <v>6.0362</v>
      </c>
      <c r="AM468" s="2994">
        <v>3.0295000000000001</v>
      </c>
      <c r="AN468" s="2994">
        <v>2.2993000000000001</v>
      </c>
      <c r="AO468" s="2994">
        <v>7.3486000000000002</v>
      </c>
      <c r="AP468" s="2994">
        <v>4.3855000000000004</v>
      </c>
      <c r="AQ468" s="2994">
        <v>4.0872999999999999</v>
      </c>
      <c r="AR468" s="2994">
        <v>3.1160999999999999</v>
      </c>
      <c r="AS468" s="2994">
        <v>2.6608999999999998</v>
      </c>
      <c r="AT468" s="2994">
        <v>2.2559</v>
      </c>
      <c r="AU468" s="2994">
        <v>2.7193000000000001</v>
      </c>
      <c r="AV468" s="2994">
        <v>1.9951000000000001</v>
      </c>
      <c r="AW468" s="2994">
        <v>2.3066</v>
      </c>
      <c r="AX468" s="2994">
        <v>2.1025999999999998</v>
      </c>
      <c r="AY468" s="2994">
        <v>2.3347000000000002</v>
      </c>
      <c r="AZ468" s="2994">
        <v>2.3767999999999998</v>
      </c>
      <c r="BA468" s="2994">
        <v>2.3917999999999999</v>
      </c>
      <c r="BB468" s="2994">
        <v>2.4283000000000001</v>
      </c>
      <c r="BC468" s="2994">
        <v>2.9628000000000001</v>
      </c>
      <c r="BD468" s="3471">
        <v>3.7160000000000002</v>
      </c>
      <c r="BE468" s="3471">
        <v>3.7848999999999999</v>
      </c>
      <c r="BF468" s="3471">
        <v>0</v>
      </c>
    </row>
    <row r="469" spans="1:58">
      <c r="A469" s="1817" t="str">
        <f t="shared" si="15"/>
        <v>Central AmericaSpinach</v>
      </c>
      <c r="B469" s="1818" t="s">
        <v>305</v>
      </c>
      <c r="C469" s="1818" t="s">
        <v>7378</v>
      </c>
      <c r="D469" s="3463" t="str">
        <f>VLOOKUP(B469,List_Yield!$G$4:$J$14,4,FALSE)</f>
        <v>Central America</v>
      </c>
      <c r="E469" s="3463" t="str">
        <f t="shared" si="14"/>
        <v>Central AmericaSpinach</v>
      </c>
      <c r="F469" s="2994">
        <v>0</v>
      </c>
      <c r="G469" s="2994">
        <v>0</v>
      </c>
      <c r="H469" s="2994">
        <v>0</v>
      </c>
      <c r="I469" s="2994">
        <v>0</v>
      </c>
      <c r="J469" s="2994">
        <v>0</v>
      </c>
      <c r="K469" s="2994">
        <v>0</v>
      </c>
      <c r="L469" s="2994">
        <v>0</v>
      </c>
      <c r="M469" s="2994">
        <v>0</v>
      </c>
      <c r="N469" s="2994">
        <v>0</v>
      </c>
      <c r="O469" s="2994">
        <v>0</v>
      </c>
      <c r="P469" s="2994">
        <v>0</v>
      </c>
      <c r="Q469" s="2994">
        <v>0</v>
      </c>
      <c r="R469" s="2994">
        <v>0</v>
      </c>
      <c r="S469" s="2994">
        <v>0</v>
      </c>
      <c r="T469" s="2994">
        <v>0</v>
      </c>
      <c r="U469" s="2994">
        <v>0</v>
      </c>
      <c r="V469" s="2994">
        <v>0</v>
      </c>
      <c r="W469" s="2994">
        <v>0</v>
      </c>
      <c r="X469" s="2994">
        <v>0</v>
      </c>
      <c r="Y469" s="2994">
        <v>9.5107999999999997</v>
      </c>
      <c r="Z469" s="2994">
        <v>7.6456</v>
      </c>
      <c r="AA469" s="2994">
        <v>8.0304000000000002</v>
      </c>
      <c r="AB469" s="2994">
        <v>7.9691000000000001</v>
      </c>
      <c r="AC469" s="2994">
        <v>6.5864000000000003</v>
      </c>
      <c r="AD469" s="2994">
        <v>11.906599999999999</v>
      </c>
      <c r="AE469" s="2994">
        <v>13.2942</v>
      </c>
      <c r="AF469" s="2994">
        <v>10.5619</v>
      </c>
      <c r="AG469" s="2994">
        <v>10.382400000000001</v>
      </c>
      <c r="AH469" s="2994">
        <v>11.7813</v>
      </c>
      <c r="AI469" s="2994">
        <v>11.299300000000001</v>
      </c>
      <c r="AJ469" s="2994">
        <v>11.815899999999999</v>
      </c>
      <c r="AK469" s="2994">
        <v>11.9884</v>
      </c>
      <c r="AL469" s="2994">
        <v>11.550800000000001</v>
      </c>
      <c r="AM469" s="2994">
        <v>10.851599999999999</v>
      </c>
      <c r="AN469" s="2994">
        <v>12.0488</v>
      </c>
      <c r="AO469" s="2994">
        <v>13.1091</v>
      </c>
      <c r="AP469" s="2994">
        <v>12.6988</v>
      </c>
      <c r="AQ469" s="2994">
        <v>11.7173</v>
      </c>
      <c r="AR469" s="2994">
        <v>10.068199999999999</v>
      </c>
      <c r="AS469" s="2994">
        <v>10.202500000000001</v>
      </c>
      <c r="AT469" s="2994">
        <v>12.638199999999999</v>
      </c>
      <c r="AU469" s="2994">
        <v>10.6919</v>
      </c>
      <c r="AV469" s="2994">
        <v>12.5618</v>
      </c>
      <c r="AW469" s="2994">
        <v>11.709099999999999</v>
      </c>
      <c r="AX469" s="2994">
        <v>14.9003</v>
      </c>
      <c r="AY469" s="2994">
        <v>13.3164</v>
      </c>
      <c r="AZ469" s="2994">
        <v>13.079499999999999</v>
      </c>
      <c r="BA469" s="2994">
        <v>13.6936</v>
      </c>
      <c r="BB469" s="2994">
        <v>10.648899999999999</v>
      </c>
      <c r="BC469" s="2994">
        <v>12.096</v>
      </c>
      <c r="BD469" s="3471">
        <v>11.394600000000001</v>
      </c>
      <c r="BE469" s="3471">
        <v>11.833299999999999</v>
      </c>
      <c r="BF469" s="3471">
        <v>0</v>
      </c>
    </row>
    <row r="470" spans="1:58">
      <c r="A470" s="1817" t="str">
        <f t="shared" si="15"/>
        <v>Central AmericaStrawberries</v>
      </c>
      <c r="B470" s="1818" t="s">
        <v>305</v>
      </c>
      <c r="C470" s="1818" t="s">
        <v>1374</v>
      </c>
      <c r="D470" s="3463" t="str">
        <f>VLOOKUP(B470,List_Yield!$G$4:$J$14,4,FALSE)</f>
        <v>Central America</v>
      </c>
      <c r="E470" s="3463" t="str">
        <f t="shared" si="14"/>
        <v>Central AmericaStrawberries</v>
      </c>
      <c r="F470" s="2994">
        <v>4.7191999999999998</v>
      </c>
      <c r="G470" s="2994">
        <v>5.2331000000000003</v>
      </c>
      <c r="H470" s="2994">
        <v>5.2759999999999998</v>
      </c>
      <c r="I470" s="2994">
        <v>13.745699999999999</v>
      </c>
      <c r="J470" s="2994">
        <v>13.683199999999999</v>
      </c>
      <c r="K470" s="2994">
        <v>16.267099999999999</v>
      </c>
      <c r="L470" s="2994">
        <v>15.3963</v>
      </c>
      <c r="M470" s="2994">
        <v>16.481200000000001</v>
      </c>
      <c r="N470" s="2994">
        <v>15.8446</v>
      </c>
      <c r="O470" s="2994">
        <v>16.121700000000001</v>
      </c>
      <c r="P470" s="2994">
        <v>14.9848</v>
      </c>
      <c r="Q470" s="2994">
        <v>15.539099999999999</v>
      </c>
      <c r="R470" s="2994">
        <v>15.722799999999999</v>
      </c>
      <c r="S470" s="2994">
        <v>17.987100000000002</v>
      </c>
      <c r="T470" s="2994">
        <v>12.7636</v>
      </c>
      <c r="U470" s="2994">
        <v>16.602399999999999</v>
      </c>
      <c r="V470" s="2994">
        <v>18.476299999999998</v>
      </c>
      <c r="W470" s="2994">
        <v>15.9338</v>
      </c>
      <c r="X470" s="2994">
        <v>15.021800000000001</v>
      </c>
      <c r="Y470" s="2994">
        <v>12.737500000000001</v>
      </c>
      <c r="Z470" s="2994">
        <v>14.547000000000001</v>
      </c>
      <c r="AA470" s="2994">
        <v>14.369</v>
      </c>
      <c r="AB470" s="2994">
        <v>17.9284</v>
      </c>
      <c r="AC470" s="2994">
        <v>17.4832</v>
      </c>
      <c r="AD470" s="2994">
        <v>12.7349</v>
      </c>
      <c r="AE470" s="2994">
        <v>12.9617</v>
      </c>
      <c r="AF470" s="2994">
        <v>17.315000000000001</v>
      </c>
      <c r="AG470" s="2994">
        <v>12.981199999999999</v>
      </c>
      <c r="AH470" s="2994">
        <v>17.796099999999999</v>
      </c>
      <c r="AI470" s="2994">
        <v>20.368099999999998</v>
      </c>
      <c r="AJ470" s="2994">
        <v>11.5601</v>
      </c>
      <c r="AK470" s="2994">
        <v>13.467000000000001</v>
      </c>
      <c r="AL470" s="2994">
        <v>16.1876</v>
      </c>
      <c r="AM470" s="2994">
        <v>18.584099999999999</v>
      </c>
      <c r="AN470" s="2994">
        <v>18.123799999999999</v>
      </c>
      <c r="AO470" s="2994">
        <v>16.430299999999999</v>
      </c>
      <c r="AP470" s="2994">
        <v>15.979200000000001</v>
      </c>
      <c r="AQ470" s="2994">
        <v>17.989799999999999</v>
      </c>
      <c r="AR470" s="2994">
        <v>20.020700000000001</v>
      </c>
      <c r="AS470" s="2994">
        <v>21.603200000000001</v>
      </c>
      <c r="AT470" s="2994">
        <v>22.679600000000001</v>
      </c>
      <c r="AU470" s="2994">
        <v>24.029</v>
      </c>
      <c r="AV470" s="2994">
        <v>26.7547</v>
      </c>
      <c r="AW470" s="2994">
        <v>27.1313</v>
      </c>
      <c r="AX470" s="2994">
        <v>27.5809</v>
      </c>
      <c r="AY470" s="2994">
        <v>29.3931</v>
      </c>
      <c r="AZ470" s="2994">
        <v>27.792200000000001</v>
      </c>
      <c r="BA470" s="2994">
        <v>32.747799999999998</v>
      </c>
      <c r="BB470" s="2994">
        <v>33.9514</v>
      </c>
      <c r="BC470" s="2994">
        <v>34.906599999999997</v>
      </c>
      <c r="BD470" s="3471">
        <v>32.154899999999998</v>
      </c>
      <c r="BE470" s="3471">
        <v>40.564799999999998</v>
      </c>
      <c r="BF470" s="3471">
        <v>0</v>
      </c>
    </row>
    <row r="471" spans="1:58">
      <c r="A471" s="1817" t="str">
        <f t="shared" si="15"/>
        <v>Central AmericaString beans</v>
      </c>
      <c r="B471" s="1818" t="s">
        <v>305</v>
      </c>
      <c r="C471" s="1818" t="s">
        <v>7379</v>
      </c>
      <c r="D471" s="3463" t="str">
        <f>VLOOKUP(B471,List_Yield!$G$4:$J$14,4,FALSE)</f>
        <v>Central America</v>
      </c>
      <c r="E471" s="3463" t="str">
        <f t="shared" si="14"/>
        <v>Central AmericaString beans</v>
      </c>
      <c r="F471" s="2994">
        <v>0</v>
      </c>
      <c r="G471" s="2994">
        <v>0</v>
      </c>
      <c r="H471" s="2994">
        <v>0</v>
      </c>
      <c r="I471" s="2994">
        <v>0</v>
      </c>
      <c r="J471" s="2994">
        <v>0</v>
      </c>
      <c r="K471" s="2994">
        <v>0</v>
      </c>
      <c r="L471" s="2994">
        <v>0</v>
      </c>
      <c r="M471" s="2994">
        <v>0</v>
      </c>
      <c r="N471" s="2994">
        <v>0</v>
      </c>
      <c r="O471" s="2994">
        <v>0</v>
      </c>
      <c r="P471" s="2994">
        <v>0</v>
      </c>
      <c r="Q471" s="2994">
        <v>0</v>
      </c>
      <c r="R471" s="2994">
        <v>0</v>
      </c>
      <c r="S471" s="2994">
        <v>0</v>
      </c>
      <c r="T471" s="2994">
        <v>0</v>
      </c>
      <c r="U471" s="2994">
        <v>0</v>
      </c>
      <c r="V471" s="2994">
        <v>0</v>
      </c>
      <c r="W471" s="2994">
        <v>0</v>
      </c>
      <c r="X471" s="2994">
        <v>0</v>
      </c>
      <c r="Y471" s="2994">
        <v>5.4569000000000001</v>
      </c>
      <c r="Z471" s="2994">
        <v>4.8339999999999996</v>
      </c>
      <c r="AA471" s="2994">
        <v>5.8146000000000004</v>
      </c>
      <c r="AB471" s="2994">
        <v>5.3113000000000001</v>
      </c>
      <c r="AC471" s="2994">
        <v>5.7546999999999997</v>
      </c>
      <c r="AD471" s="2994">
        <v>6.2167000000000003</v>
      </c>
      <c r="AE471" s="2994">
        <v>5.4196</v>
      </c>
      <c r="AF471" s="2994">
        <v>5.8705999999999996</v>
      </c>
      <c r="AG471" s="2994">
        <v>4.7385999999999999</v>
      </c>
      <c r="AH471" s="2994">
        <v>5.2645999999999997</v>
      </c>
      <c r="AI471" s="2994">
        <v>5.6524000000000001</v>
      </c>
      <c r="AJ471" s="2994">
        <v>6.0582000000000003</v>
      </c>
      <c r="AK471" s="2994">
        <v>6.1090999999999998</v>
      </c>
      <c r="AL471" s="2994">
        <v>7.0242000000000004</v>
      </c>
      <c r="AM471" s="2994">
        <v>5.2838000000000003</v>
      </c>
      <c r="AN471" s="2994">
        <v>5.4241999999999999</v>
      </c>
      <c r="AO471" s="2994">
        <v>7.5712999999999999</v>
      </c>
      <c r="AP471" s="2994">
        <v>8.1552000000000007</v>
      </c>
      <c r="AQ471" s="2994">
        <v>6.6999000000000004</v>
      </c>
      <c r="AR471" s="2994">
        <v>9.4185999999999996</v>
      </c>
      <c r="AS471" s="2994">
        <v>8.6768000000000001</v>
      </c>
      <c r="AT471" s="2994">
        <v>9.6029</v>
      </c>
      <c r="AU471" s="2994">
        <v>9.5876000000000001</v>
      </c>
      <c r="AV471" s="2994">
        <v>9.5917999999999992</v>
      </c>
      <c r="AW471" s="2994">
        <v>9.5917999999999992</v>
      </c>
      <c r="AX471" s="2994">
        <v>9.4898000000000007</v>
      </c>
      <c r="AY471" s="2994">
        <v>9.5917999999999992</v>
      </c>
      <c r="AZ471" s="2994">
        <v>9.6039999999999992</v>
      </c>
      <c r="BA471" s="2994">
        <v>9.6153999999999993</v>
      </c>
      <c r="BB471" s="2994">
        <v>9.5574999999999992</v>
      </c>
      <c r="BC471" s="2994">
        <v>10.2621</v>
      </c>
      <c r="BD471" s="3471">
        <v>9.8858999999999995</v>
      </c>
      <c r="BE471" s="3471">
        <v>9.5832999999999995</v>
      </c>
      <c r="BF471" s="3471">
        <v>0</v>
      </c>
    </row>
    <row r="472" spans="1:58">
      <c r="A472" s="1817" t="str">
        <f t="shared" si="15"/>
        <v>Central AmericaSugar beet</v>
      </c>
      <c r="B472" s="1818" t="s">
        <v>305</v>
      </c>
      <c r="C472" s="1818" t="s">
        <v>1332</v>
      </c>
      <c r="D472" s="3463" t="str">
        <f>VLOOKUP(B472,List_Yield!$G$4:$J$14,4,FALSE)</f>
        <v>Central America</v>
      </c>
      <c r="E472" s="3463" t="str">
        <f t="shared" si="14"/>
        <v>Central AmericaSugar beet</v>
      </c>
      <c r="F472" s="2994">
        <v>0</v>
      </c>
      <c r="G472" s="2994">
        <v>0</v>
      </c>
      <c r="H472" s="2994">
        <v>0</v>
      </c>
      <c r="I472" s="2994">
        <v>0</v>
      </c>
      <c r="J472" s="2994">
        <v>0</v>
      </c>
      <c r="K472" s="2994">
        <v>0</v>
      </c>
      <c r="L472" s="2994">
        <v>0</v>
      </c>
      <c r="M472" s="2994">
        <v>0</v>
      </c>
      <c r="N472" s="2994">
        <v>0</v>
      </c>
      <c r="O472" s="2994">
        <v>0</v>
      </c>
      <c r="P472" s="2994">
        <v>0</v>
      </c>
      <c r="Q472" s="2994">
        <v>0</v>
      </c>
      <c r="R472" s="2994">
        <v>0</v>
      </c>
      <c r="S472" s="2994">
        <v>0</v>
      </c>
      <c r="T472" s="2994">
        <v>0</v>
      </c>
      <c r="U472" s="2994">
        <v>0</v>
      </c>
      <c r="V472" s="2994">
        <v>0</v>
      </c>
      <c r="W472" s="2994">
        <v>0</v>
      </c>
      <c r="X472" s="2994">
        <v>0</v>
      </c>
      <c r="Y472" s="2994">
        <v>0</v>
      </c>
      <c r="Z472" s="2994">
        <v>0</v>
      </c>
      <c r="AA472" s="2994">
        <v>0</v>
      </c>
      <c r="AB472" s="2994">
        <v>0</v>
      </c>
      <c r="AC472" s="2994">
        <v>0</v>
      </c>
      <c r="AD472" s="2994">
        <v>0</v>
      </c>
      <c r="AE472" s="2994">
        <v>0</v>
      </c>
      <c r="AF472" s="2994">
        <v>0</v>
      </c>
      <c r="AG472" s="2994">
        <v>0</v>
      </c>
      <c r="AH472" s="2994">
        <v>35</v>
      </c>
      <c r="AI472" s="2994">
        <v>40</v>
      </c>
      <c r="AJ472" s="2994">
        <v>19</v>
      </c>
      <c r="AK472" s="2994">
        <v>15.967700000000001</v>
      </c>
      <c r="AL472" s="2994">
        <v>0</v>
      </c>
      <c r="AM472" s="2994">
        <v>0</v>
      </c>
      <c r="AN472" s="2994">
        <v>0</v>
      </c>
      <c r="AO472" s="2994">
        <v>45.166699999999999</v>
      </c>
      <c r="AP472" s="2994">
        <v>0</v>
      </c>
      <c r="AQ472" s="2994">
        <v>0</v>
      </c>
      <c r="AR472" s="2994">
        <v>0</v>
      </c>
      <c r="AS472" s="2994">
        <v>0</v>
      </c>
      <c r="AT472" s="2994">
        <v>0</v>
      </c>
      <c r="AU472" s="2994">
        <v>0</v>
      </c>
      <c r="AV472" s="2994">
        <v>0</v>
      </c>
      <c r="AW472" s="2994">
        <v>0</v>
      </c>
      <c r="AX472" s="2994">
        <v>0</v>
      </c>
      <c r="AY472" s="2994">
        <v>0</v>
      </c>
      <c r="AZ472" s="2994">
        <v>0</v>
      </c>
      <c r="BA472" s="2994">
        <v>0</v>
      </c>
      <c r="BB472" s="2994">
        <v>0</v>
      </c>
      <c r="BC472" s="2994">
        <v>0</v>
      </c>
      <c r="BD472" s="3471">
        <v>25</v>
      </c>
      <c r="BE472" s="3471">
        <v>18</v>
      </c>
      <c r="BF472" s="3471">
        <v>18</v>
      </c>
    </row>
    <row r="473" spans="1:58">
      <c r="A473" s="1817" t="str">
        <f t="shared" si="15"/>
        <v>Central AmericaSugar cane</v>
      </c>
      <c r="B473" s="1818" t="s">
        <v>305</v>
      </c>
      <c r="C473" s="1818" t="s">
        <v>1375</v>
      </c>
      <c r="D473" s="3463" t="str">
        <f>VLOOKUP(B473,List_Yield!$G$4:$J$14,4,FALSE)</f>
        <v>Central America</v>
      </c>
      <c r="E473" s="3463" t="str">
        <f t="shared" si="14"/>
        <v>Central AmericaSugar cane</v>
      </c>
      <c r="F473" s="2994">
        <v>51.389299999999999</v>
      </c>
      <c r="G473" s="2994">
        <v>54.078800000000001</v>
      </c>
      <c r="H473" s="2994">
        <v>55.340899999999998</v>
      </c>
      <c r="I473" s="2994">
        <v>57.173699999999997</v>
      </c>
      <c r="J473" s="2994">
        <v>61.118299999999998</v>
      </c>
      <c r="K473" s="2994">
        <v>61.710299999999997</v>
      </c>
      <c r="L473" s="2994">
        <v>62.358499999999999</v>
      </c>
      <c r="M473" s="2994">
        <v>59.616300000000003</v>
      </c>
      <c r="N473" s="2994">
        <v>59.085599999999999</v>
      </c>
      <c r="O473" s="2994">
        <v>60.561900000000001</v>
      </c>
      <c r="P473" s="2994">
        <v>63.286900000000003</v>
      </c>
      <c r="Q473" s="2994">
        <v>64.002700000000004</v>
      </c>
      <c r="R473" s="2994">
        <v>62.644300000000001</v>
      </c>
      <c r="S473" s="2994">
        <v>65.313299999999998</v>
      </c>
      <c r="T473" s="2994">
        <v>66.930400000000006</v>
      </c>
      <c r="U473" s="2994">
        <v>62.954799999999999</v>
      </c>
      <c r="V473" s="2994">
        <v>65.772400000000005</v>
      </c>
      <c r="W473" s="2994">
        <v>65.566800000000001</v>
      </c>
      <c r="X473" s="2994">
        <v>62.862200000000001</v>
      </c>
      <c r="Y473" s="2994">
        <v>61.802100000000003</v>
      </c>
      <c r="Z473" s="2994">
        <v>60.607700000000001</v>
      </c>
      <c r="AA473" s="2994">
        <v>67.543800000000005</v>
      </c>
      <c r="AB473" s="2994">
        <v>67.815399999999997</v>
      </c>
      <c r="AC473" s="2994">
        <v>67.935599999999994</v>
      </c>
      <c r="AD473" s="2994">
        <v>69.725899999999996</v>
      </c>
      <c r="AE473" s="2994">
        <v>73.656999999999996</v>
      </c>
      <c r="AF473" s="2994">
        <v>71.783900000000003</v>
      </c>
      <c r="AG473" s="2994">
        <v>69.420900000000003</v>
      </c>
      <c r="AH473" s="2994">
        <v>71.217799999999997</v>
      </c>
      <c r="AI473" s="2994">
        <v>71.750900000000001</v>
      </c>
      <c r="AJ473" s="2994">
        <v>71.5642</v>
      </c>
      <c r="AK473" s="2994">
        <v>75.234399999999994</v>
      </c>
      <c r="AL473" s="2994">
        <v>76.191199999999995</v>
      </c>
      <c r="AM473" s="2994">
        <v>71.688000000000002</v>
      </c>
      <c r="AN473" s="2994">
        <v>80.035300000000007</v>
      </c>
      <c r="AO473" s="2994">
        <v>74.347300000000004</v>
      </c>
      <c r="AP473" s="2994">
        <v>79.361500000000007</v>
      </c>
      <c r="AQ473" s="2994">
        <v>79.771900000000002</v>
      </c>
      <c r="AR473" s="2994">
        <v>75.343500000000006</v>
      </c>
      <c r="AS473" s="2994">
        <v>74.635999999999996</v>
      </c>
      <c r="AT473" s="2994">
        <v>78.278599999999997</v>
      </c>
      <c r="AU473" s="2994">
        <v>74.602599999999995</v>
      </c>
      <c r="AV473" s="2994">
        <v>76.400999999999996</v>
      </c>
      <c r="AW473" s="2994">
        <v>77.606300000000005</v>
      </c>
      <c r="AX473" s="2994">
        <v>73.942499999999995</v>
      </c>
      <c r="AY473" s="2994">
        <v>74.935199999999995</v>
      </c>
      <c r="AZ473" s="2994">
        <v>80.371399999999994</v>
      </c>
      <c r="BA473" s="2994">
        <v>79.162199999999999</v>
      </c>
      <c r="BB473" s="2994">
        <v>78.473100000000002</v>
      </c>
      <c r="BC473" s="2994">
        <v>77.618700000000004</v>
      </c>
      <c r="BD473" s="3471">
        <v>73.943399999999997</v>
      </c>
      <c r="BE473" s="3471">
        <v>76.464799999999997</v>
      </c>
      <c r="BF473" s="3471">
        <v>82.925200000000004</v>
      </c>
    </row>
    <row r="474" spans="1:58">
      <c r="A474" s="1817" t="str">
        <f t="shared" si="15"/>
        <v>Central AmericaSugar crops, nes</v>
      </c>
      <c r="B474" s="1818" t="s">
        <v>305</v>
      </c>
      <c r="C474" s="1818" t="s">
        <v>7380</v>
      </c>
      <c r="D474" s="3463" t="str">
        <f>VLOOKUP(B474,List_Yield!$G$4:$J$14,4,FALSE)</f>
        <v>Central America</v>
      </c>
      <c r="E474" s="3463" t="str">
        <f t="shared" si="14"/>
        <v>Central AmericaSugar crops, nes</v>
      </c>
      <c r="F474" s="2994">
        <v>0</v>
      </c>
      <c r="G474" s="2994">
        <v>0</v>
      </c>
      <c r="H474" s="2994">
        <v>0</v>
      </c>
      <c r="I474" s="2994">
        <v>0</v>
      </c>
      <c r="J474" s="2994">
        <v>0</v>
      </c>
      <c r="K474" s="2994">
        <v>0</v>
      </c>
      <c r="L474" s="2994">
        <v>0</v>
      </c>
      <c r="M474" s="2994">
        <v>0</v>
      </c>
      <c r="N474" s="2994">
        <v>0</v>
      </c>
      <c r="O474" s="2994">
        <v>0</v>
      </c>
      <c r="P474" s="2994">
        <v>0</v>
      </c>
      <c r="Q474" s="2994">
        <v>0</v>
      </c>
      <c r="R474" s="2994">
        <v>0</v>
      </c>
      <c r="S474" s="2994">
        <v>0</v>
      </c>
      <c r="T474" s="2994">
        <v>0</v>
      </c>
      <c r="U474" s="2994">
        <v>0</v>
      </c>
      <c r="V474" s="2994">
        <v>0</v>
      </c>
      <c r="W474" s="2994">
        <v>0</v>
      </c>
      <c r="X474" s="2994">
        <v>0</v>
      </c>
      <c r="Y474" s="2994">
        <v>0</v>
      </c>
      <c r="Z474" s="2994">
        <v>0</v>
      </c>
      <c r="AA474" s="2994">
        <v>0</v>
      </c>
      <c r="AB474" s="2994">
        <v>0</v>
      </c>
      <c r="AC474" s="2994">
        <v>0</v>
      </c>
      <c r="AD474" s="2994">
        <v>0</v>
      </c>
      <c r="AE474" s="2994">
        <v>0</v>
      </c>
      <c r="AF474" s="2994">
        <v>0</v>
      </c>
      <c r="AG474" s="2994">
        <v>0</v>
      </c>
      <c r="AH474" s="2994">
        <v>0</v>
      </c>
      <c r="AI474" s="2994">
        <v>0</v>
      </c>
      <c r="AJ474" s="2994">
        <v>0</v>
      </c>
      <c r="AK474" s="2994">
        <v>0</v>
      </c>
      <c r="AL474" s="2994">
        <v>0</v>
      </c>
      <c r="AM474" s="2994">
        <v>0</v>
      </c>
      <c r="AN474" s="2994">
        <v>0</v>
      </c>
      <c r="AO474" s="2994">
        <v>0</v>
      </c>
      <c r="AP474" s="2994">
        <v>0</v>
      </c>
      <c r="AQ474" s="2994">
        <v>0</v>
      </c>
      <c r="AR474" s="2994">
        <v>0</v>
      </c>
      <c r="AS474" s="2994">
        <v>0</v>
      </c>
      <c r="AT474" s="2994">
        <v>0</v>
      </c>
      <c r="AU474" s="2994">
        <v>0</v>
      </c>
      <c r="AV474" s="2994">
        <v>0</v>
      </c>
      <c r="AW474" s="2994">
        <v>0</v>
      </c>
      <c r="AX474" s="2994">
        <v>0</v>
      </c>
      <c r="AY474" s="2994">
        <v>0</v>
      </c>
      <c r="AZ474" s="2994">
        <v>0</v>
      </c>
      <c r="BA474" s="2994">
        <v>0</v>
      </c>
      <c r="BB474" s="2994">
        <v>0</v>
      </c>
      <c r="BC474" s="2994">
        <v>0</v>
      </c>
      <c r="BD474" s="3471">
        <v>0</v>
      </c>
      <c r="BE474" s="3471">
        <v>0</v>
      </c>
      <c r="BF474" s="3471">
        <v>0</v>
      </c>
    </row>
    <row r="475" spans="1:58">
      <c r="A475" s="1817" t="str">
        <f t="shared" si="15"/>
        <v>Central AmericaSunflower seed</v>
      </c>
      <c r="B475" s="1818" t="s">
        <v>305</v>
      </c>
      <c r="C475" s="1818" t="s">
        <v>1376</v>
      </c>
      <c r="D475" s="3463" t="str">
        <f>VLOOKUP(B475,List_Yield!$G$4:$J$14,4,FALSE)</f>
        <v>Central America</v>
      </c>
      <c r="E475" s="3463" t="str">
        <f t="shared" si="14"/>
        <v>Central AmericaSunflower seed</v>
      </c>
      <c r="F475" s="2994">
        <v>0</v>
      </c>
      <c r="G475" s="2994">
        <v>0</v>
      </c>
      <c r="H475" s="2994">
        <v>0</v>
      </c>
      <c r="I475" s="2994">
        <v>0</v>
      </c>
      <c r="J475" s="2994">
        <v>0</v>
      </c>
      <c r="K475" s="2994">
        <v>0</v>
      </c>
      <c r="L475" s="2994">
        <v>0</v>
      </c>
      <c r="M475" s="2994">
        <v>0</v>
      </c>
      <c r="N475" s="2994">
        <v>0</v>
      </c>
      <c r="O475" s="2994">
        <v>0</v>
      </c>
      <c r="P475" s="2994">
        <v>0.52849999999999997</v>
      </c>
      <c r="Q475" s="2994">
        <v>0.92330000000000001</v>
      </c>
      <c r="R475" s="2994">
        <v>0.81850000000000001</v>
      </c>
      <c r="S475" s="2994">
        <v>1.3021</v>
      </c>
      <c r="T475" s="2994">
        <v>1.3158000000000001</v>
      </c>
      <c r="U475" s="2994">
        <v>0.74890000000000001</v>
      </c>
      <c r="V475" s="2994">
        <v>0.66359999999999997</v>
      </c>
      <c r="W475" s="2994">
        <v>0.61899999999999999</v>
      </c>
      <c r="X475" s="2994">
        <v>1.0009999999999999</v>
      </c>
      <c r="Y475" s="2994">
        <v>1.0287999999999999</v>
      </c>
      <c r="Z475" s="2994">
        <v>1.8019000000000001</v>
      </c>
      <c r="AA475" s="2994">
        <v>0.622</v>
      </c>
      <c r="AB475" s="2994">
        <v>0.71319999999999995</v>
      </c>
      <c r="AC475" s="2994">
        <v>0.64419999999999999</v>
      </c>
      <c r="AD475" s="2994">
        <v>1.3101</v>
      </c>
      <c r="AE475" s="2994">
        <v>0.55940000000000001</v>
      </c>
      <c r="AF475" s="2994">
        <v>0.83830000000000005</v>
      </c>
      <c r="AG475" s="2994">
        <v>0.72419999999999995</v>
      </c>
      <c r="AH475" s="2994">
        <v>0.49109999999999998</v>
      </c>
      <c r="AI475" s="2994">
        <v>0.12909999999999999</v>
      </c>
      <c r="AJ475" s="2994">
        <v>0.82689999999999997</v>
      </c>
      <c r="AK475" s="2994">
        <v>0.76190000000000002</v>
      </c>
      <c r="AL475" s="2994">
        <v>0.83260000000000001</v>
      </c>
      <c r="AM475" s="2994">
        <v>1.7624</v>
      </c>
      <c r="AN475" s="2994">
        <v>1.7736000000000001</v>
      </c>
      <c r="AO475" s="2994">
        <v>0.89829999999999999</v>
      </c>
      <c r="AP475" s="2994">
        <v>1.0165</v>
      </c>
      <c r="AQ475" s="2994">
        <v>0.76019999999999999</v>
      </c>
      <c r="AR475" s="2994">
        <v>1.1543000000000001</v>
      </c>
      <c r="AS475" s="2994">
        <v>0.7</v>
      </c>
      <c r="AT475" s="2994">
        <v>3.6377999999999999</v>
      </c>
      <c r="AU475" s="2994">
        <v>1.1786000000000001</v>
      </c>
      <c r="AV475" s="2994">
        <v>1.25</v>
      </c>
      <c r="AW475" s="2994">
        <v>2.5777999999999999</v>
      </c>
      <c r="AX475" s="2994">
        <v>1.4091</v>
      </c>
      <c r="AY475" s="2994">
        <v>1.0170999999999999</v>
      </c>
      <c r="AZ475" s="2994">
        <v>2.3332999999999999</v>
      </c>
      <c r="BA475" s="2994">
        <v>1.25</v>
      </c>
      <c r="BB475" s="2994">
        <v>1.5369999999999999</v>
      </c>
      <c r="BC475" s="2994">
        <v>2.0217999999999998</v>
      </c>
      <c r="BD475" s="3471">
        <v>1.5276000000000001</v>
      </c>
      <c r="BE475" s="3471">
        <v>1.0219</v>
      </c>
      <c r="BF475" s="3471">
        <v>1.2593000000000001</v>
      </c>
    </row>
    <row r="476" spans="1:58">
      <c r="A476" s="1817" t="str">
        <f t="shared" si="15"/>
        <v>Central AmericaSweet potatoes</v>
      </c>
      <c r="B476" s="1818" t="s">
        <v>305</v>
      </c>
      <c r="C476" s="1818" t="s">
        <v>1377</v>
      </c>
      <c r="D476" s="3463" t="str">
        <f>VLOOKUP(B476,List_Yield!$G$4:$J$14,4,FALSE)</f>
        <v>Central America</v>
      </c>
      <c r="E476" s="3463" t="str">
        <f t="shared" si="14"/>
        <v>Central AmericaSweet potatoes</v>
      </c>
      <c r="F476" s="2994">
        <v>6.0217999999999998</v>
      </c>
      <c r="G476" s="2994">
        <v>6.8837000000000002</v>
      </c>
      <c r="H476" s="2994">
        <v>6.9207000000000001</v>
      </c>
      <c r="I476" s="2994">
        <v>6.7698</v>
      </c>
      <c r="J476" s="2994">
        <v>8.0435999999999996</v>
      </c>
      <c r="K476" s="2994">
        <v>8.8362999999999996</v>
      </c>
      <c r="L476" s="2994">
        <v>8.9671000000000003</v>
      </c>
      <c r="M476" s="2994">
        <v>8.5363000000000007</v>
      </c>
      <c r="N476" s="2994">
        <v>9.2049000000000003</v>
      </c>
      <c r="O476" s="2994">
        <v>9.4269999999999996</v>
      </c>
      <c r="P476" s="2994">
        <v>10.517799999999999</v>
      </c>
      <c r="Q476" s="2994">
        <v>11.113300000000001</v>
      </c>
      <c r="R476" s="2994">
        <v>10.1525</v>
      </c>
      <c r="S476" s="2994">
        <v>10.001899999999999</v>
      </c>
      <c r="T476" s="2994">
        <v>10.402699999999999</v>
      </c>
      <c r="U476" s="2994">
        <v>10.9381</v>
      </c>
      <c r="V476" s="2994">
        <v>9.8341999999999992</v>
      </c>
      <c r="W476" s="2994">
        <v>9.7485999999999997</v>
      </c>
      <c r="X476" s="2994">
        <v>12.6426</v>
      </c>
      <c r="Y476" s="2994">
        <v>10.4373</v>
      </c>
      <c r="Z476" s="2994">
        <v>13.802899999999999</v>
      </c>
      <c r="AA476" s="2994">
        <v>13.495799999999999</v>
      </c>
      <c r="AB476" s="2994">
        <v>14.225300000000001</v>
      </c>
      <c r="AC476" s="2994">
        <v>13.825100000000001</v>
      </c>
      <c r="AD476" s="2994">
        <v>17.2423</v>
      </c>
      <c r="AE476" s="2994">
        <v>11.9056</v>
      </c>
      <c r="AF476" s="2994">
        <v>16.6663</v>
      </c>
      <c r="AG476" s="2994">
        <v>15.3368</v>
      </c>
      <c r="AH476" s="2994">
        <v>11.9933</v>
      </c>
      <c r="AI476" s="2994">
        <v>15.669600000000001</v>
      </c>
      <c r="AJ476" s="2994">
        <v>15.985900000000001</v>
      </c>
      <c r="AK476" s="2994">
        <v>18.718900000000001</v>
      </c>
      <c r="AL476" s="2994">
        <v>16.947700000000001</v>
      </c>
      <c r="AM476" s="2994">
        <v>17.594200000000001</v>
      </c>
      <c r="AN476" s="2994">
        <v>15.8057</v>
      </c>
      <c r="AO476" s="2994">
        <v>16.714400000000001</v>
      </c>
      <c r="AP476" s="2994">
        <v>19.485700000000001</v>
      </c>
      <c r="AQ476" s="2994">
        <v>17.114100000000001</v>
      </c>
      <c r="AR476" s="2994">
        <v>17.848299999999998</v>
      </c>
      <c r="AS476" s="2994">
        <v>17.342700000000001</v>
      </c>
      <c r="AT476" s="2994">
        <v>18.562799999999999</v>
      </c>
      <c r="AU476" s="2994">
        <v>17.142099999999999</v>
      </c>
      <c r="AV476" s="2994">
        <v>21.405000000000001</v>
      </c>
      <c r="AW476" s="2994">
        <v>19.381699999999999</v>
      </c>
      <c r="AX476" s="2994">
        <v>18.206900000000001</v>
      </c>
      <c r="AY476" s="2994">
        <v>16.363099999999999</v>
      </c>
      <c r="AZ476" s="2994">
        <v>15.645</v>
      </c>
      <c r="BA476" s="2994">
        <v>15.4444</v>
      </c>
      <c r="BB476" s="2994">
        <v>14.4315</v>
      </c>
      <c r="BC476" s="2994">
        <v>15.162800000000001</v>
      </c>
      <c r="BD476" s="3471">
        <v>15.1471</v>
      </c>
      <c r="BE476" s="3471">
        <v>12.8729</v>
      </c>
      <c r="BF476" s="3471">
        <v>13.734</v>
      </c>
    </row>
    <row r="477" spans="1:58">
      <c r="A477" s="1817" t="str">
        <f t="shared" si="15"/>
        <v>Central AmericaTallowtree seed</v>
      </c>
      <c r="B477" s="1818" t="s">
        <v>305</v>
      </c>
      <c r="C477" s="1818" t="s">
        <v>7381</v>
      </c>
      <c r="D477" s="3463" t="str">
        <f>VLOOKUP(B477,List_Yield!$G$4:$J$14,4,FALSE)</f>
        <v>Central America</v>
      </c>
      <c r="E477" s="3463" t="str">
        <f t="shared" si="14"/>
        <v>Central AmericaTallowtree seed</v>
      </c>
      <c r="F477" s="2994">
        <v>0</v>
      </c>
      <c r="G477" s="2994">
        <v>0</v>
      </c>
      <c r="H477" s="2994">
        <v>0</v>
      </c>
      <c r="I477" s="2994">
        <v>0</v>
      </c>
      <c r="J477" s="2994">
        <v>0</v>
      </c>
      <c r="K477" s="2994">
        <v>0</v>
      </c>
      <c r="L477" s="2994">
        <v>0</v>
      </c>
      <c r="M477" s="2994">
        <v>0</v>
      </c>
      <c r="N477" s="2994">
        <v>0</v>
      </c>
      <c r="O477" s="2994">
        <v>0</v>
      </c>
      <c r="P477" s="2994">
        <v>0</v>
      </c>
      <c r="Q477" s="2994">
        <v>0</v>
      </c>
      <c r="R477" s="2994">
        <v>0</v>
      </c>
      <c r="S477" s="2994">
        <v>0</v>
      </c>
      <c r="T477" s="2994">
        <v>0</v>
      </c>
      <c r="U477" s="2994">
        <v>0</v>
      </c>
      <c r="V477" s="2994">
        <v>0</v>
      </c>
      <c r="W477" s="2994">
        <v>0</v>
      </c>
      <c r="X477" s="2994">
        <v>0</v>
      </c>
      <c r="Y477" s="2994">
        <v>0</v>
      </c>
      <c r="Z477" s="2994">
        <v>0</v>
      </c>
      <c r="AA477" s="2994">
        <v>0</v>
      </c>
      <c r="AB477" s="2994">
        <v>0</v>
      </c>
      <c r="AC477" s="2994">
        <v>0</v>
      </c>
      <c r="AD477" s="2994">
        <v>0</v>
      </c>
      <c r="AE477" s="2994">
        <v>0</v>
      </c>
      <c r="AF477" s="2994">
        <v>0</v>
      </c>
      <c r="AG477" s="2994">
        <v>0</v>
      </c>
      <c r="AH477" s="2994">
        <v>0</v>
      </c>
      <c r="AI477" s="2994">
        <v>0</v>
      </c>
      <c r="AJ477" s="2994">
        <v>0</v>
      </c>
      <c r="AK477" s="2994">
        <v>0</v>
      </c>
      <c r="AL477" s="2994">
        <v>0</v>
      </c>
      <c r="AM477" s="2994">
        <v>0</v>
      </c>
      <c r="AN477" s="2994">
        <v>0</v>
      </c>
      <c r="AO477" s="2994">
        <v>0</v>
      </c>
      <c r="AP477" s="2994">
        <v>0</v>
      </c>
      <c r="AQ477" s="2994">
        <v>0</v>
      </c>
      <c r="AR477" s="2994">
        <v>0</v>
      </c>
      <c r="AS477" s="2994">
        <v>0</v>
      </c>
      <c r="AT477" s="2994">
        <v>0</v>
      </c>
      <c r="AU477" s="2994">
        <v>0</v>
      </c>
      <c r="AV477" s="2994">
        <v>0</v>
      </c>
      <c r="AW477" s="2994">
        <v>0</v>
      </c>
      <c r="AX477" s="2994">
        <v>0</v>
      </c>
      <c r="AY477" s="2994">
        <v>0</v>
      </c>
      <c r="AZ477" s="2994">
        <v>0</v>
      </c>
      <c r="BA477" s="2994">
        <v>0</v>
      </c>
      <c r="BB477" s="2994">
        <v>0</v>
      </c>
      <c r="BC477" s="2994">
        <v>0</v>
      </c>
      <c r="BD477" s="3471">
        <v>0</v>
      </c>
      <c r="BE477" s="3471">
        <v>0</v>
      </c>
      <c r="BF477" s="3471">
        <v>0</v>
      </c>
    </row>
    <row r="478" spans="1:58">
      <c r="A478" s="1817" t="str">
        <f t="shared" si="15"/>
        <v>Central AmericaTangerines, mandarins, clementines, satsumas</v>
      </c>
      <c r="B478" s="1818" t="s">
        <v>305</v>
      </c>
      <c r="C478" s="1818" t="s">
        <v>7382</v>
      </c>
      <c r="D478" s="3463" t="str">
        <f>VLOOKUP(B478,List_Yield!$G$4:$J$14,4,FALSE)</f>
        <v>Central America</v>
      </c>
      <c r="E478" s="3463" t="str">
        <f t="shared" si="14"/>
        <v>Central AmericaTangerines, mandarins, clementines, satsumas</v>
      </c>
      <c r="F478" s="2994">
        <v>8.9</v>
      </c>
      <c r="G478" s="2994">
        <v>8.9</v>
      </c>
      <c r="H478" s="2994">
        <v>8.9705999999999992</v>
      </c>
      <c r="I478" s="2994">
        <v>9.0277999999999992</v>
      </c>
      <c r="J478" s="2994">
        <v>9.0841999999999992</v>
      </c>
      <c r="K478" s="2994">
        <v>9.1300000000000008</v>
      </c>
      <c r="L478" s="2994">
        <v>9.2135999999999996</v>
      </c>
      <c r="M478" s="2994">
        <v>9.2135999999999996</v>
      </c>
      <c r="N478" s="2994">
        <v>9.6727000000000007</v>
      </c>
      <c r="O478" s="2994">
        <v>9.6727000000000007</v>
      </c>
      <c r="P478" s="2994">
        <v>9.5863999999999994</v>
      </c>
      <c r="Q478" s="2994">
        <v>9.6056000000000008</v>
      </c>
      <c r="R478" s="2994">
        <v>9.5908999999999995</v>
      </c>
      <c r="S478" s="2994">
        <v>9.5230999999999995</v>
      </c>
      <c r="T478" s="2994">
        <v>9.8150999999999993</v>
      </c>
      <c r="U478" s="2994">
        <v>10.163</v>
      </c>
      <c r="V478" s="2994">
        <v>11.041499999999999</v>
      </c>
      <c r="W478" s="2994">
        <v>9.3454999999999995</v>
      </c>
      <c r="X478" s="2994">
        <v>13.043699999999999</v>
      </c>
      <c r="Y478" s="2994">
        <v>11.938499999999999</v>
      </c>
      <c r="Z478" s="2994">
        <v>7.1444999999999999</v>
      </c>
      <c r="AA478" s="2994">
        <v>12.5076</v>
      </c>
      <c r="AB478" s="2994">
        <v>10.4998</v>
      </c>
      <c r="AC478" s="2994">
        <v>10.0771</v>
      </c>
      <c r="AD478" s="2994">
        <v>8.2140000000000004</v>
      </c>
      <c r="AE478" s="2994">
        <v>7.9645999999999999</v>
      </c>
      <c r="AF478" s="2994">
        <v>9.0330999999999992</v>
      </c>
      <c r="AG478" s="2994">
        <v>9.8468999999999998</v>
      </c>
      <c r="AH478" s="2994">
        <v>11.973800000000001</v>
      </c>
      <c r="AI478" s="2994">
        <v>12.603400000000001</v>
      </c>
      <c r="AJ478" s="2994">
        <v>13.2958</v>
      </c>
      <c r="AK478" s="2994">
        <v>10.1143</v>
      </c>
      <c r="AL478" s="2994">
        <v>11.4832</v>
      </c>
      <c r="AM478" s="2994">
        <v>11.465199999999999</v>
      </c>
      <c r="AN478" s="2994">
        <v>14.3772</v>
      </c>
      <c r="AO478" s="2994">
        <v>18.472799999999999</v>
      </c>
      <c r="AP478" s="2994">
        <v>14.5152</v>
      </c>
      <c r="AQ478" s="2994">
        <v>12.1187</v>
      </c>
      <c r="AR478" s="2994">
        <v>11.422800000000001</v>
      </c>
      <c r="AS478" s="2994">
        <v>12.196300000000001</v>
      </c>
      <c r="AT478" s="2994">
        <v>13.4156</v>
      </c>
      <c r="AU478" s="2994">
        <v>11.202500000000001</v>
      </c>
      <c r="AV478" s="2994">
        <v>12.8994</v>
      </c>
      <c r="AW478" s="2994">
        <v>14.183</v>
      </c>
      <c r="AX478" s="2994">
        <v>13.821899999999999</v>
      </c>
      <c r="AY478" s="2994">
        <v>12.1875</v>
      </c>
      <c r="AZ478" s="2994">
        <v>14.348100000000001</v>
      </c>
      <c r="BA478" s="2994">
        <v>12.0502</v>
      </c>
      <c r="BB478" s="2994">
        <v>12.7424</v>
      </c>
      <c r="BC478" s="2994">
        <v>11.7332</v>
      </c>
      <c r="BD478" s="3471">
        <v>13.0114</v>
      </c>
      <c r="BE478" s="3471">
        <v>13.5764</v>
      </c>
      <c r="BF478" s="3471">
        <v>0</v>
      </c>
    </row>
    <row r="479" spans="1:58">
      <c r="A479" s="1817" t="str">
        <f t="shared" si="15"/>
        <v>Central AmericaTaro (cocoyam)</v>
      </c>
      <c r="B479" s="1818" t="s">
        <v>305</v>
      </c>
      <c r="C479" s="1818" t="s">
        <v>7383</v>
      </c>
      <c r="D479" s="3463" t="str">
        <f>VLOOKUP(B479,List_Yield!$G$4:$J$14,4,FALSE)</f>
        <v>Central America</v>
      </c>
      <c r="E479" s="3463" t="str">
        <f t="shared" si="14"/>
        <v>Central AmericaTaro (cocoyam)</v>
      </c>
      <c r="F479" s="2994">
        <v>0</v>
      </c>
      <c r="G479" s="2994">
        <v>0</v>
      </c>
      <c r="H479" s="2994">
        <v>0</v>
      </c>
      <c r="I479" s="2994">
        <v>0</v>
      </c>
      <c r="J479" s="2994">
        <v>0</v>
      </c>
      <c r="K479" s="2994">
        <v>0</v>
      </c>
      <c r="L479" s="2994">
        <v>0</v>
      </c>
      <c r="M479" s="2994">
        <v>0</v>
      </c>
      <c r="N479" s="2994">
        <v>0</v>
      </c>
      <c r="O479" s="2994">
        <v>0</v>
      </c>
      <c r="P479" s="2994">
        <v>0</v>
      </c>
      <c r="Q479" s="2994">
        <v>0</v>
      </c>
      <c r="R479" s="2994">
        <v>0</v>
      </c>
      <c r="S479" s="2994">
        <v>0</v>
      </c>
      <c r="T479" s="2994">
        <v>0</v>
      </c>
      <c r="U479" s="2994">
        <v>0</v>
      </c>
      <c r="V479" s="2994">
        <v>0</v>
      </c>
      <c r="W479" s="2994">
        <v>0</v>
      </c>
      <c r="X479" s="2994">
        <v>0</v>
      </c>
      <c r="Y479" s="2994">
        <v>0</v>
      </c>
      <c r="Z479" s="2994">
        <v>0</v>
      </c>
      <c r="AA479" s="2994">
        <v>0</v>
      </c>
      <c r="AB479" s="2994">
        <v>0</v>
      </c>
      <c r="AC479" s="2994">
        <v>0</v>
      </c>
      <c r="AD479" s="2994">
        <v>0</v>
      </c>
      <c r="AE479" s="2994">
        <v>0</v>
      </c>
      <c r="AF479" s="2994">
        <v>0</v>
      </c>
      <c r="AG479" s="2994">
        <v>0</v>
      </c>
      <c r="AH479" s="2994">
        <v>0</v>
      </c>
      <c r="AI479" s="2994">
        <v>0</v>
      </c>
      <c r="AJ479" s="2994">
        <v>0</v>
      </c>
      <c r="AK479" s="2994">
        <v>0</v>
      </c>
      <c r="AL479" s="2994">
        <v>0</v>
      </c>
      <c r="AM479" s="2994">
        <v>0</v>
      </c>
      <c r="AN479" s="2994">
        <v>0</v>
      </c>
      <c r="AO479" s="2994">
        <v>0</v>
      </c>
      <c r="AP479" s="2994">
        <v>0</v>
      </c>
      <c r="AQ479" s="2994">
        <v>0</v>
      </c>
      <c r="AR479" s="2994">
        <v>0</v>
      </c>
      <c r="AS479" s="2994">
        <v>0</v>
      </c>
      <c r="AT479" s="2994">
        <v>0</v>
      </c>
      <c r="AU479" s="2994">
        <v>0</v>
      </c>
      <c r="AV479" s="2994">
        <v>0</v>
      </c>
      <c r="AW479" s="2994">
        <v>0</v>
      </c>
      <c r="AX479" s="2994">
        <v>0</v>
      </c>
      <c r="AY479" s="2994">
        <v>0</v>
      </c>
      <c r="AZ479" s="2994">
        <v>0</v>
      </c>
      <c r="BA479" s="2994">
        <v>0</v>
      </c>
      <c r="BB479" s="2994">
        <v>0</v>
      </c>
      <c r="BC479" s="2994">
        <v>0</v>
      </c>
      <c r="BD479" s="3471">
        <v>0</v>
      </c>
      <c r="BE479" s="3471">
        <v>0</v>
      </c>
      <c r="BF479" s="3471">
        <v>0</v>
      </c>
    </row>
    <row r="480" spans="1:58">
      <c r="A480" s="1817" t="str">
        <f t="shared" si="15"/>
        <v>Central AmericaTea</v>
      </c>
      <c r="B480" s="1818" t="s">
        <v>305</v>
      </c>
      <c r="C480" s="1818" t="s">
        <v>1379</v>
      </c>
      <c r="D480" s="3463" t="str">
        <f>VLOOKUP(B480,List_Yield!$G$4:$J$14,4,FALSE)</f>
        <v>Central America</v>
      </c>
      <c r="E480" s="3463" t="str">
        <f t="shared" si="14"/>
        <v>Central AmericaTea</v>
      </c>
      <c r="F480" s="2994">
        <v>0</v>
      </c>
      <c r="G480" s="2994">
        <v>0</v>
      </c>
      <c r="H480" s="2994">
        <v>0</v>
      </c>
      <c r="I480" s="2994">
        <v>0</v>
      </c>
      <c r="J480" s="2994">
        <v>0</v>
      </c>
      <c r="K480" s="2994">
        <v>0</v>
      </c>
      <c r="L480" s="2994">
        <v>0</v>
      </c>
      <c r="M480" s="2994">
        <v>0</v>
      </c>
      <c r="N480" s="2994">
        <v>0</v>
      </c>
      <c r="O480" s="2994">
        <v>0</v>
      </c>
      <c r="P480" s="2994">
        <v>0</v>
      </c>
      <c r="Q480" s="2994">
        <v>0</v>
      </c>
      <c r="R480" s="2994">
        <v>0</v>
      </c>
      <c r="S480" s="2994">
        <v>0</v>
      </c>
      <c r="T480" s="2994">
        <v>0</v>
      </c>
      <c r="U480" s="2994">
        <v>0</v>
      </c>
      <c r="V480" s="2994">
        <v>0</v>
      </c>
      <c r="W480" s="2994">
        <v>0</v>
      </c>
      <c r="X480" s="2994">
        <v>0</v>
      </c>
      <c r="Y480" s="2994">
        <v>0</v>
      </c>
      <c r="Z480" s="2994">
        <v>0</v>
      </c>
      <c r="AA480" s="2994">
        <v>0</v>
      </c>
      <c r="AB480" s="2994">
        <v>0</v>
      </c>
      <c r="AC480" s="2994">
        <v>0</v>
      </c>
      <c r="AD480" s="2994">
        <v>0.82669999999999999</v>
      </c>
      <c r="AE480" s="2994">
        <v>0.87119999999999997</v>
      </c>
      <c r="AF480" s="2994">
        <v>0.86</v>
      </c>
      <c r="AG480" s="2994">
        <v>0.90149999999999997</v>
      </c>
      <c r="AH480" s="2994">
        <v>0.8952</v>
      </c>
      <c r="AI480" s="2994">
        <v>0.91349999999999998</v>
      </c>
      <c r="AJ480" s="2994">
        <v>0.93100000000000005</v>
      </c>
      <c r="AK480" s="2994">
        <v>0.94850000000000001</v>
      </c>
      <c r="AL480" s="2994">
        <v>0.95489999999999997</v>
      </c>
      <c r="AM480" s="2994">
        <v>1.0199</v>
      </c>
      <c r="AN480" s="2994">
        <v>1.0253000000000001</v>
      </c>
      <c r="AO480" s="2994">
        <v>1.1377999999999999</v>
      </c>
      <c r="AP480" s="2994">
        <v>1.2002999999999999</v>
      </c>
      <c r="AQ480" s="2994">
        <v>1.2258</v>
      </c>
      <c r="AR480" s="2994">
        <v>1.0819000000000001</v>
      </c>
      <c r="AS480" s="2994">
        <v>1.1346000000000001</v>
      </c>
      <c r="AT480" s="2994">
        <v>1.2098</v>
      </c>
      <c r="AU480" s="2994">
        <v>1.0701000000000001</v>
      </c>
      <c r="AV480" s="2994">
        <v>1.2239</v>
      </c>
      <c r="AW480" s="2994">
        <v>1.1842999999999999</v>
      </c>
      <c r="AX480" s="2994">
        <v>1.1402000000000001</v>
      </c>
      <c r="AY480" s="2994">
        <v>1.111</v>
      </c>
      <c r="AZ480" s="2994">
        <v>1.2161999999999999</v>
      </c>
      <c r="BA480" s="2994">
        <v>1.5928</v>
      </c>
      <c r="BB480" s="2994">
        <v>1.2116</v>
      </c>
      <c r="BC480" s="2994">
        <v>1.1891</v>
      </c>
      <c r="BD480" s="3471">
        <v>1.1923999999999999</v>
      </c>
      <c r="BE480" s="3471">
        <v>1.2063999999999999</v>
      </c>
      <c r="BF480" s="3471">
        <v>0</v>
      </c>
    </row>
    <row r="481" spans="1:58">
      <c r="A481" s="1817" t="str">
        <f t="shared" si="15"/>
        <v>Central AmericaTobacco, unmanufactured</v>
      </c>
      <c r="B481" s="1818" t="s">
        <v>305</v>
      </c>
      <c r="C481" s="1818" t="s">
        <v>1321</v>
      </c>
      <c r="D481" s="3463" t="str">
        <f>VLOOKUP(B481,List_Yield!$G$4:$J$14,4,FALSE)</f>
        <v>Central America</v>
      </c>
      <c r="E481" s="3463" t="str">
        <f t="shared" si="14"/>
        <v>Central AmericaTobacco, unmanufactured</v>
      </c>
      <c r="F481" s="2994">
        <v>1.2256</v>
      </c>
      <c r="G481" s="2994">
        <v>1.2502</v>
      </c>
      <c r="H481" s="2994">
        <v>1.2463</v>
      </c>
      <c r="I481" s="2994">
        <v>1.2422</v>
      </c>
      <c r="J481" s="2994">
        <v>1.3218000000000001</v>
      </c>
      <c r="K481" s="2994">
        <v>1.3112999999999999</v>
      </c>
      <c r="L481" s="2994">
        <v>1.3170999999999999</v>
      </c>
      <c r="M481" s="2994">
        <v>1.319</v>
      </c>
      <c r="N481" s="2994">
        <v>1.5583</v>
      </c>
      <c r="O481" s="2994">
        <v>1.5172000000000001</v>
      </c>
      <c r="P481" s="2994">
        <v>1.4948999999999999</v>
      </c>
      <c r="Q481" s="2994">
        <v>1.5215000000000001</v>
      </c>
      <c r="R481" s="2994">
        <v>1.5417000000000001</v>
      </c>
      <c r="S481" s="2994">
        <v>1.6348</v>
      </c>
      <c r="T481" s="2994">
        <v>1.6361000000000001</v>
      </c>
      <c r="U481" s="2994">
        <v>1.6167</v>
      </c>
      <c r="V481" s="2994">
        <v>1.3917999999999999</v>
      </c>
      <c r="W481" s="2994">
        <v>1.5326</v>
      </c>
      <c r="X481" s="2994">
        <v>1.4977</v>
      </c>
      <c r="Y481" s="2994">
        <v>1.8996999999999999</v>
      </c>
      <c r="Z481" s="2994">
        <v>1.4236</v>
      </c>
      <c r="AA481" s="2994">
        <v>1.5309999999999999</v>
      </c>
      <c r="AB481" s="2994">
        <v>1.3756999999999999</v>
      </c>
      <c r="AC481" s="2994">
        <v>1.3471</v>
      </c>
      <c r="AD481" s="2994">
        <v>1.3576999999999999</v>
      </c>
      <c r="AE481" s="2994">
        <v>1.3893</v>
      </c>
      <c r="AF481" s="2994">
        <v>1.4407000000000001</v>
      </c>
      <c r="AG481" s="2994">
        <v>1.5646</v>
      </c>
      <c r="AH481" s="2994">
        <v>1.6255999999999999</v>
      </c>
      <c r="AI481" s="2994">
        <v>1.3245</v>
      </c>
      <c r="AJ481" s="2994">
        <v>1.4750000000000001</v>
      </c>
      <c r="AK481" s="2994">
        <v>1.4852000000000001</v>
      </c>
      <c r="AL481" s="2994">
        <v>1.8426</v>
      </c>
      <c r="AM481" s="2994">
        <v>1.9621999999999999</v>
      </c>
      <c r="AN481" s="2994">
        <v>1.3068</v>
      </c>
      <c r="AO481" s="2994">
        <v>1.7051000000000001</v>
      </c>
      <c r="AP481" s="2994">
        <v>1.5559000000000001</v>
      </c>
      <c r="AQ481" s="2994">
        <v>1.448</v>
      </c>
      <c r="AR481" s="2994">
        <v>1.6074999999999999</v>
      </c>
      <c r="AS481" s="2994">
        <v>1.6301000000000001</v>
      </c>
      <c r="AT481" s="2994">
        <v>1.6037999999999999</v>
      </c>
      <c r="AU481" s="2994">
        <v>1.855</v>
      </c>
      <c r="AV481" s="2994">
        <v>1.7867999999999999</v>
      </c>
      <c r="AW481" s="2994">
        <v>1.9435</v>
      </c>
      <c r="AX481" s="2994">
        <v>1.8749</v>
      </c>
      <c r="AY481" s="2994">
        <v>1.9634</v>
      </c>
      <c r="AZ481" s="2994">
        <v>1.9901</v>
      </c>
      <c r="BA481" s="2994">
        <v>1.9945999999999999</v>
      </c>
      <c r="BB481" s="2994">
        <v>1.9625999999999999</v>
      </c>
      <c r="BC481" s="2994">
        <v>1.8107</v>
      </c>
      <c r="BD481" s="3471">
        <v>2.1663999999999999</v>
      </c>
      <c r="BE481" s="3471">
        <v>2.1924999999999999</v>
      </c>
      <c r="BF481" s="3471">
        <v>0</v>
      </c>
    </row>
    <row r="482" spans="1:58">
      <c r="A482" s="1817" t="str">
        <f t="shared" si="15"/>
        <v>Central AmericaTomatoes</v>
      </c>
      <c r="B482" s="1818" t="s">
        <v>305</v>
      </c>
      <c r="C482" s="1818" t="s">
        <v>1380</v>
      </c>
      <c r="D482" s="3463" t="str">
        <f>VLOOKUP(B482,List_Yield!$G$4:$J$14,4,FALSE)</f>
        <v>Central America</v>
      </c>
      <c r="E482" s="3463" t="str">
        <f t="shared" si="14"/>
        <v>Central AmericaTomatoes</v>
      </c>
      <c r="F482" s="2994">
        <v>7.0803000000000003</v>
      </c>
      <c r="G482" s="2994">
        <v>6.9503000000000004</v>
      </c>
      <c r="H482" s="2994">
        <v>7.0690999999999997</v>
      </c>
      <c r="I482" s="2994">
        <v>7.0572999999999997</v>
      </c>
      <c r="J482" s="2994">
        <v>10.483599999999999</v>
      </c>
      <c r="K482" s="2994">
        <v>10.416700000000001</v>
      </c>
      <c r="L482" s="2994">
        <v>11.251799999999999</v>
      </c>
      <c r="M482" s="2994">
        <v>11.085699999999999</v>
      </c>
      <c r="N482" s="2994">
        <v>11.166700000000001</v>
      </c>
      <c r="O482" s="2994">
        <v>12.3842</v>
      </c>
      <c r="P482" s="2994">
        <v>13.3965</v>
      </c>
      <c r="Q482" s="2994">
        <v>14.4346</v>
      </c>
      <c r="R482" s="2994">
        <v>13.639699999999999</v>
      </c>
      <c r="S482" s="2994">
        <v>15.0726</v>
      </c>
      <c r="T482" s="2994">
        <v>14.7346</v>
      </c>
      <c r="U482" s="2994">
        <v>13.211399999999999</v>
      </c>
      <c r="V482" s="2994">
        <v>13.0722</v>
      </c>
      <c r="W482" s="2994">
        <v>16.932099999999998</v>
      </c>
      <c r="X482" s="2994">
        <v>16.5793</v>
      </c>
      <c r="Y482" s="2994">
        <v>16.103200000000001</v>
      </c>
      <c r="Z482" s="2994">
        <v>18.2057</v>
      </c>
      <c r="AA482" s="2994">
        <v>18.82</v>
      </c>
      <c r="AB482" s="2994">
        <v>19.671900000000001</v>
      </c>
      <c r="AC482" s="2994">
        <v>20.108699999999999</v>
      </c>
      <c r="AD482" s="2994">
        <v>20.1431</v>
      </c>
      <c r="AE482" s="2994">
        <v>23.755700000000001</v>
      </c>
      <c r="AF482" s="2994">
        <v>20.519100000000002</v>
      </c>
      <c r="AG482" s="2994">
        <v>21.053999999999998</v>
      </c>
      <c r="AH482" s="2994">
        <v>21.322199999999999</v>
      </c>
      <c r="AI482" s="2994">
        <v>20.327500000000001</v>
      </c>
      <c r="AJ482" s="2994">
        <v>20.284099999999999</v>
      </c>
      <c r="AK482" s="2994">
        <v>16.735600000000002</v>
      </c>
      <c r="AL482" s="2994">
        <v>19.390799999999999</v>
      </c>
      <c r="AM482" s="2994">
        <v>18.404499999999999</v>
      </c>
      <c r="AN482" s="2994">
        <v>21.511500000000002</v>
      </c>
      <c r="AO482" s="2994">
        <v>22.909600000000001</v>
      </c>
      <c r="AP482" s="2994">
        <v>22.315899999999999</v>
      </c>
      <c r="AQ482" s="2994">
        <v>22.779499999999999</v>
      </c>
      <c r="AR482" s="2994">
        <v>23.179600000000001</v>
      </c>
      <c r="AS482" s="2994">
        <v>21.4483</v>
      </c>
      <c r="AT482" s="2994">
        <v>22.568300000000001</v>
      </c>
      <c r="AU482" s="2994">
        <v>22.809799999999999</v>
      </c>
      <c r="AV482" s="2994">
        <v>24.078099999999999</v>
      </c>
      <c r="AW482" s="2994">
        <v>24.771999999999998</v>
      </c>
      <c r="AX482" s="2994">
        <v>24.309100000000001</v>
      </c>
      <c r="AY482" s="2994">
        <v>24.041</v>
      </c>
      <c r="AZ482" s="2994">
        <v>28.205100000000002</v>
      </c>
      <c r="BA482" s="2994">
        <v>29.401700000000002</v>
      </c>
      <c r="BB482" s="2994">
        <v>28.469899999999999</v>
      </c>
      <c r="BC482" s="2994">
        <v>30.802199999999999</v>
      </c>
      <c r="BD482" s="3471">
        <v>29.299199999999999</v>
      </c>
      <c r="BE482" s="3471">
        <v>35.189500000000002</v>
      </c>
      <c r="BF482" s="3471">
        <v>0</v>
      </c>
    </row>
    <row r="483" spans="1:58">
      <c r="A483" s="1817" t="str">
        <f t="shared" si="15"/>
        <v>Central AmericaTriticale</v>
      </c>
      <c r="B483" s="1818" t="s">
        <v>305</v>
      </c>
      <c r="C483" s="1818" t="s">
        <v>1335</v>
      </c>
      <c r="D483" s="3463" t="str">
        <f>VLOOKUP(B483,List_Yield!$G$4:$J$14,4,FALSE)</f>
        <v>Central America</v>
      </c>
      <c r="E483" s="3463" t="str">
        <f t="shared" si="14"/>
        <v>Central AmericaTriticale</v>
      </c>
      <c r="F483" s="2994">
        <v>0</v>
      </c>
      <c r="G483" s="2994">
        <v>0</v>
      </c>
      <c r="H483" s="2994">
        <v>0</v>
      </c>
      <c r="I483" s="2994">
        <v>0</v>
      </c>
      <c r="J483" s="2994">
        <v>0</v>
      </c>
      <c r="K483" s="2994">
        <v>0</v>
      </c>
      <c r="L483" s="2994">
        <v>0</v>
      </c>
      <c r="M483" s="2994">
        <v>0</v>
      </c>
      <c r="N483" s="2994">
        <v>0</v>
      </c>
      <c r="O483" s="2994">
        <v>0</v>
      </c>
      <c r="P483" s="2994">
        <v>0</v>
      </c>
      <c r="Q483" s="2994">
        <v>0</v>
      </c>
      <c r="R483" s="2994">
        <v>0</v>
      </c>
      <c r="S483" s="2994">
        <v>0</v>
      </c>
      <c r="T483" s="2994">
        <v>0</v>
      </c>
      <c r="U483" s="2994">
        <v>0</v>
      </c>
      <c r="V483" s="2994">
        <v>0</v>
      </c>
      <c r="W483" s="2994">
        <v>0</v>
      </c>
      <c r="X483" s="2994">
        <v>0</v>
      </c>
      <c r="Y483" s="2994">
        <v>2.5</v>
      </c>
      <c r="Z483" s="2994">
        <v>1.375</v>
      </c>
      <c r="AA483" s="2994">
        <v>1.5</v>
      </c>
      <c r="AB483" s="2994">
        <v>3.9117999999999999</v>
      </c>
      <c r="AC483" s="2994">
        <v>1.6404000000000001</v>
      </c>
      <c r="AD483" s="2994">
        <v>2.157</v>
      </c>
      <c r="AE483" s="2994">
        <v>1.8451</v>
      </c>
      <c r="AF483" s="2994">
        <v>1.6979</v>
      </c>
      <c r="AG483" s="2994">
        <v>3.1669999999999998</v>
      </c>
      <c r="AH483" s="2994">
        <v>2.8965999999999998</v>
      </c>
      <c r="AI483" s="2994">
        <v>2.9152</v>
      </c>
      <c r="AJ483" s="2994">
        <v>4.2652999999999999</v>
      </c>
      <c r="AK483" s="2994">
        <v>4.2442000000000002</v>
      </c>
      <c r="AL483" s="2994">
        <v>0</v>
      </c>
      <c r="AM483" s="2994">
        <v>1.9333</v>
      </c>
      <c r="AN483" s="2994">
        <v>0</v>
      </c>
      <c r="AO483" s="2994">
        <v>1</v>
      </c>
      <c r="AP483" s="2994">
        <v>4.2061999999999999</v>
      </c>
      <c r="AQ483" s="2994">
        <v>1.3818999999999999</v>
      </c>
      <c r="AR483" s="2994">
        <v>1.9231</v>
      </c>
      <c r="AS483" s="2994">
        <v>2.2176</v>
      </c>
      <c r="AT483" s="2994">
        <v>2.1724999999999999</v>
      </c>
      <c r="AU483" s="2994">
        <v>2.8664000000000001</v>
      </c>
      <c r="AV483" s="2994">
        <v>3.5459000000000001</v>
      </c>
      <c r="AW483" s="2994">
        <v>3.6444999999999999</v>
      </c>
      <c r="AX483" s="2994">
        <v>4.1329000000000002</v>
      </c>
      <c r="AY483" s="2994">
        <v>4.5575000000000001</v>
      </c>
      <c r="AZ483" s="2994">
        <v>4.7179000000000002</v>
      </c>
      <c r="BA483" s="2994">
        <v>2.5615000000000001</v>
      </c>
      <c r="BB483" s="2994">
        <v>2.4314</v>
      </c>
      <c r="BC483" s="2994">
        <v>1.9336</v>
      </c>
      <c r="BD483" s="3471">
        <v>1.9265000000000001</v>
      </c>
      <c r="BE483" s="3471">
        <v>2.7951000000000001</v>
      </c>
      <c r="BF483" s="3471">
        <v>2.9165999999999999</v>
      </c>
    </row>
    <row r="484" spans="1:58">
      <c r="A484" s="1817" t="str">
        <f t="shared" si="15"/>
        <v>Central AmericaTung nuts</v>
      </c>
      <c r="B484" s="1818" t="s">
        <v>305</v>
      </c>
      <c r="C484" s="1818" t="s">
        <v>7384</v>
      </c>
      <c r="D484" s="3463" t="str">
        <f>VLOOKUP(B484,List_Yield!$G$4:$J$14,4,FALSE)</f>
        <v>Central America</v>
      </c>
      <c r="E484" s="3463" t="str">
        <f t="shared" si="14"/>
        <v>Central AmericaTung nuts</v>
      </c>
      <c r="F484" s="2994">
        <v>0</v>
      </c>
      <c r="G484" s="2994">
        <v>0</v>
      </c>
      <c r="H484" s="2994">
        <v>0</v>
      </c>
      <c r="I484" s="2994">
        <v>0</v>
      </c>
      <c r="J484" s="2994">
        <v>0</v>
      </c>
      <c r="K484" s="2994">
        <v>0</v>
      </c>
      <c r="L484" s="2994">
        <v>0</v>
      </c>
      <c r="M484" s="2994">
        <v>0</v>
      </c>
      <c r="N484" s="2994">
        <v>0</v>
      </c>
      <c r="O484" s="2994">
        <v>0</v>
      </c>
      <c r="P484" s="2994">
        <v>0</v>
      </c>
      <c r="Q484" s="2994">
        <v>0</v>
      </c>
      <c r="R484" s="2994">
        <v>0</v>
      </c>
      <c r="S484" s="2994">
        <v>0</v>
      </c>
      <c r="T484" s="2994">
        <v>0</v>
      </c>
      <c r="U484" s="2994">
        <v>0</v>
      </c>
      <c r="V484" s="2994">
        <v>0</v>
      </c>
      <c r="W484" s="2994">
        <v>0</v>
      </c>
      <c r="X484" s="2994">
        <v>0</v>
      </c>
      <c r="Y484" s="2994">
        <v>0</v>
      </c>
      <c r="Z484" s="2994">
        <v>0</v>
      </c>
      <c r="AA484" s="2994">
        <v>0</v>
      </c>
      <c r="AB484" s="2994">
        <v>0</v>
      </c>
      <c r="AC484" s="2994">
        <v>0</v>
      </c>
      <c r="AD484" s="2994">
        <v>0</v>
      </c>
      <c r="AE484" s="2994">
        <v>0</v>
      </c>
      <c r="AF484" s="2994">
        <v>0</v>
      </c>
      <c r="AG484" s="2994">
        <v>0</v>
      </c>
      <c r="AH484" s="2994">
        <v>0</v>
      </c>
      <c r="AI484" s="2994">
        <v>0</v>
      </c>
      <c r="AJ484" s="2994">
        <v>0</v>
      </c>
      <c r="AK484" s="2994">
        <v>0</v>
      </c>
      <c r="AL484" s="2994">
        <v>0</v>
      </c>
      <c r="AM484" s="2994">
        <v>0</v>
      </c>
      <c r="AN484" s="2994">
        <v>0</v>
      </c>
      <c r="AO484" s="2994">
        <v>0</v>
      </c>
      <c r="AP484" s="2994">
        <v>0</v>
      </c>
      <c r="AQ484" s="2994">
        <v>0</v>
      </c>
      <c r="AR484" s="2994">
        <v>0</v>
      </c>
      <c r="AS484" s="2994">
        <v>0</v>
      </c>
      <c r="AT484" s="2994">
        <v>0</v>
      </c>
      <c r="AU484" s="2994">
        <v>0</v>
      </c>
      <c r="AV484" s="2994">
        <v>0</v>
      </c>
      <c r="AW484" s="2994">
        <v>0</v>
      </c>
      <c r="AX484" s="2994">
        <v>0</v>
      </c>
      <c r="AY484" s="2994">
        <v>0</v>
      </c>
      <c r="AZ484" s="2994">
        <v>0</v>
      </c>
      <c r="BA484" s="2994">
        <v>0</v>
      </c>
      <c r="BB484" s="2994">
        <v>0</v>
      </c>
      <c r="BC484" s="2994">
        <v>0</v>
      </c>
      <c r="BD484" s="3471">
        <v>0</v>
      </c>
      <c r="BE484" s="3471">
        <v>0</v>
      </c>
      <c r="BF484" s="3471">
        <v>0</v>
      </c>
    </row>
    <row r="485" spans="1:58">
      <c r="A485" s="1817" t="str">
        <f t="shared" si="15"/>
        <v>Central AmericaVanilla</v>
      </c>
      <c r="B485" s="1818" t="s">
        <v>305</v>
      </c>
      <c r="C485" s="1818" t="s">
        <v>7385</v>
      </c>
      <c r="D485" s="3463" t="str">
        <f>VLOOKUP(B485,List_Yield!$G$4:$J$14,4,FALSE)</f>
        <v>Central America</v>
      </c>
      <c r="E485" s="3463" t="str">
        <f t="shared" si="14"/>
        <v>Central AmericaVanilla</v>
      </c>
      <c r="F485" s="2994">
        <v>3.2500000000000001E-2</v>
      </c>
      <c r="G485" s="2994">
        <v>3.2099999999999997E-2</v>
      </c>
      <c r="H485" s="2994">
        <v>3.6200000000000003E-2</v>
      </c>
      <c r="I485" s="2994">
        <v>3.49E-2</v>
      </c>
      <c r="J485" s="2994">
        <v>3.61E-2</v>
      </c>
      <c r="K485" s="2994">
        <v>3.5799999999999998E-2</v>
      </c>
      <c r="L485" s="2994">
        <v>2.7900000000000001E-2</v>
      </c>
      <c r="M485" s="2994">
        <v>2.69E-2</v>
      </c>
      <c r="N485" s="2994">
        <v>2.52E-2</v>
      </c>
      <c r="O485" s="2994">
        <v>4.2000000000000003E-2</v>
      </c>
      <c r="P485" s="2994">
        <v>4.2599999999999999E-2</v>
      </c>
      <c r="Q485" s="2994">
        <v>2.92E-2</v>
      </c>
      <c r="R485" s="2994">
        <v>3.0099999999999998E-2</v>
      </c>
      <c r="S485" s="2994">
        <v>3.4099999999999998E-2</v>
      </c>
      <c r="T485" s="2994">
        <v>3.1399999999999997E-2</v>
      </c>
      <c r="U485" s="2994">
        <v>3.09E-2</v>
      </c>
      <c r="V485" s="2994">
        <v>9.1800000000000007E-2</v>
      </c>
      <c r="W485" s="2994">
        <v>4.2299999999999997E-2</v>
      </c>
      <c r="X485" s="2994">
        <v>2.41E-2</v>
      </c>
      <c r="Y485" s="2994">
        <v>5.0999999999999997E-2</v>
      </c>
      <c r="Z485" s="2994">
        <v>0.2581</v>
      </c>
      <c r="AA485" s="2994">
        <v>0.40789999999999998</v>
      </c>
      <c r="AB485" s="2994">
        <v>0.40760000000000002</v>
      </c>
      <c r="AC485" s="2994">
        <v>0.40550000000000003</v>
      </c>
      <c r="AD485" s="2994">
        <v>0.1774</v>
      </c>
      <c r="AE485" s="2994">
        <v>0.20880000000000001</v>
      </c>
      <c r="AF485" s="2994">
        <v>0.23849999999999999</v>
      </c>
      <c r="AG485" s="2994">
        <v>0.21</v>
      </c>
      <c r="AH485" s="2994">
        <v>0.24199999999999999</v>
      </c>
      <c r="AI485" s="2994">
        <v>0.20610000000000001</v>
      </c>
      <c r="AJ485" s="2994">
        <v>0.27410000000000001</v>
      </c>
      <c r="AK485" s="2994">
        <v>0.30159999999999998</v>
      </c>
      <c r="AL485" s="2994">
        <v>0.32179999999999997</v>
      </c>
      <c r="AM485" s="2994">
        <v>0.31040000000000001</v>
      </c>
      <c r="AN485" s="2994">
        <v>0.39129999999999998</v>
      </c>
      <c r="AO485" s="2994">
        <v>0.34649999999999997</v>
      </c>
      <c r="AP485" s="2994">
        <v>8.0500000000000002E-2</v>
      </c>
      <c r="AQ485" s="2994">
        <v>0.24740000000000001</v>
      </c>
      <c r="AR485" s="2994">
        <v>0.16070000000000001</v>
      </c>
      <c r="AS485" s="2994">
        <v>0.2331</v>
      </c>
      <c r="AT485" s="2994">
        <v>0.28589999999999999</v>
      </c>
      <c r="AU485" s="2994">
        <v>0.28770000000000001</v>
      </c>
      <c r="AV485" s="2994">
        <v>0.30630000000000002</v>
      </c>
      <c r="AW485" s="2994">
        <v>0.2838</v>
      </c>
      <c r="AX485" s="2994">
        <v>0.39939999999999998</v>
      </c>
      <c r="AY485" s="2994">
        <v>0.40989999999999999</v>
      </c>
      <c r="AZ485" s="2994">
        <v>0.57750000000000001</v>
      </c>
      <c r="BA485" s="2994">
        <v>0.45760000000000001</v>
      </c>
      <c r="BB485" s="2994">
        <v>0.48159999999999997</v>
      </c>
      <c r="BC485" s="2994">
        <v>0.3962</v>
      </c>
      <c r="BD485" s="3471">
        <v>0.3306</v>
      </c>
      <c r="BE485" s="3471">
        <v>0.35099999999999998</v>
      </c>
      <c r="BF485" s="3471">
        <v>0</v>
      </c>
    </row>
    <row r="486" spans="1:58">
      <c r="A486" s="1817" t="str">
        <f t="shared" si="15"/>
        <v>Central AmericaVegetables, fresh nes</v>
      </c>
      <c r="B486" s="1818" t="s">
        <v>305</v>
      </c>
      <c r="C486" s="1818" t="s">
        <v>7386</v>
      </c>
      <c r="D486" s="3463" t="str">
        <f>VLOOKUP(B486,List_Yield!$G$4:$J$14,4,FALSE)</f>
        <v>Central America</v>
      </c>
      <c r="E486" s="3463" t="str">
        <f t="shared" si="14"/>
        <v>Central AmericaVegetables, fresh nes</v>
      </c>
      <c r="F486" s="2994">
        <v>7.6490999999999998</v>
      </c>
      <c r="G486" s="2994">
        <v>7.7842000000000002</v>
      </c>
      <c r="H486" s="2994">
        <v>7.7664</v>
      </c>
      <c r="I486" s="2994">
        <v>7.8181000000000003</v>
      </c>
      <c r="J486" s="2994">
        <v>8.0881000000000007</v>
      </c>
      <c r="K486" s="2994">
        <v>8.1478999999999999</v>
      </c>
      <c r="L486" s="2994">
        <v>8.0450999999999997</v>
      </c>
      <c r="M486" s="2994">
        <v>8.2741000000000007</v>
      </c>
      <c r="N486" s="2994">
        <v>8.2919999999999998</v>
      </c>
      <c r="O486" s="2994">
        <v>8.4641000000000002</v>
      </c>
      <c r="P486" s="2994">
        <v>8.5597999999999992</v>
      </c>
      <c r="Q486" s="2994">
        <v>8.8455999999999992</v>
      </c>
      <c r="R486" s="2994">
        <v>8.7181999999999995</v>
      </c>
      <c r="S486" s="2994">
        <v>8.5901999999999994</v>
      </c>
      <c r="T486" s="2994">
        <v>8.6292000000000009</v>
      </c>
      <c r="U486" s="2994">
        <v>9.0374999999999996</v>
      </c>
      <c r="V486" s="2994">
        <v>9.0808</v>
      </c>
      <c r="W486" s="2994">
        <v>9.5325000000000006</v>
      </c>
      <c r="X486" s="2994">
        <v>8.9527000000000001</v>
      </c>
      <c r="Y486" s="2994">
        <v>6.5431999999999997</v>
      </c>
      <c r="Z486" s="2994">
        <v>6.8669000000000002</v>
      </c>
      <c r="AA486" s="2994">
        <v>7.2298</v>
      </c>
      <c r="AB486" s="2994">
        <v>7.3922999999999996</v>
      </c>
      <c r="AC486" s="2994">
        <v>7.5095000000000001</v>
      </c>
      <c r="AD486" s="2994">
        <v>8.4146000000000001</v>
      </c>
      <c r="AE486" s="2994">
        <v>8.6018000000000008</v>
      </c>
      <c r="AF486" s="2994">
        <v>8.5455000000000005</v>
      </c>
      <c r="AG486" s="2994">
        <v>8.6737000000000002</v>
      </c>
      <c r="AH486" s="2994">
        <v>8.0875000000000004</v>
      </c>
      <c r="AI486" s="2994">
        <v>8.3943999999999992</v>
      </c>
      <c r="AJ486" s="2994">
        <v>8.6469000000000005</v>
      </c>
      <c r="AK486" s="2994">
        <v>8.2710000000000008</v>
      </c>
      <c r="AL486" s="2994">
        <v>8.5193999999999992</v>
      </c>
      <c r="AM486" s="2994">
        <v>8.9062999999999999</v>
      </c>
      <c r="AN486" s="2994">
        <v>8.8068000000000008</v>
      </c>
      <c r="AO486" s="2994">
        <v>8.7317</v>
      </c>
      <c r="AP486" s="2994">
        <v>8.6915999999999993</v>
      </c>
      <c r="AQ486" s="2994">
        <v>8.7712000000000003</v>
      </c>
      <c r="AR486" s="2994">
        <v>8.4532000000000007</v>
      </c>
      <c r="AS486" s="2994">
        <v>8.4627999999999997</v>
      </c>
      <c r="AT486" s="2994">
        <v>8.5922999999999998</v>
      </c>
      <c r="AU486" s="2994">
        <v>8.5951000000000004</v>
      </c>
      <c r="AV486" s="2994">
        <v>8.6651000000000007</v>
      </c>
      <c r="AW486" s="2994">
        <v>8.4141999999999992</v>
      </c>
      <c r="AX486" s="2994">
        <v>8.5985999999999994</v>
      </c>
      <c r="AY486" s="2994">
        <v>8.7769999999999992</v>
      </c>
      <c r="AZ486" s="2994">
        <v>8.7288999999999994</v>
      </c>
      <c r="BA486" s="2994">
        <v>8.6387</v>
      </c>
      <c r="BB486" s="2994">
        <v>8.484</v>
      </c>
      <c r="BC486" s="2994">
        <v>8.9453999999999994</v>
      </c>
      <c r="BD486" s="3471">
        <v>9.1159999999999997</v>
      </c>
      <c r="BE486" s="3471">
        <v>9.7916000000000007</v>
      </c>
      <c r="BF486" s="3471">
        <v>0</v>
      </c>
    </row>
    <row r="487" spans="1:58">
      <c r="A487" s="1817" t="str">
        <f t="shared" si="15"/>
        <v>Central AmericaVegetables, leguminous nes</v>
      </c>
      <c r="B487" s="1818" t="s">
        <v>305</v>
      </c>
      <c r="C487" s="1818" t="s">
        <v>7387</v>
      </c>
      <c r="D487" s="3463" t="str">
        <f>VLOOKUP(B487,List_Yield!$G$4:$J$14,4,FALSE)</f>
        <v>Central America</v>
      </c>
      <c r="E487" s="3463" t="str">
        <f t="shared" si="14"/>
        <v>Central AmericaVegetables, leguminous nes</v>
      </c>
      <c r="F487" s="2994">
        <v>5.5</v>
      </c>
      <c r="G487" s="2994">
        <v>5.4706000000000001</v>
      </c>
      <c r="H487" s="2994">
        <v>5.5</v>
      </c>
      <c r="I487" s="2994">
        <v>5.5</v>
      </c>
      <c r="J487" s="2994">
        <v>5.67</v>
      </c>
      <c r="K487" s="2994">
        <v>5.1261000000000001</v>
      </c>
      <c r="L487" s="2994">
        <v>5.1090999999999998</v>
      </c>
      <c r="M487" s="2994">
        <v>5.1111000000000004</v>
      </c>
      <c r="N487" s="2994">
        <v>5.0999999999999996</v>
      </c>
      <c r="O487" s="2994">
        <v>5.2439999999999998</v>
      </c>
      <c r="P487" s="2994">
        <v>5.52</v>
      </c>
      <c r="Q487" s="2994">
        <v>5.4897999999999998</v>
      </c>
      <c r="R487" s="2994">
        <v>5.5</v>
      </c>
      <c r="S487" s="2994">
        <v>5.4893999999999998</v>
      </c>
      <c r="T487" s="2994">
        <v>5.4889000000000001</v>
      </c>
      <c r="U487" s="2994">
        <v>5.5115999999999996</v>
      </c>
      <c r="V487" s="2994">
        <v>5.4878</v>
      </c>
      <c r="W487" s="2994">
        <v>5.5</v>
      </c>
      <c r="X487" s="2994">
        <v>5.5128000000000004</v>
      </c>
      <c r="Y487" s="2994">
        <v>5.4054000000000002</v>
      </c>
      <c r="Z487" s="2994">
        <v>2.9721000000000002</v>
      </c>
      <c r="AA487" s="2994">
        <v>5.5556000000000001</v>
      </c>
      <c r="AB487" s="2994">
        <v>5.625</v>
      </c>
      <c r="AC487" s="2994">
        <v>5.3333000000000004</v>
      </c>
      <c r="AD487" s="2994">
        <v>5.3571</v>
      </c>
      <c r="AE487" s="2994">
        <v>5.9858000000000002</v>
      </c>
      <c r="AF487" s="2994">
        <v>4.2633000000000001</v>
      </c>
      <c r="AG487" s="2994">
        <v>5.3379000000000003</v>
      </c>
      <c r="AH487" s="2994">
        <v>4.9874000000000001</v>
      </c>
      <c r="AI487" s="2994">
        <v>5.2304000000000004</v>
      </c>
      <c r="AJ487" s="2994">
        <v>4.2502000000000004</v>
      </c>
      <c r="AK487" s="2994">
        <v>4.8085000000000004</v>
      </c>
      <c r="AL487" s="2994">
        <v>2.5991</v>
      </c>
      <c r="AM487" s="2994">
        <v>2.5714000000000001</v>
      </c>
      <c r="AN487" s="2994">
        <v>4.6818</v>
      </c>
      <c r="AO487" s="2994">
        <v>3.1907999999999999</v>
      </c>
      <c r="AP487" s="2994">
        <v>2.6074999999999999</v>
      </c>
      <c r="AQ487" s="2994">
        <v>2.8769999999999998</v>
      </c>
      <c r="AR487" s="2994">
        <v>6.1650999999999998</v>
      </c>
      <c r="AS487" s="2994">
        <v>6.2591000000000001</v>
      </c>
      <c r="AT487" s="2994">
        <v>5.5174000000000003</v>
      </c>
      <c r="AU487" s="2994">
        <v>6.0972999999999997</v>
      </c>
      <c r="AV487" s="2994">
        <v>6.2691999999999997</v>
      </c>
      <c r="AW487" s="2994">
        <v>5.9446000000000003</v>
      </c>
      <c r="AX487" s="2994">
        <v>5.4227999999999996</v>
      </c>
      <c r="AY487" s="2994">
        <v>5.4817999999999998</v>
      </c>
      <c r="AZ487" s="2994">
        <v>5.9195000000000002</v>
      </c>
      <c r="BA487" s="2994">
        <v>5.7542999999999997</v>
      </c>
      <c r="BB487" s="2994">
        <v>6.0951000000000004</v>
      </c>
      <c r="BC487" s="2994">
        <v>5.8174000000000001</v>
      </c>
      <c r="BD487" s="3471">
        <v>5.5625</v>
      </c>
      <c r="BE487" s="3471">
        <v>5.9843000000000002</v>
      </c>
      <c r="BF487" s="3471">
        <v>0</v>
      </c>
    </row>
    <row r="488" spans="1:58">
      <c r="A488" s="1817" t="str">
        <f t="shared" si="15"/>
        <v>Central AmericaVetches</v>
      </c>
      <c r="B488" s="1818" t="s">
        <v>305</v>
      </c>
      <c r="C488" s="1818" t="s">
        <v>1382</v>
      </c>
      <c r="D488" s="3463" t="str">
        <f>VLOOKUP(B488,List_Yield!$G$4:$J$14,4,FALSE)</f>
        <v>Central America</v>
      </c>
      <c r="E488" s="3463" t="str">
        <f t="shared" si="14"/>
        <v>Central AmericaVetches</v>
      </c>
      <c r="F488" s="2994">
        <v>0</v>
      </c>
      <c r="G488" s="2994">
        <v>0</v>
      </c>
      <c r="H488" s="2994">
        <v>0</v>
      </c>
      <c r="I488" s="2994">
        <v>0</v>
      </c>
      <c r="J488" s="2994">
        <v>0</v>
      </c>
      <c r="K488" s="2994">
        <v>0</v>
      </c>
      <c r="L488" s="2994">
        <v>0</v>
      </c>
      <c r="M488" s="2994">
        <v>0</v>
      </c>
      <c r="N488" s="2994">
        <v>0</v>
      </c>
      <c r="O488" s="2994">
        <v>0</v>
      </c>
      <c r="P488" s="2994">
        <v>0</v>
      </c>
      <c r="Q488" s="2994">
        <v>0</v>
      </c>
      <c r="R488" s="2994">
        <v>0</v>
      </c>
      <c r="S488" s="2994">
        <v>0</v>
      </c>
      <c r="T488" s="2994">
        <v>0</v>
      </c>
      <c r="U488" s="2994">
        <v>0</v>
      </c>
      <c r="V488" s="2994">
        <v>0</v>
      </c>
      <c r="W488" s="2994">
        <v>0</v>
      </c>
      <c r="X488" s="2994">
        <v>0</v>
      </c>
      <c r="Y488" s="2994">
        <v>15.0968</v>
      </c>
      <c r="Z488" s="2994">
        <v>15.312200000000001</v>
      </c>
      <c r="AA488" s="2994">
        <v>17.027799999999999</v>
      </c>
      <c r="AB488" s="2994">
        <v>14.017300000000001</v>
      </c>
      <c r="AC488" s="2994">
        <v>0</v>
      </c>
      <c r="AD488" s="2994">
        <v>11.275600000000001</v>
      </c>
      <c r="AE488" s="2994">
        <v>13.9458</v>
      </c>
      <c r="AF488" s="2994">
        <v>12.1555</v>
      </c>
      <c r="AG488" s="2994">
        <v>16.818100000000001</v>
      </c>
      <c r="AH488" s="2994">
        <v>13.0761</v>
      </c>
      <c r="AI488" s="2994">
        <v>17.648399999999999</v>
      </c>
      <c r="AJ488" s="2994">
        <v>13.6722</v>
      </c>
      <c r="AK488" s="2994">
        <v>12.6553</v>
      </c>
      <c r="AL488" s="2994">
        <v>13.3012</v>
      </c>
      <c r="AM488" s="2994">
        <v>14.6595</v>
      </c>
      <c r="AN488" s="2994">
        <v>13.5817</v>
      </c>
      <c r="AO488" s="2994">
        <v>14.7902</v>
      </c>
      <c r="AP488" s="2994">
        <v>12.9533</v>
      </c>
      <c r="AQ488" s="2994">
        <v>11.3507</v>
      </c>
      <c r="AR488" s="2994">
        <v>12.933</v>
      </c>
      <c r="AS488" s="2994">
        <v>12.139699999999999</v>
      </c>
      <c r="AT488" s="2994">
        <v>12.4269</v>
      </c>
      <c r="AU488" s="2994">
        <v>12.804600000000001</v>
      </c>
      <c r="AV488" s="2994">
        <v>11.4976</v>
      </c>
      <c r="AW488" s="2994">
        <v>12.1111</v>
      </c>
      <c r="AX488" s="2994">
        <v>13.538500000000001</v>
      </c>
      <c r="AY488" s="2994">
        <v>12.4483</v>
      </c>
      <c r="AZ488" s="2994">
        <v>13.6027</v>
      </c>
      <c r="BA488" s="2994">
        <v>10.6677</v>
      </c>
      <c r="BB488" s="2994">
        <v>15.3757</v>
      </c>
      <c r="BC488" s="2994">
        <v>13.370699999999999</v>
      </c>
      <c r="BD488" s="3471">
        <v>14.382099999999999</v>
      </c>
      <c r="BE488" s="3471">
        <v>14.960800000000001</v>
      </c>
      <c r="BF488" s="3471">
        <v>14.392200000000001</v>
      </c>
    </row>
    <row r="489" spans="1:58">
      <c r="A489" s="1817" t="str">
        <f t="shared" si="15"/>
        <v>Central AmericaWalnuts, with shell</v>
      </c>
      <c r="B489" s="1818" t="s">
        <v>305</v>
      </c>
      <c r="C489" s="1818" t="s">
        <v>7388</v>
      </c>
      <c r="D489" s="3463" t="str">
        <f>VLOOKUP(B489,List_Yield!$G$4:$J$14,4,FALSE)</f>
        <v>Central America</v>
      </c>
      <c r="E489" s="3463" t="str">
        <f t="shared" si="14"/>
        <v>Central AmericaWalnuts, with shell</v>
      </c>
      <c r="F489" s="2994">
        <v>4.3952</v>
      </c>
      <c r="G489" s="2994">
        <v>4.1650999999999998</v>
      </c>
      <c r="H489" s="2994">
        <v>4.3474000000000004</v>
      </c>
      <c r="I489" s="2994">
        <v>4.3836000000000004</v>
      </c>
      <c r="J489" s="2994">
        <v>4.4812000000000003</v>
      </c>
      <c r="K489" s="2994">
        <v>4.5739999999999998</v>
      </c>
      <c r="L489" s="2994">
        <v>4.7167000000000003</v>
      </c>
      <c r="M489" s="2994">
        <v>4.0883000000000003</v>
      </c>
      <c r="N489" s="2994">
        <v>7.0804</v>
      </c>
      <c r="O489" s="2994">
        <v>4.7659000000000002</v>
      </c>
      <c r="P489" s="2994">
        <v>4.5961999999999996</v>
      </c>
      <c r="Q489" s="2994">
        <v>3.5769000000000002</v>
      </c>
      <c r="R489" s="2994">
        <v>4.6589</v>
      </c>
      <c r="S489" s="2994">
        <v>4.1383999999999999</v>
      </c>
      <c r="T489" s="2994">
        <v>3.8033999999999999</v>
      </c>
      <c r="U489" s="2994">
        <v>4.5861000000000001</v>
      </c>
      <c r="V489" s="2994">
        <v>5.3718000000000004</v>
      </c>
      <c r="W489" s="2994">
        <v>5.1037999999999997</v>
      </c>
      <c r="X489" s="2994">
        <v>3.9563999999999999</v>
      </c>
      <c r="Y489" s="2994">
        <v>3.9584999999999999</v>
      </c>
      <c r="Z489" s="2994">
        <v>4.8936999999999999</v>
      </c>
      <c r="AA489" s="2994">
        <v>5.1128</v>
      </c>
      <c r="AB489" s="2994">
        <v>3.1511</v>
      </c>
      <c r="AC489" s="2994">
        <v>1.4910000000000001</v>
      </c>
      <c r="AD489" s="2994">
        <v>1.1990000000000001</v>
      </c>
      <c r="AE489" s="2994">
        <v>2.8456000000000001</v>
      </c>
      <c r="AF489" s="2994">
        <v>2.4255</v>
      </c>
      <c r="AG489" s="2994">
        <v>3.5</v>
      </c>
      <c r="AH489" s="2994">
        <v>2</v>
      </c>
      <c r="AI489" s="2994">
        <v>2</v>
      </c>
      <c r="AJ489" s="2994">
        <v>2.3226</v>
      </c>
      <c r="AK489" s="2994">
        <v>1.9333</v>
      </c>
      <c r="AL489" s="2994">
        <v>2</v>
      </c>
      <c r="AM489" s="2994">
        <v>2.2423999999999999</v>
      </c>
      <c r="AN489" s="2994">
        <v>4.6154000000000002</v>
      </c>
      <c r="AO489" s="2994">
        <v>1.9704999999999999</v>
      </c>
      <c r="AP489" s="2994">
        <v>2.8976999999999999</v>
      </c>
      <c r="AQ489" s="2994">
        <v>1.375</v>
      </c>
      <c r="AR489" s="2994">
        <v>1.4146000000000001</v>
      </c>
      <c r="AS489" s="2994">
        <v>1.3953</v>
      </c>
      <c r="AT489" s="2994">
        <v>1.413</v>
      </c>
      <c r="AU489" s="2994">
        <v>1.4286000000000001</v>
      </c>
      <c r="AV489" s="2994">
        <v>1.4383999999999999</v>
      </c>
      <c r="AW489" s="2994">
        <v>1.5878000000000001</v>
      </c>
      <c r="AX489" s="2994">
        <v>1.4644999999999999</v>
      </c>
      <c r="AY489" s="2994">
        <v>1.2282999999999999</v>
      </c>
      <c r="AZ489" s="2994">
        <v>1.3765000000000001</v>
      </c>
      <c r="BA489" s="2994">
        <v>1.2291000000000001</v>
      </c>
      <c r="BB489" s="2994">
        <v>1.7617</v>
      </c>
      <c r="BC489" s="2994">
        <v>1.1017999999999999</v>
      </c>
      <c r="BD489" s="3471">
        <v>1.4186000000000001</v>
      </c>
      <c r="BE489" s="3471">
        <v>1.5847</v>
      </c>
      <c r="BF489" s="3471">
        <v>0</v>
      </c>
    </row>
    <row r="490" spans="1:58">
      <c r="A490" s="1817" t="str">
        <f t="shared" si="15"/>
        <v>Central AmericaWatermelons</v>
      </c>
      <c r="B490" s="1818" t="s">
        <v>305</v>
      </c>
      <c r="C490" s="1818" t="s">
        <v>7389</v>
      </c>
      <c r="D490" s="3463" t="str">
        <f>VLOOKUP(B490,List_Yield!$G$4:$J$14,4,FALSE)</f>
        <v>Central America</v>
      </c>
      <c r="E490" s="3463" t="str">
        <f t="shared" si="14"/>
        <v>Central AmericaWatermelons</v>
      </c>
      <c r="F490" s="2994">
        <v>8.3198000000000008</v>
      </c>
      <c r="G490" s="2994">
        <v>11.336399999999999</v>
      </c>
      <c r="H490" s="2994">
        <v>11.308999999999999</v>
      </c>
      <c r="I490" s="2994">
        <v>11.455399999999999</v>
      </c>
      <c r="J490" s="2994">
        <v>11.777100000000001</v>
      </c>
      <c r="K490" s="2994">
        <v>12.024800000000001</v>
      </c>
      <c r="L490" s="2994">
        <v>9.9787999999999997</v>
      </c>
      <c r="M490" s="2994">
        <v>10.481999999999999</v>
      </c>
      <c r="N490" s="2994">
        <v>11.6387</v>
      </c>
      <c r="O490" s="2994">
        <v>11.2662</v>
      </c>
      <c r="P490" s="2994">
        <v>14.0649</v>
      </c>
      <c r="Q490" s="2994">
        <v>11.755800000000001</v>
      </c>
      <c r="R490" s="2994">
        <v>10.4377</v>
      </c>
      <c r="S490" s="2994">
        <v>12.7689</v>
      </c>
      <c r="T490" s="2994">
        <v>13.836499999999999</v>
      </c>
      <c r="U490" s="2994">
        <v>14.378299999999999</v>
      </c>
      <c r="V490" s="2994">
        <v>13.371</v>
      </c>
      <c r="W490" s="2994">
        <v>14.501300000000001</v>
      </c>
      <c r="X490" s="2994">
        <v>15.507400000000001</v>
      </c>
      <c r="Y490" s="2994">
        <v>15.3835</v>
      </c>
      <c r="Z490" s="2994">
        <v>14.9925</v>
      </c>
      <c r="AA490" s="2994">
        <v>15.372400000000001</v>
      </c>
      <c r="AB490" s="2994">
        <v>13.633900000000001</v>
      </c>
      <c r="AC490" s="2994">
        <v>14.616400000000001</v>
      </c>
      <c r="AD490" s="2994">
        <v>13.444599999999999</v>
      </c>
      <c r="AE490" s="2994">
        <v>13.454599999999999</v>
      </c>
      <c r="AF490" s="2994">
        <v>14.8505</v>
      </c>
      <c r="AG490" s="2994">
        <v>14.4588</v>
      </c>
      <c r="AH490" s="2994">
        <v>14.933299999999999</v>
      </c>
      <c r="AI490" s="2994">
        <v>15.550700000000001</v>
      </c>
      <c r="AJ490" s="2994">
        <v>14.461600000000001</v>
      </c>
      <c r="AK490" s="2994">
        <v>13.9229</v>
      </c>
      <c r="AL490" s="2994">
        <v>16.151</v>
      </c>
      <c r="AM490" s="2994">
        <v>16.68</v>
      </c>
      <c r="AN490" s="2994">
        <v>17.597799999999999</v>
      </c>
      <c r="AO490" s="2994">
        <v>18.414400000000001</v>
      </c>
      <c r="AP490" s="2994">
        <v>19.489999999999998</v>
      </c>
      <c r="AQ490" s="2994">
        <v>22.039300000000001</v>
      </c>
      <c r="AR490" s="2994">
        <v>22.793399999999998</v>
      </c>
      <c r="AS490" s="2994">
        <v>22.922799999999999</v>
      </c>
      <c r="AT490" s="2994">
        <v>22.408799999999999</v>
      </c>
      <c r="AU490" s="2994">
        <v>22.194500000000001</v>
      </c>
      <c r="AV490" s="2994">
        <v>22.181100000000001</v>
      </c>
      <c r="AW490" s="2994">
        <v>23.192900000000002</v>
      </c>
      <c r="AX490" s="2994">
        <v>21.035399999999999</v>
      </c>
      <c r="AY490" s="2994">
        <v>22.599299999999999</v>
      </c>
      <c r="AZ490" s="2994">
        <v>23.1205</v>
      </c>
      <c r="BA490" s="2994">
        <v>23.640599999999999</v>
      </c>
      <c r="BB490" s="2994">
        <v>25.0182</v>
      </c>
      <c r="BC490" s="2994">
        <v>24.1585</v>
      </c>
      <c r="BD490" s="3471">
        <v>24.956299999999999</v>
      </c>
      <c r="BE490" s="3471">
        <v>27.4512</v>
      </c>
      <c r="BF490" s="3471">
        <v>0</v>
      </c>
    </row>
    <row r="491" spans="1:58">
      <c r="A491" s="1817" t="str">
        <f t="shared" si="15"/>
        <v>Central AmericaWheat</v>
      </c>
      <c r="B491" s="1818" t="s">
        <v>305</v>
      </c>
      <c r="C491" s="1818" t="s">
        <v>1383</v>
      </c>
      <c r="D491" s="3463" t="str">
        <f>VLOOKUP(B491,List_Yield!$G$4:$J$14,4,FALSE)</f>
        <v>Central America</v>
      </c>
      <c r="E491" s="3463" t="str">
        <f t="shared" si="14"/>
        <v>Central AmericaWheat</v>
      </c>
      <c r="F491" s="2994">
        <v>1.6383000000000001</v>
      </c>
      <c r="G491" s="2994">
        <v>1.889</v>
      </c>
      <c r="H491" s="2994">
        <v>2.0270000000000001</v>
      </c>
      <c r="I491" s="2994">
        <v>2.6109</v>
      </c>
      <c r="J491" s="2994">
        <v>2.4575999999999998</v>
      </c>
      <c r="K491" s="2994">
        <v>2.2004999999999999</v>
      </c>
      <c r="L491" s="2994">
        <v>2.6425000000000001</v>
      </c>
      <c r="M491" s="2994">
        <v>2.5739000000000001</v>
      </c>
      <c r="N491" s="2994">
        <v>2.7029000000000001</v>
      </c>
      <c r="O491" s="2994">
        <v>2.9499</v>
      </c>
      <c r="P491" s="2994">
        <v>2.8938000000000001</v>
      </c>
      <c r="Q491" s="2994">
        <v>2.5727000000000002</v>
      </c>
      <c r="R491" s="2994">
        <v>3.1958000000000002</v>
      </c>
      <c r="S491" s="2994">
        <v>3.4714</v>
      </c>
      <c r="T491" s="2994">
        <v>3.4792999999999998</v>
      </c>
      <c r="U491" s="2994">
        <v>3.6629</v>
      </c>
      <c r="V491" s="2994">
        <v>3.3304</v>
      </c>
      <c r="W491" s="2994">
        <v>3.5</v>
      </c>
      <c r="X491" s="2994">
        <v>3.7730000000000001</v>
      </c>
      <c r="Y491" s="2994">
        <v>3.7199</v>
      </c>
      <c r="Z491" s="2994">
        <v>3.6412</v>
      </c>
      <c r="AA491" s="2994">
        <v>4.2750000000000004</v>
      </c>
      <c r="AB491" s="2994">
        <v>3.9643999999999999</v>
      </c>
      <c r="AC491" s="2994">
        <v>4.3072999999999997</v>
      </c>
      <c r="AD491" s="2994">
        <v>4.2164000000000001</v>
      </c>
      <c r="AE491" s="2994">
        <v>3.9220999999999999</v>
      </c>
      <c r="AF491" s="2994">
        <v>4.4090999999999996</v>
      </c>
      <c r="AG491" s="2994">
        <v>3.9573</v>
      </c>
      <c r="AH491" s="2994">
        <v>3.7856000000000001</v>
      </c>
      <c r="AI491" s="2994">
        <v>4.1718999999999999</v>
      </c>
      <c r="AJ491" s="2994">
        <v>4.0979999999999999</v>
      </c>
      <c r="AK491" s="2994">
        <v>3.9243000000000001</v>
      </c>
      <c r="AL491" s="2994">
        <v>4.0481999999999996</v>
      </c>
      <c r="AM491" s="2994">
        <v>4.2702999999999998</v>
      </c>
      <c r="AN491" s="2994">
        <v>3.7061000000000002</v>
      </c>
      <c r="AO491" s="2994">
        <v>4.1364999999999998</v>
      </c>
      <c r="AP491" s="2994">
        <v>4.6882000000000001</v>
      </c>
      <c r="AQ491" s="2994">
        <v>4.1768999999999998</v>
      </c>
      <c r="AR491" s="2994">
        <v>4.6013999999999999</v>
      </c>
      <c r="AS491" s="2994">
        <v>4.9047000000000001</v>
      </c>
      <c r="AT491" s="2994">
        <v>4.7355</v>
      </c>
      <c r="AU491" s="2994">
        <v>5.0620000000000003</v>
      </c>
      <c r="AV491" s="2994">
        <v>4.4545000000000003</v>
      </c>
      <c r="AW491" s="2994">
        <v>4.4492000000000003</v>
      </c>
      <c r="AX491" s="2994">
        <v>4.7206000000000001</v>
      </c>
      <c r="AY491" s="2994">
        <v>5.2107999999999999</v>
      </c>
      <c r="AZ491" s="2994">
        <v>5.0655000000000001</v>
      </c>
      <c r="BA491" s="2994">
        <v>5.0007999999999999</v>
      </c>
      <c r="BB491" s="2994">
        <v>4.9564000000000004</v>
      </c>
      <c r="BC491" s="2994">
        <v>5.3952999999999998</v>
      </c>
      <c r="BD491" s="3471">
        <v>5.4535</v>
      </c>
      <c r="BE491" s="3471">
        <v>5.6289999999999996</v>
      </c>
      <c r="BF491" s="3471">
        <v>5.27</v>
      </c>
    </row>
    <row r="492" spans="1:58">
      <c r="A492" s="1817" t="str">
        <f t="shared" si="15"/>
        <v>Central AmericaYams</v>
      </c>
      <c r="B492" s="1818" t="s">
        <v>305</v>
      </c>
      <c r="C492" s="1818" t="s">
        <v>7390</v>
      </c>
      <c r="D492" s="3463" t="str">
        <f>VLOOKUP(B492,List_Yield!$G$4:$J$14,4,FALSE)</f>
        <v>Central America</v>
      </c>
      <c r="E492" s="3463" t="str">
        <f t="shared" si="14"/>
        <v>Central AmericaYams</v>
      </c>
      <c r="F492" s="2994">
        <v>7.5</v>
      </c>
      <c r="G492" s="2994">
        <v>6.625</v>
      </c>
      <c r="H492" s="2994">
        <v>6.0556000000000001</v>
      </c>
      <c r="I492" s="2994">
        <v>6.1111000000000004</v>
      </c>
      <c r="J492" s="2994">
        <v>6.5556000000000001</v>
      </c>
      <c r="K492" s="2994">
        <v>6.8888999999999996</v>
      </c>
      <c r="L492" s="2994">
        <v>6.6</v>
      </c>
      <c r="M492" s="2994">
        <v>7.55</v>
      </c>
      <c r="N492" s="2994">
        <v>6.0416999999999996</v>
      </c>
      <c r="O492" s="2994">
        <v>7.8052000000000001</v>
      </c>
      <c r="P492" s="2994">
        <v>7.5915999999999997</v>
      </c>
      <c r="Q492" s="2994">
        <v>6.25</v>
      </c>
      <c r="R492" s="2994">
        <v>6.4295999999999998</v>
      </c>
      <c r="S492" s="2994">
        <v>6.3575999999999997</v>
      </c>
      <c r="T492" s="2994">
        <v>6.5427999999999997</v>
      </c>
      <c r="U492" s="2994">
        <v>6.6055999999999999</v>
      </c>
      <c r="V492" s="2994">
        <v>6.5427999999999997</v>
      </c>
      <c r="W492" s="2994">
        <v>6.4791999999999996</v>
      </c>
      <c r="X492" s="2994">
        <v>6.2907999999999999</v>
      </c>
      <c r="Y492" s="2994">
        <v>6.9489000000000001</v>
      </c>
      <c r="Z492" s="2994">
        <v>6.6070000000000002</v>
      </c>
      <c r="AA492" s="2994">
        <v>7.1127000000000002</v>
      </c>
      <c r="AB492" s="2994">
        <v>6.8832000000000004</v>
      </c>
      <c r="AC492" s="2994">
        <v>6.0494000000000003</v>
      </c>
      <c r="AD492" s="2994">
        <v>5.7916999999999996</v>
      </c>
      <c r="AE492" s="2994">
        <v>5.7373000000000003</v>
      </c>
      <c r="AF492" s="2994">
        <v>5.85</v>
      </c>
      <c r="AG492" s="2994">
        <v>5.9691999999999998</v>
      </c>
      <c r="AH492" s="2994">
        <v>5.1167999999999996</v>
      </c>
      <c r="AI492" s="2994">
        <v>4.0603999999999996</v>
      </c>
      <c r="AJ492" s="2994">
        <v>4.2107000000000001</v>
      </c>
      <c r="AK492" s="2994">
        <v>5.7823000000000002</v>
      </c>
      <c r="AL492" s="2994">
        <v>5.3209</v>
      </c>
      <c r="AM492" s="2994">
        <v>6.9943999999999997</v>
      </c>
      <c r="AN492" s="2994">
        <v>6.6980000000000004</v>
      </c>
      <c r="AO492" s="2994">
        <v>5.4078999999999997</v>
      </c>
      <c r="AP492" s="2994">
        <v>5.3198999999999996</v>
      </c>
      <c r="AQ492" s="2994">
        <v>9.0111000000000008</v>
      </c>
      <c r="AR492" s="2994">
        <v>11.087</v>
      </c>
      <c r="AS492" s="2994">
        <v>8.1631999999999998</v>
      </c>
      <c r="AT492" s="2994">
        <v>9.7782</v>
      </c>
      <c r="AU492" s="2994">
        <v>11.204800000000001</v>
      </c>
      <c r="AV492" s="2994">
        <v>6.798</v>
      </c>
      <c r="AW492" s="2994">
        <v>7.0194000000000001</v>
      </c>
      <c r="AX492" s="2994">
        <v>6.4615999999999998</v>
      </c>
      <c r="AY492" s="2994">
        <v>10.9085</v>
      </c>
      <c r="AZ492" s="2994">
        <v>11.220499999999999</v>
      </c>
      <c r="BA492" s="2994">
        <v>7.1097999999999999</v>
      </c>
      <c r="BB492" s="2994">
        <v>7.4927999999999999</v>
      </c>
      <c r="BC492" s="2994">
        <v>6.7308000000000003</v>
      </c>
      <c r="BD492" s="3471">
        <v>6.6954000000000002</v>
      </c>
      <c r="BE492" s="3471">
        <v>6.7880000000000003</v>
      </c>
      <c r="BF492" s="3471">
        <v>6.3117000000000001</v>
      </c>
    </row>
    <row r="493" spans="1:58">
      <c r="A493" s="1817" t="str">
        <f t="shared" si="15"/>
        <v>Central AmericaYautia (cocoyam)</v>
      </c>
      <c r="B493" s="1818" t="s">
        <v>305</v>
      </c>
      <c r="C493" s="1818" t="s">
        <v>7391</v>
      </c>
      <c r="D493" s="3463" t="str">
        <f>VLOOKUP(B493,List_Yield!$G$4:$J$14,4,FALSE)</f>
        <v>Central America</v>
      </c>
      <c r="E493" s="3463" t="str">
        <f t="shared" si="14"/>
        <v>Central AmericaYautia (cocoyam)</v>
      </c>
      <c r="F493" s="2994">
        <v>5.5</v>
      </c>
      <c r="G493" s="2994">
        <v>5.625</v>
      </c>
      <c r="H493" s="2994">
        <v>5.75</v>
      </c>
      <c r="I493" s="2994">
        <v>5.75</v>
      </c>
      <c r="J493" s="2994">
        <v>6.25</v>
      </c>
      <c r="K493" s="2994">
        <v>6.1176000000000004</v>
      </c>
      <c r="L493" s="2994">
        <v>6.2222</v>
      </c>
      <c r="M493" s="2994">
        <v>6</v>
      </c>
      <c r="N493" s="2994">
        <v>6.0204000000000004</v>
      </c>
      <c r="O493" s="2994">
        <v>6.0194000000000001</v>
      </c>
      <c r="P493" s="2994">
        <v>6.0396000000000001</v>
      </c>
      <c r="Q493" s="2994">
        <v>6.3635999999999999</v>
      </c>
      <c r="R493" s="2994">
        <v>6.5833000000000004</v>
      </c>
      <c r="S493" s="2994">
        <v>6.6666999999999996</v>
      </c>
      <c r="T493" s="2994">
        <v>6.7241999999999997</v>
      </c>
      <c r="U493" s="2994">
        <v>6.7916999999999996</v>
      </c>
      <c r="V493" s="2994">
        <v>6.86</v>
      </c>
      <c r="W493" s="2994">
        <v>6.9283000000000001</v>
      </c>
      <c r="X493" s="2994">
        <v>6.9966999999999997</v>
      </c>
      <c r="Y493" s="2994">
        <v>6.6950000000000003</v>
      </c>
      <c r="Z493" s="2994">
        <v>6.7107999999999999</v>
      </c>
      <c r="AA493" s="2994">
        <v>7.2591999999999999</v>
      </c>
      <c r="AB493" s="2994">
        <v>6.7790999999999997</v>
      </c>
      <c r="AC493" s="2994">
        <v>6.5507999999999997</v>
      </c>
      <c r="AD493" s="2994">
        <v>6.9207999999999998</v>
      </c>
      <c r="AE493" s="2994">
        <v>6.9476000000000004</v>
      </c>
      <c r="AF493" s="2994">
        <v>6.8872999999999998</v>
      </c>
      <c r="AG493" s="2994">
        <v>7.2051999999999996</v>
      </c>
      <c r="AH493" s="2994">
        <v>7.2984999999999998</v>
      </c>
      <c r="AI493" s="2994">
        <v>6.7148000000000003</v>
      </c>
      <c r="AJ493" s="2994">
        <v>5.9025999999999996</v>
      </c>
      <c r="AK493" s="2994">
        <v>7.2396000000000003</v>
      </c>
      <c r="AL493" s="2994">
        <v>8.6067</v>
      </c>
      <c r="AM493" s="2994">
        <v>14.3629</v>
      </c>
      <c r="AN493" s="2994">
        <v>13.5884</v>
      </c>
      <c r="AO493" s="2994">
        <v>13.151</v>
      </c>
      <c r="AP493" s="2994">
        <v>12.953799999999999</v>
      </c>
      <c r="AQ493" s="2994">
        <v>13.947900000000001</v>
      </c>
      <c r="AR493" s="2994">
        <v>13.8139</v>
      </c>
      <c r="AS493" s="2994">
        <v>13.9512</v>
      </c>
      <c r="AT493" s="2994">
        <v>12.555300000000001</v>
      </c>
      <c r="AU493" s="2994">
        <v>13.6227</v>
      </c>
      <c r="AV493" s="2994">
        <v>14.654500000000001</v>
      </c>
      <c r="AW493" s="2994">
        <v>11.7804</v>
      </c>
      <c r="AX493" s="2994">
        <v>11.146699999999999</v>
      </c>
      <c r="AY493" s="2994">
        <v>9.1509</v>
      </c>
      <c r="AZ493" s="2994">
        <v>10.4054</v>
      </c>
      <c r="BA493" s="2994">
        <v>11.550700000000001</v>
      </c>
      <c r="BB493" s="2994">
        <v>9.4830000000000005</v>
      </c>
      <c r="BC493" s="2994">
        <v>10.9505</v>
      </c>
      <c r="BD493" s="3471">
        <v>10.2134</v>
      </c>
      <c r="BE493" s="3471">
        <v>10.581</v>
      </c>
      <c r="BF493" s="3471">
        <v>10.356999999999999</v>
      </c>
    </row>
    <row r="494" spans="1:58">
      <c r="A494" s="1817" t="str">
        <f t="shared" si="15"/>
        <v>Central AmericaCereals,Total + (Total)</v>
      </c>
      <c r="B494" s="1818" t="s">
        <v>305</v>
      </c>
      <c r="C494" s="1818" t="s">
        <v>7231</v>
      </c>
      <c r="D494" s="3463" t="str">
        <f>VLOOKUP(B494,List_Yield!$G$4:$J$14,4,FALSE)</f>
        <v>Central America</v>
      </c>
      <c r="E494" s="3463" t="str">
        <f t="shared" si="14"/>
        <v>Central AmericaCereals,Total + (Total)</v>
      </c>
      <c r="F494" s="2994">
        <v>1.0702</v>
      </c>
      <c r="G494" s="2994">
        <v>1.0955999999999999</v>
      </c>
      <c r="H494" s="2994">
        <v>1.1045</v>
      </c>
      <c r="I494" s="2994">
        <v>1.2504</v>
      </c>
      <c r="J494" s="2994">
        <v>1.2845</v>
      </c>
      <c r="K494" s="2994">
        <v>1.2524999999999999</v>
      </c>
      <c r="L494" s="2994">
        <v>1.3138000000000001</v>
      </c>
      <c r="M494" s="2994">
        <v>1.3797999999999999</v>
      </c>
      <c r="N494" s="2994">
        <v>1.4312</v>
      </c>
      <c r="O494" s="2994">
        <v>1.4922</v>
      </c>
      <c r="P494" s="2994">
        <v>1.4851000000000001</v>
      </c>
      <c r="Q494" s="2994">
        <v>1.4557</v>
      </c>
      <c r="R494" s="2994">
        <v>1.4933000000000001</v>
      </c>
      <c r="S494" s="2994">
        <v>1.5586</v>
      </c>
      <c r="T494" s="2994">
        <v>1.6938</v>
      </c>
      <c r="U494" s="2994">
        <v>1.6361000000000001</v>
      </c>
      <c r="V494" s="2994">
        <v>1.6841999999999999</v>
      </c>
      <c r="W494" s="2994">
        <v>1.8257000000000001</v>
      </c>
      <c r="X494" s="2994">
        <v>1.9136</v>
      </c>
      <c r="Y494" s="2994">
        <v>2.0731000000000002</v>
      </c>
      <c r="Z494" s="2994">
        <v>2.1703999999999999</v>
      </c>
      <c r="AA494" s="2994">
        <v>2.2475999999999998</v>
      </c>
      <c r="AB494" s="2994">
        <v>2.1122000000000001</v>
      </c>
      <c r="AC494" s="2994">
        <v>2.2206000000000001</v>
      </c>
      <c r="AD494" s="2994">
        <v>2.3117999999999999</v>
      </c>
      <c r="AE494" s="2994">
        <v>2.2185999999999999</v>
      </c>
      <c r="AF494" s="2994">
        <v>2.2000000000000002</v>
      </c>
      <c r="AG494" s="2994">
        <v>2.109</v>
      </c>
      <c r="AH494" s="2994">
        <v>2.1333000000000002</v>
      </c>
      <c r="AI494" s="2994">
        <v>2.3231000000000002</v>
      </c>
      <c r="AJ494" s="2994">
        <v>2.2839</v>
      </c>
      <c r="AK494" s="2994">
        <v>2.5306000000000002</v>
      </c>
      <c r="AL494" s="2994">
        <v>2.4706000000000001</v>
      </c>
      <c r="AM494" s="2994">
        <v>2.3839000000000001</v>
      </c>
      <c r="AN494" s="2994">
        <v>2.4055</v>
      </c>
      <c r="AO494" s="2994">
        <v>2.4392</v>
      </c>
      <c r="AP494" s="2994">
        <v>2.5146000000000002</v>
      </c>
      <c r="AQ494" s="2994">
        <v>2.4731000000000001</v>
      </c>
      <c r="AR494" s="2994">
        <v>2.5501999999999998</v>
      </c>
      <c r="AS494" s="2994">
        <v>2.5962000000000001</v>
      </c>
      <c r="AT494" s="2994">
        <v>2.6791999999999998</v>
      </c>
      <c r="AU494" s="2994">
        <v>2.7164999999999999</v>
      </c>
      <c r="AV494" s="2994">
        <v>2.7738</v>
      </c>
      <c r="AW494" s="2994">
        <v>2.8563999999999998</v>
      </c>
      <c r="AX494" s="2994">
        <v>2.8552</v>
      </c>
      <c r="AY494" s="2994">
        <v>2.9676</v>
      </c>
      <c r="AZ494" s="2994">
        <v>3.1539000000000001</v>
      </c>
      <c r="BA494" s="2994">
        <v>3.2442000000000002</v>
      </c>
      <c r="BB494" s="2994">
        <v>3.1680000000000001</v>
      </c>
      <c r="BC494" s="2994">
        <v>3.2414000000000001</v>
      </c>
      <c r="BD494" s="3471">
        <v>3.0034999999999998</v>
      </c>
      <c r="BE494" s="3471">
        <v>3.1970000000000001</v>
      </c>
      <c r="BF494" s="3471">
        <v>3.1585000000000001</v>
      </c>
    </row>
    <row r="495" spans="1:58">
      <c r="A495" s="1817" t="str">
        <f t="shared" si="15"/>
        <v>Central AmericaPulses,Total + (Total)</v>
      </c>
      <c r="B495" s="1818" t="s">
        <v>305</v>
      </c>
      <c r="C495" s="1818" t="s">
        <v>7228</v>
      </c>
      <c r="D495" s="3463" t="str">
        <f>VLOOKUP(B495,List_Yield!$G$4:$J$14,4,FALSE)</f>
        <v>Central America</v>
      </c>
      <c r="E495" s="3463" t="str">
        <f t="shared" si="14"/>
        <v>Central AmericaPulses,Total + (Total)</v>
      </c>
      <c r="F495" s="2994">
        <v>0.50139999999999996</v>
      </c>
      <c r="G495" s="2994">
        <v>0.45810000000000001</v>
      </c>
      <c r="H495" s="2994">
        <v>0.46029999999999999</v>
      </c>
      <c r="I495" s="2994">
        <v>0.48349999999999999</v>
      </c>
      <c r="J495" s="2994">
        <v>0.46879999999999999</v>
      </c>
      <c r="K495" s="2994">
        <v>0.50960000000000005</v>
      </c>
      <c r="L495" s="2994">
        <v>0.55910000000000004</v>
      </c>
      <c r="M495" s="2994">
        <v>0.54390000000000005</v>
      </c>
      <c r="N495" s="2994">
        <v>0.56469999999999998</v>
      </c>
      <c r="O495" s="2994">
        <v>0.56950000000000001</v>
      </c>
      <c r="P495" s="2994">
        <v>0.52170000000000005</v>
      </c>
      <c r="Q495" s="2994">
        <v>0.56979999999999997</v>
      </c>
      <c r="R495" s="2994">
        <v>0.59850000000000003</v>
      </c>
      <c r="S495" s="2994">
        <v>0.67010000000000003</v>
      </c>
      <c r="T495" s="2994">
        <v>0.62139999999999995</v>
      </c>
      <c r="U495" s="2994">
        <v>0.58360000000000001</v>
      </c>
      <c r="V495" s="2994">
        <v>0.55710000000000004</v>
      </c>
      <c r="W495" s="2994">
        <v>0.66890000000000005</v>
      </c>
      <c r="X495" s="2994">
        <v>0.745</v>
      </c>
      <c r="Y495" s="2994">
        <v>0.74409999999999998</v>
      </c>
      <c r="Z495" s="2994">
        <v>0.75890000000000002</v>
      </c>
      <c r="AA495" s="2994">
        <v>0.76590000000000003</v>
      </c>
      <c r="AB495" s="2994">
        <v>0.73009999999999997</v>
      </c>
      <c r="AC495" s="2994">
        <v>0.64729999999999999</v>
      </c>
      <c r="AD495" s="2994">
        <v>0.63560000000000005</v>
      </c>
      <c r="AE495" s="2994">
        <v>0.66320000000000001</v>
      </c>
      <c r="AF495" s="2994">
        <v>0.67220000000000002</v>
      </c>
      <c r="AG495" s="2994">
        <v>0.56010000000000004</v>
      </c>
      <c r="AH495" s="2994">
        <v>0.625</v>
      </c>
      <c r="AI495" s="2994">
        <v>0.72619999999999996</v>
      </c>
      <c r="AJ495" s="2994">
        <v>0.78639999999999999</v>
      </c>
      <c r="AK495" s="2994">
        <v>0.67589999999999995</v>
      </c>
      <c r="AL495" s="2994">
        <v>0.77649999999999997</v>
      </c>
      <c r="AM495" s="2994">
        <v>0.73370000000000002</v>
      </c>
      <c r="AN495" s="2994">
        <v>0.71250000000000002</v>
      </c>
      <c r="AO495" s="2994">
        <v>0.77929999999999999</v>
      </c>
      <c r="AP495" s="2994">
        <v>0.72589999999999999</v>
      </c>
      <c r="AQ495" s="2994">
        <v>0.67169999999999996</v>
      </c>
      <c r="AR495" s="2994">
        <v>0.72550000000000003</v>
      </c>
      <c r="AS495" s="2994">
        <v>0.7571</v>
      </c>
      <c r="AT495" s="2994">
        <v>0.79430000000000001</v>
      </c>
      <c r="AU495" s="2994">
        <v>0.83679999999999999</v>
      </c>
      <c r="AV495" s="2994">
        <v>0.81889999999999996</v>
      </c>
      <c r="AW495" s="2994">
        <v>0.78259999999999996</v>
      </c>
      <c r="AX495" s="2994">
        <v>0.7762</v>
      </c>
      <c r="AY495" s="2994">
        <v>0.86480000000000001</v>
      </c>
      <c r="AZ495" s="2994">
        <v>0.79359999999999997</v>
      </c>
      <c r="BA495" s="2994">
        <v>0.8155</v>
      </c>
      <c r="BB495" s="2994">
        <v>0.93959999999999999</v>
      </c>
      <c r="BC495" s="2994">
        <v>0.80989999999999995</v>
      </c>
      <c r="BD495" s="3471">
        <v>0.80400000000000005</v>
      </c>
      <c r="BE495" s="3471">
        <v>0.86980000000000002</v>
      </c>
      <c r="BF495" s="3471">
        <v>0.88080000000000003</v>
      </c>
    </row>
    <row r="496" spans="1:58">
      <c r="A496" s="1817" t="str">
        <f t="shared" si="15"/>
        <v>Central AmericaRoots and Tubers,Total + (Total)</v>
      </c>
      <c r="B496" s="1818" t="s">
        <v>305</v>
      </c>
      <c r="C496" s="1818" t="s">
        <v>7234</v>
      </c>
      <c r="D496" s="3463" t="str">
        <f>VLOOKUP(B496,List_Yield!$G$4:$J$14,4,FALSE)</f>
        <v>Central America</v>
      </c>
      <c r="E496" s="3463" t="str">
        <f t="shared" si="14"/>
        <v>Central AmericaRoots and Tubers,Total + (Total)</v>
      </c>
      <c r="F496" s="2994">
        <v>6.5498000000000003</v>
      </c>
      <c r="G496" s="2994">
        <v>7.4532999999999996</v>
      </c>
      <c r="H496" s="2994">
        <v>7.5068000000000001</v>
      </c>
      <c r="I496" s="2994">
        <v>7.6174999999999997</v>
      </c>
      <c r="J496" s="2994">
        <v>7.5948000000000002</v>
      </c>
      <c r="K496" s="2994">
        <v>7.9557000000000002</v>
      </c>
      <c r="L496" s="2994">
        <v>8.5320999999999998</v>
      </c>
      <c r="M496" s="2994">
        <v>8.4392999999999994</v>
      </c>
      <c r="N496" s="2994">
        <v>8.7524999999999995</v>
      </c>
      <c r="O496" s="2994">
        <v>9.0502000000000002</v>
      </c>
      <c r="P496" s="2994">
        <v>9.4504000000000001</v>
      </c>
      <c r="Q496" s="2994">
        <v>9.8772000000000002</v>
      </c>
      <c r="R496" s="2994">
        <v>9.7921999999999993</v>
      </c>
      <c r="S496" s="2994">
        <v>9.4251000000000005</v>
      </c>
      <c r="T496" s="2994">
        <v>9.9207999999999998</v>
      </c>
      <c r="U496" s="2994">
        <v>9.9229000000000003</v>
      </c>
      <c r="V496" s="2994">
        <v>9.3574999999999999</v>
      </c>
      <c r="W496" s="2994">
        <v>10.660600000000001</v>
      </c>
      <c r="X496" s="2994">
        <v>10.379200000000001</v>
      </c>
      <c r="Y496" s="2994">
        <v>11.1173</v>
      </c>
      <c r="Z496" s="2994">
        <v>10.300800000000001</v>
      </c>
      <c r="AA496" s="2994">
        <v>11.6624</v>
      </c>
      <c r="AB496" s="2994">
        <v>10.545199999999999</v>
      </c>
      <c r="AC496" s="2994">
        <v>12.0473</v>
      </c>
      <c r="AD496" s="2994">
        <v>11.9985</v>
      </c>
      <c r="AE496" s="2994">
        <v>12.4038</v>
      </c>
      <c r="AF496" s="2994">
        <v>12.0921</v>
      </c>
      <c r="AG496" s="2994">
        <v>12.1943</v>
      </c>
      <c r="AH496" s="2994">
        <v>13.783300000000001</v>
      </c>
      <c r="AI496" s="2994">
        <v>14.490399999999999</v>
      </c>
      <c r="AJ496" s="2994">
        <v>14.8489</v>
      </c>
      <c r="AK496" s="2994">
        <v>15.5382</v>
      </c>
      <c r="AL496" s="2994">
        <v>15.617100000000001</v>
      </c>
      <c r="AM496" s="2994">
        <v>16.857700000000001</v>
      </c>
      <c r="AN496" s="2994">
        <v>16.6739</v>
      </c>
      <c r="AO496" s="2994">
        <v>17.269200000000001</v>
      </c>
      <c r="AP496" s="2994">
        <v>17.522400000000001</v>
      </c>
      <c r="AQ496" s="2994">
        <v>17.761199999999999</v>
      </c>
      <c r="AR496" s="2994">
        <v>17.534800000000001</v>
      </c>
      <c r="AS496" s="2994">
        <v>18.8645</v>
      </c>
      <c r="AT496" s="2994">
        <v>19.086200000000002</v>
      </c>
      <c r="AU496" s="2994">
        <v>18.346800000000002</v>
      </c>
      <c r="AV496" s="2994">
        <v>19.5854</v>
      </c>
      <c r="AW496" s="2994">
        <v>18.5459</v>
      </c>
      <c r="AX496" s="2994">
        <v>18.190799999999999</v>
      </c>
      <c r="AY496" s="2994">
        <v>17.863199999999999</v>
      </c>
      <c r="AZ496" s="2994">
        <v>19.509499999999999</v>
      </c>
      <c r="BA496" s="2994">
        <v>19.626000000000001</v>
      </c>
      <c r="BB496" s="2994">
        <v>19.083100000000002</v>
      </c>
      <c r="BC496" s="2994">
        <v>19.639099999999999</v>
      </c>
      <c r="BD496" s="3471">
        <v>19.280200000000001</v>
      </c>
      <c r="BE496" s="3471">
        <v>19.582000000000001</v>
      </c>
      <c r="BF496" s="3471">
        <v>19.270399999999999</v>
      </c>
    </row>
    <row r="497" spans="1:58">
      <c r="A497" s="1817" t="str">
        <f t="shared" si="15"/>
        <v>South AmericaAgave fibres nes</v>
      </c>
      <c r="B497" s="1818" t="s">
        <v>306</v>
      </c>
      <c r="C497" s="1818" t="s">
        <v>7282</v>
      </c>
      <c r="D497" s="3463" t="str">
        <f>VLOOKUP(B497,List_Yield!$G$4:$J$14,4,FALSE)</f>
        <v>South America</v>
      </c>
      <c r="E497" s="3463" t="str">
        <f t="shared" si="14"/>
        <v>South AmericaAgave fibres nes</v>
      </c>
      <c r="F497" s="2994">
        <v>1.2593000000000001</v>
      </c>
      <c r="G497" s="2994">
        <v>1.25</v>
      </c>
      <c r="H497" s="2994">
        <v>1.2414000000000001</v>
      </c>
      <c r="I497" s="2994">
        <v>1.2333000000000001</v>
      </c>
      <c r="J497" s="2994">
        <v>1.2258</v>
      </c>
      <c r="K497" s="2994">
        <v>1.2404999999999999</v>
      </c>
      <c r="L497" s="2994">
        <v>1.2425999999999999</v>
      </c>
      <c r="M497" s="2994">
        <v>1.2428999999999999</v>
      </c>
      <c r="N497" s="2994">
        <v>1.2416</v>
      </c>
      <c r="O497" s="2994">
        <v>1.2446999999999999</v>
      </c>
      <c r="P497" s="2994">
        <v>1.2486999999999999</v>
      </c>
      <c r="Q497" s="2994">
        <v>1.3024</v>
      </c>
      <c r="R497" s="2994">
        <v>1.4009</v>
      </c>
      <c r="S497" s="2994">
        <v>1.5</v>
      </c>
      <c r="T497" s="2994">
        <v>1.3785000000000001</v>
      </c>
      <c r="U497" s="2994">
        <v>1.5</v>
      </c>
      <c r="V497" s="2994">
        <v>1.5487</v>
      </c>
      <c r="W497" s="2994">
        <v>1.4807999999999999</v>
      </c>
      <c r="X497" s="2994">
        <v>1.4751000000000001</v>
      </c>
      <c r="Y497" s="2994">
        <v>1.4919</v>
      </c>
      <c r="Z497" s="2994">
        <v>1.3801000000000001</v>
      </c>
      <c r="AA497" s="2994">
        <v>1.4152</v>
      </c>
      <c r="AB497" s="2994">
        <v>1.4055</v>
      </c>
      <c r="AC497" s="2994">
        <v>1.4178999999999999</v>
      </c>
      <c r="AD497" s="2994">
        <v>1.4208000000000001</v>
      </c>
      <c r="AE497" s="2994">
        <v>1.4218</v>
      </c>
      <c r="AF497" s="2994">
        <v>1.2709999999999999</v>
      </c>
      <c r="AG497" s="2994">
        <v>1.2123999999999999</v>
      </c>
      <c r="AH497" s="2994">
        <v>1.1491</v>
      </c>
      <c r="AI497" s="2994">
        <v>1.3595999999999999</v>
      </c>
      <c r="AJ497" s="2994">
        <v>1.9782999999999999</v>
      </c>
      <c r="AK497" s="2994">
        <v>1.4200999999999999</v>
      </c>
      <c r="AL497" s="2994">
        <v>1.4104000000000001</v>
      </c>
      <c r="AM497" s="2994">
        <v>1.3207</v>
      </c>
      <c r="AN497" s="2994">
        <v>1.5305</v>
      </c>
      <c r="AO497" s="2994">
        <v>1.4552</v>
      </c>
      <c r="AP497" s="2994">
        <v>1.62</v>
      </c>
      <c r="AQ497" s="2994">
        <v>1.218</v>
      </c>
      <c r="AR497" s="2994">
        <v>1.1932</v>
      </c>
      <c r="AS497" s="2994">
        <v>1.0524</v>
      </c>
      <c r="AT497" s="2994">
        <v>1.0629999999999999</v>
      </c>
      <c r="AU497" s="2994">
        <v>1.1042000000000001</v>
      </c>
      <c r="AV497" s="2994">
        <v>1.1523000000000001</v>
      </c>
      <c r="AW497" s="2994">
        <v>1.3199000000000001</v>
      </c>
      <c r="AX497" s="2994">
        <v>1.252</v>
      </c>
      <c r="AY497" s="2994">
        <v>0.87919999999999998</v>
      </c>
      <c r="AZ497" s="2994">
        <v>1.0105999999999999</v>
      </c>
      <c r="BA497" s="2994">
        <v>1.0438000000000001</v>
      </c>
      <c r="BB497" s="2994">
        <v>1.0218</v>
      </c>
      <c r="BC497" s="2994">
        <v>0.93049999999999999</v>
      </c>
      <c r="BD497" s="3471">
        <v>0.99109999999999998</v>
      </c>
      <c r="BE497" s="3471">
        <v>0.97560000000000002</v>
      </c>
      <c r="BF497" s="3471">
        <v>0</v>
      </c>
    </row>
    <row r="498" spans="1:58">
      <c r="A498" s="1817" t="str">
        <f t="shared" si="15"/>
        <v>South AmericaAlmonds, with shell</v>
      </c>
      <c r="B498" s="1818" t="s">
        <v>306</v>
      </c>
      <c r="C498" s="1818" t="s">
        <v>7283</v>
      </c>
      <c r="D498" s="3463" t="str">
        <f>VLOOKUP(B498,List_Yield!$G$4:$J$14,4,FALSE)</f>
        <v>South America</v>
      </c>
      <c r="E498" s="3463" t="str">
        <f t="shared" si="14"/>
        <v>South AmericaAlmonds, with shell</v>
      </c>
      <c r="F498" s="2994">
        <v>0</v>
      </c>
      <c r="G498" s="2994">
        <v>0</v>
      </c>
      <c r="H498" s="2994">
        <v>0</v>
      </c>
      <c r="I498" s="2994">
        <v>0</v>
      </c>
      <c r="J498" s="2994">
        <v>0</v>
      </c>
      <c r="K498" s="2994">
        <v>0</v>
      </c>
      <c r="L498" s="2994">
        <v>0</v>
      </c>
      <c r="M498" s="2994">
        <v>0</v>
      </c>
      <c r="N498" s="2994">
        <v>0</v>
      </c>
      <c r="O498" s="2994">
        <v>0</v>
      </c>
      <c r="P498" s="2994">
        <v>0</v>
      </c>
      <c r="Q498" s="2994">
        <v>0</v>
      </c>
      <c r="R498" s="2994">
        <v>0</v>
      </c>
      <c r="S498" s="2994">
        <v>0</v>
      </c>
      <c r="T498" s="2994">
        <v>0</v>
      </c>
      <c r="U498" s="2994">
        <v>0</v>
      </c>
      <c r="V498" s="2994">
        <v>0</v>
      </c>
      <c r="W498" s="2994">
        <v>0</v>
      </c>
      <c r="X498" s="2994">
        <v>0</v>
      </c>
      <c r="Y498" s="2994">
        <v>0</v>
      </c>
      <c r="Z498" s="2994">
        <v>0</v>
      </c>
      <c r="AA498" s="2994">
        <v>0</v>
      </c>
      <c r="AB498" s="2994">
        <v>0</v>
      </c>
      <c r="AC498" s="2994">
        <v>0</v>
      </c>
      <c r="AD498" s="2994">
        <v>0.62880000000000003</v>
      </c>
      <c r="AE498" s="2994">
        <v>0.65500000000000003</v>
      </c>
      <c r="AF498" s="2994">
        <v>0.65259999999999996</v>
      </c>
      <c r="AG498" s="2994">
        <v>0.62590000000000001</v>
      </c>
      <c r="AH498" s="2994">
        <v>0.62770000000000004</v>
      </c>
      <c r="AI498" s="2994">
        <v>0.6321</v>
      </c>
      <c r="AJ498" s="2994">
        <v>0.61229999999999996</v>
      </c>
      <c r="AK498" s="2994">
        <v>0.6331</v>
      </c>
      <c r="AL498" s="2994">
        <v>0.65490000000000004</v>
      </c>
      <c r="AM498" s="2994">
        <v>0.6774</v>
      </c>
      <c r="AN498" s="2994">
        <v>0.67679999999999996</v>
      </c>
      <c r="AO498" s="2994">
        <v>1.0925</v>
      </c>
      <c r="AP498" s="2994">
        <v>1.1282000000000001</v>
      </c>
      <c r="AQ498" s="2994">
        <v>1.0865</v>
      </c>
      <c r="AR498" s="2994">
        <v>1.2818000000000001</v>
      </c>
      <c r="AS498" s="2994">
        <v>1.3784000000000001</v>
      </c>
      <c r="AT498" s="2994">
        <v>1.4440999999999999</v>
      </c>
      <c r="AU498" s="2994">
        <v>1.5628</v>
      </c>
      <c r="AV498" s="2994">
        <v>1.5063</v>
      </c>
      <c r="AW498" s="2994">
        <v>1.5152000000000001</v>
      </c>
      <c r="AX498" s="2994">
        <v>1.7032</v>
      </c>
      <c r="AY498" s="2994">
        <v>2.5560999999999998</v>
      </c>
      <c r="AZ498" s="2994">
        <v>2.883</v>
      </c>
      <c r="BA498" s="2994">
        <v>2.8792</v>
      </c>
      <c r="BB498" s="2994">
        <v>2.8647</v>
      </c>
      <c r="BC498" s="2994">
        <v>2.8571</v>
      </c>
      <c r="BD498" s="3471">
        <v>2.7835000000000001</v>
      </c>
      <c r="BE498" s="3471">
        <v>2.7879</v>
      </c>
      <c r="BF498" s="3471">
        <v>0</v>
      </c>
    </row>
    <row r="499" spans="1:58">
      <c r="A499" s="1817" t="str">
        <f t="shared" si="15"/>
        <v>South AmericaAnise, badian, fennel, coriander</v>
      </c>
      <c r="B499" s="1818" t="s">
        <v>306</v>
      </c>
      <c r="C499" s="1818" t="s">
        <v>7284</v>
      </c>
      <c r="D499" s="3463" t="str">
        <f>VLOOKUP(B499,List_Yield!$G$4:$J$14,4,FALSE)</f>
        <v>South America</v>
      </c>
      <c r="E499" s="3463" t="str">
        <f t="shared" si="14"/>
        <v>South AmericaAnise, badian, fennel, coriander</v>
      </c>
      <c r="F499" s="2994">
        <v>0</v>
      </c>
      <c r="G499" s="2994">
        <v>0</v>
      </c>
      <c r="H499" s="2994">
        <v>0</v>
      </c>
      <c r="I499" s="2994">
        <v>0</v>
      </c>
      <c r="J499" s="2994">
        <v>0</v>
      </c>
      <c r="K499" s="2994">
        <v>0</v>
      </c>
      <c r="L499" s="2994">
        <v>0</v>
      </c>
      <c r="M499" s="2994">
        <v>0</v>
      </c>
      <c r="N499" s="2994">
        <v>0</v>
      </c>
      <c r="O499" s="2994">
        <v>0</v>
      </c>
      <c r="P499" s="2994">
        <v>0</v>
      </c>
      <c r="Q499" s="2994">
        <v>0</v>
      </c>
      <c r="R499" s="2994">
        <v>0</v>
      </c>
      <c r="S499" s="2994">
        <v>0</v>
      </c>
      <c r="T499" s="2994">
        <v>0</v>
      </c>
      <c r="U499" s="2994">
        <v>9.1</v>
      </c>
      <c r="V499" s="2994">
        <v>28.35</v>
      </c>
      <c r="W499" s="2994">
        <v>83.5</v>
      </c>
      <c r="X499" s="2994">
        <v>45.576900000000002</v>
      </c>
      <c r="Y499" s="2994">
        <v>38.200000000000003</v>
      </c>
      <c r="Z499" s="2994">
        <v>6.7750000000000004</v>
      </c>
      <c r="AA499" s="2994">
        <v>15.088200000000001</v>
      </c>
      <c r="AB499" s="2994">
        <v>22.36</v>
      </c>
      <c r="AC499" s="2994">
        <v>38.366700000000002</v>
      </c>
      <c r="AD499" s="2994">
        <v>0.6663</v>
      </c>
      <c r="AE499" s="2994">
        <v>0.68430000000000002</v>
      </c>
      <c r="AF499" s="2994">
        <v>0.72330000000000005</v>
      </c>
      <c r="AG499" s="2994">
        <v>0.65680000000000005</v>
      </c>
      <c r="AH499" s="2994">
        <v>0.74319999999999997</v>
      </c>
      <c r="AI499" s="2994">
        <v>0.63700000000000001</v>
      </c>
      <c r="AJ499" s="2994">
        <v>0.55710000000000004</v>
      </c>
      <c r="AK499" s="2994">
        <v>0.77749999999999997</v>
      </c>
      <c r="AL499" s="2994">
        <v>0.78290000000000004</v>
      </c>
      <c r="AM499" s="2994">
        <v>0.80920000000000003</v>
      </c>
      <c r="AN499" s="2994">
        <v>0.81330000000000002</v>
      </c>
      <c r="AO499" s="2994">
        <v>0.57799999999999996</v>
      </c>
      <c r="AP499" s="2994">
        <v>0.72009999999999996</v>
      </c>
      <c r="AQ499" s="2994">
        <v>0.83950000000000002</v>
      </c>
      <c r="AR499" s="2994">
        <v>0.79769999999999996</v>
      </c>
      <c r="AS499" s="2994">
        <v>0.75580000000000003</v>
      </c>
      <c r="AT499" s="2994">
        <v>0.82469999999999999</v>
      </c>
      <c r="AU499" s="2994">
        <v>0.75839999999999996</v>
      </c>
      <c r="AV499" s="2994">
        <v>2.5718000000000001</v>
      </c>
      <c r="AW499" s="2994">
        <v>2.6802000000000001</v>
      </c>
      <c r="AX499" s="2994">
        <v>1.9803999999999999</v>
      </c>
      <c r="AY499" s="2994">
        <v>2.0861000000000001</v>
      </c>
      <c r="AZ499" s="2994">
        <v>2.1526999999999998</v>
      </c>
      <c r="BA499" s="2994">
        <v>2.1760999999999999</v>
      </c>
      <c r="BB499" s="2994">
        <v>2.0666000000000002</v>
      </c>
      <c r="BC499" s="2994">
        <v>2.3521000000000001</v>
      </c>
      <c r="BD499" s="3471">
        <v>2.7385999999999999</v>
      </c>
      <c r="BE499" s="3471">
        <v>2.3698999999999999</v>
      </c>
      <c r="BF499" s="3471">
        <v>0</v>
      </c>
    </row>
    <row r="500" spans="1:58">
      <c r="A500" s="1817" t="str">
        <f t="shared" si="15"/>
        <v>South AmericaApples</v>
      </c>
      <c r="B500" s="1818" t="s">
        <v>306</v>
      </c>
      <c r="C500" s="1818" t="s">
        <v>7285</v>
      </c>
      <c r="D500" s="3463" t="str">
        <f>VLOOKUP(B500,List_Yield!$G$4:$J$14,4,FALSE)</f>
        <v>South America</v>
      </c>
      <c r="E500" s="3463" t="str">
        <f t="shared" si="14"/>
        <v>South AmericaApples</v>
      </c>
      <c r="F500" s="2994">
        <v>28.0107</v>
      </c>
      <c r="G500" s="2994">
        <v>26.912700000000001</v>
      </c>
      <c r="H500" s="2994">
        <v>30.324999999999999</v>
      </c>
      <c r="I500" s="2994">
        <v>25.040700000000001</v>
      </c>
      <c r="J500" s="2994">
        <v>33.378799999999998</v>
      </c>
      <c r="K500" s="2994">
        <v>28.9498</v>
      </c>
      <c r="L500" s="2994">
        <v>32.774799999999999</v>
      </c>
      <c r="M500" s="2994">
        <v>28.5564</v>
      </c>
      <c r="N500" s="2994">
        <v>26.925000000000001</v>
      </c>
      <c r="O500" s="2994">
        <v>27.258400000000002</v>
      </c>
      <c r="P500" s="2994">
        <v>25.6419</v>
      </c>
      <c r="Q500" s="2994">
        <v>31.546199999999999</v>
      </c>
      <c r="R500" s="2994">
        <v>18.039400000000001</v>
      </c>
      <c r="S500" s="2994">
        <v>37.902500000000003</v>
      </c>
      <c r="T500" s="2994">
        <v>30.194600000000001</v>
      </c>
      <c r="U500" s="2994">
        <v>29.286300000000001</v>
      </c>
      <c r="V500" s="2994">
        <v>36.042499999999997</v>
      </c>
      <c r="W500" s="2994">
        <v>35.290900000000001</v>
      </c>
      <c r="X500" s="2994">
        <v>38.866500000000002</v>
      </c>
      <c r="Y500" s="2994">
        <v>16.239000000000001</v>
      </c>
      <c r="Z500" s="2994">
        <v>16.481300000000001</v>
      </c>
      <c r="AA500" s="2994">
        <v>15.4618</v>
      </c>
      <c r="AB500" s="2994">
        <v>14.827</v>
      </c>
      <c r="AC500" s="2994">
        <v>17.010100000000001</v>
      </c>
      <c r="AD500" s="2994">
        <v>17.037199999999999</v>
      </c>
      <c r="AE500" s="2994">
        <v>14.737399999999999</v>
      </c>
      <c r="AF500" s="2994">
        <v>19.034500000000001</v>
      </c>
      <c r="AG500" s="2994">
        <v>18.787099999999999</v>
      </c>
      <c r="AH500" s="2994">
        <v>18.997499999999999</v>
      </c>
      <c r="AI500" s="2994">
        <v>21.460599999999999</v>
      </c>
      <c r="AJ500" s="2994">
        <v>22.772300000000001</v>
      </c>
      <c r="AK500" s="2994">
        <v>23.629100000000001</v>
      </c>
      <c r="AL500" s="2994">
        <v>22.788799999999998</v>
      </c>
      <c r="AM500" s="2994">
        <v>22.134</v>
      </c>
      <c r="AN500" s="2994">
        <v>22.8414</v>
      </c>
      <c r="AO500" s="2994">
        <v>23.636099999999999</v>
      </c>
      <c r="AP500" s="2994">
        <v>22.797699999999999</v>
      </c>
      <c r="AQ500" s="2994">
        <v>22.896699999999999</v>
      </c>
      <c r="AR500" s="2994">
        <v>26.584299999999999</v>
      </c>
      <c r="AS500" s="2994">
        <v>22.763400000000001</v>
      </c>
      <c r="AT500" s="2994">
        <v>25.7422</v>
      </c>
      <c r="AU500" s="2994">
        <v>24.816600000000001</v>
      </c>
      <c r="AV500" s="2994">
        <v>26.708300000000001</v>
      </c>
      <c r="AW500" s="2994">
        <v>29.872399999999999</v>
      </c>
      <c r="AX500" s="2994">
        <v>27.6433</v>
      </c>
      <c r="AY500" s="2994">
        <v>26.797699999999999</v>
      </c>
      <c r="AZ500" s="2994">
        <v>28.061499999999999</v>
      </c>
      <c r="BA500" s="2994">
        <v>28.722799999999999</v>
      </c>
      <c r="BB500" s="2994">
        <v>27.793199999999999</v>
      </c>
      <c r="BC500" s="2994">
        <v>31.4009</v>
      </c>
      <c r="BD500" s="3471">
        <v>32.567799999999998</v>
      </c>
      <c r="BE500" s="3471">
        <v>33.470599999999997</v>
      </c>
      <c r="BF500" s="3471">
        <v>0</v>
      </c>
    </row>
    <row r="501" spans="1:58">
      <c r="A501" s="1817" t="str">
        <f t="shared" si="15"/>
        <v>South AmericaApricots</v>
      </c>
      <c r="B501" s="1818" t="s">
        <v>306</v>
      </c>
      <c r="C501" s="1818" t="s">
        <v>7286</v>
      </c>
      <c r="D501" s="3463" t="str">
        <f>VLOOKUP(B501,List_Yield!$G$4:$J$14,4,FALSE)</f>
        <v>South America</v>
      </c>
      <c r="E501" s="3463" t="str">
        <f t="shared" si="14"/>
        <v>South AmericaApricots</v>
      </c>
      <c r="F501" s="2994">
        <v>26.345300000000002</v>
      </c>
      <c r="G501" s="2994">
        <v>23.442699999999999</v>
      </c>
      <c r="H501" s="2994">
        <v>22.7333</v>
      </c>
      <c r="I501" s="2994">
        <v>20.418800000000001</v>
      </c>
      <c r="J501" s="2994">
        <v>21.982900000000001</v>
      </c>
      <c r="K501" s="2994">
        <v>21.614999999999998</v>
      </c>
      <c r="L501" s="2994">
        <v>25.321100000000001</v>
      </c>
      <c r="M501" s="2994">
        <v>23.905000000000001</v>
      </c>
      <c r="N501" s="2994">
        <v>22.545500000000001</v>
      </c>
      <c r="O501" s="2994">
        <v>20.633400000000002</v>
      </c>
      <c r="P501" s="2994">
        <v>21.3202</v>
      </c>
      <c r="Q501" s="2994">
        <v>21.734000000000002</v>
      </c>
      <c r="R501" s="2994">
        <v>13.7064</v>
      </c>
      <c r="S501" s="2994">
        <v>23.423300000000001</v>
      </c>
      <c r="T501" s="2994">
        <v>23.429500000000001</v>
      </c>
      <c r="U501" s="2994">
        <v>24.307700000000001</v>
      </c>
      <c r="V501" s="2994">
        <v>27.105699999999999</v>
      </c>
      <c r="W501" s="2994">
        <v>23.1526</v>
      </c>
      <c r="X501" s="2994">
        <v>23.6129</v>
      </c>
      <c r="Y501" s="2994">
        <v>5.8426</v>
      </c>
      <c r="Z501" s="2994">
        <v>4.1566000000000001</v>
      </c>
      <c r="AA501" s="2994">
        <v>5.7382</v>
      </c>
      <c r="AB501" s="2994">
        <v>6.7195999999999998</v>
      </c>
      <c r="AC501" s="2994">
        <v>7.2050000000000001</v>
      </c>
      <c r="AD501" s="2994">
        <v>6.4105999999999996</v>
      </c>
      <c r="AE501" s="2994">
        <v>4.4351000000000003</v>
      </c>
      <c r="AF501" s="2994">
        <v>4.1124000000000001</v>
      </c>
      <c r="AG501" s="2994">
        <v>6.9359000000000002</v>
      </c>
      <c r="AH501" s="2994">
        <v>5.9783999999999997</v>
      </c>
      <c r="AI501" s="2994">
        <v>7.0595999999999997</v>
      </c>
      <c r="AJ501" s="2994">
        <v>5.4649999999999999</v>
      </c>
      <c r="AK501" s="2994">
        <v>7.008</v>
      </c>
      <c r="AL501" s="2994">
        <v>7.2645999999999997</v>
      </c>
      <c r="AM501" s="2994">
        <v>8.6414000000000009</v>
      </c>
      <c r="AN501" s="2994">
        <v>8.7019000000000002</v>
      </c>
      <c r="AO501" s="2994">
        <v>9.3161000000000005</v>
      </c>
      <c r="AP501" s="2994">
        <v>10.3142</v>
      </c>
      <c r="AQ501" s="2994">
        <v>9.2363</v>
      </c>
      <c r="AR501" s="2994">
        <v>10.0242</v>
      </c>
      <c r="AS501" s="2994">
        <v>11.1579</v>
      </c>
      <c r="AT501" s="2994">
        <v>9.6282999999999994</v>
      </c>
      <c r="AU501" s="2994">
        <v>10.178000000000001</v>
      </c>
      <c r="AV501" s="2994">
        <v>11.1343</v>
      </c>
      <c r="AW501" s="2994">
        <v>10.5388</v>
      </c>
      <c r="AX501" s="2994">
        <v>10.8566</v>
      </c>
      <c r="AY501" s="2994">
        <v>10.0669</v>
      </c>
      <c r="AZ501" s="2994">
        <v>9.9257000000000009</v>
      </c>
      <c r="BA501" s="2994">
        <v>9.8470999999999993</v>
      </c>
      <c r="BB501" s="2994">
        <v>9.1684999999999999</v>
      </c>
      <c r="BC501" s="2994">
        <v>9.1366999999999994</v>
      </c>
      <c r="BD501" s="3471">
        <v>7.77</v>
      </c>
      <c r="BE501" s="3471">
        <v>9.2594999999999992</v>
      </c>
      <c r="BF501" s="3471">
        <v>0</v>
      </c>
    </row>
    <row r="502" spans="1:58">
      <c r="A502" s="1817" t="str">
        <f t="shared" si="15"/>
        <v>South AmericaAreca nuts</v>
      </c>
      <c r="B502" s="1818" t="s">
        <v>306</v>
      </c>
      <c r="C502" s="1818" t="s">
        <v>7287</v>
      </c>
      <c r="D502" s="3463" t="str">
        <f>VLOOKUP(B502,List_Yield!$G$4:$J$14,4,FALSE)</f>
        <v>South America</v>
      </c>
      <c r="E502" s="3463" t="str">
        <f t="shared" si="14"/>
        <v>South AmericaAreca nuts</v>
      </c>
      <c r="F502" s="2994">
        <v>0</v>
      </c>
      <c r="G502" s="2994">
        <v>0</v>
      </c>
      <c r="H502" s="2994">
        <v>0</v>
      </c>
      <c r="I502" s="2994">
        <v>0</v>
      </c>
      <c r="J502" s="2994">
        <v>0</v>
      </c>
      <c r="K502" s="2994">
        <v>0</v>
      </c>
      <c r="L502" s="2994">
        <v>0</v>
      </c>
      <c r="M502" s="2994">
        <v>0</v>
      </c>
      <c r="N502" s="2994">
        <v>0</v>
      </c>
      <c r="O502" s="2994">
        <v>0</v>
      </c>
      <c r="P502" s="2994">
        <v>0</v>
      </c>
      <c r="Q502" s="2994">
        <v>0</v>
      </c>
      <c r="R502" s="2994">
        <v>0</v>
      </c>
      <c r="S502" s="2994">
        <v>0</v>
      </c>
      <c r="T502" s="2994">
        <v>0</v>
      </c>
      <c r="U502" s="2994">
        <v>0</v>
      </c>
      <c r="V502" s="2994">
        <v>0</v>
      </c>
      <c r="W502" s="2994">
        <v>0</v>
      </c>
      <c r="X502" s="2994">
        <v>0</v>
      </c>
      <c r="Y502" s="2994">
        <v>0</v>
      </c>
      <c r="Z502" s="2994">
        <v>0</v>
      </c>
      <c r="AA502" s="2994">
        <v>0</v>
      </c>
      <c r="AB502" s="2994">
        <v>0</v>
      </c>
      <c r="AC502" s="2994">
        <v>0</v>
      </c>
      <c r="AD502" s="2994">
        <v>0</v>
      </c>
      <c r="AE502" s="2994">
        <v>0</v>
      </c>
      <c r="AF502" s="2994">
        <v>0</v>
      </c>
      <c r="AG502" s="2994">
        <v>0</v>
      </c>
      <c r="AH502" s="2994">
        <v>0</v>
      </c>
      <c r="AI502" s="2994">
        <v>0</v>
      </c>
      <c r="AJ502" s="2994">
        <v>0</v>
      </c>
      <c r="AK502" s="2994">
        <v>0</v>
      </c>
      <c r="AL502" s="2994">
        <v>0</v>
      </c>
      <c r="AM502" s="2994">
        <v>0</v>
      </c>
      <c r="AN502" s="2994">
        <v>0</v>
      </c>
      <c r="AO502" s="2994">
        <v>0</v>
      </c>
      <c r="AP502" s="2994">
        <v>0</v>
      </c>
      <c r="AQ502" s="2994">
        <v>0</v>
      </c>
      <c r="AR502" s="2994">
        <v>0</v>
      </c>
      <c r="AS502" s="2994">
        <v>0</v>
      </c>
      <c r="AT502" s="2994">
        <v>0</v>
      </c>
      <c r="AU502" s="2994">
        <v>0</v>
      </c>
      <c r="AV502" s="2994">
        <v>0</v>
      </c>
      <c r="AW502" s="2994">
        <v>0</v>
      </c>
      <c r="AX502" s="2994">
        <v>0</v>
      </c>
      <c r="AY502" s="2994">
        <v>0</v>
      </c>
      <c r="AZ502" s="2994">
        <v>0</v>
      </c>
      <c r="BA502" s="2994">
        <v>0</v>
      </c>
      <c r="BB502" s="2994">
        <v>0</v>
      </c>
      <c r="BC502" s="2994">
        <v>0</v>
      </c>
      <c r="BD502" s="3471">
        <v>0</v>
      </c>
      <c r="BE502" s="3471">
        <v>0</v>
      </c>
      <c r="BF502" s="3471">
        <v>0</v>
      </c>
    </row>
    <row r="503" spans="1:58">
      <c r="A503" s="1817" t="str">
        <f t="shared" si="15"/>
        <v>South AmericaArtichokes</v>
      </c>
      <c r="B503" s="1818" t="s">
        <v>306</v>
      </c>
      <c r="C503" s="1818" t="s">
        <v>7288</v>
      </c>
      <c r="D503" s="3463" t="str">
        <f>VLOOKUP(B503,List_Yield!$G$4:$J$14,4,FALSE)</f>
        <v>South America</v>
      </c>
      <c r="E503" s="3463" t="str">
        <f t="shared" si="14"/>
        <v>South AmericaArtichokes</v>
      </c>
      <c r="F503" s="2994">
        <v>8.7524999999999995</v>
      </c>
      <c r="G503" s="2994">
        <v>8.8553999999999995</v>
      </c>
      <c r="H503" s="2994">
        <v>8.2906999999999993</v>
      </c>
      <c r="I503" s="2994">
        <v>8.9390999999999998</v>
      </c>
      <c r="J503" s="2994">
        <v>9.8058999999999994</v>
      </c>
      <c r="K503" s="2994">
        <v>11.656700000000001</v>
      </c>
      <c r="L503" s="2994">
        <v>12.733700000000001</v>
      </c>
      <c r="M503" s="2994">
        <v>13.694699999999999</v>
      </c>
      <c r="N503" s="2994">
        <v>13.827299999999999</v>
      </c>
      <c r="O503" s="2994">
        <v>13.7684</v>
      </c>
      <c r="P503" s="2994">
        <v>14.403</v>
      </c>
      <c r="Q503" s="2994">
        <v>15.0923</v>
      </c>
      <c r="R503" s="2994">
        <v>15.2075</v>
      </c>
      <c r="S503" s="2994">
        <v>15.3789</v>
      </c>
      <c r="T503" s="2994">
        <v>14.8117</v>
      </c>
      <c r="U503" s="2994">
        <v>12.9178</v>
      </c>
      <c r="V503" s="2994">
        <v>13.826000000000001</v>
      </c>
      <c r="W503" s="2994">
        <v>13.8201</v>
      </c>
      <c r="X503" s="2994">
        <v>13.701599999999999</v>
      </c>
      <c r="Y503" s="2994">
        <v>14.036</v>
      </c>
      <c r="Z503" s="2994">
        <v>14.1784</v>
      </c>
      <c r="AA503" s="2994">
        <v>14.731999999999999</v>
      </c>
      <c r="AB503" s="2994">
        <v>14.478300000000001</v>
      </c>
      <c r="AC503" s="2994">
        <v>12.8559</v>
      </c>
      <c r="AD503" s="2994">
        <v>15.914300000000001</v>
      </c>
      <c r="AE503" s="2994">
        <v>14.848100000000001</v>
      </c>
      <c r="AF503" s="2994">
        <v>15.6121</v>
      </c>
      <c r="AG503" s="2994">
        <v>15.964</v>
      </c>
      <c r="AH503" s="2994">
        <v>15.428100000000001</v>
      </c>
      <c r="AI503" s="2994">
        <v>14.4664</v>
      </c>
      <c r="AJ503" s="2994">
        <v>14.994400000000001</v>
      </c>
      <c r="AK503" s="2994">
        <v>15.2181</v>
      </c>
      <c r="AL503" s="2994">
        <v>13.6816</v>
      </c>
      <c r="AM503" s="2994">
        <v>14.863</v>
      </c>
      <c r="AN503" s="2994">
        <v>14.3306</v>
      </c>
      <c r="AO503" s="2994">
        <v>13.8269</v>
      </c>
      <c r="AP503" s="2994">
        <v>13.8231</v>
      </c>
      <c r="AQ503" s="2994">
        <v>13.9442</v>
      </c>
      <c r="AR503" s="2994">
        <v>14.2263</v>
      </c>
      <c r="AS503" s="2994">
        <v>12.522600000000001</v>
      </c>
      <c r="AT503" s="2994">
        <v>12.2165</v>
      </c>
      <c r="AU503" s="2994">
        <v>14.168699999999999</v>
      </c>
      <c r="AV503" s="2994">
        <v>14.0756</v>
      </c>
      <c r="AW503" s="2994">
        <v>14.231</v>
      </c>
      <c r="AX503" s="2994">
        <v>14.765700000000001</v>
      </c>
      <c r="AY503" s="2994">
        <v>14.8736</v>
      </c>
      <c r="AZ503" s="2994">
        <v>15.0068</v>
      </c>
      <c r="BA503" s="2994">
        <v>14.9519</v>
      </c>
      <c r="BB503" s="2994">
        <v>14.742900000000001</v>
      </c>
      <c r="BC503" s="2994">
        <v>16.394600000000001</v>
      </c>
      <c r="BD503" s="3471">
        <v>17.608599999999999</v>
      </c>
      <c r="BE503" s="3471">
        <v>18.242999999999999</v>
      </c>
      <c r="BF503" s="3471">
        <v>0</v>
      </c>
    </row>
    <row r="504" spans="1:58">
      <c r="A504" s="1817" t="str">
        <f t="shared" si="15"/>
        <v>South AmericaAsparagus</v>
      </c>
      <c r="B504" s="1818" t="s">
        <v>306</v>
      </c>
      <c r="C504" s="1818" t="s">
        <v>7289</v>
      </c>
      <c r="D504" s="3463" t="str">
        <f>VLOOKUP(B504,List_Yield!$G$4:$J$14,4,FALSE)</f>
        <v>South America</v>
      </c>
      <c r="E504" s="3463" t="str">
        <f t="shared" si="14"/>
        <v>South AmericaAsparagus</v>
      </c>
      <c r="F504" s="2994">
        <v>4.1379000000000001</v>
      </c>
      <c r="G504" s="2994">
        <v>4.2474999999999996</v>
      </c>
      <c r="H504" s="2994">
        <v>4.2058999999999997</v>
      </c>
      <c r="I504" s="2994">
        <v>4.3449</v>
      </c>
      <c r="J504" s="2994">
        <v>4.2885999999999997</v>
      </c>
      <c r="K504" s="2994">
        <v>4.0891999999999999</v>
      </c>
      <c r="L504" s="2994">
        <v>4.8762999999999996</v>
      </c>
      <c r="M504" s="2994">
        <v>4.0986000000000002</v>
      </c>
      <c r="N504" s="2994">
        <v>4.0586000000000002</v>
      </c>
      <c r="O504" s="2994">
        <v>4.8139000000000003</v>
      </c>
      <c r="P504" s="2994">
        <v>4.2514000000000003</v>
      </c>
      <c r="Q504" s="2994">
        <v>4.9138000000000002</v>
      </c>
      <c r="R504" s="2994">
        <v>5.1063000000000001</v>
      </c>
      <c r="S504" s="2994">
        <v>4.1302000000000003</v>
      </c>
      <c r="T504" s="2994">
        <v>4.5118</v>
      </c>
      <c r="U504" s="2994">
        <v>4.7918000000000003</v>
      </c>
      <c r="V504" s="2994">
        <v>5.0038</v>
      </c>
      <c r="W504" s="2994">
        <v>4.8326000000000002</v>
      </c>
      <c r="X504" s="2994">
        <v>4.7454999999999998</v>
      </c>
      <c r="Y504" s="2994">
        <v>3.0049000000000001</v>
      </c>
      <c r="Z504" s="2994">
        <v>3.3348</v>
      </c>
      <c r="AA504" s="2994">
        <v>3.4584000000000001</v>
      </c>
      <c r="AB504" s="2994">
        <v>3.4773000000000001</v>
      </c>
      <c r="AC504" s="2994">
        <v>3.8767999999999998</v>
      </c>
      <c r="AD504" s="2994">
        <v>4.2644000000000002</v>
      </c>
      <c r="AE504" s="2994">
        <v>3.5926</v>
      </c>
      <c r="AF504" s="2994">
        <v>3.6545999999999998</v>
      </c>
      <c r="AG504" s="2994">
        <v>3.7894000000000001</v>
      </c>
      <c r="AH504" s="2994">
        <v>4.1349999999999998</v>
      </c>
      <c r="AI504" s="2994">
        <v>4.8743999999999996</v>
      </c>
      <c r="AJ504" s="2994">
        <v>4.8689999999999998</v>
      </c>
      <c r="AK504" s="2994">
        <v>5.0038</v>
      </c>
      <c r="AL504" s="2994">
        <v>5.1037999999999997</v>
      </c>
      <c r="AM504" s="2994">
        <v>6.5867000000000004</v>
      </c>
      <c r="AN504" s="2994">
        <v>5.0294999999999996</v>
      </c>
      <c r="AO504" s="2994">
        <v>5.2747000000000002</v>
      </c>
      <c r="AP504" s="2994">
        <v>7.4414999999999996</v>
      </c>
      <c r="AQ504" s="2994">
        <v>7.4058999999999999</v>
      </c>
      <c r="AR504" s="2994">
        <v>7.9781000000000004</v>
      </c>
      <c r="AS504" s="2994">
        <v>7.0717999999999996</v>
      </c>
      <c r="AT504" s="2994">
        <v>8.2865000000000002</v>
      </c>
      <c r="AU504" s="2994">
        <v>8.1666000000000007</v>
      </c>
      <c r="AV504" s="2994">
        <v>8.7173999999999996</v>
      </c>
      <c r="AW504" s="2994">
        <v>8.6547000000000001</v>
      </c>
      <c r="AX504" s="2994">
        <v>9.4271999999999991</v>
      </c>
      <c r="AY504" s="2994">
        <v>10.8582</v>
      </c>
      <c r="AZ504" s="2994">
        <v>10.798500000000001</v>
      </c>
      <c r="BA504" s="2994">
        <v>10.021000000000001</v>
      </c>
      <c r="BB504" s="2994">
        <v>9.7157</v>
      </c>
      <c r="BC504" s="2994">
        <v>9.8027999999999995</v>
      </c>
      <c r="BD504" s="3471">
        <v>10.7121</v>
      </c>
      <c r="BE504" s="3471">
        <v>10.3551</v>
      </c>
      <c r="BF504" s="3471">
        <v>0</v>
      </c>
    </row>
    <row r="505" spans="1:58">
      <c r="A505" s="1817" t="str">
        <f t="shared" si="15"/>
        <v>South AmericaAvocados</v>
      </c>
      <c r="B505" s="1818" t="s">
        <v>306</v>
      </c>
      <c r="C505" s="1818" t="s">
        <v>7290</v>
      </c>
      <c r="D505" s="3463" t="str">
        <f>VLOOKUP(B505,List_Yield!$G$4:$J$14,4,FALSE)</f>
        <v>South America</v>
      </c>
      <c r="E505" s="3463" t="str">
        <f t="shared" si="14"/>
        <v>South AmericaAvocados</v>
      </c>
      <c r="F505" s="2994">
        <v>6.9036</v>
      </c>
      <c r="G505" s="2994">
        <v>7.3181000000000003</v>
      </c>
      <c r="H505" s="2994">
        <v>7.3673999999999999</v>
      </c>
      <c r="I505" s="2994">
        <v>7.3407</v>
      </c>
      <c r="J505" s="2994">
        <v>7.4543999999999997</v>
      </c>
      <c r="K505" s="2994">
        <v>7.5971000000000002</v>
      </c>
      <c r="L505" s="2994">
        <v>7.6226000000000003</v>
      </c>
      <c r="M505" s="2994">
        <v>7.7976000000000001</v>
      </c>
      <c r="N505" s="2994">
        <v>7.5034999999999998</v>
      </c>
      <c r="O505" s="2994">
        <v>7.7145999999999999</v>
      </c>
      <c r="P505" s="2994">
        <v>8.2021999999999995</v>
      </c>
      <c r="Q505" s="2994">
        <v>8.7906999999999993</v>
      </c>
      <c r="R505" s="2994">
        <v>7.3949999999999996</v>
      </c>
      <c r="S505" s="2994">
        <v>7.2836999999999996</v>
      </c>
      <c r="T505" s="2994">
        <v>7.1704999999999997</v>
      </c>
      <c r="U505" s="2994">
        <v>7.3251999999999997</v>
      </c>
      <c r="V505" s="2994">
        <v>7.4576000000000002</v>
      </c>
      <c r="W505" s="2994">
        <v>7.0206999999999997</v>
      </c>
      <c r="X505" s="2994">
        <v>7.1016000000000004</v>
      </c>
      <c r="Y505" s="2994">
        <v>7.1009000000000002</v>
      </c>
      <c r="Z505" s="2994">
        <v>6.9966999999999997</v>
      </c>
      <c r="AA505" s="2994">
        <v>7.1957000000000004</v>
      </c>
      <c r="AB505" s="2994">
        <v>7.18</v>
      </c>
      <c r="AC505" s="2994">
        <v>7.202</v>
      </c>
      <c r="AD505" s="2994">
        <v>6.6032000000000002</v>
      </c>
      <c r="AE505" s="2994">
        <v>6.8273000000000001</v>
      </c>
      <c r="AF505" s="2994">
        <v>6.6806999999999999</v>
      </c>
      <c r="AG505" s="2994">
        <v>6.6990999999999996</v>
      </c>
      <c r="AH505" s="2994">
        <v>6.9347000000000003</v>
      </c>
      <c r="AI505" s="2994">
        <v>6.7573999999999996</v>
      </c>
      <c r="AJ505" s="2994">
        <v>6.9245999999999999</v>
      </c>
      <c r="AK505" s="2994">
        <v>7.1380999999999997</v>
      </c>
      <c r="AL505" s="2994">
        <v>6.7944000000000004</v>
      </c>
      <c r="AM505" s="2994">
        <v>6.2115999999999998</v>
      </c>
      <c r="AN505" s="2994">
        <v>6.1721000000000004</v>
      </c>
      <c r="AO505" s="2994">
        <v>6.4237000000000002</v>
      </c>
      <c r="AP505" s="2994">
        <v>7.2580999999999998</v>
      </c>
      <c r="AQ505" s="2994">
        <v>6.9678000000000004</v>
      </c>
      <c r="AR505" s="2994">
        <v>7.4814999999999996</v>
      </c>
      <c r="AS505" s="2994">
        <v>7.1597999999999997</v>
      </c>
      <c r="AT505" s="2994">
        <v>8.2456999999999994</v>
      </c>
      <c r="AU505" s="2994">
        <v>8.8489000000000004</v>
      </c>
      <c r="AV505" s="2994">
        <v>8.9009999999999998</v>
      </c>
      <c r="AW505" s="2994">
        <v>9.2560000000000002</v>
      </c>
      <c r="AX505" s="2994">
        <v>8.9695999999999998</v>
      </c>
      <c r="AY505" s="2994">
        <v>9.5845000000000002</v>
      </c>
      <c r="AZ505" s="2994">
        <v>9.7009000000000007</v>
      </c>
      <c r="BA505" s="2994">
        <v>7.9680999999999997</v>
      </c>
      <c r="BB505" s="2994">
        <v>9.2257999999999996</v>
      </c>
      <c r="BC505" s="2994">
        <v>8.4004999999999992</v>
      </c>
      <c r="BD505" s="3471">
        <v>8.3168000000000006</v>
      </c>
      <c r="BE505" s="3471">
        <v>8.3452000000000002</v>
      </c>
      <c r="BF505" s="3471">
        <v>0</v>
      </c>
    </row>
    <row r="506" spans="1:58">
      <c r="A506" s="1817" t="str">
        <f t="shared" si="15"/>
        <v>South AmericaBambara beans</v>
      </c>
      <c r="B506" s="1818" t="s">
        <v>306</v>
      </c>
      <c r="C506" s="1818" t="s">
        <v>7291</v>
      </c>
      <c r="D506" s="3463" t="str">
        <f>VLOOKUP(B506,List_Yield!$G$4:$J$14,4,FALSE)</f>
        <v>South America</v>
      </c>
      <c r="E506" s="3463" t="str">
        <f t="shared" si="14"/>
        <v>South AmericaBambara beans</v>
      </c>
      <c r="F506" s="2994">
        <v>0</v>
      </c>
      <c r="G506" s="2994">
        <v>0</v>
      </c>
      <c r="H506" s="2994">
        <v>0</v>
      </c>
      <c r="I506" s="2994">
        <v>0</v>
      </c>
      <c r="J506" s="2994">
        <v>0</v>
      </c>
      <c r="K506" s="2994">
        <v>0</v>
      </c>
      <c r="L506" s="2994">
        <v>0</v>
      </c>
      <c r="M506" s="2994">
        <v>0</v>
      </c>
      <c r="N506" s="2994">
        <v>0</v>
      </c>
      <c r="O506" s="2994">
        <v>0</v>
      </c>
      <c r="P506" s="2994">
        <v>0</v>
      </c>
      <c r="Q506" s="2994">
        <v>0</v>
      </c>
      <c r="R506" s="2994">
        <v>0</v>
      </c>
      <c r="S506" s="2994">
        <v>0</v>
      </c>
      <c r="T506" s="2994">
        <v>0</v>
      </c>
      <c r="U506" s="2994">
        <v>0</v>
      </c>
      <c r="V506" s="2994">
        <v>0</v>
      </c>
      <c r="W506" s="2994">
        <v>0</v>
      </c>
      <c r="X506" s="2994">
        <v>0</v>
      </c>
      <c r="Y506" s="2994">
        <v>0</v>
      </c>
      <c r="Z506" s="2994">
        <v>0</v>
      </c>
      <c r="AA506" s="2994">
        <v>0</v>
      </c>
      <c r="AB506" s="2994">
        <v>0</v>
      </c>
      <c r="AC506" s="2994">
        <v>0</v>
      </c>
      <c r="AD506" s="2994">
        <v>0</v>
      </c>
      <c r="AE506" s="2994">
        <v>0</v>
      </c>
      <c r="AF506" s="2994">
        <v>0</v>
      </c>
      <c r="AG506" s="2994">
        <v>0</v>
      </c>
      <c r="AH506" s="2994">
        <v>0</v>
      </c>
      <c r="AI506" s="2994">
        <v>0</v>
      </c>
      <c r="AJ506" s="2994">
        <v>0</v>
      </c>
      <c r="AK506" s="2994">
        <v>0</v>
      </c>
      <c r="AL506" s="2994">
        <v>0</v>
      </c>
      <c r="AM506" s="2994">
        <v>0</v>
      </c>
      <c r="AN506" s="2994">
        <v>0</v>
      </c>
      <c r="AO506" s="2994">
        <v>0</v>
      </c>
      <c r="AP506" s="2994">
        <v>0</v>
      </c>
      <c r="AQ506" s="2994">
        <v>0</v>
      </c>
      <c r="AR506" s="2994">
        <v>0</v>
      </c>
      <c r="AS506" s="2994">
        <v>0</v>
      </c>
      <c r="AT506" s="2994">
        <v>0</v>
      </c>
      <c r="AU506" s="2994">
        <v>0</v>
      </c>
      <c r="AV506" s="2994">
        <v>0</v>
      </c>
      <c r="AW506" s="2994">
        <v>0</v>
      </c>
      <c r="AX506" s="2994">
        <v>0</v>
      </c>
      <c r="AY506" s="2994">
        <v>0</v>
      </c>
      <c r="AZ506" s="2994">
        <v>0</v>
      </c>
      <c r="BA506" s="2994">
        <v>0</v>
      </c>
      <c r="BB506" s="2994">
        <v>0</v>
      </c>
      <c r="BC506" s="2994">
        <v>0</v>
      </c>
      <c r="BD506" s="3471">
        <v>0</v>
      </c>
      <c r="BE506" s="3471">
        <v>0</v>
      </c>
      <c r="BF506" s="3471">
        <v>0</v>
      </c>
    </row>
    <row r="507" spans="1:58">
      <c r="A507" s="1817" t="str">
        <f t="shared" si="15"/>
        <v>South AmericaBananas</v>
      </c>
      <c r="B507" s="1818" t="s">
        <v>306</v>
      </c>
      <c r="C507" s="1818" t="s">
        <v>1336</v>
      </c>
      <c r="D507" s="3463" t="str">
        <f>VLOOKUP(B507,List_Yield!$G$4:$J$14,4,FALSE)</f>
        <v>South America</v>
      </c>
      <c r="E507" s="3463" t="str">
        <f t="shared" si="14"/>
        <v>South AmericaBananas</v>
      </c>
      <c r="F507" s="2994">
        <v>17.826599999999999</v>
      </c>
      <c r="G507" s="2994">
        <v>17.835699999999999</v>
      </c>
      <c r="H507" s="2994">
        <v>17.259599999999999</v>
      </c>
      <c r="I507" s="2994">
        <v>17.572900000000001</v>
      </c>
      <c r="J507" s="2994">
        <v>16.3934</v>
      </c>
      <c r="K507" s="2994">
        <v>15.574400000000001</v>
      </c>
      <c r="L507" s="2994">
        <v>16.0077</v>
      </c>
      <c r="M507" s="2994">
        <v>16.682400000000001</v>
      </c>
      <c r="N507" s="2994">
        <v>17.898499999999999</v>
      </c>
      <c r="O507" s="2994">
        <v>18.082000000000001</v>
      </c>
      <c r="P507" s="2994">
        <v>18.4145</v>
      </c>
      <c r="Q507" s="2994">
        <v>19.909300000000002</v>
      </c>
      <c r="R507" s="2994">
        <v>15.186</v>
      </c>
      <c r="S507" s="2994">
        <v>16.002800000000001</v>
      </c>
      <c r="T507" s="2994">
        <v>17.255600000000001</v>
      </c>
      <c r="U507" s="2994">
        <v>18.4864</v>
      </c>
      <c r="V507" s="2994">
        <v>16.759799999999998</v>
      </c>
      <c r="W507" s="2994">
        <v>17.344999999999999</v>
      </c>
      <c r="X507" s="2994">
        <v>16.766999999999999</v>
      </c>
      <c r="Y507" s="2994">
        <v>17.1493</v>
      </c>
      <c r="Z507" s="2994">
        <v>16.598199999999999</v>
      </c>
      <c r="AA507" s="2994">
        <v>16.536799999999999</v>
      </c>
      <c r="AB507" s="2994">
        <v>15.641400000000001</v>
      </c>
      <c r="AC507" s="2994">
        <v>16.328700000000001</v>
      </c>
      <c r="AD507" s="2994">
        <v>15.9696</v>
      </c>
      <c r="AE507" s="2994">
        <v>15.5762</v>
      </c>
      <c r="AF507" s="2994">
        <v>14.9986</v>
      </c>
      <c r="AG507" s="2994">
        <v>15.037699999999999</v>
      </c>
      <c r="AH507" s="2994">
        <v>15.0503</v>
      </c>
      <c r="AI507" s="2994">
        <v>15.4795</v>
      </c>
      <c r="AJ507" s="2994">
        <v>15.873200000000001</v>
      </c>
      <c r="AK507" s="2994">
        <v>15.6967</v>
      </c>
      <c r="AL507" s="2994">
        <v>15.8201</v>
      </c>
      <c r="AM507" s="2994">
        <v>16.540199999999999</v>
      </c>
      <c r="AN507" s="2994">
        <v>16.184100000000001</v>
      </c>
      <c r="AO507" s="2994">
        <v>16.1234</v>
      </c>
      <c r="AP507" s="2994">
        <v>18.324100000000001</v>
      </c>
      <c r="AQ507" s="2994">
        <v>15.9306</v>
      </c>
      <c r="AR507" s="2994">
        <v>17.667300000000001</v>
      </c>
      <c r="AS507" s="2994">
        <v>16.449000000000002</v>
      </c>
      <c r="AT507" s="2994">
        <v>17.110199999999999</v>
      </c>
      <c r="AU507" s="2994">
        <v>16.8826</v>
      </c>
      <c r="AV507" s="2994">
        <v>18.150300000000001</v>
      </c>
      <c r="AW507" s="2994">
        <v>17.890899999999998</v>
      </c>
      <c r="AX507" s="2994">
        <v>18.214300000000001</v>
      </c>
      <c r="AY507" s="2994">
        <v>18.417100000000001</v>
      </c>
      <c r="AZ507" s="2994">
        <v>18.5215</v>
      </c>
      <c r="BA507" s="2994">
        <v>19.130400000000002</v>
      </c>
      <c r="BB507" s="2994">
        <v>20.722999999999999</v>
      </c>
      <c r="BC507" s="2994">
        <v>20.925799999999999</v>
      </c>
      <c r="BD507" s="3471">
        <v>21.076799999999999</v>
      </c>
      <c r="BE507" s="3471">
        <v>20.0717</v>
      </c>
      <c r="BF507" s="3471">
        <v>0</v>
      </c>
    </row>
    <row r="508" spans="1:58">
      <c r="A508" s="1817" t="str">
        <f t="shared" si="15"/>
        <v>South AmericaBarley</v>
      </c>
      <c r="B508" s="1818" t="s">
        <v>306</v>
      </c>
      <c r="C508" s="1818" t="s">
        <v>1337</v>
      </c>
      <c r="D508" s="3463" t="str">
        <f>VLOOKUP(B508,List_Yield!$G$4:$J$14,4,FALSE)</f>
        <v>South America</v>
      </c>
      <c r="E508" s="3463" t="str">
        <f t="shared" si="14"/>
        <v>South AmericaBarley</v>
      </c>
      <c r="F508" s="2994">
        <v>1.0590999999999999</v>
      </c>
      <c r="G508" s="2994">
        <v>0.99850000000000005</v>
      </c>
      <c r="H508" s="2994">
        <v>1.2407999999999999</v>
      </c>
      <c r="I508" s="2994">
        <v>1.2197</v>
      </c>
      <c r="J508" s="2994">
        <v>0.99390000000000001</v>
      </c>
      <c r="K508" s="2994">
        <v>0.97219999999999995</v>
      </c>
      <c r="L508" s="2994">
        <v>1.0552999999999999</v>
      </c>
      <c r="M508" s="2994">
        <v>1.0139</v>
      </c>
      <c r="N508" s="2994">
        <v>1.0846</v>
      </c>
      <c r="O508" s="2994">
        <v>1.0008999999999999</v>
      </c>
      <c r="P508" s="2994">
        <v>1.0518000000000001</v>
      </c>
      <c r="Q508" s="2994">
        <v>1.2401</v>
      </c>
      <c r="R508" s="2994">
        <v>1.2235</v>
      </c>
      <c r="S508" s="2994">
        <v>1.1295999999999999</v>
      </c>
      <c r="T508" s="2994">
        <v>1.121</v>
      </c>
      <c r="U508" s="2994">
        <v>1.2830999999999999</v>
      </c>
      <c r="V508" s="2994">
        <v>1.0662</v>
      </c>
      <c r="W508" s="2994">
        <v>1.3403</v>
      </c>
      <c r="X508" s="2994">
        <v>1.2416</v>
      </c>
      <c r="Y508" s="2994">
        <v>1.2121</v>
      </c>
      <c r="Z508" s="2994">
        <v>1.149</v>
      </c>
      <c r="AA508" s="2994">
        <v>1.1539999999999999</v>
      </c>
      <c r="AB508" s="2994">
        <v>1.2262</v>
      </c>
      <c r="AC508" s="2994">
        <v>1.3716999999999999</v>
      </c>
      <c r="AD508" s="2994">
        <v>1.3291999999999999</v>
      </c>
      <c r="AE508" s="2994">
        <v>1.3891</v>
      </c>
      <c r="AF508" s="2994">
        <v>1.5619000000000001</v>
      </c>
      <c r="AG508" s="2994">
        <v>1.609</v>
      </c>
      <c r="AH508" s="2994">
        <v>1.7383999999999999</v>
      </c>
      <c r="AI508" s="2994">
        <v>1.5709</v>
      </c>
      <c r="AJ508" s="2994">
        <v>1.6374</v>
      </c>
      <c r="AK508" s="2994">
        <v>1.8931</v>
      </c>
      <c r="AL508" s="2994">
        <v>1.6138999999999999</v>
      </c>
      <c r="AM508" s="2994">
        <v>1.6957</v>
      </c>
      <c r="AN508" s="2994">
        <v>1.651</v>
      </c>
      <c r="AO508" s="2994">
        <v>1.8205</v>
      </c>
      <c r="AP508" s="2994">
        <v>1.9921</v>
      </c>
      <c r="AQ508" s="2994">
        <v>1.9017999999999999</v>
      </c>
      <c r="AR508" s="2994">
        <v>1.7641</v>
      </c>
      <c r="AS508" s="2994">
        <v>1.9434</v>
      </c>
      <c r="AT508" s="2994">
        <v>1.5607</v>
      </c>
      <c r="AU508" s="2994">
        <v>1.7083999999999999</v>
      </c>
      <c r="AV508" s="2994">
        <v>2.3458999999999999</v>
      </c>
      <c r="AW508" s="2994">
        <v>2.4235000000000002</v>
      </c>
      <c r="AX508" s="2994">
        <v>2.2103999999999999</v>
      </c>
      <c r="AY508" s="2994">
        <v>2.7149000000000001</v>
      </c>
      <c r="AZ508" s="2994">
        <v>2.5076000000000001</v>
      </c>
      <c r="BA508" s="2994">
        <v>2.5131000000000001</v>
      </c>
      <c r="BB508" s="2994">
        <v>2.4079000000000002</v>
      </c>
      <c r="BC508" s="2994">
        <v>3.3136999999999999</v>
      </c>
      <c r="BD508" s="3471">
        <v>3.2574000000000001</v>
      </c>
      <c r="BE508" s="3471">
        <v>2.7764000000000002</v>
      </c>
      <c r="BF508" s="3471">
        <v>3.4941</v>
      </c>
    </row>
    <row r="509" spans="1:58">
      <c r="A509" s="1817" t="str">
        <f t="shared" si="15"/>
        <v>South AmericaBastfibres, other</v>
      </c>
      <c r="B509" s="1818" t="s">
        <v>306</v>
      </c>
      <c r="C509" s="1818" t="s">
        <v>7292</v>
      </c>
      <c r="D509" s="3463" t="str">
        <f>VLOOKUP(B509,List_Yield!$G$4:$J$14,4,FALSE)</f>
        <v>South America</v>
      </c>
      <c r="E509" s="3463" t="str">
        <f t="shared" ref="E509:E572" si="16">CONCATENATE(D509,C509)</f>
        <v>South AmericaBastfibres, other</v>
      </c>
      <c r="F509" s="2994">
        <v>1.3398000000000001</v>
      </c>
      <c r="G509" s="2994">
        <v>1.1638999999999999</v>
      </c>
      <c r="H509" s="2994">
        <v>1.2283999999999999</v>
      </c>
      <c r="I509" s="2994">
        <v>1.1861999999999999</v>
      </c>
      <c r="J509" s="2994">
        <v>1.4674</v>
      </c>
      <c r="K509" s="2994">
        <v>1.4957</v>
      </c>
      <c r="L509" s="2994">
        <v>1.2605999999999999</v>
      </c>
      <c r="M509" s="2994">
        <v>1.3863000000000001</v>
      </c>
      <c r="N509" s="2994">
        <v>1.1826000000000001</v>
      </c>
      <c r="O509" s="2994">
        <v>1.3611</v>
      </c>
      <c r="P509" s="2994">
        <v>0.83409999999999995</v>
      </c>
      <c r="Q509" s="2994">
        <v>0.89459999999999995</v>
      </c>
      <c r="R509" s="2994">
        <v>1.0185999999999999</v>
      </c>
      <c r="S509" s="2994">
        <v>0.91010000000000002</v>
      </c>
      <c r="T509" s="2994">
        <v>0.97950000000000004</v>
      </c>
      <c r="U509" s="2994">
        <v>1.1387</v>
      </c>
      <c r="V509" s="2994">
        <v>1.0680000000000001</v>
      </c>
      <c r="W509" s="2994">
        <v>1.1319999999999999</v>
      </c>
      <c r="X509" s="2994">
        <v>1.0935999999999999</v>
      </c>
      <c r="Y509" s="2994">
        <v>1.0778000000000001</v>
      </c>
      <c r="Z509" s="2994">
        <v>1.0298</v>
      </c>
      <c r="AA509" s="2994">
        <v>1.0424</v>
      </c>
      <c r="AB509" s="2994">
        <v>1.0527</v>
      </c>
      <c r="AC509" s="2994">
        <v>0.97440000000000004</v>
      </c>
      <c r="AD509" s="2994">
        <v>0.995</v>
      </c>
      <c r="AE509" s="2994">
        <v>0.99750000000000005</v>
      </c>
      <c r="AF509" s="2994">
        <v>1.0301</v>
      </c>
      <c r="AG509" s="2994">
        <v>1.0996999999999999</v>
      </c>
      <c r="AH509" s="2994">
        <v>0.98809999999999998</v>
      </c>
      <c r="AI509" s="2994">
        <v>0.91339999999999999</v>
      </c>
      <c r="AJ509" s="2994">
        <v>0.91090000000000004</v>
      </c>
      <c r="AK509" s="2994">
        <v>1.1249</v>
      </c>
      <c r="AL509" s="2994">
        <v>1.3918999999999999</v>
      </c>
      <c r="AM509" s="2994">
        <v>1.3942000000000001</v>
      </c>
      <c r="AN509" s="2994">
        <v>1.3545</v>
      </c>
      <c r="AO509" s="2994">
        <v>1.2044999999999999</v>
      </c>
      <c r="AP509" s="2994">
        <v>1.2122999999999999</v>
      </c>
      <c r="AQ509" s="2994">
        <v>1.2991999999999999</v>
      </c>
      <c r="AR509" s="2994">
        <v>1.0998000000000001</v>
      </c>
      <c r="AS509" s="2994">
        <v>1.0748</v>
      </c>
      <c r="AT509" s="2994">
        <v>0.82889999999999997</v>
      </c>
      <c r="AU509" s="2994">
        <v>0.73540000000000005</v>
      </c>
      <c r="AV509" s="2994">
        <v>1.1468</v>
      </c>
      <c r="AW509" s="2994">
        <v>1.1734</v>
      </c>
      <c r="AX509" s="2994">
        <v>1.3133999999999999</v>
      </c>
      <c r="AY509" s="2994">
        <v>1.2764</v>
      </c>
      <c r="AZ509" s="2994">
        <v>1.2644</v>
      </c>
      <c r="BA509" s="2994">
        <v>1.1442000000000001</v>
      </c>
      <c r="BB509" s="2994">
        <v>1.2142999999999999</v>
      </c>
      <c r="BC509" s="2994">
        <v>1.0267999999999999</v>
      </c>
      <c r="BD509" s="3471">
        <v>1.1274999999999999</v>
      </c>
      <c r="BE509" s="3471">
        <v>1.0198</v>
      </c>
      <c r="BF509" s="3471">
        <v>0</v>
      </c>
    </row>
    <row r="510" spans="1:58">
      <c r="A510" s="1817" t="str">
        <f t="shared" si="15"/>
        <v>South AmericaBeans, dry</v>
      </c>
      <c r="B510" s="1818" t="s">
        <v>306</v>
      </c>
      <c r="C510" s="1818" t="s">
        <v>1338</v>
      </c>
      <c r="D510" s="3463" t="str">
        <f>VLOOKUP(B510,List_Yield!$G$4:$J$14,4,FALSE)</f>
        <v>South America</v>
      </c>
      <c r="E510" s="3463" t="str">
        <f t="shared" si="16"/>
        <v>South AmericaBeans, dry</v>
      </c>
      <c r="F510" s="2994">
        <v>0.68069999999999997</v>
      </c>
      <c r="G510" s="2994">
        <v>0.64</v>
      </c>
      <c r="H510" s="2994">
        <v>0.65720000000000001</v>
      </c>
      <c r="I510" s="2994">
        <v>0.62819999999999998</v>
      </c>
      <c r="J510" s="2994">
        <v>0.69830000000000003</v>
      </c>
      <c r="K510" s="2994">
        <v>0.64890000000000003</v>
      </c>
      <c r="L510" s="2994">
        <v>0.70109999999999995</v>
      </c>
      <c r="M510" s="2994">
        <v>0.65390000000000004</v>
      </c>
      <c r="N510" s="2994">
        <v>0.60350000000000004</v>
      </c>
      <c r="O510" s="2994">
        <v>0.6391</v>
      </c>
      <c r="P510" s="2994">
        <v>0.68400000000000005</v>
      </c>
      <c r="Q510" s="2994">
        <v>0.67710000000000004</v>
      </c>
      <c r="R510" s="2994">
        <v>0.59950000000000003</v>
      </c>
      <c r="S510" s="2994">
        <v>0.54990000000000006</v>
      </c>
      <c r="T510" s="2994">
        <v>0.57240000000000002</v>
      </c>
      <c r="U510" s="2994">
        <v>0.49830000000000002</v>
      </c>
      <c r="V510" s="2994">
        <v>0.53869999999999996</v>
      </c>
      <c r="W510" s="2994">
        <v>0.51449999999999996</v>
      </c>
      <c r="X510" s="2994">
        <v>0.56630000000000003</v>
      </c>
      <c r="Y510" s="2994">
        <v>0.46</v>
      </c>
      <c r="Z510" s="2994">
        <v>0.5161</v>
      </c>
      <c r="AA510" s="2994">
        <v>0.53669999999999995</v>
      </c>
      <c r="AB510" s="2994">
        <v>0.4501</v>
      </c>
      <c r="AC510" s="2994">
        <v>0.53220000000000001</v>
      </c>
      <c r="AD510" s="2994">
        <v>0.52349999999999997</v>
      </c>
      <c r="AE510" s="2994">
        <v>0.45179999999999998</v>
      </c>
      <c r="AF510" s="2994">
        <v>0.42780000000000001</v>
      </c>
      <c r="AG510" s="2994">
        <v>0.52610000000000001</v>
      </c>
      <c r="AH510" s="2994">
        <v>0.4854</v>
      </c>
      <c r="AI510" s="2994">
        <v>0.53039999999999998</v>
      </c>
      <c r="AJ510" s="2994">
        <v>0.55700000000000005</v>
      </c>
      <c r="AK510" s="2994">
        <v>0.58960000000000001</v>
      </c>
      <c r="AL510" s="2994">
        <v>0.67430000000000001</v>
      </c>
      <c r="AM510" s="2994">
        <v>0.64929999999999999</v>
      </c>
      <c r="AN510" s="2994">
        <v>0.6351</v>
      </c>
      <c r="AO510" s="2994">
        <v>0.61739999999999995</v>
      </c>
      <c r="AP510" s="2994">
        <v>0.68830000000000002</v>
      </c>
      <c r="AQ510" s="2994">
        <v>0.71440000000000003</v>
      </c>
      <c r="AR510" s="2994">
        <v>0.72119999999999995</v>
      </c>
      <c r="AS510" s="2994">
        <v>0.73819999999999997</v>
      </c>
      <c r="AT510" s="2994">
        <v>0.755</v>
      </c>
      <c r="AU510" s="2994">
        <v>0.77029999999999998</v>
      </c>
      <c r="AV510" s="2994">
        <v>0.83350000000000002</v>
      </c>
      <c r="AW510" s="2994">
        <v>0.77929999999999999</v>
      </c>
      <c r="AX510" s="2994">
        <v>0.83660000000000001</v>
      </c>
      <c r="AY510" s="2994">
        <v>0.89590000000000003</v>
      </c>
      <c r="AZ510" s="2994">
        <v>0.87619999999999998</v>
      </c>
      <c r="BA510" s="2994">
        <v>0.94689999999999996</v>
      </c>
      <c r="BB510" s="2994">
        <v>0.87819999999999998</v>
      </c>
      <c r="BC510" s="2994">
        <v>0.95440000000000003</v>
      </c>
      <c r="BD510" s="3471">
        <v>0.96250000000000002</v>
      </c>
      <c r="BE510" s="3471">
        <v>1.0411999999999999</v>
      </c>
      <c r="BF510" s="3471">
        <v>1.0249999999999999</v>
      </c>
    </row>
    <row r="511" spans="1:58">
      <c r="A511" s="1817" t="str">
        <f t="shared" si="15"/>
        <v>South AmericaBeans, green</v>
      </c>
      <c r="B511" s="1818" t="s">
        <v>306</v>
      </c>
      <c r="C511" s="1818" t="s">
        <v>1339</v>
      </c>
      <c r="D511" s="3463" t="str">
        <f>VLOOKUP(B511,List_Yield!$G$4:$J$14,4,FALSE)</f>
        <v>South America</v>
      </c>
      <c r="E511" s="3463" t="str">
        <f t="shared" si="16"/>
        <v>South AmericaBeans, green</v>
      </c>
      <c r="F511" s="2994">
        <v>2.839</v>
      </c>
      <c r="G511" s="2994">
        <v>2.8719999999999999</v>
      </c>
      <c r="H511" s="2994">
        <v>2.7866</v>
      </c>
      <c r="I511" s="2994">
        <v>2.9003000000000001</v>
      </c>
      <c r="J511" s="2994">
        <v>2.7795000000000001</v>
      </c>
      <c r="K511" s="2994">
        <v>3.0125000000000002</v>
      </c>
      <c r="L511" s="2994">
        <v>3.0116999999999998</v>
      </c>
      <c r="M511" s="2994">
        <v>3.2452000000000001</v>
      </c>
      <c r="N511" s="2994">
        <v>3.0181</v>
      </c>
      <c r="O511" s="2994">
        <v>3.0297000000000001</v>
      </c>
      <c r="P511" s="2994">
        <v>3.0388000000000002</v>
      </c>
      <c r="Q511" s="2994">
        <v>3.0034000000000001</v>
      </c>
      <c r="R511" s="2994">
        <v>2.8872</v>
      </c>
      <c r="S511" s="2994">
        <v>2.9994000000000001</v>
      </c>
      <c r="T511" s="2994">
        <v>3.3956</v>
      </c>
      <c r="U511" s="2994">
        <v>3.3167</v>
      </c>
      <c r="V511" s="2994">
        <v>3.5468999999999999</v>
      </c>
      <c r="W511" s="2994">
        <v>3.3340999999999998</v>
      </c>
      <c r="X511" s="2994">
        <v>3.5438000000000001</v>
      </c>
      <c r="Y511" s="2994">
        <v>3.6661000000000001</v>
      </c>
      <c r="Z511" s="2994">
        <v>3.4758</v>
      </c>
      <c r="AA511" s="2994">
        <v>3.3138000000000001</v>
      </c>
      <c r="AB511" s="2994">
        <v>3.1823999999999999</v>
      </c>
      <c r="AC511" s="2994">
        <v>2.9851000000000001</v>
      </c>
      <c r="AD511" s="2994">
        <v>2.5548999999999999</v>
      </c>
      <c r="AE511" s="2994">
        <v>2.6539999999999999</v>
      </c>
      <c r="AF511" s="2994">
        <v>2.9830999999999999</v>
      </c>
      <c r="AG511" s="2994">
        <v>3.3273999999999999</v>
      </c>
      <c r="AH511" s="2994">
        <v>3.1815000000000002</v>
      </c>
      <c r="AI511" s="2994">
        <v>3.2328999999999999</v>
      </c>
      <c r="AJ511" s="2994">
        <v>3.2612000000000001</v>
      </c>
      <c r="AK511" s="2994">
        <v>3.2585000000000002</v>
      </c>
      <c r="AL511" s="2994">
        <v>3.1638000000000002</v>
      </c>
      <c r="AM511" s="2994">
        <v>3.2079</v>
      </c>
      <c r="AN511" s="2994">
        <v>3.3881999999999999</v>
      </c>
      <c r="AO511" s="2994">
        <v>3.3249</v>
      </c>
      <c r="AP511" s="2994">
        <v>2.9416000000000002</v>
      </c>
      <c r="AQ511" s="2994">
        <v>2.9028</v>
      </c>
      <c r="AR511" s="2994">
        <v>3.0710000000000002</v>
      </c>
      <c r="AS511" s="2994">
        <v>2.7198000000000002</v>
      </c>
      <c r="AT511" s="2994">
        <v>2.7639999999999998</v>
      </c>
      <c r="AU511" s="2994">
        <v>2.5432999999999999</v>
      </c>
      <c r="AV511" s="2994">
        <v>1.6675</v>
      </c>
      <c r="AW511" s="2994">
        <v>2.1469999999999998</v>
      </c>
      <c r="AX511" s="2994">
        <v>2.0891000000000002</v>
      </c>
      <c r="AY511" s="2994">
        <v>2.5987</v>
      </c>
      <c r="AZ511" s="2994">
        <v>2.4184000000000001</v>
      </c>
      <c r="BA511" s="2994">
        <v>2.7909999999999999</v>
      </c>
      <c r="BB511" s="2994">
        <v>1.7585999999999999</v>
      </c>
      <c r="BC511" s="2994">
        <v>2.3967000000000001</v>
      </c>
      <c r="BD511" s="3471">
        <v>1.5278</v>
      </c>
      <c r="BE511" s="3471">
        <v>1.9863</v>
      </c>
      <c r="BF511" s="3471">
        <v>0</v>
      </c>
    </row>
    <row r="512" spans="1:58">
      <c r="A512" s="1817" t="str">
        <f t="shared" si="15"/>
        <v>South AmericaBerries nes</v>
      </c>
      <c r="B512" s="1818" t="s">
        <v>306</v>
      </c>
      <c r="C512" s="1818" t="s">
        <v>7293</v>
      </c>
      <c r="D512" s="3463" t="str">
        <f>VLOOKUP(B512,List_Yield!$G$4:$J$14,4,FALSE)</f>
        <v>South America</v>
      </c>
      <c r="E512" s="3463" t="str">
        <f t="shared" si="16"/>
        <v>South AmericaBerries nes</v>
      </c>
      <c r="F512" s="2994">
        <v>0</v>
      </c>
      <c r="G512" s="2994">
        <v>0</v>
      </c>
      <c r="H512" s="2994">
        <v>0</v>
      </c>
      <c r="I512" s="2994">
        <v>0</v>
      </c>
      <c r="J512" s="2994">
        <v>0</v>
      </c>
      <c r="K512" s="2994">
        <v>0</v>
      </c>
      <c r="L512" s="2994">
        <v>0</v>
      </c>
      <c r="M512" s="2994">
        <v>0</v>
      </c>
      <c r="N512" s="2994">
        <v>0</v>
      </c>
      <c r="O512" s="2994">
        <v>0</v>
      </c>
      <c r="P512" s="2994">
        <v>0</v>
      </c>
      <c r="Q512" s="2994">
        <v>0</v>
      </c>
      <c r="R512" s="2994">
        <v>0</v>
      </c>
      <c r="S512" s="2994">
        <v>0</v>
      </c>
      <c r="T512" s="2994">
        <v>0</v>
      </c>
      <c r="U512" s="2994">
        <v>3.3542000000000001</v>
      </c>
      <c r="V512" s="2994">
        <v>3.9508999999999999</v>
      </c>
      <c r="W512" s="2994">
        <v>4.7514000000000003</v>
      </c>
      <c r="X512" s="2994">
        <v>4.5701999999999998</v>
      </c>
      <c r="Y512" s="2994">
        <v>4.4972000000000003</v>
      </c>
      <c r="Z512" s="2994">
        <v>5.1313000000000004</v>
      </c>
      <c r="AA512" s="2994">
        <v>5.3395999999999999</v>
      </c>
      <c r="AB512" s="2994">
        <v>5.2996999999999996</v>
      </c>
      <c r="AC512" s="2994">
        <v>4.9272999999999998</v>
      </c>
      <c r="AD512" s="2994">
        <v>7.1364000000000001</v>
      </c>
      <c r="AE512" s="2994">
        <v>5.6623999999999999</v>
      </c>
      <c r="AF512" s="2994">
        <v>6.4912000000000001</v>
      </c>
      <c r="AG512" s="2994">
        <v>2.0975000000000001</v>
      </c>
      <c r="AH512" s="2994">
        <v>2.4272999999999998</v>
      </c>
      <c r="AI512" s="2994">
        <v>1.9228000000000001</v>
      </c>
      <c r="AJ512" s="2994">
        <v>1.7879</v>
      </c>
      <c r="AK512" s="2994">
        <v>1.4459</v>
      </c>
      <c r="AL512" s="2994">
        <v>1.5615000000000001</v>
      </c>
      <c r="AM512" s="2994">
        <v>3.9780000000000002</v>
      </c>
      <c r="AN512" s="2994">
        <v>4.3630000000000004</v>
      </c>
      <c r="AO512" s="2994">
        <v>3.9470999999999998</v>
      </c>
      <c r="AP512" s="2994">
        <v>4.3375000000000004</v>
      </c>
      <c r="AQ512" s="2994">
        <v>4.0713999999999997</v>
      </c>
      <c r="AR512" s="2994">
        <v>1.8173999999999999</v>
      </c>
      <c r="AS512" s="2994">
        <v>1.7857000000000001</v>
      </c>
      <c r="AT512" s="2994">
        <v>1.875</v>
      </c>
      <c r="AU512" s="2994">
        <v>1.8234999999999999</v>
      </c>
      <c r="AV512" s="2994">
        <v>1.8</v>
      </c>
      <c r="AW512" s="2994">
        <v>1.7411000000000001</v>
      </c>
      <c r="AX512" s="2994">
        <v>1.804</v>
      </c>
      <c r="AY512" s="2994">
        <v>1.8</v>
      </c>
      <c r="AZ512" s="2994">
        <v>1.8467</v>
      </c>
      <c r="BA512" s="2994">
        <v>1.8612</v>
      </c>
      <c r="BB512" s="2994">
        <v>2.1069</v>
      </c>
      <c r="BC512" s="2994">
        <v>2.1757</v>
      </c>
      <c r="BD512" s="3471">
        <v>2.1903999999999999</v>
      </c>
      <c r="BE512" s="3471">
        <v>2.2856999999999998</v>
      </c>
      <c r="BF512" s="3471">
        <v>0</v>
      </c>
    </row>
    <row r="513" spans="1:58">
      <c r="A513" s="1817" t="str">
        <f t="shared" si="15"/>
        <v>South AmericaBlueberries</v>
      </c>
      <c r="B513" s="1818" t="s">
        <v>306</v>
      </c>
      <c r="C513" s="1818" t="s">
        <v>7294</v>
      </c>
      <c r="D513" s="3463" t="str">
        <f>VLOOKUP(B513,List_Yield!$G$4:$J$14,4,FALSE)</f>
        <v>South America</v>
      </c>
      <c r="E513" s="3463" t="str">
        <f t="shared" si="16"/>
        <v>South AmericaBlueberries</v>
      </c>
      <c r="F513" s="2994">
        <v>0</v>
      </c>
      <c r="G513" s="2994">
        <v>0</v>
      </c>
      <c r="H513" s="2994">
        <v>0</v>
      </c>
      <c r="I513" s="2994">
        <v>0</v>
      </c>
      <c r="J513" s="2994">
        <v>0</v>
      </c>
      <c r="K513" s="2994">
        <v>0</v>
      </c>
      <c r="L513" s="2994">
        <v>0</v>
      </c>
      <c r="M513" s="2994">
        <v>0</v>
      </c>
      <c r="N513" s="2994">
        <v>0</v>
      </c>
      <c r="O513" s="2994">
        <v>0</v>
      </c>
      <c r="P513" s="2994">
        <v>0</v>
      </c>
      <c r="Q513" s="2994">
        <v>0</v>
      </c>
      <c r="R513" s="2994">
        <v>0</v>
      </c>
      <c r="S513" s="2994">
        <v>0</v>
      </c>
      <c r="T513" s="2994">
        <v>0</v>
      </c>
      <c r="U513" s="2994">
        <v>0</v>
      </c>
      <c r="V513" s="2994">
        <v>0</v>
      </c>
      <c r="W513" s="2994">
        <v>0</v>
      </c>
      <c r="X513" s="2994">
        <v>0</v>
      </c>
      <c r="Y513" s="2994">
        <v>0</v>
      </c>
      <c r="Z513" s="2994">
        <v>0</v>
      </c>
      <c r="AA513" s="2994">
        <v>0</v>
      </c>
      <c r="AB513" s="2994">
        <v>0</v>
      </c>
      <c r="AC513" s="2994">
        <v>0</v>
      </c>
      <c r="AD513" s="2994">
        <v>0</v>
      </c>
      <c r="AE513" s="2994">
        <v>0</v>
      </c>
      <c r="AF513" s="2994">
        <v>0</v>
      </c>
      <c r="AG513" s="2994">
        <v>0</v>
      </c>
      <c r="AH513" s="2994">
        <v>0</v>
      </c>
      <c r="AI513" s="2994">
        <v>0</v>
      </c>
      <c r="AJ513" s="2994">
        <v>0</v>
      </c>
      <c r="AK513" s="2994">
        <v>0</v>
      </c>
      <c r="AL513" s="2994">
        <v>0</v>
      </c>
      <c r="AM513" s="2994">
        <v>0</v>
      </c>
      <c r="AN513" s="2994">
        <v>0</v>
      </c>
      <c r="AO513" s="2994">
        <v>0</v>
      </c>
      <c r="AP513" s="2994">
        <v>0</v>
      </c>
      <c r="AQ513" s="2994">
        <v>0</v>
      </c>
      <c r="AR513" s="2994">
        <v>0</v>
      </c>
      <c r="AS513" s="2994">
        <v>0</v>
      </c>
      <c r="AT513" s="2994">
        <v>0</v>
      </c>
      <c r="AU513" s="2994">
        <v>0</v>
      </c>
      <c r="AV513" s="2994">
        <v>0</v>
      </c>
      <c r="AW513" s="2994">
        <v>0</v>
      </c>
      <c r="AX513" s="2994">
        <v>0</v>
      </c>
      <c r="AY513" s="2994">
        <v>0</v>
      </c>
      <c r="AZ513" s="2994">
        <v>0</v>
      </c>
      <c r="BA513" s="2994">
        <v>0</v>
      </c>
      <c r="BB513" s="2994">
        <v>0</v>
      </c>
      <c r="BC513" s="2994">
        <v>0</v>
      </c>
      <c r="BD513" s="3471">
        <v>0</v>
      </c>
      <c r="BE513" s="3471">
        <v>0</v>
      </c>
      <c r="BF513" s="3471">
        <v>0</v>
      </c>
    </row>
    <row r="514" spans="1:58">
      <c r="A514" s="1817" t="str">
        <f t="shared" ref="A514:A577" si="17">CONCATENATE(B514,C514)</f>
        <v>South AmericaBrazil nuts, with shell</v>
      </c>
      <c r="B514" s="1818" t="s">
        <v>306</v>
      </c>
      <c r="C514" s="1818" t="s">
        <v>7295</v>
      </c>
      <c r="D514" s="3463" t="str">
        <f>VLOOKUP(B514,List_Yield!$G$4:$J$14,4,FALSE)</f>
        <v>South America</v>
      </c>
      <c r="E514" s="3463" t="str">
        <f t="shared" si="16"/>
        <v>South AmericaBrazil nuts, with shell</v>
      </c>
      <c r="F514" s="2994">
        <v>31.303899999999999</v>
      </c>
      <c r="G514" s="2994">
        <v>27.9772</v>
      </c>
      <c r="H514" s="2994">
        <v>38.280799999999999</v>
      </c>
      <c r="I514" s="2994">
        <v>28.3461</v>
      </c>
      <c r="J514" s="2994">
        <v>28.528199999999998</v>
      </c>
      <c r="K514" s="2994">
        <v>39.411299999999997</v>
      </c>
      <c r="L514" s="2994">
        <v>29.3841</v>
      </c>
      <c r="M514" s="2994">
        <v>45.610799999999998</v>
      </c>
      <c r="N514" s="2994">
        <v>33.993600000000001</v>
      </c>
      <c r="O514" s="2994">
        <v>67.4512</v>
      </c>
      <c r="P514" s="2994">
        <v>47.9636</v>
      </c>
      <c r="Q514" s="2994">
        <v>66.117599999999996</v>
      </c>
      <c r="R514" s="2994">
        <v>45.143700000000003</v>
      </c>
      <c r="S514" s="2994">
        <v>34.668799999999997</v>
      </c>
      <c r="T514" s="2994">
        <v>46.692799999999998</v>
      </c>
      <c r="U514" s="2994">
        <v>59.289200000000001</v>
      </c>
      <c r="V514" s="2994">
        <v>50.888599999999997</v>
      </c>
      <c r="W514" s="2994">
        <v>42.431199999999997</v>
      </c>
      <c r="X514" s="2994">
        <v>45.016100000000002</v>
      </c>
      <c r="Y514" s="2994">
        <v>45.4848</v>
      </c>
      <c r="Z514" s="2994">
        <v>37.243099999999998</v>
      </c>
      <c r="AA514" s="2994">
        <v>33.3277</v>
      </c>
      <c r="AB514" s="2994">
        <v>42.1813</v>
      </c>
      <c r="AC514" s="2994">
        <v>32.063099999999999</v>
      </c>
      <c r="AD514" s="2994">
        <v>14.2561</v>
      </c>
      <c r="AE514" s="2994">
        <v>11.5486</v>
      </c>
      <c r="AF514" s="2994">
        <v>7.8202999999999996</v>
      </c>
      <c r="AG514" s="2994">
        <v>9.2309999999999999</v>
      </c>
      <c r="AH514" s="2994">
        <v>6.8830999999999998</v>
      </c>
      <c r="AI514" s="2994">
        <v>23.277999999999999</v>
      </c>
      <c r="AJ514" s="2994">
        <v>17.335000000000001</v>
      </c>
      <c r="AK514" s="2994">
        <v>13.062799999999999</v>
      </c>
      <c r="AL514" s="2994">
        <v>15.7197</v>
      </c>
      <c r="AM514" s="2994">
        <v>16.2591</v>
      </c>
      <c r="AN514" s="2994">
        <v>14.8774</v>
      </c>
      <c r="AO514" s="2994">
        <v>13.1629</v>
      </c>
      <c r="AP514" s="2994">
        <v>38.588299999999997</v>
      </c>
      <c r="AQ514" s="2994">
        <v>38.917999999999999</v>
      </c>
      <c r="AR514" s="2994">
        <v>71.476299999999995</v>
      </c>
      <c r="AS514" s="2994">
        <v>95.295100000000005</v>
      </c>
      <c r="AT514" s="2994">
        <v>121.26179999999999</v>
      </c>
      <c r="AU514" s="2994">
        <v>122.06270000000001</v>
      </c>
      <c r="AV514" s="2994">
        <v>158.7595</v>
      </c>
      <c r="AW514" s="2994">
        <v>137.40600000000001</v>
      </c>
      <c r="AX514" s="2994">
        <v>113.1277</v>
      </c>
      <c r="AY514" s="2994">
        <v>93.4773</v>
      </c>
      <c r="AZ514" s="2994">
        <v>132.07820000000001</v>
      </c>
      <c r="BA514" s="2994">
        <v>110.0463</v>
      </c>
      <c r="BB514" s="2994">
        <v>118.23860000000001</v>
      </c>
      <c r="BC514" s="2994">
        <v>133.14930000000001</v>
      </c>
      <c r="BD514" s="3471">
        <v>108.1174</v>
      </c>
      <c r="BE514" s="3471">
        <v>109.7837</v>
      </c>
      <c r="BF514" s="3471">
        <v>0</v>
      </c>
    </row>
    <row r="515" spans="1:58">
      <c r="A515" s="1817" t="str">
        <f t="shared" si="17"/>
        <v>South AmericaBroad beans, horse beans, dry</v>
      </c>
      <c r="B515" s="1818" t="s">
        <v>306</v>
      </c>
      <c r="C515" s="1818" t="s">
        <v>7296</v>
      </c>
      <c r="D515" s="3463" t="str">
        <f>VLOOKUP(B515,List_Yield!$G$4:$J$14,4,FALSE)</f>
        <v>South America</v>
      </c>
      <c r="E515" s="3463" t="str">
        <f t="shared" si="16"/>
        <v>South AmericaBroad beans, horse beans, dry</v>
      </c>
      <c r="F515" s="2994">
        <v>0.60499999999999998</v>
      </c>
      <c r="G515" s="2994">
        <v>0.62809999999999999</v>
      </c>
      <c r="H515" s="2994">
        <v>0.62409999999999999</v>
      </c>
      <c r="I515" s="2994">
        <v>0.5474</v>
      </c>
      <c r="J515" s="2994">
        <v>0.56289999999999996</v>
      </c>
      <c r="K515" s="2994">
        <v>0.55600000000000005</v>
      </c>
      <c r="L515" s="2994">
        <v>0.56389999999999996</v>
      </c>
      <c r="M515" s="2994">
        <v>0.52800000000000002</v>
      </c>
      <c r="N515" s="2994">
        <v>0.53059999999999996</v>
      </c>
      <c r="O515" s="2994">
        <v>0.52890000000000004</v>
      </c>
      <c r="P515" s="2994">
        <v>0.57269999999999999</v>
      </c>
      <c r="Q515" s="2994">
        <v>0.64429999999999998</v>
      </c>
      <c r="R515" s="2994">
        <v>0.56130000000000002</v>
      </c>
      <c r="S515" s="2994">
        <v>0.51819999999999999</v>
      </c>
      <c r="T515" s="2994">
        <v>0.50209999999999999</v>
      </c>
      <c r="U515" s="2994">
        <v>0.49609999999999999</v>
      </c>
      <c r="V515" s="2994">
        <v>0.49480000000000002</v>
      </c>
      <c r="W515" s="2994">
        <v>0.47960000000000003</v>
      </c>
      <c r="X515" s="2994">
        <v>0.4763</v>
      </c>
      <c r="Y515" s="2994">
        <v>0.46489999999999998</v>
      </c>
      <c r="Z515" s="2994">
        <v>0.4355</v>
      </c>
      <c r="AA515" s="2994">
        <v>0.53310000000000002</v>
      </c>
      <c r="AB515" s="2994">
        <v>0.54</v>
      </c>
      <c r="AC515" s="2994">
        <v>0.52</v>
      </c>
      <c r="AD515" s="2994">
        <v>0.47289999999999999</v>
      </c>
      <c r="AE515" s="2994">
        <v>0.46500000000000002</v>
      </c>
      <c r="AF515" s="2994">
        <v>0.46800000000000003</v>
      </c>
      <c r="AG515" s="2994">
        <v>0.53849999999999998</v>
      </c>
      <c r="AH515" s="2994">
        <v>0.54</v>
      </c>
      <c r="AI515" s="2994">
        <v>0.50249999999999995</v>
      </c>
      <c r="AJ515" s="2994">
        <v>0.55289999999999995</v>
      </c>
      <c r="AK515" s="2994">
        <v>0.53539999999999999</v>
      </c>
      <c r="AL515" s="2994">
        <v>0.76880000000000004</v>
      </c>
      <c r="AM515" s="2994">
        <v>0.63090000000000002</v>
      </c>
      <c r="AN515" s="2994">
        <v>0.66969999999999996</v>
      </c>
      <c r="AO515" s="2994">
        <v>0.66269999999999996</v>
      </c>
      <c r="AP515" s="2994">
        <v>0.83440000000000003</v>
      </c>
      <c r="AQ515" s="2994">
        <v>1.1459999999999999</v>
      </c>
      <c r="AR515" s="2994">
        <v>1.0969</v>
      </c>
      <c r="AS515" s="2994">
        <v>1.0065999999999999</v>
      </c>
      <c r="AT515" s="2994">
        <v>1.0422</v>
      </c>
      <c r="AU515" s="2994">
        <v>0.91949999999999998</v>
      </c>
      <c r="AV515" s="2994">
        <v>0.92059999999999997</v>
      </c>
      <c r="AW515" s="2994">
        <v>0.9325</v>
      </c>
      <c r="AX515" s="2994">
        <v>0.99180000000000001</v>
      </c>
      <c r="AY515" s="2994">
        <v>1.0136000000000001</v>
      </c>
      <c r="AZ515" s="2994">
        <v>1.0682</v>
      </c>
      <c r="BA515" s="2994">
        <v>1.0499000000000001</v>
      </c>
      <c r="BB515" s="2994">
        <v>0.95830000000000004</v>
      </c>
      <c r="BC515" s="2994">
        <v>1.0454000000000001</v>
      </c>
      <c r="BD515" s="3471">
        <v>0.99960000000000004</v>
      </c>
      <c r="BE515" s="3471">
        <v>1.0935999999999999</v>
      </c>
      <c r="BF515" s="3471">
        <v>1.1576</v>
      </c>
    </row>
    <row r="516" spans="1:58">
      <c r="A516" s="1817" t="str">
        <f t="shared" si="17"/>
        <v>South AmericaBuckwheat</v>
      </c>
      <c r="B516" s="1818" t="s">
        <v>306</v>
      </c>
      <c r="C516" s="1818" t="s">
        <v>7297</v>
      </c>
      <c r="D516" s="3463" t="str">
        <f>VLOOKUP(B516,List_Yield!$G$4:$J$14,4,FALSE)</f>
        <v>South America</v>
      </c>
      <c r="E516" s="3463" t="str">
        <f t="shared" si="16"/>
        <v>South AmericaBuckwheat</v>
      </c>
      <c r="F516" s="2994">
        <v>1.1111</v>
      </c>
      <c r="G516" s="2994">
        <v>1.2632000000000001</v>
      </c>
      <c r="H516" s="2994">
        <v>1.1000000000000001</v>
      </c>
      <c r="I516" s="2994">
        <v>1.0625</v>
      </c>
      <c r="J516" s="2994">
        <v>1.0656000000000001</v>
      </c>
      <c r="K516" s="2994">
        <v>1.0606</v>
      </c>
      <c r="L516" s="2994">
        <v>1.2790999999999999</v>
      </c>
      <c r="M516" s="2994">
        <v>1.1315999999999999</v>
      </c>
      <c r="N516" s="2994">
        <v>1.1457999999999999</v>
      </c>
      <c r="O516" s="2994">
        <v>1.0938000000000001</v>
      </c>
      <c r="P516" s="2994">
        <v>1.1585000000000001</v>
      </c>
      <c r="Q516" s="2994">
        <v>1.2338</v>
      </c>
      <c r="R516" s="2994">
        <v>1.1667000000000001</v>
      </c>
      <c r="S516" s="2994">
        <v>1.1452</v>
      </c>
      <c r="T516" s="2994">
        <v>1.1220000000000001</v>
      </c>
      <c r="U516" s="2994">
        <v>1.1399999999999999</v>
      </c>
      <c r="V516" s="2994">
        <v>1.0476000000000001</v>
      </c>
      <c r="W516" s="2994">
        <v>1.0348999999999999</v>
      </c>
      <c r="X516" s="2994">
        <v>1.05</v>
      </c>
      <c r="Y516" s="2994">
        <v>1.0385</v>
      </c>
      <c r="Z516" s="2994">
        <v>1.0204</v>
      </c>
      <c r="AA516" s="2994">
        <v>1.0233000000000001</v>
      </c>
      <c r="AB516" s="2994">
        <v>1.0294000000000001</v>
      </c>
      <c r="AC516" s="2994">
        <v>1.0345</v>
      </c>
      <c r="AD516" s="2994">
        <v>1.0345</v>
      </c>
      <c r="AE516" s="2994">
        <v>1.0294000000000001</v>
      </c>
      <c r="AF516" s="2994">
        <v>1.0256000000000001</v>
      </c>
      <c r="AG516" s="2994">
        <v>1.0369999999999999</v>
      </c>
      <c r="AH516" s="2994">
        <v>1.0476000000000001</v>
      </c>
      <c r="AI516" s="2994">
        <v>1.04</v>
      </c>
      <c r="AJ516" s="2994">
        <v>1.0444</v>
      </c>
      <c r="AK516" s="2994">
        <v>1.0556000000000001</v>
      </c>
      <c r="AL516" s="2994">
        <v>1.06</v>
      </c>
      <c r="AM516" s="2994">
        <v>1.0284</v>
      </c>
      <c r="AN516" s="2994">
        <v>1.0638000000000001</v>
      </c>
      <c r="AO516" s="2994">
        <v>1.0891999999999999</v>
      </c>
      <c r="AP516" s="2994">
        <v>1.0676000000000001</v>
      </c>
      <c r="AQ516" s="2994">
        <v>1.0927</v>
      </c>
      <c r="AR516" s="2994">
        <v>1.1517999999999999</v>
      </c>
      <c r="AS516" s="2994">
        <v>1.1265000000000001</v>
      </c>
      <c r="AT516" s="2994">
        <v>1.3331999999999999</v>
      </c>
      <c r="AU516" s="2994">
        <v>1.0667</v>
      </c>
      <c r="AV516" s="2994">
        <v>1.2687999999999999</v>
      </c>
      <c r="AW516" s="2994">
        <v>1.1736</v>
      </c>
      <c r="AX516" s="2994">
        <v>1.087</v>
      </c>
      <c r="AY516" s="2994">
        <v>1.0851</v>
      </c>
      <c r="AZ516" s="2994">
        <v>1.0832999999999999</v>
      </c>
      <c r="BA516" s="2994">
        <v>1.1679999999999999</v>
      </c>
      <c r="BB516" s="2994">
        <v>1.0771999999999999</v>
      </c>
      <c r="BC516" s="2994">
        <v>1.2353000000000001</v>
      </c>
      <c r="BD516" s="3471">
        <v>1.2391000000000001</v>
      </c>
      <c r="BE516" s="3471">
        <v>1.2766</v>
      </c>
      <c r="BF516" s="3471">
        <v>1.2917000000000001</v>
      </c>
    </row>
    <row r="517" spans="1:58">
      <c r="A517" s="1817" t="str">
        <f t="shared" si="17"/>
        <v>South AmericaCabbages and other brassicas</v>
      </c>
      <c r="B517" s="1818" t="s">
        <v>306</v>
      </c>
      <c r="C517" s="1818" t="s">
        <v>7298</v>
      </c>
      <c r="D517" s="3463" t="str">
        <f>VLOOKUP(B517,List_Yield!$G$4:$J$14,4,FALSE)</f>
        <v>South America</v>
      </c>
      <c r="E517" s="3463" t="str">
        <f t="shared" si="16"/>
        <v>South AmericaCabbages and other brassicas</v>
      </c>
      <c r="F517" s="2994">
        <v>17.107399999999998</v>
      </c>
      <c r="G517" s="2994">
        <v>21.812999999999999</v>
      </c>
      <c r="H517" s="2994">
        <v>21.7239</v>
      </c>
      <c r="I517" s="2994">
        <v>22.258700000000001</v>
      </c>
      <c r="J517" s="2994">
        <v>23.380099999999999</v>
      </c>
      <c r="K517" s="2994">
        <v>22.317</v>
      </c>
      <c r="L517" s="2994">
        <v>26.372900000000001</v>
      </c>
      <c r="M517" s="2994">
        <v>23.778300000000002</v>
      </c>
      <c r="N517" s="2994">
        <v>25.8018</v>
      </c>
      <c r="O517" s="2994">
        <v>24.647099999999998</v>
      </c>
      <c r="P517" s="2994">
        <v>25.385000000000002</v>
      </c>
      <c r="Q517" s="2994">
        <v>25.0398</v>
      </c>
      <c r="R517" s="2994">
        <v>25.100200000000001</v>
      </c>
      <c r="S517" s="2994">
        <v>24.6419</v>
      </c>
      <c r="T517" s="2994">
        <v>24.801600000000001</v>
      </c>
      <c r="U517" s="2994">
        <v>28.121500000000001</v>
      </c>
      <c r="V517" s="2994">
        <v>26.280100000000001</v>
      </c>
      <c r="W517" s="2994">
        <v>27.856000000000002</v>
      </c>
      <c r="X517" s="2994">
        <v>27.716699999999999</v>
      </c>
      <c r="Y517" s="2994">
        <v>26.861899999999999</v>
      </c>
      <c r="Z517" s="2994">
        <v>26.573</v>
      </c>
      <c r="AA517" s="2994">
        <v>20.331800000000001</v>
      </c>
      <c r="AB517" s="2994">
        <v>21.727599999999999</v>
      </c>
      <c r="AC517" s="2994">
        <v>20.9573</v>
      </c>
      <c r="AD517" s="2994">
        <v>22.092099999999999</v>
      </c>
      <c r="AE517" s="2994">
        <v>21.526499999999999</v>
      </c>
      <c r="AF517" s="2994">
        <v>10.3279</v>
      </c>
      <c r="AG517" s="2994">
        <v>8.8246000000000002</v>
      </c>
      <c r="AH517" s="2994">
        <v>5.4622000000000002</v>
      </c>
      <c r="AI517" s="2994">
        <v>22.439900000000002</v>
      </c>
      <c r="AJ517" s="2994">
        <v>22.142800000000001</v>
      </c>
      <c r="AK517" s="2994">
        <v>22.696000000000002</v>
      </c>
      <c r="AL517" s="2994">
        <v>22.4788</v>
      </c>
      <c r="AM517" s="2994">
        <v>21.990500000000001</v>
      </c>
      <c r="AN517" s="2994">
        <v>22.2319</v>
      </c>
      <c r="AO517" s="2994">
        <v>22.211200000000002</v>
      </c>
      <c r="AP517" s="2994">
        <v>22.634399999999999</v>
      </c>
      <c r="AQ517" s="2994">
        <v>22.977799999999998</v>
      </c>
      <c r="AR517" s="2994">
        <v>22.822700000000001</v>
      </c>
      <c r="AS517" s="2994">
        <v>21.485099999999999</v>
      </c>
      <c r="AT517" s="2994">
        <v>22.412299999999998</v>
      </c>
      <c r="AU517" s="2994">
        <v>23.7087</v>
      </c>
      <c r="AV517" s="2994">
        <v>25.203800000000001</v>
      </c>
      <c r="AW517" s="2994">
        <v>26.485399999999998</v>
      </c>
      <c r="AX517" s="2994">
        <v>26.954899999999999</v>
      </c>
      <c r="AY517" s="2994">
        <v>27.4742</v>
      </c>
      <c r="AZ517" s="2994">
        <v>26.890999999999998</v>
      </c>
      <c r="BA517" s="2994">
        <v>28.216200000000001</v>
      </c>
      <c r="BB517" s="2994">
        <v>26.4011</v>
      </c>
      <c r="BC517" s="2994">
        <v>28.8689</v>
      </c>
      <c r="BD517" s="3471">
        <v>29.538900000000002</v>
      </c>
      <c r="BE517" s="3471">
        <v>28.823699999999999</v>
      </c>
      <c r="BF517" s="3471">
        <v>0</v>
      </c>
    </row>
    <row r="518" spans="1:58">
      <c r="A518" s="1817" t="str">
        <f t="shared" si="17"/>
        <v>South AmericaCanary seed</v>
      </c>
      <c r="B518" s="1818" t="s">
        <v>306</v>
      </c>
      <c r="C518" s="1818" t="s">
        <v>7299</v>
      </c>
      <c r="D518" s="3463" t="str">
        <f>VLOOKUP(B518,List_Yield!$G$4:$J$14,4,FALSE)</f>
        <v>South America</v>
      </c>
      <c r="E518" s="3463" t="str">
        <f t="shared" si="16"/>
        <v>South AmericaCanary seed</v>
      </c>
      <c r="F518" s="2994">
        <v>0.67469999999999997</v>
      </c>
      <c r="G518" s="2994">
        <v>0.75309999999999999</v>
      </c>
      <c r="H518" s="2994">
        <v>0.70879999999999999</v>
      </c>
      <c r="I518" s="2994">
        <v>0.85760000000000003</v>
      </c>
      <c r="J518" s="2994">
        <v>0.90469999999999995</v>
      </c>
      <c r="K518" s="2994">
        <v>0.82720000000000005</v>
      </c>
      <c r="L518" s="2994">
        <v>0.91110000000000002</v>
      </c>
      <c r="M518" s="2994">
        <v>0.77280000000000004</v>
      </c>
      <c r="N518" s="2994">
        <v>0.74680000000000002</v>
      </c>
      <c r="O518" s="2994">
        <v>0.90259999999999996</v>
      </c>
      <c r="P518" s="2994">
        <v>0.57420000000000004</v>
      </c>
      <c r="Q518" s="2994">
        <v>0.6552</v>
      </c>
      <c r="R518" s="2994">
        <v>0.81089999999999995</v>
      </c>
      <c r="S518" s="2994">
        <v>0.77949999999999997</v>
      </c>
      <c r="T518" s="2994">
        <v>0.69110000000000005</v>
      </c>
      <c r="U518" s="2994">
        <v>0.7752</v>
      </c>
      <c r="V518" s="2994">
        <v>0.95579999999999998</v>
      </c>
      <c r="W518" s="2994">
        <v>0.85489999999999999</v>
      </c>
      <c r="X518" s="2994">
        <v>0.89090000000000003</v>
      </c>
      <c r="Y518" s="2994">
        <v>0.77129999999999999</v>
      </c>
      <c r="Z518" s="2994">
        <v>0.752</v>
      </c>
      <c r="AA518" s="2994">
        <v>0.64629999999999999</v>
      </c>
      <c r="AB518" s="2994">
        <v>1.0894999999999999</v>
      </c>
      <c r="AC518" s="2994">
        <v>0.83199999999999996</v>
      </c>
      <c r="AD518" s="2994">
        <v>0.92689999999999995</v>
      </c>
      <c r="AE518" s="2994">
        <v>0.91610000000000003</v>
      </c>
      <c r="AF518" s="2994">
        <v>0.98340000000000005</v>
      </c>
      <c r="AG518" s="2994">
        <v>1.0245</v>
      </c>
      <c r="AH518" s="2994">
        <v>0.99490000000000001</v>
      </c>
      <c r="AI518" s="2994">
        <v>0.97570000000000001</v>
      </c>
      <c r="AJ518" s="2994">
        <v>1.0649999999999999</v>
      </c>
      <c r="AK518" s="2994">
        <v>0.96350000000000002</v>
      </c>
      <c r="AL518" s="2994">
        <v>1.1339999999999999</v>
      </c>
      <c r="AM518" s="2994">
        <v>1.0644</v>
      </c>
      <c r="AN518" s="2994">
        <v>1.0913999999999999</v>
      </c>
      <c r="AO518" s="2994">
        <v>0.93569999999999998</v>
      </c>
      <c r="AP518" s="2994">
        <v>1.0239</v>
      </c>
      <c r="AQ518" s="2994">
        <v>1.1788000000000001</v>
      </c>
      <c r="AR518" s="2994">
        <v>0.91</v>
      </c>
      <c r="AS518" s="2994">
        <v>0.93830000000000002</v>
      </c>
      <c r="AT518" s="2994">
        <v>0.95530000000000004</v>
      </c>
      <c r="AU518" s="2994">
        <v>1.0331999999999999</v>
      </c>
      <c r="AV518" s="2994">
        <v>0.96819999999999995</v>
      </c>
      <c r="AW518" s="2994">
        <v>1.0401</v>
      </c>
      <c r="AX518" s="2994">
        <v>1.0288999999999999</v>
      </c>
      <c r="AY518" s="2994">
        <v>1.052</v>
      </c>
      <c r="AZ518" s="2994">
        <v>0.86760000000000004</v>
      </c>
      <c r="BA518" s="2994">
        <v>0.89100000000000001</v>
      </c>
      <c r="BB518" s="2994">
        <v>0.90710000000000002</v>
      </c>
      <c r="BC518" s="2994">
        <v>1.5161</v>
      </c>
      <c r="BD518" s="3471">
        <v>1.4964999999999999</v>
      </c>
      <c r="BE518" s="3471">
        <v>1.2396</v>
      </c>
      <c r="BF518" s="3471">
        <v>1.7775000000000001</v>
      </c>
    </row>
    <row r="519" spans="1:58">
      <c r="A519" s="1817" t="str">
        <f t="shared" si="17"/>
        <v>South AmericaCarobs</v>
      </c>
      <c r="B519" s="1818" t="s">
        <v>306</v>
      </c>
      <c r="C519" s="1818" t="s">
        <v>7300</v>
      </c>
      <c r="D519" s="3463" t="str">
        <f>VLOOKUP(B519,List_Yield!$G$4:$J$14,4,FALSE)</f>
        <v>South America</v>
      </c>
      <c r="E519" s="3463" t="str">
        <f t="shared" si="16"/>
        <v>South AmericaCarobs</v>
      </c>
      <c r="F519" s="2994">
        <v>0</v>
      </c>
      <c r="G519" s="2994">
        <v>0</v>
      </c>
      <c r="H519" s="2994">
        <v>0</v>
      </c>
      <c r="I519" s="2994">
        <v>0</v>
      </c>
      <c r="J519" s="2994">
        <v>0</v>
      </c>
      <c r="K519" s="2994">
        <v>0</v>
      </c>
      <c r="L519" s="2994">
        <v>0</v>
      </c>
      <c r="M519" s="2994">
        <v>0</v>
      </c>
      <c r="N519" s="2994">
        <v>0</v>
      </c>
      <c r="O519" s="2994">
        <v>0</v>
      </c>
      <c r="P519" s="2994">
        <v>0</v>
      </c>
      <c r="Q519" s="2994">
        <v>0</v>
      </c>
      <c r="R519" s="2994">
        <v>0</v>
      </c>
      <c r="S519" s="2994">
        <v>0</v>
      </c>
      <c r="T519" s="2994">
        <v>0</v>
      </c>
      <c r="U519" s="2994">
        <v>0</v>
      </c>
      <c r="V519" s="2994">
        <v>0</v>
      </c>
      <c r="W519" s="2994">
        <v>0</v>
      </c>
      <c r="X519" s="2994">
        <v>0</v>
      </c>
      <c r="Y519" s="2994">
        <v>0</v>
      </c>
      <c r="Z519" s="2994">
        <v>0</v>
      </c>
      <c r="AA519" s="2994">
        <v>0</v>
      </c>
      <c r="AB519" s="2994">
        <v>0</v>
      </c>
      <c r="AC519" s="2994">
        <v>0</v>
      </c>
      <c r="AD519" s="2994">
        <v>0</v>
      </c>
      <c r="AE519" s="2994">
        <v>0</v>
      </c>
      <c r="AF519" s="2994">
        <v>0</v>
      </c>
      <c r="AG519" s="2994">
        <v>0</v>
      </c>
      <c r="AH519" s="2994">
        <v>0</v>
      </c>
      <c r="AI519" s="2994">
        <v>0</v>
      </c>
      <c r="AJ519" s="2994">
        <v>0</v>
      </c>
      <c r="AK519" s="2994">
        <v>0</v>
      </c>
      <c r="AL519" s="2994">
        <v>0</v>
      </c>
      <c r="AM519" s="2994">
        <v>0</v>
      </c>
      <c r="AN519" s="2994">
        <v>0</v>
      </c>
      <c r="AO519" s="2994">
        <v>0</v>
      </c>
      <c r="AP519" s="2994">
        <v>0</v>
      </c>
      <c r="AQ519" s="2994">
        <v>0</v>
      </c>
      <c r="AR519" s="2994">
        <v>0</v>
      </c>
      <c r="AS519" s="2994">
        <v>0</v>
      </c>
      <c r="AT519" s="2994">
        <v>0</v>
      </c>
      <c r="AU519" s="2994">
        <v>0</v>
      </c>
      <c r="AV519" s="2994">
        <v>0</v>
      </c>
      <c r="AW519" s="2994">
        <v>0</v>
      </c>
      <c r="AX519" s="2994">
        <v>0</v>
      </c>
      <c r="AY519" s="2994">
        <v>0</v>
      </c>
      <c r="AZ519" s="2994">
        <v>0</v>
      </c>
      <c r="BA519" s="2994">
        <v>0</v>
      </c>
      <c r="BB519" s="2994">
        <v>0</v>
      </c>
      <c r="BC519" s="2994">
        <v>0</v>
      </c>
      <c r="BD519" s="3471">
        <v>0</v>
      </c>
      <c r="BE519" s="3471">
        <v>0</v>
      </c>
      <c r="BF519" s="3471">
        <v>0</v>
      </c>
    </row>
    <row r="520" spans="1:58">
      <c r="A520" s="1817" t="str">
        <f t="shared" si="17"/>
        <v>South AmericaCarrots and turnips</v>
      </c>
      <c r="B520" s="1818" t="s">
        <v>306</v>
      </c>
      <c r="C520" s="1818" t="s">
        <v>1340</v>
      </c>
      <c r="D520" s="3463" t="str">
        <f>VLOOKUP(B520,List_Yield!$G$4:$J$14,4,FALSE)</f>
        <v>South America</v>
      </c>
      <c r="E520" s="3463" t="str">
        <f t="shared" si="16"/>
        <v>South AmericaCarrots and turnips</v>
      </c>
      <c r="F520" s="2994">
        <v>15.5701</v>
      </c>
      <c r="G520" s="2994">
        <v>15.382</v>
      </c>
      <c r="H520" s="2994">
        <v>15.884</v>
      </c>
      <c r="I520" s="2994">
        <v>16.0273</v>
      </c>
      <c r="J520" s="2994">
        <v>15.646599999999999</v>
      </c>
      <c r="K520" s="2994">
        <v>15.472899999999999</v>
      </c>
      <c r="L520" s="2994">
        <v>15.442500000000001</v>
      </c>
      <c r="M520" s="2994">
        <v>15.1288</v>
      </c>
      <c r="N520" s="2994">
        <v>15.168799999999999</v>
      </c>
      <c r="O520" s="2994">
        <v>14.927</v>
      </c>
      <c r="P520" s="2994">
        <v>15.0245</v>
      </c>
      <c r="Q520" s="2994">
        <v>14.7013</v>
      </c>
      <c r="R520" s="2994">
        <v>14.8445</v>
      </c>
      <c r="S520" s="2994">
        <v>15.377000000000001</v>
      </c>
      <c r="T520" s="2994">
        <v>14.866099999999999</v>
      </c>
      <c r="U520" s="2994">
        <v>14.9619</v>
      </c>
      <c r="V520" s="2994">
        <v>15.636699999999999</v>
      </c>
      <c r="W520" s="2994">
        <v>16.359100000000002</v>
      </c>
      <c r="X520" s="2994">
        <v>16.942599999999999</v>
      </c>
      <c r="Y520" s="2994">
        <v>16.6722</v>
      </c>
      <c r="Z520" s="2994">
        <v>18.5547</v>
      </c>
      <c r="AA520" s="2994">
        <v>18.396899999999999</v>
      </c>
      <c r="AB520" s="2994">
        <v>17.343800000000002</v>
      </c>
      <c r="AC520" s="2994">
        <v>17.492699999999999</v>
      </c>
      <c r="AD520" s="2994">
        <v>16.5747</v>
      </c>
      <c r="AE520" s="2994">
        <v>15.5709</v>
      </c>
      <c r="AF520" s="2994">
        <v>16.2896</v>
      </c>
      <c r="AG520" s="2994">
        <v>17.915199999999999</v>
      </c>
      <c r="AH520" s="2994">
        <v>16.9284</v>
      </c>
      <c r="AI520" s="2994">
        <v>17.0626</v>
      </c>
      <c r="AJ520" s="2994">
        <v>16.892199999999999</v>
      </c>
      <c r="AK520" s="2994">
        <v>17.5152</v>
      </c>
      <c r="AL520" s="2994">
        <v>19.137599999999999</v>
      </c>
      <c r="AM520" s="2994">
        <v>18.1539</v>
      </c>
      <c r="AN520" s="2994">
        <v>21.054400000000001</v>
      </c>
      <c r="AO520" s="2994">
        <v>20.682099999999998</v>
      </c>
      <c r="AP520" s="2994">
        <v>21.902100000000001</v>
      </c>
      <c r="AQ520" s="2994">
        <v>22.1586</v>
      </c>
      <c r="AR520" s="2994">
        <v>21.902999999999999</v>
      </c>
      <c r="AS520" s="2994">
        <v>20.744900000000001</v>
      </c>
      <c r="AT520" s="2994">
        <v>22.112300000000001</v>
      </c>
      <c r="AU520" s="2994">
        <v>21.113499999999998</v>
      </c>
      <c r="AV520" s="2994">
        <v>20.3355</v>
      </c>
      <c r="AW520" s="2994">
        <v>20.167400000000001</v>
      </c>
      <c r="AX520" s="2994">
        <v>20.6463</v>
      </c>
      <c r="AY520" s="2994">
        <v>21.378599999999999</v>
      </c>
      <c r="AZ520" s="2994">
        <v>21.679200000000002</v>
      </c>
      <c r="BA520" s="2994">
        <v>22.164000000000001</v>
      </c>
      <c r="BB520" s="2994">
        <v>22.3977</v>
      </c>
      <c r="BC520" s="2994">
        <v>21.7851</v>
      </c>
      <c r="BD520" s="3471">
        <v>22.611599999999999</v>
      </c>
      <c r="BE520" s="3471">
        <v>22.540700000000001</v>
      </c>
      <c r="BF520" s="3471">
        <v>0</v>
      </c>
    </row>
    <row r="521" spans="1:58">
      <c r="A521" s="1817" t="str">
        <f t="shared" si="17"/>
        <v>South AmericaCashew nuts, with shell</v>
      </c>
      <c r="B521" s="1818" t="s">
        <v>306</v>
      </c>
      <c r="C521" s="1818" t="s">
        <v>1341</v>
      </c>
      <c r="D521" s="3463" t="str">
        <f>VLOOKUP(B521,List_Yield!$G$4:$J$14,4,FALSE)</f>
        <v>South America</v>
      </c>
      <c r="E521" s="3463" t="str">
        <f t="shared" si="16"/>
        <v>South AmericaCashew nuts, with shell</v>
      </c>
      <c r="F521" s="2994">
        <v>0</v>
      </c>
      <c r="G521" s="2994">
        <v>0</v>
      </c>
      <c r="H521" s="2994">
        <v>0</v>
      </c>
      <c r="I521" s="2994">
        <v>0</v>
      </c>
      <c r="J521" s="2994">
        <v>0</v>
      </c>
      <c r="K521" s="2994">
        <v>0</v>
      </c>
      <c r="L521" s="2994">
        <v>0</v>
      </c>
      <c r="M521" s="2994">
        <v>0</v>
      </c>
      <c r="N521" s="2994">
        <v>0</v>
      </c>
      <c r="O521" s="2994">
        <v>0</v>
      </c>
      <c r="P521" s="2994">
        <v>0</v>
      </c>
      <c r="Q521" s="2994">
        <v>0</v>
      </c>
      <c r="R521" s="2994">
        <v>0</v>
      </c>
      <c r="S521" s="2994">
        <v>0</v>
      </c>
      <c r="T521" s="2994">
        <v>0</v>
      </c>
      <c r="U521" s="2994">
        <v>0</v>
      </c>
      <c r="V521" s="2994">
        <v>0</v>
      </c>
      <c r="W521" s="2994">
        <v>0</v>
      </c>
      <c r="X521" s="2994">
        <v>0</v>
      </c>
      <c r="Y521" s="2994">
        <v>0</v>
      </c>
      <c r="Z521" s="2994">
        <v>0</v>
      </c>
      <c r="AA521" s="2994">
        <v>0</v>
      </c>
      <c r="AB521" s="2994">
        <v>0</v>
      </c>
      <c r="AC521" s="2994">
        <v>0</v>
      </c>
      <c r="AD521" s="2994">
        <v>0</v>
      </c>
      <c r="AE521" s="2994">
        <v>0</v>
      </c>
      <c r="AF521" s="2994">
        <v>0</v>
      </c>
      <c r="AG521" s="2994">
        <v>0</v>
      </c>
      <c r="AH521" s="2994">
        <v>277.56</v>
      </c>
      <c r="AI521" s="2994">
        <v>0.18920000000000001</v>
      </c>
      <c r="AJ521" s="2994">
        <v>0.29189999999999999</v>
      </c>
      <c r="AK521" s="2994">
        <v>0.1588</v>
      </c>
      <c r="AL521" s="2994">
        <v>0.10970000000000001</v>
      </c>
      <c r="AM521" s="2994">
        <v>0.22220000000000001</v>
      </c>
      <c r="AN521" s="2994">
        <v>0.26690000000000003</v>
      </c>
      <c r="AO521" s="2994">
        <v>0.30809999999999998</v>
      </c>
      <c r="AP521" s="2994">
        <v>0.21729999999999999</v>
      </c>
      <c r="AQ521" s="2994">
        <v>9.06E-2</v>
      </c>
      <c r="AR521" s="2994">
        <v>0.2424</v>
      </c>
      <c r="AS521" s="2994">
        <v>0.21690000000000001</v>
      </c>
      <c r="AT521" s="2994">
        <v>0.19800000000000001</v>
      </c>
      <c r="AU521" s="2994">
        <v>0.2505</v>
      </c>
      <c r="AV521" s="2994">
        <v>0.27129999999999999</v>
      </c>
      <c r="AW521" s="2994">
        <v>0.2752</v>
      </c>
      <c r="AX521" s="2994">
        <v>0.22120000000000001</v>
      </c>
      <c r="AY521" s="2994">
        <v>0.3463</v>
      </c>
      <c r="AZ521" s="2994">
        <v>0.19550000000000001</v>
      </c>
      <c r="BA521" s="2994">
        <v>0.32840000000000003</v>
      </c>
      <c r="BB521" s="2994">
        <v>0.29399999999999998</v>
      </c>
      <c r="BC521" s="2994">
        <v>0.14019999999999999</v>
      </c>
      <c r="BD521" s="3471">
        <v>0.30509999999999998</v>
      </c>
      <c r="BE521" s="3471">
        <v>0.11</v>
      </c>
      <c r="BF521" s="3471">
        <v>0</v>
      </c>
    </row>
    <row r="522" spans="1:58">
      <c r="A522" s="1817" t="str">
        <f t="shared" si="17"/>
        <v>South AmericaCashewapple</v>
      </c>
      <c r="B522" s="1818" t="s">
        <v>306</v>
      </c>
      <c r="C522" s="1818" t="s">
        <v>7301</v>
      </c>
      <c r="D522" s="3463" t="str">
        <f>VLOOKUP(B522,List_Yield!$G$4:$J$14,4,FALSE)</f>
        <v>South America</v>
      </c>
      <c r="E522" s="3463" t="str">
        <f t="shared" si="16"/>
        <v>South AmericaCashewapple</v>
      </c>
      <c r="F522" s="2994">
        <v>5.0309999999999997</v>
      </c>
      <c r="G522" s="2994">
        <v>4.9821</v>
      </c>
      <c r="H522" s="2994">
        <v>5.0204000000000004</v>
      </c>
      <c r="I522" s="2994">
        <v>5.0293000000000001</v>
      </c>
      <c r="J522" s="2994">
        <v>5.2826000000000004</v>
      </c>
      <c r="K522" s="2994">
        <v>4.6245000000000003</v>
      </c>
      <c r="L522" s="2994">
        <v>5.2855999999999996</v>
      </c>
      <c r="M522" s="2994">
        <v>6.2896999999999998</v>
      </c>
      <c r="N522" s="2994">
        <v>5.9606000000000003</v>
      </c>
      <c r="O522" s="2994">
        <v>4.9958</v>
      </c>
      <c r="P522" s="2994">
        <v>5.1757999999999997</v>
      </c>
      <c r="Q522" s="2994">
        <v>5.4974999999999996</v>
      </c>
      <c r="R522" s="2994">
        <v>5.8487</v>
      </c>
      <c r="S522" s="2994">
        <v>5.6532</v>
      </c>
      <c r="T522" s="2994">
        <v>4.2355</v>
      </c>
      <c r="U522" s="2994">
        <v>5.0487000000000002</v>
      </c>
      <c r="V522" s="2994">
        <v>4.9694000000000003</v>
      </c>
      <c r="W522" s="2994">
        <v>5.9641000000000002</v>
      </c>
      <c r="X522" s="2994">
        <v>3.4539</v>
      </c>
      <c r="Y522" s="2994">
        <v>3.5842999999999998</v>
      </c>
      <c r="Z522" s="2994">
        <v>3.6291000000000002</v>
      </c>
      <c r="AA522" s="2994">
        <v>4.0557999999999996</v>
      </c>
      <c r="AB522" s="2994">
        <v>1.5259</v>
      </c>
      <c r="AC522" s="2994">
        <v>3.5381</v>
      </c>
      <c r="AD522" s="2994">
        <v>3.1265000000000001</v>
      </c>
      <c r="AE522" s="2994">
        <v>2.0207000000000002</v>
      </c>
      <c r="AF522" s="2994">
        <v>2.3767999999999998</v>
      </c>
      <c r="AG522" s="2994">
        <v>2.4498000000000002</v>
      </c>
      <c r="AH522" s="2994">
        <v>2.4275000000000002</v>
      </c>
      <c r="AI522" s="2994">
        <v>2.4462999999999999</v>
      </c>
      <c r="AJ522" s="2994">
        <v>2.4323999999999999</v>
      </c>
      <c r="AK522" s="2994">
        <v>2.4824000000000002</v>
      </c>
      <c r="AL522" s="2994">
        <v>2.4662999999999999</v>
      </c>
      <c r="AM522" s="2994">
        <v>2.4699</v>
      </c>
      <c r="AN522" s="2994">
        <v>2.4710000000000001</v>
      </c>
      <c r="AO522" s="2994">
        <v>2.5154000000000001</v>
      </c>
      <c r="AP522" s="2994">
        <v>2.5003000000000002</v>
      </c>
      <c r="AQ522" s="2994">
        <v>2.5030999999999999</v>
      </c>
      <c r="AR522" s="2994">
        <v>2.5861999999999998</v>
      </c>
      <c r="AS522" s="2994">
        <v>2.7437</v>
      </c>
      <c r="AT522" s="2994">
        <v>2.6271</v>
      </c>
      <c r="AU522" s="2994">
        <v>2.6890999999999998</v>
      </c>
      <c r="AV522" s="2994">
        <v>2.6806000000000001</v>
      </c>
      <c r="AW522" s="2994">
        <v>2.6833</v>
      </c>
      <c r="AX522" s="2994">
        <v>2.7742</v>
      </c>
      <c r="AY522" s="2994">
        <v>2.7212999999999998</v>
      </c>
      <c r="AZ522" s="2994">
        <v>2.7585999999999999</v>
      </c>
      <c r="BA522" s="2994">
        <v>2.7164999999999999</v>
      </c>
      <c r="BB522" s="2994">
        <v>2.7446000000000002</v>
      </c>
      <c r="BC522" s="2994">
        <v>2.8123999999999998</v>
      </c>
      <c r="BD522" s="3471">
        <v>2.8912</v>
      </c>
      <c r="BE522" s="3471">
        <v>2.8879999999999999</v>
      </c>
      <c r="BF522" s="3471">
        <v>0</v>
      </c>
    </row>
    <row r="523" spans="1:58">
      <c r="A523" s="1817" t="str">
        <f t="shared" si="17"/>
        <v>South AmericaCassava</v>
      </c>
      <c r="B523" s="1818" t="s">
        <v>306</v>
      </c>
      <c r="C523" s="1818" t="s">
        <v>1342</v>
      </c>
      <c r="D523" s="3463" t="str">
        <f>VLOOKUP(B523,List_Yield!$G$4:$J$14,4,FALSE)</f>
        <v>South America</v>
      </c>
      <c r="E523" s="3463" t="str">
        <f t="shared" si="16"/>
        <v>South AmericaCassava</v>
      </c>
      <c r="F523" s="2994">
        <v>12.489100000000001</v>
      </c>
      <c r="G523" s="2994">
        <v>12.7591</v>
      </c>
      <c r="H523" s="2994">
        <v>13.051299999999999</v>
      </c>
      <c r="I523" s="2994">
        <v>13.4253</v>
      </c>
      <c r="J523" s="2994">
        <v>13.4999</v>
      </c>
      <c r="K523" s="2994">
        <v>13.2338</v>
      </c>
      <c r="L523" s="2994">
        <v>13.5657</v>
      </c>
      <c r="M523" s="2994">
        <v>13.781499999999999</v>
      </c>
      <c r="N523" s="2994">
        <v>14.0237</v>
      </c>
      <c r="O523" s="2994">
        <v>13.945399999999999</v>
      </c>
      <c r="P523" s="2994">
        <v>13.66</v>
      </c>
      <c r="Q523" s="2994">
        <v>13.5587</v>
      </c>
      <c r="R523" s="2994">
        <v>12.074299999999999</v>
      </c>
      <c r="S523" s="2994">
        <v>11.946999999999999</v>
      </c>
      <c r="T523" s="2994">
        <v>12.271699999999999</v>
      </c>
      <c r="U523" s="2994">
        <v>11.7783</v>
      </c>
      <c r="V523" s="2994">
        <v>11.6371</v>
      </c>
      <c r="W523" s="2994">
        <v>11.6701</v>
      </c>
      <c r="X523" s="2994">
        <v>11.579800000000001</v>
      </c>
      <c r="Y523" s="2994">
        <v>11.6234</v>
      </c>
      <c r="Z523" s="2994">
        <v>11.555999999999999</v>
      </c>
      <c r="AA523" s="2994">
        <v>11.298500000000001</v>
      </c>
      <c r="AB523" s="2994">
        <v>10.721500000000001</v>
      </c>
      <c r="AC523" s="2994">
        <v>11.7341</v>
      </c>
      <c r="AD523" s="2994">
        <v>12.1767</v>
      </c>
      <c r="AE523" s="2994">
        <v>12.2026</v>
      </c>
      <c r="AF523" s="2994">
        <v>12.079499999999999</v>
      </c>
      <c r="AG523" s="2994">
        <v>12.309900000000001</v>
      </c>
      <c r="AH523" s="2994">
        <v>12.491899999999999</v>
      </c>
      <c r="AI523" s="2994">
        <v>12.273300000000001</v>
      </c>
      <c r="AJ523" s="2994">
        <v>12.360099999999999</v>
      </c>
      <c r="AK523" s="2994">
        <v>11.770300000000001</v>
      </c>
      <c r="AL523" s="2994">
        <v>11.912000000000001</v>
      </c>
      <c r="AM523" s="2994">
        <v>12.766299999999999</v>
      </c>
      <c r="AN523" s="2994">
        <v>12.7</v>
      </c>
      <c r="AO523" s="2994">
        <v>11.616899999999999</v>
      </c>
      <c r="AP523" s="2994">
        <v>12.435700000000001</v>
      </c>
      <c r="AQ523" s="2994">
        <v>12.078099999999999</v>
      </c>
      <c r="AR523" s="2994">
        <v>12.920999999999999</v>
      </c>
      <c r="AS523" s="2994">
        <v>12.9633</v>
      </c>
      <c r="AT523" s="2994">
        <v>13.1067</v>
      </c>
      <c r="AU523" s="2994">
        <v>13.581</v>
      </c>
      <c r="AV523" s="2994">
        <v>13.3224</v>
      </c>
      <c r="AW523" s="2994">
        <v>12.868600000000001</v>
      </c>
      <c r="AX523" s="2994">
        <v>13.457599999999999</v>
      </c>
      <c r="AY523" s="2994">
        <v>13.7027</v>
      </c>
      <c r="AZ523" s="2994">
        <v>13.7257</v>
      </c>
      <c r="BA523" s="2994">
        <v>13.52</v>
      </c>
      <c r="BB523" s="2994">
        <v>13.333299999999999</v>
      </c>
      <c r="BC523" s="2994">
        <v>13.436</v>
      </c>
      <c r="BD523" s="3471">
        <v>13.8156</v>
      </c>
      <c r="BE523" s="3471">
        <v>12.8089</v>
      </c>
      <c r="BF523" s="3471">
        <v>13.4171</v>
      </c>
    </row>
    <row r="524" spans="1:58">
      <c r="A524" s="1817" t="str">
        <f t="shared" si="17"/>
        <v>South AmericaCassava leaves</v>
      </c>
      <c r="B524" s="1818" t="s">
        <v>306</v>
      </c>
      <c r="C524" s="1818" t="s">
        <v>7302</v>
      </c>
      <c r="D524" s="3463" t="str">
        <f>VLOOKUP(B524,List_Yield!$G$4:$J$14,4,FALSE)</f>
        <v>South America</v>
      </c>
      <c r="E524" s="3463" t="str">
        <f t="shared" si="16"/>
        <v>South AmericaCassava leaves</v>
      </c>
      <c r="F524" s="2994">
        <v>0</v>
      </c>
      <c r="G524" s="2994">
        <v>0</v>
      </c>
      <c r="H524" s="2994">
        <v>0</v>
      </c>
      <c r="I524" s="2994">
        <v>0</v>
      </c>
      <c r="J524" s="2994">
        <v>0</v>
      </c>
      <c r="K524" s="2994">
        <v>0</v>
      </c>
      <c r="L524" s="2994">
        <v>0</v>
      </c>
      <c r="M524" s="2994">
        <v>0</v>
      </c>
      <c r="N524" s="2994">
        <v>0</v>
      </c>
      <c r="O524" s="2994">
        <v>0</v>
      </c>
      <c r="P524" s="2994">
        <v>0</v>
      </c>
      <c r="Q524" s="2994">
        <v>0</v>
      </c>
      <c r="R524" s="2994">
        <v>0</v>
      </c>
      <c r="S524" s="2994">
        <v>0</v>
      </c>
      <c r="T524" s="2994">
        <v>0</v>
      </c>
      <c r="U524" s="2994">
        <v>0</v>
      </c>
      <c r="V524" s="2994">
        <v>0</v>
      </c>
      <c r="W524" s="2994">
        <v>0</v>
      </c>
      <c r="X524" s="2994">
        <v>0</v>
      </c>
      <c r="Y524" s="2994">
        <v>0</v>
      </c>
      <c r="Z524" s="2994">
        <v>0</v>
      </c>
      <c r="AA524" s="2994">
        <v>0</v>
      </c>
      <c r="AB524" s="2994">
        <v>0</v>
      </c>
      <c r="AC524" s="2994">
        <v>0</v>
      </c>
      <c r="AD524" s="2994">
        <v>0</v>
      </c>
      <c r="AE524" s="2994">
        <v>0</v>
      </c>
      <c r="AF524" s="2994">
        <v>0</v>
      </c>
      <c r="AG524" s="2994">
        <v>0</v>
      </c>
      <c r="AH524" s="2994">
        <v>0</v>
      </c>
      <c r="AI524" s="2994">
        <v>0</v>
      </c>
      <c r="AJ524" s="2994">
        <v>0</v>
      </c>
      <c r="AK524" s="2994">
        <v>0</v>
      </c>
      <c r="AL524" s="2994">
        <v>0</v>
      </c>
      <c r="AM524" s="2994">
        <v>0</v>
      </c>
      <c r="AN524" s="2994">
        <v>0</v>
      </c>
      <c r="AO524" s="2994">
        <v>0</v>
      </c>
      <c r="AP524" s="2994">
        <v>0</v>
      </c>
      <c r="AQ524" s="2994">
        <v>0</v>
      </c>
      <c r="AR524" s="2994">
        <v>0</v>
      </c>
      <c r="AS524" s="2994">
        <v>0</v>
      </c>
      <c r="AT524" s="2994">
        <v>0</v>
      </c>
      <c r="AU524" s="2994">
        <v>0</v>
      </c>
      <c r="AV524" s="2994">
        <v>0</v>
      </c>
      <c r="AW524" s="2994">
        <v>0</v>
      </c>
      <c r="AX524" s="2994">
        <v>0</v>
      </c>
      <c r="AY524" s="2994">
        <v>0</v>
      </c>
      <c r="AZ524" s="2994">
        <v>0</v>
      </c>
      <c r="BA524" s="2994">
        <v>0</v>
      </c>
      <c r="BB524" s="2994">
        <v>0</v>
      </c>
      <c r="BC524" s="2994">
        <v>0</v>
      </c>
      <c r="BD524" s="3471">
        <v>0</v>
      </c>
      <c r="BE524" s="3471">
        <v>0</v>
      </c>
      <c r="BF524" s="3471">
        <v>0</v>
      </c>
    </row>
    <row r="525" spans="1:58">
      <c r="A525" s="1817" t="str">
        <f t="shared" si="17"/>
        <v>South AmericaCastor oil seed</v>
      </c>
      <c r="B525" s="1818" t="s">
        <v>306</v>
      </c>
      <c r="C525" s="1818" t="s">
        <v>7303</v>
      </c>
      <c r="D525" s="3463" t="str">
        <f>VLOOKUP(B525,List_Yield!$G$4:$J$14,4,FALSE)</f>
        <v>South America</v>
      </c>
      <c r="E525" s="3463" t="str">
        <f t="shared" si="16"/>
        <v>South AmericaCastor oil seed</v>
      </c>
      <c r="F525" s="2994">
        <v>0.7883</v>
      </c>
      <c r="G525" s="2994">
        <v>0.83650000000000002</v>
      </c>
      <c r="H525" s="2994">
        <v>0.81679999999999997</v>
      </c>
      <c r="I525" s="2994">
        <v>0.90569999999999995</v>
      </c>
      <c r="J525" s="2994">
        <v>0.91349999999999998</v>
      </c>
      <c r="K525" s="2994">
        <v>0.96389999999999998</v>
      </c>
      <c r="L525" s="2994">
        <v>0.99339999999999995</v>
      </c>
      <c r="M525" s="2994">
        <v>0.97019999999999995</v>
      </c>
      <c r="N525" s="2994">
        <v>1.0079</v>
      </c>
      <c r="O525" s="2994">
        <v>0.92449999999999999</v>
      </c>
      <c r="P525" s="2994">
        <v>1.0199</v>
      </c>
      <c r="Q525" s="2994">
        <v>1.0262</v>
      </c>
      <c r="R525" s="2994">
        <v>0.92230000000000001</v>
      </c>
      <c r="S525" s="2994">
        <v>0.89739999999999998</v>
      </c>
      <c r="T525" s="2994">
        <v>0.89219999999999999</v>
      </c>
      <c r="U525" s="2994">
        <v>0.83120000000000005</v>
      </c>
      <c r="V525" s="2994">
        <v>0.90059999999999996</v>
      </c>
      <c r="W525" s="2994">
        <v>0.91210000000000002</v>
      </c>
      <c r="X525" s="2994">
        <v>0.87590000000000001</v>
      </c>
      <c r="Y525" s="2994">
        <v>0.65890000000000004</v>
      </c>
      <c r="Z525" s="2994">
        <v>0.66549999999999998</v>
      </c>
      <c r="AA525" s="2994">
        <v>0.44829999999999998</v>
      </c>
      <c r="AB525" s="2994">
        <v>0.66900000000000004</v>
      </c>
      <c r="AC525" s="2994">
        <v>0.57830000000000004</v>
      </c>
      <c r="AD525" s="2994">
        <v>0.85109999999999997</v>
      </c>
      <c r="AE525" s="2994">
        <v>0.59870000000000001</v>
      </c>
      <c r="AF525" s="2994">
        <v>0.45600000000000002</v>
      </c>
      <c r="AG525" s="2994">
        <v>0.57350000000000001</v>
      </c>
      <c r="AH525" s="2994">
        <v>0.52910000000000001</v>
      </c>
      <c r="AI525" s="2994">
        <v>0.56089999999999995</v>
      </c>
      <c r="AJ525" s="2994">
        <v>0.5998</v>
      </c>
      <c r="AK525" s="2994">
        <v>0.629</v>
      </c>
      <c r="AL525" s="2994">
        <v>0.42930000000000001</v>
      </c>
      <c r="AM525" s="2994">
        <v>0.61419999999999997</v>
      </c>
      <c r="AN525" s="2994">
        <v>0.59130000000000005</v>
      </c>
      <c r="AO525" s="2994">
        <v>0.42820000000000003</v>
      </c>
      <c r="AP525" s="2994">
        <v>0.69199999999999995</v>
      </c>
      <c r="AQ525" s="2994">
        <v>0.48530000000000001</v>
      </c>
      <c r="AR525" s="2994">
        <v>0.39479999999999998</v>
      </c>
      <c r="AS525" s="2994">
        <v>0.55169999999999997</v>
      </c>
      <c r="AT525" s="2994">
        <v>0.62370000000000003</v>
      </c>
      <c r="AU525" s="2994">
        <v>1.2384999999999999</v>
      </c>
      <c r="AV525" s="2994">
        <v>0.66320000000000001</v>
      </c>
      <c r="AW525" s="2994">
        <v>0.82799999999999996</v>
      </c>
      <c r="AX525" s="2994">
        <v>0.75319999999999998</v>
      </c>
      <c r="AY525" s="2994">
        <v>0.66290000000000004</v>
      </c>
      <c r="AZ525" s="2994">
        <v>0.63780000000000003</v>
      </c>
      <c r="BA525" s="2994">
        <v>0.80959999999999999</v>
      </c>
      <c r="BB525" s="2994">
        <v>0.62109999999999999</v>
      </c>
      <c r="BC525" s="2994">
        <v>0.65580000000000005</v>
      </c>
      <c r="BD525" s="3471">
        <v>0.59940000000000004</v>
      </c>
      <c r="BE525" s="3471">
        <v>0.42199999999999999</v>
      </c>
      <c r="BF525" s="3471">
        <v>0.48859999999999998</v>
      </c>
    </row>
    <row r="526" spans="1:58">
      <c r="A526" s="1817" t="str">
        <f t="shared" si="17"/>
        <v>South AmericaCauliflowers and broccoli</v>
      </c>
      <c r="B526" s="1818" t="s">
        <v>306</v>
      </c>
      <c r="C526" s="1818" t="s">
        <v>1343</v>
      </c>
      <c r="D526" s="3463" t="str">
        <f>VLOOKUP(B526,List_Yield!$G$4:$J$14,4,FALSE)</f>
        <v>South America</v>
      </c>
      <c r="E526" s="3463" t="str">
        <f t="shared" si="16"/>
        <v>South AmericaCauliflowers and broccoli</v>
      </c>
      <c r="F526" s="2994">
        <v>16.704599999999999</v>
      </c>
      <c r="G526" s="2994">
        <v>17.321300000000001</v>
      </c>
      <c r="H526" s="2994">
        <v>15.782400000000001</v>
      </c>
      <c r="I526" s="2994">
        <v>16.174199999999999</v>
      </c>
      <c r="J526" s="2994">
        <v>17.372399999999999</v>
      </c>
      <c r="K526" s="2994">
        <v>20.043800000000001</v>
      </c>
      <c r="L526" s="2994">
        <v>19.325600000000001</v>
      </c>
      <c r="M526" s="2994">
        <v>18.246700000000001</v>
      </c>
      <c r="N526" s="2994">
        <v>18.124300000000002</v>
      </c>
      <c r="O526" s="2994">
        <v>18.188500000000001</v>
      </c>
      <c r="P526" s="2994">
        <v>18.2029</v>
      </c>
      <c r="Q526" s="2994">
        <v>18.424499999999998</v>
      </c>
      <c r="R526" s="2994">
        <v>18.388500000000001</v>
      </c>
      <c r="S526" s="2994">
        <v>18.991199999999999</v>
      </c>
      <c r="T526" s="2994">
        <v>15.6395</v>
      </c>
      <c r="U526" s="2994">
        <v>14.961399999999999</v>
      </c>
      <c r="V526" s="2994">
        <v>14.504200000000001</v>
      </c>
      <c r="W526" s="2994">
        <v>13.164099999999999</v>
      </c>
      <c r="X526" s="2994">
        <v>12.970599999999999</v>
      </c>
      <c r="Y526" s="2994">
        <v>12.13</v>
      </c>
      <c r="Z526" s="2994">
        <v>12.1157</v>
      </c>
      <c r="AA526" s="2994">
        <v>12.0143</v>
      </c>
      <c r="AB526" s="2994">
        <v>11.9314</v>
      </c>
      <c r="AC526" s="2994">
        <v>11.6547</v>
      </c>
      <c r="AD526" s="2994">
        <v>12.399699999999999</v>
      </c>
      <c r="AE526" s="2994">
        <v>12.5884</v>
      </c>
      <c r="AF526" s="2994">
        <v>12.629799999999999</v>
      </c>
      <c r="AG526" s="2994">
        <v>12.8893</v>
      </c>
      <c r="AH526" s="2994">
        <v>12.902699999999999</v>
      </c>
      <c r="AI526" s="2994">
        <v>13.220499999999999</v>
      </c>
      <c r="AJ526" s="2994">
        <v>12.2704</v>
      </c>
      <c r="AK526" s="2994">
        <v>12.7753</v>
      </c>
      <c r="AL526" s="2994">
        <v>13.207000000000001</v>
      </c>
      <c r="AM526" s="2994">
        <v>13.9483</v>
      </c>
      <c r="AN526" s="2994">
        <v>10.521699999999999</v>
      </c>
      <c r="AO526" s="2994">
        <v>10.7624</v>
      </c>
      <c r="AP526" s="2994">
        <v>8.1835000000000004</v>
      </c>
      <c r="AQ526" s="2994">
        <v>10.842599999999999</v>
      </c>
      <c r="AR526" s="2994">
        <v>11.789899999999999</v>
      </c>
      <c r="AS526" s="2994">
        <v>6.3890000000000002</v>
      </c>
      <c r="AT526" s="2994">
        <v>10.2675</v>
      </c>
      <c r="AU526" s="2994">
        <v>6.1938000000000004</v>
      </c>
      <c r="AV526" s="2994">
        <v>6.7348999999999997</v>
      </c>
      <c r="AW526" s="2994">
        <v>1.8698999999999999</v>
      </c>
      <c r="AX526" s="2994">
        <v>1.9096</v>
      </c>
      <c r="AY526" s="2994">
        <v>1.6789000000000001</v>
      </c>
      <c r="AZ526" s="2994">
        <v>1.5826</v>
      </c>
      <c r="BA526" s="2994">
        <v>1.6283000000000001</v>
      </c>
      <c r="BB526" s="2994">
        <v>1.6271</v>
      </c>
      <c r="BC526" s="2994">
        <v>1.5101</v>
      </c>
      <c r="BD526" s="3471">
        <v>1.5454000000000001</v>
      </c>
      <c r="BE526" s="3471">
        <v>1.4221999999999999</v>
      </c>
      <c r="BF526" s="3471">
        <v>0</v>
      </c>
    </row>
    <row r="527" spans="1:58">
      <c r="A527" s="1817" t="str">
        <f t="shared" si="17"/>
        <v>South AmericaCereals, nes</v>
      </c>
      <c r="B527" s="1818" t="s">
        <v>306</v>
      </c>
      <c r="C527" s="1818" t="s">
        <v>1344</v>
      </c>
      <c r="D527" s="3463" t="str">
        <f>VLOOKUP(B527,List_Yield!$G$4:$J$14,4,FALSE)</f>
        <v>South America</v>
      </c>
      <c r="E527" s="3463" t="str">
        <f t="shared" si="16"/>
        <v>South AmericaCereals, nes</v>
      </c>
      <c r="F527" s="2994">
        <v>0.82650000000000001</v>
      </c>
      <c r="G527" s="2994">
        <v>0.72450000000000003</v>
      </c>
      <c r="H527" s="2994">
        <v>0.77549999999999997</v>
      </c>
      <c r="I527" s="2994">
        <v>0.79630000000000001</v>
      </c>
      <c r="J527" s="2994">
        <v>0.78910000000000002</v>
      </c>
      <c r="K527" s="2994">
        <v>0.68400000000000005</v>
      </c>
      <c r="L527" s="2994">
        <v>0.91139999999999999</v>
      </c>
      <c r="M527" s="2994">
        <v>0.71630000000000005</v>
      </c>
      <c r="N527" s="2994">
        <v>0.9</v>
      </c>
      <c r="O527" s="2994">
        <v>0.99260000000000004</v>
      </c>
      <c r="P527" s="2994">
        <v>1.0145999999999999</v>
      </c>
      <c r="Q527" s="2994">
        <v>1.0105999999999999</v>
      </c>
      <c r="R527" s="2994">
        <v>1.0084</v>
      </c>
      <c r="S527" s="2994">
        <v>1.0589</v>
      </c>
      <c r="T527" s="2994">
        <v>0.92530000000000001</v>
      </c>
      <c r="U527" s="2994">
        <v>1.073</v>
      </c>
      <c r="V527" s="2994">
        <v>1.0233000000000001</v>
      </c>
      <c r="W527" s="2994">
        <v>1.0368999999999999</v>
      </c>
      <c r="X527" s="2994">
        <v>1.0296000000000001</v>
      </c>
      <c r="Y527" s="2994">
        <v>0.84860000000000002</v>
      </c>
      <c r="Z527" s="2994">
        <v>0.79269999999999996</v>
      </c>
      <c r="AA527" s="2994">
        <v>0.84889999999999999</v>
      </c>
      <c r="AB527" s="2994">
        <v>0.81910000000000005</v>
      </c>
      <c r="AC527" s="2994">
        <v>0.68500000000000005</v>
      </c>
      <c r="AD527" s="2994">
        <v>0.88570000000000004</v>
      </c>
      <c r="AE527" s="2994">
        <v>1</v>
      </c>
      <c r="AF527" s="2994">
        <v>0.85470000000000002</v>
      </c>
      <c r="AG527" s="2994">
        <v>0.75419999999999998</v>
      </c>
      <c r="AH527" s="2994">
        <v>0.5806</v>
      </c>
      <c r="AI527" s="2994">
        <v>0.61260000000000003</v>
      </c>
      <c r="AJ527" s="2994">
        <v>0.60040000000000004</v>
      </c>
      <c r="AK527" s="2994">
        <v>0.65649999999999997</v>
      </c>
      <c r="AL527" s="2994">
        <v>0.64959999999999996</v>
      </c>
      <c r="AM527" s="2994">
        <v>0.6502</v>
      </c>
      <c r="AN527" s="2994">
        <v>0.66369999999999996</v>
      </c>
      <c r="AO527" s="2994">
        <v>0.7157</v>
      </c>
      <c r="AP527" s="2994">
        <v>0.74829999999999997</v>
      </c>
      <c r="AQ527" s="2994">
        <v>0.70609999999999995</v>
      </c>
      <c r="AR527" s="2994">
        <v>0.67889999999999995</v>
      </c>
      <c r="AS527" s="2994">
        <v>0.71540000000000004</v>
      </c>
      <c r="AT527" s="2994">
        <v>0.7077</v>
      </c>
      <c r="AU527" s="2994">
        <v>0.71199999999999997</v>
      </c>
      <c r="AV527" s="2994">
        <v>0.72089999999999999</v>
      </c>
      <c r="AW527" s="2994">
        <v>0.71989999999999998</v>
      </c>
      <c r="AX527" s="2994">
        <v>0.72099999999999997</v>
      </c>
      <c r="AY527" s="2994">
        <v>0.72729999999999995</v>
      </c>
      <c r="AZ527" s="2994">
        <v>0.72970000000000002</v>
      </c>
      <c r="BA527" s="2994">
        <v>0.74419999999999997</v>
      </c>
      <c r="BB527" s="2994">
        <v>0.73509999999999998</v>
      </c>
      <c r="BC527" s="2994">
        <v>0.73880000000000001</v>
      </c>
      <c r="BD527" s="3471">
        <v>0.74750000000000005</v>
      </c>
      <c r="BE527" s="3471">
        <v>0.60370000000000001</v>
      </c>
      <c r="BF527" s="3471">
        <v>0.75360000000000005</v>
      </c>
    </row>
    <row r="528" spans="1:58">
      <c r="A528" s="1817" t="str">
        <f t="shared" si="17"/>
        <v>South AmericaCherries</v>
      </c>
      <c r="B528" s="1818" t="s">
        <v>306</v>
      </c>
      <c r="C528" s="1818" t="s">
        <v>7304</v>
      </c>
      <c r="D528" s="3463" t="str">
        <f>VLOOKUP(B528,List_Yield!$G$4:$J$14,4,FALSE)</f>
        <v>South America</v>
      </c>
      <c r="E528" s="3463" t="str">
        <f t="shared" si="16"/>
        <v>South AmericaCherries</v>
      </c>
      <c r="F528" s="2994">
        <v>4.6935000000000002</v>
      </c>
      <c r="G528" s="2994">
        <v>4.4596999999999998</v>
      </c>
      <c r="H528" s="2994">
        <v>4.4443999999999999</v>
      </c>
      <c r="I528" s="2994">
        <v>4.6515000000000004</v>
      </c>
      <c r="J528" s="2994">
        <v>4.2656000000000001</v>
      </c>
      <c r="K528" s="2994">
        <v>4.0564999999999998</v>
      </c>
      <c r="L528" s="2994">
        <v>4.1329000000000002</v>
      </c>
      <c r="M528" s="2994">
        <v>4.1738999999999997</v>
      </c>
      <c r="N528" s="2994">
        <v>3.7464</v>
      </c>
      <c r="O528" s="2994">
        <v>4.3121999999999998</v>
      </c>
      <c r="P528" s="2994">
        <v>4.2934999999999999</v>
      </c>
      <c r="Q528" s="2994">
        <v>4.8587999999999996</v>
      </c>
      <c r="R528" s="2994">
        <v>3.4939</v>
      </c>
      <c r="S528" s="2994">
        <v>4.6714000000000002</v>
      </c>
      <c r="T528" s="2994">
        <v>4.7765000000000004</v>
      </c>
      <c r="U528" s="2994">
        <v>4.0903</v>
      </c>
      <c r="V528" s="2994">
        <v>3.9843999999999999</v>
      </c>
      <c r="W528" s="2994">
        <v>4.2877999999999998</v>
      </c>
      <c r="X528" s="2994">
        <v>4.2845000000000004</v>
      </c>
      <c r="Y528" s="2994">
        <v>4.1195000000000004</v>
      </c>
      <c r="Z528" s="2994">
        <v>3.7336</v>
      </c>
      <c r="AA528" s="2994">
        <v>3.2645</v>
      </c>
      <c r="AB528" s="2994">
        <v>4.6031000000000004</v>
      </c>
      <c r="AC528" s="2994">
        <v>4.8120000000000003</v>
      </c>
      <c r="AD528" s="2994">
        <v>3.8424999999999998</v>
      </c>
      <c r="AE528" s="2994">
        <v>3.1314000000000002</v>
      </c>
      <c r="AF528" s="2994">
        <v>2.1966000000000001</v>
      </c>
      <c r="AG528" s="2994">
        <v>3.4708999999999999</v>
      </c>
      <c r="AH528" s="2994">
        <v>4.1852</v>
      </c>
      <c r="AI528" s="2994">
        <v>4.4476000000000004</v>
      </c>
      <c r="AJ528" s="2994">
        <v>4.6252000000000004</v>
      </c>
      <c r="AK528" s="2994">
        <v>4.2450999999999999</v>
      </c>
      <c r="AL528" s="2994">
        <v>4.8815999999999997</v>
      </c>
      <c r="AM528" s="2994">
        <v>5.3047000000000004</v>
      </c>
      <c r="AN528" s="2994">
        <v>5.7603</v>
      </c>
      <c r="AO528" s="2994">
        <v>5.5452000000000004</v>
      </c>
      <c r="AP528" s="2994">
        <v>5.5441000000000003</v>
      </c>
      <c r="AQ528" s="2994">
        <v>4.5690999999999997</v>
      </c>
      <c r="AR528" s="2994">
        <v>5.0152000000000001</v>
      </c>
      <c r="AS528" s="2994">
        <v>5.2093999999999996</v>
      </c>
      <c r="AT528" s="2994">
        <v>4.6448999999999998</v>
      </c>
      <c r="AU528" s="2994">
        <v>4.4592999999999998</v>
      </c>
      <c r="AV528" s="2994">
        <v>4.3140000000000001</v>
      </c>
      <c r="AW528" s="2994">
        <v>4.4683999999999999</v>
      </c>
      <c r="AX528" s="2994">
        <v>4.5625</v>
      </c>
      <c r="AY528" s="2994">
        <v>5.2308000000000003</v>
      </c>
      <c r="AZ528" s="2994">
        <v>4.5244999999999997</v>
      </c>
      <c r="BA528" s="2994">
        <v>6.3799000000000001</v>
      </c>
      <c r="BB528" s="2994">
        <v>3.3451</v>
      </c>
      <c r="BC528" s="2994">
        <v>4.3777999999999997</v>
      </c>
      <c r="BD528" s="3471">
        <v>5.4249000000000001</v>
      </c>
      <c r="BE528" s="3471">
        <v>5.4981</v>
      </c>
      <c r="BF528" s="3471">
        <v>0</v>
      </c>
    </row>
    <row r="529" spans="1:58">
      <c r="A529" s="1817" t="str">
        <f t="shared" si="17"/>
        <v>South AmericaCherries, sour</v>
      </c>
      <c r="B529" s="1818" t="s">
        <v>306</v>
      </c>
      <c r="C529" s="1818" t="s">
        <v>7305</v>
      </c>
      <c r="D529" s="3463" t="str">
        <f>VLOOKUP(B529,List_Yield!$G$4:$J$14,4,FALSE)</f>
        <v>South America</v>
      </c>
      <c r="E529" s="3463" t="str">
        <f t="shared" si="16"/>
        <v>South AmericaCherries, sour</v>
      </c>
      <c r="F529" s="2994">
        <v>0</v>
      </c>
      <c r="G529" s="2994">
        <v>0</v>
      </c>
      <c r="H529" s="2994">
        <v>0</v>
      </c>
      <c r="I529" s="2994">
        <v>0</v>
      </c>
      <c r="J529" s="2994">
        <v>0</v>
      </c>
      <c r="K529" s="2994">
        <v>0</v>
      </c>
      <c r="L529" s="2994">
        <v>0</v>
      </c>
      <c r="M529" s="2994">
        <v>0</v>
      </c>
      <c r="N529" s="2994">
        <v>0</v>
      </c>
      <c r="O529" s="2994">
        <v>0</v>
      </c>
      <c r="P529" s="2994">
        <v>0</v>
      </c>
      <c r="Q529" s="2994">
        <v>0</v>
      </c>
      <c r="R529" s="2994">
        <v>0</v>
      </c>
      <c r="S529" s="2994">
        <v>0</v>
      </c>
      <c r="T529" s="2994">
        <v>0</v>
      </c>
      <c r="U529" s="2994">
        <v>0</v>
      </c>
      <c r="V529" s="2994">
        <v>0</v>
      </c>
      <c r="W529" s="2994">
        <v>0</v>
      </c>
      <c r="X529" s="2994">
        <v>0</v>
      </c>
      <c r="Y529" s="2994">
        <v>0</v>
      </c>
      <c r="Z529" s="2994">
        <v>0</v>
      </c>
      <c r="AA529" s="2994">
        <v>0</v>
      </c>
      <c r="AB529" s="2994">
        <v>0</v>
      </c>
      <c r="AC529" s="2994">
        <v>0</v>
      </c>
      <c r="AD529" s="2994">
        <v>0</v>
      </c>
      <c r="AE529" s="2994">
        <v>0</v>
      </c>
      <c r="AF529" s="2994">
        <v>0</v>
      </c>
      <c r="AG529" s="2994">
        <v>0</v>
      </c>
      <c r="AH529" s="2994">
        <v>0</v>
      </c>
      <c r="AI529" s="2994">
        <v>1.6212</v>
      </c>
      <c r="AJ529" s="2994">
        <v>1.6119000000000001</v>
      </c>
      <c r="AK529" s="2994">
        <v>1.6029</v>
      </c>
      <c r="AL529" s="2994">
        <v>1.6417999999999999</v>
      </c>
      <c r="AM529" s="2994">
        <v>1.5889</v>
      </c>
      <c r="AN529" s="2994">
        <v>1.6119000000000001</v>
      </c>
      <c r="AO529" s="2994">
        <v>1.6212</v>
      </c>
      <c r="AP529" s="2994">
        <v>1.6308</v>
      </c>
      <c r="AQ529" s="2994">
        <v>1.6212</v>
      </c>
      <c r="AR529" s="2994">
        <v>1.6119000000000001</v>
      </c>
      <c r="AS529" s="2994">
        <v>1.6029</v>
      </c>
      <c r="AT529" s="2994">
        <v>1.6119000000000001</v>
      </c>
      <c r="AU529" s="2994">
        <v>1.6212</v>
      </c>
      <c r="AV529" s="2994">
        <v>2.8197000000000001</v>
      </c>
      <c r="AW529" s="2994">
        <v>2.8</v>
      </c>
      <c r="AX529" s="2994">
        <v>2.8919000000000001</v>
      </c>
      <c r="AY529" s="2994">
        <v>2.9695999999999998</v>
      </c>
      <c r="AZ529" s="2994">
        <v>2.9188999999999998</v>
      </c>
      <c r="BA529" s="2994">
        <v>3.1292</v>
      </c>
      <c r="BB529" s="2994">
        <v>3.3832</v>
      </c>
      <c r="BC529" s="2994">
        <v>3.5602</v>
      </c>
      <c r="BD529" s="3471">
        <v>3.6036000000000001</v>
      </c>
      <c r="BE529" s="3471">
        <v>3.6783999999999999</v>
      </c>
      <c r="BF529" s="3471">
        <v>0</v>
      </c>
    </row>
    <row r="530" spans="1:58">
      <c r="A530" s="1817" t="str">
        <f t="shared" si="17"/>
        <v>South AmericaChestnut</v>
      </c>
      <c r="B530" s="1818" t="s">
        <v>306</v>
      </c>
      <c r="C530" s="1818" t="s">
        <v>7306</v>
      </c>
      <c r="D530" s="3463" t="str">
        <f>VLOOKUP(B530,List_Yield!$G$4:$J$14,4,FALSE)</f>
        <v>South America</v>
      </c>
      <c r="E530" s="3463" t="str">
        <f t="shared" si="16"/>
        <v>South AmericaChestnut</v>
      </c>
      <c r="F530" s="2994">
        <v>0</v>
      </c>
      <c r="G530" s="2994">
        <v>0</v>
      </c>
      <c r="H530" s="2994">
        <v>0</v>
      </c>
      <c r="I530" s="2994">
        <v>0</v>
      </c>
      <c r="J530" s="2994">
        <v>0</v>
      </c>
      <c r="K530" s="2994">
        <v>0</v>
      </c>
      <c r="L530" s="2994">
        <v>0</v>
      </c>
      <c r="M530" s="2994">
        <v>0</v>
      </c>
      <c r="N530" s="2994">
        <v>0</v>
      </c>
      <c r="O530" s="2994">
        <v>0</v>
      </c>
      <c r="P530" s="2994">
        <v>0</v>
      </c>
      <c r="Q530" s="2994">
        <v>0</v>
      </c>
      <c r="R530" s="2994">
        <v>0</v>
      </c>
      <c r="S530" s="2994">
        <v>0</v>
      </c>
      <c r="T530" s="2994">
        <v>0</v>
      </c>
      <c r="U530" s="2994">
        <v>0</v>
      </c>
      <c r="V530" s="2994">
        <v>0</v>
      </c>
      <c r="W530" s="2994">
        <v>0</v>
      </c>
      <c r="X530" s="2994">
        <v>0</v>
      </c>
      <c r="Y530" s="2994">
        <v>0</v>
      </c>
      <c r="Z530" s="2994">
        <v>0</v>
      </c>
      <c r="AA530" s="2994">
        <v>0</v>
      </c>
      <c r="AB530" s="2994">
        <v>0</v>
      </c>
      <c r="AC530" s="2994">
        <v>0</v>
      </c>
      <c r="AD530" s="2994">
        <v>1.4321999999999999</v>
      </c>
      <c r="AE530" s="2994">
        <v>1.4823</v>
      </c>
      <c r="AF530" s="2994">
        <v>1.5358000000000001</v>
      </c>
      <c r="AG530" s="2994">
        <v>1.5881000000000001</v>
      </c>
      <c r="AH530" s="2994">
        <v>1.4655</v>
      </c>
      <c r="AI530" s="2994">
        <v>0.9446</v>
      </c>
      <c r="AJ530" s="2994">
        <v>0.71250000000000002</v>
      </c>
      <c r="AK530" s="2994">
        <v>1.1244000000000001</v>
      </c>
      <c r="AL530" s="2994">
        <v>0.94099999999999995</v>
      </c>
      <c r="AM530" s="2994">
        <v>0.97360000000000002</v>
      </c>
      <c r="AN530" s="2994">
        <v>1.3378000000000001</v>
      </c>
      <c r="AO530" s="2994">
        <v>1.3516999999999999</v>
      </c>
      <c r="AP530" s="2994">
        <v>1.2967</v>
      </c>
      <c r="AQ530" s="2994">
        <v>0.9224</v>
      </c>
      <c r="AR530" s="2994">
        <v>1.3862000000000001</v>
      </c>
      <c r="AS530" s="2994">
        <v>1.4222999999999999</v>
      </c>
      <c r="AT530" s="2994">
        <v>1.343</v>
      </c>
      <c r="AU530" s="2994">
        <v>1.4066000000000001</v>
      </c>
      <c r="AV530" s="2994">
        <v>1.4029</v>
      </c>
      <c r="AW530" s="2994">
        <v>1.4018999999999999</v>
      </c>
      <c r="AX530" s="2994">
        <v>1.3675999999999999</v>
      </c>
      <c r="AY530" s="2994">
        <v>1.3884000000000001</v>
      </c>
      <c r="AZ530" s="2994">
        <v>1.0484</v>
      </c>
      <c r="BA530" s="2994">
        <v>1.4033</v>
      </c>
      <c r="BB530" s="2994">
        <v>1.2887999999999999</v>
      </c>
      <c r="BC530" s="2994">
        <v>1.2501</v>
      </c>
      <c r="BD530" s="3471">
        <v>1.2899</v>
      </c>
      <c r="BE530" s="3471">
        <v>1.3103</v>
      </c>
      <c r="BF530" s="3471">
        <v>0</v>
      </c>
    </row>
    <row r="531" spans="1:58">
      <c r="A531" s="1817" t="str">
        <f t="shared" si="17"/>
        <v>South AmericaChick peas</v>
      </c>
      <c r="B531" s="1818" t="s">
        <v>306</v>
      </c>
      <c r="C531" s="1818" t="s">
        <v>7307</v>
      </c>
      <c r="D531" s="3463" t="str">
        <f>VLOOKUP(B531,List_Yield!$G$4:$J$14,4,FALSE)</f>
        <v>South America</v>
      </c>
      <c r="E531" s="3463" t="str">
        <f t="shared" si="16"/>
        <v>South AmericaChick peas</v>
      </c>
      <c r="F531" s="2994">
        <v>0.54920000000000002</v>
      </c>
      <c r="G531" s="2994">
        <v>0.5464</v>
      </c>
      <c r="H531" s="2994">
        <v>0.5423</v>
      </c>
      <c r="I531" s="2994">
        <v>0.55020000000000002</v>
      </c>
      <c r="J531" s="2994">
        <v>0.55430000000000001</v>
      </c>
      <c r="K531" s="2994">
        <v>0.53539999999999999</v>
      </c>
      <c r="L531" s="2994">
        <v>0.59550000000000003</v>
      </c>
      <c r="M531" s="2994">
        <v>0.50660000000000005</v>
      </c>
      <c r="N531" s="2994">
        <v>0.504</v>
      </c>
      <c r="O531" s="2994">
        <v>0.54759999999999998</v>
      </c>
      <c r="P531" s="2994">
        <v>0.50890000000000002</v>
      </c>
      <c r="Q531" s="2994">
        <v>0.51349999999999996</v>
      </c>
      <c r="R531" s="2994">
        <v>0.4234</v>
      </c>
      <c r="S531" s="2994">
        <v>0.50390000000000001</v>
      </c>
      <c r="T531" s="2994">
        <v>0.63119999999999998</v>
      </c>
      <c r="U531" s="2994">
        <v>0.52749999999999997</v>
      </c>
      <c r="V531" s="2994">
        <v>0.5151</v>
      </c>
      <c r="W531" s="2994">
        <v>0.56289999999999996</v>
      </c>
      <c r="X531" s="2994">
        <v>0.54549999999999998</v>
      </c>
      <c r="Y531" s="2994">
        <v>0.55640000000000001</v>
      </c>
      <c r="Z531" s="2994">
        <v>0.50229999999999997</v>
      </c>
      <c r="AA531" s="2994">
        <v>0.50009999999999999</v>
      </c>
      <c r="AB531" s="2994">
        <v>0.53690000000000004</v>
      </c>
      <c r="AC531" s="2994">
        <v>0.5776</v>
      </c>
      <c r="AD531" s="2994">
        <v>0.69069999999999998</v>
      </c>
      <c r="AE531" s="2994">
        <v>0.63480000000000003</v>
      </c>
      <c r="AF531" s="2994">
        <v>0.73080000000000001</v>
      </c>
      <c r="AG531" s="2994">
        <v>0.65939999999999999</v>
      </c>
      <c r="AH531" s="2994">
        <v>0.53459999999999996</v>
      </c>
      <c r="AI531" s="2994">
        <v>0.56479999999999997</v>
      </c>
      <c r="AJ531" s="2994">
        <v>0.63870000000000005</v>
      </c>
      <c r="AK531" s="2994">
        <v>0.93610000000000004</v>
      </c>
      <c r="AL531" s="2994">
        <v>0.6855</v>
      </c>
      <c r="AM531" s="2994">
        <v>0.85360000000000003</v>
      </c>
      <c r="AN531" s="2994">
        <v>1.2092000000000001</v>
      </c>
      <c r="AO531" s="2994">
        <v>1.159</v>
      </c>
      <c r="AP531" s="2994">
        <v>1.0013000000000001</v>
      </c>
      <c r="AQ531" s="2994">
        <v>0.94310000000000005</v>
      </c>
      <c r="AR531" s="2994">
        <v>1.0290999999999999</v>
      </c>
      <c r="AS531" s="2994">
        <v>1.0141</v>
      </c>
      <c r="AT531" s="2994">
        <v>1.1126</v>
      </c>
      <c r="AU531" s="2994">
        <v>1.0859000000000001</v>
      </c>
      <c r="AV531" s="2994">
        <v>0.93440000000000001</v>
      </c>
      <c r="AW531" s="2994">
        <v>0.88980000000000004</v>
      </c>
      <c r="AX531" s="2994">
        <v>0.95620000000000005</v>
      </c>
      <c r="AY531" s="2994">
        <v>1.0516000000000001</v>
      </c>
      <c r="AZ531" s="2994">
        <v>0.98740000000000006</v>
      </c>
      <c r="BA531" s="2994">
        <v>0.97409999999999997</v>
      </c>
      <c r="BB531" s="2994">
        <v>1.0105999999999999</v>
      </c>
      <c r="BC531" s="2994">
        <v>1.1443000000000001</v>
      </c>
      <c r="BD531" s="3471">
        <v>0.99590000000000001</v>
      </c>
      <c r="BE531" s="3471">
        <v>1.0745</v>
      </c>
      <c r="BF531" s="3471">
        <v>1.0684</v>
      </c>
    </row>
    <row r="532" spans="1:58">
      <c r="A532" s="1817" t="str">
        <f t="shared" si="17"/>
        <v>South AmericaChicory roots</v>
      </c>
      <c r="B532" s="1818" t="s">
        <v>306</v>
      </c>
      <c r="C532" s="1818" t="s">
        <v>7308</v>
      </c>
      <c r="D532" s="3463" t="str">
        <f>VLOOKUP(B532,List_Yield!$G$4:$J$14,4,FALSE)</f>
        <v>South America</v>
      </c>
      <c r="E532" s="3463" t="str">
        <f t="shared" si="16"/>
        <v>South AmericaChicory roots</v>
      </c>
      <c r="F532" s="2994">
        <v>0</v>
      </c>
      <c r="G532" s="2994">
        <v>0</v>
      </c>
      <c r="H532" s="2994">
        <v>0</v>
      </c>
      <c r="I532" s="2994">
        <v>0</v>
      </c>
      <c r="J532" s="2994">
        <v>0</v>
      </c>
      <c r="K532" s="2994">
        <v>0</v>
      </c>
      <c r="L532" s="2994">
        <v>0</v>
      </c>
      <c r="M532" s="2994">
        <v>0</v>
      </c>
      <c r="N532" s="2994">
        <v>0</v>
      </c>
      <c r="O532" s="2994">
        <v>0</v>
      </c>
      <c r="P532" s="2994">
        <v>0</v>
      </c>
      <c r="Q532" s="2994">
        <v>0</v>
      </c>
      <c r="R532" s="2994">
        <v>0</v>
      </c>
      <c r="S532" s="2994">
        <v>0</v>
      </c>
      <c r="T532" s="2994">
        <v>0</v>
      </c>
      <c r="U532" s="2994">
        <v>0</v>
      </c>
      <c r="V532" s="2994">
        <v>0</v>
      </c>
      <c r="W532" s="2994">
        <v>0</v>
      </c>
      <c r="X532" s="2994">
        <v>0</v>
      </c>
      <c r="Y532" s="2994">
        <v>0</v>
      </c>
      <c r="Z532" s="2994">
        <v>0</v>
      </c>
      <c r="AA532" s="2994">
        <v>0</v>
      </c>
      <c r="AB532" s="2994">
        <v>0</v>
      </c>
      <c r="AC532" s="2994">
        <v>0</v>
      </c>
      <c r="AD532" s="2994">
        <v>0</v>
      </c>
      <c r="AE532" s="2994">
        <v>0</v>
      </c>
      <c r="AF532" s="2994">
        <v>0</v>
      </c>
      <c r="AG532" s="2994">
        <v>0</v>
      </c>
      <c r="AH532" s="2994">
        <v>0</v>
      </c>
      <c r="AI532" s="2994">
        <v>0</v>
      </c>
      <c r="AJ532" s="2994">
        <v>0</v>
      </c>
      <c r="AK532" s="2994">
        <v>0</v>
      </c>
      <c r="AL532" s="2994">
        <v>0</v>
      </c>
      <c r="AM532" s="2994">
        <v>0</v>
      </c>
      <c r="AN532" s="2994">
        <v>0</v>
      </c>
      <c r="AO532" s="2994">
        <v>0</v>
      </c>
      <c r="AP532" s="2994">
        <v>0</v>
      </c>
      <c r="AQ532" s="2994">
        <v>0</v>
      </c>
      <c r="AR532" s="2994">
        <v>0</v>
      </c>
      <c r="AS532" s="2994">
        <v>0</v>
      </c>
      <c r="AT532" s="2994">
        <v>0</v>
      </c>
      <c r="AU532" s="2994">
        <v>0</v>
      </c>
      <c r="AV532" s="2994">
        <v>0</v>
      </c>
      <c r="AW532" s="2994">
        <v>0</v>
      </c>
      <c r="AX532" s="2994">
        <v>0</v>
      </c>
      <c r="AY532" s="2994">
        <v>0</v>
      </c>
      <c r="AZ532" s="2994">
        <v>0</v>
      </c>
      <c r="BA532" s="2994">
        <v>0</v>
      </c>
      <c r="BB532" s="2994">
        <v>0</v>
      </c>
      <c r="BC532" s="2994">
        <v>0</v>
      </c>
      <c r="BD532" s="3471">
        <v>0</v>
      </c>
      <c r="BE532" s="3471">
        <v>0</v>
      </c>
      <c r="BF532" s="3471">
        <v>0</v>
      </c>
    </row>
    <row r="533" spans="1:58">
      <c r="A533" s="1817" t="str">
        <f t="shared" si="17"/>
        <v>South AmericaChillies and peppers, dry</v>
      </c>
      <c r="B533" s="1818" t="s">
        <v>306</v>
      </c>
      <c r="C533" s="1818" t="s">
        <v>7309</v>
      </c>
      <c r="D533" s="3463" t="str">
        <f>VLOOKUP(B533,List_Yield!$G$4:$J$14,4,FALSE)</f>
        <v>South America</v>
      </c>
      <c r="E533" s="3463" t="str">
        <f t="shared" si="16"/>
        <v>South AmericaChillies and peppers, dry</v>
      </c>
      <c r="F533" s="2994">
        <v>1.1537999999999999</v>
      </c>
      <c r="G533" s="2994">
        <v>1.1537999999999999</v>
      </c>
      <c r="H533" s="2994">
        <v>1.1537999999999999</v>
      </c>
      <c r="I533" s="2994">
        <v>1.1333</v>
      </c>
      <c r="J533" s="2994">
        <v>1.1333</v>
      </c>
      <c r="K533" s="2994">
        <v>1.1333</v>
      </c>
      <c r="L533" s="2994">
        <v>1.1765000000000001</v>
      </c>
      <c r="M533" s="2994">
        <v>1.1765000000000001</v>
      </c>
      <c r="N533" s="2994">
        <v>1.4535</v>
      </c>
      <c r="O533" s="2994">
        <v>1.2632000000000001</v>
      </c>
      <c r="P533" s="2994">
        <v>0.65380000000000005</v>
      </c>
      <c r="Q533" s="2994">
        <v>0.92900000000000005</v>
      </c>
      <c r="R533" s="2994">
        <v>1.1200000000000001</v>
      </c>
      <c r="S533" s="2994">
        <v>0.82940000000000003</v>
      </c>
      <c r="T533" s="2994">
        <v>1.0938000000000001</v>
      </c>
      <c r="U533" s="2994">
        <v>1.1687000000000001</v>
      </c>
      <c r="V533" s="2994">
        <v>1.1819999999999999</v>
      </c>
      <c r="W533" s="2994">
        <v>1.1904999999999999</v>
      </c>
      <c r="X533" s="2994">
        <v>1.0687</v>
      </c>
      <c r="Y533" s="2994">
        <v>0.97899999999999998</v>
      </c>
      <c r="Z533" s="2994">
        <v>1.1241000000000001</v>
      </c>
      <c r="AA533" s="2994">
        <v>1.1042000000000001</v>
      </c>
      <c r="AB533" s="2994">
        <v>1.0268999999999999</v>
      </c>
      <c r="AC533" s="2994">
        <v>1.042</v>
      </c>
      <c r="AD533" s="2994">
        <v>1.1364000000000001</v>
      </c>
      <c r="AE533" s="2994">
        <v>1.1259999999999999</v>
      </c>
      <c r="AF533" s="2994">
        <v>1.1066</v>
      </c>
      <c r="AG533" s="2994">
        <v>1.0678000000000001</v>
      </c>
      <c r="AH533" s="2994">
        <v>1.0783</v>
      </c>
      <c r="AI533" s="2994">
        <v>2.0608</v>
      </c>
      <c r="AJ533" s="2994">
        <v>2.1242000000000001</v>
      </c>
      <c r="AK533" s="2994">
        <v>2.8108</v>
      </c>
      <c r="AL533" s="2994">
        <v>2.7631999999999999</v>
      </c>
      <c r="AM533" s="2994">
        <v>3.8586</v>
      </c>
      <c r="AN533" s="2994">
        <v>3.0505</v>
      </c>
      <c r="AO533" s="2994">
        <v>3.9047999999999998</v>
      </c>
      <c r="AP533" s="2994">
        <v>4.12</v>
      </c>
      <c r="AQ533" s="2994">
        <v>4.2233999999999998</v>
      </c>
      <c r="AR533" s="2994">
        <v>5.8285999999999998</v>
      </c>
      <c r="AS533" s="2994">
        <v>6.0061</v>
      </c>
      <c r="AT533" s="2994">
        <v>5.9650999999999996</v>
      </c>
      <c r="AU533" s="2994">
        <v>6.2062999999999997</v>
      </c>
      <c r="AV533" s="2994">
        <v>6.3639999999999999</v>
      </c>
      <c r="AW533" s="2994">
        <v>5.9236000000000004</v>
      </c>
      <c r="AX533" s="2994">
        <v>6.6778000000000004</v>
      </c>
      <c r="AY533" s="2994">
        <v>6.7900999999999998</v>
      </c>
      <c r="AZ533" s="2994">
        <v>6.8137999999999996</v>
      </c>
      <c r="BA533" s="2994">
        <v>6.6757</v>
      </c>
      <c r="BB533" s="2994">
        <v>7.9665999999999997</v>
      </c>
      <c r="BC533" s="2994">
        <v>8.1719000000000008</v>
      </c>
      <c r="BD533" s="3471">
        <v>9.7012999999999998</v>
      </c>
      <c r="BE533" s="3471">
        <v>9.6216000000000008</v>
      </c>
      <c r="BF533" s="3471">
        <v>0</v>
      </c>
    </row>
    <row r="534" spans="1:58">
      <c r="A534" s="1817" t="str">
        <f t="shared" si="17"/>
        <v>South AmericaChillies and peppers, green</v>
      </c>
      <c r="B534" s="1818" t="s">
        <v>306</v>
      </c>
      <c r="C534" s="1818" t="s">
        <v>7310</v>
      </c>
      <c r="D534" s="3463" t="str">
        <f>VLOOKUP(B534,List_Yield!$G$4:$J$14,4,FALSE)</f>
        <v>South America</v>
      </c>
      <c r="E534" s="3463" t="str">
        <f t="shared" si="16"/>
        <v>South AmericaChillies and peppers, green</v>
      </c>
      <c r="F534" s="2994">
        <v>6.0643000000000002</v>
      </c>
      <c r="G534" s="2994">
        <v>5.8345000000000002</v>
      </c>
      <c r="H534" s="2994">
        <v>5.5449000000000002</v>
      </c>
      <c r="I534" s="2994">
        <v>6.6875999999999998</v>
      </c>
      <c r="J534" s="2994">
        <v>6.3860999999999999</v>
      </c>
      <c r="K534" s="2994">
        <v>5.9722999999999997</v>
      </c>
      <c r="L534" s="2994">
        <v>6.3151999999999999</v>
      </c>
      <c r="M534" s="2994">
        <v>6.157</v>
      </c>
      <c r="N534" s="2994">
        <v>6.4576000000000002</v>
      </c>
      <c r="O534" s="2994">
        <v>5.5239000000000003</v>
      </c>
      <c r="P534" s="2994">
        <v>6.2893999999999997</v>
      </c>
      <c r="Q534" s="2994">
        <v>5.9786000000000001</v>
      </c>
      <c r="R534" s="2994">
        <v>7.4504000000000001</v>
      </c>
      <c r="S534" s="2994">
        <v>6.4222999999999999</v>
      </c>
      <c r="T534" s="2994">
        <v>5.3417000000000003</v>
      </c>
      <c r="U534" s="2994">
        <v>5.8987999999999996</v>
      </c>
      <c r="V534" s="2994">
        <v>6.8949999999999996</v>
      </c>
      <c r="W534" s="2994">
        <v>7.5334000000000003</v>
      </c>
      <c r="X534" s="2994">
        <v>6.8091999999999997</v>
      </c>
      <c r="Y534" s="2994">
        <v>7.1067999999999998</v>
      </c>
      <c r="Z534" s="2994">
        <v>7.3956</v>
      </c>
      <c r="AA534" s="2994">
        <v>7.5160999999999998</v>
      </c>
      <c r="AB534" s="2994">
        <v>6.9530000000000003</v>
      </c>
      <c r="AC534" s="2994">
        <v>7.2793999999999999</v>
      </c>
      <c r="AD534" s="2994">
        <v>6.8312999999999997</v>
      </c>
      <c r="AE534" s="2994">
        <v>7.1463000000000001</v>
      </c>
      <c r="AF534" s="2994">
        <v>7.5266000000000002</v>
      </c>
      <c r="AG534" s="2994">
        <v>7.5587999999999997</v>
      </c>
      <c r="AH534" s="2994">
        <v>7.8048000000000002</v>
      </c>
      <c r="AI534" s="2994">
        <v>8.0376999999999992</v>
      </c>
      <c r="AJ534" s="2994">
        <v>8.1662999999999997</v>
      </c>
      <c r="AK534" s="2994">
        <v>8.4053000000000004</v>
      </c>
      <c r="AL534" s="2994">
        <v>8.4567999999999994</v>
      </c>
      <c r="AM534" s="2994">
        <v>8.3828999999999994</v>
      </c>
      <c r="AN534" s="2994">
        <v>9.1927000000000003</v>
      </c>
      <c r="AO534" s="2994">
        <v>9.0784000000000002</v>
      </c>
      <c r="AP534" s="2994">
        <v>10.763</v>
      </c>
      <c r="AQ534" s="2994">
        <v>11.9041</v>
      </c>
      <c r="AR534" s="2994">
        <v>12.849600000000001</v>
      </c>
      <c r="AS534" s="2994">
        <v>12.723100000000001</v>
      </c>
      <c r="AT534" s="2994">
        <v>13.1706</v>
      </c>
      <c r="AU534" s="2994">
        <v>14.2079</v>
      </c>
      <c r="AV534" s="2994">
        <v>13.351699999999999</v>
      </c>
      <c r="AW534" s="2994">
        <v>15.084899999999999</v>
      </c>
      <c r="AX534" s="2994">
        <v>15.138400000000001</v>
      </c>
      <c r="AY534" s="2994">
        <v>14.0259</v>
      </c>
      <c r="AZ534" s="2994">
        <v>14.7967</v>
      </c>
      <c r="BA534" s="2994">
        <v>15.0259</v>
      </c>
      <c r="BB534" s="2994">
        <v>15.049300000000001</v>
      </c>
      <c r="BC534" s="2994">
        <v>15.369899999999999</v>
      </c>
      <c r="BD534" s="3471">
        <v>14.440300000000001</v>
      </c>
      <c r="BE534" s="3471">
        <v>14.559900000000001</v>
      </c>
      <c r="BF534" s="3471">
        <v>0</v>
      </c>
    </row>
    <row r="535" spans="1:58">
      <c r="A535" s="1817" t="str">
        <f t="shared" si="17"/>
        <v>South AmericaCinnamon (canella)</v>
      </c>
      <c r="B535" s="1818" t="s">
        <v>306</v>
      </c>
      <c r="C535" s="1818" t="s">
        <v>7311</v>
      </c>
      <c r="D535" s="3463" t="str">
        <f>VLOOKUP(B535,List_Yield!$G$4:$J$14,4,FALSE)</f>
        <v>South America</v>
      </c>
      <c r="E535" s="3463" t="str">
        <f t="shared" si="16"/>
        <v>South AmericaCinnamon (canella)</v>
      </c>
      <c r="F535" s="2994">
        <v>0</v>
      </c>
      <c r="G535" s="2994">
        <v>0</v>
      </c>
      <c r="H535" s="2994">
        <v>0</v>
      </c>
      <c r="I535" s="2994">
        <v>0</v>
      </c>
      <c r="J535" s="2994">
        <v>0</v>
      </c>
      <c r="K535" s="2994">
        <v>0</v>
      </c>
      <c r="L535" s="2994">
        <v>0</v>
      </c>
      <c r="M535" s="2994">
        <v>0</v>
      </c>
      <c r="N535" s="2994">
        <v>0</v>
      </c>
      <c r="O535" s="2994">
        <v>0</v>
      </c>
      <c r="P535" s="2994">
        <v>0</v>
      </c>
      <c r="Q535" s="2994">
        <v>0</v>
      </c>
      <c r="R535" s="2994">
        <v>0</v>
      </c>
      <c r="S535" s="2994">
        <v>0</v>
      </c>
      <c r="T535" s="2994">
        <v>0</v>
      </c>
      <c r="U535" s="2994">
        <v>0</v>
      </c>
      <c r="V535" s="2994">
        <v>0</v>
      </c>
      <c r="W535" s="2994">
        <v>0</v>
      </c>
      <c r="X535" s="2994">
        <v>0</v>
      </c>
      <c r="Y535" s="2994">
        <v>0</v>
      </c>
      <c r="Z535" s="2994">
        <v>0</v>
      </c>
      <c r="AA535" s="2994">
        <v>0</v>
      </c>
      <c r="AB535" s="2994">
        <v>0</v>
      </c>
      <c r="AC535" s="2994">
        <v>0</v>
      </c>
      <c r="AD535" s="2994">
        <v>0</v>
      </c>
      <c r="AE535" s="2994">
        <v>0</v>
      </c>
      <c r="AF535" s="2994">
        <v>0</v>
      </c>
      <c r="AG535" s="2994">
        <v>0</v>
      </c>
      <c r="AH535" s="2994">
        <v>0</v>
      </c>
      <c r="AI535" s="2994">
        <v>0</v>
      </c>
      <c r="AJ535" s="2994">
        <v>0</v>
      </c>
      <c r="AK535" s="2994">
        <v>0</v>
      </c>
      <c r="AL535" s="2994">
        <v>0</v>
      </c>
      <c r="AM535" s="2994">
        <v>0</v>
      </c>
      <c r="AN535" s="2994">
        <v>0</v>
      </c>
      <c r="AO535" s="2994">
        <v>0</v>
      </c>
      <c r="AP535" s="2994">
        <v>0</v>
      </c>
      <c r="AQ535" s="2994">
        <v>0</v>
      </c>
      <c r="AR535" s="2994">
        <v>0</v>
      </c>
      <c r="AS535" s="2994">
        <v>0</v>
      </c>
      <c r="AT535" s="2994">
        <v>0</v>
      </c>
      <c r="AU535" s="2994">
        <v>0</v>
      </c>
      <c r="AV535" s="2994">
        <v>0</v>
      </c>
      <c r="AW535" s="2994">
        <v>0</v>
      </c>
      <c r="AX535" s="2994">
        <v>0</v>
      </c>
      <c r="AY535" s="2994">
        <v>0</v>
      </c>
      <c r="AZ535" s="2994">
        <v>0</v>
      </c>
      <c r="BA535" s="2994">
        <v>0</v>
      </c>
      <c r="BB535" s="2994">
        <v>0</v>
      </c>
      <c r="BC535" s="2994">
        <v>0</v>
      </c>
      <c r="BD535" s="3471">
        <v>0</v>
      </c>
      <c r="BE535" s="3471">
        <v>0</v>
      </c>
      <c r="BF535" s="3471">
        <v>0</v>
      </c>
    </row>
    <row r="536" spans="1:58">
      <c r="A536" s="1817" t="str">
        <f t="shared" si="17"/>
        <v>South AmericaCloves</v>
      </c>
      <c r="B536" s="1818" t="s">
        <v>306</v>
      </c>
      <c r="C536" s="1818" t="s">
        <v>7312</v>
      </c>
      <c r="D536" s="3463" t="str">
        <f>VLOOKUP(B536,List_Yield!$G$4:$J$14,4,FALSE)</f>
        <v>South America</v>
      </c>
      <c r="E536" s="3463" t="str">
        <f t="shared" si="16"/>
        <v>South AmericaCloves</v>
      </c>
      <c r="F536" s="2994">
        <v>0</v>
      </c>
      <c r="G536" s="2994">
        <v>0</v>
      </c>
      <c r="H536" s="2994">
        <v>0</v>
      </c>
      <c r="I536" s="2994">
        <v>0</v>
      </c>
      <c r="J536" s="2994">
        <v>0</v>
      </c>
      <c r="K536" s="2994">
        <v>0</v>
      </c>
      <c r="L536" s="2994">
        <v>0</v>
      </c>
      <c r="M536" s="2994">
        <v>0</v>
      </c>
      <c r="N536" s="2994">
        <v>0</v>
      </c>
      <c r="O536" s="2994">
        <v>0</v>
      </c>
      <c r="P536" s="2994">
        <v>0</v>
      </c>
      <c r="Q536" s="2994">
        <v>0</v>
      </c>
      <c r="R536" s="2994">
        <v>0</v>
      </c>
      <c r="S536" s="2994">
        <v>0</v>
      </c>
      <c r="T536" s="2994">
        <v>0</v>
      </c>
      <c r="U536" s="2994">
        <v>0</v>
      </c>
      <c r="V536" s="2994">
        <v>0</v>
      </c>
      <c r="W536" s="2994">
        <v>0</v>
      </c>
      <c r="X536" s="2994">
        <v>0</v>
      </c>
      <c r="Y536" s="2994">
        <v>0</v>
      </c>
      <c r="Z536" s="2994">
        <v>0</v>
      </c>
      <c r="AA536" s="2994">
        <v>0</v>
      </c>
      <c r="AB536" s="2994">
        <v>0</v>
      </c>
      <c r="AC536" s="2994">
        <v>0</v>
      </c>
      <c r="AD536" s="2994">
        <v>0</v>
      </c>
      <c r="AE536" s="2994">
        <v>0</v>
      </c>
      <c r="AF536" s="2994">
        <v>0</v>
      </c>
      <c r="AG536" s="2994">
        <v>0</v>
      </c>
      <c r="AH536" s="2994">
        <v>0</v>
      </c>
      <c r="AI536" s="2994">
        <v>0</v>
      </c>
      <c r="AJ536" s="2994">
        <v>0</v>
      </c>
      <c r="AK536" s="2994">
        <v>0</v>
      </c>
      <c r="AL536" s="2994">
        <v>0</v>
      </c>
      <c r="AM536" s="2994">
        <v>0</v>
      </c>
      <c r="AN536" s="2994">
        <v>0</v>
      </c>
      <c r="AO536" s="2994">
        <v>0</v>
      </c>
      <c r="AP536" s="2994">
        <v>0</v>
      </c>
      <c r="AQ536" s="2994">
        <v>0</v>
      </c>
      <c r="AR536" s="2994">
        <v>0</v>
      </c>
      <c r="AS536" s="2994">
        <v>0</v>
      </c>
      <c r="AT536" s="2994">
        <v>0</v>
      </c>
      <c r="AU536" s="2994">
        <v>0</v>
      </c>
      <c r="AV536" s="2994">
        <v>0</v>
      </c>
      <c r="AW536" s="2994">
        <v>0</v>
      </c>
      <c r="AX536" s="2994">
        <v>0</v>
      </c>
      <c r="AY536" s="2994">
        <v>0</v>
      </c>
      <c r="AZ536" s="2994">
        <v>0</v>
      </c>
      <c r="BA536" s="2994">
        <v>0</v>
      </c>
      <c r="BB536" s="2994">
        <v>0</v>
      </c>
      <c r="BC536" s="2994">
        <v>0</v>
      </c>
      <c r="BD536" s="3471">
        <v>0</v>
      </c>
      <c r="BE536" s="3471">
        <v>0</v>
      </c>
      <c r="BF536" s="3471">
        <v>0</v>
      </c>
    </row>
    <row r="537" spans="1:58">
      <c r="A537" s="1817" t="str">
        <f t="shared" si="17"/>
        <v>South AmericaCocoa, beans</v>
      </c>
      <c r="B537" s="1818" t="s">
        <v>306</v>
      </c>
      <c r="C537" s="1818" t="s">
        <v>7313</v>
      </c>
      <c r="D537" s="3463" t="str">
        <f>VLOOKUP(B537,List_Yield!$G$4:$J$14,4,FALSE)</f>
        <v>South America</v>
      </c>
      <c r="E537" s="3463" t="str">
        <f t="shared" si="16"/>
        <v>South AmericaCocoa, beans</v>
      </c>
      <c r="F537" s="2994">
        <v>0.29110000000000003</v>
      </c>
      <c r="G537" s="2994">
        <v>0.27829999999999999</v>
      </c>
      <c r="H537" s="2994">
        <v>0.28189999999999998</v>
      </c>
      <c r="I537" s="2994">
        <v>0.30309999999999998</v>
      </c>
      <c r="J537" s="2994">
        <v>0.29930000000000001</v>
      </c>
      <c r="K537" s="2994">
        <v>0.35160000000000002</v>
      </c>
      <c r="L537" s="2994">
        <v>0.37659999999999999</v>
      </c>
      <c r="M537" s="2994">
        <v>0.35730000000000001</v>
      </c>
      <c r="N537" s="2994">
        <v>0.38090000000000002</v>
      </c>
      <c r="O537" s="2994">
        <v>0.36609999999999998</v>
      </c>
      <c r="P537" s="2994">
        <v>0.41889999999999999</v>
      </c>
      <c r="Q537" s="2994">
        <v>0.42759999999999998</v>
      </c>
      <c r="R537" s="2994">
        <v>0.39910000000000001</v>
      </c>
      <c r="S537" s="2994">
        <v>0.43830000000000002</v>
      </c>
      <c r="T537" s="2994">
        <v>0.49940000000000001</v>
      </c>
      <c r="U537" s="2994">
        <v>0.44750000000000001</v>
      </c>
      <c r="V537" s="2994">
        <v>0.47020000000000001</v>
      </c>
      <c r="W537" s="2994">
        <v>0.46970000000000001</v>
      </c>
      <c r="X537" s="2994">
        <v>0.54010000000000002</v>
      </c>
      <c r="Y537" s="2994">
        <v>0.52059999999999995</v>
      </c>
      <c r="Z537" s="2994">
        <v>0.51539999999999997</v>
      </c>
      <c r="AA537" s="2994">
        <v>0.52659999999999996</v>
      </c>
      <c r="AB537" s="2994">
        <v>0.47489999999999999</v>
      </c>
      <c r="AC537" s="2994">
        <v>0.46010000000000001</v>
      </c>
      <c r="AD537" s="2994">
        <v>0.56799999999999995</v>
      </c>
      <c r="AE537" s="2994">
        <v>0.53639999999999999</v>
      </c>
      <c r="AF537" s="2994">
        <v>0.40679999999999999</v>
      </c>
      <c r="AG537" s="2994">
        <v>0.45529999999999998</v>
      </c>
      <c r="AH537" s="2994">
        <v>0.47010000000000002</v>
      </c>
      <c r="AI537" s="2994">
        <v>0.36509999999999998</v>
      </c>
      <c r="AJ537" s="2994">
        <v>0.42080000000000001</v>
      </c>
      <c r="AK537" s="2994">
        <v>0.4002</v>
      </c>
      <c r="AL537" s="2994">
        <v>0.40310000000000001</v>
      </c>
      <c r="AM537" s="2994">
        <v>0.40350000000000003</v>
      </c>
      <c r="AN537" s="2994">
        <v>0.3674</v>
      </c>
      <c r="AO537" s="2994">
        <v>0.36249999999999999</v>
      </c>
      <c r="AP537" s="2994">
        <v>0.35809999999999997</v>
      </c>
      <c r="AQ537" s="2994">
        <v>0.3402</v>
      </c>
      <c r="AR537" s="2994">
        <v>0.33310000000000001</v>
      </c>
      <c r="AS537" s="2994">
        <v>0.2923</v>
      </c>
      <c r="AT537" s="2994">
        <v>0.2666</v>
      </c>
      <c r="AU537" s="2994">
        <v>0.30030000000000001</v>
      </c>
      <c r="AV537" s="2994">
        <v>0.30359999999999998</v>
      </c>
      <c r="AW537" s="2994">
        <v>0.3206</v>
      </c>
      <c r="AX537" s="2994">
        <v>0.32890000000000003</v>
      </c>
      <c r="AY537" s="2994">
        <v>0.32679999999999998</v>
      </c>
      <c r="AZ537" s="2994">
        <v>0.32</v>
      </c>
      <c r="BA537" s="2994">
        <v>0.32579999999999998</v>
      </c>
      <c r="BB537" s="2994">
        <v>0.35470000000000002</v>
      </c>
      <c r="BC537" s="2994">
        <v>0.38219999999999998</v>
      </c>
      <c r="BD537" s="3471">
        <v>0.45379999999999998</v>
      </c>
      <c r="BE537" s="3471">
        <v>0.40160000000000001</v>
      </c>
      <c r="BF537" s="3471">
        <v>0</v>
      </c>
    </row>
    <row r="538" spans="1:58">
      <c r="A538" s="1817" t="str">
        <f t="shared" si="17"/>
        <v>South AmericaCoconuts</v>
      </c>
      <c r="B538" s="1818" t="s">
        <v>306</v>
      </c>
      <c r="C538" s="1818" t="s">
        <v>7314</v>
      </c>
      <c r="D538" s="3463" t="str">
        <f>VLOOKUP(B538,List_Yield!$G$4:$J$14,4,FALSE)</f>
        <v>South America</v>
      </c>
      <c r="E538" s="3463" t="str">
        <f t="shared" si="16"/>
        <v>South AmericaCoconuts</v>
      </c>
      <c r="F538" s="2994">
        <v>3.0449999999999999</v>
      </c>
      <c r="G538" s="2994">
        <v>3.0173999999999999</v>
      </c>
      <c r="H538" s="2994">
        <v>2.8719000000000001</v>
      </c>
      <c r="I538" s="2994">
        <v>2.8491</v>
      </c>
      <c r="J538" s="2994">
        <v>2.8677999999999999</v>
      </c>
      <c r="K538" s="2994">
        <v>2.6413000000000002</v>
      </c>
      <c r="L538" s="2994">
        <v>2.4969999999999999</v>
      </c>
      <c r="M538" s="2994">
        <v>2.7383999999999999</v>
      </c>
      <c r="N538" s="2994">
        <v>2.8346</v>
      </c>
      <c r="O538" s="2994">
        <v>2.9588999999999999</v>
      </c>
      <c r="P538" s="2994">
        <v>2.9992999999999999</v>
      </c>
      <c r="Q538" s="2994">
        <v>3.1183000000000001</v>
      </c>
      <c r="R538" s="2994">
        <v>3.2984</v>
      </c>
      <c r="S538" s="2994">
        <v>3.3178000000000001</v>
      </c>
      <c r="T538" s="2994">
        <v>3.2583000000000002</v>
      </c>
      <c r="U538" s="2994">
        <v>3.3195999999999999</v>
      </c>
      <c r="V538" s="2994">
        <v>3.3618000000000001</v>
      </c>
      <c r="W538" s="2994">
        <v>3.4312</v>
      </c>
      <c r="X538" s="2994">
        <v>3.4655</v>
      </c>
      <c r="Y538" s="2994">
        <v>3.7422</v>
      </c>
      <c r="Z538" s="2994">
        <v>3.8603000000000001</v>
      </c>
      <c r="AA538" s="2994">
        <v>3.7818000000000001</v>
      </c>
      <c r="AB538" s="2994">
        <v>3.9621</v>
      </c>
      <c r="AC538" s="2994">
        <v>3.8812000000000002</v>
      </c>
      <c r="AD538" s="2994">
        <v>3.3163</v>
      </c>
      <c r="AE538" s="2994">
        <v>3.2888999999999999</v>
      </c>
      <c r="AF538" s="2994">
        <v>3.2740999999999998</v>
      </c>
      <c r="AG538" s="2994">
        <v>3.3077000000000001</v>
      </c>
      <c r="AH538" s="2994">
        <v>3.2494999999999998</v>
      </c>
      <c r="AI538" s="2994">
        <v>3.2915999999999999</v>
      </c>
      <c r="AJ538" s="2994">
        <v>3.351</v>
      </c>
      <c r="AK538" s="2994">
        <v>3.2351000000000001</v>
      </c>
      <c r="AL538" s="2994">
        <v>3.1111</v>
      </c>
      <c r="AM538" s="2994">
        <v>3.2934000000000001</v>
      </c>
      <c r="AN538" s="2994">
        <v>3.3841000000000001</v>
      </c>
      <c r="AO538" s="2994">
        <v>3.7542</v>
      </c>
      <c r="AP538" s="2994">
        <v>6.2914000000000003</v>
      </c>
      <c r="AQ538" s="2994">
        <v>6.3262999999999998</v>
      </c>
      <c r="AR538" s="2994">
        <v>7.0113000000000003</v>
      </c>
      <c r="AS538" s="2994">
        <v>7.0890000000000004</v>
      </c>
      <c r="AT538" s="2994">
        <v>7.4706999999999999</v>
      </c>
      <c r="AU538" s="2994">
        <v>9.9456000000000007</v>
      </c>
      <c r="AV538" s="2994">
        <v>10.1706</v>
      </c>
      <c r="AW538" s="2994">
        <v>10.2818</v>
      </c>
      <c r="AX538" s="2994">
        <v>10.1556</v>
      </c>
      <c r="AY538" s="2994">
        <v>9.6877999999999993</v>
      </c>
      <c r="AZ538" s="2994">
        <v>9.6236999999999995</v>
      </c>
      <c r="BA538" s="2994">
        <v>10.6275</v>
      </c>
      <c r="BB538" s="2994">
        <v>9.8556000000000008</v>
      </c>
      <c r="BC538" s="2994">
        <v>9.9023000000000003</v>
      </c>
      <c r="BD538" s="3471">
        <v>10.308999999999999</v>
      </c>
      <c r="BE538" s="3471">
        <v>10.774800000000001</v>
      </c>
      <c r="BF538" s="3471">
        <v>10.472899999999999</v>
      </c>
    </row>
    <row r="539" spans="1:58">
      <c r="A539" s="1817" t="str">
        <f t="shared" si="17"/>
        <v>South AmericaCoffee, green</v>
      </c>
      <c r="B539" s="1818" t="s">
        <v>306</v>
      </c>
      <c r="C539" s="1818" t="s">
        <v>1347</v>
      </c>
      <c r="D539" s="3463" t="str">
        <f>VLOOKUP(B539,List_Yield!$G$4:$J$14,4,FALSE)</f>
        <v>South America</v>
      </c>
      <c r="E539" s="3463" t="str">
        <f t="shared" si="16"/>
        <v>South AmericaCoffee, green</v>
      </c>
      <c r="F539" s="2994">
        <v>0.48959999999999998</v>
      </c>
      <c r="G539" s="2994">
        <v>0.48180000000000001</v>
      </c>
      <c r="H539" s="2994">
        <v>0.3967</v>
      </c>
      <c r="I539" s="2994">
        <v>0.33040000000000003</v>
      </c>
      <c r="J539" s="2994">
        <v>0.6008</v>
      </c>
      <c r="K539" s="2994">
        <v>0.41670000000000001</v>
      </c>
      <c r="L539" s="2994">
        <v>0.5091</v>
      </c>
      <c r="M539" s="2994">
        <v>0.42580000000000001</v>
      </c>
      <c r="N539" s="2994">
        <v>0.4844</v>
      </c>
      <c r="O539" s="2994">
        <v>0.38129999999999997</v>
      </c>
      <c r="P539" s="2994">
        <v>0.57899999999999996</v>
      </c>
      <c r="Q539" s="2994">
        <v>0.57189999999999996</v>
      </c>
      <c r="R539" s="2994">
        <v>0.45979999999999999</v>
      </c>
      <c r="S539" s="2994">
        <v>0.63480000000000003</v>
      </c>
      <c r="T539" s="2994">
        <v>0.54449999999999998</v>
      </c>
      <c r="U539" s="2994">
        <v>0.40699999999999997</v>
      </c>
      <c r="V539" s="2994">
        <v>0.51190000000000002</v>
      </c>
      <c r="W539" s="2994">
        <v>0.54969999999999997</v>
      </c>
      <c r="X539" s="2994">
        <v>0.55710000000000004</v>
      </c>
      <c r="Y539" s="2994">
        <v>0.47720000000000001</v>
      </c>
      <c r="Z539" s="2994">
        <v>0.6885</v>
      </c>
      <c r="AA539" s="2994">
        <v>0.52990000000000004</v>
      </c>
      <c r="AB539" s="2994">
        <v>0.66</v>
      </c>
      <c r="AC539" s="2994">
        <v>0.5897</v>
      </c>
      <c r="AD539" s="2994">
        <v>0.6583</v>
      </c>
      <c r="AE539" s="2994">
        <v>0.47220000000000001</v>
      </c>
      <c r="AF539" s="2994">
        <v>0.67130000000000001</v>
      </c>
      <c r="AG539" s="2994">
        <v>0.50449999999999995</v>
      </c>
      <c r="AH539" s="2994">
        <v>0.5161</v>
      </c>
      <c r="AI539" s="2994">
        <v>0.55030000000000001</v>
      </c>
      <c r="AJ539" s="2994">
        <v>0.61029999999999995</v>
      </c>
      <c r="AK539" s="2994">
        <v>0.62280000000000002</v>
      </c>
      <c r="AL539" s="2994">
        <v>0.58699999999999997</v>
      </c>
      <c r="AM539" s="2994">
        <v>0.60640000000000005</v>
      </c>
      <c r="AN539" s="2994">
        <v>0.59970000000000001</v>
      </c>
      <c r="AO539" s="2994">
        <v>0.68810000000000004</v>
      </c>
      <c r="AP539" s="2994">
        <v>0.60650000000000004</v>
      </c>
      <c r="AQ539" s="2994">
        <v>0.74309999999999998</v>
      </c>
      <c r="AR539" s="2994">
        <v>0.67379999999999995</v>
      </c>
      <c r="AS539" s="2994">
        <v>0.7944</v>
      </c>
      <c r="AT539" s="2994">
        <v>0.76280000000000003</v>
      </c>
      <c r="AU539" s="2994">
        <v>0.97119999999999995</v>
      </c>
      <c r="AV539" s="2994">
        <v>0.79320000000000002</v>
      </c>
      <c r="AW539" s="2994">
        <v>0.90920000000000001</v>
      </c>
      <c r="AX539" s="2994">
        <v>0.81569999999999998</v>
      </c>
      <c r="AY539" s="2994">
        <v>0.97060000000000002</v>
      </c>
      <c r="AZ539" s="2994">
        <v>0.89249999999999996</v>
      </c>
      <c r="BA539" s="2994">
        <v>1.0616000000000001</v>
      </c>
      <c r="BB539" s="2994">
        <v>0.90539999999999998</v>
      </c>
      <c r="BC539" s="2994">
        <v>1.0535000000000001</v>
      </c>
      <c r="BD539" s="3471">
        <v>1.0162</v>
      </c>
      <c r="BE539" s="3471">
        <v>1.1188</v>
      </c>
      <c r="BF539" s="3471">
        <v>0</v>
      </c>
    </row>
    <row r="540" spans="1:58">
      <c r="A540" s="1817" t="str">
        <f t="shared" si="17"/>
        <v>South AmericaCoir</v>
      </c>
      <c r="B540" s="1818" t="s">
        <v>306</v>
      </c>
      <c r="C540" s="1818" t="s">
        <v>7315</v>
      </c>
      <c r="D540" s="3463" t="str">
        <f>VLOOKUP(B540,List_Yield!$G$4:$J$14,4,FALSE)</f>
        <v>South America</v>
      </c>
      <c r="E540" s="3463" t="str">
        <f t="shared" si="16"/>
        <v>South AmericaCoir</v>
      </c>
      <c r="F540" s="2994">
        <v>0</v>
      </c>
      <c r="G540" s="2994">
        <v>0</v>
      </c>
      <c r="H540" s="2994">
        <v>0</v>
      </c>
      <c r="I540" s="2994">
        <v>0</v>
      </c>
      <c r="J540" s="2994">
        <v>0</v>
      </c>
      <c r="K540" s="2994">
        <v>0</v>
      </c>
      <c r="L540" s="2994">
        <v>0</v>
      </c>
      <c r="M540" s="2994">
        <v>0</v>
      </c>
      <c r="N540" s="2994">
        <v>0</v>
      </c>
      <c r="O540" s="2994">
        <v>0</v>
      </c>
      <c r="P540" s="2994">
        <v>0</v>
      </c>
      <c r="Q540" s="2994">
        <v>0</v>
      </c>
      <c r="R540" s="2994">
        <v>0</v>
      </c>
      <c r="S540" s="2994">
        <v>0</v>
      </c>
      <c r="T540" s="2994">
        <v>0</v>
      </c>
      <c r="U540" s="2994">
        <v>0</v>
      </c>
      <c r="V540" s="2994">
        <v>0</v>
      </c>
      <c r="W540" s="2994">
        <v>0</v>
      </c>
      <c r="X540" s="2994">
        <v>0</v>
      </c>
      <c r="Y540" s="2994">
        <v>0</v>
      </c>
      <c r="Z540" s="2994">
        <v>0</v>
      </c>
      <c r="AA540" s="2994">
        <v>0</v>
      </c>
      <c r="AB540" s="2994">
        <v>0</v>
      </c>
      <c r="AC540" s="2994">
        <v>0</v>
      </c>
      <c r="AD540" s="2994">
        <v>0</v>
      </c>
      <c r="AE540" s="2994">
        <v>0</v>
      </c>
      <c r="AF540" s="2994">
        <v>0</v>
      </c>
      <c r="AG540" s="2994">
        <v>0</v>
      </c>
      <c r="AH540" s="2994">
        <v>0</v>
      </c>
      <c r="AI540" s="2994">
        <v>0</v>
      </c>
      <c r="AJ540" s="2994">
        <v>0</v>
      </c>
      <c r="AK540" s="2994">
        <v>0</v>
      </c>
      <c r="AL540" s="2994">
        <v>0</v>
      </c>
      <c r="AM540" s="2994">
        <v>0</v>
      </c>
      <c r="AN540" s="2994">
        <v>0</v>
      </c>
      <c r="AO540" s="2994">
        <v>0</v>
      </c>
      <c r="AP540" s="2994">
        <v>0</v>
      </c>
      <c r="AQ540" s="2994">
        <v>0</v>
      </c>
      <c r="AR540" s="2994">
        <v>0</v>
      </c>
      <c r="AS540" s="2994">
        <v>0</v>
      </c>
      <c r="AT540" s="2994">
        <v>0</v>
      </c>
      <c r="AU540" s="2994">
        <v>0</v>
      </c>
      <c r="AV540" s="2994">
        <v>0</v>
      </c>
      <c r="AW540" s="2994">
        <v>0</v>
      </c>
      <c r="AX540" s="2994">
        <v>0</v>
      </c>
      <c r="AY540" s="2994">
        <v>0</v>
      </c>
      <c r="AZ540" s="2994">
        <v>0</v>
      </c>
      <c r="BA540" s="2994">
        <v>0</v>
      </c>
      <c r="BB540" s="2994">
        <v>0</v>
      </c>
      <c r="BC540" s="2994">
        <v>0</v>
      </c>
      <c r="BD540" s="3471">
        <v>0</v>
      </c>
      <c r="BE540" s="3471">
        <v>0</v>
      </c>
      <c r="BF540" s="3471">
        <v>0</v>
      </c>
    </row>
    <row r="541" spans="1:58">
      <c r="A541" s="1817" t="str">
        <f t="shared" si="17"/>
        <v>South AmericaCow peas, dry</v>
      </c>
      <c r="B541" s="1818" t="s">
        <v>306</v>
      </c>
      <c r="C541" s="1818" t="s">
        <v>1329</v>
      </c>
      <c r="D541" s="3463" t="str">
        <f>VLOOKUP(B541,List_Yield!$G$4:$J$14,4,FALSE)</f>
        <v>South America</v>
      </c>
      <c r="E541" s="3463" t="str">
        <f t="shared" si="16"/>
        <v>South AmericaCow peas, dry</v>
      </c>
      <c r="F541" s="2994">
        <v>0</v>
      </c>
      <c r="G541" s="2994">
        <v>0</v>
      </c>
      <c r="H541" s="2994">
        <v>0</v>
      </c>
      <c r="I541" s="2994">
        <v>0</v>
      </c>
      <c r="J541" s="2994">
        <v>0</v>
      </c>
      <c r="K541" s="2994">
        <v>0</v>
      </c>
      <c r="L541" s="2994">
        <v>0</v>
      </c>
      <c r="M541" s="2994">
        <v>0</v>
      </c>
      <c r="N541" s="2994">
        <v>0</v>
      </c>
      <c r="O541" s="2994">
        <v>0</v>
      </c>
      <c r="P541" s="2994">
        <v>0</v>
      </c>
      <c r="Q541" s="2994">
        <v>0</v>
      </c>
      <c r="R541" s="2994">
        <v>0</v>
      </c>
      <c r="S541" s="2994">
        <v>0</v>
      </c>
      <c r="T541" s="2994">
        <v>0</v>
      </c>
      <c r="U541" s="2994">
        <v>0</v>
      </c>
      <c r="V541" s="2994">
        <v>0</v>
      </c>
      <c r="W541" s="2994">
        <v>0</v>
      </c>
      <c r="X541" s="2994">
        <v>0</v>
      </c>
      <c r="Y541" s="2994">
        <v>0</v>
      </c>
      <c r="Z541" s="2994">
        <v>0</v>
      </c>
      <c r="AA541" s="2994">
        <v>0</v>
      </c>
      <c r="AB541" s="2994">
        <v>0</v>
      </c>
      <c r="AC541" s="2994">
        <v>0</v>
      </c>
      <c r="AD541" s="2994">
        <v>0</v>
      </c>
      <c r="AE541" s="2994">
        <v>0</v>
      </c>
      <c r="AF541" s="2994">
        <v>0</v>
      </c>
      <c r="AG541" s="2994">
        <v>0</v>
      </c>
      <c r="AH541" s="2994">
        <v>0</v>
      </c>
      <c r="AI541" s="2994">
        <v>0</v>
      </c>
      <c r="AJ541" s="2994">
        <v>0</v>
      </c>
      <c r="AK541" s="2994">
        <v>0</v>
      </c>
      <c r="AL541" s="2994">
        <v>0</v>
      </c>
      <c r="AM541" s="2994">
        <v>0</v>
      </c>
      <c r="AN541" s="2994">
        <v>0</v>
      </c>
      <c r="AO541" s="2994">
        <v>0</v>
      </c>
      <c r="AP541" s="2994">
        <v>0</v>
      </c>
      <c r="AQ541" s="2994">
        <v>0</v>
      </c>
      <c r="AR541" s="2994">
        <v>0</v>
      </c>
      <c r="AS541" s="2994">
        <v>1.2508999999999999</v>
      </c>
      <c r="AT541" s="2994">
        <v>1.1406000000000001</v>
      </c>
      <c r="AU541" s="2994">
        <v>1.1780999999999999</v>
      </c>
      <c r="AV541" s="2994">
        <v>1.1936</v>
      </c>
      <c r="AW541" s="2994">
        <v>1.1387</v>
      </c>
      <c r="AX541" s="2994">
        <v>1.1374</v>
      </c>
      <c r="AY541" s="2994">
        <v>1.3869</v>
      </c>
      <c r="AZ541" s="2994">
        <v>1.3351999999999999</v>
      </c>
      <c r="BA541" s="2994">
        <v>1.3083</v>
      </c>
      <c r="BB541" s="2994">
        <v>1.3443000000000001</v>
      </c>
      <c r="BC541" s="2994">
        <v>1.5145999999999999</v>
      </c>
      <c r="BD541" s="3471">
        <v>1.4225000000000001</v>
      </c>
      <c r="BE541" s="3471">
        <v>1.4452</v>
      </c>
      <c r="BF541" s="3471">
        <v>1.2192000000000001</v>
      </c>
    </row>
    <row r="542" spans="1:58">
      <c r="A542" s="1817" t="str">
        <f t="shared" si="17"/>
        <v>South AmericaCranberries</v>
      </c>
      <c r="B542" s="1818" t="s">
        <v>306</v>
      </c>
      <c r="C542" s="1818" t="s">
        <v>7316</v>
      </c>
      <c r="D542" s="3463" t="str">
        <f>VLOOKUP(B542,List_Yield!$G$4:$J$14,4,FALSE)</f>
        <v>South America</v>
      </c>
      <c r="E542" s="3463" t="str">
        <f t="shared" si="16"/>
        <v>South AmericaCranberries</v>
      </c>
      <c r="F542" s="2994">
        <v>0</v>
      </c>
      <c r="G542" s="2994">
        <v>0</v>
      </c>
      <c r="H542" s="2994">
        <v>0</v>
      </c>
      <c r="I542" s="2994">
        <v>0</v>
      </c>
      <c r="J542" s="2994">
        <v>0</v>
      </c>
      <c r="K542" s="2994">
        <v>0</v>
      </c>
      <c r="L542" s="2994">
        <v>0</v>
      </c>
      <c r="M542" s="2994">
        <v>0</v>
      </c>
      <c r="N542" s="2994">
        <v>0</v>
      </c>
      <c r="O542" s="2994">
        <v>0</v>
      </c>
      <c r="P542" s="2994">
        <v>0</v>
      </c>
      <c r="Q542" s="2994">
        <v>0</v>
      </c>
      <c r="R542" s="2994">
        <v>0</v>
      </c>
      <c r="S542" s="2994">
        <v>0</v>
      </c>
      <c r="T542" s="2994">
        <v>0</v>
      </c>
      <c r="U542" s="2994">
        <v>0</v>
      </c>
      <c r="V542" s="2994">
        <v>0</v>
      </c>
      <c r="W542" s="2994">
        <v>0</v>
      </c>
      <c r="X542" s="2994">
        <v>0</v>
      </c>
      <c r="Y542" s="2994">
        <v>0</v>
      </c>
      <c r="Z542" s="2994">
        <v>0</v>
      </c>
      <c r="AA542" s="2994">
        <v>0</v>
      </c>
      <c r="AB542" s="2994">
        <v>0</v>
      </c>
      <c r="AC542" s="2994">
        <v>0</v>
      </c>
      <c r="AD542" s="2994">
        <v>0</v>
      </c>
      <c r="AE542" s="2994">
        <v>0</v>
      </c>
      <c r="AF542" s="2994">
        <v>0</v>
      </c>
      <c r="AG542" s="2994">
        <v>0</v>
      </c>
      <c r="AH542" s="2994">
        <v>0</v>
      </c>
      <c r="AI542" s="2994">
        <v>0</v>
      </c>
      <c r="AJ542" s="2994">
        <v>0</v>
      </c>
      <c r="AK542" s="2994">
        <v>0</v>
      </c>
      <c r="AL542" s="2994">
        <v>0</v>
      </c>
      <c r="AM542" s="2994">
        <v>0</v>
      </c>
      <c r="AN542" s="2994">
        <v>0</v>
      </c>
      <c r="AO542" s="2994">
        <v>0</v>
      </c>
      <c r="AP542" s="2994">
        <v>0</v>
      </c>
      <c r="AQ542" s="2994">
        <v>0</v>
      </c>
      <c r="AR542" s="2994">
        <v>0</v>
      </c>
      <c r="AS542" s="2994">
        <v>0</v>
      </c>
      <c r="AT542" s="2994">
        <v>0</v>
      </c>
      <c r="AU542" s="2994">
        <v>0</v>
      </c>
      <c r="AV542" s="2994">
        <v>0</v>
      </c>
      <c r="AW542" s="2994">
        <v>0</v>
      </c>
      <c r="AX542" s="2994">
        <v>0</v>
      </c>
      <c r="AY542" s="2994">
        <v>0</v>
      </c>
      <c r="AZ542" s="2994">
        <v>0</v>
      </c>
      <c r="BA542" s="2994">
        <v>0</v>
      </c>
      <c r="BB542" s="2994">
        <v>0</v>
      </c>
      <c r="BC542" s="2994">
        <v>0</v>
      </c>
      <c r="BD542" s="3471">
        <v>0</v>
      </c>
      <c r="BE542" s="3471">
        <v>0</v>
      </c>
      <c r="BF542" s="3471">
        <v>0</v>
      </c>
    </row>
    <row r="543" spans="1:58">
      <c r="A543" s="1817" t="str">
        <f t="shared" si="17"/>
        <v>South AmericaCucumbers and gherkins</v>
      </c>
      <c r="B543" s="1818" t="s">
        <v>306</v>
      </c>
      <c r="C543" s="1818" t="s">
        <v>7317</v>
      </c>
      <c r="D543" s="3463" t="str">
        <f>VLOOKUP(B543,List_Yield!$G$4:$J$14,4,FALSE)</f>
        <v>South America</v>
      </c>
      <c r="E543" s="3463" t="str">
        <f t="shared" si="16"/>
        <v>South AmericaCucumbers and gherkins</v>
      </c>
      <c r="F543" s="2994">
        <v>18.4953</v>
      </c>
      <c r="G543" s="2994">
        <v>18.035699999999999</v>
      </c>
      <c r="H543" s="2994">
        <v>17.410499999999999</v>
      </c>
      <c r="I543" s="2994">
        <v>17.032399999999999</v>
      </c>
      <c r="J543" s="2994">
        <v>16.821100000000001</v>
      </c>
      <c r="K543" s="2994">
        <v>16.6357</v>
      </c>
      <c r="L543" s="2994">
        <v>15.8736</v>
      </c>
      <c r="M543" s="2994">
        <v>16.145399999999999</v>
      </c>
      <c r="N543" s="2994">
        <v>15.851800000000001</v>
      </c>
      <c r="O543" s="2994">
        <v>17.238199999999999</v>
      </c>
      <c r="P543" s="2994">
        <v>17.804600000000001</v>
      </c>
      <c r="Q543" s="2994">
        <v>18.381399999999999</v>
      </c>
      <c r="R543" s="2994">
        <v>18.363399999999999</v>
      </c>
      <c r="S543" s="2994">
        <v>17.907</v>
      </c>
      <c r="T543" s="2994">
        <v>17.916399999999999</v>
      </c>
      <c r="U543" s="2994">
        <v>18.037099999999999</v>
      </c>
      <c r="V543" s="2994">
        <v>18.397400000000001</v>
      </c>
      <c r="W543" s="2994">
        <v>18.543900000000001</v>
      </c>
      <c r="X543" s="2994">
        <v>18.482700000000001</v>
      </c>
      <c r="Y543" s="2994">
        <v>16.2197</v>
      </c>
      <c r="Z543" s="2994">
        <v>16.8687</v>
      </c>
      <c r="AA543" s="2994">
        <v>16.7151</v>
      </c>
      <c r="AB543" s="2994">
        <v>16.5671</v>
      </c>
      <c r="AC543" s="2994">
        <v>16.497499999999999</v>
      </c>
      <c r="AD543" s="2994">
        <v>15.453799999999999</v>
      </c>
      <c r="AE543" s="2994">
        <v>15.2812</v>
      </c>
      <c r="AF543" s="2994">
        <v>15.8461</v>
      </c>
      <c r="AG543" s="2994">
        <v>15.6676</v>
      </c>
      <c r="AH543" s="2994">
        <v>14.973599999999999</v>
      </c>
      <c r="AI543" s="2994">
        <v>15.020899999999999</v>
      </c>
      <c r="AJ543" s="2994">
        <v>16.196100000000001</v>
      </c>
      <c r="AK543" s="2994">
        <v>17.074000000000002</v>
      </c>
      <c r="AL543" s="2994">
        <v>17.690200000000001</v>
      </c>
      <c r="AM543" s="2994">
        <v>15.2111</v>
      </c>
      <c r="AN543" s="2994">
        <v>16.175599999999999</v>
      </c>
      <c r="AO543" s="2994">
        <v>16.550999999999998</v>
      </c>
      <c r="AP543" s="2994">
        <v>14.429500000000001</v>
      </c>
      <c r="AQ543" s="2994">
        <v>13.4573</v>
      </c>
      <c r="AR543" s="2994">
        <v>13.600099999999999</v>
      </c>
      <c r="AS543" s="2994">
        <v>13.6769</v>
      </c>
      <c r="AT543" s="2994">
        <v>14.4199</v>
      </c>
      <c r="AU543" s="2994">
        <v>14.824400000000001</v>
      </c>
      <c r="AV543" s="2994">
        <v>15.819900000000001</v>
      </c>
      <c r="AW543" s="2994">
        <v>13.7286</v>
      </c>
      <c r="AX543" s="2994">
        <v>11.220700000000001</v>
      </c>
      <c r="AY543" s="2994">
        <v>14.151300000000001</v>
      </c>
      <c r="AZ543" s="2994">
        <v>15.3653</v>
      </c>
      <c r="BA543" s="2994">
        <v>15.9283</v>
      </c>
      <c r="BB543" s="2994">
        <v>15.7264</v>
      </c>
      <c r="BC543" s="2994">
        <v>16.650700000000001</v>
      </c>
      <c r="BD543" s="3471">
        <v>15.867800000000001</v>
      </c>
      <c r="BE543" s="3471">
        <v>15.6891</v>
      </c>
      <c r="BF543" s="3471">
        <v>0</v>
      </c>
    </row>
    <row r="544" spans="1:58">
      <c r="A544" s="1817" t="str">
        <f t="shared" si="17"/>
        <v>South AmericaCurrants</v>
      </c>
      <c r="B544" s="1818" t="s">
        <v>306</v>
      </c>
      <c r="C544" s="1818" t="s">
        <v>7318</v>
      </c>
      <c r="D544" s="3463" t="str">
        <f>VLOOKUP(B544,List_Yield!$G$4:$J$14,4,FALSE)</f>
        <v>South America</v>
      </c>
      <c r="E544" s="3463" t="str">
        <f t="shared" si="16"/>
        <v>South AmericaCurrants</v>
      </c>
      <c r="F544" s="2994">
        <v>0</v>
      </c>
      <c r="G544" s="2994">
        <v>0</v>
      </c>
      <c r="H544" s="2994">
        <v>0</v>
      </c>
      <c r="I544" s="2994">
        <v>0</v>
      </c>
      <c r="J544" s="2994">
        <v>0</v>
      </c>
      <c r="K544" s="2994">
        <v>0</v>
      </c>
      <c r="L544" s="2994">
        <v>0</v>
      </c>
      <c r="M544" s="2994">
        <v>0</v>
      </c>
      <c r="N544" s="2994">
        <v>0</v>
      </c>
      <c r="O544" s="2994">
        <v>0</v>
      </c>
      <c r="P544" s="2994">
        <v>0</v>
      </c>
      <c r="Q544" s="2994">
        <v>0</v>
      </c>
      <c r="R544" s="2994">
        <v>0</v>
      </c>
      <c r="S544" s="2994">
        <v>0</v>
      </c>
      <c r="T544" s="2994">
        <v>0</v>
      </c>
      <c r="U544" s="2994">
        <v>0</v>
      </c>
      <c r="V544" s="2994">
        <v>0</v>
      </c>
      <c r="W544" s="2994">
        <v>0</v>
      </c>
      <c r="X544" s="2994">
        <v>0</v>
      </c>
      <c r="Y544" s="2994">
        <v>0</v>
      </c>
      <c r="Z544" s="2994">
        <v>0</v>
      </c>
      <c r="AA544" s="2994">
        <v>0</v>
      </c>
      <c r="AB544" s="2994">
        <v>0</v>
      </c>
      <c r="AC544" s="2994">
        <v>0</v>
      </c>
      <c r="AD544" s="2994">
        <v>0</v>
      </c>
      <c r="AE544" s="2994">
        <v>0</v>
      </c>
      <c r="AF544" s="2994">
        <v>0</v>
      </c>
      <c r="AG544" s="2994">
        <v>0</v>
      </c>
      <c r="AH544" s="2994">
        <v>0</v>
      </c>
      <c r="AI544" s="2994">
        <v>0</v>
      </c>
      <c r="AJ544" s="2994">
        <v>0</v>
      </c>
      <c r="AK544" s="2994">
        <v>0</v>
      </c>
      <c r="AL544" s="2994">
        <v>0</v>
      </c>
      <c r="AM544" s="2994">
        <v>0</v>
      </c>
      <c r="AN544" s="2994">
        <v>0</v>
      </c>
      <c r="AO544" s="2994">
        <v>0</v>
      </c>
      <c r="AP544" s="2994">
        <v>0</v>
      </c>
      <c r="AQ544" s="2994">
        <v>0</v>
      </c>
      <c r="AR544" s="2994">
        <v>0</v>
      </c>
      <c r="AS544" s="2994">
        <v>0</v>
      </c>
      <c r="AT544" s="2994">
        <v>0</v>
      </c>
      <c r="AU544" s="2994">
        <v>0</v>
      </c>
      <c r="AV544" s="2994">
        <v>0</v>
      </c>
      <c r="AW544" s="2994">
        <v>0</v>
      </c>
      <c r="AX544" s="2994">
        <v>0</v>
      </c>
      <c r="AY544" s="2994">
        <v>0</v>
      </c>
      <c r="AZ544" s="2994">
        <v>0</v>
      </c>
      <c r="BA544" s="2994">
        <v>0</v>
      </c>
      <c r="BB544" s="2994">
        <v>0</v>
      </c>
      <c r="BC544" s="2994">
        <v>0</v>
      </c>
      <c r="BD544" s="3471">
        <v>0</v>
      </c>
      <c r="BE544" s="3471">
        <v>0</v>
      </c>
      <c r="BF544" s="3471">
        <v>0</v>
      </c>
    </row>
    <row r="545" spans="1:58">
      <c r="A545" s="1817" t="str">
        <f t="shared" si="17"/>
        <v>South AmericaDates</v>
      </c>
      <c r="B545" s="1818" t="s">
        <v>306</v>
      </c>
      <c r="C545" s="1818" t="s">
        <v>1348</v>
      </c>
      <c r="D545" s="3463" t="str">
        <f>VLOOKUP(B545,List_Yield!$G$4:$J$14,4,FALSE)</f>
        <v>South America</v>
      </c>
      <c r="E545" s="3463" t="str">
        <f t="shared" si="16"/>
        <v>South AmericaDates</v>
      </c>
      <c r="F545" s="2994">
        <v>5.4545000000000003</v>
      </c>
      <c r="G545" s="2994">
        <v>5.4545000000000003</v>
      </c>
      <c r="H545" s="2994">
        <v>5.3845999999999998</v>
      </c>
      <c r="I545" s="2994">
        <v>5.3845999999999998</v>
      </c>
      <c r="J545" s="2994">
        <v>5.3333000000000004</v>
      </c>
      <c r="K545" s="2994">
        <v>5.3867000000000003</v>
      </c>
      <c r="L545" s="2994">
        <v>5.3532999999999999</v>
      </c>
      <c r="M545" s="2994">
        <v>3.8210999999999999</v>
      </c>
      <c r="N545" s="2994">
        <v>4.4800000000000004</v>
      </c>
      <c r="O545" s="2994">
        <v>4.4000000000000004</v>
      </c>
      <c r="P545" s="2994">
        <v>4.4020999999999999</v>
      </c>
      <c r="Q545" s="2994">
        <v>3</v>
      </c>
      <c r="R545" s="2994">
        <v>2.9</v>
      </c>
      <c r="S545" s="2994">
        <v>2.7</v>
      </c>
      <c r="T545" s="2994">
        <v>3</v>
      </c>
      <c r="U545" s="2994">
        <v>3</v>
      </c>
      <c r="V545" s="2994">
        <v>3.5</v>
      </c>
      <c r="W545" s="2994">
        <v>3.5</v>
      </c>
      <c r="X545" s="2994">
        <v>3.5</v>
      </c>
      <c r="Y545" s="2994">
        <v>3.5</v>
      </c>
      <c r="Z545" s="2994">
        <v>3.5</v>
      </c>
      <c r="AA545" s="2994">
        <v>3.5034999999999998</v>
      </c>
      <c r="AB545" s="2994">
        <v>1.3688</v>
      </c>
      <c r="AC545" s="2994">
        <v>3.5034999999999998</v>
      </c>
      <c r="AD545" s="2994">
        <v>2.5</v>
      </c>
      <c r="AE545" s="2994">
        <v>2.8778000000000001</v>
      </c>
      <c r="AF545" s="2994">
        <v>1.0851999999999999</v>
      </c>
      <c r="AG545" s="2994">
        <v>1.6295999999999999</v>
      </c>
      <c r="AH545" s="2994">
        <v>1.2</v>
      </c>
      <c r="AI545" s="2994">
        <v>1.7556</v>
      </c>
      <c r="AJ545" s="2994">
        <v>1.1852</v>
      </c>
      <c r="AK545" s="2994">
        <v>1.6</v>
      </c>
      <c r="AL545" s="2994">
        <v>1.163</v>
      </c>
      <c r="AM545" s="2994">
        <v>1.4333</v>
      </c>
      <c r="AN545" s="2994">
        <v>1.6714</v>
      </c>
      <c r="AO545" s="2994">
        <v>1.8125</v>
      </c>
      <c r="AP545" s="2994">
        <v>2.0244</v>
      </c>
      <c r="AQ545" s="2994">
        <v>1.7534000000000001</v>
      </c>
      <c r="AR545" s="2994">
        <v>4.4348000000000001</v>
      </c>
      <c r="AS545" s="2994">
        <v>2.7875000000000001</v>
      </c>
      <c r="AT545" s="2994">
        <v>2.8538999999999999</v>
      </c>
      <c r="AU545" s="2994">
        <v>2.8889</v>
      </c>
      <c r="AV545" s="2994">
        <v>2.9565000000000001</v>
      </c>
      <c r="AW545" s="2994">
        <v>3.0543</v>
      </c>
      <c r="AX545" s="2994">
        <v>3.3043</v>
      </c>
      <c r="AY545" s="2994">
        <v>3.1772999999999998</v>
      </c>
      <c r="AZ545" s="2994">
        <v>2.3895</v>
      </c>
      <c r="BA545" s="2994">
        <v>5.4390000000000001</v>
      </c>
      <c r="BB545" s="2994">
        <v>4.5</v>
      </c>
      <c r="BC545" s="2994">
        <v>3.4298999999999999</v>
      </c>
      <c r="BD545" s="3471">
        <v>3.8224</v>
      </c>
      <c r="BE545" s="3471">
        <v>3.8052999999999999</v>
      </c>
      <c r="BF545" s="3471">
        <v>0</v>
      </c>
    </row>
    <row r="546" spans="1:58">
      <c r="A546" s="1817" t="str">
        <f t="shared" si="17"/>
        <v>South AmericaEggplants (aubergines)</v>
      </c>
      <c r="B546" s="1818" t="s">
        <v>306</v>
      </c>
      <c r="C546" s="1818" t="s">
        <v>1349</v>
      </c>
      <c r="D546" s="3463" t="str">
        <f>VLOOKUP(B546,List_Yield!$G$4:$J$14,4,FALSE)</f>
        <v>South America</v>
      </c>
      <c r="E546" s="3463" t="str">
        <f t="shared" si="16"/>
        <v>South AmericaEggplants (aubergines)</v>
      </c>
      <c r="F546" s="2994">
        <v>12.9032</v>
      </c>
      <c r="G546" s="2994">
        <v>13.25</v>
      </c>
      <c r="H546" s="2994">
        <v>12.654299999999999</v>
      </c>
      <c r="I546" s="2994">
        <v>12.4725</v>
      </c>
      <c r="J546" s="2994">
        <v>12.254899999999999</v>
      </c>
      <c r="K546" s="2994">
        <v>12.1563</v>
      </c>
      <c r="L546" s="2994">
        <v>12.831899999999999</v>
      </c>
      <c r="M546" s="2994">
        <v>13.2265</v>
      </c>
      <c r="N546" s="2994">
        <v>13.346299999999999</v>
      </c>
      <c r="O546" s="2994">
        <v>13.5632</v>
      </c>
      <c r="P546" s="2994">
        <v>13.0466</v>
      </c>
      <c r="Q546" s="2994">
        <v>13.5944</v>
      </c>
      <c r="R546" s="2994">
        <v>13.873799999999999</v>
      </c>
      <c r="S546" s="2994">
        <v>13.6031</v>
      </c>
      <c r="T546" s="2994">
        <v>14.118399999999999</v>
      </c>
      <c r="U546" s="2994">
        <v>13.8977</v>
      </c>
      <c r="V546" s="2994">
        <v>14.3002</v>
      </c>
      <c r="W546" s="2994">
        <v>13.9192</v>
      </c>
      <c r="X546" s="2994">
        <v>14.0883</v>
      </c>
      <c r="Y546" s="2994">
        <v>14.157400000000001</v>
      </c>
      <c r="Z546" s="2994">
        <v>13.859400000000001</v>
      </c>
      <c r="AA546" s="2994">
        <v>13.6031</v>
      </c>
      <c r="AB546" s="2994">
        <v>13.4053</v>
      </c>
      <c r="AC546" s="2994">
        <v>12.497</v>
      </c>
      <c r="AD546" s="2994">
        <v>12.6242</v>
      </c>
      <c r="AE546" s="2994">
        <v>12.0816</v>
      </c>
      <c r="AF546" s="2994">
        <v>12.0953</v>
      </c>
      <c r="AG546" s="2994">
        <v>11.8908</v>
      </c>
      <c r="AH546" s="2994">
        <v>11.7921</v>
      </c>
      <c r="AI546" s="2994">
        <v>11.5533</v>
      </c>
      <c r="AJ546" s="2994">
        <v>12.748799999999999</v>
      </c>
      <c r="AK546" s="2994">
        <v>12.651400000000001</v>
      </c>
      <c r="AL546" s="2994">
        <v>12.7729</v>
      </c>
      <c r="AM546" s="2994">
        <v>14.776400000000001</v>
      </c>
      <c r="AN546" s="2994">
        <v>15.9247</v>
      </c>
      <c r="AO546" s="2994">
        <v>12.9268</v>
      </c>
      <c r="AP546" s="2994">
        <v>9.7888000000000002</v>
      </c>
      <c r="AQ546" s="2994">
        <v>9.7502999999999993</v>
      </c>
      <c r="AR546" s="2994">
        <v>10.4146</v>
      </c>
      <c r="AS546" s="2994">
        <v>9.3106000000000009</v>
      </c>
      <c r="AT546" s="2994">
        <v>10.2821</v>
      </c>
      <c r="AU546" s="2994">
        <v>10.001099999999999</v>
      </c>
      <c r="AV546" s="2994">
        <v>11.172000000000001</v>
      </c>
      <c r="AW546" s="2994">
        <v>10.0349</v>
      </c>
      <c r="AX546" s="2994">
        <v>8.1079000000000008</v>
      </c>
      <c r="AY546" s="2994">
        <v>9.7251999999999992</v>
      </c>
      <c r="AZ546" s="2994">
        <v>12.3544</v>
      </c>
      <c r="BA546" s="2994">
        <v>11.7963</v>
      </c>
      <c r="BB546" s="2994">
        <v>10.9689</v>
      </c>
      <c r="BC546" s="2994">
        <v>8.8649000000000004</v>
      </c>
      <c r="BD546" s="3471">
        <v>8.7728999999999999</v>
      </c>
      <c r="BE546" s="3471">
        <v>8.8030000000000008</v>
      </c>
      <c r="BF546" s="3471">
        <v>0</v>
      </c>
    </row>
    <row r="547" spans="1:58">
      <c r="A547" s="1817" t="str">
        <f t="shared" si="17"/>
        <v>South AmericaFibre crops nes</v>
      </c>
      <c r="B547" s="1818" t="s">
        <v>306</v>
      </c>
      <c r="C547" s="1818" t="s">
        <v>7319</v>
      </c>
      <c r="D547" s="3463" t="str">
        <f>VLOOKUP(B547,List_Yield!$G$4:$J$14,4,FALSE)</f>
        <v>South America</v>
      </c>
      <c r="E547" s="3463" t="str">
        <f t="shared" si="16"/>
        <v>South AmericaFibre crops nes</v>
      </c>
      <c r="F547" s="2994">
        <v>8.5030000000000001</v>
      </c>
      <c r="G547" s="2994">
        <v>7.3627000000000002</v>
      </c>
      <c r="H547" s="2994">
        <v>7.4554</v>
      </c>
      <c r="I547" s="2994">
        <v>22.0458</v>
      </c>
      <c r="J547" s="2994">
        <v>17.9438</v>
      </c>
      <c r="K547" s="2994">
        <v>22.970300000000002</v>
      </c>
      <c r="L547" s="2994">
        <v>21.765799999999999</v>
      </c>
      <c r="M547" s="2994">
        <v>12.461</v>
      </c>
      <c r="N547" s="2994">
        <v>9.2029999999999994</v>
      </c>
      <c r="O547" s="2994">
        <v>8.8940999999999999</v>
      </c>
      <c r="P547" s="2994">
        <v>10.286300000000001</v>
      </c>
      <c r="Q547" s="2994">
        <v>14.018000000000001</v>
      </c>
      <c r="R547" s="2994">
        <v>17.850899999999999</v>
      </c>
      <c r="S547" s="2994">
        <v>18.6646</v>
      </c>
      <c r="T547" s="2994">
        <v>19.517299999999999</v>
      </c>
      <c r="U547" s="2994">
        <v>21.234100000000002</v>
      </c>
      <c r="V547" s="2994">
        <v>22.753699999999998</v>
      </c>
      <c r="W547" s="2994">
        <v>25.514800000000001</v>
      </c>
      <c r="X547" s="2994">
        <v>21.1953</v>
      </c>
      <c r="Y547" s="2994">
        <v>21.307300000000001</v>
      </c>
      <c r="Z547" s="2994">
        <v>52.294199999999996</v>
      </c>
      <c r="AA547" s="2994">
        <v>59.7836</v>
      </c>
      <c r="AB547" s="2994">
        <v>57.896700000000003</v>
      </c>
      <c r="AC547" s="2994">
        <v>59.7258</v>
      </c>
      <c r="AD547" s="2994">
        <v>60.555</v>
      </c>
      <c r="AE547" s="2994">
        <v>59.707500000000003</v>
      </c>
      <c r="AF547" s="2994">
        <v>61.63</v>
      </c>
      <c r="AG547" s="2994">
        <v>69.146699999999996</v>
      </c>
      <c r="AH547" s="2994">
        <v>62.091700000000003</v>
      </c>
      <c r="AI547" s="2994">
        <v>57.297899999999998</v>
      </c>
      <c r="AJ547" s="2994">
        <v>59.843800000000002</v>
      </c>
      <c r="AK547" s="2994">
        <v>60.395699999999998</v>
      </c>
      <c r="AL547" s="2994">
        <v>52.4</v>
      </c>
      <c r="AM547" s="2994">
        <v>63.522199999999998</v>
      </c>
      <c r="AN547" s="2994">
        <v>56.794400000000003</v>
      </c>
      <c r="AO547" s="2994">
        <v>66.694400000000002</v>
      </c>
      <c r="AP547" s="2994">
        <v>72.975499999999997</v>
      </c>
      <c r="AQ547" s="2994">
        <v>75.162599999999998</v>
      </c>
      <c r="AR547" s="2994">
        <v>76.447400000000002</v>
      </c>
      <c r="AS547" s="2994">
        <v>71.275700000000001</v>
      </c>
      <c r="AT547" s="2994">
        <v>72.814499999999995</v>
      </c>
      <c r="AU547" s="2994">
        <v>68.746899999999997</v>
      </c>
      <c r="AV547" s="2994">
        <v>70.565100000000001</v>
      </c>
      <c r="AW547" s="2994">
        <v>69.3018</v>
      </c>
      <c r="AX547" s="2994">
        <v>66.038300000000007</v>
      </c>
      <c r="AY547" s="2994">
        <v>56.211500000000001</v>
      </c>
      <c r="AZ547" s="2994">
        <v>73.677700000000002</v>
      </c>
      <c r="BA547" s="2994">
        <v>77.259100000000004</v>
      </c>
      <c r="BB547" s="2994">
        <v>63.268000000000001</v>
      </c>
      <c r="BC547" s="2994">
        <v>57.636200000000002</v>
      </c>
      <c r="BD547" s="3471">
        <v>61.407499999999999</v>
      </c>
      <c r="BE547" s="3471">
        <v>58.7226</v>
      </c>
      <c r="BF547" s="3471">
        <v>0</v>
      </c>
    </row>
    <row r="548" spans="1:58">
      <c r="A548" s="1817" t="str">
        <f t="shared" si="17"/>
        <v>South AmericaFigs</v>
      </c>
      <c r="B548" s="1818" t="s">
        <v>306</v>
      </c>
      <c r="C548" s="1818" t="s">
        <v>7320</v>
      </c>
      <c r="D548" s="3463" t="str">
        <f>VLOOKUP(B548,List_Yield!$G$4:$J$14,4,FALSE)</f>
        <v>South America</v>
      </c>
      <c r="E548" s="3463" t="str">
        <f t="shared" si="16"/>
        <v>South AmericaFigs</v>
      </c>
      <c r="F548" s="2994">
        <v>8.1996000000000002</v>
      </c>
      <c r="G548" s="2994">
        <v>8.0599000000000007</v>
      </c>
      <c r="H548" s="2994">
        <v>8.1646999999999998</v>
      </c>
      <c r="I548" s="2994">
        <v>7.8430999999999997</v>
      </c>
      <c r="J548" s="2994">
        <v>8.6361000000000008</v>
      </c>
      <c r="K548" s="2994">
        <v>8.7545999999999999</v>
      </c>
      <c r="L548" s="2994">
        <v>8.8523999999999994</v>
      </c>
      <c r="M548" s="2994">
        <v>8.3915000000000006</v>
      </c>
      <c r="N548" s="2994">
        <v>8.6227</v>
      </c>
      <c r="O548" s="2994">
        <v>8.8850999999999996</v>
      </c>
      <c r="P548" s="2994">
        <v>8.8971</v>
      </c>
      <c r="Q548" s="2994">
        <v>9.2934000000000001</v>
      </c>
      <c r="R548" s="2994">
        <v>6.3025000000000002</v>
      </c>
      <c r="S548" s="2994">
        <v>8.2888999999999999</v>
      </c>
      <c r="T548" s="2994">
        <v>8.3287999999999993</v>
      </c>
      <c r="U548" s="2994">
        <v>8.6341999999999999</v>
      </c>
      <c r="V548" s="2994">
        <v>6.3490000000000002</v>
      </c>
      <c r="W548" s="2994">
        <v>6.7767999999999997</v>
      </c>
      <c r="X548" s="2994">
        <v>7.7572999999999999</v>
      </c>
      <c r="Y548" s="2994">
        <v>7.7766000000000002</v>
      </c>
      <c r="Z548" s="2994">
        <v>8.8579000000000008</v>
      </c>
      <c r="AA548" s="2994">
        <v>8.5303000000000004</v>
      </c>
      <c r="AB548" s="2994">
        <v>7.6795</v>
      </c>
      <c r="AC548" s="2994">
        <v>7.5407000000000002</v>
      </c>
      <c r="AD548" s="2994">
        <v>6.2011000000000003</v>
      </c>
      <c r="AE548" s="2994">
        <v>6.9425999999999997</v>
      </c>
      <c r="AF548" s="2994">
        <v>7.2964000000000002</v>
      </c>
      <c r="AG548" s="2994">
        <v>6.7572999999999999</v>
      </c>
      <c r="AH548" s="2994">
        <v>6.8639999999999999</v>
      </c>
      <c r="AI548" s="2994">
        <v>6.9561999999999999</v>
      </c>
      <c r="AJ548" s="2994">
        <v>7.1116999999999999</v>
      </c>
      <c r="AK548" s="2994">
        <v>7.2573999999999996</v>
      </c>
      <c r="AL548" s="2994">
        <v>7.1440999999999999</v>
      </c>
      <c r="AM548" s="2994">
        <v>6.5625</v>
      </c>
      <c r="AN548" s="2994">
        <v>6.7625999999999999</v>
      </c>
      <c r="AO548" s="2994">
        <v>5.4638999999999998</v>
      </c>
      <c r="AP548" s="2994">
        <v>6.3978000000000002</v>
      </c>
      <c r="AQ548" s="2994">
        <v>6.3658999999999999</v>
      </c>
      <c r="AR548" s="2994">
        <v>6.2721999999999998</v>
      </c>
      <c r="AS548" s="2994">
        <v>6.2567000000000004</v>
      </c>
      <c r="AT548" s="2994">
        <v>8.1023999999999994</v>
      </c>
      <c r="AU548" s="2994">
        <v>7.1546000000000003</v>
      </c>
      <c r="AV548" s="2994">
        <v>7.6321000000000003</v>
      </c>
      <c r="AW548" s="2994">
        <v>7.9588999999999999</v>
      </c>
      <c r="AX548" s="2994">
        <v>7.4404000000000003</v>
      </c>
      <c r="AY548" s="2994">
        <v>7.9120999999999997</v>
      </c>
      <c r="AZ548" s="2994">
        <v>7.4836</v>
      </c>
      <c r="BA548" s="2994">
        <v>7.3625999999999996</v>
      </c>
      <c r="BB548" s="2994">
        <v>7.5853000000000002</v>
      </c>
      <c r="BC548" s="2994">
        <v>7.8280000000000003</v>
      </c>
      <c r="BD548" s="3471">
        <v>7.8133999999999997</v>
      </c>
      <c r="BE548" s="3471">
        <v>8.4994999999999994</v>
      </c>
      <c r="BF548" s="3471">
        <v>0</v>
      </c>
    </row>
    <row r="549" spans="1:58">
      <c r="A549" s="1817" t="str">
        <f t="shared" si="17"/>
        <v>South AmericaFlax fibre and tow</v>
      </c>
      <c r="B549" s="1818" t="s">
        <v>306</v>
      </c>
      <c r="C549" s="1818" t="s">
        <v>7321</v>
      </c>
      <c r="D549" s="3463" t="str">
        <f>VLOOKUP(B549,List_Yield!$G$4:$J$14,4,FALSE)</f>
        <v>South America</v>
      </c>
      <c r="E549" s="3463" t="str">
        <f t="shared" si="16"/>
        <v>South AmericaFlax fibre and tow</v>
      </c>
      <c r="F549" s="2994">
        <v>0.49969999999999998</v>
      </c>
      <c r="G549" s="2994">
        <v>0.56069999999999998</v>
      </c>
      <c r="H549" s="2994">
        <v>0.57389999999999997</v>
      </c>
      <c r="I549" s="2994">
        <v>0.58960000000000001</v>
      </c>
      <c r="J549" s="2994">
        <v>0.52739999999999998</v>
      </c>
      <c r="K549" s="2994">
        <v>0.53820000000000001</v>
      </c>
      <c r="L549" s="2994">
        <v>0.54549999999999998</v>
      </c>
      <c r="M549" s="2994">
        <v>0.56359999999999999</v>
      </c>
      <c r="N549" s="2994">
        <v>0.62929999999999997</v>
      </c>
      <c r="O549" s="2994">
        <v>0.70489999999999997</v>
      </c>
      <c r="P549" s="2994">
        <v>0.7087</v>
      </c>
      <c r="Q549" s="2994">
        <v>0.66120000000000001</v>
      </c>
      <c r="R549" s="2994">
        <v>0.67320000000000002</v>
      </c>
      <c r="S549" s="2994">
        <v>0.74150000000000005</v>
      </c>
      <c r="T549" s="2994">
        <v>0.81200000000000006</v>
      </c>
      <c r="U549" s="2994">
        <v>0.81289999999999996</v>
      </c>
      <c r="V549" s="2994">
        <v>0.82169999999999999</v>
      </c>
      <c r="W549" s="2994">
        <v>0.77980000000000005</v>
      </c>
      <c r="X549" s="2994">
        <v>0.8024</v>
      </c>
      <c r="Y549" s="2994">
        <v>0.79049999999999998</v>
      </c>
      <c r="Z549" s="2994">
        <v>0.78820000000000001</v>
      </c>
      <c r="AA549" s="2994">
        <v>0.8</v>
      </c>
      <c r="AB549" s="2994">
        <v>0.8</v>
      </c>
      <c r="AC549" s="2994">
        <v>0.8</v>
      </c>
      <c r="AD549" s="2994">
        <v>0.8</v>
      </c>
      <c r="AE549" s="2994">
        <v>0.8095</v>
      </c>
      <c r="AF549" s="2994">
        <v>0.8095</v>
      </c>
      <c r="AG549" s="2994">
        <v>0.79549999999999998</v>
      </c>
      <c r="AH549" s="2994">
        <v>0.79549999999999998</v>
      </c>
      <c r="AI549" s="2994">
        <v>0.80089999999999995</v>
      </c>
      <c r="AJ549" s="2994">
        <v>0.80379999999999996</v>
      </c>
      <c r="AK549" s="2994">
        <v>0.80600000000000005</v>
      </c>
      <c r="AL549" s="2994">
        <v>0.87939999999999996</v>
      </c>
      <c r="AM549" s="2994">
        <v>1.0306</v>
      </c>
      <c r="AN549" s="2994">
        <v>1.1958</v>
      </c>
      <c r="AO549" s="2994">
        <v>1.0349999999999999</v>
      </c>
      <c r="AP549" s="2994">
        <v>0.92200000000000004</v>
      </c>
      <c r="AQ549" s="2994">
        <v>0.94359999999999999</v>
      </c>
      <c r="AR549" s="2994">
        <v>0.84919999999999995</v>
      </c>
      <c r="AS549" s="2994">
        <v>0.79530000000000001</v>
      </c>
      <c r="AT549" s="2994">
        <v>0.86240000000000006</v>
      </c>
      <c r="AU549" s="2994">
        <v>0.79730000000000001</v>
      </c>
      <c r="AV549" s="2994">
        <v>0.82869999999999999</v>
      </c>
      <c r="AW549" s="2994">
        <v>0.9446</v>
      </c>
      <c r="AX549" s="2994">
        <v>0.92630000000000001</v>
      </c>
      <c r="AY549" s="2994">
        <v>0.85189999999999999</v>
      </c>
      <c r="AZ549" s="2994">
        <v>0.98209999999999997</v>
      </c>
      <c r="BA549" s="2994">
        <v>1.0241</v>
      </c>
      <c r="BB549" s="2994">
        <v>0.9647</v>
      </c>
      <c r="BC549" s="2994">
        <v>0.87839999999999996</v>
      </c>
      <c r="BD549" s="3471">
        <v>0.93569999999999998</v>
      </c>
      <c r="BE549" s="3471">
        <v>0.97319999999999995</v>
      </c>
      <c r="BF549" s="3471">
        <v>0</v>
      </c>
    </row>
    <row r="550" spans="1:58">
      <c r="A550" s="1817" t="str">
        <f t="shared" si="17"/>
        <v>South AmericaFonio</v>
      </c>
      <c r="B550" s="1818" t="s">
        <v>306</v>
      </c>
      <c r="C550" s="1818" t="s">
        <v>7322</v>
      </c>
      <c r="D550" s="3463" t="str">
        <f>VLOOKUP(B550,List_Yield!$G$4:$J$14,4,FALSE)</f>
        <v>South America</v>
      </c>
      <c r="E550" s="3463" t="str">
        <f t="shared" si="16"/>
        <v>South AmericaFonio</v>
      </c>
      <c r="F550" s="2994">
        <v>0</v>
      </c>
      <c r="G550" s="2994">
        <v>0</v>
      </c>
      <c r="H550" s="2994">
        <v>0</v>
      </c>
      <c r="I550" s="2994">
        <v>0</v>
      </c>
      <c r="J550" s="2994">
        <v>0</v>
      </c>
      <c r="K550" s="2994">
        <v>0</v>
      </c>
      <c r="L550" s="2994">
        <v>0</v>
      </c>
      <c r="M550" s="2994">
        <v>0</v>
      </c>
      <c r="N550" s="2994">
        <v>0</v>
      </c>
      <c r="O550" s="2994">
        <v>0</v>
      </c>
      <c r="P550" s="2994">
        <v>0</v>
      </c>
      <c r="Q550" s="2994">
        <v>0</v>
      </c>
      <c r="R550" s="2994">
        <v>0</v>
      </c>
      <c r="S550" s="2994">
        <v>0</v>
      </c>
      <c r="T550" s="2994">
        <v>0</v>
      </c>
      <c r="U550" s="2994">
        <v>0</v>
      </c>
      <c r="V550" s="2994">
        <v>0</v>
      </c>
      <c r="W550" s="2994">
        <v>0</v>
      </c>
      <c r="X550" s="2994">
        <v>0</v>
      </c>
      <c r="Y550" s="2994">
        <v>0</v>
      </c>
      <c r="Z550" s="2994">
        <v>0</v>
      </c>
      <c r="AA550" s="2994">
        <v>0</v>
      </c>
      <c r="AB550" s="2994">
        <v>0</v>
      </c>
      <c r="AC550" s="2994">
        <v>0</v>
      </c>
      <c r="AD550" s="2994">
        <v>0</v>
      </c>
      <c r="AE550" s="2994">
        <v>0</v>
      </c>
      <c r="AF550" s="2994">
        <v>0</v>
      </c>
      <c r="AG550" s="2994">
        <v>0</v>
      </c>
      <c r="AH550" s="2994">
        <v>0</v>
      </c>
      <c r="AI550" s="2994">
        <v>0</v>
      </c>
      <c r="AJ550" s="2994">
        <v>0</v>
      </c>
      <c r="AK550" s="2994">
        <v>0</v>
      </c>
      <c r="AL550" s="2994">
        <v>0</v>
      </c>
      <c r="AM550" s="2994">
        <v>0</v>
      </c>
      <c r="AN550" s="2994">
        <v>0</v>
      </c>
      <c r="AO550" s="2994">
        <v>0</v>
      </c>
      <c r="AP550" s="2994">
        <v>0</v>
      </c>
      <c r="AQ550" s="2994">
        <v>0</v>
      </c>
      <c r="AR550" s="2994">
        <v>0</v>
      </c>
      <c r="AS550" s="2994">
        <v>0</v>
      </c>
      <c r="AT550" s="2994">
        <v>0</v>
      </c>
      <c r="AU550" s="2994">
        <v>0</v>
      </c>
      <c r="AV550" s="2994">
        <v>0</v>
      </c>
      <c r="AW550" s="2994">
        <v>0</v>
      </c>
      <c r="AX550" s="2994">
        <v>0</v>
      </c>
      <c r="AY550" s="2994">
        <v>0</v>
      </c>
      <c r="AZ550" s="2994">
        <v>0</v>
      </c>
      <c r="BA550" s="2994">
        <v>0</v>
      </c>
      <c r="BB550" s="2994">
        <v>0</v>
      </c>
      <c r="BC550" s="2994">
        <v>0</v>
      </c>
      <c r="BD550" s="3471">
        <v>0</v>
      </c>
      <c r="BE550" s="3471">
        <v>0</v>
      </c>
      <c r="BF550" s="3471">
        <v>0</v>
      </c>
    </row>
    <row r="551" spans="1:58">
      <c r="A551" s="1817" t="str">
        <f t="shared" si="17"/>
        <v>South AmericaFruit, citrus nes</v>
      </c>
      <c r="B551" s="1818" t="s">
        <v>306</v>
      </c>
      <c r="C551" s="1818" t="s">
        <v>7323</v>
      </c>
      <c r="D551" s="3463" t="str">
        <f>VLOOKUP(B551,List_Yield!$G$4:$J$14,4,FALSE)</f>
        <v>South America</v>
      </c>
      <c r="E551" s="3463" t="str">
        <f t="shared" si="16"/>
        <v>South AmericaFruit, citrus nes</v>
      </c>
      <c r="F551" s="2994">
        <v>20.235700000000001</v>
      </c>
      <c r="G551" s="2994">
        <v>28.241800000000001</v>
      </c>
      <c r="H551" s="2994">
        <v>22.630600000000001</v>
      </c>
      <c r="I551" s="2994">
        <v>19.679200000000002</v>
      </c>
      <c r="J551" s="2994">
        <v>14.614599999999999</v>
      </c>
      <c r="K551" s="2994">
        <v>15.6175</v>
      </c>
      <c r="L551" s="2994">
        <v>15.2461</v>
      </c>
      <c r="M551" s="2994">
        <v>12.181100000000001</v>
      </c>
      <c r="N551" s="2994">
        <v>7.2835000000000001</v>
      </c>
      <c r="O551" s="2994">
        <v>6.9978999999999996</v>
      </c>
      <c r="P551" s="2994">
        <v>9.0931999999999995</v>
      </c>
      <c r="Q551" s="2994">
        <v>5.8959999999999999</v>
      </c>
      <c r="R551" s="2994">
        <v>6.1130000000000004</v>
      </c>
      <c r="S551" s="2994">
        <v>5.0477999999999996</v>
      </c>
      <c r="T551" s="2994">
        <v>5.0797999999999996</v>
      </c>
      <c r="U551" s="2994">
        <v>6.8051000000000004</v>
      </c>
      <c r="V551" s="2994">
        <v>5.4949000000000003</v>
      </c>
      <c r="W551" s="2994">
        <v>6.5087999999999999</v>
      </c>
      <c r="X551" s="2994">
        <v>6.4568000000000003</v>
      </c>
      <c r="Y551" s="2994">
        <v>5.7548000000000004</v>
      </c>
      <c r="Z551" s="2994">
        <v>5.9684999999999997</v>
      </c>
      <c r="AA551" s="2994">
        <v>6.1573000000000002</v>
      </c>
      <c r="AB551" s="2994">
        <v>5.9250999999999996</v>
      </c>
      <c r="AC551" s="2994">
        <v>5.2422000000000004</v>
      </c>
      <c r="AD551" s="2994">
        <v>6.1074999999999999</v>
      </c>
      <c r="AE551" s="2994">
        <v>6.0179</v>
      </c>
      <c r="AF551" s="2994">
        <v>6.242</v>
      </c>
      <c r="AG551" s="2994">
        <v>7.1520999999999999</v>
      </c>
      <c r="AH551" s="2994">
        <v>8.7006999999999994</v>
      </c>
      <c r="AI551" s="2994">
        <v>8.8924000000000003</v>
      </c>
      <c r="AJ551" s="2994">
        <v>5.0951000000000004</v>
      </c>
      <c r="AK551" s="2994">
        <v>4.9184999999999999</v>
      </c>
      <c r="AL551" s="2994">
        <v>5.5772000000000004</v>
      </c>
      <c r="AM551" s="2994">
        <v>6.3400999999999996</v>
      </c>
      <c r="AN551" s="2994">
        <v>6.8571</v>
      </c>
      <c r="AO551" s="2994">
        <v>6.5204000000000004</v>
      </c>
      <c r="AP551" s="2994">
        <v>6.5955000000000004</v>
      </c>
      <c r="AQ551" s="2994">
        <v>8.4672000000000001</v>
      </c>
      <c r="AR551" s="2994">
        <v>15.6942</v>
      </c>
      <c r="AS551" s="2994">
        <v>14.7933</v>
      </c>
      <c r="AT551" s="2994">
        <v>15.916399999999999</v>
      </c>
      <c r="AU551" s="2994">
        <v>15.714399999999999</v>
      </c>
      <c r="AV551" s="2994">
        <v>15.7737</v>
      </c>
      <c r="AW551" s="2994">
        <v>15.878299999999999</v>
      </c>
      <c r="AX551" s="2994">
        <v>15.603300000000001</v>
      </c>
      <c r="AY551" s="2994">
        <v>15.659700000000001</v>
      </c>
      <c r="AZ551" s="2994">
        <v>15.5138</v>
      </c>
      <c r="BA551" s="2994">
        <v>15.562200000000001</v>
      </c>
      <c r="BB551" s="2994">
        <v>15.422700000000001</v>
      </c>
      <c r="BC551" s="2994">
        <v>15.2783</v>
      </c>
      <c r="BD551" s="3471">
        <v>15.6419</v>
      </c>
      <c r="BE551" s="3471">
        <v>15.516400000000001</v>
      </c>
      <c r="BF551" s="3471">
        <v>0</v>
      </c>
    </row>
    <row r="552" spans="1:58">
      <c r="A552" s="1817" t="str">
        <f t="shared" si="17"/>
        <v>South AmericaFruit, fresh nes</v>
      </c>
      <c r="B552" s="1818" t="s">
        <v>306</v>
      </c>
      <c r="C552" s="1818" t="s">
        <v>7324</v>
      </c>
      <c r="D552" s="3463" t="str">
        <f>VLOOKUP(B552,List_Yield!$G$4:$J$14,4,FALSE)</f>
        <v>South America</v>
      </c>
      <c r="E552" s="3463" t="str">
        <f t="shared" si="16"/>
        <v>South AmericaFruit, fresh nes</v>
      </c>
      <c r="F552" s="2994">
        <v>170.11369999999999</v>
      </c>
      <c r="G552" s="2994">
        <v>169.64070000000001</v>
      </c>
      <c r="H552" s="2994">
        <v>168.34800000000001</v>
      </c>
      <c r="I552" s="2994">
        <v>165.8716</v>
      </c>
      <c r="J552" s="2994">
        <v>166.08600000000001</v>
      </c>
      <c r="K552" s="2994">
        <v>167.03389999999999</v>
      </c>
      <c r="L552" s="2994">
        <v>160.3415</v>
      </c>
      <c r="M552" s="2994">
        <v>163.99080000000001</v>
      </c>
      <c r="N552" s="2994">
        <v>181.5127</v>
      </c>
      <c r="O552" s="2994">
        <v>31.652200000000001</v>
      </c>
      <c r="P552" s="2994">
        <v>32.2395</v>
      </c>
      <c r="Q552" s="2994">
        <v>34.521099999999997</v>
      </c>
      <c r="R552" s="2994">
        <v>32.287100000000002</v>
      </c>
      <c r="S552" s="2994">
        <v>34.166600000000003</v>
      </c>
      <c r="T552" s="2994">
        <v>31.539400000000001</v>
      </c>
      <c r="U552" s="2994">
        <v>32.511200000000002</v>
      </c>
      <c r="V552" s="2994">
        <v>29.3385</v>
      </c>
      <c r="W552" s="2994">
        <v>29.235499999999998</v>
      </c>
      <c r="X552" s="2994">
        <v>28.979399999999998</v>
      </c>
      <c r="Y552" s="2994">
        <v>27.0121</v>
      </c>
      <c r="Z552" s="2994">
        <v>26.074200000000001</v>
      </c>
      <c r="AA552" s="2994">
        <v>22.084199999999999</v>
      </c>
      <c r="AB552" s="2994">
        <v>21.066500000000001</v>
      </c>
      <c r="AC552" s="2994">
        <v>21.683</v>
      </c>
      <c r="AD552" s="2994">
        <v>6.1886000000000001</v>
      </c>
      <c r="AE552" s="2994">
        <v>6.2434000000000003</v>
      </c>
      <c r="AF552" s="2994">
        <v>5.9767000000000001</v>
      </c>
      <c r="AG552" s="2994">
        <v>6.0397999999999996</v>
      </c>
      <c r="AH552" s="2994">
        <v>6.6715999999999998</v>
      </c>
      <c r="AI552" s="2994">
        <v>6.7793000000000001</v>
      </c>
      <c r="AJ552" s="2994">
        <v>6.9833999999999996</v>
      </c>
      <c r="AK552" s="2994">
        <v>7.6037999999999997</v>
      </c>
      <c r="AL552" s="2994">
        <v>8.2119</v>
      </c>
      <c r="AM552" s="2994">
        <v>8.3116000000000003</v>
      </c>
      <c r="AN552" s="2994">
        <v>7.8018000000000001</v>
      </c>
      <c r="AO552" s="2994">
        <v>8.2444000000000006</v>
      </c>
      <c r="AP552" s="2994">
        <v>8.0586000000000002</v>
      </c>
      <c r="AQ552" s="2994">
        <v>8.3056000000000001</v>
      </c>
      <c r="AR552" s="2994">
        <v>10.9588</v>
      </c>
      <c r="AS552" s="2994">
        <v>11.0763</v>
      </c>
      <c r="AT552" s="2994">
        <v>10.2767</v>
      </c>
      <c r="AU552" s="2994">
        <v>10.114000000000001</v>
      </c>
      <c r="AV552" s="2994">
        <v>9.7262000000000004</v>
      </c>
      <c r="AW552" s="2994">
        <v>9.5004000000000008</v>
      </c>
      <c r="AX552" s="2994">
        <v>10.016400000000001</v>
      </c>
      <c r="AY552" s="2994">
        <v>10.0581</v>
      </c>
      <c r="AZ552" s="2994">
        <v>10.1547</v>
      </c>
      <c r="BA552" s="2994">
        <v>9.9573999999999998</v>
      </c>
      <c r="BB552" s="2994">
        <v>9.8666999999999998</v>
      </c>
      <c r="BC552" s="2994">
        <v>10.0702</v>
      </c>
      <c r="BD552" s="3471">
        <v>10.209300000000001</v>
      </c>
      <c r="BE552" s="3471">
        <v>10.3734</v>
      </c>
      <c r="BF552" s="3471">
        <v>0</v>
      </c>
    </row>
    <row r="553" spans="1:58">
      <c r="A553" s="1817" t="str">
        <f t="shared" si="17"/>
        <v>South AmericaFruit, pome nes</v>
      </c>
      <c r="B553" s="1818" t="s">
        <v>306</v>
      </c>
      <c r="C553" s="1818" t="s">
        <v>7325</v>
      </c>
      <c r="D553" s="3463" t="str">
        <f>VLOOKUP(B553,List_Yield!$G$4:$J$14,4,FALSE)</f>
        <v>South America</v>
      </c>
      <c r="E553" s="3463" t="str">
        <f t="shared" si="16"/>
        <v>South AmericaFruit, pome nes</v>
      </c>
      <c r="F553" s="2994">
        <v>0</v>
      </c>
      <c r="G553" s="2994">
        <v>0</v>
      </c>
      <c r="H553" s="2994">
        <v>0</v>
      </c>
      <c r="I553" s="2994">
        <v>0</v>
      </c>
      <c r="J553" s="2994">
        <v>0</v>
      </c>
      <c r="K553" s="2994">
        <v>0</v>
      </c>
      <c r="L553" s="2994">
        <v>0</v>
      </c>
      <c r="M553" s="2994">
        <v>0</v>
      </c>
      <c r="N553" s="2994">
        <v>0</v>
      </c>
      <c r="O553" s="2994">
        <v>0</v>
      </c>
      <c r="P553" s="2994">
        <v>0</v>
      </c>
      <c r="Q553" s="2994">
        <v>0</v>
      </c>
      <c r="R553" s="2994">
        <v>0</v>
      </c>
      <c r="S553" s="2994">
        <v>0</v>
      </c>
      <c r="T553" s="2994">
        <v>0</v>
      </c>
      <c r="U553" s="2994">
        <v>0</v>
      </c>
      <c r="V553" s="2994">
        <v>0</v>
      </c>
      <c r="W553" s="2994">
        <v>0</v>
      </c>
      <c r="X553" s="2994">
        <v>0</v>
      </c>
      <c r="Y553" s="2994">
        <v>0</v>
      </c>
      <c r="Z553" s="2994">
        <v>0</v>
      </c>
      <c r="AA553" s="2994">
        <v>0</v>
      </c>
      <c r="AB553" s="2994">
        <v>0</v>
      </c>
      <c r="AC553" s="2994">
        <v>0</v>
      </c>
      <c r="AD553" s="2994">
        <v>0</v>
      </c>
      <c r="AE553" s="2994">
        <v>0</v>
      </c>
      <c r="AF553" s="2994">
        <v>0</v>
      </c>
      <c r="AG553" s="2994">
        <v>0</v>
      </c>
      <c r="AH553" s="2994">
        <v>0</v>
      </c>
      <c r="AI553" s="2994">
        <v>0</v>
      </c>
      <c r="AJ553" s="2994">
        <v>0</v>
      </c>
      <c r="AK553" s="2994">
        <v>0</v>
      </c>
      <c r="AL553" s="2994">
        <v>0</v>
      </c>
      <c r="AM553" s="2994">
        <v>0</v>
      </c>
      <c r="AN553" s="2994">
        <v>0</v>
      </c>
      <c r="AO553" s="2994">
        <v>0</v>
      </c>
      <c r="AP553" s="2994">
        <v>0</v>
      </c>
      <c r="AQ553" s="2994">
        <v>0</v>
      </c>
      <c r="AR553" s="2994">
        <v>0</v>
      </c>
      <c r="AS553" s="2994">
        <v>0</v>
      </c>
      <c r="AT553" s="2994">
        <v>0</v>
      </c>
      <c r="AU553" s="2994">
        <v>0</v>
      </c>
      <c r="AV553" s="2994">
        <v>0</v>
      </c>
      <c r="AW553" s="2994">
        <v>0</v>
      </c>
      <c r="AX553" s="2994">
        <v>0</v>
      </c>
      <c r="AY553" s="2994">
        <v>0</v>
      </c>
      <c r="AZ553" s="2994">
        <v>0</v>
      </c>
      <c r="BA553" s="2994">
        <v>0</v>
      </c>
      <c r="BB553" s="2994">
        <v>0</v>
      </c>
      <c r="BC553" s="2994">
        <v>0</v>
      </c>
      <c r="BD553" s="3471">
        <v>0</v>
      </c>
      <c r="BE553" s="3471">
        <v>0</v>
      </c>
      <c r="BF553" s="3471">
        <v>0</v>
      </c>
    </row>
    <row r="554" spans="1:58">
      <c r="A554" s="1817" t="str">
        <f t="shared" si="17"/>
        <v>South AmericaFruit, stone nes</v>
      </c>
      <c r="B554" s="1818" t="s">
        <v>306</v>
      </c>
      <c r="C554" s="1818" t="s">
        <v>7326</v>
      </c>
      <c r="D554" s="3463" t="str">
        <f>VLOOKUP(B554,List_Yield!$G$4:$J$14,4,FALSE)</f>
        <v>South America</v>
      </c>
      <c r="E554" s="3463" t="str">
        <f t="shared" si="16"/>
        <v>South AmericaFruit, stone nes</v>
      </c>
      <c r="F554" s="2994">
        <v>0</v>
      </c>
      <c r="G554" s="2994">
        <v>0</v>
      </c>
      <c r="H554" s="2994">
        <v>0</v>
      </c>
      <c r="I554" s="2994">
        <v>0</v>
      </c>
      <c r="J554" s="2994">
        <v>0</v>
      </c>
      <c r="K554" s="2994">
        <v>0</v>
      </c>
      <c r="L554" s="2994">
        <v>0</v>
      </c>
      <c r="M554" s="2994">
        <v>0</v>
      </c>
      <c r="N554" s="2994">
        <v>0</v>
      </c>
      <c r="O554" s="2994">
        <v>0</v>
      </c>
      <c r="P554" s="2994">
        <v>0</v>
      </c>
      <c r="Q554" s="2994">
        <v>0</v>
      </c>
      <c r="R554" s="2994">
        <v>0</v>
      </c>
      <c r="S554" s="2994">
        <v>0</v>
      </c>
      <c r="T554" s="2994">
        <v>0</v>
      </c>
      <c r="U554" s="2994">
        <v>0</v>
      </c>
      <c r="V554" s="2994">
        <v>0</v>
      </c>
      <c r="W554" s="2994">
        <v>0</v>
      </c>
      <c r="X554" s="2994">
        <v>0</v>
      </c>
      <c r="Y554" s="2994">
        <v>0</v>
      </c>
      <c r="Z554" s="2994">
        <v>0</v>
      </c>
      <c r="AA554" s="2994">
        <v>0</v>
      </c>
      <c r="AB554" s="2994">
        <v>0</v>
      </c>
      <c r="AC554" s="2994">
        <v>0</v>
      </c>
      <c r="AD554" s="2994">
        <v>0</v>
      </c>
      <c r="AE554" s="2994">
        <v>0</v>
      </c>
      <c r="AF554" s="2994">
        <v>0</v>
      </c>
      <c r="AG554" s="2994">
        <v>0</v>
      </c>
      <c r="AH554" s="2994">
        <v>0</v>
      </c>
      <c r="AI554" s="2994">
        <v>0</v>
      </c>
      <c r="AJ554" s="2994">
        <v>0</v>
      </c>
      <c r="AK554" s="2994">
        <v>0</v>
      </c>
      <c r="AL554" s="2994">
        <v>0</v>
      </c>
      <c r="AM554" s="2994">
        <v>0</v>
      </c>
      <c r="AN554" s="2994">
        <v>0</v>
      </c>
      <c r="AO554" s="2994">
        <v>0</v>
      </c>
      <c r="AP554" s="2994">
        <v>0</v>
      </c>
      <c r="AQ554" s="2994">
        <v>0</v>
      </c>
      <c r="AR554" s="2994">
        <v>0</v>
      </c>
      <c r="AS554" s="2994">
        <v>0</v>
      </c>
      <c r="AT554" s="2994">
        <v>0</v>
      </c>
      <c r="AU554" s="2994">
        <v>0</v>
      </c>
      <c r="AV554" s="2994">
        <v>0</v>
      </c>
      <c r="AW554" s="2994">
        <v>0</v>
      </c>
      <c r="AX554" s="2994">
        <v>0</v>
      </c>
      <c r="AY554" s="2994">
        <v>0</v>
      </c>
      <c r="AZ554" s="2994">
        <v>0</v>
      </c>
      <c r="BA554" s="2994">
        <v>0</v>
      </c>
      <c r="BB554" s="2994">
        <v>0</v>
      </c>
      <c r="BC554" s="2994">
        <v>0</v>
      </c>
      <c r="BD554" s="3471">
        <v>0</v>
      </c>
      <c r="BE554" s="3471">
        <v>0</v>
      </c>
      <c r="BF554" s="3471">
        <v>0</v>
      </c>
    </row>
    <row r="555" spans="1:58">
      <c r="A555" s="1817" t="str">
        <f t="shared" si="17"/>
        <v>South AmericaFruit, tropical fresh nes</v>
      </c>
      <c r="B555" s="1818" t="s">
        <v>306</v>
      </c>
      <c r="C555" s="1818" t="s">
        <v>7327</v>
      </c>
      <c r="D555" s="3463" t="str">
        <f>VLOOKUP(B555,List_Yield!$G$4:$J$14,4,FALSE)</f>
        <v>South America</v>
      </c>
      <c r="E555" s="3463" t="str">
        <f t="shared" si="16"/>
        <v>South AmericaFruit, tropical fresh nes</v>
      </c>
      <c r="F555" s="2994">
        <v>291.5102</v>
      </c>
      <c r="G555" s="2994">
        <v>307.12650000000002</v>
      </c>
      <c r="H555" s="2994">
        <v>318.6857</v>
      </c>
      <c r="I555" s="2994">
        <v>331</v>
      </c>
      <c r="J555" s="2994">
        <v>343.06119999999999</v>
      </c>
      <c r="K555" s="2994">
        <v>355.42860000000002</v>
      </c>
      <c r="L555" s="2994">
        <v>368.4939</v>
      </c>
      <c r="M555" s="2994">
        <v>381.59179999999998</v>
      </c>
      <c r="N555" s="2994">
        <v>393.79180000000002</v>
      </c>
      <c r="O555" s="2994">
        <v>16.023399999999999</v>
      </c>
      <c r="P555" s="2994">
        <v>16.4956</v>
      </c>
      <c r="Q555" s="2994">
        <v>17.3673</v>
      </c>
      <c r="R555" s="2994">
        <v>17.6663</v>
      </c>
      <c r="S555" s="2994">
        <v>17.943100000000001</v>
      </c>
      <c r="T555" s="2994">
        <v>18.276800000000001</v>
      </c>
      <c r="U555" s="2994">
        <v>18.311299999999999</v>
      </c>
      <c r="V555" s="2994">
        <v>22.423200000000001</v>
      </c>
      <c r="W555" s="2994">
        <v>21.9162</v>
      </c>
      <c r="X555" s="2994">
        <v>21.617699999999999</v>
      </c>
      <c r="Y555" s="2994">
        <v>30.523099999999999</v>
      </c>
      <c r="Z555" s="2994">
        <v>27.2392</v>
      </c>
      <c r="AA555" s="2994">
        <v>29.124600000000001</v>
      </c>
      <c r="AB555" s="2994">
        <v>28.659500000000001</v>
      </c>
      <c r="AC555" s="2994">
        <v>29.071100000000001</v>
      </c>
      <c r="AD555" s="2994">
        <v>7.2450000000000001</v>
      </c>
      <c r="AE555" s="2994">
        <v>7.5151000000000003</v>
      </c>
      <c r="AF555" s="2994">
        <v>7.7133000000000003</v>
      </c>
      <c r="AG555" s="2994">
        <v>7.6323999999999996</v>
      </c>
      <c r="AH555" s="2994">
        <v>8.7083999999999993</v>
      </c>
      <c r="AI555" s="2994">
        <v>10.445499999999999</v>
      </c>
      <c r="AJ555" s="2994">
        <v>9.5982000000000003</v>
      </c>
      <c r="AK555" s="2994">
        <v>9.7986000000000004</v>
      </c>
      <c r="AL555" s="2994">
        <v>9.2942999999999998</v>
      </c>
      <c r="AM555" s="2994">
        <v>9.1214999999999993</v>
      </c>
      <c r="AN555" s="2994">
        <v>8.8706999999999994</v>
      </c>
      <c r="AO555" s="2994">
        <v>8.3017000000000003</v>
      </c>
      <c r="AP555" s="2994">
        <v>8.6021000000000001</v>
      </c>
      <c r="AQ555" s="2994">
        <v>8.4623000000000008</v>
      </c>
      <c r="AR555" s="2994">
        <v>8.2707999999999995</v>
      </c>
      <c r="AS555" s="2994">
        <v>9.5027000000000008</v>
      </c>
      <c r="AT555" s="2994">
        <v>10.9002</v>
      </c>
      <c r="AU555" s="2994">
        <v>10.7094</v>
      </c>
      <c r="AV555" s="2994">
        <v>10.837899999999999</v>
      </c>
      <c r="AW555" s="2994">
        <v>10.8261</v>
      </c>
      <c r="AX555" s="2994">
        <v>10.558199999999999</v>
      </c>
      <c r="AY555" s="2994">
        <v>11.1737</v>
      </c>
      <c r="AZ555" s="2994">
        <v>11.3605</v>
      </c>
      <c r="BA555" s="2994">
        <v>11.4482</v>
      </c>
      <c r="BB555" s="2994">
        <v>11.5747</v>
      </c>
      <c r="BC555" s="2994">
        <v>11.4428</v>
      </c>
      <c r="BD555" s="3471">
        <v>11.792299999999999</v>
      </c>
      <c r="BE555" s="3471">
        <v>11.0532</v>
      </c>
      <c r="BF555" s="3471">
        <v>0</v>
      </c>
    </row>
    <row r="556" spans="1:58">
      <c r="A556" s="1817" t="str">
        <f t="shared" si="17"/>
        <v>South AmericaGarlic</v>
      </c>
      <c r="B556" s="1818" t="s">
        <v>306</v>
      </c>
      <c r="C556" s="1818" t="s">
        <v>7328</v>
      </c>
      <c r="D556" s="3463" t="str">
        <f>VLOOKUP(B556,List_Yield!$G$4:$J$14,4,FALSE)</f>
        <v>South America</v>
      </c>
      <c r="E556" s="3463" t="str">
        <f t="shared" si="16"/>
        <v>South AmericaGarlic</v>
      </c>
      <c r="F556" s="2994">
        <v>3.1326000000000001</v>
      </c>
      <c r="G556" s="2994">
        <v>3.1789000000000001</v>
      </c>
      <c r="H556" s="2994">
        <v>3.7141000000000002</v>
      </c>
      <c r="I556" s="2994">
        <v>3.3283999999999998</v>
      </c>
      <c r="J556" s="2994">
        <v>3.4106000000000001</v>
      </c>
      <c r="K556" s="2994">
        <v>3.5495000000000001</v>
      </c>
      <c r="L556" s="2994">
        <v>3.5573999999999999</v>
      </c>
      <c r="M556" s="2994">
        <v>3.6013000000000002</v>
      </c>
      <c r="N556" s="2994">
        <v>3.6694</v>
      </c>
      <c r="O556" s="2994">
        <v>3.7151999999999998</v>
      </c>
      <c r="P556" s="2994">
        <v>3.8576000000000001</v>
      </c>
      <c r="Q556" s="2994">
        <v>4.0808999999999997</v>
      </c>
      <c r="R556" s="2994">
        <v>4.1002999999999998</v>
      </c>
      <c r="S556" s="2994">
        <v>4.4040999999999997</v>
      </c>
      <c r="T556" s="2994">
        <v>4.7058</v>
      </c>
      <c r="U556" s="2994">
        <v>4.9012000000000002</v>
      </c>
      <c r="V556" s="2994">
        <v>4.9587000000000003</v>
      </c>
      <c r="W556" s="2994">
        <v>4.6597999999999997</v>
      </c>
      <c r="X556" s="2994">
        <v>4.6441999999999997</v>
      </c>
      <c r="Y556" s="2994">
        <v>4.4047999999999998</v>
      </c>
      <c r="Z556" s="2994">
        <v>4.3661000000000003</v>
      </c>
      <c r="AA556" s="2994">
        <v>4.1481000000000003</v>
      </c>
      <c r="AB556" s="2994">
        <v>4.4314</v>
      </c>
      <c r="AC556" s="2994">
        <v>4.4314999999999998</v>
      </c>
      <c r="AD556" s="2994">
        <v>4.3841999999999999</v>
      </c>
      <c r="AE556" s="2994">
        <v>4.5117000000000003</v>
      </c>
      <c r="AF556" s="2994">
        <v>4.6395</v>
      </c>
      <c r="AG556" s="2994">
        <v>4.5362999999999998</v>
      </c>
      <c r="AH556" s="2994">
        <v>4.8627000000000002</v>
      </c>
      <c r="AI556" s="2994">
        <v>4.9135</v>
      </c>
      <c r="AJ556" s="2994">
        <v>5.4821999999999997</v>
      </c>
      <c r="AK556" s="2994">
        <v>5.7234999999999996</v>
      </c>
      <c r="AL556" s="2994">
        <v>5.64</v>
      </c>
      <c r="AM556" s="2994">
        <v>6.1390000000000002</v>
      </c>
      <c r="AN556" s="2994">
        <v>6.29</v>
      </c>
      <c r="AO556" s="2994">
        <v>6.3234000000000004</v>
      </c>
      <c r="AP556" s="2994">
        <v>6.6437999999999997</v>
      </c>
      <c r="AQ556" s="2994">
        <v>7.0514000000000001</v>
      </c>
      <c r="AR556" s="2994">
        <v>7.4467999999999996</v>
      </c>
      <c r="AS556" s="2994">
        <v>7.4372999999999996</v>
      </c>
      <c r="AT556" s="2994">
        <v>7.7442000000000002</v>
      </c>
      <c r="AU556" s="2994">
        <v>7.7732999999999999</v>
      </c>
      <c r="AV556" s="2994">
        <v>8.4697999999999993</v>
      </c>
      <c r="AW556" s="2994">
        <v>8.5100999999999996</v>
      </c>
      <c r="AX556" s="2994">
        <v>8.0367999999999995</v>
      </c>
      <c r="AY556" s="2994">
        <v>8.4512</v>
      </c>
      <c r="AZ556" s="2994">
        <v>8.8748000000000005</v>
      </c>
      <c r="BA556" s="2994">
        <v>8.7873999999999999</v>
      </c>
      <c r="BB556" s="2994">
        <v>8.3110999999999997</v>
      </c>
      <c r="BC556" s="2994">
        <v>9.0056999999999992</v>
      </c>
      <c r="BD556" s="3471">
        <v>9.1936999999999998</v>
      </c>
      <c r="BE556" s="3471">
        <v>9.2194000000000003</v>
      </c>
      <c r="BF556" s="3471">
        <v>0</v>
      </c>
    </row>
    <row r="557" spans="1:58">
      <c r="A557" s="1817" t="str">
        <f t="shared" si="17"/>
        <v>South AmericaGinger</v>
      </c>
      <c r="B557" s="1818" t="s">
        <v>306</v>
      </c>
      <c r="C557" s="1818" t="s">
        <v>7329</v>
      </c>
      <c r="D557" s="3463" t="str">
        <f>VLOOKUP(B557,List_Yield!$G$4:$J$14,4,FALSE)</f>
        <v>South America</v>
      </c>
      <c r="E557" s="3463" t="str">
        <f t="shared" si="16"/>
        <v>South AmericaGinger</v>
      </c>
      <c r="F557" s="2994">
        <v>0</v>
      </c>
      <c r="G557" s="2994">
        <v>0</v>
      </c>
      <c r="H557" s="2994">
        <v>0</v>
      </c>
      <c r="I557" s="2994">
        <v>0</v>
      </c>
      <c r="J557" s="2994">
        <v>0</v>
      </c>
      <c r="K557" s="2994">
        <v>0</v>
      </c>
      <c r="L557" s="2994">
        <v>0</v>
      </c>
      <c r="M557" s="2994">
        <v>0</v>
      </c>
      <c r="N557" s="2994">
        <v>0</v>
      </c>
      <c r="O557" s="2994">
        <v>0</v>
      </c>
      <c r="P557" s="2994">
        <v>0</v>
      </c>
      <c r="Q557" s="2994">
        <v>0</v>
      </c>
      <c r="R557" s="2994">
        <v>0</v>
      </c>
      <c r="S557" s="2994">
        <v>0</v>
      </c>
      <c r="T557" s="2994">
        <v>0</v>
      </c>
      <c r="U557" s="2994">
        <v>0</v>
      </c>
      <c r="V557" s="2994">
        <v>0</v>
      </c>
      <c r="W557" s="2994">
        <v>0</v>
      </c>
      <c r="X557" s="2994">
        <v>0</v>
      </c>
      <c r="Y557" s="2994">
        <v>0</v>
      </c>
      <c r="Z557" s="2994">
        <v>0</v>
      </c>
      <c r="AA557" s="2994">
        <v>0</v>
      </c>
      <c r="AB557" s="2994">
        <v>0</v>
      </c>
      <c r="AC557" s="2994">
        <v>0</v>
      </c>
      <c r="AD557" s="2994">
        <v>0</v>
      </c>
      <c r="AE557" s="2994">
        <v>0</v>
      </c>
      <c r="AF557" s="2994">
        <v>0</v>
      </c>
      <c r="AG557" s="2994">
        <v>0</v>
      </c>
      <c r="AH557" s="2994">
        <v>0</v>
      </c>
      <c r="AI557" s="2994">
        <v>0</v>
      </c>
      <c r="AJ557" s="2994">
        <v>0</v>
      </c>
      <c r="AK557" s="2994">
        <v>0</v>
      </c>
      <c r="AL557" s="2994">
        <v>0</v>
      </c>
      <c r="AM557" s="2994">
        <v>0</v>
      </c>
      <c r="AN557" s="2994">
        <v>0</v>
      </c>
      <c r="AO557" s="2994">
        <v>0</v>
      </c>
      <c r="AP557" s="2994">
        <v>0</v>
      </c>
      <c r="AQ557" s="2994">
        <v>0</v>
      </c>
      <c r="AR557" s="2994">
        <v>0</v>
      </c>
      <c r="AS557" s="2994">
        <v>0</v>
      </c>
      <c r="AT557" s="2994">
        <v>0</v>
      </c>
      <c r="AU557" s="2994">
        <v>0</v>
      </c>
      <c r="AV557" s="2994">
        <v>0</v>
      </c>
      <c r="AW557" s="2994">
        <v>0</v>
      </c>
      <c r="AX557" s="2994">
        <v>0</v>
      </c>
      <c r="AY557" s="2994">
        <v>0</v>
      </c>
      <c r="AZ557" s="2994">
        <v>0</v>
      </c>
      <c r="BA557" s="2994">
        <v>0</v>
      </c>
      <c r="BB557" s="2994">
        <v>0</v>
      </c>
      <c r="BC557" s="2994">
        <v>0</v>
      </c>
      <c r="BD557" s="3471">
        <v>0</v>
      </c>
      <c r="BE557" s="3471">
        <v>0</v>
      </c>
      <c r="BF557" s="3471">
        <v>0</v>
      </c>
    </row>
    <row r="558" spans="1:58">
      <c r="A558" s="1817" t="str">
        <f t="shared" si="17"/>
        <v>South AmericaGooseberries</v>
      </c>
      <c r="B558" s="1818" t="s">
        <v>306</v>
      </c>
      <c r="C558" s="1818" t="s">
        <v>7330</v>
      </c>
      <c r="D558" s="3463" t="str">
        <f>VLOOKUP(B558,List_Yield!$G$4:$J$14,4,FALSE)</f>
        <v>South America</v>
      </c>
      <c r="E558" s="3463" t="str">
        <f t="shared" si="16"/>
        <v>South AmericaGooseberries</v>
      </c>
      <c r="F558" s="2994">
        <v>0</v>
      </c>
      <c r="G558" s="2994">
        <v>0</v>
      </c>
      <c r="H558" s="2994">
        <v>0</v>
      </c>
      <c r="I558" s="2994">
        <v>0</v>
      </c>
      <c r="J558" s="2994">
        <v>0</v>
      </c>
      <c r="K558" s="2994">
        <v>0</v>
      </c>
      <c r="L558" s="2994">
        <v>0</v>
      </c>
      <c r="M558" s="2994">
        <v>0</v>
      </c>
      <c r="N558" s="2994">
        <v>0</v>
      </c>
      <c r="O558" s="2994">
        <v>0</v>
      </c>
      <c r="P558" s="2994">
        <v>0</v>
      </c>
      <c r="Q558" s="2994">
        <v>0</v>
      </c>
      <c r="R558" s="2994">
        <v>0</v>
      </c>
      <c r="S558" s="2994">
        <v>0</v>
      </c>
      <c r="T558" s="2994">
        <v>0</v>
      </c>
      <c r="U558" s="2994">
        <v>0</v>
      </c>
      <c r="V558" s="2994">
        <v>0</v>
      </c>
      <c r="W558" s="2994">
        <v>0</v>
      </c>
      <c r="X558" s="2994">
        <v>0</v>
      </c>
      <c r="Y558" s="2994">
        <v>0</v>
      </c>
      <c r="Z558" s="2994">
        <v>0</v>
      </c>
      <c r="AA558" s="2994">
        <v>0</v>
      </c>
      <c r="AB558" s="2994">
        <v>0</v>
      </c>
      <c r="AC558" s="2994">
        <v>0</v>
      </c>
      <c r="AD558" s="2994">
        <v>0</v>
      </c>
      <c r="AE558" s="2994">
        <v>0</v>
      </c>
      <c r="AF558" s="2994">
        <v>0</v>
      </c>
      <c r="AG558" s="2994">
        <v>0</v>
      </c>
      <c r="AH558" s="2994">
        <v>0</v>
      </c>
      <c r="AI558" s="2994">
        <v>0</v>
      </c>
      <c r="AJ558" s="2994">
        <v>0</v>
      </c>
      <c r="AK558" s="2994">
        <v>0</v>
      </c>
      <c r="AL558" s="2994">
        <v>0</v>
      </c>
      <c r="AM558" s="2994">
        <v>0</v>
      </c>
      <c r="AN558" s="2994">
        <v>0</v>
      </c>
      <c r="AO558" s="2994">
        <v>0</v>
      </c>
      <c r="AP558" s="2994">
        <v>0</v>
      </c>
      <c r="AQ558" s="2994">
        <v>0</v>
      </c>
      <c r="AR558" s="2994">
        <v>0</v>
      </c>
      <c r="AS558" s="2994">
        <v>0</v>
      </c>
      <c r="AT558" s="2994">
        <v>0</v>
      </c>
      <c r="AU558" s="2994">
        <v>0</v>
      </c>
      <c r="AV558" s="2994">
        <v>0</v>
      </c>
      <c r="AW558" s="2994">
        <v>0</v>
      </c>
      <c r="AX558" s="2994">
        <v>0</v>
      </c>
      <c r="AY558" s="2994">
        <v>0</v>
      </c>
      <c r="AZ558" s="2994">
        <v>0</v>
      </c>
      <c r="BA558" s="2994">
        <v>0</v>
      </c>
      <c r="BB558" s="2994">
        <v>0</v>
      </c>
      <c r="BC558" s="2994">
        <v>0</v>
      </c>
      <c r="BD558" s="3471">
        <v>0</v>
      </c>
      <c r="BE558" s="3471">
        <v>0</v>
      </c>
      <c r="BF558" s="3471">
        <v>0</v>
      </c>
    </row>
    <row r="559" spans="1:58">
      <c r="A559" s="1817" t="str">
        <f t="shared" si="17"/>
        <v>South AmericaGrain, mixed</v>
      </c>
      <c r="B559" s="1818" t="s">
        <v>306</v>
      </c>
      <c r="C559" s="1818" t="s">
        <v>7331</v>
      </c>
      <c r="D559" s="3463" t="str">
        <f>VLOOKUP(B559,List_Yield!$G$4:$J$14,4,FALSE)</f>
        <v>South America</v>
      </c>
      <c r="E559" s="3463" t="str">
        <f t="shared" si="16"/>
        <v>South AmericaGrain, mixed</v>
      </c>
      <c r="F559" s="2994">
        <v>0</v>
      </c>
      <c r="G559" s="2994">
        <v>0</v>
      </c>
      <c r="H559" s="2994">
        <v>0</v>
      </c>
      <c r="I559" s="2994">
        <v>0</v>
      </c>
      <c r="J559" s="2994">
        <v>0</v>
      </c>
      <c r="K559" s="2994">
        <v>0</v>
      </c>
      <c r="L559" s="2994">
        <v>0</v>
      </c>
      <c r="M559" s="2994">
        <v>0</v>
      </c>
      <c r="N559" s="2994">
        <v>0</v>
      </c>
      <c r="O559" s="2994">
        <v>0</v>
      </c>
      <c r="P559" s="2994">
        <v>0</v>
      </c>
      <c r="Q559" s="2994">
        <v>0</v>
      </c>
      <c r="R559" s="2994">
        <v>0</v>
      </c>
      <c r="S559" s="2994">
        <v>0</v>
      </c>
      <c r="T559" s="2994">
        <v>0</v>
      </c>
      <c r="U559" s="2994">
        <v>0</v>
      </c>
      <c r="V559" s="2994">
        <v>0</v>
      </c>
      <c r="W559" s="2994">
        <v>0</v>
      </c>
      <c r="X559" s="2994">
        <v>0</v>
      </c>
      <c r="Y559" s="2994">
        <v>0</v>
      </c>
      <c r="Z559" s="2994">
        <v>0</v>
      </c>
      <c r="AA559" s="2994">
        <v>0</v>
      </c>
      <c r="AB559" s="2994">
        <v>0</v>
      </c>
      <c r="AC559" s="2994">
        <v>0</v>
      </c>
      <c r="AD559" s="2994">
        <v>0</v>
      </c>
      <c r="AE559" s="2994">
        <v>0</v>
      </c>
      <c r="AF559" s="2994">
        <v>0</v>
      </c>
      <c r="AG559" s="2994">
        <v>0</v>
      </c>
      <c r="AH559" s="2994">
        <v>0</v>
      </c>
      <c r="AI559" s="2994">
        <v>0</v>
      </c>
      <c r="AJ559" s="2994">
        <v>0</v>
      </c>
      <c r="AK559" s="2994">
        <v>0</v>
      </c>
      <c r="AL559" s="2994">
        <v>0</v>
      </c>
      <c r="AM559" s="2994">
        <v>0</v>
      </c>
      <c r="AN559" s="2994">
        <v>0</v>
      </c>
      <c r="AO559" s="2994">
        <v>0</v>
      </c>
      <c r="AP559" s="2994">
        <v>0</v>
      </c>
      <c r="AQ559" s="2994">
        <v>0</v>
      </c>
      <c r="AR559" s="2994">
        <v>0</v>
      </c>
      <c r="AS559" s="2994">
        <v>0</v>
      </c>
      <c r="AT559" s="2994">
        <v>0</v>
      </c>
      <c r="AU559" s="2994">
        <v>0</v>
      </c>
      <c r="AV559" s="2994">
        <v>0</v>
      </c>
      <c r="AW559" s="2994">
        <v>0</v>
      </c>
      <c r="AX559" s="2994">
        <v>0</v>
      </c>
      <c r="AY559" s="2994">
        <v>0</v>
      </c>
      <c r="AZ559" s="2994">
        <v>0</v>
      </c>
      <c r="BA559" s="2994">
        <v>0</v>
      </c>
      <c r="BB559" s="2994">
        <v>0</v>
      </c>
      <c r="BC559" s="2994">
        <v>0</v>
      </c>
      <c r="BD559" s="3471">
        <v>0</v>
      </c>
      <c r="BE559" s="3471">
        <v>0</v>
      </c>
      <c r="BF559" s="3471">
        <v>0</v>
      </c>
    </row>
    <row r="560" spans="1:58">
      <c r="A560" s="1817" t="str">
        <f t="shared" si="17"/>
        <v>South AmericaGrapefruit (inc. pomelos)</v>
      </c>
      <c r="B560" s="1818" t="s">
        <v>306</v>
      </c>
      <c r="C560" s="1818" t="s">
        <v>1351</v>
      </c>
      <c r="D560" s="3463" t="str">
        <f>VLOOKUP(B560,List_Yield!$G$4:$J$14,4,FALSE)</f>
        <v>South America</v>
      </c>
      <c r="E560" s="3463" t="str">
        <f t="shared" si="16"/>
        <v>South AmericaGrapefruit (inc. pomelos)</v>
      </c>
      <c r="F560" s="2994">
        <v>104.83880000000001</v>
      </c>
      <c r="G560" s="2994">
        <v>109.29</v>
      </c>
      <c r="H560" s="2994">
        <v>110.0258</v>
      </c>
      <c r="I560" s="2994">
        <v>123.43300000000001</v>
      </c>
      <c r="J560" s="2994">
        <v>106.41849999999999</v>
      </c>
      <c r="K560" s="2994">
        <v>107.9161</v>
      </c>
      <c r="L560" s="2994">
        <v>94.175799999999995</v>
      </c>
      <c r="M560" s="2994">
        <v>92.259600000000006</v>
      </c>
      <c r="N560" s="2994">
        <v>107.88890000000001</v>
      </c>
      <c r="O560" s="2994">
        <v>114.0124</v>
      </c>
      <c r="P560" s="2994">
        <v>110.2713</v>
      </c>
      <c r="Q560" s="2994">
        <v>105.3758</v>
      </c>
      <c r="R560" s="2994">
        <v>118.8573</v>
      </c>
      <c r="S560" s="2994">
        <v>122.423</v>
      </c>
      <c r="T560" s="2994">
        <v>112.9235</v>
      </c>
      <c r="U560" s="2994">
        <v>103.9816</v>
      </c>
      <c r="V560" s="2994">
        <v>80.529200000000003</v>
      </c>
      <c r="W560" s="2994">
        <v>82.1828</v>
      </c>
      <c r="X560" s="2994">
        <v>86.019900000000007</v>
      </c>
      <c r="Y560" s="2994">
        <v>19.4253</v>
      </c>
      <c r="Z560" s="2994">
        <v>19.177199999999999</v>
      </c>
      <c r="AA560" s="2994">
        <v>20.0213</v>
      </c>
      <c r="AB560" s="2994">
        <v>19.288599999999999</v>
      </c>
      <c r="AC560" s="2994">
        <v>21.135899999999999</v>
      </c>
      <c r="AD560" s="2994">
        <v>15.931100000000001</v>
      </c>
      <c r="AE560" s="2994">
        <v>16.2028</v>
      </c>
      <c r="AF560" s="2994">
        <v>16.123899999999999</v>
      </c>
      <c r="AG560" s="2994">
        <v>17.380099999999999</v>
      </c>
      <c r="AH560" s="2994">
        <v>17.0947</v>
      </c>
      <c r="AI560" s="2994">
        <v>17.7941</v>
      </c>
      <c r="AJ560" s="2994">
        <v>17.7057</v>
      </c>
      <c r="AK560" s="2994">
        <v>18.329799999999999</v>
      </c>
      <c r="AL560" s="2994">
        <v>18.315899999999999</v>
      </c>
      <c r="AM560" s="2994">
        <v>18.523299999999999</v>
      </c>
      <c r="AN560" s="2994">
        <v>18.8127</v>
      </c>
      <c r="AO560" s="2994">
        <v>17.965900000000001</v>
      </c>
      <c r="AP560" s="2994">
        <v>20.8385</v>
      </c>
      <c r="AQ560" s="2994">
        <v>21.320799999999998</v>
      </c>
      <c r="AR560" s="2994">
        <v>19.4817</v>
      </c>
      <c r="AS560" s="2994">
        <v>18.165600000000001</v>
      </c>
      <c r="AT560" s="2994">
        <v>17.116599999999998</v>
      </c>
      <c r="AU560" s="2994">
        <v>17.3962</v>
      </c>
      <c r="AV560" s="2994">
        <v>16.063199999999998</v>
      </c>
      <c r="AW560" s="2994">
        <v>15.8201</v>
      </c>
      <c r="AX560" s="2994">
        <v>20.001200000000001</v>
      </c>
      <c r="AY560" s="2994">
        <v>19.479099999999999</v>
      </c>
      <c r="AZ560" s="2994">
        <v>19.1111</v>
      </c>
      <c r="BA560" s="2994">
        <v>17.431699999999999</v>
      </c>
      <c r="BB560" s="2994">
        <v>17.023</v>
      </c>
      <c r="BC560" s="2994">
        <v>20.087399999999999</v>
      </c>
      <c r="BD560" s="3471">
        <v>20.582100000000001</v>
      </c>
      <c r="BE560" s="3471">
        <v>21.496700000000001</v>
      </c>
      <c r="BF560" s="3471">
        <v>0</v>
      </c>
    </row>
    <row r="561" spans="1:58">
      <c r="A561" s="1817" t="str">
        <f t="shared" si="17"/>
        <v>South AmericaGrapes</v>
      </c>
      <c r="B561" s="1818" t="s">
        <v>306</v>
      </c>
      <c r="C561" s="1818" t="s">
        <v>1352</v>
      </c>
      <c r="D561" s="3463" t="str">
        <f>VLOOKUP(B561,List_Yield!$G$4:$J$14,4,FALSE)</f>
        <v>South America</v>
      </c>
      <c r="E561" s="3463" t="str">
        <f t="shared" si="16"/>
        <v>South AmericaGrapes</v>
      </c>
      <c r="F561" s="2994">
        <v>8.4361999999999995</v>
      </c>
      <c r="G561" s="2994">
        <v>9.0114999999999998</v>
      </c>
      <c r="H561" s="2994">
        <v>9.2213999999999992</v>
      </c>
      <c r="I561" s="2994">
        <v>8.6386000000000003</v>
      </c>
      <c r="J561" s="2994">
        <v>7.9512999999999998</v>
      </c>
      <c r="K561" s="2994">
        <v>9.0076999999999998</v>
      </c>
      <c r="L561" s="2994">
        <v>10.8812</v>
      </c>
      <c r="M561" s="2994">
        <v>8.4137000000000004</v>
      </c>
      <c r="N561" s="2994">
        <v>7.7072000000000003</v>
      </c>
      <c r="O561" s="2994">
        <v>8.3222000000000005</v>
      </c>
      <c r="P561" s="2994">
        <v>8.8367000000000004</v>
      </c>
      <c r="Q561" s="2994">
        <v>8.5503</v>
      </c>
      <c r="R561" s="2994">
        <v>8.5359999999999996</v>
      </c>
      <c r="S561" s="2994">
        <v>10.123799999999999</v>
      </c>
      <c r="T561" s="2994">
        <v>8.8249999999999993</v>
      </c>
      <c r="U561" s="2994">
        <v>10.030799999999999</v>
      </c>
      <c r="V561" s="2994">
        <v>9.7227999999999994</v>
      </c>
      <c r="W561" s="2994">
        <v>8.7248000000000001</v>
      </c>
      <c r="X561" s="2994">
        <v>10.360099999999999</v>
      </c>
      <c r="Y561" s="2994">
        <v>9.1953999999999994</v>
      </c>
      <c r="Z561" s="2994">
        <v>9.1854999999999993</v>
      </c>
      <c r="AA561" s="2994">
        <v>10.5181</v>
      </c>
      <c r="AB561" s="2994">
        <v>9.9290000000000003</v>
      </c>
      <c r="AC561" s="2994">
        <v>8.5527999999999995</v>
      </c>
      <c r="AD561" s="2994">
        <v>8.5008999999999997</v>
      </c>
      <c r="AE561" s="2994">
        <v>8.9667999999999992</v>
      </c>
      <c r="AF561" s="2994">
        <v>11.494899999999999</v>
      </c>
      <c r="AG561" s="2994">
        <v>10.961399999999999</v>
      </c>
      <c r="AH561" s="2994">
        <v>10.530099999999999</v>
      </c>
      <c r="AI561" s="2994">
        <v>10.858499999999999</v>
      </c>
      <c r="AJ561" s="2994">
        <v>10.0814</v>
      </c>
      <c r="AK561" s="2994">
        <v>10.3057</v>
      </c>
      <c r="AL561" s="2994">
        <v>10.439500000000001</v>
      </c>
      <c r="AM561" s="2994">
        <v>12.3119</v>
      </c>
      <c r="AN561" s="2994">
        <v>13.4346</v>
      </c>
      <c r="AO561" s="2994">
        <v>11.4414</v>
      </c>
      <c r="AP561" s="2994">
        <v>12.9594</v>
      </c>
      <c r="AQ561" s="2994">
        <v>11.0977</v>
      </c>
      <c r="AR561" s="2994">
        <v>12.231</v>
      </c>
      <c r="AS561" s="2994">
        <v>12.9259</v>
      </c>
      <c r="AT561" s="2994">
        <v>12.2308</v>
      </c>
      <c r="AU561" s="2994">
        <v>11.64</v>
      </c>
      <c r="AV561" s="2994">
        <v>12.062799999999999</v>
      </c>
      <c r="AW561" s="2994">
        <v>12.9284</v>
      </c>
      <c r="AX561" s="2994">
        <v>13.564500000000001</v>
      </c>
      <c r="AY561" s="2994">
        <v>13.623900000000001</v>
      </c>
      <c r="AZ561" s="2994">
        <v>14.1854</v>
      </c>
      <c r="BA561" s="2994">
        <v>13.2018</v>
      </c>
      <c r="BB561" s="2994">
        <v>12.204000000000001</v>
      </c>
      <c r="BC561" s="2994">
        <v>13.6995</v>
      </c>
      <c r="BD561" s="3471">
        <v>15.0489</v>
      </c>
      <c r="BE561" s="3471">
        <v>14.938599999999999</v>
      </c>
      <c r="BF561" s="3471">
        <v>0</v>
      </c>
    </row>
    <row r="562" spans="1:58">
      <c r="A562" s="1817" t="str">
        <f t="shared" si="17"/>
        <v>South AmericaGroundnuts, with shell</v>
      </c>
      <c r="B562" s="1818" t="s">
        <v>306</v>
      </c>
      <c r="C562" s="1818" t="s">
        <v>1353</v>
      </c>
      <c r="D562" s="3463" t="str">
        <f>VLOOKUP(B562,List_Yield!$G$4:$J$14,4,FALSE)</f>
        <v>South America</v>
      </c>
      <c r="E562" s="3463" t="str">
        <f t="shared" si="16"/>
        <v>South AmericaGroundnuts, with shell</v>
      </c>
      <c r="F562" s="2994">
        <v>1.3704000000000001</v>
      </c>
      <c r="G562" s="2994">
        <v>1.4078999999999999</v>
      </c>
      <c r="H562" s="2994">
        <v>1.3061</v>
      </c>
      <c r="I562" s="2994">
        <v>1.0925</v>
      </c>
      <c r="J562" s="2994">
        <v>1.2613000000000001</v>
      </c>
      <c r="K562" s="2994">
        <v>1.3159000000000001</v>
      </c>
      <c r="L562" s="2994">
        <v>1.0721000000000001</v>
      </c>
      <c r="M562" s="2994">
        <v>1.1424000000000001</v>
      </c>
      <c r="N562" s="2994">
        <v>1.1208</v>
      </c>
      <c r="O562" s="2994">
        <v>1.2988999999999999</v>
      </c>
      <c r="P562" s="2994">
        <v>1.2625</v>
      </c>
      <c r="Q562" s="2994">
        <v>1.1354</v>
      </c>
      <c r="R562" s="2994">
        <v>1.1508</v>
      </c>
      <c r="S562" s="2994">
        <v>1.0266999999999999</v>
      </c>
      <c r="T562" s="2994">
        <v>1.153</v>
      </c>
      <c r="U562" s="2994">
        <v>1.2219</v>
      </c>
      <c r="V562" s="2994">
        <v>1.5025999999999999</v>
      </c>
      <c r="W562" s="2994">
        <v>1.0269999999999999</v>
      </c>
      <c r="X562" s="2994">
        <v>1.6215999999999999</v>
      </c>
      <c r="Y562" s="2994">
        <v>1.2816000000000001</v>
      </c>
      <c r="Z562" s="2994">
        <v>1.3239000000000001</v>
      </c>
      <c r="AA562" s="2994">
        <v>1.4117999999999999</v>
      </c>
      <c r="AB562" s="2994">
        <v>1.4661999999999999</v>
      </c>
      <c r="AC562" s="2994">
        <v>1.8098000000000001</v>
      </c>
      <c r="AD562" s="2994">
        <v>1.8565</v>
      </c>
      <c r="AE562" s="2994">
        <v>1.6498999999999999</v>
      </c>
      <c r="AF562" s="2994">
        <v>1.706</v>
      </c>
      <c r="AG562" s="2994">
        <v>1.7369000000000001</v>
      </c>
      <c r="AH562" s="2994">
        <v>1.6114999999999999</v>
      </c>
      <c r="AI562" s="2994">
        <v>1.3982000000000001</v>
      </c>
      <c r="AJ562" s="2994">
        <v>1.5680000000000001</v>
      </c>
      <c r="AK562" s="2994">
        <v>1.4438</v>
      </c>
      <c r="AL562" s="2994">
        <v>1.7192000000000001</v>
      </c>
      <c r="AM562" s="2994">
        <v>1.4973000000000001</v>
      </c>
      <c r="AN562" s="2994">
        <v>1.5053000000000001</v>
      </c>
      <c r="AO562" s="2994">
        <v>1.7813000000000001</v>
      </c>
      <c r="AP562" s="2994">
        <v>1.1101000000000001</v>
      </c>
      <c r="AQ562" s="2994">
        <v>1.6102000000000001</v>
      </c>
      <c r="AR562" s="2994">
        <v>1.1645000000000001</v>
      </c>
      <c r="AS562" s="2994">
        <v>1.7105999999999999</v>
      </c>
      <c r="AT562" s="2994">
        <v>1.5754999999999999</v>
      </c>
      <c r="AU562" s="2994">
        <v>1.6209</v>
      </c>
      <c r="AV562" s="2994">
        <v>1.5210999999999999</v>
      </c>
      <c r="AW562" s="2994">
        <v>1.768</v>
      </c>
      <c r="AX562" s="2994">
        <v>1.9956</v>
      </c>
      <c r="AY562" s="2994">
        <v>1.9384999999999999</v>
      </c>
      <c r="AZ562" s="2994">
        <v>2.3309000000000002</v>
      </c>
      <c r="BA562" s="2994">
        <v>2.4563999999999999</v>
      </c>
      <c r="BB562" s="2994">
        <v>2.2176</v>
      </c>
      <c r="BC562" s="2994">
        <v>2.4801000000000002</v>
      </c>
      <c r="BD562" s="3471">
        <v>2.4573</v>
      </c>
      <c r="BE562" s="3471">
        <v>2.2189000000000001</v>
      </c>
      <c r="BF562" s="3471">
        <v>2.5207999999999999</v>
      </c>
    </row>
    <row r="563" spans="1:58">
      <c r="A563" s="1817" t="str">
        <f t="shared" si="17"/>
        <v>South AmericaHazelnuts, with shell</v>
      </c>
      <c r="B563" s="1818" t="s">
        <v>306</v>
      </c>
      <c r="C563" s="1818" t="s">
        <v>7332</v>
      </c>
      <c r="D563" s="3463" t="str">
        <f>VLOOKUP(B563,List_Yield!$G$4:$J$14,4,FALSE)</f>
        <v>South America</v>
      </c>
      <c r="E563" s="3463" t="str">
        <f t="shared" si="16"/>
        <v>South AmericaHazelnuts, with shell</v>
      </c>
      <c r="F563" s="2994">
        <v>0</v>
      </c>
      <c r="G563" s="2994">
        <v>0</v>
      </c>
      <c r="H563" s="2994">
        <v>0</v>
      </c>
      <c r="I563" s="2994">
        <v>0</v>
      </c>
      <c r="J563" s="2994">
        <v>0</v>
      </c>
      <c r="K563" s="2994">
        <v>0</v>
      </c>
      <c r="L563" s="2994">
        <v>0</v>
      </c>
      <c r="M563" s="2994">
        <v>0</v>
      </c>
      <c r="N563" s="2994">
        <v>0</v>
      </c>
      <c r="O563" s="2994">
        <v>0</v>
      </c>
      <c r="P563" s="2994">
        <v>0</v>
      </c>
      <c r="Q563" s="2994">
        <v>0</v>
      </c>
      <c r="R563" s="2994">
        <v>0</v>
      </c>
      <c r="S563" s="2994">
        <v>0</v>
      </c>
      <c r="T563" s="2994">
        <v>0</v>
      </c>
      <c r="U563" s="2994">
        <v>0</v>
      </c>
      <c r="V563" s="2994">
        <v>0</v>
      </c>
      <c r="W563" s="2994">
        <v>0</v>
      </c>
      <c r="X563" s="2994">
        <v>0</v>
      </c>
      <c r="Y563" s="2994">
        <v>0</v>
      </c>
      <c r="Z563" s="2994">
        <v>0</v>
      </c>
      <c r="AA563" s="2994">
        <v>0</v>
      </c>
      <c r="AB563" s="2994">
        <v>0</v>
      </c>
      <c r="AC563" s="2994">
        <v>0</v>
      </c>
      <c r="AD563" s="2994">
        <v>0</v>
      </c>
      <c r="AE563" s="2994">
        <v>0</v>
      </c>
      <c r="AF563" s="2994">
        <v>0</v>
      </c>
      <c r="AG563" s="2994">
        <v>0</v>
      </c>
      <c r="AH563" s="2994">
        <v>0</v>
      </c>
      <c r="AI563" s="2994">
        <v>0</v>
      </c>
      <c r="AJ563" s="2994">
        <v>0</v>
      </c>
      <c r="AK563" s="2994">
        <v>0</v>
      </c>
      <c r="AL563" s="2994">
        <v>0</v>
      </c>
      <c r="AM563" s="2994">
        <v>0</v>
      </c>
      <c r="AN563" s="2994">
        <v>0</v>
      </c>
      <c r="AO563" s="2994">
        <v>0</v>
      </c>
      <c r="AP563" s="2994">
        <v>0</v>
      </c>
      <c r="AQ563" s="2994">
        <v>0</v>
      </c>
      <c r="AR563" s="2994">
        <v>0</v>
      </c>
      <c r="AS563" s="2994">
        <v>0</v>
      </c>
      <c r="AT563" s="2994">
        <v>0</v>
      </c>
      <c r="AU563" s="2994">
        <v>0</v>
      </c>
      <c r="AV563" s="2994">
        <v>0</v>
      </c>
      <c r="AW563" s="2994">
        <v>0</v>
      </c>
      <c r="AX563" s="2994">
        <v>0</v>
      </c>
      <c r="AY563" s="2994">
        <v>0</v>
      </c>
      <c r="AZ563" s="2994">
        <v>0</v>
      </c>
      <c r="BA563" s="2994">
        <v>0</v>
      </c>
      <c r="BB563" s="2994">
        <v>0</v>
      </c>
      <c r="BC563" s="2994">
        <v>0</v>
      </c>
      <c r="BD563" s="3471">
        <v>0</v>
      </c>
      <c r="BE563" s="3471">
        <v>0</v>
      </c>
      <c r="BF563" s="3471">
        <v>0</v>
      </c>
    </row>
    <row r="564" spans="1:58">
      <c r="A564" s="1817" t="str">
        <f t="shared" si="17"/>
        <v>South AmericaHemp tow waste</v>
      </c>
      <c r="B564" s="1818" t="s">
        <v>306</v>
      </c>
      <c r="C564" s="1818" t="s">
        <v>7333</v>
      </c>
      <c r="D564" s="3463" t="str">
        <f>VLOOKUP(B564,List_Yield!$G$4:$J$14,4,FALSE)</f>
        <v>South America</v>
      </c>
      <c r="E564" s="3463" t="str">
        <f t="shared" si="16"/>
        <v>South AmericaHemp tow waste</v>
      </c>
      <c r="F564" s="2994">
        <v>1.0556000000000001</v>
      </c>
      <c r="G564" s="2994">
        <v>1.0556000000000001</v>
      </c>
      <c r="H564" s="2994">
        <v>1.0556000000000001</v>
      </c>
      <c r="I564" s="2994">
        <v>1.0556000000000001</v>
      </c>
      <c r="J564" s="2994">
        <v>1.0556000000000001</v>
      </c>
      <c r="K564" s="2994">
        <v>1.0556000000000001</v>
      </c>
      <c r="L564" s="2994">
        <v>1.0556000000000001</v>
      </c>
      <c r="M564" s="2994">
        <v>1.0556000000000001</v>
      </c>
      <c r="N564" s="2994">
        <v>1.0556000000000001</v>
      </c>
      <c r="O564" s="2994">
        <v>0.97299999999999998</v>
      </c>
      <c r="P564" s="2994">
        <v>1.0286</v>
      </c>
      <c r="Q564" s="2994">
        <v>1</v>
      </c>
      <c r="R564" s="2994">
        <v>0.9375</v>
      </c>
      <c r="S564" s="2994">
        <v>0.9143</v>
      </c>
      <c r="T564" s="2994">
        <v>0.94740000000000002</v>
      </c>
      <c r="U564" s="2994">
        <v>0.95</v>
      </c>
      <c r="V564" s="2994">
        <v>1</v>
      </c>
      <c r="W564" s="2994">
        <v>0.94589999999999996</v>
      </c>
      <c r="X564" s="2994">
        <v>0.94589999999999996</v>
      </c>
      <c r="Y564" s="2994">
        <v>0.94740000000000002</v>
      </c>
      <c r="Z564" s="2994">
        <v>0.94740000000000002</v>
      </c>
      <c r="AA564" s="2994">
        <v>0.94740000000000002</v>
      </c>
      <c r="AB564" s="2994">
        <v>0.94869999999999999</v>
      </c>
      <c r="AC564" s="2994">
        <v>0.95</v>
      </c>
      <c r="AD564" s="2994">
        <v>0.95</v>
      </c>
      <c r="AE564" s="2994">
        <v>0.95</v>
      </c>
      <c r="AF564" s="2994">
        <v>0.95240000000000002</v>
      </c>
      <c r="AG564" s="2994">
        <v>0.95240000000000002</v>
      </c>
      <c r="AH564" s="2994">
        <v>0.95240000000000002</v>
      </c>
      <c r="AI564" s="2994">
        <v>0.95240000000000002</v>
      </c>
      <c r="AJ564" s="2994">
        <v>0.95240000000000002</v>
      </c>
      <c r="AK564" s="2994">
        <v>0.95240000000000002</v>
      </c>
      <c r="AL564" s="2994">
        <v>0.95240000000000002</v>
      </c>
      <c r="AM564" s="2994">
        <v>0.95240000000000002</v>
      </c>
      <c r="AN564" s="2994">
        <v>0.95240000000000002</v>
      </c>
      <c r="AO564" s="2994">
        <v>0.95240000000000002</v>
      </c>
      <c r="AP564" s="2994">
        <v>0.95240000000000002</v>
      </c>
      <c r="AQ564" s="2994">
        <v>0.95240000000000002</v>
      </c>
      <c r="AR564" s="2994">
        <v>0.95240000000000002</v>
      </c>
      <c r="AS564" s="2994">
        <v>0.95250000000000001</v>
      </c>
      <c r="AT564" s="2994">
        <v>0.95230000000000004</v>
      </c>
      <c r="AU564" s="2994">
        <v>0.95</v>
      </c>
      <c r="AV564" s="2994">
        <v>0.95330000000000004</v>
      </c>
      <c r="AW564" s="2994">
        <v>0.95599999999999996</v>
      </c>
      <c r="AX564" s="2994">
        <v>0.95330000000000004</v>
      </c>
      <c r="AY564" s="2994">
        <v>0.95330000000000004</v>
      </c>
      <c r="AZ564" s="2994">
        <v>0.95330000000000004</v>
      </c>
      <c r="BA564" s="2994">
        <v>0.95330000000000004</v>
      </c>
      <c r="BB564" s="2994">
        <v>0.95330000000000004</v>
      </c>
      <c r="BC564" s="2994">
        <v>0.95330000000000004</v>
      </c>
      <c r="BD564" s="3471">
        <v>0.95330000000000004</v>
      </c>
      <c r="BE564" s="3471">
        <v>0.95330000000000004</v>
      </c>
      <c r="BF564" s="3471">
        <v>0</v>
      </c>
    </row>
    <row r="565" spans="1:58">
      <c r="A565" s="1817" t="str">
        <f t="shared" si="17"/>
        <v>South AmericaHempseed</v>
      </c>
      <c r="B565" s="1818" t="s">
        <v>306</v>
      </c>
      <c r="C565" s="1818" t="s">
        <v>7334</v>
      </c>
      <c r="D565" s="3463" t="str">
        <f>VLOOKUP(B565,List_Yield!$G$4:$J$14,4,FALSE)</f>
        <v>South America</v>
      </c>
      <c r="E565" s="3463" t="str">
        <f t="shared" si="16"/>
        <v>South AmericaHempseed</v>
      </c>
      <c r="F565" s="2994">
        <v>0.83330000000000004</v>
      </c>
      <c r="G565" s="2994">
        <v>0.83330000000000004</v>
      </c>
      <c r="H565" s="2994">
        <v>0.83330000000000004</v>
      </c>
      <c r="I565" s="2994">
        <v>0.83330000000000004</v>
      </c>
      <c r="J565" s="2994">
        <v>0.83330000000000004</v>
      </c>
      <c r="K565" s="2994">
        <v>0.83330000000000004</v>
      </c>
      <c r="L565" s="2994">
        <v>0.83330000000000004</v>
      </c>
      <c r="M565" s="2994">
        <v>0.83330000000000004</v>
      </c>
      <c r="N565" s="2994">
        <v>0.88890000000000002</v>
      </c>
      <c r="O565" s="2994">
        <v>0.89290000000000003</v>
      </c>
      <c r="P565" s="2994">
        <v>0.89290000000000003</v>
      </c>
      <c r="Q565" s="2994">
        <v>1</v>
      </c>
      <c r="R565" s="2994">
        <v>1.0667</v>
      </c>
      <c r="S565" s="2994">
        <v>1.0667</v>
      </c>
      <c r="T565" s="2994">
        <v>1.0625</v>
      </c>
      <c r="U565" s="2994">
        <v>1.0667</v>
      </c>
      <c r="V565" s="2994">
        <v>1.1000000000000001</v>
      </c>
      <c r="W565" s="2994">
        <v>1.1000000000000001</v>
      </c>
      <c r="X565" s="2994">
        <v>1.1000000000000001</v>
      </c>
      <c r="Y565" s="2994">
        <v>1.1000000000000001</v>
      </c>
      <c r="Z565" s="2994">
        <v>1.1000000000000001</v>
      </c>
      <c r="AA565" s="2994">
        <v>1.1000000000000001</v>
      </c>
      <c r="AB565" s="2994">
        <v>1.1000000000000001</v>
      </c>
      <c r="AC565" s="2994">
        <v>1.1000000000000001</v>
      </c>
      <c r="AD565" s="2994">
        <v>1.1000000000000001</v>
      </c>
      <c r="AE565" s="2994">
        <v>1.1000000000000001</v>
      </c>
      <c r="AF565" s="2994">
        <v>1.1000000000000001</v>
      </c>
      <c r="AG565" s="2994">
        <v>1.1000000000000001</v>
      </c>
      <c r="AH565" s="2994">
        <v>1.1000000000000001</v>
      </c>
      <c r="AI565" s="2994">
        <v>1.1046</v>
      </c>
      <c r="AJ565" s="2994">
        <v>1.1157999999999999</v>
      </c>
      <c r="AK565" s="2994">
        <v>1.1851</v>
      </c>
      <c r="AL565" s="2994">
        <v>1.2611000000000001</v>
      </c>
      <c r="AM565" s="2994">
        <v>1.2895000000000001</v>
      </c>
      <c r="AN565" s="2994">
        <v>1.3239000000000001</v>
      </c>
      <c r="AO565" s="2994">
        <v>1.0427999999999999</v>
      </c>
      <c r="AP565" s="2994">
        <v>1.004</v>
      </c>
      <c r="AQ565" s="2994">
        <v>1.2350000000000001</v>
      </c>
      <c r="AR565" s="2994">
        <v>1.2176</v>
      </c>
      <c r="AS565" s="2994">
        <v>1</v>
      </c>
      <c r="AT565" s="2994">
        <v>1</v>
      </c>
      <c r="AU565" s="2994">
        <v>1</v>
      </c>
      <c r="AV565" s="2994">
        <v>1</v>
      </c>
      <c r="AW565" s="2994">
        <v>1</v>
      </c>
      <c r="AX565" s="2994">
        <v>1</v>
      </c>
      <c r="AY565" s="2994">
        <v>1.0250999999999999</v>
      </c>
      <c r="AZ565" s="2994">
        <v>1.0504</v>
      </c>
      <c r="BA565" s="2994">
        <v>0.77890000000000004</v>
      </c>
      <c r="BB565" s="2994">
        <v>0.63719999999999999</v>
      </c>
      <c r="BC565" s="2994">
        <v>0.62770000000000004</v>
      </c>
      <c r="BD565" s="3471">
        <v>0.62929999999999997</v>
      </c>
      <c r="BE565" s="3471">
        <v>0.65910000000000002</v>
      </c>
      <c r="BF565" s="3471">
        <v>0.65910000000000002</v>
      </c>
    </row>
    <row r="566" spans="1:58">
      <c r="A566" s="1817" t="str">
        <f t="shared" si="17"/>
        <v>South AmericaHops</v>
      </c>
      <c r="B566" s="1818" t="s">
        <v>306</v>
      </c>
      <c r="C566" s="1818" t="s">
        <v>7335</v>
      </c>
      <c r="D566" s="3463" t="str">
        <f>VLOOKUP(B566,List_Yield!$G$4:$J$14,4,FALSE)</f>
        <v>South America</v>
      </c>
      <c r="E566" s="3463" t="str">
        <f t="shared" si="16"/>
        <v>South AmericaHops</v>
      </c>
      <c r="F566" s="2994">
        <v>0.5837</v>
      </c>
      <c r="G566" s="2994">
        <v>0.65280000000000005</v>
      </c>
      <c r="H566" s="2994">
        <v>0.67530000000000001</v>
      </c>
      <c r="I566" s="2994">
        <v>0.6835</v>
      </c>
      <c r="J566" s="2994">
        <v>0.73080000000000001</v>
      </c>
      <c r="K566" s="2994">
        <v>0.78180000000000005</v>
      </c>
      <c r="L566" s="2994">
        <v>0.81969999999999998</v>
      </c>
      <c r="M566" s="2994">
        <v>0.8125</v>
      </c>
      <c r="N566" s="2994">
        <v>0.66669999999999996</v>
      </c>
      <c r="O566" s="2994">
        <v>0.77880000000000005</v>
      </c>
      <c r="P566" s="2994">
        <v>0.77359999999999995</v>
      </c>
      <c r="Q566" s="2994">
        <v>0.8226</v>
      </c>
      <c r="R566" s="2994">
        <v>0.88280000000000003</v>
      </c>
      <c r="S566" s="2994">
        <v>0.89390000000000003</v>
      </c>
      <c r="T566" s="2994">
        <v>0.71989999999999998</v>
      </c>
      <c r="U566" s="2994">
        <v>0.49859999999999999</v>
      </c>
      <c r="V566" s="2994">
        <v>0.76470000000000005</v>
      </c>
      <c r="W566" s="2994">
        <v>0.78129999999999999</v>
      </c>
      <c r="X566" s="2994">
        <v>0.78010000000000002</v>
      </c>
      <c r="Y566" s="2994">
        <v>0.87180000000000002</v>
      </c>
      <c r="Z566" s="2994">
        <v>0.82350000000000001</v>
      </c>
      <c r="AA566" s="2994">
        <v>0.82930000000000004</v>
      </c>
      <c r="AB566" s="2994">
        <v>0.7762</v>
      </c>
      <c r="AC566" s="2994">
        <v>0.96389999999999998</v>
      </c>
      <c r="AD566" s="2994">
        <v>0.86119999999999997</v>
      </c>
      <c r="AE566" s="2994">
        <v>0.87339999999999995</v>
      </c>
      <c r="AF566" s="2994">
        <v>1.2759</v>
      </c>
      <c r="AG566" s="2994">
        <v>1.1694</v>
      </c>
      <c r="AH566" s="2994">
        <v>1.3471</v>
      </c>
      <c r="AI566" s="2994">
        <v>1.2</v>
      </c>
      <c r="AJ566" s="2994">
        <v>1.1922999999999999</v>
      </c>
      <c r="AK566" s="2994">
        <v>1.1852</v>
      </c>
      <c r="AL566" s="2994">
        <v>1.1786000000000001</v>
      </c>
      <c r="AM566" s="2994">
        <v>1.4142999999999999</v>
      </c>
      <c r="AN566" s="2994">
        <v>1.2321</v>
      </c>
      <c r="AO566" s="2994">
        <v>0.97860000000000003</v>
      </c>
      <c r="AP566" s="2994">
        <v>0.77859999999999996</v>
      </c>
      <c r="AQ566" s="2994">
        <v>1.0286</v>
      </c>
      <c r="AR566" s="2994">
        <v>1.2</v>
      </c>
      <c r="AS566" s="2994">
        <v>1.2</v>
      </c>
      <c r="AT566" s="2994">
        <v>1.2</v>
      </c>
      <c r="AU566" s="2994">
        <v>1.2082999999999999</v>
      </c>
      <c r="AV566" s="2994">
        <v>1.2065999999999999</v>
      </c>
      <c r="AW566" s="2994">
        <v>1.2058</v>
      </c>
      <c r="AX566" s="2994">
        <v>1.177</v>
      </c>
      <c r="AY566" s="2994">
        <v>1.2040999999999999</v>
      </c>
      <c r="AZ566" s="2994">
        <v>1.2161999999999999</v>
      </c>
      <c r="BA566" s="2994">
        <v>1.2161999999999999</v>
      </c>
      <c r="BB566" s="2994">
        <v>1.2161999999999999</v>
      </c>
      <c r="BC566" s="2994">
        <v>1.2161999999999999</v>
      </c>
      <c r="BD566" s="3471">
        <v>1.2161999999999999</v>
      </c>
      <c r="BE566" s="3471">
        <v>1.2161999999999999</v>
      </c>
      <c r="BF566" s="3471">
        <v>0</v>
      </c>
    </row>
    <row r="567" spans="1:58">
      <c r="A567" s="1817" t="str">
        <f t="shared" si="17"/>
        <v>South AmericaJojoba seed</v>
      </c>
      <c r="B567" s="1818" t="s">
        <v>306</v>
      </c>
      <c r="C567" s="1818" t="s">
        <v>7336</v>
      </c>
      <c r="D567" s="3463" t="str">
        <f>VLOOKUP(B567,List_Yield!$G$4:$J$14,4,FALSE)</f>
        <v>South America</v>
      </c>
      <c r="E567" s="3463" t="str">
        <f t="shared" si="16"/>
        <v>South AmericaJojoba seed</v>
      </c>
      <c r="F567" s="2994">
        <v>0</v>
      </c>
      <c r="G567" s="2994">
        <v>0</v>
      </c>
      <c r="H567" s="2994">
        <v>0</v>
      </c>
      <c r="I567" s="2994">
        <v>0</v>
      </c>
      <c r="J567" s="2994">
        <v>0</v>
      </c>
      <c r="K567" s="2994">
        <v>0</v>
      </c>
      <c r="L567" s="2994">
        <v>0</v>
      </c>
      <c r="M567" s="2994">
        <v>0</v>
      </c>
      <c r="N567" s="2994">
        <v>0</v>
      </c>
      <c r="O567" s="2994">
        <v>0</v>
      </c>
      <c r="P567" s="2994">
        <v>0</v>
      </c>
      <c r="Q567" s="2994">
        <v>0</v>
      </c>
      <c r="R567" s="2994">
        <v>0</v>
      </c>
      <c r="S567" s="2994">
        <v>0</v>
      </c>
      <c r="T567" s="2994">
        <v>0</v>
      </c>
      <c r="U567" s="2994">
        <v>0</v>
      </c>
      <c r="V567" s="2994">
        <v>0</v>
      </c>
      <c r="W567" s="2994">
        <v>0</v>
      </c>
      <c r="X567" s="2994">
        <v>0</v>
      </c>
      <c r="Y567" s="2994">
        <v>0</v>
      </c>
      <c r="Z567" s="2994">
        <v>0</v>
      </c>
      <c r="AA567" s="2994">
        <v>0</v>
      </c>
      <c r="AB567" s="2994">
        <v>0</v>
      </c>
      <c r="AC567" s="2994">
        <v>0</v>
      </c>
      <c r="AD567" s="2994">
        <v>0</v>
      </c>
      <c r="AE567" s="2994">
        <v>0</v>
      </c>
      <c r="AF567" s="2994">
        <v>0</v>
      </c>
      <c r="AG567" s="2994">
        <v>0</v>
      </c>
      <c r="AH567" s="2994">
        <v>0</v>
      </c>
      <c r="AI567" s="2994">
        <v>0</v>
      </c>
      <c r="AJ567" s="2994">
        <v>0</v>
      </c>
      <c r="AK567" s="2994">
        <v>0</v>
      </c>
      <c r="AL567" s="2994">
        <v>0</v>
      </c>
      <c r="AM567" s="2994">
        <v>0</v>
      </c>
      <c r="AN567" s="2994">
        <v>0</v>
      </c>
      <c r="AO567" s="2994">
        <v>0</v>
      </c>
      <c r="AP567" s="2994">
        <v>0</v>
      </c>
      <c r="AQ567" s="2994">
        <v>0</v>
      </c>
      <c r="AR567" s="2994">
        <v>0</v>
      </c>
      <c r="AS567" s="2994">
        <v>0</v>
      </c>
      <c r="AT567" s="2994">
        <v>0</v>
      </c>
      <c r="AU567" s="2994">
        <v>0</v>
      </c>
      <c r="AV567" s="2994">
        <v>0</v>
      </c>
      <c r="AW567" s="2994">
        <v>0</v>
      </c>
      <c r="AX567" s="2994">
        <v>0</v>
      </c>
      <c r="AY567" s="2994">
        <v>0</v>
      </c>
      <c r="AZ567" s="2994">
        <v>0</v>
      </c>
      <c r="BA567" s="2994">
        <v>0</v>
      </c>
      <c r="BB567" s="2994">
        <v>0</v>
      </c>
      <c r="BC567" s="2994">
        <v>0</v>
      </c>
      <c r="BD567" s="3471">
        <v>0</v>
      </c>
      <c r="BE567" s="3471">
        <v>0</v>
      </c>
      <c r="BF567" s="3471">
        <v>0</v>
      </c>
    </row>
    <row r="568" spans="1:58">
      <c r="A568" s="1817" t="str">
        <f t="shared" si="17"/>
        <v>South AmericaJute</v>
      </c>
      <c r="B568" s="1818" t="s">
        <v>306</v>
      </c>
      <c r="C568" s="1818" t="s">
        <v>7337</v>
      </c>
      <c r="D568" s="3463" t="str">
        <f>VLOOKUP(B568,List_Yield!$G$4:$J$14,4,FALSE)</f>
        <v>South America</v>
      </c>
      <c r="E568" s="3463" t="str">
        <f t="shared" si="16"/>
        <v>South AmericaJute</v>
      </c>
      <c r="F568" s="2994">
        <v>1.3452999999999999</v>
      </c>
      <c r="G568" s="2994">
        <v>1.1584000000000001</v>
      </c>
      <c r="H568" s="2994">
        <v>1.1974</v>
      </c>
      <c r="I568" s="2994">
        <v>1.2039</v>
      </c>
      <c r="J568" s="2994">
        <v>1.2799</v>
      </c>
      <c r="K568" s="2994">
        <v>1.3081</v>
      </c>
      <c r="L568" s="2994">
        <v>0.95279999999999998</v>
      </c>
      <c r="M568" s="2994">
        <v>1.0699000000000001</v>
      </c>
      <c r="N568" s="2994">
        <v>1.0880000000000001</v>
      </c>
      <c r="O568" s="2994">
        <v>1.19</v>
      </c>
      <c r="P568" s="2994">
        <v>1.1957</v>
      </c>
      <c r="Q568" s="2994">
        <v>1.1848000000000001</v>
      </c>
      <c r="R568" s="2994">
        <v>1.0962000000000001</v>
      </c>
      <c r="S568" s="2994">
        <v>0.94630000000000003</v>
      </c>
      <c r="T568" s="2994">
        <v>1.1575</v>
      </c>
      <c r="U568" s="2994">
        <v>0.84709999999999996</v>
      </c>
      <c r="V568" s="2994">
        <v>1.0488</v>
      </c>
      <c r="W568" s="2994">
        <v>1.0883</v>
      </c>
      <c r="X568" s="2994">
        <v>1.1692</v>
      </c>
      <c r="Y568" s="2994">
        <v>1.0927</v>
      </c>
      <c r="Z568" s="2994">
        <v>1.0807</v>
      </c>
      <c r="AA568" s="2994">
        <v>1.0227999999999999</v>
      </c>
      <c r="AB568" s="2994">
        <v>1.2299</v>
      </c>
      <c r="AC568" s="2994">
        <v>0.94889999999999997</v>
      </c>
      <c r="AD568" s="2994">
        <v>0.99990000000000001</v>
      </c>
      <c r="AE568" s="2994">
        <v>1.0072000000000001</v>
      </c>
      <c r="AF568" s="2994">
        <v>1.0018</v>
      </c>
      <c r="AG568" s="2994">
        <v>1.2345999999999999</v>
      </c>
      <c r="AH568" s="2994">
        <v>1.2559</v>
      </c>
      <c r="AI568" s="2994">
        <v>1.2321</v>
      </c>
      <c r="AJ568" s="2994">
        <v>1.1930000000000001</v>
      </c>
      <c r="AK568" s="2994">
        <v>1.2942</v>
      </c>
      <c r="AL568" s="2994">
        <v>1.3685</v>
      </c>
      <c r="AM568" s="2994">
        <v>1.3715999999999999</v>
      </c>
      <c r="AN568" s="2994">
        <v>1.3582000000000001</v>
      </c>
      <c r="AO568" s="2994">
        <v>1.5886</v>
      </c>
      <c r="AP568" s="2994">
        <v>1.5347999999999999</v>
      </c>
      <c r="AQ568" s="2994">
        <v>1.3109</v>
      </c>
      <c r="AR568" s="2994">
        <v>1.3877999999999999</v>
      </c>
      <c r="AS568" s="2994">
        <v>1.2758</v>
      </c>
      <c r="AT568" s="2994">
        <v>1.3886000000000001</v>
      </c>
      <c r="AU568" s="2994">
        <v>1.5078</v>
      </c>
      <c r="AV568" s="2994">
        <v>1.4439</v>
      </c>
      <c r="AW568" s="2994">
        <v>1.5482</v>
      </c>
      <c r="AX568" s="2994">
        <v>1.4311</v>
      </c>
      <c r="AY568" s="2994">
        <v>1.4544999999999999</v>
      </c>
      <c r="AZ568" s="2994">
        <v>1.4216</v>
      </c>
      <c r="BA568" s="2994">
        <v>1.2115</v>
      </c>
      <c r="BB568" s="2994">
        <v>1.4679</v>
      </c>
      <c r="BC568" s="2994">
        <v>1.3310999999999999</v>
      </c>
      <c r="BD568" s="3471">
        <v>1.2761</v>
      </c>
      <c r="BE568" s="3471">
        <v>1.5267999999999999</v>
      </c>
      <c r="BF568" s="3471">
        <v>0</v>
      </c>
    </row>
    <row r="569" spans="1:58">
      <c r="A569" s="1817" t="str">
        <f t="shared" si="17"/>
        <v>South AmericaKapok fruit</v>
      </c>
      <c r="B569" s="1818" t="s">
        <v>306</v>
      </c>
      <c r="C569" s="1818" t="s">
        <v>7338</v>
      </c>
      <c r="D569" s="3463" t="str">
        <f>VLOOKUP(B569,List_Yield!$G$4:$J$14,4,FALSE)</f>
        <v>South America</v>
      </c>
      <c r="E569" s="3463" t="str">
        <f t="shared" si="16"/>
        <v>South AmericaKapok fruit</v>
      </c>
      <c r="F569" s="2994">
        <v>0</v>
      </c>
      <c r="G569" s="2994">
        <v>0</v>
      </c>
      <c r="H569" s="2994">
        <v>0</v>
      </c>
      <c r="I569" s="2994">
        <v>0</v>
      </c>
      <c r="J569" s="2994">
        <v>0</v>
      </c>
      <c r="K569" s="2994">
        <v>0</v>
      </c>
      <c r="L569" s="2994">
        <v>0</v>
      </c>
      <c r="M569" s="2994">
        <v>0</v>
      </c>
      <c r="N569" s="2994">
        <v>0</v>
      </c>
      <c r="O569" s="2994">
        <v>0</v>
      </c>
      <c r="P569" s="2994">
        <v>0</v>
      </c>
      <c r="Q569" s="2994">
        <v>0</v>
      </c>
      <c r="R569" s="2994">
        <v>0</v>
      </c>
      <c r="S569" s="2994">
        <v>0</v>
      </c>
      <c r="T569" s="2994">
        <v>0</v>
      </c>
      <c r="U569" s="2994">
        <v>0</v>
      </c>
      <c r="V569" s="2994">
        <v>0</v>
      </c>
      <c r="W569" s="2994">
        <v>0</v>
      </c>
      <c r="X569" s="2994">
        <v>0</v>
      </c>
      <c r="Y569" s="2994">
        <v>0</v>
      </c>
      <c r="Z569" s="2994">
        <v>0</v>
      </c>
      <c r="AA569" s="2994">
        <v>0</v>
      </c>
      <c r="AB569" s="2994">
        <v>0</v>
      </c>
      <c r="AC569" s="2994">
        <v>0</v>
      </c>
      <c r="AD569" s="2994">
        <v>0</v>
      </c>
      <c r="AE569" s="2994">
        <v>0</v>
      </c>
      <c r="AF569" s="2994">
        <v>0</v>
      </c>
      <c r="AG569" s="2994">
        <v>0</v>
      </c>
      <c r="AH569" s="2994">
        <v>0</v>
      </c>
      <c r="AI569" s="2994">
        <v>0</v>
      </c>
      <c r="AJ569" s="2994">
        <v>0</v>
      </c>
      <c r="AK569" s="2994">
        <v>0</v>
      </c>
      <c r="AL569" s="2994">
        <v>0</v>
      </c>
      <c r="AM569" s="2994">
        <v>0</v>
      </c>
      <c r="AN569" s="2994">
        <v>0</v>
      </c>
      <c r="AO569" s="2994">
        <v>0</v>
      </c>
      <c r="AP569" s="2994">
        <v>0</v>
      </c>
      <c r="AQ569" s="2994">
        <v>0</v>
      </c>
      <c r="AR569" s="2994">
        <v>0</v>
      </c>
      <c r="AS569" s="2994">
        <v>0</v>
      </c>
      <c r="AT569" s="2994">
        <v>0</v>
      </c>
      <c r="AU569" s="2994">
        <v>0</v>
      </c>
      <c r="AV569" s="2994">
        <v>0</v>
      </c>
      <c r="AW569" s="2994">
        <v>0</v>
      </c>
      <c r="AX569" s="2994">
        <v>0</v>
      </c>
      <c r="AY569" s="2994">
        <v>0</v>
      </c>
      <c r="AZ569" s="2994">
        <v>0</v>
      </c>
      <c r="BA569" s="2994">
        <v>0</v>
      </c>
      <c r="BB569" s="2994">
        <v>0</v>
      </c>
      <c r="BC569" s="2994">
        <v>0</v>
      </c>
      <c r="BD569" s="3471">
        <v>0</v>
      </c>
      <c r="BE569" s="3471">
        <v>0</v>
      </c>
      <c r="BF569" s="3471">
        <v>0</v>
      </c>
    </row>
    <row r="570" spans="1:58">
      <c r="A570" s="1817" t="str">
        <f t="shared" si="17"/>
        <v>South AmericaKarite nuts (sheanuts)</v>
      </c>
      <c r="B570" s="1818" t="s">
        <v>306</v>
      </c>
      <c r="C570" s="1818" t="s">
        <v>7339</v>
      </c>
      <c r="D570" s="3463" t="str">
        <f>VLOOKUP(B570,List_Yield!$G$4:$J$14,4,FALSE)</f>
        <v>South America</v>
      </c>
      <c r="E570" s="3463" t="str">
        <f t="shared" si="16"/>
        <v>South AmericaKarite nuts (sheanuts)</v>
      </c>
      <c r="F570" s="2994">
        <v>0</v>
      </c>
      <c r="G570" s="2994">
        <v>0</v>
      </c>
      <c r="H570" s="2994">
        <v>0</v>
      </c>
      <c r="I570" s="2994">
        <v>0</v>
      </c>
      <c r="J570" s="2994">
        <v>0</v>
      </c>
      <c r="K570" s="2994">
        <v>0</v>
      </c>
      <c r="L570" s="2994">
        <v>0</v>
      </c>
      <c r="M570" s="2994">
        <v>0</v>
      </c>
      <c r="N570" s="2994">
        <v>0</v>
      </c>
      <c r="O570" s="2994">
        <v>0</v>
      </c>
      <c r="P570" s="2994">
        <v>0</v>
      </c>
      <c r="Q570" s="2994">
        <v>0</v>
      </c>
      <c r="R570" s="2994">
        <v>0</v>
      </c>
      <c r="S570" s="2994">
        <v>0</v>
      </c>
      <c r="T570" s="2994">
        <v>0</v>
      </c>
      <c r="U570" s="2994">
        <v>0</v>
      </c>
      <c r="V570" s="2994">
        <v>0</v>
      </c>
      <c r="W570" s="2994">
        <v>0</v>
      </c>
      <c r="X570" s="2994">
        <v>0</v>
      </c>
      <c r="Y570" s="2994">
        <v>0</v>
      </c>
      <c r="Z570" s="2994">
        <v>0</v>
      </c>
      <c r="AA570" s="2994">
        <v>0</v>
      </c>
      <c r="AB570" s="2994">
        <v>0</v>
      </c>
      <c r="AC570" s="2994">
        <v>0</v>
      </c>
      <c r="AD570" s="2994">
        <v>0</v>
      </c>
      <c r="AE570" s="2994">
        <v>0</v>
      </c>
      <c r="AF570" s="2994">
        <v>0</v>
      </c>
      <c r="AG570" s="2994">
        <v>0</v>
      </c>
      <c r="AH570" s="2994">
        <v>0</v>
      </c>
      <c r="AI570" s="2994">
        <v>0</v>
      </c>
      <c r="AJ570" s="2994">
        <v>0</v>
      </c>
      <c r="AK570" s="2994">
        <v>0</v>
      </c>
      <c r="AL570" s="2994">
        <v>0</v>
      </c>
      <c r="AM570" s="2994">
        <v>0</v>
      </c>
      <c r="AN570" s="2994">
        <v>0</v>
      </c>
      <c r="AO570" s="2994">
        <v>0</v>
      </c>
      <c r="AP570" s="2994">
        <v>0</v>
      </c>
      <c r="AQ570" s="2994">
        <v>0</v>
      </c>
      <c r="AR570" s="2994">
        <v>0</v>
      </c>
      <c r="AS570" s="2994">
        <v>0</v>
      </c>
      <c r="AT570" s="2994">
        <v>0</v>
      </c>
      <c r="AU570" s="2994">
        <v>0</v>
      </c>
      <c r="AV570" s="2994">
        <v>0</v>
      </c>
      <c r="AW570" s="2994">
        <v>0</v>
      </c>
      <c r="AX570" s="2994">
        <v>0</v>
      </c>
      <c r="AY570" s="2994">
        <v>0</v>
      </c>
      <c r="AZ570" s="2994">
        <v>0</v>
      </c>
      <c r="BA570" s="2994">
        <v>0</v>
      </c>
      <c r="BB570" s="2994">
        <v>0</v>
      </c>
      <c r="BC570" s="2994">
        <v>0</v>
      </c>
      <c r="BD570" s="3471">
        <v>0</v>
      </c>
      <c r="BE570" s="3471">
        <v>0</v>
      </c>
      <c r="BF570" s="3471">
        <v>0</v>
      </c>
    </row>
    <row r="571" spans="1:58">
      <c r="A571" s="1817" t="str">
        <f t="shared" si="17"/>
        <v>South AmericaKiwi fruit</v>
      </c>
      <c r="B571" s="1818" t="s">
        <v>306</v>
      </c>
      <c r="C571" s="1818" t="s">
        <v>7340</v>
      </c>
      <c r="D571" s="3463" t="str">
        <f>VLOOKUP(B571,List_Yield!$G$4:$J$14,4,FALSE)</f>
        <v>South America</v>
      </c>
      <c r="E571" s="3463" t="str">
        <f t="shared" si="16"/>
        <v>South AmericaKiwi fruit</v>
      </c>
      <c r="F571" s="2994">
        <v>0</v>
      </c>
      <c r="G571" s="2994">
        <v>0</v>
      </c>
      <c r="H571" s="2994">
        <v>0</v>
      </c>
      <c r="I571" s="2994">
        <v>0</v>
      </c>
      <c r="J571" s="2994">
        <v>0</v>
      </c>
      <c r="K571" s="2994">
        <v>0</v>
      </c>
      <c r="L571" s="2994">
        <v>0</v>
      </c>
      <c r="M571" s="2994">
        <v>0</v>
      </c>
      <c r="N571" s="2994">
        <v>0</v>
      </c>
      <c r="O571" s="2994">
        <v>0</v>
      </c>
      <c r="P571" s="2994">
        <v>0</v>
      </c>
      <c r="Q571" s="2994">
        <v>0</v>
      </c>
      <c r="R571" s="2994">
        <v>0</v>
      </c>
      <c r="S571" s="2994">
        <v>0</v>
      </c>
      <c r="T571" s="2994">
        <v>0</v>
      </c>
      <c r="U571" s="2994">
        <v>0</v>
      </c>
      <c r="V571" s="2994">
        <v>0</v>
      </c>
      <c r="W571" s="2994">
        <v>0</v>
      </c>
      <c r="X571" s="2994">
        <v>0</v>
      </c>
      <c r="Y571" s="2994">
        <v>0</v>
      </c>
      <c r="Z571" s="2994">
        <v>0</v>
      </c>
      <c r="AA571" s="2994">
        <v>0.33329999999999999</v>
      </c>
      <c r="AB571" s="2994">
        <v>0.31819999999999998</v>
      </c>
      <c r="AC571" s="2994">
        <v>0.4</v>
      </c>
      <c r="AD571" s="2994">
        <v>0.5</v>
      </c>
      <c r="AE571" s="2994">
        <v>0.85329999999999995</v>
      </c>
      <c r="AF571" s="2994">
        <v>0.98329999999999995</v>
      </c>
      <c r="AG571" s="2994">
        <v>1.4309000000000001</v>
      </c>
      <c r="AH571" s="2994">
        <v>2.1760999999999999</v>
      </c>
      <c r="AI571" s="2994">
        <v>3.0424000000000002</v>
      </c>
      <c r="AJ571" s="2994">
        <v>4.3789999999999996</v>
      </c>
      <c r="AK571" s="2994">
        <v>7.6577000000000002</v>
      </c>
      <c r="AL571" s="2994">
        <v>9.6938999999999993</v>
      </c>
      <c r="AM571" s="2994">
        <v>12.2898</v>
      </c>
      <c r="AN571" s="2994">
        <v>12.8996</v>
      </c>
      <c r="AO571" s="2994">
        <v>17.469899999999999</v>
      </c>
      <c r="AP571" s="2994">
        <v>18.158200000000001</v>
      </c>
      <c r="AQ571" s="2994">
        <v>18.523199999999999</v>
      </c>
      <c r="AR571" s="2994">
        <v>13.350300000000001</v>
      </c>
      <c r="AS571" s="2994">
        <v>14.8553</v>
      </c>
      <c r="AT571" s="2994">
        <v>17.763200000000001</v>
      </c>
      <c r="AU571" s="2994">
        <v>16.6234</v>
      </c>
      <c r="AV571" s="2994">
        <v>16.233799999999999</v>
      </c>
      <c r="AW571" s="2994">
        <v>16.1111</v>
      </c>
      <c r="AX571" s="2994">
        <v>22.7273</v>
      </c>
      <c r="AY571" s="2994">
        <v>25.373100000000001</v>
      </c>
      <c r="AZ571" s="2994">
        <v>21.264399999999998</v>
      </c>
      <c r="BA571" s="2994">
        <v>21.334099999999999</v>
      </c>
      <c r="BB571" s="2994">
        <v>21.0185</v>
      </c>
      <c r="BC571" s="2994">
        <v>20.966899999999999</v>
      </c>
      <c r="BD571" s="3471">
        <v>21.712800000000001</v>
      </c>
      <c r="BE571" s="3471">
        <v>21.9178</v>
      </c>
      <c r="BF571" s="3471">
        <v>0</v>
      </c>
    </row>
    <row r="572" spans="1:58">
      <c r="A572" s="1817" t="str">
        <f t="shared" si="17"/>
        <v>South AmericaKola nuts</v>
      </c>
      <c r="B572" s="1818" t="s">
        <v>306</v>
      </c>
      <c r="C572" s="1818" t="s">
        <v>7341</v>
      </c>
      <c r="D572" s="3463" t="str">
        <f>VLOOKUP(B572,List_Yield!$G$4:$J$14,4,FALSE)</f>
        <v>South America</v>
      </c>
      <c r="E572" s="3463" t="str">
        <f t="shared" si="16"/>
        <v>South AmericaKola nuts</v>
      </c>
      <c r="F572" s="2994">
        <v>0</v>
      </c>
      <c r="G572" s="2994">
        <v>0</v>
      </c>
      <c r="H572" s="2994">
        <v>0</v>
      </c>
      <c r="I572" s="2994">
        <v>0</v>
      </c>
      <c r="J572" s="2994">
        <v>0</v>
      </c>
      <c r="K572" s="2994">
        <v>0</v>
      </c>
      <c r="L572" s="2994">
        <v>0</v>
      </c>
      <c r="M572" s="2994">
        <v>0</v>
      </c>
      <c r="N572" s="2994">
        <v>0</v>
      </c>
      <c r="O572" s="2994">
        <v>0</v>
      </c>
      <c r="P572" s="2994">
        <v>0</v>
      </c>
      <c r="Q572" s="2994">
        <v>0</v>
      </c>
      <c r="R572" s="2994">
        <v>0</v>
      </c>
      <c r="S572" s="2994">
        <v>0</v>
      </c>
      <c r="T572" s="2994">
        <v>0</v>
      </c>
      <c r="U572" s="2994">
        <v>0</v>
      </c>
      <c r="V572" s="2994">
        <v>0</v>
      </c>
      <c r="W572" s="2994">
        <v>0</v>
      </c>
      <c r="X572" s="2994">
        <v>0</v>
      </c>
      <c r="Y572" s="2994">
        <v>0</v>
      </c>
      <c r="Z572" s="2994">
        <v>0</v>
      </c>
      <c r="AA572" s="2994">
        <v>0</v>
      </c>
      <c r="AB572" s="2994">
        <v>0</v>
      </c>
      <c r="AC572" s="2994">
        <v>0</v>
      </c>
      <c r="AD572" s="2994">
        <v>0</v>
      </c>
      <c r="AE572" s="2994">
        <v>0</v>
      </c>
      <c r="AF572" s="2994">
        <v>0</v>
      </c>
      <c r="AG572" s="2994">
        <v>0</v>
      </c>
      <c r="AH572" s="2994">
        <v>0</v>
      </c>
      <c r="AI572" s="2994">
        <v>0</v>
      </c>
      <c r="AJ572" s="2994">
        <v>0</v>
      </c>
      <c r="AK572" s="2994">
        <v>0</v>
      </c>
      <c r="AL572" s="2994">
        <v>0</v>
      </c>
      <c r="AM572" s="2994">
        <v>0</v>
      </c>
      <c r="AN572" s="2994">
        <v>0</v>
      </c>
      <c r="AO572" s="2994">
        <v>0</v>
      </c>
      <c r="AP572" s="2994">
        <v>0</v>
      </c>
      <c r="AQ572" s="2994">
        <v>0</v>
      </c>
      <c r="AR572" s="2994">
        <v>0</v>
      </c>
      <c r="AS572" s="2994">
        <v>0</v>
      </c>
      <c r="AT572" s="2994">
        <v>0</v>
      </c>
      <c r="AU572" s="2994">
        <v>0</v>
      </c>
      <c r="AV572" s="2994">
        <v>0</v>
      </c>
      <c r="AW572" s="2994">
        <v>0</v>
      </c>
      <c r="AX572" s="2994">
        <v>0</v>
      </c>
      <c r="AY572" s="2994">
        <v>0</v>
      </c>
      <c r="AZ572" s="2994">
        <v>0</v>
      </c>
      <c r="BA572" s="2994">
        <v>0</v>
      </c>
      <c r="BB572" s="2994">
        <v>0</v>
      </c>
      <c r="BC572" s="2994">
        <v>0</v>
      </c>
      <c r="BD572" s="3471">
        <v>0</v>
      </c>
      <c r="BE572" s="3471">
        <v>0</v>
      </c>
      <c r="BF572" s="3471">
        <v>0</v>
      </c>
    </row>
    <row r="573" spans="1:58">
      <c r="A573" s="1817" t="str">
        <f t="shared" si="17"/>
        <v>South AmericaLeeks, other alliaceous vegetables</v>
      </c>
      <c r="B573" s="1818" t="s">
        <v>306</v>
      </c>
      <c r="C573" s="1818" t="s">
        <v>7342</v>
      </c>
      <c r="D573" s="3463" t="str">
        <f>VLOOKUP(B573,List_Yield!$G$4:$J$14,4,FALSE)</f>
        <v>South America</v>
      </c>
      <c r="E573" s="3463" t="str">
        <f t="shared" ref="E573:E636" si="18">CONCATENATE(D573,C573)</f>
        <v>South AmericaLeeks, other alliaceous vegetables</v>
      </c>
      <c r="F573" s="2994">
        <v>0</v>
      </c>
      <c r="G573" s="2994">
        <v>0</v>
      </c>
      <c r="H573" s="2994">
        <v>0</v>
      </c>
      <c r="I573" s="2994">
        <v>0</v>
      </c>
      <c r="J573" s="2994">
        <v>0</v>
      </c>
      <c r="K573" s="2994">
        <v>0</v>
      </c>
      <c r="L573" s="2994">
        <v>0</v>
      </c>
      <c r="M573" s="2994">
        <v>0</v>
      </c>
      <c r="N573" s="2994">
        <v>0</v>
      </c>
      <c r="O573" s="2994">
        <v>0</v>
      </c>
      <c r="P573" s="2994">
        <v>0</v>
      </c>
      <c r="Q573" s="2994">
        <v>0</v>
      </c>
      <c r="R573" s="2994">
        <v>0</v>
      </c>
      <c r="S573" s="2994">
        <v>13.2828</v>
      </c>
      <c r="T573" s="2994">
        <v>13.1692</v>
      </c>
      <c r="U573" s="2994">
        <v>13.217599999999999</v>
      </c>
      <c r="V573" s="2994">
        <v>11.2182</v>
      </c>
      <c r="W573" s="2994">
        <v>11.6187</v>
      </c>
      <c r="X573" s="2994">
        <v>12.2407</v>
      </c>
      <c r="Y573" s="2994">
        <v>11.7622</v>
      </c>
      <c r="Z573" s="2994">
        <v>11.6282</v>
      </c>
      <c r="AA573" s="2994">
        <v>10.7355</v>
      </c>
      <c r="AB573" s="2994">
        <v>10.326700000000001</v>
      </c>
      <c r="AC573" s="2994">
        <v>10.330500000000001</v>
      </c>
      <c r="AD573" s="2994">
        <v>10.486599999999999</v>
      </c>
      <c r="AE573" s="2994">
        <v>10.317399999999999</v>
      </c>
      <c r="AF573" s="2994">
        <v>10.1625</v>
      </c>
      <c r="AG573" s="2994">
        <v>10.387</v>
      </c>
      <c r="AH573" s="2994">
        <v>10.1477</v>
      </c>
      <c r="AI573" s="2994">
        <v>9.2260000000000009</v>
      </c>
      <c r="AJ573" s="2994">
        <v>9.5595999999999997</v>
      </c>
      <c r="AK573" s="2994">
        <v>9.4019999999999992</v>
      </c>
      <c r="AL573" s="2994">
        <v>10.270300000000001</v>
      </c>
      <c r="AM573" s="2994">
        <v>10.078900000000001</v>
      </c>
      <c r="AN573" s="2994">
        <v>9.7521000000000004</v>
      </c>
      <c r="AO573" s="2994">
        <v>11.0541</v>
      </c>
      <c r="AP573" s="2994">
        <v>12.1501</v>
      </c>
      <c r="AQ573" s="2994">
        <v>13.5274</v>
      </c>
      <c r="AR573" s="2994">
        <v>13.3531</v>
      </c>
      <c r="AS573" s="2994">
        <v>11.0771</v>
      </c>
      <c r="AT573" s="2994">
        <v>11.1372</v>
      </c>
      <c r="AU573" s="2994">
        <v>12.144399999999999</v>
      </c>
      <c r="AV573" s="2994">
        <v>12.215</v>
      </c>
      <c r="AW573" s="2994">
        <v>11.43</v>
      </c>
      <c r="AX573" s="2994">
        <v>12.2172</v>
      </c>
      <c r="AY573" s="2994">
        <v>12.02</v>
      </c>
      <c r="AZ573" s="2994">
        <v>12.2623</v>
      </c>
      <c r="BA573" s="2994">
        <v>12.142899999999999</v>
      </c>
      <c r="BB573" s="2994">
        <v>17.502300000000002</v>
      </c>
      <c r="BC573" s="2994">
        <v>17.7803</v>
      </c>
      <c r="BD573" s="3471">
        <v>16.953499999999998</v>
      </c>
      <c r="BE573" s="3471">
        <v>16.185300000000002</v>
      </c>
      <c r="BF573" s="3471">
        <v>0</v>
      </c>
    </row>
    <row r="574" spans="1:58">
      <c r="A574" s="1817" t="str">
        <f t="shared" si="17"/>
        <v>South AmericaLemons and limes</v>
      </c>
      <c r="B574" s="1818" t="s">
        <v>306</v>
      </c>
      <c r="C574" s="1818" t="s">
        <v>7343</v>
      </c>
      <c r="D574" s="3463" t="str">
        <f>VLOOKUP(B574,List_Yield!$G$4:$J$14,4,FALSE)</f>
        <v>South America</v>
      </c>
      <c r="E574" s="3463" t="str">
        <f t="shared" si="18"/>
        <v>South AmericaLemons and limes</v>
      </c>
      <c r="F574" s="2994">
        <v>14.4308</v>
      </c>
      <c r="G574" s="2994">
        <v>14.037100000000001</v>
      </c>
      <c r="H574" s="2994">
        <v>13.601699999999999</v>
      </c>
      <c r="I574" s="2994">
        <v>13.286300000000001</v>
      </c>
      <c r="J574" s="2994">
        <v>13.2798</v>
      </c>
      <c r="K574" s="2994">
        <v>13.8597</v>
      </c>
      <c r="L574" s="2994">
        <v>13.2224</v>
      </c>
      <c r="M574" s="2994">
        <v>17.339200000000002</v>
      </c>
      <c r="N574" s="2994">
        <v>17.3703</v>
      </c>
      <c r="O574" s="2994">
        <v>17.281700000000001</v>
      </c>
      <c r="P574" s="2994">
        <v>16.849499999999999</v>
      </c>
      <c r="Q574" s="2994">
        <v>16.395199999999999</v>
      </c>
      <c r="R574" s="2994">
        <v>16.313400000000001</v>
      </c>
      <c r="S574" s="2994">
        <v>17.4251</v>
      </c>
      <c r="T574" s="2994">
        <v>17.427800000000001</v>
      </c>
      <c r="U574" s="2994">
        <v>14.739699999999999</v>
      </c>
      <c r="V574" s="2994">
        <v>17.4177</v>
      </c>
      <c r="W574" s="2994">
        <v>16.185600000000001</v>
      </c>
      <c r="X574" s="2994">
        <v>16.892499999999998</v>
      </c>
      <c r="Y574" s="2994">
        <v>13.398</v>
      </c>
      <c r="Z574" s="2994">
        <v>13.730700000000001</v>
      </c>
      <c r="AA574" s="2994">
        <v>13.0977</v>
      </c>
      <c r="AB574" s="2994">
        <v>12.6165</v>
      </c>
      <c r="AC574" s="2994">
        <v>13.090999999999999</v>
      </c>
      <c r="AD574" s="2994">
        <v>12.9003</v>
      </c>
      <c r="AE574" s="2994">
        <v>13.303800000000001</v>
      </c>
      <c r="AF574" s="2994">
        <v>13.8301</v>
      </c>
      <c r="AG574" s="2994">
        <v>12.8947</v>
      </c>
      <c r="AH574" s="2994">
        <v>11.7906</v>
      </c>
      <c r="AI574" s="2994">
        <v>12.4781</v>
      </c>
      <c r="AJ574" s="2994">
        <v>14.7843</v>
      </c>
      <c r="AK574" s="2994">
        <v>14.642300000000001</v>
      </c>
      <c r="AL574" s="2994">
        <v>14.5078</v>
      </c>
      <c r="AM574" s="2994">
        <v>15.356199999999999</v>
      </c>
      <c r="AN574" s="2994">
        <v>15.1927</v>
      </c>
      <c r="AO574" s="2994">
        <v>15.2395</v>
      </c>
      <c r="AP574" s="2994">
        <v>15.7759</v>
      </c>
      <c r="AQ574" s="2994">
        <v>14.8483</v>
      </c>
      <c r="AR574" s="2994">
        <v>15.543699999999999</v>
      </c>
      <c r="AS574" s="2994">
        <v>16.9773</v>
      </c>
      <c r="AT574" s="2994">
        <v>18.9636</v>
      </c>
      <c r="AU574" s="2994">
        <v>20.1432</v>
      </c>
      <c r="AV574" s="2994">
        <v>19.152200000000001</v>
      </c>
      <c r="AW574" s="2994">
        <v>20.4361</v>
      </c>
      <c r="AX574" s="2994">
        <v>20.148800000000001</v>
      </c>
      <c r="AY574" s="2994">
        <v>20.404900000000001</v>
      </c>
      <c r="AZ574" s="2994">
        <v>20.593599999999999</v>
      </c>
      <c r="BA574" s="2994">
        <v>19.911100000000001</v>
      </c>
      <c r="BB574" s="2994">
        <v>20.359500000000001</v>
      </c>
      <c r="BC574" s="2994">
        <v>20.305299999999999</v>
      </c>
      <c r="BD574" s="3471">
        <v>21.341000000000001</v>
      </c>
      <c r="BE574" s="3471">
        <v>21.67</v>
      </c>
      <c r="BF574" s="3471">
        <v>0</v>
      </c>
    </row>
    <row r="575" spans="1:58">
      <c r="A575" s="1817" t="str">
        <f t="shared" si="17"/>
        <v>South AmericaLentils</v>
      </c>
      <c r="B575" s="1818" t="s">
        <v>306</v>
      </c>
      <c r="C575" s="1818" t="s">
        <v>7344</v>
      </c>
      <c r="D575" s="3463" t="str">
        <f>VLOOKUP(B575,List_Yield!$G$4:$J$14,4,FALSE)</f>
        <v>South America</v>
      </c>
      <c r="E575" s="3463" t="str">
        <f t="shared" si="18"/>
        <v>South AmericaLentils</v>
      </c>
      <c r="F575" s="2994">
        <v>0.54339999999999999</v>
      </c>
      <c r="G575" s="2994">
        <v>0.5867</v>
      </c>
      <c r="H575" s="2994">
        <v>0.57020000000000004</v>
      </c>
      <c r="I575" s="2994">
        <v>0.58360000000000001</v>
      </c>
      <c r="J575" s="2994">
        <v>0.58479999999999999</v>
      </c>
      <c r="K575" s="2994">
        <v>0.62739999999999996</v>
      </c>
      <c r="L575" s="2994">
        <v>0.52049999999999996</v>
      </c>
      <c r="M575" s="2994">
        <v>0.50680000000000003</v>
      </c>
      <c r="N575" s="2994">
        <v>0.61439999999999995</v>
      </c>
      <c r="O575" s="2994">
        <v>0.54759999999999998</v>
      </c>
      <c r="P575" s="2994">
        <v>0.56499999999999995</v>
      </c>
      <c r="Q575" s="2994">
        <v>0.49399999999999999</v>
      </c>
      <c r="R575" s="2994">
        <v>0.51970000000000005</v>
      </c>
      <c r="S575" s="2994">
        <v>0.58120000000000005</v>
      </c>
      <c r="T575" s="2994">
        <v>0.67410000000000003</v>
      </c>
      <c r="U575" s="2994">
        <v>0.72470000000000001</v>
      </c>
      <c r="V575" s="2994">
        <v>0.92400000000000004</v>
      </c>
      <c r="W575" s="2994">
        <v>0.60899999999999999</v>
      </c>
      <c r="X575" s="2994">
        <v>0.55510000000000004</v>
      </c>
      <c r="Y575" s="2994">
        <v>0.5262</v>
      </c>
      <c r="Z575" s="2994">
        <v>0.4244</v>
      </c>
      <c r="AA575" s="2994">
        <v>0.50549999999999995</v>
      </c>
      <c r="AB575" s="2994">
        <v>0.5302</v>
      </c>
      <c r="AC575" s="2994">
        <v>0.53559999999999997</v>
      </c>
      <c r="AD575" s="2994">
        <v>0.60199999999999998</v>
      </c>
      <c r="AE575" s="2994">
        <v>0.72209999999999996</v>
      </c>
      <c r="AF575" s="2994">
        <v>0.65690000000000004</v>
      </c>
      <c r="AG575" s="2994">
        <v>0.74199999999999999</v>
      </c>
      <c r="AH575" s="2994">
        <v>0.55810000000000004</v>
      </c>
      <c r="AI575" s="2994">
        <v>0.59889999999999999</v>
      </c>
      <c r="AJ575" s="2994">
        <v>0.68279999999999996</v>
      </c>
      <c r="AK575" s="2994">
        <v>0.7077</v>
      </c>
      <c r="AL575" s="2994">
        <v>0.70150000000000001</v>
      </c>
      <c r="AM575" s="2994">
        <v>1.0044</v>
      </c>
      <c r="AN575" s="2994">
        <v>0.74470000000000003</v>
      </c>
      <c r="AO575" s="2994">
        <v>0.81659999999999999</v>
      </c>
      <c r="AP575" s="2994">
        <v>0.86919999999999997</v>
      </c>
      <c r="AQ575" s="2994">
        <v>0.92149999999999999</v>
      </c>
      <c r="AR575" s="2994">
        <v>1.2307999999999999</v>
      </c>
      <c r="AS575" s="2994">
        <v>0.94289999999999996</v>
      </c>
      <c r="AT575" s="2994">
        <v>0.62829999999999997</v>
      </c>
      <c r="AU575" s="2994">
        <v>0.71450000000000002</v>
      </c>
      <c r="AV575" s="2994">
        <v>0.67330000000000001</v>
      </c>
      <c r="AW575" s="2994">
        <v>0.71740000000000004</v>
      </c>
      <c r="AX575" s="2994">
        <v>0.73440000000000005</v>
      </c>
      <c r="AY575" s="2994">
        <v>0.69340000000000002</v>
      </c>
      <c r="AZ575" s="2994">
        <v>0.70720000000000005</v>
      </c>
      <c r="BA575" s="2994">
        <v>0.71089999999999998</v>
      </c>
      <c r="BB575" s="2994">
        <v>0.70309999999999995</v>
      </c>
      <c r="BC575" s="2994">
        <v>0.74829999999999997</v>
      </c>
      <c r="BD575" s="3471">
        <v>0.78249999999999997</v>
      </c>
      <c r="BE575" s="3471">
        <v>0.74339999999999995</v>
      </c>
      <c r="BF575" s="3471">
        <v>0.73899999999999999</v>
      </c>
    </row>
    <row r="576" spans="1:58">
      <c r="A576" s="1817" t="str">
        <f t="shared" si="17"/>
        <v>South AmericaLettuce and chicory</v>
      </c>
      <c r="B576" s="1818" t="s">
        <v>306</v>
      </c>
      <c r="C576" s="1818" t="s">
        <v>7345</v>
      </c>
      <c r="D576" s="3463" t="str">
        <f>VLOOKUP(B576,List_Yield!$G$4:$J$14,4,FALSE)</f>
        <v>South America</v>
      </c>
      <c r="E576" s="3463" t="str">
        <f t="shared" si="18"/>
        <v>South AmericaLettuce and chicory</v>
      </c>
      <c r="F576" s="2994">
        <v>9.5729000000000006</v>
      </c>
      <c r="G576" s="2994">
        <v>10.896599999999999</v>
      </c>
      <c r="H576" s="2994">
        <v>10.877000000000001</v>
      </c>
      <c r="I576" s="2994">
        <v>9.9929000000000006</v>
      </c>
      <c r="J576" s="2994">
        <v>10.1999</v>
      </c>
      <c r="K576" s="2994">
        <v>10.906700000000001</v>
      </c>
      <c r="L576" s="2994">
        <v>10.962999999999999</v>
      </c>
      <c r="M576" s="2994">
        <v>10.284800000000001</v>
      </c>
      <c r="N576" s="2994">
        <v>10.225099999999999</v>
      </c>
      <c r="O576" s="2994">
        <v>10.697800000000001</v>
      </c>
      <c r="P576" s="2994">
        <v>10.5693</v>
      </c>
      <c r="Q576" s="2994">
        <v>10.167199999999999</v>
      </c>
      <c r="R576" s="2994">
        <v>10.5954</v>
      </c>
      <c r="S576" s="2994">
        <v>10.132400000000001</v>
      </c>
      <c r="T576" s="2994">
        <v>9.8851999999999993</v>
      </c>
      <c r="U576" s="2994">
        <v>10.401999999999999</v>
      </c>
      <c r="V576" s="2994">
        <v>9.2213999999999992</v>
      </c>
      <c r="W576" s="2994">
        <v>10.956799999999999</v>
      </c>
      <c r="X576" s="2994">
        <v>10.9908</v>
      </c>
      <c r="Y576" s="2994">
        <v>11.0898</v>
      </c>
      <c r="Z576" s="2994">
        <v>10.7018</v>
      </c>
      <c r="AA576" s="2994">
        <v>10.565300000000001</v>
      </c>
      <c r="AB576" s="2994">
        <v>10.2158</v>
      </c>
      <c r="AC576" s="2994">
        <v>10.203200000000001</v>
      </c>
      <c r="AD576" s="2994">
        <v>11.8552</v>
      </c>
      <c r="AE576" s="2994">
        <v>11.258900000000001</v>
      </c>
      <c r="AF576" s="2994">
        <v>10.311999999999999</v>
      </c>
      <c r="AG576" s="2994">
        <v>10.642099999999999</v>
      </c>
      <c r="AH576" s="2994">
        <v>11.389900000000001</v>
      </c>
      <c r="AI576" s="2994">
        <v>11.4392</v>
      </c>
      <c r="AJ576" s="2994">
        <v>11.6478</v>
      </c>
      <c r="AK576" s="2994">
        <v>11.4102</v>
      </c>
      <c r="AL576" s="2994">
        <v>11.623799999999999</v>
      </c>
      <c r="AM576" s="2994">
        <v>11.7821</v>
      </c>
      <c r="AN576" s="2994">
        <v>12.034599999999999</v>
      </c>
      <c r="AO576" s="2994">
        <v>12.132400000000001</v>
      </c>
      <c r="AP576" s="2994">
        <v>12.726000000000001</v>
      </c>
      <c r="AQ576" s="2994">
        <v>12.976000000000001</v>
      </c>
      <c r="AR576" s="2994">
        <v>13.686400000000001</v>
      </c>
      <c r="AS576" s="2994">
        <v>13.3363</v>
      </c>
      <c r="AT576" s="2994">
        <v>13.7125</v>
      </c>
      <c r="AU576" s="2994">
        <v>13.140499999999999</v>
      </c>
      <c r="AV576" s="2994">
        <v>12.898099999999999</v>
      </c>
      <c r="AW576" s="2994">
        <v>13.253500000000001</v>
      </c>
      <c r="AX576" s="2994">
        <v>13.332100000000001</v>
      </c>
      <c r="AY576" s="2994">
        <v>13.4503</v>
      </c>
      <c r="AZ576" s="2994">
        <v>13.497999999999999</v>
      </c>
      <c r="BA576" s="2994">
        <v>14.572800000000001</v>
      </c>
      <c r="BB576" s="2994">
        <v>14.162100000000001</v>
      </c>
      <c r="BC576" s="2994">
        <v>13.683199999999999</v>
      </c>
      <c r="BD576" s="3471">
        <v>13.798</v>
      </c>
      <c r="BE576" s="3471">
        <v>13.8444</v>
      </c>
      <c r="BF576" s="3471">
        <v>0</v>
      </c>
    </row>
    <row r="577" spans="1:58">
      <c r="A577" s="1817" t="str">
        <f t="shared" si="17"/>
        <v>South AmericaLinseed</v>
      </c>
      <c r="B577" s="1818" t="s">
        <v>306</v>
      </c>
      <c r="C577" s="1818" t="s">
        <v>1355</v>
      </c>
      <c r="D577" s="3463" t="str">
        <f>VLOOKUP(B577,List_Yield!$G$4:$J$14,4,FALSE)</f>
        <v>South America</v>
      </c>
      <c r="E577" s="3463" t="str">
        <f t="shared" si="18"/>
        <v>South AmericaLinseed</v>
      </c>
      <c r="F577" s="2994">
        <v>0.67600000000000005</v>
      </c>
      <c r="G577" s="2994">
        <v>0.69869999999999999</v>
      </c>
      <c r="H577" s="2994">
        <v>0.61729999999999996</v>
      </c>
      <c r="I577" s="2994">
        <v>0.62690000000000001</v>
      </c>
      <c r="J577" s="2994">
        <v>0.73299999999999998</v>
      </c>
      <c r="K577" s="2994">
        <v>0.57050000000000001</v>
      </c>
      <c r="L577" s="2994">
        <v>0.70909999999999995</v>
      </c>
      <c r="M577" s="2994">
        <v>0.89890000000000003</v>
      </c>
      <c r="N577" s="2994">
        <v>0.63880000000000003</v>
      </c>
      <c r="O577" s="2994">
        <v>0.9173</v>
      </c>
      <c r="P577" s="2994">
        <v>0.90149999999999997</v>
      </c>
      <c r="Q577" s="2994">
        <v>0.6784</v>
      </c>
      <c r="R577" s="2994">
        <v>0.73680000000000001</v>
      </c>
      <c r="S577" s="2994">
        <v>0.74639999999999995</v>
      </c>
      <c r="T577" s="2994">
        <v>0.73540000000000005</v>
      </c>
      <c r="U577" s="2994">
        <v>0.80489999999999995</v>
      </c>
      <c r="V577" s="2994">
        <v>0.98860000000000003</v>
      </c>
      <c r="W577" s="2994">
        <v>0.98680000000000001</v>
      </c>
      <c r="X577" s="2994">
        <v>0.71530000000000005</v>
      </c>
      <c r="Y577" s="2994">
        <v>0.75370000000000004</v>
      </c>
      <c r="Z577" s="2994">
        <v>0.79859999999999998</v>
      </c>
      <c r="AA577" s="2994">
        <v>0.73029999999999995</v>
      </c>
      <c r="AB577" s="2994">
        <v>0.84140000000000004</v>
      </c>
      <c r="AC577" s="2994">
        <v>0.81040000000000001</v>
      </c>
      <c r="AD577" s="2994">
        <v>0.8236</v>
      </c>
      <c r="AE577" s="2994">
        <v>0.67149999999999999</v>
      </c>
      <c r="AF577" s="2994">
        <v>0.83289999999999997</v>
      </c>
      <c r="AG577" s="2994">
        <v>0.80930000000000002</v>
      </c>
      <c r="AH577" s="2994">
        <v>0.73670000000000002</v>
      </c>
      <c r="AI577" s="2994">
        <v>0.89700000000000002</v>
      </c>
      <c r="AJ577" s="2994">
        <v>0.79279999999999995</v>
      </c>
      <c r="AK577" s="2994">
        <v>0.81459999999999999</v>
      </c>
      <c r="AL577" s="2994">
        <v>0.84460000000000002</v>
      </c>
      <c r="AM577" s="2994">
        <v>0.78459999999999996</v>
      </c>
      <c r="AN577" s="2994">
        <v>0.97089999999999999</v>
      </c>
      <c r="AO577" s="2994">
        <v>0.78690000000000004</v>
      </c>
      <c r="AP577" s="2994">
        <v>0.79510000000000003</v>
      </c>
      <c r="AQ577" s="2994">
        <v>0.70830000000000004</v>
      </c>
      <c r="AR577" s="2994">
        <v>0.86260000000000003</v>
      </c>
      <c r="AS577" s="2994">
        <v>0.72689999999999999</v>
      </c>
      <c r="AT577" s="2994">
        <v>0.83</v>
      </c>
      <c r="AU577" s="2994">
        <v>0.86060000000000003</v>
      </c>
      <c r="AV577" s="2994">
        <v>0.90980000000000005</v>
      </c>
      <c r="AW577" s="2994">
        <v>0.98340000000000005</v>
      </c>
      <c r="AX577" s="2994">
        <v>0.88929999999999998</v>
      </c>
      <c r="AY577" s="2994">
        <v>1.0323</v>
      </c>
      <c r="AZ577" s="2994">
        <v>1.1024</v>
      </c>
      <c r="BA577" s="2994">
        <v>0.96130000000000004</v>
      </c>
      <c r="BB577" s="2994">
        <v>0.95289999999999997</v>
      </c>
      <c r="BC577" s="2994">
        <v>1.2112000000000001</v>
      </c>
      <c r="BD577" s="3471">
        <v>1.1377999999999999</v>
      </c>
      <c r="BE577" s="3471">
        <v>1.0981000000000001</v>
      </c>
      <c r="BF577" s="3471">
        <v>1.1177999999999999</v>
      </c>
    </row>
    <row r="578" spans="1:58">
      <c r="A578" s="1817" t="str">
        <f t="shared" ref="A578:A641" si="19">CONCATENATE(B578,C578)</f>
        <v>South AmericaLupins</v>
      </c>
      <c r="B578" s="1818" t="s">
        <v>306</v>
      </c>
      <c r="C578" s="1818" t="s">
        <v>7346</v>
      </c>
      <c r="D578" s="3463" t="str">
        <f>VLOOKUP(B578,List_Yield!$G$4:$J$14,4,FALSE)</f>
        <v>South America</v>
      </c>
      <c r="E578" s="3463" t="str">
        <f t="shared" si="18"/>
        <v>South AmericaLupins</v>
      </c>
      <c r="F578" s="2994">
        <v>0.96319999999999995</v>
      </c>
      <c r="G578" s="2994">
        <v>0.91890000000000005</v>
      </c>
      <c r="H578" s="2994">
        <v>0.93859999999999999</v>
      </c>
      <c r="I578" s="2994">
        <v>0.94750000000000001</v>
      </c>
      <c r="J578" s="2994">
        <v>1.0701000000000001</v>
      </c>
      <c r="K578" s="2994">
        <v>1.0369999999999999</v>
      </c>
      <c r="L578" s="2994">
        <v>0.91649999999999998</v>
      </c>
      <c r="M578" s="2994">
        <v>0.96360000000000001</v>
      </c>
      <c r="N578" s="2994">
        <v>0.72099999999999997</v>
      </c>
      <c r="O578" s="2994">
        <v>0.87570000000000003</v>
      </c>
      <c r="P578" s="2994">
        <v>0.95830000000000004</v>
      </c>
      <c r="Q578" s="2994">
        <v>0.78869999999999996</v>
      </c>
      <c r="R578" s="2994">
        <v>0.56189999999999996</v>
      </c>
      <c r="S578" s="2994">
        <v>0.63649999999999995</v>
      </c>
      <c r="T578" s="2994">
        <v>0.81410000000000005</v>
      </c>
      <c r="U578" s="2994">
        <v>0.84619999999999995</v>
      </c>
      <c r="V578" s="2994">
        <v>1.2044999999999999</v>
      </c>
      <c r="W578" s="2994">
        <v>1.5322</v>
      </c>
      <c r="X578" s="2994">
        <v>1.5227999999999999</v>
      </c>
      <c r="Y578" s="2994">
        <v>1.5475000000000001</v>
      </c>
      <c r="Z578" s="2994">
        <v>1.5093000000000001</v>
      </c>
      <c r="AA578" s="2994">
        <v>1.5354000000000001</v>
      </c>
      <c r="AB578" s="2994">
        <v>1.5476000000000001</v>
      </c>
      <c r="AC578" s="2994">
        <v>1.5068999999999999</v>
      </c>
      <c r="AD578" s="2994">
        <v>1.5901000000000001</v>
      </c>
      <c r="AE578" s="2994">
        <v>1.1295999999999999</v>
      </c>
      <c r="AF578" s="2994">
        <v>1.4045000000000001</v>
      </c>
      <c r="AG578" s="2994">
        <v>1.0975999999999999</v>
      </c>
      <c r="AH578" s="2994">
        <v>1.1909000000000001</v>
      </c>
      <c r="AI578" s="2994">
        <v>1.4734</v>
      </c>
      <c r="AJ578" s="2994">
        <v>1.0942000000000001</v>
      </c>
      <c r="AK578" s="2994">
        <v>1.3367</v>
      </c>
      <c r="AL578" s="2994">
        <v>1.4581999999999999</v>
      </c>
      <c r="AM578" s="2994">
        <v>1.5479000000000001</v>
      </c>
      <c r="AN578" s="2994">
        <v>1.6060000000000001</v>
      </c>
      <c r="AO578" s="2994">
        <v>1.4984</v>
      </c>
      <c r="AP578" s="2994">
        <v>1.2553000000000001</v>
      </c>
      <c r="AQ578" s="2994">
        <v>1.7</v>
      </c>
      <c r="AR578" s="2994">
        <v>1.0458000000000001</v>
      </c>
      <c r="AS578" s="2994">
        <v>1.5125</v>
      </c>
      <c r="AT578" s="2994">
        <v>1.5436000000000001</v>
      </c>
      <c r="AU578" s="2994">
        <v>1.5046999999999999</v>
      </c>
      <c r="AV578" s="2994">
        <v>1.8964000000000001</v>
      </c>
      <c r="AW578" s="2994">
        <v>1.9950000000000001</v>
      </c>
      <c r="AX578" s="2994">
        <v>1.9654</v>
      </c>
      <c r="AY578" s="2994">
        <v>2.0185</v>
      </c>
      <c r="AZ578" s="2994">
        <v>1.8907</v>
      </c>
      <c r="BA578" s="2994">
        <v>1.5309999999999999</v>
      </c>
      <c r="BB578" s="2994">
        <v>1.0094000000000001</v>
      </c>
      <c r="BC578" s="2994">
        <v>1.9839</v>
      </c>
      <c r="BD578" s="3471">
        <v>1.5226</v>
      </c>
      <c r="BE578" s="3471">
        <v>1.4706999999999999</v>
      </c>
      <c r="BF578" s="3471">
        <v>1.6187</v>
      </c>
    </row>
    <row r="579" spans="1:58">
      <c r="A579" s="1817" t="str">
        <f t="shared" si="19"/>
        <v>South AmericaMaize</v>
      </c>
      <c r="B579" s="1818" t="s">
        <v>306</v>
      </c>
      <c r="C579" s="1818" t="s">
        <v>1356</v>
      </c>
      <c r="D579" s="3463" t="str">
        <f>VLOOKUP(B579,List_Yield!$G$4:$J$14,4,FALSE)</f>
        <v>South America</v>
      </c>
      <c r="E579" s="3463" t="str">
        <f t="shared" si="18"/>
        <v>South AmericaMaize</v>
      </c>
      <c r="F579" s="2994">
        <v>1.3734</v>
      </c>
      <c r="G579" s="2994">
        <v>1.3934</v>
      </c>
      <c r="H579" s="2994">
        <v>1.3452</v>
      </c>
      <c r="I579" s="2994">
        <v>1.2947</v>
      </c>
      <c r="J579" s="2994">
        <v>1.3963000000000001</v>
      </c>
      <c r="K579" s="2994">
        <v>1.4732000000000001</v>
      </c>
      <c r="L579" s="2994">
        <v>1.5822000000000001</v>
      </c>
      <c r="M579" s="2994">
        <v>1.4390000000000001</v>
      </c>
      <c r="N579" s="2994">
        <v>1.4303999999999999</v>
      </c>
      <c r="O579" s="2994">
        <v>1.6355999999999999</v>
      </c>
      <c r="P579" s="2994">
        <v>1.587</v>
      </c>
      <c r="Q579" s="2994">
        <v>1.4746999999999999</v>
      </c>
      <c r="R579" s="2994">
        <v>1.7013</v>
      </c>
      <c r="S579" s="2994">
        <v>1.7841</v>
      </c>
      <c r="T579" s="2994">
        <v>1.6778</v>
      </c>
      <c r="U579" s="2994">
        <v>1.6615</v>
      </c>
      <c r="V579" s="2994">
        <v>1.855</v>
      </c>
      <c r="W579" s="2994">
        <v>1.6432</v>
      </c>
      <c r="X579" s="2994">
        <v>1.7378</v>
      </c>
      <c r="Y579" s="2994">
        <v>1.8579000000000001</v>
      </c>
      <c r="Z579" s="2994">
        <v>2.1913999999999998</v>
      </c>
      <c r="AA579" s="2994">
        <v>1.9466000000000001</v>
      </c>
      <c r="AB579" s="2994">
        <v>1.9735</v>
      </c>
      <c r="AC579" s="2994">
        <v>2.0087000000000002</v>
      </c>
      <c r="AD579" s="2994">
        <v>2.1936</v>
      </c>
      <c r="AE579" s="2994">
        <v>2.0280999999999998</v>
      </c>
      <c r="AF579" s="2994">
        <v>2.1274999999999999</v>
      </c>
      <c r="AG579" s="2994">
        <v>2.1112000000000002</v>
      </c>
      <c r="AH579" s="2994">
        <v>2.1137000000000001</v>
      </c>
      <c r="AI579" s="2994">
        <v>2.0384000000000002</v>
      </c>
      <c r="AJ579" s="2994">
        <v>2.0611000000000002</v>
      </c>
      <c r="AK579" s="2994">
        <v>2.5202</v>
      </c>
      <c r="AL579" s="2994">
        <v>2.7282999999999999</v>
      </c>
      <c r="AM579" s="2994">
        <v>2.5678999999999998</v>
      </c>
      <c r="AN579" s="2994">
        <v>2.7906</v>
      </c>
      <c r="AO579" s="2994">
        <v>2.8071000000000002</v>
      </c>
      <c r="AP579" s="2994">
        <v>2.9144000000000001</v>
      </c>
      <c r="AQ579" s="2994">
        <v>3.3734000000000002</v>
      </c>
      <c r="AR579" s="2994">
        <v>3.0811000000000002</v>
      </c>
      <c r="AS579" s="2994">
        <v>3.1736</v>
      </c>
      <c r="AT579" s="2994">
        <v>3.5817000000000001</v>
      </c>
      <c r="AU579" s="2994">
        <v>3.4241000000000001</v>
      </c>
      <c r="AV579" s="2994">
        <v>3.9569000000000001</v>
      </c>
      <c r="AW579" s="2994">
        <v>3.6930000000000001</v>
      </c>
      <c r="AX579" s="2994">
        <v>3.7288000000000001</v>
      </c>
      <c r="AY579" s="2994">
        <v>3.6383999999999999</v>
      </c>
      <c r="AZ579" s="2994">
        <v>4.1753999999999998</v>
      </c>
      <c r="BA579" s="2994">
        <v>4.3057999999999996</v>
      </c>
      <c r="BB579" s="2994">
        <v>3.8344999999999998</v>
      </c>
      <c r="BC579" s="2994">
        <v>4.7184999999999997</v>
      </c>
      <c r="BD579" s="3471">
        <v>4.4253999999999998</v>
      </c>
      <c r="BE579" s="3471">
        <v>4.8201000000000001</v>
      </c>
      <c r="BF579" s="3471">
        <v>5.2817999999999996</v>
      </c>
    </row>
    <row r="580" spans="1:58">
      <c r="A580" s="1817" t="str">
        <f t="shared" si="19"/>
        <v>South AmericaMaize, green</v>
      </c>
      <c r="B580" s="1818" t="s">
        <v>306</v>
      </c>
      <c r="C580" s="1818" t="s">
        <v>1357</v>
      </c>
      <c r="D580" s="3463" t="str">
        <f>VLOOKUP(B580,List_Yield!$G$4:$J$14,4,FALSE)</f>
        <v>South America</v>
      </c>
      <c r="E580" s="3463" t="str">
        <f t="shared" si="18"/>
        <v>South AmericaMaize, green</v>
      </c>
      <c r="F580" s="2994">
        <v>5.1920000000000002</v>
      </c>
      <c r="G580" s="2994">
        <v>5.2918000000000003</v>
      </c>
      <c r="H580" s="2994">
        <v>5.2285000000000004</v>
      </c>
      <c r="I580" s="2994">
        <v>5.3059000000000003</v>
      </c>
      <c r="J580" s="2994">
        <v>5.1285999999999996</v>
      </c>
      <c r="K580" s="2994">
        <v>4.5982000000000003</v>
      </c>
      <c r="L580" s="2994">
        <v>4.5347</v>
      </c>
      <c r="M580" s="2994">
        <v>4.4089</v>
      </c>
      <c r="N580" s="2994">
        <v>5.0339999999999998</v>
      </c>
      <c r="O580" s="2994">
        <v>5.1917999999999997</v>
      </c>
      <c r="P580" s="2994">
        <v>5.0442999999999998</v>
      </c>
      <c r="Q580" s="2994">
        <v>5.0075000000000003</v>
      </c>
      <c r="R580" s="2994">
        <v>5.0050999999999997</v>
      </c>
      <c r="S580" s="2994">
        <v>5.1360999999999999</v>
      </c>
      <c r="T580" s="2994">
        <v>5.1013999999999999</v>
      </c>
      <c r="U580" s="2994">
        <v>5.3310000000000004</v>
      </c>
      <c r="V580" s="2994">
        <v>5.5290999999999997</v>
      </c>
      <c r="W580" s="2994">
        <v>5.9364999999999997</v>
      </c>
      <c r="X580" s="2994">
        <v>5.9726999999999997</v>
      </c>
      <c r="Y580" s="2994">
        <v>6.234</v>
      </c>
      <c r="Z580" s="2994">
        <v>7.1532</v>
      </c>
      <c r="AA580" s="2994">
        <v>6.7641999999999998</v>
      </c>
      <c r="AB580" s="2994">
        <v>6.5639000000000003</v>
      </c>
      <c r="AC580" s="2994">
        <v>5.7549000000000001</v>
      </c>
      <c r="AD580" s="2994">
        <v>5.6144999999999996</v>
      </c>
      <c r="AE580" s="2994">
        <v>5.6647999999999996</v>
      </c>
      <c r="AF580" s="2994">
        <v>5.5307000000000004</v>
      </c>
      <c r="AG580" s="2994">
        <v>5.7983000000000002</v>
      </c>
      <c r="AH580" s="2994">
        <v>7.1064999999999996</v>
      </c>
      <c r="AI580" s="2994">
        <v>7.2022000000000004</v>
      </c>
      <c r="AJ580" s="2994">
        <v>7.6825000000000001</v>
      </c>
      <c r="AK580" s="2994">
        <v>7.4134000000000002</v>
      </c>
      <c r="AL580" s="2994">
        <v>7.6096000000000004</v>
      </c>
      <c r="AM580" s="2994">
        <v>7.0095000000000001</v>
      </c>
      <c r="AN580" s="2994">
        <v>7.1228999999999996</v>
      </c>
      <c r="AO580" s="2994">
        <v>7.5004999999999997</v>
      </c>
      <c r="AP580" s="2994">
        <v>6.7961999999999998</v>
      </c>
      <c r="AQ580" s="2994">
        <v>7.5858999999999996</v>
      </c>
      <c r="AR580" s="2994">
        <v>8.1141000000000005</v>
      </c>
      <c r="AS580" s="2994">
        <v>8.1638000000000002</v>
      </c>
      <c r="AT580" s="2994">
        <v>8.3911999999999995</v>
      </c>
      <c r="AU580" s="2994">
        <v>8.9875000000000007</v>
      </c>
      <c r="AV580" s="2994">
        <v>9.1747999999999994</v>
      </c>
      <c r="AW580" s="2994">
        <v>8.9834999999999994</v>
      </c>
      <c r="AX580" s="2994">
        <v>8.9821000000000009</v>
      </c>
      <c r="AY580" s="2994">
        <v>8.8619000000000003</v>
      </c>
      <c r="AZ580" s="2994">
        <v>8.3332999999999995</v>
      </c>
      <c r="BA580" s="2994">
        <v>8.7060999999999993</v>
      </c>
      <c r="BB580" s="2994">
        <v>9.3254000000000001</v>
      </c>
      <c r="BC580" s="2994">
        <v>9.2748000000000008</v>
      </c>
      <c r="BD580" s="3471">
        <v>9.2178000000000004</v>
      </c>
      <c r="BE580" s="3471">
        <v>9.0425000000000004</v>
      </c>
      <c r="BF580" s="3471">
        <v>0</v>
      </c>
    </row>
    <row r="581" spans="1:58">
      <c r="A581" s="1817" t="str">
        <f t="shared" si="19"/>
        <v>South AmericaMangoes, mangosteens, guavas</v>
      </c>
      <c r="B581" s="1818" t="s">
        <v>306</v>
      </c>
      <c r="C581" s="1818" t="s">
        <v>1358</v>
      </c>
      <c r="D581" s="3463" t="str">
        <f>VLOOKUP(B581,List_Yield!$G$4:$J$14,4,FALSE)</f>
        <v>South America</v>
      </c>
      <c r="E581" s="3463" t="str">
        <f t="shared" si="18"/>
        <v>South AmericaMangoes, mangosteens, guavas</v>
      </c>
      <c r="F581" s="2994">
        <v>16.323799999999999</v>
      </c>
      <c r="G581" s="2994">
        <v>16.461500000000001</v>
      </c>
      <c r="H581" s="2994">
        <v>16.337599999999998</v>
      </c>
      <c r="I581" s="2994">
        <v>16.450399999999998</v>
      </c>
      <c r="J581" s="2994">
        <v>16.819700000000001</v>
      </c>
      <c r="K581" s="2994">
        <v>15.713100000000001</v>
      </c>
      <c r="L581" s="2994">
        <v>16.408999999999999</v>
      </c>
      <c r="M581" s="2994">
        <v>16.887599999999999</v>
      </c>
      <c r="N581" s="2994">
        <v>16.565899999999999</v>
      </c>
      <c r="O581" s="2994">
        <v>16.322500000000002</v>
      </c>
      <c r="P581" s="2994">
        <v>17.188600000000001</v>
      </c>
      <c r="Q581" s="2994">
        <v>19.713000000000001</v>
      </c>
      <c r="R581" s="2994">
        <v>16.447500000000002</v>
      </c>
      <c r="S581" s="2994">
        <v>17.258500000000002</v>
      </c>
      <c r="T581" s="2994">
        <v>16.635999999999999</v>
      </c>
      <c r="U581" s="2994">
        <v>16.7926</v>
      </c>
      <c r="V581" s="2994">
        <v>16.930900000000001</v>
      </c>
      <c r="W581" s="2994">
        <v>16.426100000000002</v>
      </c>
      <c r="X581" s="2994">
        <v>15.935600000000001</v>
      </c>
      <c r="Y581" s="2994">
        <v>15.376799999999999</v>
      </c>
      <c r="Z581" s="2994">
        <v>15.9116</v>
      </c>
      <c r="AA581" s="2994">
        <v>15.2811</v>
      </c>
      <c r="AB581" s="2994">
        <v>14.180400000000001</v>
      </c>
      <c r="AC581" s="2994">
        <v>14.569800000000001</v>
      </c>
      <c r="AD581" s="2994">
        <v>13.2616</v>
      </c>
      <c r="AE581" s="2994">
        <v>13.178900000000001</v>
      </c>
      <c r="AF581" s="2994">
        <v>13.325900000000001</v>
      </c>
      <c r="AG581" s="2994">
        <v>12.654400000000001</v>
      </c>
      <c r="AH581" s="2994">
        <v>12.1671</v>
      </c>
      <c r="AI581" s="2994">
        <v>11.9648</v>
      </c>
      <c r="AJ581" s="2994">
        <v>11.8368</v>
      </c>
      <c r="AK581" s="2994">
        <v>11.774800000000001</v>
      </c>
      <c r="AL581" s="2994">
        <v>11.1395</v>
      </c>
      <c r="AM581" s="2994">
        <v>11.8096</v>
      </c>
      <c r="AN581" s="2994">
        <v>11.744899999999999</v>
      </c>
      <c r="AO581" s="2994">
        <v>10.3485</v>
      </c>
      <c r="AP581" s="2994">
        <v>9.3196999999999992</v>
      </c>
      <c r="AQ581" s="2994">
        <v>8.6608000000000001</v>
      </c>
      <c r="AR581" s="2994">
        <v>9.8335000000000008</v>
      </c>
      <c r="AS581" s="2994">
        <v>8.9331999999999994</v>
      </c>
      <c r="AT581" s="2994">
        <v>11.313800000000001</v>
      </c>
      <c r="AU581" s="2994">
        <v>12.141299999999999</v>
      </c>
      <c r="AV581" s="2994">
        <v>12.8087</v>
      </c>
      <c r="AW581" s="2994">
        <v>13.1122</v>
      </c>
      <c r="AX581" s="2994">
        <v>12.9886</v>
      </c>
      <c r="AY581" s="2994">
        <v>14.1302</v>
      </c>
      <c r="AZ581" s="2994">
        <v>14.1806</v>
      </c>
      <c r="BA581" s="2994">
        <v>13.3759</v>
      </c>
      <c r="BB581" s="2994">
        <v>12.732100000000001</v>
      </c>
      <c r="BC581" s="2994">
        <v>14.4092</v>
      </c>
      <c r="BD581" s="3471">
        <v>14.2805</v>
      </c>
      <c r="BE581" s="3471">
        <v>14.104699999999999</v>
      </c>
      <c r="BF581" s="3471">
        <v>0</v>
      </c>
    </row>
    <row r="582" spans="1:58">
      <c r="A582" s="1817" t="str">
        <f t="shared" si="19"/>
        <v>South AmericaManila fibre (abaca)</v>
      </c>
      <c r="B582" s="1818" t="s">
        <v>306</v>
      </c>
      <c r="C582" s="1818" t="s">
        <v>7347</v>
      </c>
      <c r="D582" s="3463" t="str">
        <f>VLOOKUP(B582,List_Yield!$G$4:$J$14,4,FALSE)</f>
        <v>South America</v>
      </c>
      <c r="E582" s="3463" t="str">
        <f t="shared" si="18"/>
        <v>South AmericaManila fibre (abaca)</v>
      </c>
      <c r="F582" s="2994">
        <v>1.2</v>
      </c>
      <c r="G582" s="2994">
        <v>1.2</v>
      </c>
      <c r="H582" s="2994">
        <v>1.2726999999999999</v>
      </c>
      <c r="I582" s="2994">
        <v>1.25</v>
      </c>
      <c r="J582" s="2994">
        <v>1.2</v>
      </c>
      <c r="K582" s="2994">
        <v>2.0832999999999999</v>
      </c>
      <c r="L582" s="2994">
        <v>2.1537999999999999</v>
      </c>
      <c r="M582" s="2994">
        <v>2</v>
      </c>
      <c r="N582" s="2994">
        <v>1.9443999999999999</v>
      </c>
      <c r="O582" s="2994">
        <v>1.9459</v>
      </c>
      <c r="P582" s="2994">
        <v>2.1429</v>
      </c>
      <c r="Q582" s="2994">
        <v>1.3258000000000001</v>
      </c>
      <c r="R582" s="2994">
        <v>1.0048999999999999</v>
      </c>
      <c r="S582" s="2994">
        <v>1.2879</v>
      </c>
      <c r="T582" s="2994">
        <v>1.2745</v>
      </c>
      <c r="U582" s="2994">
        <v>1.2765</v>
      </c>
      <c r="V582" s="2994">
        <v>1.2730999999999999</v>
      </c>
      <c r="W582" s="2994">
        <v>0.74239999999999995</v>
      </c>
      <c r="X582" s="2994">
        <v>0.74239999999999995</v>
      </c>
      <c r="Y582" s="2994">
        <v>0.8</v>
      </c>
      <c r="Z582" s="2994">
        <v>0.68240000000000001</v>
      </c>
      <c r="AA582" s="2994">
        <v>0.60170000000000001</v>
      </c>
      <c r="AB582" s="2994">
        <v>0.6552</v>
      </c>
      <c r="AC582" s="2994">
        <v>0.88129999999999997</v>
      </c>
      <c r="AD582" s="2994">
        <v>0.7369</v>
      </c>
      <c r="AE582" s="2994">
        <v>0.48570000000000002</v>
      </c>
      <c r="AF582" s="2994">
        <v>0.9607</v>
      </c>
      <c r="AG582" s="2994">
        <v>1.2355</v>
      </c>
      <c r="AH582" s="2994">
        <v>0.81740000000000002</v>
      </c>
      <c r="AI582" s="2994">
        <v>0.97160000000000002</v>
      </c>
      <c r="AJ582" s="2994">
        <v>0.94289999999999996</v>
      </c>
      <c r="AK582" s="2994">
        <v>1.1729000000000001</v>
      </c>
      <c r="AL582" s="2994">
        <v>1.2</v>
      </c>
      <c r="AM582" s="2994">
        <v>1.0867</v>
      </c>
      <c r="AN582" s="2994">
        <v>1.2427999999999999</v>
      </c>
      <c r="AO582" s="2994">
        <v>1.4209000000000001</v>
      </c>
      <c r="AP582" s="2994">
        <v>1.4217</v>
      </c>
      <c r="AQ582" s="2994">
        <v>1.4634</v>
      </c>
      <c r="AR582" s="2994">
        <v>1.4847999999999999</v>
      </c>
      <c r="AS582" s="2994">
        <v>1.4881</v>
      </c>
      <c r="AT582" s="2994">
        <v>1.4705999999999999</v>
      </c>
      <c r="AU582" s="2994">
        <v>1.4857</v>
      </c>
      <c r="AV582" s="2994">
        <v>1.4359</v>
      </c>
      <c r="AW582" s="2994">
        <v>1.3338000000000001</v>
      </c>
      <c r="AX582" s="2994">
        <v>1.2994000000000001</v>
      </c>
      <c r="AY582" s="2994">
        <v>1.2174</v>
      </c>
      <c r="AZ582" s="2994">
        <v>1.3913</v>
      </c>
      <c r="BA582" s="2994">
        <v>1.3463000000000001</v>
      </c>
      <c r="BB582" s="2994">
        <v>1.4572000000000001</v>
      </c>
      <c r="BC582" s="2994">
        <v>1.327</v>
      </c>
      <c r="BD582" s="3471">
        <v>1.4135</v>
      </c>
      <c r="BE582" s="3471">
        <v>1.4135</v>
      </c>
      <c r="BF582" s="3471">
        <v>0</v>
      </c>
    </row>
    <row r="583" spans="1:58">
      <c r="A583" s="1817" t="str">
        <f t="shared" si="19"/>
        <v>South AmericaMaté</v>
      </c>
      <c r="B583" s="1818" t="s">
        <v>306</v>
      </c>
      <c r="C583" s="1818" t="s">
        <v>2268</v>
      </c>
      <c r="D583" s="3463" t="str">
        <f>VLOOKUP(B583,List_Yield!$G$4:$J$14,4,FALSE)</f>
        <v>South America</v>
      </c>
      <c r="E583" s="3463" t="str">
        <f t="shared" si="18"/>
        <v>South AmericaMaté</v>
      </c>
      <c r="F583" s="2994">
        <v>52.575099999999999</v>
      </c>
      <c r="G583" s="2994">
        <v>55.2879</v>
      </c>
      <c r="H583" s="2994">
        <v>39.858400000000003</v>
      </c>
      <c r="I583" s="2994">
        <v>38.3247</v>
      </c>
      <c r="J583" s="2994">
        <v>32.087299999999999</v>
      </c>
      <c r="K583" s="2994">
        <v>30.210799999999999</v>
      </c>
      <c r="L583" s="2994">
        <v>39.243299999999998</v>
      </c>
      <c r="M583" s="2994">
        <v>37.408299999999997</v>
      </c>
      <c r="N583" s="2994">
        <v>32.9754</v>
      </c>
      <c r="O583" s="2994">
        <v>37.8292</v>
      </c>
      <c r="P583" s="2994">
        <v>45.127899999999997</v>
      </c>
      <c r="Q583" s="2994">
        <v>40.977200000000003</v>
      </c>
      <c r="R583" s="2994">
        <v>45.178699999999999</v>
      </c>
      <c r="S583" s="2994">
        <v>36.645800000000001</v>
      </c>
      <c r="T583" s="2994">
        <v>38.357399999999998</v>
      </c>
      <c r="U583" s="2994">
        <v>38.063699999999997</v>
      </c>
      <c r="V583" s="2994">
        <v>35.3215</v>
      </c>
      <c r="W583" s="2994">
        <v>29.702100000000002</v>
      </c>
      <c r="X583" s="2994">
        <v>29.424499999999998</v>
      </c>
      <c r="Y583" s="2994">
        <v>3.02</v>
      </c>
      <c r="Z583" s="2994">
        <v>2.6299000000000001</v>
      </c>
      <c r="AA583" s="2994">
        <v>2.7746</v>
      </c>
      <c r="AB583" s="2994">
        <v>2.9590999999999998</v>
      </c>
      <c r="AC583" s="2994">
        <v>3.1652</v>
      </c>
      <c r="AD583" s="2994">
        <v>3.0895999999999999</v>
      </c>
      <c r="AE583" s="2994">
        <v>2.9478</v>
      </c>
      <c r="AF583" s="2994">
        <v>3.0476000000000001</v>
      </c>
      <c r="AG583" s="2994">
        <v>3.2080000000000002</v>
      </c>
      <c r="AH583" s="2994">
        <v>3.2841999999999998</v>
      </c>
      <c r="AI583" s="2994">
        <v>2.8932000000000002</v>
      </c>
      <c r="AJ583" s="2994">
        <v>2.8555000000000001</v>
      </c>
      <c r="AK583" s="2994">
        <v>2.7119</v>
      </c>
      <c r="AL583" s="2994">
        <v>2.5819000000000001</v>
      </c>
      <c r="AM583" s="2994">
        <v>2.7469999999999999</v>
      </c>
      <c r="AN583" s="2994">
        <v>2.8422000000000001</v>
      </c>
      <c r="AO583" s="2994">
        <v>2.4388000000000001</v>
      </c>
      <c r="AP583" s="2994">
        <v>3.0705</v>
      </c>
      <c r="AQ583" s="2994">
        <v>3.2227000000000001</v>
      </c>
      <c r="AR583" s="2994">
        <v>3.4371</v>
      </c>
      <c r="AS583" s="2994">
        <v>3.1071</v>
      </c>
      <c r="AT583" s="2994">
        <v>3.4946000000000002</v>
      </c>
      <c r="AU583" s="2994">
        <v>3.2309000000000001</v>
      </c>
      <c r="AV583" s="2994">
        <v>3.2242999999999999</v>
      </c>
      <c r="AW583" s="2994">
        <v>2.7749999999999999</v>
      </c>
      <c r="AX583" s="2994">
        <v>2.8525999999999998</v>
      </c>
      <c r="AY583" s="2994">
        <v>2.8529</v>
      </c>
      <c r="AZ583" s="2994">
        <v>2.9674</v>
      </c>
      <c r="BA583" s="2994">
        <v>2.8439000000000001</v>
      </c>
      <c r="BB583" s="2994">
        <v>2.8298000000000001</v>
      </c>
      <c r="BC583" s="2994">
        <v>2.9226999999999999</v>
      </c>
      <c r="BD583" s="3471">
        <v>2.9912999999999998</v>
      </c>
      <c r="BE583" s="3471">
        <v>3.2360000000000002</v>
      </c>
      <c r="BF583" s="3471">
        <v>0</v>
      </c>
    </row>
    <row r="584" spans="1:58">
      <c r="A584" s="1817" t="str">
        <f t="shared" si="19"/>
        <v>South AmericaMelons, other (inc.cantaloupes)</v>
      </c>
      <c r="B584" s="1818" t="s">
        <v>306</v>
      </c>
      <c r="C584" s="1818" t="s">
        <v>7348</v>
      </c>
      <c r="D584" s="3463" t="str">
        <f>VLOOKUP(B584,List_Yield!$G$4:$J$14,4,FALSE)</f>
        <v>South America</v>
      </c>
      <c r="E584" s="3463" t="str">
        <f t="shared" si="18"/>
        <v>South AmericaMelons, other (inc.cantaloupes)</v>
      </c>
      <c r="F584" s="2994">
        <v>11.204700000000001</v>
      </c>
      <c r="G584" s="2994">
        <v>11.0154</v>
      </c>
      <c r="H584" s="2994">
        <v>11.711399999999999</v>
      </c>
      <c r="I584" s="2994">
        <v>11.4597</v>
      </c>
      <c r="J584" s="2994">
        <v>11.629799999999999</v>
      </c>
      <c r="K584" s="2994">
        <v>12.185600000000001</v>
      </c>
      <c r="L584" s="2994">
        <v>11.9221</v>
      </c>
      <c r="M584" s="2994">
        <v>11.8726</v>
      </c>
      <c r="N584" s="2994">
        <v>11.517300000000001</v>
      </c>
      <c r="O584" s="2994">
        <v>11.426399999999999</v>
      </c>
      <c r="P584" s="2994">
        <v>10.4079</v>
      </c>
      <c r="Q584" s="2994">
        <v>10.250999999999999</v>
      </c>
      <c r="R584" s="2994">
        <v>10.5199</v>
      </c>
      <c r="S584" s="2994">
        <v>10.7188</v>
      </c>
      <c r="T584" s="2994">
        <v>10.9596</v>
      </c>
      <c r="U584" s="2994">
        <v>11.344799999999999</v>
      </c>
      <c r="V584" s="2994">
        <v>10.812900000000001</v>
      </c>
      <c r="W584" s="2994">
        <v>11.0937</v>
      </c>
      <c r="X584" s="2994">
        <v>9.7713000000000001</v>
      </c>
      <c r="Y584" s="2994">
        <v>9.8658000000000001</v>
      </c>
      <c r="Z584" s="2994">
        <v>9.5667000000000009</v>
      </c>
      <c r="AA584" s="2994">
        <v>9.3724000000000007</v>
      </c>
      <c r="AB584" s="2994">
        <v>9.1234999999999999</v>
      </c>
      <c r="AC584" s="2994">
        <v>8.5233000000000008</v>
      </c>
      <c r="AD584" s="2994">
        <v>7.7434000000000003</v>
      </c>
      <c r="AE584" s="2994">
        <v>8.9559999999999995</v>
      </c>
      <c r="AF584" s="2994">
        <v>9.0825999999999993</v>
      </c>
      <c r="AG584" s="2994">
        <v>9.1747999999999994</v>
      </c>
      <c r="AH584" s="2994">
        <v>8.6838999999999995</v>
      </c>
      <c r="AI584" s="2994">
        <v>8.3810000000000002</v>
      </c>
      <c r="AJ584" s="2994">
        <v>8.2924000000000007</v>
      </c>
      <c r="AK584" s="2994">
        <v>8.9624000000000006</v>
      </c>
      <c r="AL584" s="2994">
        <v>9.0414999999999992</v>
      </c>
      <c r="AM584" s="2994">
        <v>10.116300000000001</v>
      </c>
      <c r="AN584" s="2994">
        <v>10.111800000000001</v>
      </c>
      <c r="AO584" s="2994">
        <v>9.7040000000000006</v>
      </c>
      <c r="AP584" s="2994">
        <v>9.7403999999999993</v>
      </c>
      <c r="AQ584" s="2994">
        <v>11.279299999999999</v>
      </c>
      <c r="AR584" s="2994">
        <v>11.633100000000001</v>
      </c>
      <c r="AS584" s="2994">
        <v>11.6776</v>
      </c>
      <c r="AT584" s="2994">
        <v>12.489100000000001</v>
      </c>
      <c r="AU584" s="2994">
        <v>13.936999999999999</v>
      </c>
      <c r="AV584" s="2994">
        <v>16.582899999999999</v>
      </c>
      <c r="AW584" s="2994">
        <v>16.838200000000001</v>
      </c>
      <c r="AX584" s="2994">
        <v>17.1844</v>
      </c>
      <c r="AY584" s="2994">
        <v>17.2437</v>
      </c>
      <c r="AZ584" s="2994">
        <v>17.7394</v>
      </c>
      <c r="BA584" s="2994">
        <v>16.288900000000002</v>
      </c>
      <c r="BB584" s="2994">
        <v>16.3461</v>
      </c>
      <c r="BC584" s="2994">
        <v>16.852499999999999</v>
      </c>
      <c r="BD584" s="3471">
        <v>17.604900000000001</v>
      </c>
      <c r="BE584" s="3471">
        <v>18.660299999999999</v>
      </c>
      <c r="BF584" s="3471">
        <v>0</v>
      </c>
    </row>
    <row r="585" spans="1:58">
      <c r="A585" s="1817" t="str">
        <f t="shared" si="19"/>
        <v>South AmericaMelonseed</v>
      </c>
      <c r="B585" s="1818" t="s">
        <v>306</v>
      </c>
      <c r="C585" s="1818" t="s">
        <v>7349</v>
      </c>
      <c r="D585" s="3463" t="str">
        <f>VLOOKUP(B585,List_Yield!$G$4:$J$14,4,FALSE)</f>
        <v>South America</v>
      </c>
      <c r="E585" s="3463" t="str">
        <f t="shared" si="18"/>
        <v>South AmericaMelonseed</v>
      </c>
      <c r="F585" s="2994">
        <v>0</v>
      </c>
      <c r="G585" s="2994">
        <v>0</v>
      </c>
      <c r="H585" s="2994">
        <v>0</v>
      </c>
      <c r="I585" s="2994">
        <v>0</v>
      </c>
      <c r="J585" s="2994">
        <v>0</v>
      </c>
      <c r="K585" s="2994">
        <v>0</v>
      </c>
      <c r="L585" s="2994">
        <v>0</v>
      </c>
      <c r="M585" s="2994">
        <v>0</v>
      </c>
      <c r="N585" s="2994">
        <v>0</v>
      </c>
      <c r="O585" s="2994">
        <v>0</v>
      </c>
      <c r="P585" s="2994">
        <v>0</v>
      </c>
      <c r="Q585" s="2994">
        <v>0</v>
      </c>
      <c r="R585" s="2994">
        <v>0</v>
      </c>
      <c r="S585" s="2994">
        <v>0</v>
      </c>
      <c r="T585" s="2994">
        <v>0</v>
      </c>
      <c r="U585" s="2994">
        <v>0</v>
      </c>
      <c r="V585" s="2994">
        <v>0</v>
      </c>
      <c r="W585" s="2994">
        <v>0</v>
      </c>
      <c r="X585" s="2994">
        <v>0</v>
      </c>
      <c r="Y585" s="2994">
        <v>0</v>
      </c>
      <c r="Z585" s="2994">
        <v>0</v>
      </c>
      <c r="AA585" s="2994">
        <v>0</v>
      </c>
      <c r="AB585" s="2994">
        <v>0</v>
      </c>
      <c r="AC585" s="2994">
        <v>0</v>
      </c>
      <c r="AD585" s="2994">
        <v>0</v>
      </c>
      <c r="AE585" s="2994">
        <v>0</v>
      </c>
      <c r="AF585" s="2994">
        <v>0</v>
      </c>
      <c r="AG585" s="2994">
        <v>0</v>
      </c>
      <c r="AH585" s="2994">
        <v>0</v>
      </c>
      <c r="AI585" s="2994">
        <v>0</v>
      </c>
      <c r="AJ585" s="2994">
        <v>0</v>
      </c>
      <c r="AK585" s="2994">
        <v>0</v>
      </c>
      <c r="AL585" s="2994">
        <v>0</v>
      </c>
      <c r="AM585" s="2994">
        <v>0</v>
      </c>
      <c r="AN585" s="2994">
        <v>0</v>
      </c>
      <c r="AO585" s="2994">
        <v>0</v>
      </c>
      <c r="AP585" s="2994">
        <v>0</v>
      </c>
      <c r="AQ585" s="2994">
        <v>0</v>
      </c>
      <c r="AR585" s="2994">
        <v>0</v>
      </c>
      <c r="AS585" s="2994">
        <v>0</v>
      </c>
      <c r="AT585" s="2994">
        <v>0</v>
      </c>
      <c r="AU585" s="2994">
        <v>0</v>
      </c>
      <c r="AV585" s="2994">
        <v>0</v>
      </c>
      <c r="AW585" s="2994">
        <v>0</v>
      </c>
      <c r="AX585" s="2994">
        <v>0</v>
      </c>
      <c r="AY585" s="2994">
        <v>0</v>
      </c>
      <c r="AZ585" s="2994">
        <v>0</v>
      </c>
      <c r="BA585" s="2994">
        <v>0</v>
      </c>
      <c r="BB585" s="2994">
        <v>0</v>
      </c>
      <c r="BC585" s="2994">
        <v>0</v>
      </c>
      <c r="BD585" s="3471">
        <v>0</v>
      </c>
      <c r="BE585" s="3471">
        <v>0</v>
      </c>
      <c r="BF585" s="3471">
        <v>0</v>
      </c>
    </row>
    <row r="586" spans="1:58">
      <c r="A586" s="1817" t="str">
        <f t="shared" si="19"/>
        <v>South AmericaMillet</v>
      </c>
      <c r="B586" s="1818" t="s">
        <v>306</v>
      </c>
      <c r="C586" s="1818" t="s">
        <v>1359</v>
      </c>
      <c r="D586" s="3463" t="str">
        <f>VLOOKUP(B586,List_Yield!$G$4:$J$14,4,FALSE)</f>
        <v>South America</v>
      </c>
      <c r="E586" s="3463" t="str">
        <f t="shared" si="18"/>
        <v>South AmericaMillet</v>
      </c>
      <c r="F586" s="2994">
        <v>1.2939000000000001</v>
      </c>
      <c r="G586" s="2994">
        <v>1.3505</v>
      </c>
      <c r="H586" s="2994">
        <v>1.0629999999999999</v>
      </c>
      <c r="I586" s="2994">
        <v>1.1276999999999999</v>
      </c>
      <c r="J586" s="2994">
        <v>0.98429999999999995</v>
      </c>
      <c r="K586" s="2994">
        <v>1.1411</v>
      </c>
      <c r="L586" s="2994">
        <v>1.1901999999999999</v>
      </c>
      <c r="M586" s="2994">
        <v>1.0888</v>
      </c>
      <c r="N586" s="2994">
        <v>0.9919</v>
      </c>
      <c r="O586" s="2994">
        <v>0.95150000000000001</v>
      </c>
      <c r="P586" s="2994">
        <v>1.2091000000000001</v>
      </c>
      <c r="Q586" s="2994">
        <v>0.90669999999999995</v>
      </c>
      <c r="R586" s="2994">
        <v>1.1438999999999999</v>
      </c>
      <c r="S586" s="2994">
        <v>1.0980000000000001</v>
      </c>
      <c r="T586" s="2994">
        <v>1.0287999999999999</v>
      </c>
      <c r="U586" s="2994">
        <v>1.2736000000000001</v>
      </c>
      <c r="V586" s="2994">
        <v>1.3332999999999999</v>
      </c>
      <c r="W586" s="2994">
        <v>1.3525</v>
      </c>
      <c r="X586" s="2994">
        <v>1.3025</v>
      </c>
      <c r="Y586" s="2994">
        <v>1.0318000000000001</v>
      </c>
      <c r="Z586" s="2994">
        <v>1.27</v>
      </c>
      <c r="AA586" s="2994">
        <v>1.1684000000000001</v>
      </c>
      <c r="AB586" s="2994">
        <v>1.1149</v>
      </c>
      <c r="AC586" s="2994">
        <v>1.1960999999999999</v>
      </c>
      <c r="AD586" s="2994">
        <v>1.26</v>
      </c>
      <c r="AE586" s="2994">
        <v>1.1395</v>
      </c>
      <c r="AF586" s="2994">
        <v>1.2363</v>
      </c>
      <c r="AG586" s="2994">
        <v>1.3674999999999999</v>
      </c>
      <c r="AH586" s="2994">
        <v>1.1595</v>
      </c>
      <c r="AI586" s="2994">
        <v>1.3219000000000001</v>
      </c>
      <c r="AJ586" s="2994">
        <v>1.5111000000000001</v>
      </c>
      <c r="AK586" s="2994">
        <v>1.6137999999999999</v>
      </c>
      <c r="AL586" s="2994">
        <v>1.6611</v>
      </c>
      <c r="AM586" s="2994">
        <v>1.4664999999999999</v>
      </c>
      <c r="AN586" s="2994">
        <v>1.3628</v>
      </c>
      <c r="AO586" s="2994">
        <v>1.0530999999999999</v>
      </c>
      <c r="AP586" s="2994">
        <v>1.0256000000000001</v>
      </c>
      <c r="AQ586" s="2994">
        <v>1.2565999999999999</v>
      </c>
      <c r="AR586" s="2994">
        <v>1.4157999999999999</v>
      </c>
      <c r="AS586" s="2994">
        <v>1.5141</v>
      </c>
      <c r="AT586" s="2994">
        <v>1.7653000000000001</v>
      </c>
      <c r="AU586" s="2994">
        <v>1.9056</v>
      </c>
      <c r="AV586" s="2994">
        <v>1.8439000000000001</v>
      </c>
      <c r="AW586" s="2994">
        <v>1.5783</v>
      </c>
      <c r="AX586" s="2994">
        <v>1.7375</v>
      </c>
      <c r="AY586" s="2994">
        <v>1.5883</v>
      </c>
      <c r="AZ586" s="2994">
        <v>1.4157999999999999</v>
      </c>
      <c r="BA586" s="2994">
        <v>1.4152</v>
      </c>
      <c r="BB586" s="2994">
        <v>1.7242999999999999</v>
      </c>
      <c r="BC586" s="2994">
        <v>1.3654999999999999</v>
      </c>
      <c r="BD586" s="3471">
        <v>1.7</v>
      </c>
      <c r="BE586" s="3471">
        <v>1.7607999999999999</v>
      </c>
      <c r="BF586" s="3471">
        <v>1.8288</v>
      </c>
    </row>
    <row r="587" spans="1:58">
      <c r="A587" s="1817" t="str">
        <f t="shared" si="19"/>
        <v>South AmericaMushrooms and truffles</v>
      </c>
      <c r="B587" s="1818" t="s">
        <v>306</v>
      </c>
      <c r="C587" s="1818" t="s">
        <v>7350</v>
      </c>
      <c r="D587" s="3463" t="str">
        <f>VLOOKUP(B587,List_Yield!$G$4:$J$14,4,FALSE)</f>
        <v>South America</v>
      </c>
      <c r="E587" s="3463" t="str">
        <f t="shared" si="18"/>
        <v>South AmericaMushrooms and truffles</v>
      </c>
      <c r="F587" s="2994">
        <v>0</v>
      </c>
      <c r="G587" s="2994">
        <v>0</v>
      </c>
      <c r="H587" s="2994">
        <v>0</v>
      </c>
      <c r="I587" s="2994">
        <v>0</v>
      </c>
      <c r="J587" s="2994">
        <v>0</v>
      </c>
      <c r="K587" s="2994">
        <v>0</v>
      </c>
      <c r="L587" s="2994">
        <v>0</v>
      </c>
      <c r="M587" s="2994">
        <v>0</v>
      </c>
      <c r="N587" s="2994">
        <v>0</v>
      </c>
      <c r="O587" s="2994">
        <v>0</v>
      </c>
      <c r="P587" s="2994">
        <v>0</v>
      </c>
      <c r="Q587" s="2994">
        <v>0</v>
      </c>
      <c r="R587" s="2994">
        <v>0</v>
      </c>
      <c r="S587" s="2994">
        <v>0</v>
      </c>
      <c r="T587" s="2994">
        <v>0</v>
      </c>
      <c r="U587" s="2994">
        <v>0</v>
      </c>
      <c r="V587" s="2994">
        <v>0</v>
      </c>
      <c r="W587" s="2994">
        <v>0</v>
      </c>
      <c r="X587" s="2994">
        <v>0</v>
      </c>
      <c r="Y587" s="2994">
        <v>0</v>
      </c>
      <c r="Z587" s="2994">
        <v>0</v>
      </c>
      <c r="AA587" s="2994">
        <v>0</v>
      </c>
      <c r="AB587" s="2994">
        <v>0</v>
      </c>
      <c r="AC587" s="2994">
        <v>0</v>
      </c>
      <c r="AD587" s="2994">
        <v>0</v>
      </c>
      <c r="AE587" s="2994">
        <v>0</v>
      </c>
      <c r="AF587" s="2994">
        <v>0</v>
      </c>
      <c r="AG587" s="2994">
        <v>0</v>
      </c>
      <c r="AH587" s="2994">
        <v>0</v>
      </c>
      <c r="AI587" s="2994">
        <v>0</v>
      </c>
      <c r="AJ587" s="2994">
        <v>0</v>
      </c>
      <c r="AK587" s="2994">
        <v>0</v>
      </c>
      <c r="AL587" s="2994">
        <v>0</v>
      </c>
      <c r="AM587" s="2994">
        <v>0</v>
      </c>
      <c r="AN587" s="2994">
        <v>0</v>
      </c>
      <c r="AO587" s="2994">
        <v>0</v>
      </c>
      <c r="AP587" s="2994">
        <v>0</v>
      </c>
      <c r="AQ587" s="2994">
        <v>0</v>
      </c>
      <c r="AR587" s="2994">
        <v>0</v>
      </c>
      <c r="AS587" s="2994">
        <v>0</v>
      </c>
      <c r="AT587" s="2994">
        <v>0</v>
      </c>
      <c r="AU587" s="2994">
        <v>0</v>
      </c>
      <c r="AV587" s="2994">
        <v>0</v>
      </c>
      <c r="AW587" s="2994">
        <v>0</v>
      </c>
      <c r="AX587" s="2994">
        <v>0</v>
      </c>
      <c r="AY587" s="2994">
        <v>0</v>
      </c>
      <c r="AZ587" s="2994">
        <v>0</v>
      </c>
      <c r="BA587" s="2994">
        <v>0</v>
      </c>
      <c r="BB587" s="2994">
        <v>0</v>
      </c>
      <c r="BC587" s="2994">
        <v>0</v>
      </c>
      <c r="BD587" s="3471">
        <v>0</v>
      </c>
      <c r="BE587" s="3471">
        <v>0</v>
      </c>
      <c r="BF587" s="3471">
        <v>0</v>
      </c>
    </row>
    <row r="588" spans="1:58">
      <c r="A588" s="1817" t="str">
        <f t="shared" si="19"/>
        <v>South AmericaMustard seed</v>
      </c>
      <c r="B588" s="1818" t="s">
        <v>306</v>
      </c>
      <c r="C588" s="1818" t="s">
        <v>7351</v>
      </c>
      <c r="D588" s="3463" t="str">
        <f>VLOOKUP(B588,List_Yield!$G$4:$J$14,4,FALSE)</f>
        <v>South America</v>
      </c>
      <c r="E588" s="3463" t="str">
        <f t="shared" si="18"/>
        <v>South AmericaMustard seed</v>
      </c>
      <c r="F588" s="2994">
        <v>0</v>
      </c>
      <c r="G588" s="2994">
        <v>0</v>
      </c>
      <c r="H588" s="2994">
        <v>0</v>
      </c>
      <c r="I588" s="2994">
        <v>0</v>
      </c>
      <c r="J588" s="2994">
        <v>0</v>
      </c>
      <c r="K588" s="2994">
        <v>0</v>
      </c>
      <c r="L588" s="2994">
        <v>0</v>
      </c>
      <c r="M588" s="2994">
        <v>0</v>
      </c>
      <c r="N588" s="2994">
        <v>0</v>
      </c>
      <c r="O588" s="2994">
        <v>0</v>
      </c>
      <c r="P588" s="2994">
        <v>0</v>
      </c>
      <c r="Q588" s="2994">
        <v>0</v>
      </c>
      <c r="R588" s="2994">
        <v>0</v>
      </c>
      <c r="S588" s="2994">
        <v>0</v>
      </c>
      <c r="T588" s="2994">
        <v>0</v>
      </c>
      <c r="U588" s="2994">
        <v>0</v>
      </c>
      <c r="V588" s="2994">
        <v>0</v>
      </c>
      <c r="W588" s="2994">
        <v>0</v>
      </c>
      <c r="X588" s="2994">
        <v>0</v>
      </c>
      <c r="Y588" s="2994">
        <v>0</v>
      </c>
      <c r="Z588" s="2994">
        <v>0</v>
      </c>
      <c r="AA588" s="2994">
        <v>0</v>
      </c>
      <c r="AB588" s="2994">
        <v>0</v>
      </c>
      <c r="AC588" s="2994">
        <v>0</v>
      </c>
      <c r="AD588" s="2994">
        <v>0</v>
      </c>
      <c r="AE588" s="2994">
        <v>0</v>
      </c>
      <c r="AF588" s="2994">
        <v>0</v>
      </c>
      <c r="AG588" s="2994">
        <v>0</v>
      </c>
      <c r="AH588" s="2994">
        <v>0</v>
      </c>
      <c r="AI588" s="2994">
        <v>0</v>
      </c>
      <c r="AJ588" s="2994">
        <v>0</v>
      </c>
      <c r="AK588" s="2994">
        <v>0</v>
      </c>
      <c r="AL588" s="2994">
        <v>0</v>
      </c>
      <c r="AM588" s="2994">
        <v>0</v>
      </c>
      <c r="AN588" s="2994">
        <v>0</v>
      </c>
      <c r="AO588" s="2994">
        <v>0</v>
      </c>
      <c r="AP588" s="2994">
        <v>0</v>
      </c>
      <c r="AQ588" s="2994">
        <v>0</v>
      </c>
      <c r="AR588" s="2994">
        <v>0</v>
      </c>
      <c r="AS588" s="2994">
        <v>0</v>
      </c>
      <c r="AT588" s="2994">
        <v>0</v>
      </c>
      <c r="AU588" s="2994">
        <v>0</v>
      </c>
      <c r="AV588" s="2994">
        <v>0</v>
      </c>
      <c r="AW588" s="2994">
        <v>0</v>
      </c>
      <c r="AX588" s="2994">
        <v>0</v>
      </c>
      <c r="AY588" s="2994">
        <v>0</v>
      </c>
      <c r="AZ588" s="2994">
        <v>0</v>
      </c>
      <c r="BA588" s="2994">
        <v>0</v>
      </c>
      <c r="BB588" s="2994">
        <v>0</v>
      </c>
      <c r="BC588" s="2994">
        <v>0</v>
      </c>
      <c r="BD588" s="3471">
        <v>0</v>
      </c>
      <c r="BE588" s="3471">
        <v>0</v>
      </c>
      <c r="BF588" s="3471">
        <v>0</v>
      </c>
    </row>
    <row r="589" spans="1:58">
      <c r="A589" s="1817" t="str">
        <f t="shared" si="19"/>
        <v>South AmericaNutmeg, mace and cardamoms</v>
      </c>
      <c r="B589" s="1818" t="s">
        <v>306</v>
      </c>
      <c r="C589" s="1818" t="s">
        <v>7352</v>
      </c>
      <c r="D589" s="3463" t="str">
        <f>VLOOKUP(B589,List_Yield!$G$4:$J$14,4,FALSE)</f>
        <v>South America</v>
      </c>
      <c r="E589" s="3463" t="str">
        <f t="shared" si="18"/>
        <v>South AmericaNutmeg, mace and cardamoms</v>
      </c>
      <c r="F589" s="2994">
        <v>0</v>
      </c>
      <c r="G589" s="2994">
        <v>0</v>
      </c>
      <c r="H589" s="2994">
        <v>0</v>
      </c>
      <c r="I589" s="2994">
        <v>0</v>
      </c>
      <c r="J589" s="2994">
        <v>0</v>
      </c>
      <c r="K589" s="2994">
        <v>0</v>
      </c>
      <c r="L589" s="2994">
        <v>0</v>
      </c>
      <c r="M589" s="2994">
        <v>0</v>
      </c>
      <c r="N589" s="2994">
        <v>0</v>
      </c>
      <c r="O589" s="2994">
        <v>0</v>
      </c>
      <c r="P589" s="2994">
        <v>0</v>
      </c>
      <c r="Q589" s="2994">
        <v>0</v>
      </c>
      <c r="R589" s="2994">
        <v>0</v>
      </c>
      <c r="S589" s="2994">
        <v>0</v>
      </c>
      <c r="T589" s="2994">
        <v>0</v>
      </c>
      <c r="U589" s="2994">
        <v>0</v>
      </c>
      <c r="V589" s="2994">
        <v>0</v>
      </c>
      <c r="W589" s="2994">
        <v>0</v>
      </c>
      <c r="X589" s="2994">
        <v>0</v>
      </c>
      <c r="Y589" s="2994">
        <v>0</v>
      </c>
      <c r="Z589" s="2994">
        <v>0</v>
      </c>
      <c r="AA589" s="2994">
        <v>0</v>
      </c>
      <c r="AB589" s="2994">
        <v>0</v>
      </c>
      <c r="AC589" s="2994">
        <v>0</v>
      </c>
      <c r="AD589" s="2994">
        <v>0</v>
      </c>
      <c r="AE589" s="2994">
        <v>0</v>
      </c>
      <c r="AF589" s="2994">
        <v>0</v>
      </c>
      <c r="AG589" s="2994">
        <v>0</v>
      </c>
      <c r="AH589" s="2994">
        <v>0</v>
      </c>
      <c r="AI589" s="2994">
        <v>0</v>
      </c>
      <c r="AJ589" s="2994">
        <v>0</v>
      </c>
      <c r="AK589" s="2994">
        <v>0</v>
      </c>
      <c r="AL589" s="2994">
        <v>0</v>
      </c>
      <c r="AM589" s="2994">
        <v>0</v>
      </c>
      <c r="AN589" s="2994">
        <v>0</v>
      </c>
      <c r="AO589" s="2994">
        <v>0</v>
      </c>
      <c r="AP589" s="2994">
        <v>0</v>
      </c>
      <c r="AQ589" s="2994">
        <v>0</v>
      </c>
      <c r="AR589" s="2994">
        <v>0</v>
      </c>
      <c r="AS589" s="2994">
        <v>0</v>
      </c>
      <c r="AT589" s="2994">
        <v>0</v>
      </c>
      <c r="AU589" s="2994">
        <v>0</v>
      </c>
      <c r="AV589" s="2994">
        <v>0</v>
      </c>
      <c r="AW589" s="2994">
        <v>0</v>
      </c>
      <c r="AX589" s="2994">
        <v>0</v>
      </c>
      <c r="AY589" s="2994">
        <v>0</v>
      </c>
      <c r="AZ589" s="2994">
        <v>0</v>
      </c>
      <c r="BA589" s="2994">
        <v>0</v>
      </c>
      <c r="BB589" s="2994">
        <v>0</v>
      </c>
      <c r="BC589" s="2994">
        <v>0</v>
      </c>
      <c r="BD589" s="3471">
        <v>0</v>
      </c>
      <c r="BE589" s="3471">
        <v>0</v>
      </c>
      <c r="BF589" s="3471">
        <v>0</v>
      </c>
    </row>
    <row r="590" spans="1:58">
      <c r="A590" s="1817" t="str">
        <f t="shared" si="19"/>
        <v>South AmericaNuts, nes</v>
      </c>
      <c r="B590" s="1818" t="s">
        <v>306</v>
      </c>
      <c r="C590" s="1818" t="s">
        <v>7353</v>
      </c>
      <c r="D590" s="3463" t="str">
        <f>VLOOKUP(B590,List_Yield!$G$4:$J$14,4,FALSE)</f>
        <v>South America</v>
      </c>
      <c r="E590" s="3463" t="str">
        <f t="shared" si="18"/>
        <v>South AmericaNuts, nes</v>
      </c>
      <c r="F590" s="2994">
        <v>21.333300000000001</v>
      </c>
      <c r="G590" s="2994">
        <v>15</v>
      </c>
      <c r="H590" s="2994">
        <v>11.333299999999999</v>
      </c>
      <c r="I590" s="2994">
        <v>11.5467</v>
      </c>
      <c r="J590" s="2994">
        <v>18.055599999999998</v>
      </c>
      <c r="K590" s="2994">
        <v>31.36</v>
      </c>
      <c r="L590" s="2994">
        <v>31.47</v>
      </c>
      <c r="M590" s="2994">
        <v>42.9861</v>
      </c>
      <c r="N590" s="2994">
        <v>39.884599999999999</v>
      </c>
      <c r="O590" s="2994">
        <v>35.560400000000001</v>
      </c>
      <c r="P590" s="2994">
        <v>18.666699999999999</v>
      </c>
      <c r="Q590" s="2994">
        <v>11.353199999999999</v>
      </c>
      <c r="R590" s="2994">
        <v>8.6836000000000002</v>
      </c>
      <c r="S590" s="2994">
        <v>5.7591999999999999</v>
      </c>
      <c r="T590" s="2994">
        <v>4.7615999999999996</v>
      </c>
      <c r="U590" s="2994">
        <v>3.66</v>
      </c>
      <c r="V590" s="2994">
        <v>1.3508</v>
      </c>
      <c r="W590" s="2994">
        <v>1.3627</v>
      </c>
      <c r="X590" s="2994">
        <v>1.3528</v>
      </c>
      <c r="Y590" s="2994">
        <v>1.4142999999999999</v>
      </c>
      <c r="Z590" s="2994">
        <v>1.4184000000000001</v>
      </c>
      <c r="AA590" s="2994">
        <v>1.4112</v>
      </c>
      <c r="AB590" s="2994">
        <v>1.1880999999999999</v>
      </c>
      <c r="AC590" s="2994">
        <v>1.2374000000000001</v>
      </c>
      <c r="AD590" s="2994">
        <v>1.5528999999999999</v>
      </c>
      <c r="AE590" s="2994">
        <v>1.5670999999999999</v>
      </c>
      <c r="AF590" s="2994">
        <v>1.5687</v>
      </c>
      <c r="AG590" s="2994">
        <v>1.4437</v>
      </c>
      <c r="AH590" s="2994">
        <v>1.7522</v>
      </c>
      <c r="AI590" s="2994">
        <v>0.61599999999999999</v>
      </c>
      <c r="AJ590" s="2994">
        <v>0.46079999999999999</v>
      </c>
      <c r="AK590" s="2994">
        <v>0.41349999999999998</v>
      </c>
      <c r="AL590" s="2994">
        <v>0.39369999999999999</v>
      </c>
      <c r="AM590" s="2994">
        <v>0.40479999999999999</v>
      </c>
      <c r="AN590" s="2994">
        <v>0.58199999999999996</v>
      </c>
      <c r="AO590" s="2994">
        <v>0.62380000000000002</v>
      </c>
      <c r="AP590" s="2994">
        <v>0.70650000000000002</v>
      </c>
      <c r="AQ590" s="2994">
        <v>0.96819999999999995</v>
      </c>
      <c r="AR590" s="2994">
        <v>1.2015</v>
      </c>
      <c r="AS590" s="2994">
        <v>1.1567000000000001</v>
      </c>
      <c r="AT590" s="2994">
        <v>1.0878000000000001</v>
      </c>
      <c r="AU590" s="2994">
        <v>0.90469999999999995</v>
      </c>
      <c r="AV590" s="2994">
        <v>0.85670000000000002</v>
      </c>
      <c r="AW590" s="2994">
        <v>0.89070000000000005</v>
      </c>
      <c r="AX590" s="2994">
        <v>0.97140000000000004</v>
      </c>
      <c r="AY590" s="2994">
        <v>1.0345</v>
      </c>
      <c r="AZ590" s="2994">
        <v>1.0779000000000001</v>
      </c>
      <c r="BA590" s="2994">
        <v>1.3262</v>
      </c>
      <c r="BB590" s="2994">
        <v>1.2263999999999999</v>
      </c>
      <c r="BC590" s="2994">
        <v>1.2436</v>
      </c>
      <c r="BD590" s="3471">
        <v>1.2228000000000001</v>
      </c>
      <c r="BE590" s="3471">
        <v>1.2019</v>
      </c>
      <c r="BF590" s="3471">
        <v>0</v>
      </c>
    </row>
    <row r="591" spans="1:58">
      <c r="A591" s="1817" t="str">
        <f t="shared" si="19"/>
        <v>South AmericaOats</v>
      </c>
      <c r="B591" s="1818" t="s">
        <v>306</v>
      </c>
      <c r="C591" s="1818" t="s">
        <v>1323</v>
      </c>
      <c r="D591" s="3463" t="str">
        <f>VLOOKUP(B591,List_Yield!$G$4:$J$14,4,FALSE)</f>
        <v>South America</v>
      </c>
      <c r="E591" s="3463" t="str">
        <f t="shared" si="18"/>
        <v>South AmericaOats</v>
      </c>
      <c r="F591" s="2994">
        <v>1.1082000000000001</v>
      </c>
      <c r="G591" s="2994">
        <v>1.0672999999999999</v>
      </c>
      <c r="H591" s="2994">
        <v>1.2040999999999999</v>
      </c>
      <c r="I591" s="2994">
        <v>1.3242</v>
      </c>
      <c r="J591" s="2994">
        <v>1.0444</v>
      </c>
      <c r="K591" s="2994">
        <v>1.2266999999999999</v>
      </c>
      <c r="L591" s="2994">
        <v>1.2786</v>
      </c>
      <c r="M591" s="2994">
        <v>1.1167</v>
      </c>
      <c r="N591" s="2994">
        <v>1.1491</v>
      </c>
      <c r="O591" s="2994">
        <v>1.1753</v>
      </c>
      <c r="P591" s="2994">
        <v>1.2536</v>
      </c>
      <c r="Q591" s="2994">
        <v>1.3174999999999999</v>
      </c>
      <c r="R591" s="2994">
        <v>1.2982</v>
      </c>
      <c r="S591" s="2994">
        <v>1.1693</v>
      </c>
      <c r="T591" s="2994">
        <v>1.1853</v>
      </c>
      <c r="U591" s="2994">
        <v>1.2767999999999999</v>
      </c>
      <c r="V591" s="2994">
        <v>1.2969999999999999</v>
      </c>
      <c r="W591" s="2994">
        <v>1.2699</v>
      </c>
      <c r="X591" s="2994">
        <v>1.2898000000000001</v>
      </c>
      <c r="Y591" s="2994">
        <v>1.2837000000000001</v>
      </c>
      <c r="Z591" s="2994">
        <v>1.1883999999999999</v>
      </c>
      <c r="AA591" s="2994">
        <v>1.3786</v>
      </c>
      <c r="AB591" s="2994">
        <v>1.3677999999999999</v>
      </c>
      <c r="AC591" s="2994">
        <v>1.4946999999999999</v>
      </c>
      <c r="AD591" s="2994">
        <v>1.2543</v>
      </c>
      <c r="AE591" s="2994">
        <v>1.4266000000000001</v>
      </c>
      <c r="AF591" s="2994">
        <v>1.4732000000000001</v>
      </c>
      <c r="AG591" s="2994">
        <v>1.3651</v>
      </c>
      <c r="AH591" s="2994">
        <v>1.4518</v>
      </c>
      <c r="AI591" s="2994">
        <v>1.4481999999999999</v>
      </c>
      <c r="AJ591" s="2994">
        <v>1.2805</v>
      </c>
      <c r="AK591" s="2994">
        <v>1.4595</v>
      </c>
      <c r="AL591" s="2994">
        <v>1.3572</v>
      </c>
      <c r="AM591" s="2994">
        <v>1.3059000000000001</v>
      </c>
      <c r="AN591" s="2994">
        <v>1.3908</v>
      </c>
      <c r="AO591" s="2994">
        <v>1.4319999999999999</v>
      </c>
      <c r="AP591" s="2994">
        <v>1.7542</v>
      </c>
      <c r="AQ591" s="2994">
        <v>1.5948</v>
      </c>
      <c r="AR591" s="2994">
        <v>1.6254999999999999</v>
      </c>
      <c r="AS591" s="2994">
        <v>1.6981999999999999</v>
      </c>
      <c r="AT591" s="2994">
        <v>1.8749</v>
      </c>
      <c r="AU591" s="2994">
        <v>1.8453999999999999</v>
      </c>
      <c r="AV591" s="2994">
        <v>1.9629000000000001</v>
      </c>
      <c r="AW591" s="2994">
        <v>1.9758</v>
      </c>
      <c r="AX591" s="2994">
        <v>1.8281000000000001</v>
      </c>
      <c r="AY591" s="2994">
        <v>1.9091</v>
      </c>
      <c r="AZ591" s="2994">
        <v>2.2865000000000002</v>
      </c>
      <c r="BA591" s="2994">
        <v>2.0598999999999998</v>
      </c>
      <c r="BB591" s="2994">
        <v>2.0013000000000001</v>
      </c>
      <c r="BC591" s="2994">
        <v>2.5998999999999999</v>
      </c>
      <c r="BD591" s="3471">
        <v>2.7454999999999998</v>
      </c>
      <c r="BE591" s="3471">
        <v>2.3209</v>
      </c>
      <c r="BF591" s="3471">
        <v>2.7435999999999998</v>
      </c>
    </row>
    <row r="592" spans="1:58">
      <c r="A592" s="1817" t="str">
        <f t="shared" si="19"/>
        <v>South AmericaOil, palm fruit</v>
      </c>
      <c r="B592" s="1818" t="s">
        <v>306</v>
      </c>
      <c r="C592" s="1818" t="s">
        <v>7354</v>
      </c>
      <c r="D592" s="3463" t="str">
        <f>VLOOKUP(B592,List_Yield!$G$4:$J$14,4,FALSE)</f>
        <v>South America</v>
      </c>
      <c r="E592" s="3463" t="str">
        <f t="shared" si="18"/>
        <v>South AmericaOil, palm fruit</v>
      </c>
      <c r="F592" s="2994">
        <v>6.8734000000000002</v>
      </c>
      <c r="G592" s="2994">
        <v>7.0842999999999998</v>
      </c>
      <c r="H592" s="2994">
        <v>7.1376999999999997</v>
      </c>
      <c r="I592" s="2994">
        <v>7.1990999999999996</v>
      </c>
      <c r="J592" s="2994">
        <v>7.1680999999999999</v>
      </c>
      <c r="K592" s="2994">
        <v>7.4105999999999996</v>
      </c>
      <c r="L592" s="2994">
        <v>7.5951000000000004</v>
      </c>
      <c r="M592" s="2994">
        <v>7.8121</v>
      </c>
      <c r="N592" s="2994">
        <v>8.4384999999999994</v>
      </c>
      <c r="O592" s="2994">
        <v>8.8344000000000005</v>
      </c>
      <c r="P592" s="2994">
        <v>8.4154</v>
      </c>
      <c r="Q592" s="2994">
        <v>8.7604000000000006</v>
      </c>
      <c r="R592" s="2994">
        <v>9.0871999999999993</v>
      </c>
      <c r="S592" s="2994">
        <v>10.168200000000001</v>
      </c>
      <c r="T592" s="2994">
        <v>10.111599999999999</v>
      </c>
      <c r="U592" s="2994">
        <v>9.4848999999999997</v>
      </c>
      <c r="V592" s="2994">
        <v>10.5862</v>
      </c>
      <c r="W592" s="2994">
        <v>9.9446999999999992</v>
      </c>
      <c r="X592" s="2994">
        <v>11.3817</v>
      </c>
      <c r="Y592" s="2994">
        <v>11.3492</v>
      </c>
      <c r="Z592" s="2994">
        <v>12.288500000000001</v>
      </c>
      <c r="AA592" s="2994">
        <v>11.8063</v>
      </c>
      <c r="AB592" s="2994">
        <v>13.074199999999999</v>
      </c>
      <c r="AC592" s="2994">
        <v>12.9026</v>
      </c>
      <c r="AD592" s="2994">
        <v>13.057600000000001</v>
      </c>
      <c r="AE592" s="2994">
        <v>12.774699999999999</v>
      </c>
      <c r="AF592" s="2994">
        <v>13.564299999999999</v>
      </c>
      <c r="AG592" s="2994">
        <v>14.4217</v>
      </c>
      <c r="AH592" s="2994">
        <v>14.5947</v>
      </c>
      <c r="AI592" s="2994">
        <v>13.6501</v>
      </c>
      <c r="AJ592" s="2994">
        <v>13.6668</v>
      </c>
      <c r="AK592" s="2994">
        <v>13.635</v>
      </c>
      <c r="AL592" s="2994">
        <v>14.0472</v>
      </c>
      <c r="AM592" s="2994">
        <v>13.1729</v>
      </c>
      <c r="AN592" s="2994">
        <v>13.138299999999999</v>
      </c>
      <c r="AO592" s="2994">
        <v>12.9422</v>
      </c>
      <c r="AP592" s="2994">
        <v>14.462899999999999</v>
      </c>
      <c r="AQ592" s="2994">
        <v>15.0078</v>
      </c>
      <c r="AR592" s="2994">
        <v>14.4979</v>
      </c>
      <c r="AS592" s="2994">
        <v>14.3346</v>
      </c>
      <c r="AT592" s="2994">
        <v>14.289</v>
      </c>
      <c r="AU592" s="2994">
        <v>13.804</v>
      </c>
      <c r="AV592" s="2994">
        <v>13.190300000000001</v>
      </c>
      <c r="AW592" s="2994">
        <v>16.092300000000002</v>
      </c>
      <c r="AX592" s="2994">
        <v>14.451599999999999</v>
      </c>
      <c r="AY592" s="2994">
        <v>14.7029</v>
      </c>
      <c r="AZ592" s="2994">
        <v>14.7958</v>
      </c>
      <c r="BA592" s="2994">
        <v>15.5669</v>
      </c>
      <c r="BB592" s="2994">
        <v>14.0297</v>
      </c>
      <c r="BC592" s="2994">
        <v>15.508100000000001</v>
      </c>
      <c r="BD592" s="3471">
        <v>14.5589</v>
      </c>
      <c r="BE592" s="3471">
        <v>15.5784</v>
      </c>
      <c r="BF592" s="3471">
        <v>14.44</v>
      </c>
    </row>
    <row r="593" spans="1:58">
      <c r="A593" s="1817" t="str">
        <f t="shared" si="19"/>
        <v>South AmericaOilseeds nes</v>
      </c>
      <c r="B593" s="1818" t="s">
        <v>306</v>
      </c>
      <c r="C593" s="1818" t="s">
        <v>7355</v>
      </c>
      <c r="D593" s="3463" t="str">
        <f>VLOOKUP(B593,List_Yield!$G$4:$J$14,4,FALSE)</f>
        <v>South America</v>
      </c>
      <c r="E593" s="3463" t="str">
        <f t="shared" si="18"/>
        <v>South AmericaOilseeds nes</v>
      </c>
      <c r="F593" s="2994">
        <v>0</v>
      </c>
      <c r="G593" s="2994">
        <v>0</v>
      </c>
      <c r="H593" s="2994">
        <v>0</v>
      </c>
      <c r="I593" s="2994">
        <v>0</v>
      </c>
      <c r="J593" s="2994">
        <v>0</v>
      </c>
      <c r="K593" s="2994">
        <v>0</v>
      </c>
      <c r="L593" s="2994">
        <v>0</v>
      </c>
      <c r="M593" s="2994">
        <v>0</v>
      </c>
      <c r="N593" s="2994">
        <v>0</v>
      </c>
      <c r="O593" s="2994">
        <v>0</v>
      </c>
      <c r="P593" s="2994">
        <v>0</v>
      </c>
      <c r="Q593" s="2994">
        <v>0</v>
      </c>
      <c r="R593" s="2994">
        <v>0</v>
      </c>
      <c r="S593" s="2994">
        <v>0</v>
      </c>
      <c r="T593" s="2994">
        <v>0</v>
      </c>
      <c r="U593" s="2994">
        <v>0</v>
      </c>
      <c r="V593" s="2994">
        <v>0</v>
      </c>
      <c r="W593" s="2994">
        <v>0</v>
      </c>
      <c r="X593" s="2994">
        <v>0</v>
      </c>
      <c r="Y593" s="2994">
        <v>0</v>
      </c>
      <c r="Z593" s="2994">
        <v>0</v>
      </c>
      <c r="AA593" s="2994">
        <v>0</v>
      </c>
      <c r="AB593" s="2994">
        <v>0</v>
      </c>
      <c r="AC593" s="2994">
        <v>0</v>
      </c>
      <c r="AD593" s="2994">
        <v>0</v>
      </c>
      <c r="AE593" s="2994">
        <v>0</v>
      </c>
      <c r="AF593" s="2994">
        <v>0</v>
      </c>
      <c r="AG593" s="2994">
        <v>0</v>
      </c>
      <c r="AH593" s="2994">
        <v>0</v>
      </c>
      <c r="AI593" s="2994">
        <v>0</v>
      </c>
      <c r="AJ593" s="2994">
        <v>0</v>
      </c>
      <c r="AK593" s="2994">
        <v>0</v>
      </c>
      <c r="AL593" s="2994">
        <v>0</v>
      </c>
      <c r="AM593" s="2994">
        <v>0</v>
      </c>
      <c r="AN593" s="2994">
        <v>0</v>
      </c>
      <c r="AO593" s="2994">
        <v>0</v>
      </c>
      <c r="AP593" s="2994">
        <v>0</v>
      </c>
      <c r="AQ593" s="2994">
        <v>0</v>
      </c>
      <c r="AR593" s="2994">
        <v>0</v>
      </c>
      <c r="AS593" s="2994">
        <v>0</v>
      </c>
      <c r="AT593" s="2994">
        <v>0</v>
      </c>
      <c r="AU593" s="2994">
        <v>0</v>
      </c>
      <c r="AV593" s="2994">
        <v>0</v>
      </c>
      <c r="AW593" s="2994">
        <v>0</v>
      </c>
      <c r="AX593" s="2994">
        <v>0</v>
      </c>
      <c r="AY593" s="2994">
        <v>0</v>
      </c>
      <c r="AZ593" s="2994">
        <v>0</v>
      </c>
      <c r="BA593" s="2994">
        <v>0</v>
      </c>
      <c r="BB593" s="2994">
        <v>0</v>
      </c>
      <c r="BC593" s="2994">
        <v>0</v>
      </c>
      <c r="BD593" s="3471">
        <v>0</v>
      </c>
      <c r="BE593" s="3471">
        <v>0</v>
      </c>
      <c r="BF593" s="3471">
        <v>0</v>
      </c>
    </row>
    <row r="594" spans="1:58">
      <c r="A594" s="1817" t="str">
        <f t="shared" si="19"/>
        <v>South AmericaOkra</v>
      </c>
      <c r="B594" s="1818" t="s">
        <v>306</v>
      </c>
      <c r="C594" s="1818" t="s">
        <v>7356</v>
      </c>
      <c r="D594" s="3463" t="str">
        <f>VLOOKUP(B594,List_Yield!$G$4:$J$14,4,FALSE)</f>
        <v>South America</v>
      </c>
      <c r="E594" s="3463" t="str">
        <f t="shared" si="18"/>
        <v>South AmericaOkra</v>
      </c>
      <c r="F594" s="2994">
        <v>0</v>
      </c>
      <c r="G594" s="2994">
        <v>0</v>
      </c>
      <c r="H594" s="2994">
        <v>0</v>
      </c>
      <c r="I594" s="2994">
        <v>0</v>
      </c>
      <c r="J594" s="2994">
        <v>0</v>
      </c>
      <c r="K594" s="2994">
        <v>0</v>
      </c>
      <c r="L594" s="2994">
        <v>0</v>
      </c>
      <c r="M594" s="2994">
        <v>0</v>
      </c>
      <c r="N594" s="2994">
        <v>0</v>
      </c>
      <c r="O594" s="2994">
        <v>0</v>
      </c>
      <c r="P594" s="2994">
        <v>0</v>
      </c>
      <c r="Q594" s="2994">
        <v>0</v>
      </c>
      <c r="R594" s="2994">
        <v>0</v>
      </c>
      <c r="S594" s="2994">
        <v>0</v>
      </c>
      <c r="T594" s="2994">
        <v>0</v>
      </c>
      <c r="U594" s="2994">
        <v>0</v>
      </c>
      <c r="V594" s="2994">
        <v>0</v>
      </c>
      <c r="W594" s="2994">
        <v>0</v>
      </c>
      <c r="X594" s="2994">
        <v>0</v>
      </c>
      <c r="Y594" s="2994">
        <v>0</v>
      </c>
      <c r="Z594" s="2994">
        <v>0</v>
      </c>
      <c r="AA594" s="2994">
        <v>0</v>
      </c>
      <c r="AB594" s="2994">
        <v>0</v>
      </c>
      <c r="AC594" s="2994">
        <v>0</v>
      </c>
      <c r="AD594" s="2994">
        <v>0</v>
      </c>
      <c r="AE594" s="2994">
        <v>0</v>
      </c>
      <c r="AF594" s="2994">
        <v>0</v>
      </c>
      <c r="AG594" s="2994">
        <v>0</v>
      </c>
      <c r="AH594" s="2994">
        <v>0</v>
      </c>
      <c r="AI594" s="2994">
        <v>0</v>
      </c>
      <c r="AJ594" s="2994">
        <v>0</v>
      </c>
      <c r="AK594" s="2994">
        <v>0</v>
      </c>
      <c r="AL594" s="2994">
        <v>0</v>
      </c>
      <c r="AM594" s="2994">
        <v>0</v>
      </c>
      <c r="AN594" s="2994">
        <v>0</v>
      </c>
      <c r="AO594" s="2994">
        <v>0</v>
      </c>
      <c r="AP594" s="2994">
        <v>7</v>
      </c>
      <c r="AQ594" s="2994">
        <v>6.9355000000000002</v>
      </c>
      <c r="AR594" s="2994">
        <v>6.9840999999999998</v>
      </c>
      <c r="AS594" s="2994">
        <v>6.9846000000000004</v>
      </c>
      <c r="AT594" s="2994">
        <v>7</v>
      </c>
      <c r="AU594" s="2994">
        <v>6.9492000000000003</v>
      </c>
      <c r="AV594" s="2994">
        <v>7.0369999999999999</v>
      </c>
      <c r="AW594" s="2994">
        <v>6.9387999999999996</v>
      </c>
      <c r="AX594" s="2994">
        <v>6.9565000000000001</v>
      </c>
      <c r="AY594" s="2994">
        <v>7.0587999999999997</v>
      </c>
      <c r="AZ594" s="2994">
        <v>8.3117000000000001</v>
      </c>
      <c r="BA594" s="2994">
        <v>6</v>
      </c>
      <c r="BB594" s="2994">
        <v>5.1364000000000001</v>
      </c>
      <c r="BC594" s="2994">
        <v>4.8989000000000003</v>
      </c>
      <c r="BD594" s="3471">
        <v>3.8443999999999998</v>
      </c>
      <c r="BE594" s="3471">
        <v>3.9129999999999998</v>
      </c>
      <c r="BF594" s="3471">
        <v>0</v>
      </c>
    </row>
    <row r="595" spans="1:58">
      <c r="A595" s="1817" t="str">
        <f t="shared" si="19"/>
        <v>South AmericaOlives</v>
      </c>
      <c r="B595" s="1818" t="s">
        <v>306</v>
      </c>
      <c r="C595" s="1818" t="s">
        <v>1361</v>
      </c>
      <c r="D595" s="3463" t="str">
        <f>VLOOKUP(B595,List_Yield!$G$4:$J$14,4,FALSE)</f>
        <v>South America</v>
      </c>
      <c r="E595" s="3463" t="str">
        <f t="shared" si="18"/>
        <v>South AmericaOlives</v>
      </c>
      <c r="F595" s="2994">
        <v>23.448</v>
      </c>
      <c r="G595" s="2994">
        <v>19.235499999999998</v>
      </c>
      <c r="H595" s="2994">
        <v>21.3843</v>
      </c>
      <c r="I595" s="2994">
        <v>32.263399999999997</v>
      </c>
      <c r="J595" s="2994">
        <v>40.215200000000003</v>
      </c>
      <c r="K595" s="2994">
        <v>30.2363</v>
      </c>
      <c r="L595" s="2994">
        <v>41.4148</v>
      </c>
      <c r="M595" s="2994">
        <v>32.788600000000002</v>
      </c>
      <c r="N595" s="2994">
        <v>40.372500000000002</v>
      </c>
      <c r="O595" s="2994">
        <v>27.899799999999999</v>
      </c>
      <c r="P595" s="2994">
        <v>40.168100000000003</v>
      </c>
      <c r="Q595" s="2994">
        <v>29.0792</v>
      </c>
      <c r="R595" s="2994">
        <v>47.257300000000001</v>
      </c>
      <c r="S595" s="2994">
        <v>36.212600000000002</v>
      </c>
      <c r="T595" s="2994">
        <v>34.779600000000002</v>
      </c>
      <c r="U595" s="2994">
        <v>29.5547</v>
      </c>
      <c r="V595" s="2994">
        <v>31.828299999999999</v>
      </c>
      <c r="W595" s="2994">
        <v>22.7301</v>
      </c>
      <c r="X595" s="2994">
        <v>27.176600000000001</v>
      </c>
      <c r="Y595" s="2994">
        <v>22.412299999999998</v>
      </c>
      <c r="Z595" s="2994">
        <v>25.3994</v>
      </c>
      <c r="AA595" s="2994">
        <v>23.054300000000001</v>
      </c>
      <c r="AB595" s="2994">
        <v>23.404199999999999</v>
      </c>
      <c r="AC595" s="2994">
        <v>16.852</v>
      </c>
      <c r="AD595" s="2994">
        <v>2.8246000000000002</v>
      </c>
      <c r="AE595" s="2994">
        <v>2.7294</v>
      </c>
      <c r="AF595" s="2994">
        <v>2.9468999999999999</v>
      </c>
      <c r="AG595" s="2994">
        <v>2.7502</v>
      </c>
      <c r="AH595" s="2994">
        <v>3.3607999999999998</v>
      </c>
      <c r="AI595" s="2994">
        <v>2.7690000000000001</v>
      </c>
      <c r="AJ595" s="2994">
        <v>3.2111999999999998</v>
      </c>
      <c r="AK595" s="2994">
        <v>2.6505999999999998</v>
      </c>
      <c r="AL595" s="2994">
        <v>2.9569000000000001</v>
      </c>
      <c r="AM595" s="2994">
        <v>2.8780999999999999</v>
      </c>
      <c r="AN595" s="2994">
        <v>3.3795000000000002</v>
      </c>
      <c r="AO595" s="2994">
        <v>3.4674999999999998</v>
      </c>
      <c r="AP595" s="2994">
        <v>3.5427</v>
      </c>
      <c r="AQ595" s="2994">
        <v>3.2189999999999999</v>
      </c>
      <c r="AR595" s="2994">
        <v>3.0076999999999998</v>
      </c>
      <c r="AS595" s="2994">
        <v>3.2181000000000002</v>
      </c>
      <c r="AT595" s="2994">
        <v>3.2814999999999999</v>
      </c>
      <c r="AU595" s="2994">
        <v>3.3115999999999999</v>
      </c>
      <c r="AV595" s="2994">
        <v>3.3757000000000001</v>
      </c>
      <c r="AW595" s="2994">
        <v>3.6257999999999999</v>
      </c>
      <c r="AX595" s="2994">
        <v>3.6356000000000002</v>
      </c>
      <c r="AY595" s="2994">
        <v>3.5621</v>
      </c>
      <c r="AZ595" s="2994">
        <v>3.4578000000000002</v>
      </c>
      <c r="BA595" s="2994">
        <v>3.4611999999999998</v>
      </c>
      <c r="BB595" s="2994">
        <v>3.4075000000000002</v>
      </c>
      <c r="BC595" s="2994">
        <v>3.5202</v>
      </c>
      <c r="BD595" s="3471">
        <v>3.3784000000000001</v>
      </c>
      <c r="BE595" s="3471">
        <v>3.6476999999999999</v>
      </c>
      <c r="BF595" s="3471">
        <v>3.0804999999999998</v>
      </c>
    </row>
    <row r="596" spans="1:58">
      <c r="A596" s="1817" t="str">
        <f t="shared" si="19"/>
        <v>South AmericaOnions, dry</v>
      </c>
      <c r="B596" s="1818" t="s">
        <v>306</v>
      </c>
      <c r="C596" s="1818" t="s">
        <v>1362</v>
      </c>
      <c r="D596" s="3463" t="str">
        <f>VLOOKUP(B596,List_Yield!$G$4:$J$14,4,FALSE)</f>
        <v>South America</v>
      </c>
      <c r="E596" s="3463" t="str">
        <f t="shared" si="18"/>
        <v>South AmericaOnions, dry</v>
      </c>
      <c r="F596" s="2994">
        <v>9.3207000000000004</v>
      </c>
      <c r="G596" s="2994">
        <v>9.5664999999999996</v>
      </c>
      <c r="H596" s="2994">
        <v>10.1305</v>
      </c>
      <c r="I596" s="2994">
        <v>9.9032999999999998</v>
      </c>
      <c r="J596" s="2994">
        <v>9.9847999999999999</v>
      </c>
      <c r="K596" s="2994">
        <v>10.1213</v>
      </c>
      <c r="L596" s="2994">
        <v>9.9421999999999997</v>
      </c>
      <c r="M596" s="2994">
        <v>9.8878000000000004</v>
      </c>
      <c r="N596" s="2994">
        <v>10.131399999999999</v>
      </c>
      <c r="O596" s="2994">
        <v>10.564</v>
      </c>
      <c r="P596" s="2994">
        <v>10.6645</v>
      </c>
      <c r="Q596" s="2994">
        <v>10.5684</v>
      </c>
      <c r="R596" s="2994">
        <v>10.8508</v>
      </c>
      <c r="S596" s="2994">
        <v>11.390700000000001</v>
      </c>
      <c r="T596" s="2994">
        <v>12.6335</v>
      </c>
      <c r="U596" s="2994">
        <v>12.8056</v>
      </c>
      <c r="V596" s="2994">
        <v>12.5405</v>
      </c>
      <c r="W596" s="2994">
        <v>13.5039</v>
      </c>
      <c r="X596" s="2994">
        <v>13.8573</v>
      </c>
      <c r="Y596" s="2994">
        <v>14.085900000000001</v>
      </c>
      <c r="Z596" s="2994">
        <v>13.9941</v>
      </c>
      <c r="AA596" s="2994">
        <v>15.0677</v>
      </c>
      <c r="AB596" s="2994">
        <v>14.698600000000001</v>
      </c>
      <c r="AC596" s="2994">
        <v>14.471399999999999</v>
      </c>
      <c r="AD596" s="2994">
        <v>15.333</v>
      </c>
      <c r="AE596" s="2994">
        <v>14.749499999999999</v>
      </c>
      <c r="AF596" s="2994">
        <v>15.057399999999999</v>
      </c>
      <c r="AG596" s="2994">
        <v>15.116</v>
      </c>
      <c r="AH596" s="2994">
        <v>15.183999999999999</v>
      </c>
      <c r="AI596" s="2994">
        <v>15.4915</v>
      </c>
      <c r="AJ596" s="2994">
        <v>15.4862</v>
      </c>
      <c r="AK596" s="2994">
        <v>15.699299999999999</v>
      </c>
      <c r="AL596" s="2994">
        <v>15.9916</v>
      </c>
      <c r="AM596" s="2994">
        <v>15.933299999999999</v>
      </c>
      <c r="AN596" s="2994">
        <v>18.444700000000001</v>
      </c>
      <c r="AO596" s="2994">
        <v>20.761800000000001</v>
      </c>
      <c r="AP596" s="2994">
        <v>20.4999</v>
      </c>
      <c r="AQ596" s="2994">
        <v>20.630099999999999</v>
      </c>
      <c r="AR596" s="2994">
        <v>20.436599999999999</v>
      </c>
      <c r="AS596" s="2994">
        <v>22.092400000000001</v>
      </c>
      <c r="AT596" s="2994">
        <v>20.331</v>
      </c>
      <c r="AU596" s="2994">
        <v>21.130600000000001</v>
      </c>
      <c r="AV596" s="2994">
        <v>21.8935</v>
      </c>
      <c r="AW596" s="2994">
        <v>23.096699999999998</v>
      </c>
      <c r="AX596" s="2994">
        <v>23.499300000000002</v>
      </c>
      <c r="AY596" s="2994">
        <v>23.4696</v>
      </c>
      <c r="AZ596" s="2994">
        <v>23.900200000000002</v>
      </c>
      <c r="BA596" s="2994">
        <v>24.083500000000001</v>
      </c>
      <c r="BB596" s="2994">
        <v>24.085999999999999</v>
      </c>
      <c r="BC596" s="2994">
        <v>25.509699999999999</v>
      </c>
      <c r="BD596" s="3471">
        <v>25.514600000000002</v>
      </c>
      <c r="BE596" s="3471">
        <v>26.055700000000002</v>
      </c>
      <c r="BF596" s="3471">
        <v>0</v>
      </c>
    </row>
    <row r="597" spans="1:58">
      <c r="A597" s="1817" t="str">
        <f t="shared" si="19"/>
        <v>South AmericaOnions, shallots, green</v>
      </c>
      <c r="B597" s="1818" t="s">
        <v>306</v>
      </c>
      <c r="C597" s="1818" t="s">
        <v>7357</v>
      </c>
      <c r="D597" s="3463" t="str">
        <f>VLOOKUP(B597,List_Yield!$G$4:$J$14,4,FALSE)</f>
        <v>South America</v>
      </c>
      <c r="E597" s="3463" t="str">
        <f t="shared" si="18"/>
        <v>South AmericaOnions, shallots, green</v>
      </c>
      <c r="F597" s="2994">
        <v>13.416700000000001</v>
      </c>
      <c r="G597" s="2994">
        <v>12.001200000000001</v>
      </c>
      <c r="H597" s="2994">
        <v>9.2722999999999995</v>
      </c>
      <c r="I597" s="2994">
        <v>18.781400000000001</v>
      </c>
      <c r="J597" s="2994">
        <v>15.9892</v>
      </c>
      <c r="K597" s="2994">
        <v>16.7029</v>
      </c>
      <c r="L597" s="2994">
        <v>15.0892</v>
      </c>
      <c r="M597" s="2994">
        <v>12.3866</v>
      </c>
      <c r="N597" s="2994">
        <v>10.0632</v>
      </c>
      <c r="O597" s="2994">
        <v>9.7885000000000009</v>
      </c>
      <c r="P597" s="2994">
        <v>13.2509</v>
      </c>
      <c r="Q597" s="2994">
        <v>9.9633000000000003</v>
      </c>
      <c r="R597" s="2994">
        <v>7.4890999999999996</v>
      </c>
      <c r="S597" s="2994">
        <v>8.9047000000000001</v>
      </c>
      <c r="T597" s="2994">
        <v>8.9773999999999994</v>
      </c>
      <c r="U597" s="2994">
        <v>9.9640000000000004</v>
      </c>
      <c r="V597" s="2994">
        <v>8.3146000000000004</v>
      </c>
      <c r="W597" s="2994">
        <v>8.7920999999999996</v>
      </c>
      <c r="X597" s="2994">
        <v>8.6237999999999992</v>
      </c>
      <c r="Y597" s="2994">
        <v>9.0333000000000006</v>
      </c>
      <c r="Z597" s="2994">
        <v>8.8849</v>
      </c>
      <c r="AA597" s="2994">
        <v>8.8077000000000005</v>
      </c>
      <c r="AB597" s="2994">
        <v>8.8529</v>
      </c>
      <c r="AC597" s="2994">
        <v>8.1465999999999994</v>
      </c>
      <c r="AD597" s="2994">
        <v>8.1196000000000002</v>
      </c>
      <c r="AE597" s="2994">
        <v>4.7929000000000004</v>
      </c>
      <c r="AF597" s="2994">
        <v>5.5068000000000001</v>
      </c>
      <c r="AG597" s="2994">
        <v>6.8207000000000004</v>
      </c>
      <c r="AH597" s="2994">
        <v>6.2998000000000003</v>
      </c>
      <c r="AI597" s="2994">
        <v>6.7937000000000003</v>
      </c>
      <c r="AJ597" s="2994">
        <v>6.9166999999999996</v>
      </c>
      <c r="AK597" s="2994">
        <v>5.0759999999999996</v>
      </c>
      <c r="AL597" s="2994">
        <v>4.9108000000000001</v>
      </c>
      <c r="AM597" s="2994">
        <v>5.6170999999999998</v>
      </c>
      <c r="AN597" s="2994">
        <v>5.6551</v>
      </c>
      <c r="AO597" s="2994">
        <v>5.7781000000000002</v>
      </c>
      <c r="AP597" s="2994">
        <v>5.6228999999999996</v>
      </c>
      <c r="AQ597" s="2994">
        <v>5.2683</v>
      </c>
      <c r="AR597" s="2994">
        <v>7.1916000000000002</v>
      </c>
      <c r="AS597" s="2994">
        <v>7.0753000000000004</v>
      </c>
      <c r="AT597" s="2994">
        <v>7.2694999999999999</v>
      </c>
      <c r="AU597" s="2994">
        <v>8.6953999999999994</v>
      </c>
      <c r="AV597" s="2994">
        <v>8.9856999999999996</v>
      </c>
      <c r="AW597" s="2994">
        <v>9.3107000000000006</v>
      </c>
      <c r="AX597" s="2994">
        <v>8.9047999999999998</v>
      </c>
      <c r="AY597" s="2994">
        <v>9.1867999999999999</v>
      </c>
      <c r="AZ597" s="2994">
        <v>9.5328999999999997</v>
      </c>
      <c r="BA597" s="2994">
        <v>9.7004000000000001</v>
      </c>
      <c r="BB597" s="2994">
        <v>7.5556000000000001</v>
      </c>
      <c r="BC597" s="2994">
        <v>9.5439000000000007</v>
      </c>
      <c r="BD597" s="3471">
        <v>8.0012000000000008</v>
      </c>
      <c r="BE597" s="3471">
        <v>8.1865000000000006</v>
      </c>
      <c r="BF597" s="3471">
        <v>0</v>
      </c>
    </row>
    <row r="598" spans="1:58">
      <c r="A598" s="1817" t="str">
        <f t="shared" si="19"/>
        <v>South AmericaOranges</v>
      </c>
      <c r="B598" s="1818" t="s">
        <v>306</v>
      </c>
      <c r="C598" s="1818" t="s">
        <v>1363</v>
      </c>
      <c r="D598" s="3463" t="str">
        <f>VLOOKUP(B598,List_Yield!$G$4:$J$14,4,FALSE)</f>
        <v>South America</v>
      </c>
      <c r="E598" s="3463" t="str">
        <f t="shared" si="18"/>
        <v>South AmericaOranges</v>
      </c>
      <c r="F598" s="2994">
        <v>17.593399999999999</v>
      </c>
      <c r="G598" s="2994">
        <v>17.475200000000001</v>
      </c>
      <c r="H598" s="2994">
        <v>17.476199999999999</v>
      </c>
      <c r="I598" s="2994">
        <v>16.852</v>
      </c>
      <c r="J598" s="2994">
        <v>16.924499999999998</v>
      </c>
      <c r="K598" s="2994">
        <v>16.759599999999999</v>
      </c>
      <c r="L598" s="2994">
        <v>17.5947</v>
      </c>
      <c r="M598" s="2994">
        <v>17.9131</v>
      </c>
      <c r="N598" s="2994">
        <v>18.468599999999999</v>
      </c>
      <c r="O598" s="2994">
        <v>17.957100000000001</v>
      </c>
      <c r="P598" s="2994">
        <v>18.001999999999999</v>
      </c>
      <c r="Q598" s="2994">
        <v>17.531700000000001</v>
      </c>
      <c r="R598" s="2994">
        <v>12.855700000000001</v>
      </c>
      <c r="S598" s="2994">
        <v>18.2636</v>
      </c>
      <c r="T598" s="2994">
        <v>16.968900000000001</v>
      </c>
      <c r="U598" s="2994">
        <v>18.017700000000001</v>
      </c>
      <c r="V598" s="2994">
        <v>18.346299999999999</v>
      </c>
      <c r="W598" s="2994">
        <v>18.2363</v>
      </c>
      <c r="X598" s="2994">
        <v>18.6905</v>
      </c>
      <c r="Y598" s="2994">
        <v>18.004000000000001</v>
      </c>
      <c r="Z598" s="2994">
        <v>18.553799999999999</v>
      </c>
      <c r="AA598" s="2994">
        <v>18.411200000000001</v>
      </c>
      <c r="AB598" s="2994">
        <v>17.672999999999998</v>
      </c>
      <c r="AC598" s="2994">
        <v>18.876000000000001</v>
      </c>
      <c r="AD598" s="2994">
        <v>19.349799999999998</v>
      </c>
      <c r="AE598" s="2994">
        <v>17.523199999999999</v>
      </c>
      <c r="AF598" s="2994">
        <v>18.837499999999999</v>
      </c>
      <c r="AG598" s="2994">
        <v>17.729600000000001</v>
      </c>
      <c r="AH598" s="2994">
        <v>19.035299999999999</v>
      </c>
      <c r="AI598" s="2994">
        <v>18.173500000000001</v>
      </c>
      <c r="AJ598" s="2994">
        <v>18.253699999999998</v>
      </c>
      <c r="AK598" s="2994">
        <v>18.831800000000001</v>
      </c>
      <c r="AL598" s="2994">
        <v>21.584199999999999</v>
      </c>
      <c r="AM598" s="2994">
        <v>18.560099999999998</v>
      </c>
      <c r="AN598" s="2994">
        <v>21.701499999999999</v>
      </c>
      <c r="AO598" s="2994">
        <v>20.446200000000001</v>
      </c>
      <c r="AP598" s="2994">
        <v>21.983499999999999</v>
      </c>
      <c r="AQ598" s="2994">
        <v>19.5671</v>
      </c>
      <c r="AR598" s="2994">
        <v>20.660699999999999</v>
      </c>
      <c r="AS598" s="2994">
        <v>22.261299999999999</v>
      </c>
      <c r="AT598" s="2994">
        <v>18.8932</v>
      </c>
      <c r="AU598" s="2994">
        <v>20.324000000000002</v>
      </c>
      <c r="AV598" s="2994">
        <v>18.564800000000002</v>
      </c>
      <c r="AW598" s="2994">
        <v>20.366</v>
      </c>
      <c r="AX598" s="2994">
        <v>20.171800000000001</v>
      </c>
      <c r="AY598" s="2994">
        <v>20.491099999999999</v>
      </c>
      <c r="AZ598" s="2994">
        <v>20.816199999999998</v>
      </c>
      <c r="BA598" s="2994">
        <v>20.707799999999999</v>
      </c>
      <c r="BB598" s="2994">
        <v>20.621400000000001</v>
      </c>
      <c r="BC598" s="2994">
        <v>21.5501</v>
      </c>
      <c r="BD598" s="3471">
        <v>22.397300000000001</v>
      </c>
      <c r="BE598" s="3471">
        <v>22.717400000000001</v>
      </c>
      <c r="BF598" s="3471">
        <v>0</v>
      </c>
    </row>
    <row r="599" spans="1:58">
      <c r="A599" s="1817" t="str">
        <f t="shared" si="19"/>
        <v>South AmericaPapayas</v>
      </c>
      <c r="B599" s="1818" t="s">
        <v>306</v>
      </c>
      <c r="C599" s="1818" t="s">
        <v>7358</v>
      </c>
      <c r="D599" s="3463" t="str">
        <f>VLOOKUP(B599,List_Yield!$G$4:$J$14,4,FALSE)</f>
        <v>South America</v>
      </c>
      <c r="E599" s="3463" t="str">
        <f t="shared" si="18"/>
        <v>South AmericaPapayas</v>
      </c>
      <c r="F599" s="2994">
        <v>18.510400000000001</v>
      </c>
      <c r="G599" s="2994">
        <v>18.534800000000001</v>
      </c>
      <c r="H599" s="2994">
        <v>18.491199999999999</v>
      </c>
      <c r="I599" s="2994">
        <v>18.758299999999998</v>
      </c>
      <c r="J599" s="2994">
        <v>18.822600000000001</v>
      </c>
      <c r="K599" s="2994">
        <v>18.547599999999999</v>
      </c>
      <c r="L599" s="2994">
        <v>18.588999999999999</v>
      </c>
      <c r="M599" s="2994">
        <v>16.991499999999998</v>
      </c>
      <c r="N599" s="2994">
        <v>17.079599999999999</v>
      </c>
      <c r="O599" s="2994">
        <v>16.994399999999999</v>
      </c>
      <c r="P599" s="2994">
        <v>16.5718</v>
      </c>
      <c r="Q599" s="2994">
        <v>16.678599999999999</v>
      </c>
      <c r="R599" s="2994">
        <v>17.289300000000001</v>
      </c>
      <c r="S599" s="2994">
        <v>16.325199999999999</v>
      </c>
      <c r="T599" s="2994">
        <v>16.212700000000002</v>
      </c>
      <c r="U599" s="2994">
        <v>16.230799999999999</v>
      </c>
      <c r="V599" s="2994">
        <v>16.316600000000001</v>
      </c>
      <c r="W599" s="2994">
        <v>18.0944</v>
      </c>
      <c r="X599" s="2994">
        <v>18.972799999999999</v>
      </c>
      <c r="Y599" s="2994">
        <v>19.566299999999998</v>
      </c>
      <c r="Z599" s="2994">
        <v>22.443000000000001</v>
      </c>
      <c r="AA599" s="2994">
        <v>23.481300000000001</v>
      </c>
      <c r="AB599" s="2994">
        <v>22.672799999999999</v>
      </c>
      <c r="AC599" s="2994">
        <v>30.189499999999999</v>
      </c>
      <c r="AD599" s="2994">
        <v>29.241499999999998</v>
      </c>
      <c r="AE599" s="2994">
        <v>31.642099999999999</v>
      </c>
      <c r="AF599" s="2994">
        <v>26.389600000000002</v>
      </c>
      <c r="AG599" s="2994">
        <v>30.9269</v>
      </c>
      <c r="AH599" s="2994">
        <v>26.4636</v>
      </c>
      <c r="AI599" s="2994">
        <v>25.665900000000001</v>
      </c>
      <c r="AJ599" s="2994">
        <v>26.099699999999999</v>
      </c>
      <c r="AK599" s="2994">
        <v>26.351800000000001</v>
      </c>
      <c r="AL599" s="2994">
        <v>27.107500000000002</v>
      </c>
      <c r="AM599" s="2994">
        <v>26.226400000000002</v>
      </c>
      <c r="AN599" s="2994">
        <v>24.374400000000001</v>
      </c>
      <c r="AO599" s="2994">
        <v>21.954699999999999</v>
      </c>
      <c r="AP599" s="2994">
        <v>24.707799999999999</v>
      </c>
      <c r="AQ599" s="2994">
        <v>25.956600000000002</v>
      </c>
      <c r="AR599" s="2994">
        <v>26.752400000000002</v>
      </c>
      <c r="AS599" s="2994">
        <v>26.790400000000002</v>
      </c>
      <c r="AT599" s="2994">
        <v>30.139800000000001</v>
      </c>
      <c r="AU599" s="2994">
        <v>31.135300000000001</v>
      </c>
      <c r="AV599" s="2994">
        <v>32.452199999999998</v>
      </c>
      <c r="AW599" s="2994">
        <v>32.200000000000003</v>
      </c>
      <c r="AX599" s="2994">
        <v>32.391800000000003</v>
      </c>
      <c r="AY599" s="2994">
        <v>35.417099999999998</v>
      </c>
      <c r="AZ599" s="2994">
        <v>37.104199999999999</v>
      </c>
      <c r="BA599" s="2994">
        <v>37.302999999999997</v>
      </c>
      <c r="BB599" s="2994">
        <v>36.384599999999999</v>
      </c>
      <c r="BC599" s="2994">
        <v>37.125799999999998</v>
      </c>
      <c r="BD599" s="3471">
        <v>37.7652</v>
      </c>
      <c r="BE599" s="3471">
        <v>31.699400000000001</v>
      </c>
      <c r="BF599" s="3471">
        <v>0</v>
      </c>
    </row>
    <row r="600" spans="1:58">
      <c r="A600" s="1817" t="str">
        <f t="shared" si="19"/>
        <v>South AmericaPeaches and nectarines</v>
      </c>
      <c r="B600" s="1818" t="s">
        <v>306</v>
      </c>
      <c r="C600" s="1818" t="s">
        <v>1364</v>
      </c>
      <c r="D600" s="3463" t="str">
        <f>VLOOKUP(B600,List_Yield!$G$4:$J$14,4,FALSE)</f>
        <v>South America</v>
      </c>
      <c r="E600" s="3463" t="str">
        <f t="shared" si="18"/>
        <v>South AmericaPeaches and nectarines</v>
      </c>
      <c r="F600" s="2994">
        <v>12.7935</v>
      </c>
      <c r="G600" s="2994">
        <v>12.7203</v>
      </c>
      <c r="H600" s="2994">
        <v>12.3771</v>
      </c>
      <c r="I600" s="2994">
        <v>11.0579</v>
      </c>
      <c r="J600" s="2994">
        <v>14.028</v>
      </c>
      <c r="K600" s="2994">
        <v>9.6411999999999995</v>
      </c>
      <c r="L600" s="2994">
        <v>13.559799999999999</v>
      </c>
      <c r="M600" s="2994">
        <v>12.636200000000001</v>
      </c>
      <c r="N600" s="2994">
        <v>14.719200000000001</v>
      </c>
      <c r="O600" s="2994">
        <v>15.1022</v>
      </c>
      <c r="P600" s="2994">
        <v>15.6732</v>
      </c>
      <c r="Q600" s="2994">
        <v>14.9521</v>
      </c>
      <c r="R600" s="2994">
        <v>10.063000000000001</v>
      </c>
      <c r="S600" s="2994">
        <v>14.402799999999999</v>
      </c>
      <c r="T600" s="2994">
        <v>13.162000000000001</v>
      </c>
      <c r="U600" s="2994">
        <v>14.6317</v>
      </c>
      <c r="V600" s="2994">
        <v>13.3469</v>
      </c>
      <c r="W600" s="2994">
        <v>12.3896</v>
      </c>
      <c r="X600" s="2994">
        <v>12.565899999999999</v>
      </c>
      <c r="Y600" s="2994">
        <v>6.3883999999999999</v>
      </c>
      <c r="Z600" s="2994">
        <v>5.6688000000000001</v>
      </c>
      <c r="AA600" s="2994">
        <v>5.4847999999999999</v>
      </c>
      <c r="AB600" s="2994">
        <v>6.4057000000000004</v>
      </c>
      <c r="AC600" s="2994">
        <v>6.3186999999999998</v>
      </c>
      <c r="AD600" s="2994">
        <v>6.5353000000000003</v>
      </c>
      <c r="AE600" s="2994">
        <v>5.8967999999999998</v>
      </c>
      <c r="AF600" s="2994">
        <v>5.8059000000000003</v>
      </c>
      <c r="AG600" s="2994">
        <v>7.7523</v>
      </c>
      <c r="AH600" s="2994">
        <v>7.4446000000000003</v>
      </c>
      <c r="AI600" s="2994">
        <v>7.4843000000000002</v>
      </c>
      <c r="AJ600" s="2994">
        <v>7.4859</v>
      </c>
      <c r="AK600" s="2994">
        <v>7.9076000000000004</v>
      </c>
      <c r="AL600" s="2994">
        <v>8.3345000000000002</v>
      </c>
      <c r="AM600" s="2994">
        <v>8.4268000000000001</v>
      </c>
      <c r="AN600" s="2994">
        <v>8.1883999999999997</v>
      </c>
      <c r="AO600" s="2994">
        <v>8.6534999999999993</v>
      </c>
      <c r="AP600" s="2994">
        <v>8.9526000000000003</v>
      </c>
      <c r="AQ600" s="2994">
        <v>8.6446000000000005</v>
      </c>
      <c r="AR600" s="2994">
        <v>9.2604000000000006</v>
      </c>
      <c r="AS600" s="2994">
        <v>9.6030999999999995</v>
      </c>
      <c r="AT600" s="2994">
        <v>10.8171</v>
      </c>
      <c r="AU600" s="2994">
        <v>10.173</v>
      </c>
      <c r="AV600" s="2994">
        <v>10.7333</v>
      </c>
      <c r="AW600" s="2994">
        <v>11.0974</v>
      </c>
      <c r="AX600" s="2994">
        <v>11.055400000000001</v>
      </c>
      <c r="AY600" s="2994">
        <v>11.2997</v>
      </c>
      <c r="AZ600" s="2994">
        <v>11.54</v>
      </c>
      <c r="BA600" s="2994">
        <v>12.9887</v>
      </c>
      <c r="BB600" s="2994">
        <v>12.483700000000001</v>
      </c>
      <c r="BC600" s="2994">
        <v>12.5581</v>
      </c>
      <c r="BD600" s="3471">
        <v>11.838200000000001</v>
      </c>
      <c r="BE600" s="3471">
        <v>12.158300000000001</v>
      </c>
      <c r="BF600" s="3471">
        <v>0</v>
      </c>
    </row>
    <row r="601" spans="1:58">
      <c r="A601" s="1817" t="str">
        <f t="shared" si="19"/>
        <v>South AmericaPears</v>
      </c>
      <c r="B601" s="1818" t="s">
        <v>306</v>
      </c>
      <c r="C601" s="1818" t="s">
        <v>7359</v>
      </c>
      <c r="D601" s="3463" t="str">
        <f>VLOOKUP(B601,List_Yield!$G$4:$J$14,4,FALSE)</f>
        <v>South America</v>
      </c>
      <c r="E601" s="3463" t="str">
        <f t="shared" si="18"/>
        <v>South AmericaPears</v>
      </c>
      <c r="F601" s="2994">
        <v>19.7621</v>
      </c>
      <c r="G601" s="2994">
        <v>24.152899999999999</v>
      </c>
      <c r="H601" s="2994">
        <v>22.241399999999999</v>
      </c>
      <c r="I601" s="2994">
        <v>22.531600000000001</v>
      </c>
      <c r="J601" s="2994">
        <v>20.627300000000002</v>
      </c>
      <c r="K601" s="2994">
        <v>20.114000000000001</v>
      </c>
      <c r="L601" s="2994">
        <v>24.5562</v>
      </c>
      <c r="M601" s="2994">
        <v>23.648800000000001</v>
      </c>
      <c r="N601" s="2994">
        <v>21.060300000000002</v>
      </c>
      <c r="O601" s="2994">
        <v>20.7423</v>
      </c>
      <c r="P601" s="2994">
        <v>17.1907</v>
      </c>
      <c r="Q601" s="2994">
        <v>19.988499999999998</v>
      </c>
      <c r="R601" s="2994">
        <v>14.864000000000001</v>
      </c>
      <c r="S601" s="2994">
        <v>21.604700000000001</v>
      </c>
      <c r="T601" s="2994">
        <v>20.0321</v>
      </c>
      <c r="U601" s="2994">
        <v>22.3965</v>
      </c>
      <c r="V601" s="2994">
        <v>24.727499999999999</v>
      </c>
      <c r="W601" s="2994">
        <v>26.1311</v>
      </c>
      <c r="X601" s="2994">
        <v>28.1586</v>
      </c>
      <c r="Y601" s="2994">
        <v>9.8602000000000007</v>
      </c>
      <c r="Z601" s="2994">
        <v>9.2269000000000005</v>
      </c>
      <c r="AA601" s="2994">
        <v>9.2568999999999999</v>
      </c>
      <c r="AB601" s="2994">
        <v>10.435600000000001</v>
      </c>
      <c r="AC601" s="2994">
        <v>10.037599999999999</v>
      </c>
      <c r="AD601" s="2994">
        <v>10.02</v>
      </c>
      <c r="AE601" s="2994">
        <v>9.2379999999999995</v>
      </c>
      <c r="AF601" s="2994">
        <v>11.4984</v>
      </c>
      <c r="AG601" s="2994">
        <v>9.8028999999999993</v>
      </c>
      <c r="AH601" s="2994">
        <v>10.332800000000001</v>
      </c>
      <c r="AI601" s="2994">
        <v>10.6823</v>
      </c>
      <c r="AJ601" s="2994">
        <v>12.871499999999999</v>
      </c>
      <c r="AK601" s="2994">
        <v>13.2697</v>
      </c>
      <c r="AL601" s="2994">
        <v>14.3315</v>
      </c>
      <c r="AM601" s="2994">
        <v>16.325500000000002</v>
      </c>
      <c r="AN601" s="2994">
        <v>20.965499999999999</v>
      </c>
      <c r="AO601" s="2994">
        <v>21.446100000000001</v>
      </c>
      <c r="AP601" s="2994">
        <v>21.1691</v>
      </c>
      <c r="AQ601" s="2994">
        <v>20.898900000000001</v>
      </c>
      <c r="AR601" s="2994">
        <v>21.3491</v>
      </c>
      <c r="AS601" s="2994">
        <v>19.920300000000001</v>
      </c>
      <c r="AT601" s="2994">
        <v>21.0166</v>
      </c>
      <c r="AU601" s="2994">
        <v>23.212299999999999</v>
      </c>
      <c r="AV601" s="2994">
        <v>28.1021</v>
      </c>
      <c r="AW601" s="2994">
        <v>25.226400000000002</v>
      </c>
      <c r="AX601" s="2994">
        <v>26.459700000000002</v>
      </c>
      <c r="AY601" s="2994">
        <v>25.5886</v>
      </c>
      <c r="AZ601" s="2994">
        <v>26.051500000000001</v>
      </c>
      <c r="BA601" s="2994">
        <v>26.225999999999999</v>
      </c>
      <c r="BB601" s="2994">
        <v>23.401</v>
      </c>
      <c r="BC601" s="2994">
        <v>23.800799999999999</v>
      </c>
      <c r="BD601" s="3471">
        <v>24.052800000000001</v>
      </c>
      <c r="BE601" s="3471">
        <v>24.1111</v>
      </c>
      <c r="BF601" s="3471">
        <v>0</v>
      </c>
    </row>
    <row r="602" spans="1:58">
      <c r="A602" s="1817" t="str">
        <f t="shared" si="19"/>
        <v>South AmericaPeas, dry</v>
      </c>
      <c r="B602" s="1818" t="s">
        <v>306</v>
      </c>
      <c r="C602" s="1818" t="s">
        <v>1365</v>
      </c>
      <c r="D602" s="3463" t="str">
        <f>VLOOKUP(B602,List_Yield!$G$4:$J$14,4,FALSE)</f>
        <v>South America</v>
      </c>
      <c r="E602" s="3463" t="str">
        <f t="shared" si="18"/>
        <v>South AmericaPeas, dry</v>
      </c>
      <c r="F602" s="2994">
        <v>0.80720000000000003</v>
      </c>
      <c r="G602" s="2994">
        <v>0.84119999999999995</v>
      </c>
      <c r="H602" s="2994">
        <v>0.79120000000000001</v>
      </c>
      <c r="I602" s="2994">
        <v>0.745</v>
      </c>
      <c r="J602" s="2994">
        <v>0.83030000000000004</v>
      </c>
      <c r="K602" s="2994">
        <v>0.81669999999999998</v>
      </c>
      <c r="L602" s="2994">
        <v>0.76449999999999996</v>
      </c>
      <c r="M602" s="2994">
        <v>0.63129999999999997</v>
      </c>
      <c r="N602" s="2994">
        <v>0.70069999999999999</v>
      </c>
      <c r="O602" s="2994">
        <v>0.70340000000000003</v>
      </c>
      <c r="P602" s="2994">
        <v>0.71750000000000003</v>
      </c>
      <c r="Q602" s="2994">
        <v>0.72699999999999998</v>
      </c>
      <c r="R602" s="2994">
        <v>0.72130000000000005</v>
      </c>
      <c r="S602" s="2994">
        <v>0.71199999999999997</v>
      </c>
      <c r="T602" s="2994">
        <v>0.72740000000000005</v>
      </c>
      <c r="U602" s="2994">
        <v>0.83199999999999996</v>
      </c>
      <c r="V602" s="2994">
        <v>0.77390000000000003</v>
      </c>
      <c r="W602" s="2994">
        <v>0.78690000000000004</v>
      </c>
      <c r="X602" s="2994">
        <v>0.69350000000000001</v>
      </c>
      <c r="Y602" s="2994">
        <v>0.74670000000000003</v>
      </c>
      <c r="Z602" s="2994">
        <v>0.72030000000000005</v>
      </c>
      <c r="AA602" s="2994">
        <v>0.71389999999999998</v>
      </c>
      <c r="AB602" s="2994">
        <v>0.76559999999999995</v>
      </c>
      <c r="AC602" s="2994">
        <v>0.7167</v>
      </c>
      <c r="AD602" s="2994">
        <v>0.83540000000000003</v>
      </c>
      <c r="AE602" s="2994">
        <v>0.89410000000000001</v>
      </c>
      <c r="AF602" s="2994">
        <v>0.97970000000000002</v>
      </c>
      <c r="AG602" s="2994">
        <v>1.0069999999999999</v>
      </c>
      <c r="AH602" s="2994">
        <v>0.93089999999999995</v>
      </c>
      <c r="AI602" s="2994">
        <v>0.66459999999999997</v>
      </c>
      <c r="AJ602" s="2994">
        <v>0.91720000000000002</v>
      </c>
      <c r="AK602" s="2994">
        <v>0.93730000000000002</v>
      </c>
      <c r="AL602" s="2994">
        <v>0.93279999999999996</v>
      </c>
      <c r="AM602" s="2994">
        <v>1.0246999999999999</v>
      </c>
      <c r="AN602" s="2994">
        <v>1.0014000000000001</v>
      </c>
      <c r="AO602" s="2994">
        <v>1.1175999999999999</v>
      </c>
      <c r="AP602" s="2994">
        <v>1.0860000000000001</v>
      </c>
      <c r="AQ602" s="2994">
        <v>1.1541999999999999</v>
      </c>
      <c r="AR602" s="2994">
        <v>1.004</v>
      </c>
      <c r="AS602" s="2994">
        <v>1.0469999999999999</v>
      </c>
      <c r="AT602" s="2994">
        <v>1.1493</v>
      </c>
      <c r="AU602" s="2994">
        <v>1.1859999999999999</v>
      </c>
      <c r="AV602" s="2994">
        <v>1.2218</v>
      </c>
      <c r="AW602" s="2994">
        <v>1.1991000000000001</v>
      </c>
      <c r="AX602" s="2994">
        <v>1.1677</v>
      </c>
      <c r="AY602" s="2994">
        <v>1.1843999999999999</v>
      </c>
      <c r="AZ602" s="2994">
        <v>1.2139</v>
      </c>
      <c r="BA602" s="2994">
        <v>1.2630999999999999</v>
      </c>
      <c r="BB602" s="2994">
        <v>1.1949000000000001</v>
      </c>
      <c r="BC602" s="2994">
        <v>1.3007</v>
      </c>
      <c r="BD602" s="3471">
        <v>1.2891999999999999</v>
      </c>
      <c r="BE602" s="3471">
        <v>1.2771999999999999</v>
      </c>
      <c r="BF602" s="3471">
        <v>1.238</v>
      </c>
    </row>
    <row r="603" spans="1:58">
      <c r="A603" s="1817" t="str">
        <f t="shared" si="19"/>
        <v>South AmericaPeas, green</v>
      </c>
      <c r="B603" s="1818" t="s">
        <v>306</v>
      </c>
      <c r="C603" s="1818" t="s">
        <v>1366</v>
      </c>
      <c r="D603" s="3463" t="str">
        <f>VLOOKUP(B603,List_Yield!$G$4:$J$14,4,FALSE)</f>
        <v>South America</v>
      </c>
      <c r="E603" s="3463" t="str">
        <f t="shared" si="18"/>
        <v>South AmericaPeas, green</v>
      </c>
      <c r="F603" s="2994">
        <v>2.2730000000000001</v>
      </c>
      <c r="G603" s="2994">
        <v>2.4015</v>
      </c>
      <c r="H603" s="2994">
        <v>2.4710000000000001</v>
      </c>
      <c r="I603" s="2994">
        <v>2.5093999999999999</v>
      </c>
      <c r="J603" s="2994">
        <v>2.5063</v>
      </c>
      <c r="K603" s="2994">
        <v>2.4125000000000001</v>
      </c>
      <c r="L603" s="2994">
        <v>2.4878999999999998</v>
      </c>
      <c r="M603" s="2994">
        <v>2.4899</v>
      </c>
      <c r="N603" s="2994">
        <v>2.3961000000000001</v>
      </c>
      <c r="O603" s="2994">
        <v>2.6240999999999999</v>
      </c>
      <c r="P603" s="2994">
        <v>2.4121000000000001</v>
      </c>
      <c r="Q603" s="2994">
        <v>2.5608</v>
      </c>
      <c r="R603" s="2994">
        <v>2.3980999999999999</v>
      </c>
      <c r="S603" s="2994">
        <v>2.4085000000000001</v>
      </c>
      <c r="T603" s="2994">
        <v>3.0891000000000002</v>
      </c>
      <c r="U603" s="2994">
        <v>2.6461999999999999</v>
      </c>
      <c r="V603" s="2994">
        <v>2.5244</v>
      </c>
      <c r="W603" s="2994">
        <v>2.6797</v>
      </c>
      <c r="X603" s="2994">
        <v>2.9744000000000002</v>
      </c>
      <c r="Y603" s="2994">
        <v>2.7092000000000001</v>
      </c>
      <c r="Z603" s="2994">
        <v>2.4382999999999999</v>
      </c>
      <c r="AA603" s="2994">
        <v>2.4277000000000002</v>
      </c>
      <c r="AB603" s="2994">
        <v>2.2519999999999998</v>
      </c>
      <c r="AC603" s="2994">
        <v>2.0007999999999999</v>
      </c>
      <c r="AD603" s="2994">
        <v>2.1126</v>
      </c>
      <c r="AE603" s="2994">
        <v>2.4752999999999998</v>
      </c>
      <c r="AF603" s="2994">
        <v>2.3180000000000001</v>
      </c>
      <c r="AG603" s="2994">
        <v>2.1042000000000001</v>
      </c>
      <c r="AH603" s="2994">
        <v>2.1648999999999998</v>
      </c>
      <c r="AI603" s="2994">
        <v>2.2096</v>
      </c>
      <c r="AJ603" s="2994">
        <v>2.2844000000000002</v>
      </c>
      <c r="AK603" s="2994">
        <v>2.4502000000000002</v>
      </c>
      <c r="AL603" s="2994">
        <v>2.4508999999999999</v>
      </c>
      <c r="AM603" s="2994">
        <v>2.0097</v>
      </c>
      <c r="AN603" s="2994">
        <v>2.1175000000000002</v>
      </c>
      <c r="AO603" s="2994">
        <v>2.1305999999999998</v>
      </c>
      <c r="AP603" s="2994">
        <v>1.8504</v>
      </c>
      <c r="AQ603" s="2994">
        <v>2.2265000000000001</v>
      </c>
      <c r="AR603" s="2994">
        <v>2.1082000000000001</v>
      </c>
      <c r="AS603" s="2994">
        <v>2.0840000000000001</v>
      </c>
      <c r="AT603" s="2994">
        <v>2.1236000000000002</v>
      </c>
      <c r="AU603" s="2994">
        <v>2.1656</v>
      </c>
      <c r="AV603" s="2994">
        <v>2.2214</v>
      </c>
      <c r="AW603" s="2994">
        <v>2.17</v>
      </c>
      <c r="AX603" s="2994">
        <v>2.2242999999999999</v>
      </c>
      <c r="AY603" s="2994">
        <v>2.2860999999999998</v>
      </c>
      <c r="AZ603" s="2994">
        <v>2.2711999999999999</v>
      </c>
      <c r="BA603" s="2994">
        <v>2.3163999999999998</v>
      </c>
      <c r="BB603" s="2994">
        <v>2.4828999999999999</v>
      </c>
      <c r="BC603" s="2994">
        <v>2.4232999999999998</v>
      </c>
      <c r="BD603" s="3471">
        <v>2.3929999999999998</v>
      </c>
      <c r="BE603" s="3471">
        <v>2.4624999999999999</v>
      </c>
      <c r="BF603" s="3471">
        <v>0</v>
      </c>
    </row>
    <row r="604" spans="1:58">
      <c r="A604" s="1817" t="str">
        <f t="shared" si="19"/>
        <v>South AmericaPepper (piper spp.)</v>
      </c>
      <c r="B604" s="1818" t="s">
        <v>306</v>
      </c>
      <c r="C604" s="1818" t="s">
        <v>7360</v>
      </c>
      <c r="D604" s="3463" t="str">
        <f>VLOOKUP(B604,List_Yield!$G$4:$J$14,4,FALSE)</f>
        <v>South America</v>
      </c>
      <c r="E604" s="3463" t="str">
        <f t="shared" si="18"/>
        <v>South AmericaPepper (piper spp.)</v>
      </c>
      <c r="F604" s="2994">
        <v>1.5912999999999999</v>
      </c>
      <c r="G604" s="2994">
        <v>1.2594000000000001</v>
      </c>
      <c r="H604" s="2994">
        <v>1.722</v>
      </c>
      <c r="I604" s="2994">
        <v>1.7205999999999999</v>
      </c>
      <c r="J604" s="2994">
        <v>2.016</v>
      </c>
      <c r="K604" s="2994">
        <v>2.1812</v>
      </c>
      <c r="L604" s="2994">
        <v>2.1650999999999998</v>
      </c>
      <c r="M604" s="2994">
        <v>2.5316999999999998</v>
      </c>
      <c r="N604" s="2994">
        <v>2.5731000000000002</v>
      </c>
      <c r="O604" s="2994">
        <v>2.6067999999999998</v>
      </c>
      <c r="P604" s="2994">
        <v>2.6288</v>
      </c>
      <c r="Q604" s="2994">
        <v>2.5432999999999999</v>
      </c>
      <c r="R604" s="2994">
        <v>2.9883999999999999</v>
      </c>
      <c r="S604" s="2994">
        <v>3.3744000000000001</v>
      </c>
      <c r="T604" s="2994">
        <v>2.8984000000000001</v>
      </c>
      <c r="U604" s="2994">
        <v>2.7191000000000001</v>
      </c>
      <c r="V604" s="2994">
        <v>3.0114000000000001</v>
      </c>
      <c r="W604" s="2994">
        <v>2.9782999999999999</v>
      </c>
      <c r="X604" s="2994">
        <v>2.4651999999999998</v>
      </c>
      <c r="Y604" s="2994">
        <v>2.7120000000000002</v>
      </c>
      <c r="Z604" s="2994">
        <v>1.7582</v>
      </c>
      <c r="AA604" s="2994">
        <v>2.2723</v>
      </c>
      <c r="AB604" s="2994">
        <v>1.5602</v>
      </c>
      <c r="AC604" s="2994">
        <v>2.1608000000000001</v>
      </c>
      <c r="AD604" s="2994">
        <v>1.9741</v>
      </c>
      <c r="AE604" s="2994">
        <v>2.2061000000000002</v>
      </c>
      <c r="AF604" s="2994">
        <v>2.2035</v>
      </c>
      <c r="AG604" s="2994">
        <v>2.4935</v>
      </c>
      <c r="AH604" s="2994">
        <v>2.2669000000000001</v>
      </c>
      <c r="AI604" s="2994">
        <v>2.2909999999999999</v>
      </c>
      <c r="AJ604" s="2994">
        <v>2.2730999999999999</v>
      </c>
      <c r="AK604" s="2994">
        <v>1.1342000000000001</v>
      </c>
      <c r="AL604" s="2994">
        <v>1.7912999999999999</v>
      </c>
      <c r="AM604" s="2994">
        <v>1.6593</v>
      </c>
      <c r="AN604" s="2994">
        <v>1.8033999999999999</v>
      </c>
      <c r="AO604" s="2994">
        <v>1.9341999999999999</v>
      </c>
      <c r="AP604" s="2994">
        <v>1.7862</v>
      </c>
      <c r="AQ604" s="2994">
        <v>1.9116</v>
      </c>
      <c r="AR604" s="2994">
        <v>1.9792000000000001</v>
      </c>
      <c r="AS604" s="2994">
        <v>2.2517</v>
      </c>
      <c r="AT604" s="2994">
        <v>2.2627999999999999</v>
      </c>
      <c r="AU604" s="2994">
        <v>2.2987000000000002</v>
      </c>
      <c r="AV604" s="2994">
        <v>2.4272999999999998</v>
      </c>
      <c r="AW604" s="2994">
        <v>2.2871000000000001</v>
      </c>
      <c r="AX604" s="2994">
        <v>2.3159000000000001</v>
      </c>
      <c r="AY604" s="2994">
        <v>2.2639999999999998</v>
      </c>
      <c r="AZ604" s="2994">
        <v>2.214</v>
      </c>
      <c r="BA604" s="2994">
        <v>2.1738</v>
      </c>
      <c r="BB604" s="2994">
        <v>2.1958000000000002</v>
      </c>
      <c r="BC604" s="2994">
        <v>2.0705</v>
      </c>
      <c r="BD604" s="3471">
        <v>1.9538</v>
      </c>
      <c r="BE604" s="3471">
        <v>2.0417000000000001</v>
      </c>
      <c r="BF604" s="3471">
        <v>0</v>
      </c>
    </row>
    <row r="605" spans="1:58">
      <c r="A605" s="1817" t="str">
        <f t="shared" si="19"/>
        <v>South AmericaPeppermint</v>
      </c>
      <c r="B605" s="1818" t="s">
        <v>306</v>
      </c>
      <c r="C605" s="1818" t="s">
        <v>7361</v>
      </c>
      <c r="D605" s="3463" t="str">
        <f>VLOOKUP(B605,List_Yield!$G$4:$J$14,4,FALSE)</f>
        <v>South America</v>
      </c>
      <c r="E605" s="3463" t="str">
        <f t="shared" si="18"/>
        <v>South AmericaPeppermint</v>
      </c>
      <c r="F605" s="2994">
        <v>0</v>
      </c>
      <c r="G605" s="2994">
        <v>0</v>
      </c>
      <c r="H605" s="2994">
        <v>0</v>
      </c>
      <c r="I605" s="2994">
        <v>0</v>
      </c>
      <c r="J605" s="2994">
        <v>0</v>
      </c>
      <c r="K605" s="2994">
        <v>0</v>
      </c>
      <c r="L605" s="2994">
        <v>0</v>
      </c>
      <c r="M605" s="2994">
        <v>0</v>
      </c>
      <c r="N605" s="2994">
        <v>0</v>
      </c>
      <c r="O605" s="2994">
        <v>0</v>
      </c>
      <c r="P605" s="2994">
        <v>0</v>
      </c>
      <c r="Q605" s="2994">
        <v>0</v>
      </c>
      <c r="R605" s="2994">
        <v>0</v>
      </c>
      <c r="S605" s="2994">
        <v>0</v>
      </c>
      <c r="T605" s="2994">
        <v>0</v>
      </c>
      <c r="U605" s="2994">
        <v>0</v>
      </c>
      <c r="V605" s="2994">
        <v>0</v>
      </c>
      <c r="W605" s="2994">
        <v>0</v>
      </c>
      <c r="X605" s="2994">
        <v>0</v>
      </c>
      <c r="Y605" s="2994">
        <v>0</v>
      </c>
      <c r="Z605" s="2994">
        <v>0</v>
      </c>
      <c r="AA605" s="2994">
        <v>0</v>
      </c>
      <c r="AB605" s="2994">
        <v>0</v>
      </c>
      <c r="AC605" s="2994">
        <v>0</v>
      </c>
      <c r="AD605" s="2994">
        <v>0</v>
      </c>
      <c r="AE605" s="2994">
        <v>0</v>
      </c>
      <c r="AF605" s="2994">
        <v>0</v>
      </c>
      <c r="AG605" s="2994">
        <v>0</v>
      </c>
      <c r="AH605" s="2994">
        <v>0</v>
      </c>
      <c r="AI605" s="2994">
        <v>0</v>
      </c>
      <c r="AJ605" s="2994">
        <v>0</v>
      </c>
      <c r="AK605" s="2994">
        <v>0</v>
      </c>
      <c r="AL605" s="2994">
        <v>0</v>
      </c>
      <c r="AM605" s="2994">
        <v>0</v>
      </c>
      <c r="AN605" s="2994">
        <v>0</v>
      </c>
      <c r="AO605" s="2994">
        <v>0</v>
      </c>
      <c r="AP605" s="2994">
        <v>0</v>
      </c>
      <c r="AQ605" s="2994">
        <v>0</v>
      </c>
      <c r="AR605" s="2994">
        <v>0</v>
      </c>
      <c r="AS605" s="2994">
        <v>0</v>
      </c>
      <c r="AT605" s="2994">
        <v>0</v>
      </c>
      <c r="AU605" s="2994">
        <v>0</v>
      </c>
      <c r="AV605" s="2994">
        <v>0</v>
      </c>
      <c r="AW605" s="2994">
        <v>0</v>
      </c>
      <c r="AX605" s="2994">
        <v>0</v>
      </c>
      <c r="AY605" s="2994">
        <v>0</v>
      </c>
      <c r="AZ605" s="2994">
        <v>0</v>
      </c>
      <c r="BA605" s="2994">
        <v>0</v>
      </c>
      <c r="BB605" s="2994">
        <v>0</v>
      </c>
      <c r="BC605" s="2994">
        <v>0</v>
      </c>
      <c r="BD605" s="3471">
        <v>0</v>
      </c>
      <c r="BE605" s="3471">
        <v>0</v>
      </c>
      <c r="BF605" s="3471">
        <v>0</v>
      </c>
    </row>
    <row r="606" spans="1:58">
      <c r="A606" s="1817" t="str">
        <f t="shared" si="19"/>
        <v>South AmericaPersimmons</v>
      </c>
      <c r="B606" s="1818" t="s">
        <v>306</v>
      </c>
      <c r="C606" s="1818" t="s">
        <v>7362</v>
      </c>
      <c r="D606" s="3463" t="str">
        <f>VLOOKUP(B606,List_Yield!$G$4:$J$14,4,FALSE)</f>
        <v>South America</v>
      </c>
      <c r="E606" s="3463" t="str">
        <f t="shared" si="18"/>
        <v>South AmericaPersimmons</v>
      </c>
      <c r="F606" s="2994">
        <v>6.1192000000000002</v>
      </c>
      <c r="G606" s="2994">
        <v>6.1558000000000002</v>
      </c>
      <c r="H606" s="2994">
        <v>6.0144000000000002</v>
      </c>
      <c r="I606" s="2994">
        <v>6.1421000000000001</v>
      </c>
      <c r="J606" s="2994">
        <v>6.2756999999999996</v>
      </c>
      <c r="K606" s="2994">
        <v>5.9603999999999999</v>
      </c>
      <c r="L606" s="2994">
        <v>6.2990000000000004</v>
      </c>
      <c r="M606" s="2994">
        <v>6.1955999999999998</v>
      </c>
      <c r="N606" s="2994">
        <v>6.0979999999999999</v>
      </c>
      <c r="O606" s="2994">
        <v>6.2888999999999999</v>
      </c>
      <c r="P606" s="2994">
        <v>5.8265000000000002</v>
      </c>
      <c r="Q606" s="2994">
        <v>5.7244999999999999</v>
      </c>
      <c r="R606" s="2994">
        <v>5.6157000000000004</v>
      </c>
      <c r="S606" s="2994">
        <v>5.8837000000000002</v>
      </c>
      <c r="T606" s="2994">
        <v>6.2275</v>
      </c>
      <c r="U606" s="2994">
        <v>6.3228999999999997</v>
      </c>
      <c r="V606" s="2994">
        <v>6.6132</v>
      </c>
      <c r="W606" s="2994">
        <v>9.0917999999999992</v>
      </c>
      <c r="X606" s="2994">
        <v>10.1546</v>
      </c>
      <c r="Y606" s="2994">
        <v>9.8636999999999997</v>
      </c>
      <c r="Z606" s="2994">
        <v>10.882199999999999</v>
      </c>
      <c r="AA606" s="2994">
        <v>10.976599999999999</v>
      </c>
      <c r="AB606" s="2994">
        <v>12.7385</v>
      </c>
      <c r="AC606" s="2994">
        <v>11.9894</v>
      </c>
      <c r="AD606" s="2994">
        <v>11.824999999999999</v>
      </c>
      <c r="AE606" s="2994">
        <v>11.5017</v>
      </c>
      <c r="AF606" s="2994">
        <v>11.955399999999999</v>
      </c>
      <c r="AG606" s="2994">
        <v>12.025499999999999</v>
      </c>
      <c r="AH606" s="2994">
        <v>11.860200000000001</v>
      </c>
      <c r="AI606" s="2994">
        <v>11.795999999999999</v>
      </c>
      <c r="AJ606" s="2994">
        <v>11.7423</v>
      </c>
      <c r="AK606" s="2994">
        <v>11.5146</v>
      </c>
      <c r="AL606" s="2994">
        <v>11.087400000000001</v>
      </c>
      <c r="AM606" s="2994">
        <v>12.031700000000001</v>
      </c>
      <c r="AN606" s="2994">
        <v>10.725300000000001</v>
      </c>
      <c r="AO606" s="2994">
        <v>10.1968</v>
      </c>
      <c r="AP606" s="2994">
        <v>10.100199999999999</v>
      </c>
      <c r="AQ606" s="2994">
        <v>10.9383</v>
      </c>
      <c r="AR606" s="2994">
        <v>11.0131</v>
      </c>
      <c r="AS606" s="2994">
        <v>10.160500000000001</v>
      </c>
      <c r="AT606" s="2994">
        <v>15.2174</v>
      </c>
      <c r="AU606" s="2994">
        <v>20.316800000000001</v>
      </c>
      <c r="AV606" s="2994">
        <v>21.1631</v>
      </c>
      <c r="AW606" s="2994">
        <v>20.0059</v>
      </c>
      <c r="AX606" s="2994">
        <v>19.8398</v>
      </c>
      <c r="AY606" s="2994">
        <v>19.7181</v>
      </c>
      <c r="AZ606" s="2994">
        <v>19.8203</v>
      </c>
      <c r="BA606" s="2994">
        <v>19.6996</v>
      </c>
      <c r="BB606" s="2994">
        <v>19.860499999999998</v>
      </c>
      <c r="BC606" s="2994">
        <v>19.099399999999999</v>
      </c>
      <c r="BD606" s="3471">
        <v>18.520199999999999</v>
      </c>
      <c r="BE606" s="3471">
        <v>19.368500000000001</v>
      </c>
      <c r="BF606" s="3471">
        <v>0</v>
      </c>
    </row>
    <row r="607" spans="1:58">
      <c r="A607" s="1817" t="str">
        <f t="shared" si="19"/>
        <v>South AmericaPigeon peas</v>
      </c>
      <c r="B607" s="1818" t="s">
        <v>306</v>
      </c>
      <c r="C607" s="1818" t="s">
        <v>7363</v>
      </c>
      <c r="D607" s="3463" t="str">
        <f>VLOOKUP(B607,List_Yield!$G$4:$J$14,4,FALSE)</f>
        <v>South America</v>
      </c>
      <c r="E607" s="3463" t="str">
        <f t="shared" si="18"/>
        <v>South AmericaPigeon peas</v>
      </c>
      <c r="F607" s="2994">
        <v>0.52969999999999995</v>
      </c>
      <c r="G607" s="2994">
        <v>0.52839999999999998</v>
      </c>
      <c r="H607" s="2994">
        <v>0.4864</v>
      </c>
      <c r="I607" s="2994">
        <v>0.45529999999999998</v>
      </c>
      <c r="J607" s="2994">
        <v>0.48099999999999998</v>
      </c>
      <c r="K607" s="2994">
        <v>0.51</v>
      </c>
      <c r="L607" s="2994">
        <v>0.52200000000000002</v>
      </c>
      <c r="M607" s="2994">
        <v>0.54610000000000003</v>
      </c>
      <c r="N607" s="2994">
        <v>0.53400000000000003</v>
      </c>
      <c r="O607" s="2994">
        <v>0.53710000000000002</v>
      </c>
      <c r="P607" s="2994">
        <v>0.52839999999999998</v>
      </c>
      <c r="Q607" s="2994">
        <v>0.49769999999999998</v>
      </c>
      <c r="R607" s="2994">
        <v>0.4501</v>
      </c>
      <c r="S607" s="2994">
        <v>0.47299999999999998</v>
      </c>
      <c r="T607" s="2994">
        <v>0.45600000000000002</v>
      </c>
      <c r="U607" s="2994">
        <v>0.42830000000000001</v>
      </c>
      <c r="V607" s="2994">
        <v>0.50160000000000005</v>
      </c>
      <c r="W607" s="2994">
        <v>0.49859999999999999</v>
      </c>
      <c r="X607" s="2994">
        <v>0.49359999999999998</v>
      </c>
      <c r="Y607" s="2994">
        <v>0.52039999999999997</v>
      </c>
      <c r="Z607" s="2994">
        <v>0.51139999999999997</v>
      </c>
      <c r="AA607" s="2994">
        <v>0.53720000000000001</v>
      </c>
      <c r="AB607" s="2994">
        <v>0.52700000000000002</v>
      </c>
      <c r="AC607" s="2994">
        <v>0.56689999999999996</v>
      </c>
      <c r="AD607" s="2994">
        <v>0.54300000000000004</v>
      </c>
      <c r="AE607" s="2994">
        <v>0.54120000000000001</v>
      </c>
      <c r="AF607" s="2994">
        <v>0.57779999999999998</v>
      </c>
      <c r="AG607" s="2994">
        <v>0.58399999999999996</v>
      </c>
      <c r="AH607" s="2994">
        <v>0.57499999999999996</v>
      </c>
      <c r="AI607" s="2994">
        <v>0.56920000000000004</v>
      </c>
      <c r="AJ607" s="2994">
        <v>0.57799999999999996</v>
      </c>
      <c r="AK607" s="2994">
        <v>0.53480000000000005</v>
      </c>
      <c r="AL607" s="2994">
        <v>0.58109999999999995</v>
      </c>
      <c r="AM607" s="2994">
        <v>0.50960000000000005</v>
      </c>
      <c r="AN607" s="2994">
        <v>0.53580000000000005</v>
      </c>
      <c r="AO607" s="2994">
        <v>0.46450000000000002</v>
      </c>
      <c r="AP607" s="2994">
        <v>0.51570000000000005</v>
      </c>
      <c r="AQ607" s="2994">
        <v>1.0370999999999999</v>
      </c>
      <c r="AR607" s="2994">
        <v>0.82199999999999995</v>
      </c>
      <c r="AS607" s="2994">
        <v>0.79790000000000005</v>
      </c>
      <c r="AT607" s="2994">
        <v>0.75719999999999998</v>
      </c>
      <c r="AU607" s="2994">
        <v>0.77949999999999997</v>
      </c>
      <c r="AV607" s="2994">
        <v>0.81850000000000001</v>
      </c>
      <c r="AW607" s="2994">
        <v>0.78069999999999995</v>
      </c>
      <c r="AX607" s="2994">
        <v>0.78720000000000001</v>
      </c>
      <c r="AY607" s="2994">
        <v>0.90159999999999996</v>
      </c>
      <c r="AZ607" s="2994">
        <v>0.79690000000000005</v>
      </c>
      <c r="BA607" s="2994">
        <v>0.76749999999999996</v>
      </c>
      <c r="BB607" s="2994">
        <v>0.72799999999999998</v>
      </c>
      <c r="BC607" s="2994">
        <v>0.64970000000000006</v>
      </c>
      <c r="BD607" s="3471">
        <v>0.73899999999999999</v>
      </c>
      <c r="BE607" s="3471">
        <v>0.748</v>
      </c>
      <c r="BF607" s="3471">
        <v>0.75680000000000003</v>
      </c>
    </row>
    <row r="608" spans="1:58">
      <c r="A608" s="1817" t="str">
        <f t="shared" si="19"/>
        <v>South AmericaPineapples</v>
      </c>
      <c r="B608" s="1818" t="s">
        <v>306</v>
      </c>
      <c r="C608" s="1818" t="s">
        <v>1325</v>
      </c>
      <c r="D608" s="3463" t="str">
        <f>VLOOKUP(B608,List_Yield!$G$4:$J$14,4,FALSE)</f>
        <v>South America</v>
      </c>
      <c r="E608" s="3463" t="str">
        <f t="shared" si="18"/>
        <v>South AmericaPineapples</v>
      </c>
      <c r="F608" s="2994">
        <v>13.3535</v>
      </c>
      <c r="G608" s="2994">
        <v>13.0253</v>
      </c>
      <c r="H608" s="2994">
        <v>12.373799999999999</v>
      </c>
      <c r="I608" s="2994">
        <v>12.3893</v>
      </c>
      <c r="J608" s="2994">
        <v>12.954000000000001</v>
      </c>
      <c r="K608" s="2994">
        <v>13.3307</v>
      </c>
      <c r="L608" s="2994">
        <v>13.593</v>
      </c>
      <c r="M608" s="2994">
        <v>14.5825</v>
      </c>
      <c r="N608" s="2994">
        <v>14.922000000000001</v>
      </c>
      <c r="O608" s="2994">
        <v>14.8703</v>
      </c>
      <c r="P608" s="2994">
        <v>16.040099999999999</v>
      </c>
      <c r="Q608" s="2994">
        <v>17.128</v>
      </c>
      <c r="R608" s="2994">
        <v>16.192599999999999</v>
      </c>
      <c r="S608" s="2994">
        <v>18.0487</v>
      </c>
      <c r="T608" s="2994">
        <v>20.084</v>
      </c>
      <c r="U608" s="2994">
        <v>20.2895</v>
      </c>
      <c r="V608" s="2994">
        <v>20.252400000000002</v>
      </c>
      <c r="W608" s="2994">
        <v>21.250800000000002</v>
      </c>
      <c r="X608" s="2994">
        <v>21.741900000000001</v>
      </c>
      <c r="Y608" s="2994">
        <v>22.115300000000001</v>
      </c>
      <c r="Z608" s="2994">
        <v>21.950700000000001</v>
      </c>
      <c r="AA608" s="2994">
        <v>23.3001</v>
      </c>
      <c r="AB608" s="2994">
        <v>24.389800000000001</v>
      </c>
      <c r="AC608" s="2994">
        <v>26.552600000000002</v>
      </c>
      <c r="AD608" s="2994">
        <v>27.989599999999999</v>
      </c>
      <c r="AE608" s="2994">
        <v>28.9862</v>
      </c>
      <c r="AF608" s="2994">
        <v>29.225300000000001</v>
      </c>
      <c r="AG608" s="2994">
        <v>30.079000000000001</v>
      </c>
      <c r="AH608" s="2994">
        <v>30.054300000000001</v>
      </c>
      <c r="AI608" s="2994">
        <v>29.438300000000002</v>
      </c>
      <c r="AJ608" s="2994">
        <v>30.520499999999998</v>
      </c>
      <c r="AK608" s="2994">
        <v>30.5791</v>
      </c>
      <c r="AL608" s="2994">
        <v>27.626999999999999</v>
      </c>
      <c r="AM608" s="2994">
        <v>29.624600000000001</v>
      </c>
      <c r="AN608" s="2994">
        <v>29.207799999999999</v>
      </c>
      <c r="AO608" s="2994">
        <v>24.238399999999999</v>
      </c>
      <c r="AP608" s="2994">
        <v>26.974299999999999</v>
      </c>
      <c r="AQ608" s="2994">
        <v>24.510899999999999</v>
      </c>
      <c r="AR608" s="2994">
        <v>27.217099999999999</v>
      </c>
      <c r="AS608" s="2994">
        <v>27.356999999999999</v>
      </c>
      <c r="AT608" s="2994">
        <v>28.2239</v>
      </c>
      <c r="AU608" s="2994">
        <v>29.0642</v>
      </c>
      <c r="AV608" s="2994">
        <v>29.696300000000001</v>
      </c>
      <c r="AW608" s="2994">
        <v>29.991800000000001</v>
      </c>
      <c r="AX608" s="2994">
        <v>30.019100000000002</v>
      </c>
      <c r="AY608" s="2994">
        <v>30.6234</v>
      </c>
      <c r="AZ608" s="2994">
        <v>30.2103</v>
      </c>
      <c r="BA608" s="2994">
        <v>31.4634</v>
      </c>
      <c r="BB608" s="2994">
        <v>29.3415</v>
      </c>
      <c r="BC608" s="2994">
        <v>30.077999999999999</v>
      </c>
      <c r="BD608" s="3471">
        <v>31.247800000000002</v>
      </c>
      <c r="BE608" s="3471">
        <v>32.3765</v>
      </c>
      <c r="BF608" s="3471">
        <v>0</v>
      </c>
    </row>
    <row r="609" spans="1:58">
      <c r="A609" s="1817" t="str">
        <f t="shared" si="19"/>
        <v>South AmericaPistachios</v>
      </c>
      <c r="B609" s="1818" t="s">
        <v>306</v>
      </c>
      <c r="C609" s="1818" t="s">
        <v>7364</v>
      </c>
      <c r="D609" s="3463" t="str">
        <f>VLOOKUP(B609,List_Yield!$G$4:$J$14,4,FALSE)</f>
        <v>South America</v>
      </c>
      <c r="E609" s="3463" t="str">
        <f t="shared" si="18"/>
        <v>South AmericaPistachios</v>
      </c>
      <c r="F609" s="2994">
        <v>0</v>
      </c>
      <c r="G609" s="2994">
        <v>0</v>
      </c>
      <c r="H609" s="2994">
        <v>0</v>
      </c>
      <c r="I609" s="2994">
        <v>0</v>
      </c>
      <c r="J609" s="2994">
        <v>0</v>
      </c>
      <c r="K609" s="2994">
        <v>0</v>
      </c>
      <c r="L609" s="2994">
        <v>0</v>
      </c>
      <c r="M609" s="2994">
        <v>0</v>
      </c>
      <c r="N609" s="2994">
        <v>0</v>
      </c>
      <c r="O609" s="2994">
        <v>0</v>
      </c>
      <c r="P609" s="2994">
        <v>0</v>
      </c>
      <c r="Q609" s="2994">
        <v>0</v>
      </c>
      <c r="R609" s="2994">
        <v>0</v>
      </c>
      <c r="S609" s="2994">
        <v>0</v>
      </c>
      <c r="T609" s="2994">
        <v>0</v>
      </c>
      <c r="U609" s="2994">
        <v>0</v>
      </c>
      <c r="V609" s="2994">
        <v>0</v>
      </c>
      <c r="W609" s="2994">
        <v>0</v>
      </c>
      <c r="X609" s="2994">
        <v>0</v>
      </c>
      <c r="Y609" s="2994">
        <v>0</v>
      </c>
      <c r="Z609" s="2994">
        <v>0</v>
      </c>
      <c r="AA609" s="2994">
        <v>0</v>
      </c>
      <c r="AB609" s="2994">
        <v>0</v>
      </c>
      <c r="AC609" s="2994">
        <v>0</v>
      </c>
      <c r="AD609" s="2994">
        <v>0</v>
      </c>
      <c r="AE609" s="2994">
        <v>0</v>
      </c>
      <c r="AF609" s="2994">
        <v>0</v>
      </c>
      <c r="AG609" s="2994">
        <v>0</v>
      </c>
      <c r="AH609" s="2994">
        <v>0</v>
      </c>
      <c r="AI609" s="2994">
        <v>0</v>
      </c>
      <c r="AJ609" s="2994">
        <v>0</v>
      </c>
      <c r="AK609" s="2994">
        <v>0</v>
      </c>
      <c r="AL609" s="2994">
        <v>0</v>
      </c>
      <c r="AM609" s="2994">
        <v>0</v>
      </c>
      <c r="AN609" s="2994">
        <v>0</v>
      </c>
      <c r="AO609" s="2994">
        <v>0</v>
      </c>
      <c r="AP609" s="2994">
        <v>0</v>
      </c>
      <c r="AQ609" s="2994">
        <v>0</v>
      </c>
      <c r="AR609" s="2994">
        <v>0</v>
      </c>
      <c r="AS609" s="2994">
        <v>0</v>
      </c>
      <c r="AT609" s="2994">
        <v>0</v>
      </c>
      <c r="AU609" s="2994">
        <v>0</v>
      </c>
      <c r="AV609" s="2994">
        <v>0</v>
      </c>
      <c r="AW609" s="2994">
        <v>0</v>
      </c>
      <c r="AX609" s="2994">
        <v>0</v>
      </c>
      <c r="AY609" s="2994">
        <v>0</v>
      </c>
      <c r="AZ609" s="2994">
        <v>0</v>
      </c>
      <c r="BA609" s="2994">
        <v>0</v>
      </c>
      <c r="BB609" s="2994">
        <v>0</v>
      </c>
      <c r="BC609" s="2994">
        <v>0</v>
      </c>
      <c r="BD609" s="3471">
        <v>0</v>
      </c>
      <c r="BE609" s="3471">
        <v>0</v>
      </c>
      <c r="BF609" s="3471">
        <v>0</v>
      </c>
    </row>
    <row r="610" spans="1:58">
      <c r="A610" s="1817" t="str">
        <f t="shared" si="19"/>
        <v>South AmericaPlantains</v>
      </c>
      <c r="B610" s="1818" t="s">
        <v>306</v>
      </c>
      <c r="C610" s="1818" t="s">
        <v>1367</v>
      </c>
      <c r="D610" s="3463" t="str">
        <f>VLOOKUP(B610,List_Yield!$G$4:$J$14,4,FALSE)</f>
        <v>South America</v>
      </c>
      <c r="E610" s="3463" t="str">
        <f t="shared" si="18"/>
        <v>South AmericaPlantains</v>
      </c>
      <c r="F610" s="2994">
        <v>7.4396000000000004</v>
      </c>
      <c r="G610" s="2994">
        <v>8.1846999999999994</v>
      </c>
      <c r="H610" s="2994">
        <v>8.3224999999999998</v>
      </c>
      <c r="I610" s="2994">
        <v>7.8333000000000004</v>
      </c>
      <c r="J610" s="2994">
        <v>9.1486000000000001</v>
      </c>
      <c r="K610" s="2994">
        <v>8.4315999999999995</v>
      </c>
      <c r="L610" s="2994">
        <v>8.1028000000000002</v>
      </c>
      <c r="M610" s="2994">
        <v>8.3414999999999999</v>
      </c>
      <c r="N610" s="2994">
        <v>8.2937999999999992</v>
      </c>
      <c r="O610" s="2994">
        <v>8.3124000000000002</v>
      </c>
      <c r="P610" s="2994">
        <v>6.7026000000000003</v>
      </c>
      <c r="Q610" s="2994">
        <v>6.5362999999999998</v>
      </c>
      <c r="R610" s="2994">
        <v>6.7285000000000004</v>
      </c>
      <c r="S610" s="2994">
        <v>6.4802999999999997</v>
      </c>
      <c r="T610" s="2994">
        <v>6.22</v>
      </c>
      <c r="U610" s="2994">
        <v>6.3781999999999996</v>
      </c>
      <c r="V610" s="2994">
        <v>6.3182999999999998</v>
      </c>
      <c r="W610" s="2994">
        <v>6.9928999999999997</v>
      </c>
      <c r="X610" s="2994">
        <v>6.8060999999999998</v>
      </c>
      <c r="Y610" s="2994">
        <v>6.7887000000000004</v>
      </c>
      <c r="Z610" s="2994">
        <v>6.9222999999999999</v>
      </c>
      <c r="AA610" s="2994">
        <v>7.0762999999999998</v>
      </c>
      <c r="AB610" s="2994">
        <v>7.2948000000000004</v>
      </c>
      <c r="AC610" s="2994">
        <v>7.3129</v>
      </c>
      <c r="AD610" s="2994">
        <v>7.6769999999999996</v>
      </c>
      <c r="AE610" s="2994">
        <v>7.5757000000000003</v>
      </c>
      <c r="AF610" s="2994">
        <v>7.8707000000000003</v>
      </c>
      <c r="AG610" s="2994">
        <v>7.9089999999999998</v>
      </c>
      <c r="AH610" s="2994">
        <v>7.8086000000000002</v>
      </c>
      <c r="AI610" s="2994">
        <v>8.5352999999999994</v>
      </c>
      <c r="AJ610" s="2994">
        <v>8.5054999999999996</v>
      </c>
      <c r="AK610" s="2994">
        <v>8.1890999999999998</v>
      </c>
      <c r="AL610" s="2994">
        <v>7.8122999999999996</v>
      </c>
      <c r="AM610" s="2994">
        <v>7.9633000000000003</v>
      </c>
      <c r="AN610" s="2994">
        <v>8.3385999999999996</v>
      </c>
      <c r="AO610" s="2994">
        <v>8.3239000000000001</v>
      </c>
      <c r="AP610" s="2994">
        <v>8.5565999999999995</v>
      </c>
      <c r="AQ610" s="2994">
        <v>8.1623999999999999</v>
      </c>
      <c r="AR610" s="2994">
        <v>8.3371999999999993</v>
      </c>
      <c r="AS610" s="2994">
        <v>8.3640000000000008</v>
      </c>
      <c r="AT610" s="2994">
        <v>9.1079000000000008</v>
      </c>
      <c r="AU610" s="2994">
        <v>8.5048999999999992</v>
      </c>
      <c r="AV610" s="2994">
        <v>8.2981999999999996</v>
      </c>
      <c r="AW610" s="2994">
        <v>8.5075000000000003</v>
      </c>
      <c r="AX610" s="2994">
        <v>8.6084999999999994</v>
      </c>
      <c r="AY610" s="2994">
        <v>8.7026000000000003</v>
      </c>
      <c r="AZ610" s="2994">
        <v>8.8103999999999996</v>
      </c>
      <c r="BA610" s="2994">
        <v>8.6173000000000002</v>
      </c>
      <c r="BB610" s="2994">
        <v>8.4969999999999999</v>
      </c>
      <c r="BC610" s="2994">
        <v>8.7518999999999991</v>
      </c>
      <c r="BD610" s="3471">
        <v>8.7620000000000005</v>
      </c>
      <c r="BE610" s="3471">
        <v>9.7174999999999994</v>
      </c>
      <c r="BF610" s="3471">
        <v>0</v>
      </c>
    </row>
    <row r="611" spans="1:58">
      <c r="A611" s="1817" t="str">
        <f t="shared" si="19"/>
        <v>South AmericaPlums and sloes</v>
      </c>
      <c r="B611" s="1818" t="s">
        <v>306</v>
      </c>
      <c r="C611" s="1818" t="s">
        <v>7365</v>
      </c>
      <c r="D611" s="3463" t="str">
        <f>VLOOKUP(B611,List_Yield!$G$4:$J$14,4,FALSE)</f>
        <v>South America</v>
      </c>
      <c r="E611" s="3463" t="str">
        <f t="shared" si="18"/>
        <v>South AmericaPlums and sloes</v>
      </c>
      <c r="F611" s="2994">
        <v>17.685199999999998</v>
      </c>
      <c r="G611" s="2994">
        <v>19.555</v>
      </c>
      <c r="H611" s="2994">
        <v>18.061199999999999</v>
      </c>
      <c r="I611" s="2994">
        <v>19.139199999999999</v>
      </c>
      <c r="J611" s="2994">
        <v>19.3126</v>
      </c>
      <c r="K611" s="2994">
        <v>18.915500000000002</v>
      </c>
      <c r="L611" s="2994">
        <v>23.838200000000001</v>
      </c>
      <c r="M611" s="2994">
        <v>22.8536</v>
      </c>
      <c r="N611" s="2994">
        <v>23.8428</v>
      </c>
      <c r="O611" s="2994">
        <v>25.8963</v>
      </c>
      <c r="P611" s="2994">
        <v>25.605</v>
      </c>
      <c r="Q611" s="2994">
        <v>29.490100000000002</v>
      </c>
      <c r="R611" s="2994">
        <v>17.668800000000001</v>
      </c>
      <c r="S611" s="2994">
        <v>31.555800000000001</v>
      </c>
      <c r="T611" s="2994">
        <v>26.7041</v>
      </c>
      <c r="U611" s="2994">
        <v>32.238500000000002</v>
      </c>
      <c r="V611" s="2994">
        <v>26.682200000000002</v>
      </c>
      <c r="W611" s="2994">
        <v>19.678899999999999</v>
      </c>
      <c r="X611" s="2994">
        <v>22.884</v>
      </c>
      <c r="Y611" s="2994">
        <v>5.0174000000000003</v>
      </c>
      <c r="Z611" s="2994">
        <v>5.0617999999999999</v>
      </c>
      <c r="AA611" s="2994">
        <v>5.2118000000000002</v>
      </c>
      <c r="AB611" s="2994">
        <v>4.0724</v>
      </c>
      <c r="AC611" s="2994">
        <v>4.5895000000000001</v>
      </c>
      <c r="AD611" s="2994">
        <v>5.173</v>
      </c>
      <c r="AE611" s="2994">
        <v>4.8387000000000002</v>
      </c>
      <c r="AF611" s="2994">
        <v>4.9923000000000002</v>
      </c>
      <c r="AG611" s="2994">
        <v>8.0856999999999992</v>
      </c>
      <c r="AH611" s="2994">
        <v>8.6601999999999997</v>
      </c>
      <c r="AI611" s="2994">
        <v>7.9862000000000002</v>
      </c>
      <c r="AJ611" s="2994">
        <v>7.0129999999999999</v>
      </c>
      <c r="AK611" s="2994">
        <v>6.6365999999999996</v>
      </c>
      <c r="AL611" s="2994">
        <v>6.4204999999999997</v>
      </c>
      <c r="AM611" s="2994">
        <v>6.3905000000000003</v>
      </c>
      <c r="AN611" s="2994">
        <v>6.1405000000000003</v>
      </c>
      <c r="AO611" s="2994">
        <v>6.8036000000000003</v>
      </c>
      <c r="AP611" s="2994">
        <v>8.1649999999999991</v>
      </c>
      <c r="AQ611" s="2994">
        <v>7.6596000000000002</v>
      </c>
      <c r="AR611" s="2994">
        <v>9.5920000000000005</v>
      </c>
      <c r="AS611" s="2994">
        <v>9.6126000000000005</v>
      </c>
      <c r="AT611" s="2994">
        <v>11.0503</v>
      </c>
      <c r="AU611" s="2994">
        <v>10.4963</v>
      </c>
      <c r="AV611" s="2994">
        <v>12.657400000000001</v>
      </c>
      <c r="AW611" s="2994">
        <v>12.027100000000001</v>
      </c>
      <c r="AX611" s="2994">
        <v>11.806100000000001</v>
      </c>
      <c r="AY611" s="2994">
        <v>11.506500000000001</v>
      </c>
      <c r="AZ611" s="2994">
        <v>12.0016</v>
      </c>
      <c r="BA611" s="2994">
        <v>11.1249</v>
      </c>
      <c r="BB611" s="2994">
        <v>12.4572</v>
      </c>
      <c r="BC611" s="2994">
        <v>11.484999999999999</v>
      </c>
      <c r="BD611" s="3471">
        <v>10.8026</v>
      </c>
      <c r="BE611" s="3471">
        <v>10.798400000000001</v>
      </c>
      <c r="BF611" s="3471">
        <v>0</v>
      </c>
    </row>
    <row r="612" spans="1:58">
      <c r="A612" s="1817" t="str">
        <f t="shared" si="19"/>
        <v>South AmericaPopcorn</v>
      </c>
      <c r="B612" s="1818" t="s">
        <v>306</v>
      </c>
      <c r="C612" s="1818" t="s">
        <v>7366</v>
      </c>
      <c r="D612" s="3463" t="str">
        <f>VLOOKUP(B612,List_Yield!$G$4:$J$14,4,FALSE)</f>
        <v>South America</v>
      </c>
      <c r="E612" s="3463" t="str">
        <f t="shared" si="18"/>
        <v>South AmericaPopcorn</v>
      </c>
      <c r="F612" s="2994">
        <v>0</v>
      </c>
      <c r="G612" s="2994">
        <v>0</v>
      </c>
      <c r="H612" s="2994">
        <v>0</v>
      </c>
      <c r="I612" s="2994">
        <v>0</v>
      </c>
      <c r="J612" s="2994">
        <v>0</v>
      </c>
      <c r="K612" s="2994">
        <v>0</v>
      </c>
      <c r="L612" s="2994">
        <v>0</v>
      </c>
      <c r="M612" s="2994">
        <v>0</v>
      </c>
      <c r="N612" s="2994">
        <v>0</v>
      </c>
      <c r="O612" s="2994">
        <v>0</v>
      </c>
      <c r="P612" s="2994">
        <v>0</v>
      </c>
      <c r="Q612" s="2994">
        <v>0</v>
      </c>
      <c r="R612" s="2994">
        <v>0</v>
      </c>
      <c r="S612" s="2994">
        <v>0</v>
      </c>
      <c r="T612" s="2994">
        <v>0</v>
      </c>
      <c r="U612" s="2994">
        <v>0</v>
      </c>
      <c r="V612" s="2994">
        <v>0</v>
      </c>
      <c r="W612" s="2994">
        <v>0</v>
      </c>
      <c r="X612" s="2994">
        <v>0</v>
      </c>
      <c r="Y612" s="2994">
        <v>0</v>
      </c>
      <c r="Z612" s="2994">
        <v>0</v>
      </c>
      <c r="AA612" s="2994">
        <v>0</v>
      </c>
      <c r="AB612" s="2994">
        <v>0</v>
      </c>
      <c r="AC612" s="2994">
        <v>0</v>
      </c>
      <c r="AD612" s="2994">
        <v>0</v>
      </c>
      <c r="AE612" s="2994">
        <v>0</v>
      </c>
      <c r="AF612" s="2994">
        <v>0</v>
      </c>
      <c r="AG612" s="2994">
        <v>0</v>
      </c>
      <c r="AH612" s="2994">
        <v>0</v>
      </c>
      <c r="AI612" s="2994">
        <v>0</v>
      </c>
      <c r="AJ612" s="2994">
        <v>0</v>
      </c>
      <c r="AK612" s="2994">
        <v>0</v>
      </c>
      <c r="AL612" s="2994">
        <v>0</v>
      </c>
      <c r="AM612" s="2994">
        <v>0</v>
      </c>
      <c r="AN612" s="2994">
        <v>0</v>
      </c>
      <c r="AO612" s="2994">
        <v>0</v>
      </c>
      <c r="AP612" s="2994">
        <v>0</v>
      </c>
      <c r="AQ612" s="2994">
        <v>0</v>
      </c>
      <c r="AR612" s="2994">
        <v>0</v>
      </c>
      <c r="AS612" s="2994">
        <v>0</v>
      </c>
      <c r="AT612" s="2994">
        <v>0</v>
      </c>
      <c r="AU612" s="2994">
        <v>0</v>
      </c>
      <c r="AV612" s="2994">
        <v>0</v>
      </c>
      <c r="AW612" s="2994">
        <v>0</v>
      </c>
      <c r="AX612" s="2994">
        <v>0</v>
      </c>
      <c r="AY612" s="2994">
        <v>0</v>
      </c>
      <c r="AZ612" s="2994">
        <v>0</v>
      </c>
      <c r="BA612" s="2994">
        <v>0</v>
      </c>
      <c r="BB612" s="2994">
        <v>0</v>
      </c>
      <c r="BC612" s="2994">
        <v>0</v>
      </c>
      <c r="BD612" s="3471">
        <v>0</v>
      </c>
      <c r="BE612" s="3471">
        <v>0</v>
      </c>
      <c r="BF612" s="3471">
        <v>0</v>
      </c>
    </row>
    <row r="613" spans="1:58">
      <c r="A613" s="1817" t="str">
        <f t="shared" si="19"/>
        <v>South AmericaPoppy seed</v>
      </c>
      <c r="B613" s="1818" t="s">
        <v>306</v>
      </c>
      <c r="C613" s="1818" t="s">
        <v>7367</v>
      </c>
      <c r="D613" s="3463" t="str">
        <f>VLOOKUP(B613,List_Yield!$G$4:$J$14,4,FALSE)</f>
        <v>South America</v>
      </c>
      <c r="E613" s="3463" t="str">
        <f t="shared" si="18"/>
        <v>South AmericaPoppy seed</v>
      </c>
      <c r="F613" s="2994">
        <v>0</v>
      </c>
      <c r="G613" s="2994">
        <v>0</v>
      </c>
      <c r="H613" s="2994">
        <v>0</v>
      </c>
      <c r="I613" s="2994">
        <v>0</v>
      </c>
      <c r="J613" s="2994">
        <v>0</v>
      </c>
      <c r="K613" s="2994">
        <v>0</v>
      </c>
      <c r="L613" s="2994">
        <v>0</v>
      </c>
      <c r="M613" s="2994">
        <v>0</v>
      </c>
      <c r="N613" s="2994">
        <v>0</v>
      </c>
      <c r="O613" s="2994">
        <v>0</v>
      </c>
      <c r="P613" s="2994">
        <v>0</v>
      </c>
      <c r="Q613" s="2994">
        <v>0</v>
      </c>
      <c r="R613" s="2994">
        <v>0</v>
      </c>
      <c r="S613" s="2994">
        <v>0</v>
      </c>
      <c r="T613" s="2994">
        <v>0</v>
      </c>
      <c r="U613" s="2994">
        <v>0</v>
      </c>
      <c r="V613" s="2994">
        <v>0</v>
      </c>
      <c r="W613" s="2994">
        <v>0</v>
      </c>
      <c r="X613" s="2994">
        <v>0</v>
      </c>
      <c r="Y613" s="2994">
        <v>0</v>
      </c>
      <c r="Z613" s="2994">
        <v>0</v>
      </c>
      <c r="AA613" s="2994">
        <v>0</v>
      </c>
      <c r="AB613" s="2994">
        <v>0</v>
      </c>
      <c r="AC613" s="2994">
        <v>0</v>
      </c>
      <c r="AD613" s="2994">
        <v>0</v>
      </c>
      <c r="AE613" s="2994">
        <v>0</v>
      </c>
      <c r="AF613" s="2994">
        <v>0</v>
      </c>
      <c r="AG613" s="2994">
        <v>0</v>
      </c>
      <c r="AH613" s="2994">
        <v>0</v>
      </c>
      <c r="AI613" s="2994">
        <v>0</v>
      </c>
      <c r="AJ613" s="2994">
        <v>0</v>
      </c>
      <c r="AK613" s="2994">
        <v>0</v>
      </c>
      <c r="AL613" s="2994">
        <v>0</v>
      </c>
      <c r="AM613" s="2994">
        <v>0</v>
      </c>
      <c r="AN613" s="2994">
        <v>0</v>
      </c>
      <c r="AO613" s="2994">
        <v>0</v>
      </c>
      <c r="AP613" s="2994">
        <v>0</v>
      </c>
      <c r="AQ613" s="2994">
        <v>0</v>
      </c>
      <c r="AR613" s="2994">
        <v>0</v>
      </c>
      <c r="AS613" s="2994">
        <v>0</v>
      </c>
      <c r="AT613" s="2994">
        <v>0</v>
      </c>
      <c r="AU613" s="2994">
        <v>0</v>
      </c>
      <c r="AV613" s="2994">
        <v>0</v>
      </c>
      <c r="AW613" s="2994">
        <v>0</v>
      </c>
      <c r="AX613" s="2994">
        <v>0</v>
      </c>
      <c r="AY613" s="2994">
        <v>0</v>
      </c>
      <c r="AZ613" s="2994">
        <v>0</v>
      </c>
      <c r="BA613" s="2994">
        <v>0</v>
      </c>
      <c r="BB613" s="2994">
        <v>0</v>
      </c>
      <c r="BC613" s="2994">
        <v>0</v>
      </c>
      <c r="BD613" s="3471">
        <v>0</v>
      </c>
      <c r="BE613" s="3471">
        <v>0</v>
      </c>
      <c r="BF613" s="3471">
        <v>0</v>
      </c>
    </row>
    <row r="614" spans="1:58">
      <c r="A614" s="1817" t="str">
        <f t="shared" si="19"/>
        <v>South AmericaPotatoes</v>
      </c>
      <c r="B614" s="1818" t="s">
        <v>306</v>
      </c>
      <c r="C614" s="1818" t="s">
        <v>1368</v>
      </c>
      <c r="D614" s="3463" t="str">
        <f>VLOOKUP(B614,List_Yield!$G$4:$J$14,4,FALSE)</f>
        <v>South America</v>
      </c>
      <c r="E614" s="3463" t="str">
        <f t="shared" si="18"/>
        <v>South AmericaPotatoes</v>
      </c>
      <c r="F614" s="2994">
        <v>7.1755000000000004</v>
      </c>
      <c r="G614" s="2994">
        <v>6.8147000000000002</v>
      </c>
      <c r="H614" s="2994">
        <v>6.7070999999999996</v>
      </c>
      <c r="I614" s="2994">
        <v>7.0793999999999997</v>
      </c>
      <c r="J614" s="2994">
        <v>7.8639999999999999</v>
      </c>
      <c r="K614" s="2994">
        <v>7.2704000000000004</v>
      </c>
      <c r="L614" s="2994">
        <v>7.6626000000000003</v>
      </c>
      <c r="M614" s="2994">
        <v>7.9206000000000003</v>
      </c>
      <c r="N614" s="2994">
        <v>8.0467999999999993</v>
      </c>
      <c r="O614" s="2994">
        <v>8.3986999999999998</v>
      </c>
      <c r="P614" s="2994">
        <v>8.7291000000000007</v>
      </c>
      <c r="Q614" s="2994">
        <v>7.7847</v>
      </c>
      <c r="R614" s="2994">
        <v>8.3043999999999993</v>
      </c>
      <c r="S614" s="2994">
        <v>9.4085000000000001</v>
      </c>
      <c r="T614" s="2994">
        <v>8.8249999999999993</v>
      </c>
      <c r="U614" s="2994">
        <v>9.1022999999999996</v>
      </c>
      <c r="V614" s="2994">
        <v>9.4743999999999993</v>
      </c>
      <c r="W614" s="2994">
        <v>9.3665000000000003</v>
      </c>
      <c r="X614" s="2994">
        <v>9.4732000000000003</v>
      </c>
      <c r="Y614" s="2994">
        <v>9.3193000000000001</v>
      </c>
      <c r="Z614" s="2994">
        <v>10.629300000000001</v>
      </c>
      <c r="AA614" s="2994">
        <v>10.561199999999999</v>
      </c>
      <c r="AB614" s="2994">
        <v>10.5731</v>
      </c>
      <c r="AC614" s="2994">
        <v>11.561400000000001</v>
      </c>
      <c r="AD614" s="2994">
        <v>11.4251</v>
      </c>
      <c r="AE614" s="2994">
        <v>10.9087</v>
      </c>
      <c r="AF614" s="2994">
        <v>11.3239</v>
      </c>
      <c r="AG614" s="2994">
        <v>12.4893</v>
      </c>
      <c r="AH614" s="2994">
        <v>12.1928</v>
      </c>
      <c r="AI614" s="2994">
        <v>11.9816</v>
      </c>
      <c r="AJ614" s="2994">
        <v>11.718999999999999</v>
      </c>
      <c r="AK614" s="2994">
        <v>11.845000000000001</v>
      </c>
      <c r="AL614" s="2994">
        <v>12.249599999999999</v>
      </c>
      <c r="AM614" s="2994">
        <v>12.8733</v>
      </c>
      <c r="AN614" s="2994">
        <v>13.220800000000001</v>
      </c>
      <c r="AO614" s="2994">
        <v>12.833500000000001</v>
      </c>
      <c r="AP614" s="2994">
        <v>13.757099999999999</v>
      </c>
      <c r="AQ614" s="2994">
        <v>13.7432</v>
      </c>
      <c r="AR614" s="2994">
        <v>14.0954</v>
      </c>
      <c r="AS614" s="2994">
        <v>13.457599999999999</v>
      </c>
      <c r="AT614" s="2994">
        <v>14.6792</v>
      </c>
      <c r="AU614" s="2994">
        <v>14.8392</v>
      </c>
      <c r="AV614" s="2994">
        <v>14.9778</v>
      </c>
      <c r="AW614" s="2994">
        <v>14.9093</v>
      </c>
      <c r="AX614" s="2994">
        <v>14.9316</v>
      </c>
      <c r="AY614" s="2994">
        <v>15.318300000000001</v>
      </c>
      <c r="AZ614" s="2994">
        <v>15.3398</v>
      </c>
      <c r="BA614" s="2994">
        <v>15.749000000000001</v>
      </c>
      <c r="BB614" s="2994">
        <v>15.392300000000001</v>
      </c>
      <c r="BC614" s="2994">
        <v>15.6768</v>
      </c>
      <c r="BD614" s="3471">
        <v>16.665199999999999</v>
      </c>
      <c r="BE614" s="3471">
        <v>16.708500000000001</v>
      </c>
      <c r="BF614" s="3471">
        <v>16.2822</v>
      </c>
    </row>
    <row r="615" spans="1:58">
      <c r="A615" s="1817" t="str">
        <f t="shared" si="19"/>
        <v>South AmericaPulses, nes</v>
      </c>
      <c r="B615" s="1818" t="s">
        <v>306</v>
      </c>
      <c r="C615" s="1818" t="s">
        <v>1369</v>
      </c>
      <c r="D615" s="3463" t="str">
        <f>VLOOKUP(B615,List_Yield!$G$4:$J$14,4,FALSE)</f>
        <v>South America</v>
      </c>
      <c r="E615" s="3463" t="str">
        <f t="shared" si="18"/>
        <v>South AmericaPulses, nes</v>
      </c>
      <c r="F615" s="2994">
        <v>0.93779999999999997</v>
      </c>
      <c r="G615" s="2994">
        <v>0.93940000000000001</v>
      </c>
      <c r="H615" s="2994">
        <v>0.9657</v>
      </c>
      <c r="I615" s="2994">
        <v>0.98429999999999995</v>
      </c>
      <c r="J615" s="2994">
        <v>1.0044999999999999</v>
      </c>
      <c r="K615" s="2994">
        <v>1.2017</v>
      </c>
      <c r="L615" s="2994">
        <v>1.2628999999999999</v>
      </c>
      <c r="M615" s="2994">
        <v>1.298</v>
      </c>
      <c r="N615" s="2994">
        <v>0.81169999999999998</v>
      </c>
      <c r="O615" s="2994">
        <v>0.878</v>
      </c>
      <c r="P615" s="2994">
        <v>0.71189999999999998</v>
      </c>
      <c r="Q615" s="2994">
        <v>0.72419999999999995</v>
      </c>
      <c r="R615" s="2994">
        <v>0.74280000000000002</v>
      </c>
      <c r="S615" s="2994">
        <v>0.80620000000000003</v>
      </c>
      <c r="T615" s="2994">
        <v>0.85460000000000003</v>
      </c>
      <c r="U615" s="2994">
        <v>0.84289999999999998</v>
      </c>
      <c r="V615" s="2994">
        <v>0.81130000000000002</v>
      </c>
      <c r="W615" s="2994">
        <v>0.74880000000000002</v>
      </c>
      <c r="X615" s="2994">
        <v>0.74390000000000001</v>
      </c>
      <c r="Y615" s="2994">
        <v>0.76149999999999995</v>
      </c>
      <c r="Z615" s="2994">
        <v>0.75360000000000005</v>
      </c>
      <c r="AA615" s="2994">
        <v>0.80379999999999996</v>
      </c>
      <c r="AB615" s="2994">
        <v>0.74890000000000001</v>
      </c>
      <c r="AC615" s="2994">
        <v>0.80359999999999998</v>
      </c>
      <c r="AD615" s="2994">
        <v>0.80259999999999998</v>
      </c>
      <c r="AE615" s="2994">
        <v>0.79339999999999999</v>
      </c>
      <c r="AF615" s="2994">
        <v>0.79320000000000002</v>
      </c>
      <c r="AG615" s="2994">
        <v>0.79320000000000002</v>
      </c>
      <c r="AH615" s="2994">
        <v>0.80510000000000004</v>
      </c>
      <c r="AI615" s="2994">
        <v>0.64459999999999995</v>
      </c>
      <c r="AJ615" s="2994">
        <v>0.79749999999999999</v>
      </c>
      <c r="AK615" s="2994">
        <v>0.80900000000000005</v>
      </c>
      <c r="AL615" s="2994">
        <v>0.95250000000000001</v>
      </c>
      <c r="AM615" s="2994">
        <v>0.97660000000000002</v>
      </c>
      <c r="AN615" s="2994">
        <v>0.94420000000000004</v>
      </c>
      <c r="AO615" s="2994">
        <v>1.4416</v>
      </c>
      <c r="AP615" s="2994">
        <v>1.6487000000000001</v>
      </c>
      <c r="AQ615" s="2994">
        <v>2.1469</v>
      </c>
      <c r="AR615" s="2994">
        <v>1.3371999999999999</v>
      </c>
      <c r="AS615" s="2994">
        <v>1.4218999999999999</v>
      </c>
      <c r="AT615" s="2994">
        <v>1.4059999999999999</v>
      </c>
      <c r="AU615" s="2994">
        <v>1.3898999999999999</v>
      </c>
      <c r="AV615" s="2994">
        <v>1.3775999999999999</v>
      </c>
      <c r="AW615" s="2994">
        <v>1.3635999999999999</v>
      </c>
      <c r="AX615" s="2994">
        <v>1.3090999999999999</v>
      </c>
      <c r="AY615" s="2994">
        <v>1.3692</v>
      </c>
      <c r="AZ615" s="2994">
        <v>1.3808</v>
      </c>
      <c r="BA615" s="2994">
        <v>1.3861000000000001</v>
      </c>
      <c r="BB615" s="2994">
        <v>1.4259999999999999</v>
      </c>
      <c r="BC615" s="2994">
        <v>1.4349000000000001</v>
      </c>
      <c r="BD615" s="3471">
        <v>1.3841000000000001</v>
      </c>
      <c r="BE615" s="3471">
        <v>1.4617</v>
      </c>
      <c r="BF615" s="3471">
        <v>1.4096</v>
      </c>
    </row>
    <row r="616" spans="1:58">
      <c r="A616" s="1817" t="str">
        <f t="shared" si="19"/>
        <v>South AmericaPumpkins, squash and gourds</v>
      </c>
      <c r="B616" s="1818" t="s">
        <v>306</v>
      </c>
      <c r="C616" s="1818" t="s">
        <v>7368</v>
      </c>
      <c r="D616" s="3463" t="str">
        <f>VLOOKUP(B616,List_Yield!$G$4:$J$14,4,FALSE)</f>
        <v>South America</v>
      </c>
      <c r="E616" s="3463" t="str">
        <f t="shared" si="18"/>
        <v>South AmericaPumpkins, squash and gourds</v>
      </c>
      <c r="F616" s="2994">
        <v>14.7097</v>
      </c>
      <c r="G616" s="2994">
        <v>13.3011</v>
      </c>
      <c r="H616" s="2994">
        <v>13.258900000000001</v>
      </c>
      <c r="I616" s="2994">
        <v>12.9184</v>
      </c>
      <c r="J616" s="2994">
        <v>14.742100000000001</v>
      </c>
      <c r="K616" s="2994">
        <v>13.9001</v>
      </c>
      <c r="L616" s="2994">
        <v>13.839600000000001</v>
      </c>
      <c r="M616" s="2994">
        <v>14.146599999999999</v>
      </c>
      <c r="N616" s="2994">
        <v>13.632400000000001</v>
      </c>
      <c r="O616" s="2994">
        <v>14.5166</v>
      </c>
      <c r="P616" s="2994">
        <v>14.105</v>
      </c>
      <c r="Q616" s="2994">
        <v>12.9011</v>
      </c>
      <c r="R616" s="2994">
        <v>13.139900000000001</v>
      </c>
      <c r="S616" s="2994">
        <v>11.8636</v>
      </c>
      <c r="T616" s="2994">
        <v>13.3886</v>
      </c>
      <c r="U616" s="2994">
        <v>13.4108</v>
      </c>
      <c r="V616" s="2994">
        <v>12.003500000000001</v>
      </c>
      <c r="W616" s="2994">
        <v>11.6471</v>
      </c>
      <c r="X616" s="2994">
        <v>13.0623</v>
      </c>
      <c r="Y616" s="2994">
        <v>12.2827</v>
      </c>
      <c r="Z616" s="2994">
        <v>12.4079</v>
      </c>
      <c r="AA616" s="2994">
        <v>12.5174</v>
      </c>
      <c r="AB616" s="2994">
        <v>12.250400000000001</v>
      </c>
      <c r="AC616" s="2994">
        <v>12.6981</v>
      </c>
      <c r="AD616" s="2994">
        <v>13.127700000000001</v>
      </c>
      <c r="AE616" s="2994">
        <v>14.2311</v>
      </c>
      <c r="AF616" s="2994">
        <v>11.9749</v>
      </c>
      <c r="AG616" s="2994">
        <v>12.0687</v>
      </c>
      <c r="AH616" s="2994">
        <v>11.966100000000001</v>
      </c>
      <c r="AI616" s="2994">
        <v>10.2067</v>
      </c>
      <c r="AJ616" s="2994">
        <v>10.653600000000001</v>
      </c>
      <c r="AK616" s="2994">
        <v>10.1424</v>
      </c>
      <c r="AL616" s="2994">
        <v>10.217599999999999</v>
      </c>
      <c r="AM616" s="2994">
        <v>10.731199999999999</v>
      </c>
      <c r="AN616" s="2994">
        <v>13.616899999999999</v>
      </c>
      <c r="AO616" s="2994">
        <v>12.6594</v>
      </c>
      <c r="AP616" s="2994">
        <v>12.567500000000001</v>
      </c>
      <c r="AQ616" s="2994">
        <v>12.023999999999999</v>
      </c>
      <c r="AR616" s="2994">
        <v>12.7218</v>
      </c>
      <c r="AS616" s="2994">
        <v>12.458600000000001</v>
      </c>
      <c r="AT616" s="2994">
        <v>12.615</v>
      </c>
      <c r="AU616" s="2994">
        <v>12.635999999999999</v>
      </c>
      <c r="AV616" s="2994">
        <v>13.4558</v>
      </c>
      <c r="AW616" s="2994">
        <v>12.9122</v>
      </c>
      <c r="AX616" s="2994">
        <v>13.0883</v>
      </c>
      <c r="AY616" s="2994">
        <v>14.0571</v>
      </c>
      <c r="AZ616" s="2994">
        <v>14.608700000000001</v>
      </c>
      <c r="BA616" s="2994">
        <v>16.120699999999999</v>
      </c>
      <c r="BB616" s="2994">
        <v>17.2407</v>
      </c>
      <c r="BC616" s="2994">
        <v>16.058599999999998</v>
      </c>
      <c r="BD616" s="3471">
        <v>17.1937</v>
      </c>
      <c r="BE616" s="3471">
        <v>17.3276</v>
      </c>
      <c r="BF616" s="3471">
        <v>0</v>
      </c>
    </row>
    <row r="617" spans="1:58">
      <c r="A617" s="1817" t="str">
        <f t="shared" si="19"/>
        <v>South AmericaPyrethrum, dried</v>
      </c>
      <c r="B617" s="1818" t="s">
        <v>306</v>
      </c>
      <c r="C617" s="1818" t="s">
        <v>7369</v>
      </c>
      <c r="D617" s="3463" t="str">
        <f>VLOOKUP(B617,List_Yield!$G$4:$J$14,4,FALSE)</f>
        <v>South America</v>
      </c>
      <c r="E617" s="3463" t="str">
        <f t="shared" si="18"/>
        <v>South AmericaPyrethrum, dried</v>
      </c>
      <c r="F617" s="2994">
        <v>0.27779999999999999</v>
      </c>
      <c r="G617" s="2994">
        <v>0.27779999999999999</v>
      </c>
      <c r="H617" s="2994">
        <v>0.36670000000000003</v>
      </c>
      <c r="I617" s="2994">
        <v>0.4</v>
      </c>
      <c r="J617" s="2994">
        <v>0.28570000000000001</v>
      </c>
      <c r="K617" s="2994">
        <v>0.34250000000000003</v>
      </c>
      <c r="L617" s="2994">
        <v>0.40460000000000002</v>
      </c>
      <c r="M617" s="2994">
        <v>0.45219999999999999</v>
      </c>
      <c r="N617" s="2994">
        <v>0.37369999999999998</v>
      </c>
      <c r="O617" s="2994">
        <v>0.4204</v>
      </c>
      <c r="P617" s="2994">
        <v>0.4597</v>
      </c>
      <c r="Q617" s="2994">
        <v>0.52639999999999998</v>
      </c>
      <c r="R617" s="2994">
        <v>0.72419999999999995</v>
      </c>
      <c r="S617" s="2994">
        <v>0.69969999999999999</v>
      </c>
      <c r="T617" s="2994">
        <v>0.70040000000000002</v>
      </c>
      <c r="U617" s="2994">
        <v>0.99080000000000001</v>
      </c>
      <c r="V617" s="2994">
        <v>1.2992999999999999</v>
      </c>
      <c r="W617" s="2994">
        <v>1.4776</v>
      </c>
      <c r="X617" s="2994">
        <v>1.2104999999999999</v>
      </c>
      <c r="Y617" s="2994">
        <v>1.2237</v>
      </c>
      <c r="Z617" s="2994">
        <v>1.3158000000000001</v>
      </c>
      <c r="AA617" s="2994">
        <v>4.3333000000000004</v>
      </c>
      <c r="AB617" s="2994">
        <v>0.67579999999999996</v>
      </c>
      <c r="AC617" s="2994">
        <v>2.5699000000000001</v>
      </c>
      <c r="AD617" s="2994">
        <v>2.7262</v>
      </c>
      <c r="AE617" s="2994">
        <v>0.38100000000000001</v>
      </c>
      <c r="AF617" s="2994">
        <v>0.6</v>
      </c>
      <c r="AG617" s="2994">
        <v>0.32350000000000001</v>
      </c>
      <c r="AH617" s="2994">
        <v>0.3478</v>
      </c>
      <c r="AI617" s="2994">
        <v>0.375</v>
      </c>
      <c r="AJ617" s="2994">
        <v>0.43330000000000002</v>
      </c>
      <c r="AK617" s="2994">
        <v>0.4</v>
      </c>
      <c r="AL617" s="2994">
        <v>0.4</v>
      </c>
      <c r="AM617" s="2994">
        <v>0.40629999999999999</v>
      </c>
      <c r="AN617" s="2994">
        <v>0.4118</v>
      </c>
      <c r="AO617" s="2994">
        <v>0.44440000000000002</v>
      </c>
      <c r="AP617" s="2994">
        <v>0.5</v>
      </c>
      <c r="AQ617" s="2994">
        <v>0.5</v>
      </c>
      <c r="AR617" s="2994">
        <v>0.5</v>
      </c>
      <c r="AS617" s="2994">
        <v>0.5</v>
      </c>
      <c r="AT617" s="2994">
        <v>0.5</v>
      </c>
      <c r="AU617" s="2994">
        <v>0.5</v>
      </c>
      <c r="AV617" s="2994">
        <v>0.5</v>
      </c>
      <c r="AW617" s="2994">
        <v>0.5</v>
      </c>
      <c r="AX617" s="2994">
        <v>0.5</v>
      </c>
      <c r="AY617" s="2994">
        <v>0.5</v>
      </c>
      <c r="AZ617" s="2994">
        <v>0.5</v>
      </c>
      <c r="BA617" s="2994">
        <v>0.5</v>
      </c>
      <c r="BB617" s="2994">
        <v>0.5</v>
      </c>
      <c r="BC617" s="2994">
        <v>0.5</v>
      </c>
      <c r="BD617" s="3471">
        <v>0.5</v>
      </c>
      <c r="BE617" s="3471">
        <v>0.5</v>
      </c>
      <c r="BF617" s="3471">
        <v>0</v>
      </c>
    </row>
    <row r="618" spans="1:58">
      <c r="A618" s="1817" t="str">
        <f t="shared" si="19"/>
        <v>South AmericaQuinces</v>
      </c>
      <c r="B618" s="1818" t="s">
        <v>306</v>
      </c>
      <c r="C618" s="1818" t="s">
        <v>7370</v>
      </c>
      <c r="D618" s="3463" t="str">
        <f>VLOOKUP(B618,List_Yield!$G$4:$J$14,4,FALSE)</f>
        <v>South America</v>
      </c>
      <c r="E618" s="3463" t="str">
        <f t="shared" si="18"/>
        <v>South AmericaQuinces</v>
      </c>
      <c r="F618" s="2994">
        <v>7.5368000000000004</v>
      </c>
      <c r="G618" s="2994">
        <v>9.0350999999999999</v>
      </c>
      <c r="H618" s="2994">
        <v>7.1299000000000001</v>
      </c>
      <c r="I618" s="2994">
        <v>6.24</v>
      </c>
      <c r="J618" s="2994">
        <v>7.3545999999999996</v>
      </c>
      <c r="K618" s="2994">
        <v>5.8742999999999999</v>
      </c>
      <c r="L618" s="2994">
        <v>5.6699000000000002</v>
      </c>
      <c r="M618" s="2994">
        <v>4.7598000000000003</v>
      </c>
      <c r="N618" s="2994">
        <v>5.5163000000000002</v>
      </c>
      <c r="O618" s="2994">
        <v>5.5382999999999996</v>
      </c>
      <c r="P618" s="2994">
        <v>7.2876000000000003</v>
      </c>
      <c r="Q618" s="2994">
        <v>7.3213999999999997</v>
      </c>
      <c r="R618" s="2994">
        <v>8.2985000000000007</v>
      </c>
      <c r="S618" s="2994">
        <v>10.484500000000001</v>
      </c>
      <c r="T618" s="2994">
        <v>10.073499999999999</v>
      </c>
      <c r="U618" s="2994">
        <v>10.0169</v>
      </c>
      <c r="V618" s="2994">
        <v>10.0206</v>
      </c>
      <c r="W618" s="2994">
        <v>8.9138000000000002</v>
      </c>
      <c r="X618" s="2994">
        <v>9.5513999999999992</v>
      </c>
      <c r="Y618" s="2994">
        <v>9.2881</v>
      </c>
      <c r="Z618" s="2994">
        <v>9.9586000000000006</v>
      </c>
      <c r="AA618" s="2994">
        <v>8.7308000000000003</v>
      </c>
      <c r="AB618" s="2994">
        <v>9.6174999999999997</v>
      </c>
      <c r="AC618" s="2994">
        <v>9.8975000000000009</v>
      </c>
      <c r="AD618" s="2994">
        <v>5.3893000000000004</v>
      </c>
      <c r="AE618" s="2994">
        <v>5.3459000000000003</v>
      </c>
      <c r="AF618" s="2994">
        <v>4.5834999999999999</v>
      </c>
      <c r="AG618" s="2994">
        <v>5.6756000000000002</v>
      </c>
      <c r="AH618" s="2994">
        <v>5.7767999999999997</v>
      </c>
      <c r="AI618" s="2994">
        <v>6.0274000000000001</v>
      </c>
      <c r="AJ618" s="2994">
        <v>6.1657999999999999</v>
      </c>
      <c r="AK618" s="2994">
        <v>6.2215999999999996</v>
      </c>
      <c r="AL618" s="2994">
        <v>6.4236000000000004</v>
      </c>
      <c r="AM618" s="2994">
        <v>7.0277000000000003</v>
      </c>
      <c r="AN618" s="2994">
        <v>7.1014999999999997</v>
      </c>
      <c r="AO618" s="2994">
        <v>6.8186</v>
      </c>
      <c r="AP618" s="2994">
        <v>7.7434000000000003</v>
      </c>
      <c r="AQ618" s="2994">
        <v>7.2291999999999996</v>
      </c>
      <c r="AR618" s="2994">
        <v>7.0776000000000003</v>
      </c>
      <c r="AS618" s="2994">
        <v>7.7016999999999998</v>
      </c>
      <c r="AT618" s="2994">
        <v>8.2065000000000001</v>
      </c>
      <c r="AU618" s="2994">
        <v>9.0151000000000003</v>
      </c>
      <c r="AV618" s="2994">
        <v>9.4359000000000002</v>
      </c>
      <c r="AW618" s="2994">
        <v>9.1501999999999999</v>
      </c>
      <c r="AX618" s="2994">
        <v>9.2044999999999995</v>
      </c>
      <c r="AY618" s="2994">
        <v>8.8716000000000008</v>
      </c>
      <c r="AZ618" s="2994">
        <v>8.5397999999999996</v>
      </c>
      <c r="BA618" s="2994">
        <v>7.181</v>
      </c>
      <c r="BB618" s="2994">
        <v>7.5129000000000001</v>
      </c>
      <c r="BC618" s="2994">
        <v>7.8085000000000004</v>
      </c>
      <c r="BD618" s="3471">
        <v>9.4200999999999997</v>
      </c>
      <c r="BE618" s="3471">
        <v>9.6686999999999994</v>
      </c>
      <c r="BF618" s="3471">
        <v>0</v>
      </c>
    </row>
    <row r="619" spans="1:58">
      <c r="A619" s="1817" t="str">
        <f t="shared" si="19"/>
        <v>South AmericaQuinoa</v>
      </c>
      <c r="B619" s="1818" t="s">
        <v>306</v>
      </c>
      <c r="C619" s="1818" t="s">
        <v>1385</v>
      </c>
      <c r="D619" s="3463" t="str">
        <f>VLOOKUP(B619,List_Yield!$G$4:$J$14,4,FALSE)</f>
        <v>South America</v>
      </c>
      <c r="E619" s="3463" t="str">
        <f t="shared" si="18"/>
        <v>South AmericaQuinoa</v>
      </c>
      <c r="F619" s="2994">
        <v>0.61719999999999997</v>
      </c>
      <c r="G619" s="2994">
        <v>0.67069999999999996</v>
      </c>
      <c r="H619" s="2994">
        <v>0.74439999999999995</v>
      </c>
      <c r="I619" s="2994">
        <v>0.70740000000000003</v>
      </c>
      <c r="J619" s="2994">
        <v>0.69589999999999996</v>
      </c>
      <c r="K619" s="2994">
        <v>0.61240000000000006</v>
      </c>
      <c r="L619" s="2994">
        <v>0.71050000000000002</v>
      </c>
      <c r="M619" s="2994">
        <v>0.62009999999999998</v>
      </c>
      <c r="N619" s="2994">
        <v>0.55759999999999998</v>
      </c>
      <c r="O619" s="2994">
        <v>0.60019999999999996</v>
      </c>
      <c r="P619" s="2994">
        <v>0.56859999999999999</v>
      </c>
      <c r="Q619" s="2994">
        <v>0.61140000000000005</v>
      </c>
      <c r="R619" s="2994">
        <v>0.65549999999999997</v>
      </c>
      <c r="S619" s="2994">
        <v>0.66339999999999999</v>
      </c>
      <c r="T619" s="2994">
        <v>0.71909999999999996</v>
      </c>
      <c r="U619" s="2994">
        <v>0.66379999999999995</v>
      </c>
      <c r="V619" s="2994">
        <v>0.46989999999999998</v>
      </c>
      <c r="W619" s="2994">
        <v>0.48149999999999998</v>
      </c>
      <c r="X619" s="2994">
        <v>0.53600000000000003</v>
      </c>
      <c r="Y619" s="2994">
        <v>0.72409999999999997</v>
      </c>
      <c r="Z619" s="2994">
        <v>0.62960000000000005</v>
      </c>
      <c r="AA619" s="2994">
        <v>0.70420000000000005</v>
      </c>
      <c r="AB619" s="2994">
        <v>0.35420000000000001</v>
      </c>
      <c r="AC619" s="2994">
        <v>0.59570000000000001</v>
      </c>
      <c r="AD619" s="2994">
        <v>0.48759999999999998</v>
      </c>
      <c r="AE619" s="2994">
        <v>0.54359999999999997</v>
      </c>
      <c r="AF619" s="2994">
        <v>0.56130000000000002</v>
      </c>
      <c r="AG619" s="2994">
        <v>0.56579999999999997</v>
      </c>
      <c r="AH619" s="2994">
        <v>0.58640000000000003</v>
      </c>
      <c r="AI619" s="2994">
        <v>0.48359999999999997</v>
      </c>
      <c r="AJ619" s="2994">
        <v>0.63029999999999997</v>
      </c>
      <c r="AK619" s="2994">
        <v>0.46949999999999997</v>
      </c>
      <c r="AL619" s="2994">
        <v>0.64149999999999996</v>
      </c>
      <c r="AM619" s="2994">
        <v>0.61180000000000001</v>
      </c>
      <c r="AN619" s="2994">
        <v>0.58589999999999998</v>
      </c>
      <c r="AO619" s="2994">
        <v>0.70030000000000003</v>
      </c>
      <c r="AP619" s="2994">
        <v>0.75939999999999996</v>
      </c>
      <c r="AQ619" s="2994">
        <v>0.70340000000000003</v>
      </c>
      <c r="AR619" s="2994">
        <v>0.77690000000000003</v>
      </c>
      <c r="AS619" s="2994">
        <v>0.78500000000000003</v>
      </c>
      <c r="AT619" s="2994">
        <v>0.72289999999999999</v>
      </c>
      <c r="AU619" s="2994">
        <v>0.8276</v>
      </c>
      <c r="AV619" s="2994">
        <v>0.82140000000000002</v>
      </c>
      <c r="AW619" s="2994">
        <v>0.7782</v>
      </c>
      <c r="AX619" s="2994">
        <v>0.84870000000000001</v>
      </c>
      <c r="AY619" s="2994">
        <v>0.79039999999999999</v>
      </c>
      <c r="AZ619" s="2994">
        <v>0.76959999999999995</v>
      </c>
      <c r="BA619" s="2994">
        <v>0.73570000000000002</v>
      </c>
      <c r="BB619" s="2994">
        <v>0.7823</v>
      </c>
      <c r="BC619" s="2994">
        <v>0.82850000000000001</v>
      </c>
      <c r="BD619" s="3471">
        <v>0.82889999999999997</v>
      </c>
      <c r="BE619" s="3471">
        <v>0.83879999999999999</v>
      </c>
      <c r="BF619" s="3471">
        <v>0.85950000000000004</v>
      </c>
    </row>
    <row r="620" spans="1:58">
      <c r="A620" s="1817" t="str">
        <f t="shared" si="19"/>
        <v>South AmericaRamie</v>
      </c>
      <c r="B620" s="1818" t="s">
        <v>306</v>
      </c>
      <c r="C620" s="1818" t="s">
        <v>7371</v>
      </c>
      <c r="D620" s="3463" t="str">
        <f>VLOOKUP(B620,List_Yield!$G$4:$J$14,4,FALSE)</f>
        <v>South America</v>
      </c>
      <c r="E620" s="3463" t="str">
        <f t="shared" si="18"/>
        <v>South AmericaRamie</v>
      </c>
      <c r="F620" s="2994">
        <v>1.7142999999999999</v>
      </c>
      <c r="G620" s="2994">
        <v>1.7142999999999999</v>
      </c>
      <c r="H620" s="2994">
        <v>1.6922999999999999</v>
      </c>
      <c r="I620" s="2994">
        <v>1.6471</v>
      </c>
      <c r="J620" s="2994">
        <v>1.6667000000000001</v>
      </c>
      <c r="K620" s="2994">
        <v>1.7</v>
      </c>
      <c r="L620" s="2994">
        <v>1.6364000000000001</v>
      </c>
      <c r="M620" s="2994">
        <v>1.6521999999999999</v>
      </c>
      <c r="N620" s="2994">
        <v>1.68</v>
      </c>
      <c r="O620" s="2994">
        <v>1.6922999999999999</v>
      </c>
      <c r="P620" s="2994">
        <v>2.3711000000000002</v>
      </c>
      <c r="Q620" s="2994">
        <v>2.3637000000000001</v>
      </c>
      <c r="R620" s="2994">
        <v>1.6619999999999999</v>
      </c>
      <c r="S620" s="2994">
        <v>2.1341999999999999</v>
      </c>
      <c r="T620" s="2994">
        <v>1.9238999999999999</v>
      </c>
      <c r="U620" s="2994">
        <v>1.9120999999999999</v>
      </c>
      <c r="V620" s="2994">
        <v>1.7098</v>
      </c>
      <c r="W620" s="2994">
        <v>1.1281000000000001</v>
      </c>
      <c r="X620" s="2994">
        <v>1.4141999999999999</v>
      </c>
      <c r="Y620" s="2994">
        <v>2.4634</v>
      </c>
      <c r="Z620" s="2994">
        <v>1.4005000000000001</v>
      </c>
      <c r="AA620" s="2994">
        <v>1.6181000000000001</v>
      </c>
      <c r="AB620" s="2994">
        <v>2.052</v>
      </c>
      <c r="AC620" s="2994">
        <v>2.1413000000000002</v>
      </c>
      <c r="AD620" s="2994">
        <v>2.0470999999999999</v>
      </c>
      <c r="AE620" s="2994">
        <v>1.2658</v>
      </c>
      <c r="AF620" s="2994">
        <v>2.1831</v>
      </c>
      <c r="AG620" s="2994">
        <v>2.3351999999999999</v>
      </c>
      <c r="AH620" s="2994">
        <v>1.1448</v>
      </c>
      <c r="AI620" s="2994">
        <v>1.4263999999999999</v>
      </c>
      <c r="AJ620" s="2994">
        <v>1.4389000000000001</v>
      </c>
      <c r="AK620" s="2994">
        <v>1.3313999999999999</v>
      </c>
      <c r="AL620" s="2994">
        <v>1.5075000000000001</v>
      </c>
      <c r="AM620" s="2994">
        <v>1.1465000000000001</v>
      </c>
      <c r="AN620" s="2994">
        <v>1.2151000000000001</v>
      </c>
      <c r="AO620" s="2994">
        <v>1.8829</v>
      </c>
      <c r="AP620" s="2994">
        <v>1.9912000000000001</v>
      </c>
      <c r="AQ620" s="2994">
        <v>1.9742999999999999</v>
      </c>
      <c r="AR620" s="2994">
        <v>2.1333000000000002</v>
      </c>
      <c r="AS620" s="2994">
        <v>2.0430000000000001</v>
      </c>
      <c r="AT620" s="2994">
        <v>2.2481</v>
      </c>
      <c r="AU620" s="2994">
        <v>2.8708</v>
      </c>
      <c r="AV620" s="2994">
        <v>2.5621999999999998</v>
      </c>
      <c r="AW620" s="2994">
        <v>2.2189000000000001</v>
      </c>
      <c r="AX620" s="2994">
        <v>2.1484000000000001</v>
      </c>
      <c r="AY620" s="2994">
        <v>2.7315</v>
      </c>
      <c r="AZ620" s="2994">
        <v>2.7208000000000001</v>
      </c>
      <c r="BA620" s="2994">
        <v>2.2886000000000002</v>
      </c>
      <c r="BB620" s="2994">
        <v>3.3046000000000002</v>
      </c>
      <c r="BC620" s="2994">
        <v>2.2519999999999998</v>
      </c>
      <c r="BD620" s="3471">
        <v>2.6314000000000002</v>
      </c>
      <c r="BE620" s="3471">
        <v>4.1325000000000003</v>
      </c>
      <c r="BF620" s="3471">
        <v>0</v>
      </c>
    </row>
    <row r="621" spans="1:58">
      <c r="A621" s="1817" t="str">
        <f t="shared" si="19"/>
        <v>South AmericaRapeseed</v>
      </c>
      <c r="B621" s="1818" t="s">
        <v>306</v>
      </c>
      <c r="C621" s="1818" t="s">
        <v>7372</v>
      </c>
      <c r="D621" s="3463" t="str">
        <f>VLOOKUP(B621,List_Yield!$G$4:$J$14,4,FALSE)</f>
        <v>South America</v>
      </c>
      <c r="E621" s="3463" t="str">
        <f t="shared" si="18"/>
        <v>South AmericaRapeseed</v>
      </c>
      <c r="F621" s="2994">
        <v>1.1335</v>
      </c>
      <c r="G621" s="2994">
        <v>0.91810000000000003</v>
      </c>
      <c r="H621" s="2994">
        <v>1.1004</v>
      </c>
      <c r="I621" s="2994">
        <v>1.0526</v>
      </c>
      <c r="J621" s="2994">
        <v>1.1822999999999999</v>
      </c>
      <c r="K621" s="2994">
        <v>1.2234</v>
      </c>
      <c r="L621" s="2994">
        <v>1.3246</v>
      </c>
      <c r="M621" s="2994">
        <v>1.2462</v>
      </c>
      <c r="N621" s="2994">
        <v>1.2782</v>
      </c>
      <c r="O621" s="2994">
        <v>1.2816000000000001</v>
      </c>
      <c r="P621" s="2994">
        <v>1.5951</v>
      </c>
      <c r="Q621" s="2994">
        <v>1.3658999999999999</v>
      </c>
      <c r="R621" s="2994">
        <v>1.2764</v>
      </c>
      <c r="S621" s="2994">
        <v>1.3723000000000001</v>
      </c>
      <c r="T621" s="2994">
        <v>1.3467</v>
      </c>
      <c r="U621" s="2994">
        <v>1.7493000000000001</v>
      </c>
      <c r="V621" s="2994">
        <v>1.4993000000000001</v>
      </c>
      <c r="W621" s="2994">
        <v>1.4269000000000001</v>
      </c>
      <c r="X621" s="2994">
        <v>1.1793</v>
      </c>
      <c r="Y621" s="2994">
        <v>1.1968000000000001</v>
      </c>
      <c r="Z621" s="2994">
        <v>0.99780000000000002</v>
      </c>
      <c r="AA621" s="2994">
        <v>1.0306999999999999</v>
      </c>
      <c r="AB621" s="2994">
        <v>0.8931</v>
      </c>
      <c r="AC621" s="2994">
        <v>0.82779999999999998</v>
      </c>
      <c r="AD621" s="2994">
        <v>1.2941</v>
      </c>
      <c r="AE621" s="2994">
        <v>1.5229999999999999</v>
      </c>
      <c r="AF621" s="2994">
        <v>1.7523</v>
      </c>
      <c r="AG621" s="2994">
        <v>1.8033999999999999</v>
      </c>
      <c r="AH621" s="2994">
        <v>1.6460999999999999</v>
      </c>
      <c r="AI621" s="2994">
        <v>1.3605</v>
      </c>
      <c r="AJ621" s="2994">
        <v>1.4895</v>
      </c>
      <c r="AK621" s="2994">
        <v>1.5078</v>
      </c>
      <c r="AL621" s="2994">
        <v>1.5212000000000001</v>
      </c>
      <c r="AM621" s="2994">
        <v>1.5545</v>
      </c>
      <c r="AN621" s="2994">
        <v>1.6890000000000001</v>
      </c>
      <c r="AO621" s="2994">
        <v>1.5007999999999999</v>
      </c>
      <c r="AP621" s="2994">
        <v>1.837</v>
      </c>
      <c r="AQ621" s="2994">
        <v>2.1238999999999999</v>
      </c>
      <c r="AR621" s="2994">
        <v>1.8061</v>
      </c>
      <c r="AS621" s="2994">
        <v>1.8579000000000001</v>
      </c>
      <c r="AT621" s="2994">
        <v>2.1252</v>
      </c>
      <c r="AU621" s="2994">
        <v>1.6160000000000001</v>
      </c>
      <c r="AV621" s="2994">
        <v>1.8290999999999999</v>
      </c>
      <c r="AW621" s="2994">
        <v>1.7002999999999999</v>
      </c>
      <c r="AX621" s="2994">
        <v>1.6093</v>
      </c>
      <c r="AY621" s="2994">
        <v>1.4948999999999999</v>
      </c>
      <c r="AZ621" s="2994">
        <v>1.6440999999999999</v>
      </c>
      <c r="BA621" s="2994">
        <v>1.8612</v>
      </c>
      <c r="BB621" s="2994">
        <v>1.7376</v>
      </c>
      <c r="BC621" s="2994">
        <v>1.7739</v>
      </c>
      <c r="BD621" s="3471">
        <v>1.8633999999999999</v>
      </c>
      <c r="BE621" s="3471">
        <v>1.9379999999999999</v>
      </c>
      <c r="BF621" s="3471">
        <v>1.9748000000000001</v>
      </c>
    </row>
    <row r="622" spans="1:58">
      <c r="A622" s="1817" t="str">
        <f t="shared" si="19"/>
        <v>South AmericaRaspberries</v>
      </c>
      <c r="B622" s="1818" t="s">
        <v>306</v>
      </c>
      <c r="C622" s="1818" t="s">
        <v>7373</v>
      </c>
      <c r="D622" s="3463" t="str">
        <f>VLOOKUP(B622,List_Yield!$G$4:$J$14,4,FALSE)</f>
        <v>South America</v>
      </c>
      <c r="E622" s="3463" t="str">
        <f t="shared" si="18"/>
        <v>South AmericaRaspberries</v>
      </c>
      <c r="F622" s="2994">
        <v>0</v>
      </c>
      <c r="G622" s="2994">
        <v>0</v>
      </c>
      <c r="H622" s="2994">
        <v>0</v>
      </c>
      <c r="I622" s="2994">
        <v>0</v>
      </c>
      <c r="J622" s="2994">
        <v>0</v>
      </c>
      <c r="K622" s="2994">
        <v>0</v>
      </c>
      <c r="L622" s="2994">
        <v>0</v>
      </c>
      <c r="M622" s="2994">
        <v>0</v>
      </c>
      <c r="N622" s="2994">
        <v>0</v>
      </c>
      <c r="O622" s="2994">
        <v>0</v>
      </c>
      <c r="P622" s="2994">
        <v>0</v>
      </c>
      <c r="Q622" s="2994">
        <v>0</v>
      </c>
      <c r="R622" s="2994">
        <v>0</v>
      </c>
      <c r="S622" s="2994">
        <v>0</v>
      </c>
      <c r="T622" s="2994">
        <v>0</v>
      </c>
      <c r="U622" s="2994">
        <v>0</v>
      </c>
      <c r="V622" s="2994">
        <v>0</v>
      </c>
      <c r="W622" s="2994">
        <v>0</v>
      </c>
      <c r="X622" s="2994">
        <v>0</v>
      </c>
      <c r="Y622" s="2994">
        <v>0</v>
      </c>
      <c r="Z622" s="2994">
        <v>0</v>
      </c>
      <c r="AA622" s="2994">
        <v>0</v>
      </c>
      <c r="AB622" s="2994">
        <v>0</v>
      </c>
      <c r="AC622" s="2994">
        <v>0</v>
      </c>
      <c r="AD622" s="2994">
        <v>0</v>
      </c>
      <c r="AE622" s="2994">
        <v>0</v>
      </c>
      <c r="AF622" s="2994">
        <v>0</v>
      </c>
      <c r="AG622" s="2994">
        <v>0</v>
      </c>
      <c r="AH622" s="2994">
        <v>0</v>
      </c>
      <c r="AI622" s="2994">
        <v>0</v>
      </c>
      <c r="AJ622" s="2994">
        <v>0</v>
      </c>
      <c r="AK622" s="2994">
        <v>0</v>
      </c>
      <c r="AL622" s="2994">
        <v>0</v>
      </c>
      <c r="AM622" s="2994">
        <v>0</v>
      </c>
      <c r="AN622" s="2994">
        <v>0</v>
      </c>
      <c r="AO622" s="2994">
        <v>0</v>
      </c>
      <c r="AP622" s="2994">
        <v>0</v>
      </c>
      <c r="AQ622" s="2994">
        <v>0</v>
      </c>
      <c r="AR622" s="2994">
        <v>0</v>
      </c>
      <c r="AS622" s="2994">
        <v>0</v>
      </c>
      <c r="AT622" s="2994">
        <v>0</v>
      </c>
      <c r="AU622" s="2994">
        <v>0</v>
      </c>
      <c r="AV622" s="2994">
        <v>0</v>
      </c>
      <c r="AW622" s="2994">
        <v>0</v>
      </c>
      <c r="AX622" s="2994">
        <v>0</v>
      </c>
      <c r="AY622" s="2994">
        <v>0</v>
      </c>
      <c r="AZ622" s="2994">
        <v>0</v>
      </c>
      <c r="BA622" s="2994">
        <v>0</v>
      </c>
      <c r="BB622" s="2994">
        <v>0</v>
      </c>
      <c r="BC622" s="2994">
        <v>0</v>
      </c>
      <c r="BD622" s="3471">
        <v>0</v>
      </c>
      <c r="BE622" s="3471">
        <v>0</v>
      </c>
      <c r="BF622" s="3471">
        <v>0</v>
      </c>
    </row>
    <row r="623" spans="1:58">
      <c r="A623" s="1817" t="str">
        <f t="shared" si="19"/>
        <v>South AmericaRice, paddy</v>
      </c>
      <c r="B623" s="1818" t="s">
        <v>306</v>
      </c>
      <c r="C623" s="1818" t="s">
        <v>1370</v>
      </c>
      <c r="D623" s="3463" t="str">
        <f>VLOOKUP(B623,List_Yield!$G$4:$J$14,4,FALSE)</f>
        <v>South America</v>
      </c>
      <c r="E623" s="3463" t="str">
        <f t="shared" si="18"/>
        <v>South AmericaRice, paddy</v>
      </c>
      <c r="F623" s="2994">
        <v>1.8246</v>
      </c>
      <c r="G623" s="2994">
        <v>1.8007</v>
      </c>
      <c r="H623" s="2994">
        <v>1.6802999999999999</v>
      </c>
      <c r="I623" s="2994">
        <v>1.6649</v>
      </c>
      <c r="J623" s="2994">
        <v>1.7638</v>
      </c>
      <c r="K623" s="2994">
        <v>1.6221000000000001</v>
      </c>
      <c r="L623" s="2994">
        <v>1.7601</v>
      </c>
      <c r="M623" s="2994">
        <v>1.6722999999999999</v>
      </c>
      <c r="N623" s="2994">
        <v>1.6214999999999999</v>
      </c>
      <c r="O623" s="2994">
        <v>1.7521</v>
      </c>
      <c r="P623" s="2994">
        <v>1.6475</v>
      </c>
      <c r="Q623" s="2994">
        <v>1.7657</v>
      </c>
      <c r="R623" s="2994">
        <v>1.7885</v>
      </c>
      <c r="S623" s="2994">
        <v>1.8240000000000001</v>
      </c>
      <c r="T623" s="2994">
        <v>1.8383</v>
      </c>
      <c r="U623" s="2994">
        <v>1.7406999999999999</v>
      </c>
      <c r="V623" s="2994">
        <v>1.8352999999999999</v>
      </c>
      <c r="W623" s="2994">
        <v>1.7008000000000001</v>
      </c>
      <c r="X623" s="2994">
        <v>1.8142</v>
      </c>
      <c r="Y623" s="2994">
        <v>1.9028</v>
      </c>
      <c r="Z623" s="2994">
        <v>1.7874000000000001</v>
      </c>
      <c r="AA623" s="2994">
        <v>2.0379</v>
      </c>
      <c r="AB623" s="2994">
        <v>1.9525999999999999</v>
      </c>
      <c r="AC623" s="2994">
        <v>2.1358999999999999</v>
      </c>
      <c r="AD623" s="2994">
        <v>2.3151000000000002</v>
      </c>
      <c r="AE623" s="2994">
        <v>2.2029000000000001</v>
      </c>
      <c r="AF623" s="2994">
        <v>2.1726999999999999</v>
      </c>
      <c r="AG623" s="2994">
        <v>2.3708999999999998</v>
      </c>
      <c r="AH623" s="2994">
        <v>2.5510999999999999</v>
      </c>
      <c r="AI623" s="2994">
        <v>2.4331999999999998</v>
      </c>
      <c r="AJ623" s="2994">
        <v>2.71</v>
      </c>
      <c r="AK623" s="2994">
        <v>2.6044999999999998</v>
      </c>
      <c r="AL623" s="2994">
        <v>2.754</v>
      </c>
      <c r="AM623" s="2994">
        <v>2.8992</v>
      </c>
      <c r="AN623" s="2994">
        <v>3.0528</v>
      </c>
      <c r="AO623" s="2994">
        <v>3.2610999999999999</v>
      </c>
      <c r="AP623" s="2994">
        <v>3.4363000000000001</v>
      </c>
      <c r="AQ623" s="2994">
        <v>3.2185999999999999</v>
      </c>
      <c r="AR623" s="2994">
        <v>3.6633</v>
      </c>
      <c r="AS623" s="2994">
        <v>3.7004000000000001</v>
      </c>
      <c r="AT623" s="2994">
        <v>3.9247999999999998</v>
      </c>
      <c r="AU623" s="2994">
        <v>3.9699</v>
      </c>
      <c r="AV623" s="2994">
        <v>3.9559000000000002</v>
      </c>
      <c r="AW623" s="2994">
        <v>4.1543999999999999</v>
      </c>
      <c r="AX623" s="2994">
        <v>3.9786999999999999</v>
      </c>
      <c r="AY623" s="2994">
        <v>4.5118999999999998</v>
      </c>
      <c r="AZ623" s="2994">
        <v>4.4527999999999999</v>
      </c>
      <c r="BA623" s="2994">
        <v>4.8438999999999997</v>
      </c>
      <c r="BB623" s="2994">
        <v>4.7568000000000001</v>
      </c>
      <c r="BC623" s="2994">
        <v>4.5141</v>
      </c>
      <c r="BD623" s="3471">
        <v>5.1376999999999997</v>
      </c>
      <c r="BE623" s="3471">
        <v>5.0999999999999996</v>
      </c>
      <c r="BF623" s="3471">
        <v>5.1513999999999998</v>
      </c>
    </row>
    <row r="624" spans="1:58">
      <c r="A624" s="1817" t="str">
        <f t="shared" si="19"/>
        <v>South AmericaRoots and tubers, nes</v>
      </c>
      <c r="B624" s="1818" t="s">
        <v>306</v>
      </c>
      <c r="C624" s="1818" t="s">
        <v>7374</v>
      </c>
      <c r="D624" s="3463" t="str">
        <f>VLOOKUP(B624,List_Yield!$G$4:$J$14,4,FALSE)</f>
        <v>South America</v>
      </c>
      <c r="E624" s="3463" t="str">
        <f t="shared" si="18"/>
        <v>South AmericaRoots and tubers, nes</v>
      </c>
      <c r="F624" s="2994">
        <v>4.4352</v>
      </c>
      <c r="G624" s="2994">
        <v>4.5038999999999998</v>
      </c>
      <c r="H624" s="2994">
        <v>4.28</v>
      </c>
      <c r="I624" s="2994">
        <v>4.2054</v>
      </c>
      <c r="J624" s="2994">
        <v>4.2721999999999998</v>
      </c>
      <c r="K624" s="2994">
        <v>4.0289000000000001</v>
      </c>
      <c r="L624" s="2994">
        <v>4.1593</v>
      </c>
      <c r="M624" s="2994">
        <v>4.1226000000000003</v>
      </c>
      <c r="N624" s="2994">
        <v>4.2793999999999999</v>
      </c>
      <c r="O624" s="2994">
        <v>4.3384</v>
      </c>
      <c r="P624" s="2994">
        <v>4.2389000000000001</v>
      </c>
      <c r="Q624" s="2994">
        <v>4.2431999999999999</v>
      </c>
      <c r="R624" s="2994">
        <v>4.1119000000000003</v>
      </c>
      <c r="S624" s="2994">
        <v>4.0694999999999997</v>
      </c>
      <c r="T624" s="2994">
        <v>4.0614999999999997</v>
      </c>
      <c r="U624" s="2994">
        <v>4.3667999999999996</v>
      </c>
      <c r="V624" s="2994">
        <v>4.2586000000000004</v>
      </c>
      <c r="W624" s="2994">
        <v>4.2855999999999996</v>
      </c>
      <c r="X624" s="2994">
        <v>3.7387999999999999</v>
      </c>
      <c r="Y624" s="2994">
        <v>3.9796</v>
      </c>
      <c r="Z624" s="2994">
        <v>4.1307</v>
      </c>
      <c r="AA624" s="2994">
        <v>4.3728999999999996</v>
      </c>
      <c r="AB624" s="2994">
        <v>4.3198999999999996</v>
      </c>
      <c r="AC624" s="2994">
        <v>4.3730000000000002</v>
      </c>
      <c r="AD624" s="2994">
        <v>4.5354999999999999</v>
      </c>
      <c r="AE624" s="2994">
        <v>4.5932000000000004</v>
      </c>
      <c r="AF624" s="2994">
        <v>4.5839999999999996</v>
      </c>
      <c r="AG624" s="2994">
        <v>4.6285999999999996</v>
      </c>
      <c r="AH624" s="2994">
        <v>4.7344999999999997</v>
      </c>
      <c r="AI624" s="2994">
        <v>4.9789000000000003</v>
      </c>
      <c r="AJ624" s="2994">
        <v>4.8910999999999998</v>
      </c>
      <c r="AK624" s="2994">
        <v>4.7424999999999997</v>
      </c>
      <c r="AL624" s="2994">
        <v>5.1032000000000002</v>
      </c>
      <c r="AM624" s="2994">
        <v>4.9250999999999996</v>
      </c>
      <c r="AN624" s="2994">
        <v>5.0929000000000002</v>
      </c>
      <c r="AO624" s="2994">
        <v>5.1364999999999998</v>
      </c>
      <c r="AP624" s="2994">
        <v>5.3658999999999999</v>
      </c>
      <c r="AQ624" s="2994">
        <v>4.9187000000000003</v>
      </c>
      <c r="AR624" s="2994">
        <v>4.9143999999999997</v>
      </c>
      <c r="AS624" s="2994">
        <v>4.8624000000000001</v>
      </c>
      <c r="AT624" s="2994">
        <v>4.992</v>
      </c>
      <c r="AU624" s="2994">
        <v>5.1060999999999996</v>
      </c>
      <c r="AV624" s="2994">
        <v>6.2721999999999998</v>
      </c>
      <c r="AW624" s="2994">
        <v>5.9413999999999998</v>
      </c>
      <c r="AX624" s="2994">
        <v>6.0949</v>
      </c>
      <c r="AY624" s="2994">
        <v>6.2506000000000004</v>
      </c>
      <c r="AZ624" s="2994">
        <v>6.1668000000000003</v>
      </c>
      <c r="BA624" s="2994">
        <v>5.9431000000000003</v>
      </c>
      <c r="BB624" s="2994">
        <v>5.6056999999999997</v>
      </c>
      <c r="BC624" s="2994">
        <v>5.5049999999999999</v>
      </c>
      <c r="BD624" s="3471">
        <v>5.8498000000000001</v>
      </c>
      <c r="BE624" s="3471">
        <v>6.0444000000000004</v>
      </c>
      <c r="BF624" s="3471">
        <v>5.8072999999999997</v>
      </c>
    </row>
    <row r="625" spans="1:58">
      <c r="A625" s="1817" t="str">
        <f t="shared" si="19"/>
        <v>South AmericaRubber, natural</v>
      </c>
      <c r="B625" s="1818" t="s">
        <v>306</v>
      </c>
      <c r="C625" s="1818" t="s">
        <v>7375</v>
      </c>
      <c r="D625" s="3463" t="str">
        <f>VLOOKUP(B625,List_Yield!$G$4:$J$14,4,FALSE)</f>
        <v>South America</v>
      </c>
      <c r="E625" s="3463" t="str">
        <f t="shared" si="18"/>
        <v>South AmericaRubber, natural</v>
      </c>
      <c r="F625" s="2994">
        <v>0</v>
      </c>
      <c r="G625" s="2994">
        <v>0</v>
      </c>
      <c r="H625" s="2994">
        <v>0</v>
      </c>
      <c r="I625" s="2994">
        <v>0</v>
      </c>
      <c r="J625" s="2994">
        <v>0</v>
      </c>
      <c r="K625" s="2994">
        <v>0</v>
      </c>
      <c r="L625" s="2994">
        <v>0</v>
      </c>
      <c r="M625" s="2994">
        <v>0</v>
      </c>
      <c r="N625" s="2994">
        <v>0</v>
      </c>
      <c r="O625" s="2994">
        <v>0</v>
      </c>
      <c r="P625" s="2994">
        <v>0</v>
      </c>
      <c r="Q625" s="2994">
        <v>0</v>
      </c>
      <c r="R625" s="2994">
        <v>0</v>
      </c>
      <c r="S625" s="2994">
        <v>0</v>
      </c>
      <c r="T625" s="2994">
        <v>0</v>
      </c>
      <c r="U625" s="2994">
        <v>0</v>
      </c>
      <c r="V625" s="2994">
        <v>42.363100000000003</v>
      </c>
      <c r="W625" s="2994">
        <v>41.152099999999997</v>
      </c>
      <c r="X625" s="2994">
        <v>29.618300000000001</v>
      </c>
      <c r="Y625" s="2994">
        <v>28.811299999999999</v>
      </c>
      <c r="Z625" s="2994">
        <v>30.500399999999999</v>
      </c>
      <c r="AA625" s="2994">
        <v>32.951500000000003</v>
      </c>
      <c r="AB625" s="2994">
        <v>25.482099999999999</v>
      </c>
      <c r="AC625" s="2994">
        <v>26.061199999999999</v>
      </c>
      <c r="AD625" s="2994">
        <v>0.91059999999999997</v>
      </c>
      <c r="AE625" s="2994">
        <v>0.85450000000000004</v>
      </c>
      <c r="AF625" s="2994">
        <v>0.6149</v>
      </c>
      <c r="AG625" s="2994">
        <v>0.80369999999999997</v>
      </c>
      <c r="AH625" s="2994">
        <v>0.76870000000000005</v>
      </c>
      <c r="AI625" s="2994">
        <v>0.54290000000000005</v>
      </c>
      <c r="AJ625" s="2994">
        <v>0.95350000000000001</v>
      </c>
      <c r="AK625" s="2994">
        <v>0.64729999999999999</v>
      </c>
      <c r="AL625" s="2994">
        <v>0.72670000000000001</v>
      </c>
      <c r="AM625" s="2994">
        <v>0.74019999999999997</v>
      </c>
      <c r="AN625" s="2994">
        <v>0.67700000000000005</v>
      </c>
      <c r="AO625" s="2994">
        <v>1.0587</v>
      </c>
      <c r="AP625" s="2994">
        <v>1.0443</v>
      </c>
      <c r="AQ625" s="2994">
        <v>1.0712999999999999</v>
      </c>
      <c r="AR625" s="2994">
        <v>1.0587</v>
      </c>
      <c r="AS625" s="2994">
        <v>1.0746</v>
      </c>
      <c r="AT625" s="2994">
        <v>1.0572999999999999</v>
      </c>
      <c r="AU625" s="2994">
        <v>1.0831</v>
      </c>
      <c r="AV625" s="2994">
        <v>1.0470999999999999</v>
      </c>
      <c r="AW625" s="2994">
        <v>1.0707</v>
      </c>
      <c r="AX625" s="2994">
        <v>1.0589</v>
      </c>
      <c r="AY625" s="2994">
        <v>1.1269</v>
      </c>
      <c r="AZ625" s="2994">
        <v>1.1006</v>
      </c>
      <c r="BA625" s="2994">
        <v>1.0980000000000001</v>
      </c>
      <c r="BB625" s="2994">
        <v>1.1155999999999999</v>
      </c>
      <c r="BC625" s="2994">
        <v>1.2116</v>
      </c>
      <c r="BD625" s="3471">
        <v>1.3756999999999999</v>
      </c>
      <c r="BE625" s="3471">
        <v>1.4391</v>
      </c>
      <c r="BF625" s="3471">
        <v>0</v>
      </c>
    </row>
    <row r="626" spans="1:58">
      <c r="A626" s="1817" t="str">
        <f t="shared" si="19"/>
        <v>South AmericaRye</v>
      </c>
      <c r="B626" s="1818" t="s">
        <v>306</v>
      </c>
      <c r="C626" s="1818" t="s">
        <v>1327</v>
      </c>
      <c r="D626" s="3463" t="str">
        <f>VLOOKUP(B626,List_Yield!$G$4:$J$14,4,FALSE)</f>
        <v>South America</v>
      </c>
      <c r="E626" s="3463" t="str">
        <f t="shared" si="18"/>
        <v>South AmericaRye</v>
      </c>
      <c r="F626" s="2994">
        <v>0.73309999999999997</v>
      </c>
      <c r="G626" s="2994">
        <v>0.59060000000000001</v>
      </c>
      <c r="H626" s="2994">
        <v>0.81850000000000001</v>
      </c>
      <c r="I626" s="2994">
        <v>0.84350000000000003</v>
      </c>
      <c r="J626" s="2994">
        <v>0.74980000000000002</v>
      </c>
      <c r="K626" s="2994">
        <v>0.66210000000000002</v>
      </c>
      <c r="L626" s="2994">
        <v>0.63639999999999997</v>
      </c>
      <c r="M626" s="2994">
        <v>0.61029999999999995</v>
      </c>
      <c r="N626" s="2994">
        <v>0.72360000000000002</v>
      </c>
      <c r="O626" s="2994">
        <v>0.53620000000000001</v>
      </c>
      <c r="P626" s="2994">
        <v>0.61739999999999995</v>
      </c>
      <c r="Q626" s="2994">
        <v>0.92149999999999999</v>
      </c>
      <c r="R626" s="2994">
        <v>0.93149999999999999</v>
      </c>
      <c r="S626" s="2994">
        <v>0.83289999999999997</v>
      </c>
      <c r="T626" s="2994">
        <v>0.91969999999999996</v>
      </c>
      <c r="U626" s="2994">
        <v>0.96630000000000005</v>
      </c>
      <c r="V626" s="2994">
        <v>0.74519999999999997</v>
      </c>
      <c r="W626" s="2994">
        <v>0.8135</v>
      </c>
      <c r="X626" s="2994">
        <v>0.90300000000000002</v>
      </c>
      <c r="Y626" s="2994">
        <v>0.75839999999999996</v>
      </c>
      <c r="Z626" s="2994">
        <v>0.92769999999999997</v>
      </c>
      <c r="AA626" s="2994">
        <v>0.85060000000000002</v>
      </c>
      <c r="AB626" s="2994">
        <v>0.80649999999999999</v>
      </c>
      <c r="AC626" s="2994">
        <v>0.97109999999999996</v>
      </c>
      <c r="AD626" s="2994">
        <v>1.0831</v>
      </c>
      <c r="AE626" s="2994">
        <v>0.97040000000000004</v>
      </c>
      <c r="AF626" s="2994">
        <v>0.94159999999999999</v>
      </c>
      <c r="AG626" s="2994">
        <v>0.7823</v>
      </c>
      <c r="AH626" s="2994">
        <v>0.84860000000000002</v>
      </c>
      <c r="AI626" s="2994">
        <v>0.87039999999999995</v>
      </c>
      <c r="AJ626" s="2994">
        <v>1.0153000000000001</v>
      </c>
      <c r="AK626" s="2994">
        <v>0.83540000000000003</v>
      </c>
      <c r="AL626" s="2994">
        <v>0.88139999999999996</v>
      </c>
      <c r="AM626" s="2994">
        <v>0.9506</v>
      </c>
      <c r="AN626" s="2994">
        <v>0.80430000000000001</v>
      </c>
      <c r="AO626" s="2994">
        <v>0.92279999999999995</v>
      </c>
      <c r="AP626" s="2994">
        <v>1.0009999999999999</v>
      </c>
      <c r="AQ626" s="2994">
        <v>1.0768</v>
      </c>
      <c r="AR626" s="2994">
        <v>1.2856000000000001</v>
      </c>
      <c r="AS626" s="2994">
        <v>1.4237</v>
      </c>
      <c r="AT626" s="2994">
        <v>1.3621000000000001</v>
      </c>
      <c r="AU626" s="2994">
        <v>1.3708</v>
      </c>
      <c r="AV626" s="2994">
        <v>0.98019999999999996</v>
      </c>
      <c r="AW626" s="2994">
        <v>1.456</v>
      </c>
      <c r="AX626" s="2994">
        <v>1.2121</v>
      </c>
      <c r="AY626" s="2994">
        <v>1.1773</v>
      </c>
      <c r="AZ626" s="2994">
        <v>1.9712000000000001</v>
      </c>
      <c r="BA626" s="2994">
        <v>1.1356999999999999</v>
      </c>
      <c r="BB626" s="2994">
        <v>1.1614</v>
      </c>
      <c r="BC626" s="2994">
        <v>1.8643000000000001</v>
      </c>
      <c r="BD626" s="3471">
        <v>1.9325000000000001</v>
      </c>
      <c r="BE626" s="3471">
        <v>1.6937</v>
      </c>
      <c r="BF626" s="3471">
        <v>1.7032</v>
      </c>
    </row>
    <row r="627" spans="1:58">
      <c r="A627" s="1817" t="str">
        <f t="shared" si="19"/>
        <v>South AmericaSafflower seed</v>
      </c>
      <c r="B627" s="1818" t="s">
        <v>306</v>
      </c>
      <c r="C627" s="1818" t="s">
        <v>7376</v>
      </c>
      <c r="D627" s="3463" t="str">
        <f>VLOOKUP(B627,List_Yield!$G$4:$J$14,4,FALSE)</f>
        <v>South America</v>
      </c>
      <c r="E627" s="3463" t="str">
        <f t="shared" si="18"/>
        <v>South AmericaSafflower seed</v>
      </c>
      <c r="F627" s="2994">
        <v>0</v>
      </c>
      <c r="G627" s="2994">
        <v>0</v>
      </c>
      <c r="H627" s="2994">
        <v>0</v>
      </c>
      <c r="I627" s="2994">
        <v>0</v>
      </c>
      <c r="J627" s="2994">
        <v>0</v>
      </c>
      <c r="K627" s="2994">
        <v>0</v>
      </c>
      <c r="L627" s="2994">
        <v>0</v>
      </c>
      <c r="M627" s="2994">
        <v>0.7</v>
      </c>
      <c r="N627" s="2994">
        <v>0.66669999999999996</v>
      </c>
      <c r="O627" s="2994">
        <v>0.7</v>
      </c>
      <c r="P627" s="2994">
        <v>0.70699999999999996</v>
      </c>
      <c r="Q627" s="2994">
        <v>0.61</v>
      </c>
      <c r="R627" s="2994">
        <v>0.62</v>
      </c>
      <c r="S627" s="2994">
        <v>0.95730000000000004</v>
      </c>
      <c r="T627" s="2994">
        <v>0.84909999999999997</v>
      </c>
      <c r="U627" s="2994">
        <v>0.78</v>
      </c>
      <c r="V627" s="2994">
        <v>0.74070000000000003</v>
      </c>
      <c r="W627" s="2994">
        <v>0.74509999999999998</v>
      </c>
      <c r="X627" s="2994">
        <v>0.85160000000000002</v>
      </c>
      <c r="Y627" s="2994">
        <v>0.77780000000000005</v>
      </c>
      <c r="Z627" s="2994">
        <v>0.96919999999999995</v>
      </c>
      <c r="AA627" s="2994">
        <v>0.80169999999999997</v>
      </c>
      <c r="AB627" s="2994">
        <v>0.49459999999999998</v>
      </c>
      <c r="AC627" s="2994">
        <v>0.56430000000000002</v>
      </c>
      <c r="AD627" s="2994">
        <v>0.745</v>
      </c>
      <c r="AE627" s="2994">
        <v>0.43149999999999999</v>
      </c>
      <c r="AF627" s="2994">
        <v>0.49280000000000002</v>
      </c>
      <c r="AG627" s="2994">
        <v>0.84040000000000004</v>
      </c>
      <c r="AH627" s="2994">
        <v>0.75</v>
      </c>
      <c r="AI627" s="2994">
        <v>0.69</v>
      </c>
      <c r="AJ627" s="2994">
        <v>0.80489999999999995</v>
      </c>
      <c r="AK627" s="2994">
        <v>0.875</v>
      </c>
      <c r="AL627" s="2994">
        <v>0.7369</v>
      </c>
      <c r="AM627" s="2994">
        <v>0.57509999999999994</v>
      </c>
      <c r="AN627" s="2994">
        <v>0.58720000000000006</v>
      </c>
      <c r="AO627" s="2994">
        <v>0.60619999999999996</v>
      </c>
      <c r="AP627" s="2994">
        <v>0.67169999999999996</v>
      </c>
      <c r="AQ627" s="2994">
        <v>0.91110000000000002</v>
      </c>
      <c r="AR627" s="2994">
        <v>0.64090000000000003</v>
      </c>
      <c r="AS627" s="2994">
        <v>0.89680000000000004</v>
      </c>
      <c r="AT627" s="2994">
        <v>0.81799999999999995</v>
      </c>
      <c r="AU627" s="2994">
        <v>0.79659999999999997</v>
      </c>
      <c r="AV627" s="2994">
        <v>0.60450000000000004</v>
      </c>
      <c r="AW627" s="2994">
        <v>0.59209999999999996</v>
      </c>
      <c r="AX627" s="2994">
        <v>1.0619000000000001</v>
      </c>
      <c r="AY627" s="2994">
        <v>0.70499999999999996</v>
      </c>
      <c r="AZ627" s="2994">
        <v>0.78059999999999996</v>
      </c>
      <c r="BA627" s="2994">
        <v>0.75919999999999999</v>
      </c>
      <c r="BB627" s="2994">
        <v>0.89710000000000001</v>
      </c>
      <c r="BC627" s="2994">
        <v>0.66339999999999999</v>
      </c>
      <c r="BD627" s="3471">
        <v>0.7077</v>
      </c>
      <c r="BE627" s="3471">
        <v>0.6704</v>
      </c>
      <c r="BF627" s="3471">
        <v>0.56899999999999995</v>
      </c>
    </row>
    <row r="628" spans="1:58">
      <c r="A628" s="1817" t="str">
        <f t="shared" si="19"/>
        <v>South AmericaSeed cotton</v>
      </c>
      <c r="B628" s="1818" t="s">
        <v>306</v>
      </c>
      <c r="C628" s="1818" t="s">
        <v>1371</v>
      </c>
      <c r="D628" s="3463" t="str">
        <f>VLOOKUP(B628,List_Yield!$G$4:$J$14,4,FALSE)</f>
        <v>South America</v>
      </c>
      <c r="E628" s="3463" t="str">
        <f t="shared" si="18"/>
        <v>South AmericaSeed cotton</v>
      </c>
      <c r="F628" s="2994">
        <v>0.76790000000000003</v>
      </c>
      <c r="G628" s="2994">
        <v>0.81089999999999995</v>
      </c>
      <c r="H628" s="2994">
        <v>0.79390000000000005</v>
      </c>
      <c r="I628" s="2994">
        <v>0.75160000000000005</v>
      </c>
      <c r="J628" s="2994">
        <v>0.72589999999999999</v>
      </c>
      <c r="K628" s="2994">
        <v>0.83169999999999999</v>
      </c>
      <c r="L628" s="2994">
        <v>0.57050000000000001</v>
      </c>
      <c r="M628" s="2994">
        <v>0.63149999999999995</v>
      </c>
      <c r="N628" s="2994">
        <v>0.62370000000000003</v>
      </c>
      <c r="O628" s="2994">
        <v>0.59630000000000005</v>
      </c>
      <c r="P628" s="2994">
        <v>0.58540000000000003</v>
      </c>
      <c r="Q628" s="2994">
        <v>0.58620000000000005</v>
      </c>
      <c r="R628" s="2994">
        <v>0.65839999999999999</v>
      </c>
      <c r="S628" s="2994">
        <v>0.70069999999999999</v>
      </c>
      <c r="T628" s="2994">
        <v>0.64049999999999996</v>
      </c>
      <c r="U628" s="2994">
        <v>0.56689999999999996</v>
      </c>
      <c r="V628" s="2994">
        <v>0.63400000000000001</v>
      </c>
      <c r="W628" s="2994">
        <v>0.60009999999999997</v>
      </c>
      <c r="X628" s="2994">
        <v>0.61209999999999998</v>
      </c>
      <c r="Y628" s="2994">
        <v>0.62749999999999995</v>
      </c>
      <c r="Z628" s="2994">
        <v>0.68759999999999999</v>
      </c>
      <c r="AA628" s="2994">
        <v>0.69199999999999995</v>
      </c>
      <c r="AB628" s="2994">
        <v>0.68540000000000001</v>
      </c>
      <c r="AC628" s="2994">
        <v>0.87619999999999998</v>
      </c>
      <c r="AD628" s="2994">
        <v>0.94850000000000001</v>
      </c>
      <c r="AE628" s="2994">
        <v>0.88349999999999995</v>
      </c>
      <c r="AF628" s="2994">
        <v>0.97889999999999999</v>
      </c>
      <c r="AG628" s="2994">
        <v>1.2001999999999999</v>
      </c>
      <c r="AH628" s="2994">
        <v>1.0934999999999999</v>
      </c>
      <c r="AI628" s="2994">
        <v>1.2250000000000001</v>
      </c>
      <c r="AJ628" s="2994">
        <v>1.296</v>
      </c>
      <c r="AK628" s="2994">
        <v>1.0748</v>
      </c>
      <c r="AL628" s="2994">
        <v>1.2730999999999999</v>
      </c>
      <c r="AM628" s="2994">
        <v>1.2525999999999999</v>
      </c>
      <c r="AN628" s="2994">
        <v>1.4029</v>
      </c>
      <c r="AO628" s="2994">
        <v>1.3564000000000001</v>
      </c>
      <c r="AP628" s="2994">
        <v>1.2593000000000001</v>
      </c>
      <c r="AQ628" s="2994">
        <v>1.262</v>
      </c>
      <c r="AR628" s="2994">
        <v>1.52</v>
      </c>
      <c r="AS628" s="2994">
        <v>1.9119999999999999</v>
      </c>
      <c r="AT628" s="2994">
        <v>2.1288</v>
      </c>
      <c r="AU628" s="2994">
        <v>2.1575000000000002</v>
      </c>
      <c r="AV628" s="2994">
        <v>2.3311999999999999</v>
      </c>
      <c r="AW628" s="2994">
        <v>2.5007999999999999</v>
      </c>
      <c r="AX628" s="2994">
        <v>2.218</v>
      </c>
      <c r="AY628" s="2994">
        <v>2.2867999999999999</v>
      </c>
      <c r="AZ628" s="2994">
        <v>2.7484000000000002</v>
      </c>
      <c r="BA628" s="2994">
        <v>2.9419</v>
      </c>
      <c r="BB628" s="2994">
        <v>2.6665999999999999</v>
      </c>
      <c r="BC628" s="2994">
        <v>2.6682999999999999</v>
      </c>
      <c r="BD628" s="3471">
        <v>2.8016000000000001</v>
      </c>
      <c r="BE628" s="3471">
        <v>2.7172999999999998</v>
      </c>
      <c r="BF628" s="3471">
        <v>2.7248999999999999</v>
      </c>
    </row>
    <row r="629" spans="1:58">
      <c r="A629" s="1817" t="str">
        <f t="shared" si="19"/>
        <v>South AmericaSesame seed</v>
      </c>
      <c r="B629" s="1818" t="s">
        <v>306</v>
      </c>
      <c r="C629" s="1818" t="s">
        <v>1319</v>
      </c>
      <c r="D629" s="3463" t="str">
        <f>VLOOKUP(B629,List_Yield!$G$4:$J$14,4,FALSE)</f>
        <v>South America</v>
      </c>
      <c r="E629" s="3463" t="str">
        <f t="shared" si="18"/>
        <v>South AmericaSesame seed</v>
      </c>
      <c r="F629" s="2994">
        <v>0.53259999999999996</v>
      </c>
      <c r="G629" s="2994">
        <v>0.50529999999999997</v>
      </c>
      <c r="H629" s="2994">
        <v>0.5292</v>
      </c>
      <c r="I629" s="2994">
        <v>0.63249999999999995</v>
      </c>
      <c r="J629" s="2994">
        <v>0.6149</v>
      </c>
      <c r="K629" s="2994">
        <v>0.62190000000000001</v>
      </c>
      <c r="L629" s="2994">
        <v>0.59699999999999998</v>
      </c>
      <c r="M629" s="2994">
        <v>0.57730000000000004</v>
      </c>
      <c r="N629" s="2994">
        <v>0.56440000000000001</v>
      </c>
      <c r="O629" s="2994">
        <v>0.69620000000000004</v>
      </c>
      <c r="P629" s="2994">
        <v>0.58299999999999996</v>
      </c>
      <c r="Q629" s="2994">
        <v>0.58199999999999996</v>
      </c>
      <c r="R629" s="2994">
        <v>0.51649999999999996</v>
      </c>
      <c r="S629" s="2994">
        <v>0.4385</v>
      </c>
      <c r="T629" s="2994">
        <v>0.49070000000000003</v>
      </c>
      <c r="U629" s="2994">
        <v>0.48270000000000002</v>
      </c>
      <c r="V629" s="2994">
        <v>0.55089999999999995</v>
      </c>
      <c r="W629" s="2994">
        <v>0.47370000000000001</v>
      </c>
      <c r="X629" s="2994">
        <v>0.67010000000000003</v>
      </c>
      <c r="Y629" s="2994">
        <v>0.61170000000000002</v>
      </c>
      <c r="Z629" s="2994">
        <v>0.62919999999999998</v>
      </c>
      <c r="AA629" s="2994">
        <v>0.57310000000000005</v>
      </c>
      <c r="AB629" s="2994">
        <v>0.53239999999999998</v>
      </c>
      <c r="AC629" s="2994">
        <v>0.52890000000000004</v>
      </c>
      <c r="AD629" s="2994">
        <v>0.50770000000000004</v>
      </c>
      <c r="AE629" s="2994">
        <v>0.53959999999999997</v>
      </c>
      <c r="AF629" s="2994">
        <v>0.45150000000000001</v>
      </c>
      <c r="AG629" s="2994">
        <v>0.47460000000000002</v>
      </c>
      <c r="AH629" s="2994">
        <v>0.52059999999999995</v>
      </c>
      <c r="AI629" s="2994">
        <v>0.54220000000000002</v>
      </c>
      <c r="AJ629" s="2994">
        <v>0.4662</v>
      </c>
      <c r="AK629" s="2994">
        <v>0.57069999999999999</v>
      </c>
      <c r="AL629" s="2994">
        <v>0.57020000000000004</v>
      </c>
      <c r="AM629" s="2994">
        <v>0.53869999999999996</v>
      </c>
      <c r="AN629" s="2994">
        <v>0.58440000000000003</v>
      </c>
      <c r="AO629" s="2994">
        <v>0.62870000000000004</v>
      </c>
      <c r="AP629" s="2994">
        <v>0.62660000000000005</v>
      </c>
      <c r="AQ629" s="2994">
        <v>0.59799999999999998</v>
      </c>
      <c r="AR629" s="2994">
        <v>0.67730000000000001</v>
      </c>
      <c r="AS629" s="2994">
        <v>0.68579999999999997</v>
      </c>
      <c r="AT629" s="2994">
        <v>0.67469999999999997</v>
      </c>
      <c r="AU629" s="2994">
        <v>0.88100000000000001</v>
      </c>
      <c r="AV629" s="2994">
        <v>0.82169999999999999</v>
      </c>
      <c r="AW629" s="2994">
        <v>0.65039999999999998</v>
      </c>
      <c r="AX629" s="2994">
        <v>0.61080000000000001</v>
      </c>
      <c r="AY629" s="2994">
        <v>0.71209999999999996</v>
      </c>
      <c r="AZ629" s="2994">
        <v>0.72330000000000005</v>
      </c>
      <c r="BA629" s="2994">
        <v>0.59450000000000003</v>
      </c>
      <c r="BB629" s="2994">
        <v>0.57720000000000005</v>
      </c>
      <c r="BC629" s="2994">
        <v>0.43569999999999998</v>
      </c>
      <c r="BD629" s="3471">
        <v>0.49359999999999998</v>
      </c>
      <c r="BE629" s="3471">
        <v>0.33860000000000001</v>
      </c>
      <c r="BF629" s="3471">
        <v>0.41909999999999997</v>
      </c>
    </row>
    <row r="630" spans="1:58">
      <c r="A630" s="1817" t="str">
        <f t="shared" si="19"/>
        <v>South AmericaSisal</v>
      </c>
      <c r="B630" s="1818" t="s">
        <v>306</v>
      </c>
      <c r="C630" s="1818" t="s">
        <v>1372</v>
      </c>
      <c r="D630" s="3463" t="str">
        <f>VLOOKUP(B630,List_Yield!$G$4:$J$14,4,FALSE)</f>
        <v>South America</v>
      </c>
      <c r="E630" s="3463" t="str">
        <f t="shared" si="18"/>
        <v>South AmericaSisal</v>
      </c>
      <c r="F630" s="2994">
        <v>0.83189999999999997</v>
      </c>
      <c r="G630" s="2994">
        <v>0.83120000000000005</v>
      </c>
      <c r="H630" s="2994">
        <v>0.7288</v>
      </c>
      <c r="I630" s="2994">
        <v>0.62929999999999997</v>
      </c>
      <c r="J630" s="2994">
        <v>0.61809999999999998</v>
      </c>
      <c r="K630" s="2994">
        <v>0.61450000000000005</v>
      </c>
      <c r="L630" s="2994">
        <v>0.61809999999999998</v>
      </c>
      <c r="M630" s="2994">
        <v>0.60070000000000001</v>
      </c>
      <c r="N630" s="2994">
        <v>0.67830000000000001</v>
      </c>
      <c r="O630" s="2994">
        <v>0.67800000000000005</v>
      </c>
      <c r="P630" s="2994">
        <v>1.0269999999999999</v>
      </c>
      <c r="Q630" s="2994">
        <v>1.0105999999999999</v>
      </c>
      <c r="R630" s="2994">
        <v>1.0609</v>
      </c>
      <c r="S630" s="2994">
        <v>1.1079000000000001</v>
      </c>
      <c r="T630" s="2994">
        <v>0.97119999999999995</v>
      </c>
      <c r="U630" s="2994">
        <v>0.61719999999999997</v>
      </c>
      <c r="V630" s="2994">
        <v>0.77349999999999997</v>
      </c>
      <c r="W630" s="2994">
        <v>0.75760000000000005</v>
      </c>
      <c r="X630" s="2994">
        <v>0.80020000000000002</v>
      </c>
      <c r="Y630" s="2994">
        <v>0.79859999999999998</v>
      </c>
      <c r="Z630" s="2994">
        <v>0.7702</v>
      </c>
      <c r="AA630" s="2994">
        <v>0.73219999999999996</v>
      </c>
      <c r="AB630" s="2994">
        <v>0.59909999999999997</v>
      </c>
      <c r="AC630" s="2994">
        <v>0.71130000000000004</v>
      </c>
      <c r="AD630" s="2994">
        <v>0.88019999999999998</v>
      </c>
      <c r="AE630" s="2994">
        <v>0.77380000000000004</v>
      </c>
      <c r="AF630" s="2994">
        <v>0.65890000000000004</v>
      </c>
      <c r="AG630" s="2994">
        <v>0.70599999999999996</v>
      </c>
      <c r="AH630" s="2994">
        <v>0.8286</v>
      </c>
      <c r="AI630" s="2994">
        <v>0.75739999999999996</v>
      </c>
      <c r="AJ630" s="2994">
        <v>0.79210000000000003</v>
      </c>
      <c r="AK630" s="2994">
        <v>0.79590000000000005</v>
      </c>
      <c r="AL630" s="2994">
        <v>0.71960000000000002</v>
      </c>
      <c r="AM630" s="2994">
        <v>0.75949999999999995</v>
      </c>
      <c r="AN630" s="2994">
        <v>0.81110000000000004</v>
      </c>
      <c r="AO630" s="2994">
        <v>0.91549999999999998</v>
      </c>
      <c r="AP630" s="2994">
        <v>0.92630000000000001</v>
      </c>
      <c r="AQ630" s="2994">
        <v>0.751</v>
      </c>
      <c r="AR630" s="2994">
        <v>1.0636000000000001</v>
      </c>
      <c r="AS630" s="2994">
        <v>1.0033000000000001</v>
      </c>
      <c r="AT630" s="2994">
        <v>0.89490000000000003</v>
      </c>
      <c r="AU630" s="2994">
        <v>0.84950000000000003</v>
      </c>
      <c r="AV630" s="2994">
        <v>0.85529999999999995</v>
      </c>
      <c r="AW630" s="2994">
        <v>0.85860000000000003</v>
      </c>
      <c r="AX630" s="2994">
        <v>0.89270000000000005</v>
      </c>
      <c r="AY630" s="2994">
        <v>0.89090000000000003</v>
      </c>
      <c r="AZ630" s="2994">
        <v>0.89390000000000003</v>
      </c>
      <c r="BA630" s="2994">
        <v>0.88100000000000001</v>
      </c>
      <c r="BB630" s="2994">
        <v>1.0354000000000001</v>
      </c>
      <c r="BC630" s="2994">
        <v>0.94359999999999999</v>
      </c>
      <c r="BD630" s="3471">
        <v>1.0037</v>
      </c>
      <c r="BE630" s="3471">
        <v>0.37959999999999999</v>
      </c>
      <c r="BF630" s="3471">
        <v>0</v>
      </c>
    </row>
    <row r="631" spans="1:58">
      <c r="A631" s="1817" t="str">
        <f t="shared" si="19"/>
        <v>South AmericaSorghum</v>
      </c>
      <c r="B631" s="1818" t="s">
        <v>306</v>
      </c>
      <c r="C631" s="1818" t="s">
        <v>1373</v>
      </c>
      <c r="D631" s="3463" t="str">
        <f>VLOOKUP(B631,List_Yield!$G$4:$J$14,4,FALSE)</f>
        <v>South America</v>
      </c>
      <c r="E631" s="3463" t="str">
        <f t="shared" si="18"/>
        <v>South AmericaSorghum</v>
      </c>
      <c r="F631" s="2994">
        <v>1.8742000000000001</v>
      </c>
      <c r="G631" s="2994">
        <v>1.8551</v>
      </c>
      <c r="H631" s="2994">
        <v>1.4236</v>
      </c>
      <c r="I631" s="2994">
        <v>1.5315000000000001</v>
      </c>
      <c r="J631" s="2994">
        <v>1.3002</v>
      </c>
      <c r="K631" s="2994">
        <v>2.0657000000000001</v>
      </c>
      <c r="L631" s="2994">
        <v>1.5745</v>
      </c>
      <c r="M631" s="2994">
        <v>1.6088</v>
      </c>
      <c r="N631" s="2994">
        <v>1.7923</v>
      </c>
      <c r="O631" s="2994">
        <v>1.9244000000000001</v>
      </c>
      <c r="P631" s="2994">
        <v>2.0257999999999998</v>
      </c>
      <c r="Q631" s="2994">
        <v>1.6194999999999999</v>
      </c>
      <c r="R631" s="2994">
        <v>2.2136999999999998</v>
      </c>
      <c r="S631" s="2994">
        <v>2.4348000000000001</v>
      </c>
      <c r="T631" s="2994">
        <v>2.4136000000000002</v>
      </c>
      <c r="U631" s="2994">
        <v>2.6305999999999998</v>
      </c>
      <c r="V631" s="2994">
        <v>2.6034999999999999</v>
      </c>
      <c r="W631" s="2994">
        <v>2.9266999999999999</v>
      </c>
      <c r="X631" s="2994">
        <v>2.7317</v>
      </c>
      <c r="Y631" s="2994">
        <v>2.2054</v>
      </c>
      <c r="Z631" s="2994">
        <v>3.2385999999999999</v>
      </c>
      <c r="AA631" s="2994">
        <v>2.9024999999999999</v>
      </c>
      <c r="AB631" s="2994">
        <v>2.9493</v>
      </c>
      <c r="AC631" s="2994">
        <v>2.7429999999999999</v>
      </c>
      <c r="AD631" s="2994">
        <v>2.8733</v>
      </c>
      <c r="AE631" s="2994">
        <v>2.7555999999999998</v>
      </c>
      <c r="AF631" s="2994">
        <v>2.6524000000000001</v>
      </c>
      <c r="AG631" s="2994">
        <v>2.7791000000000001</v>
      </c>
      <c r="AH631" s="2994">
        <v>2.3008999999999999</v>
      </c>
      <c r="AI631" s="2994">
        <v>2.6055999999999999</v>
      </c>
      <c r="AJ631" s="2994">
        <v>2.7907000000000002</v>
      </c>
      <c r="AK631" s="2994">
        <v>3.0434999999999999</v>
      </c>
      <c r="AL631" s="2994">
        <v>3.306</v>
      </c>
      <c r="AM631" s="2994">
        <v>2.8910999999999998</v>
      </c>
      <c r="AN631" s="2994">
        <v>2.8788999999999998</v>
      </c>
      <c r="AO631" s="2994">
        <v>3.0817000000000001</v>
      </c>
      <c r="AP631" s="2994">
        <v>3.0331000000000001</v>
      </c>
      <c r="AQ631" s="2994">
        <v>3.6101000000000001</v>
      </c>
      <c r="AR631" s="2994">
        <v>3.2488000000000001</v>
      </c>
      <c r="AS631" s="2994">
        <v>3.0026999999999999</v>
      </c>
      <c r="AT631" s="2994">
        <v>3.1482999999999999</v>
      </c>
      <c r="AU631" s="2994">
        <v>3.3927</v>
      </c>
      <c r="AV631" s="2994">
        <v>3.1736</v>
      </c>
      <c r="AW631" s="2994">
        <v>2.9420000000000002</v>
      </c>
      <c r="AX631" s="2994">
        <v>3.1541999999999999</v>
      </c>
      <c r="AY631" s="2994">
        <v>3.0436000000000001</v>
      </c>
      <c r="AZ631" s="2994">
        <v>3.2216</v>
      </c>
      <c r="BA631" s="2994">
        <v>3.2544</v>
      </c>
      <c r="BB631" s="2994">
        <v>2.8887999999999998</v>
      </c>
      <c r="BC631" s="2994">
        <v>3.5108000000000001</v>
      </c>
      <c r="BD631" s="3471">
        <v>3.4361000000000002</v>
      </c>
      <c r="BE631" s="3471">
        <v>3.5964</v>
      </c>
      <c r="BF631" s="3471">
        <v>3.1968999999999999</v>
      </c>
    </row>
    <row r="632" spans="1:58">
      <c r="A632" s="1817" t="str">
        <f t="shared" si="19"/>
        <v>South AmericaSoybeans</v>
      </c>
      <c r="B632" s="1818" t="s">
        <v>306</v>
      </c>
      <c r="C632" s="1818" t="s">
        <v>1333</v>
      </c>
      <c r="D632" s="3463" t="str">
        <f>VLOOKUP(B632,List_Yield!$G$4:$J$14,4,FALSE)</f>
        <v>South America</v>
      </c>
      <c r="E632" s="3463" t="str">
        <f t="shared" si="18"/>
        <v>South AmericaSoybeans</v>
      </c>
      <c r="F632" s="2994">
        <v>1.1457999999999999</v>
      </c>
      <c r="G632" s="2994">
        <v>1.1155999999999999</v>
      </c>
      <c r="H632" s="2994">
        <v>0.99480000000000002</v>
      </c>
      <c r="I632" s="2994">
        <v>0.93879999999999997</v>
      </c>
      <c r="J632" s="2994">
        <v>1.2498</v>
      </c>
      <c r="K632" s="2994">
        <v>1.2355</v>
      </c>
      <c r="L632" s="2994">
        <v>1.2088000000000001</v>
      </c>
      <c r="M632" s="2994">
        <v>1.0063</v>
      </c>
      <c r="N632" s="2994">
        <v>1.2311000000000001</v>
      </c>
      <c r="O632" s="2994">
        <v>1.1867000000000001</v>
      </c>
      <c r="P632" s="2994">
        <v>1.2417</v>
      </c>
      <c r="Q632" s="2994">
        <v>1.4656</v>
      </c>
      <c r="R632" s="2994">
        <v>1.4077999999999999</v>
      </c>
      <c r="S632" s="2994">
        <v>1.5296000000000001</v>
      </c>
      <c r="T632" s="2994">
        <v>1.6766000000000001</v>
      </c>
      <c r="U632" s="2994">
        <v>1.7362</v>
      </c>
      <c r="V632" s="2994">
        <v>1.7938000000000001</v>
      </c>
      <c r="W632" s="2994">
        <v>1.3486</v>
      </c>
      <c r="X632" s="2994">
        <v>1.4193</v>
      </c>
      <c r="Y632" s="2994">
        <v>1.6995</v>
      </c>
      <c r="Z632" s="2994">
        <v>1.8117000000000001</v>
      </c>
      <c r="AA632" s="2994">
        <v>1.6612</v>
      </c>
      <c r="AB632" s="2994">
        <v>1.7677</v>
      </c>
      <c r="AC632" s="2994">
        <v>1.8120000000000001</v>
      </c>
      <c r="AD632" s="2994">
        <v>1.833</v>
      </c>
      <c r="AE632" s="2994">
        <v>1.6359999999999999</v>
      </c>
      <c r="AF632" s="2994">
        <v>1.8743000000000001</v>
      </c>
      <c r="AG632" s="2994">
        <v>1.8724000000000001</v>
      </c>
      <c r="AH632" s="2994">
        <v>1.8904000000000001</v>
      </c>
      <c r="AI632" s="2994">
        <v>1.8654999999999999</v>
      </c>
      <c r="AJ632" s="2994">
        <v>1.8239000000000001</v>
      </c>
      <c r="AK632" s="2994">
        <v>2.1301000000000001</v>
      </c>
      <c r="AL632" s="2994">
        <v>2.1615000000000002</v>
      </c>
      <c r="AM632" s="2994">
        <v>2.1404000000000001</v>
      </c>
      <c r="AN632" s="2994">
        <v>2.1734</v>
      </c>
      <c r="AO632" s="2994">
        <v>2.2170999999999998</v>
      </c>
      <c r="AP632" s="2994">
        <v>2.1215999999999999</v>
      </c>
      <c r="AQ632" s="2994">
        <v>2.4615999999999998</v>
      </c>
      <c r="AR632" s="2994">
        <v>2.3864999999999998</v>
      </c>
      <c r="AS632" s="2994">
        <v>2.3677000000000001</v>
      </c>
      <c r="AT632" s="2994">
        <v>2.6783999999999999</v>
      </c>
      <c r="AU632" s="2994">
        <v>2.5884</v>
      </c>
      <c r="AV632" s="2994">
        <v>2.7917999999999998</v>
      </c>
      <c r="AW632" s="2994">
        <v>2.2342</v>
      </c>
      <c r="AX632" s="2994">
        <v>2.3807999999999998</v>
      </c>
      <c r="AY632" s="2994">
        <v>2.4373999999999998</v>
      </c>
      <c r="AZ632" s="2994">
        <v>2.8220000000000001</v>
      </c>
      <c r="BA632" s="2994">
        <v>2.7650000000000001</v>
      </c>
      <c r="BB632" s="2994">
        <v>2.2366999999999999</v>
      </c>
      <c r="BC632" s="2994">
        <v>2.8740000000000001</v>
      </c>
      <c r="BD632" s="3471">
        <v>2.8498999999999999</v>
      </c>
      <c r="BE632" s="3471">
        <v>2.4218999999999999</v>
      </c>
      <c r="BF632" s="3471">
        <v>2.7561</v>
      </c>
    </row>
    <row r="633" spans="1:58">
      <c r="A633" s="1817" t="str">
        <f t="shared" si="19"/>
        <v>South AmericaSpices, nes</v>
      </c>
      <c r="B633" s="1818" t="s">
        <v>306</v>
      </c>
      <c r="C633" s="1818" t="s">
        <v>7377</v>
      </c>
      <c r="D633" s="3463" t="str">
        <f>VLOOKUP(B633,List_Yield!$G$4:$J$14,4,FALSE)</f>
        <v>South America</v>
      </c>
      <c r="E633" s="3463" t="str">
        <f t="shared" si="18"/>
        <v>South AmericaSpices, nes</v>
      </c>
      <c r="F633" s="2994">
        <v>0</v>
      </c>
      <c r="G633" s="2994">
        <v>0</v>
      </c>
      <c r="H633" s="2994">
        <v>0</v>
      </c>
      <c r="I633" s="2994">
        <v>0</v>
      </c>
      <c r="J633" s="2994">
        <v>0</v>
      </c>
      <c r="K633" s="2994">
        <v>0</v>
      </c>
      <c r="L633" s="2994">
        <v>0</v>
      </c>
      <c r="M633" s="2994">
        <v>0</v>
      </c>
      <c r="N633" s="2994">
        <v>0</v>
      </c>
      <c r="O633" s="2994">
        <v>0</v>
      </c>
      <c r="P633" s="2994">
        <v>0</v>
      </c>
      <c r="Q633" s="2994">
        <v>0</v>
      </c>
      <c r="R633" s="2994">
        <v>0</v>
      </c>
      <c r="S633" s="2994">
        <v>0</v>
      </c>
      <c r="T633" s="2994">
        <v>0</v>
      </c>
      <c r="U633" s="2994">
        <v>0</v>
      </c>
      <c r="V633" s="2994">
        <v>0</v>
      </c>
      <c r="W633" s="2994">
        <v>0</v>
      </c>
      <c r="X633" s="2994">
        <v>0</v>
      </c>
      <c r="Y633" s="2994">
        <v>0</v>
      </c>
      <c r="Z633" s="2994">
        <v>0</v>
      </c>
      <c r="AA633" s="2994">
        <v>0</v>
      </c>
      <c r="AB633" s="2994">
        <v>0</v>
      </c>
      <c r="AC633" s="2994">
        <v>0</v>
      </c>
      <c r="AD633" s="2994">
        <v>0.98609999999999998</v>
      </c>
      <c r="AE633" s="2994">
        <v>1.0108999999999999</v>
      </c>
      <c r="AF633" s="2994">
        <v>0.97619999999999996</v>
      </c>
      <c r="AG633" s="2994">
        <v>0.97150000000000003</v>
      </c>
      <c r="AH633" s="2994">
        <v>1.0810999999999999</v>
      </c>
      <c r="AI633" s="2994">
        <v>1.4151</v>
      </c>
      <c r="AJ633" s="2994">
        <v>0.90039999999999998</v>
      </c>
      <c r="AK633" s="2994">
        <v>0.98760000000000003</v>
      </c>
      <c r="AL633" s="2994">
        <v>1.2975000000000001</v>
      </c>
      <c r="AM633" s="2994">
        <v>1.367</v>
      </c>
      <c r="AN633" s="2994">
        <v>2.1838000000000002</v>
      </c>
      <c r="AO633" s="2994">
        <v>2.1751999999999998</v>
      </c>
      <c r="AP633" s="2994">
        <v>2.2637999999999998</v>
      </c>
      <c r="AQ633" s="2994">
        <v>2.9138999999999999</v>
      </c>
      <c r="AR633" s="2994">
        <v>4.5766</v>
      </c>
      <c r="AS633" s="2994">
        <v>4.5971000000000002</v>
      </c>
      <c r="AT633" s="2994">
        <v>4.3167</v>
      </c>
      <c r="AU633" s="2994">
        <v>4.1318000000000001</v>
      </c>
      <c r="AV633" s="2994">
        <v>4.4733999999999998</v>
      </c>
      <c r="AW633" s="2994">
        <v>4.6626000000000003</v>
      </c>
      <c r="AX633" s="2994">
        <v>4.7182000000000004</v>
      </c>
      <c r="AY633" s="2994">
        <v>4.5597000000000003</v>
      </c>
      <c r="AZ633" s="2994">
        <v>4.7912999999999997</v>
      </c>
      <c r="BA633" s="2994">
        <v>4.8327999999999998</v>
      </c>
      <c r="BB633" s="2994">
        <v>4.875</v>
      </c>
      <c r="BC633" s="2994">
        <v>4.9028999999999998</v>
      </c>
      <c r="BD633" s="3471">
        <v>5.6955</v>
      </c>
      <c r="BE633" s="3471">
        <v>5.8974000000000002</v>
      </c>
      <c r="BF633" s="3471">
        <v>0</v>
      </c>
    </row>
    <row r="634" spans="1:58">
      <c r="A634" s="1817" t="str">
        <f t="shared" si="19"/>
        <v>South AmericaSpinach</v>
      </c>
      <c r="B634" s="1818" t="s">
        <v>306</v>
      </c>
      <c r="C634" s="1818" t="s">
        <v>7378</v>
      </c>
      <c r="D634" s="3463" t="str">
        <f>VLOOKUP(B634,List_Yield!$G$4:$J$14,4,FALSE)</f>
        <v>South America</v>
      </c>
      <c r="E634" s="3463" t="str">
        <f t="shared" si="18"/>
        <v>South AmericaSpinach</v>
      </c>
      <c r="F634" s="2994">
        <v>6.5713999999999997</v>
      </c>
      <c r="G634" s="2994">
        <v>6.4722</v>
      </c>
      <c r="H634" s="2994">
        <v>6.4</v>
      </c>
      <c r="I634" s="2994">
        <v>6.2857000000000003</v>
      </c>
      <c r="J634" s="2994">
        <v>6.25</v>
      </c>
      <c r="K634" s="2994">
        <v>6.2172999999999998</v>
      </c>
      <c r="L634" s="2994">
        <v>7.2042999999999999</v>
      </c>
      <c r="M634" s="2994">
        <v>7.1473000000000004</v>
      </c>
      <c r="N634" s="2994">
        <v>9.3945000000000007</v>
      </c>
      <c r="O634" s="2994">
        <v>12.595700000000001</v>
      </c>
      <c r="P634" s="2994">
        <v>12.754200000000001</v>
      </c>
      <c r="Q634" s="2994">
        <v>11.059799999999999</v>
      </c>
      <c r="R634" s="2994">
        <v>10.926600000000001</v>
      </c>
      <c r="S634" s="2994">
        <v>8.1210000000000004</v>
      </c>
      <c r="T634" s="2994">
        <v>9.0807000000000002</v>
      </c>
      <c r="U634" s="2994">
        <v>8.9821000000000009</v>
      </c>
      <c r="V634" s="2994">
        <v>7.7865000000000002</v>
      </c>
      <c r="W634" s="2994">
        <v>7.3963999999999999</v>
      </c>
      <c r="X634" s="2994">
        <v>6.9309000000000003</v>
      </c>
      <c r="Y634" s="2994">
        <v>7.4090999999999996</v>
      </c>
      <c r="Z634" s="2994">
        <v>7.4968000000000004</v>
      </c>
      <c r="AA634" s="2994">
        <v>7.1543000000000001</v>
      </c>
      <c r="AB634" s="2994">
        <v>7.0579000000000001</v>
      </c>
      <c r="AC634" s="2994">
        <v>7.1688000000000001</v>
      </c>
      <c r="AD634" s="2994">
        <v>7.5278</v>
      </c>
      <c r="AE634" s="2994">
        <v>7.7351999999999999</v>
      </c>
      <c r="AF634" s="2994">
        <v>7.8593999999999999</v>
      </c>
      <c r="AG634" s="2994">
        <v>8.2670999999999992</v>
      </c>
      <c r="AH634" s="2994">
        <v>7.9622000000000002</v>
      </c>
      <c r="AI634" s="2994">
        <v>7.8109999999999999</v>
      </c>
      <c r="AJ634" s="2994">
        <v>8.2582000000000004</v>
      </c>
      <c r="AK634" s="2994">
        <v>8.2766999999999999</v>
      </c>
      <c r="AL634" s="2994">
        <v>8.2487999999999992</v>
      </c>
      <c r="AM634" s="2994">
        <v>8.0938999999999997</v>
      </c>
      <c r="AN634" s="2994">
        <v>9.2632999999999992</v>
      </c>
      <c r="AO634" s="2994">
        <v>8.9552999999999994</v>
      </c>
      <c r="AP634" s="2994">
        <v>9.4946999999999999</v>
      </c>
      <c r="AQ634" s="2994">
        <v>11.3658</v>
      </c>
      <c r="AR634" s="2994">
        <v>12.8291</v>
      </c>
      <c r="AS634" s="2994">
        <v>15.900499999999999</v>
      </c>
      <c r="AT634" s="2994">
        <v>13.632</v>
      </c>
      <c r="AU634" s="2994">
        <v>16.830100000000002</v>
      </c>
      <c r="AV634" s="2994">
        <v>13.4</v>
      </c>
      <c r="AW634" s="2994">
        <v>12.414300000000001</v>
      </c>
      <c r="AX634" s="2994">
        <v>13.211399999999999</v>
      </c>
      <c r="AY634" s="2994">
        <v>14.074199999999999</v>
      </c>
      <c r="AZ634" s="2994">
        <v>14.6874</v>
      </c>
      <c r="BA634" s="2994">
        <v>13.7529</v>
      </c>
      <c r="BB634" s="2994">
        <v>16.8796</v>
      </c>
      <c r="BC634" s="2994">
        <v>17.793500000000002</v>
      </c>
      <c r="BD634" s="3471">
        <v>17.414200000000001</v>
      </c>
      <c r="BE634" s="3471">
        <v>18.680599999999998</v>
      </c>
      <c r="BF634" s="3471">
        <v>0</v>
      </c>
    </row>
    <row r="635" spans="1:58">
      <c r="A635" s="1817" t="str">
        <f t="shared" si="19"/>
        <v>South AmericaStrawberries</v>
      </c>
      <c r="B635" s="1818" t="s">
        <v>306</v>
      </c>
      <c r="C635" s="1818" t="s">
        <v>1374</v>
      </c>
      <c r="D635" s="3463" t="str">
        <f>VLOOKUP(B635,List_Yield!$G$4:$J$14,4,FALSE)</f>
        <v>South America</v>
      </c>
      <c r="E635" s="3463" t="str">
        <f t="shared" si="18"/>
        <v>South AmericaStrawberries</v>
      </c>
      <c r="F635" s="2994">
        <v>19.479800000000001</v>
      </c>
      <c r="G635" s="2994">
        <v>19.556799999999999</v>
      </c>
      <c r="H635" s="2994">
        <v>19.603400000000001</v>
      </c>
      <c r="I635" s="2994">
        <v>20.546399999999998</v>
      </c>
      <c r="J635" s="2994">
        <v>18.3797</v>
      </c>
      <c r="K635" s="2994">
        <v>15.4069</v>
      </c>
      <c r="L635" s="2994">
        <v>12.694699999999999</v>
      </c>
      <c r="M635" s="2994">
        <v>12.0938</v>
      </c>
      <c r="N635" s="2994">
        <v>14.1066</v>
      </c>
      <c r="O635" s="2994">
        <v>13.023300000000001</v>
      </c>
      <c r="P635" s="2994">
        <v>19.5319</v>
      </c>
      <c r="Q635" s="2994">
        <v>24.880400000000002</v>
      </c>
      <c r="R635" s="2994">
        <v>26.044799999999999</v>
      </c>
      <c r="S635" s="2994">
        <v>29.3889</v>
      </c>
      <c r="T635" s="2994">
        <v>22.557300000000001</v>
      </c>
      <c r="U635" s="2994">
        <v>22.694700000000001</v>
      </c>
      <c r="V635" s="2994">
        <v>21.0166</v>
      </c>
      <c r="W635" s="2994">
        <v>18.596299999999999</v>
      </c>
      <c r="X635" s="2994">
        <v>18.540800000000001</v>
      </c>
      <c r="Y635" s="2994">
        <v>22.3293</v>
      </c>
      <c r="Z635" s="2994">
        <v>24.0215</v>
      </c>
      <c r="AA635" s="2994">
        <v>24.389099999999999</v>
      </c>
      <c r="AB635" s="2994">
        <v>22.170200000000001</v>
      </c>
      <c r="AC635" s="2994">
        <v>20.255700000000001</v>
      </c>
      <c r="AD635" s="2994">
        <v>12.194599999999999</v>
      </c>
      <c r="AE635" s="2994">
        <v>11.4689</v>
      </c>
      <c r="AF635" s="2994">
        <v>11.8127</v>
      </c>
      <c r="AG635" s="2994">
        <v>12.0107</v>
      </c>
      <c r="AH635" s="2994">
        <v>11.839700000000001</v>
      </c>
      <c r="AI635" s="2994">
        <v>11.671900000000001</v>
      </c>
      <c r="AJ635" s="2994">
        <v>11.2407</v>
      </c>
      <c r="AK635" s="2994">
        <v>10.9933</v>
      </c>
      <c r="AL635" s="2994">
        <v>11.120100000000001</v>
      </c>
      <c r="AM635" s="2994">
        <v>11.1738</v>
      </c>
      <c r="AN635" s="2994">
        <v>11.2615</v>
      </c>
      <c r="AO635" s="2994">
        <v>11.822800000000001</v>
      </c>
      <c r="AP635" s="2994">
        <v>13.7921</v>
      </c>
      <c r="AQ635" s="2994">
        <v>13.4373</v>
      </c>
      <c r="AR635" s="2994">
        <v>11.815099999999999</v>
      </c>
      <c r="AS635" s="2994">
        <v>13.9353</v>
      </c>
      <c r="AT635" s="2994">
        <v>16.319800000000001</v>
      </c>
      <c r="AU635" s="2994">
        <v>15.956200000000001</v>
      </c>
      <c r="AV635" s="2994">
        <v>14.6417</v>
      </c>
      <c r="AW635" s="2994">
        <v>14.2296</v>
      </c>
      <c r="AX635" s="2994">
        <v>14.722</v>
      </c>
      <c r="AY635" s="2994">
        <v>15.866400000000001</v>
      </c>
      <c r="AZ635" s="2994">
        <v>16.913599999999999</v>
      </c>
      <c r="BA635" s="2994">
        <v>16.577100000000002</v>
      </c>
      <c r="BB635" s="2994">
        <v>18.4621</v>
      </c>
      <c r="BC635" s="2994">
        <v>18.297699999999999</v>
      </c>
      <c r="BD635" s="3471">
        <v>19.088899999999999</v>
      </c>
      <c r="BE635" s="3471">
        <v>20.7347</v>
      </c>
      <c r="BF635" s="3471">
        <v>0</v>
      </c>
    </row>
    <row r="636" spans="1:58">
      <c r="A636" s="1817" t="str">
        <f t="shared" si="19"/>
        <v>South AmericaString beans</v>
      </c>
      <c r="B636" s="1818" t="s">
        <v>306</v>
      </c>
      <c r="C636" s="1818" t="s">
        <v>7379</v>
      </c>
      <c r="D636" s="3463" t="str">
        <f>VLOOKUP(B636,List_Yield!$G$4:$J$14,4,FALSE)</f>
        <v>South America</v>
      </c>
      <c r="E636" s="3463" t="str">
        <f t="shared" si="18"/>
        <v>South AmericaString beans</v>
      </c>
      <c r="F636" s="2994">
        <v>5.7746000000000004</v>
      </c>
      <c r="G636" s="2994">
        <v>6.0983000000000001</v>
      </c>
      <c r="H636" s="2994">
        <v>5.9732000000000003</v>
      </c>
      <c r="I636" s="2994">
        <v>6.1677</v>
      </c>
      <c r="J636" s="2994">
        <v>5.8924000000000003</v>
      </c>
      <c r="K636" s="2994">
        <v>6.55</v>
      </c>
      <c r="L636" s="2994">
        <v>6.3434999999999997</v>
      </c>
      <c r="M636" s="2994">
        <v>7.2279999999999998</v>
      </c>
      <c r="N636" s="2994">
        <v>6.391</v>
      </c>
      <c r="O636" s="2994">
        <v>6.3467000000000002</v>
      </c>
      <c r="P636" s="2994">
        <v>5.7823000000000002</v>
      </c>
      <c r="Q636" s="2994">
        <v>6.6849999999999996</v>
      </c>
      <c r="R636" s="2994">
        <v>7.1588000000000003</v>
      </c>
      <c r="S636" s="2994">
        <v>7.3483999999999998</v>
      </c>
      <c r="T636" s="2994">
        <v>6.4320000000000004</v>
      </c>
      <c r="U636" s="2994">
        <v>6.9477000000000002</v>
      </c>
      <c r="V636" s="2994">
        <v>6.5804999999999998</v>
      </c>
      <c r="W636" s="2994">
        <v>6.6660000000000004</v>
      </c>
      <c r="X636" s="2994">
        <v>6.8419999999999996</v>
      </c>
      <c r="Y636" s="2994">
        <v>7.1287000000000003</v>
      </c>
      <c r="Z636" s="2994">
        <v>7.7750000000000004</v>
      </c>
      <c r="AA636" s="2994">
        <v>7.0026000000000002</v>
      </c>
      <c r="AB636" s="2994">
        <v>6.8918999999999997</v>
      </c>
      <c r="AC636" s="2994">
        <v>6.8673999999999999</v>
      </c>
      <c r="AD636" s="2994">
        <v>6.9367999999999999</v>
      </c>
      <c r="AE636" s="2994">
        <v>6.7815000000000003</v>
      </c>
      <c r="AF636" s="2994">
        <v>6.8331999999999997</v>
      </c>
      <c r="AG636" s="2994">
        <v>6.9537000000000004</v>
      </c>
      <c r="AH636" s="2994">
        <v>6.6898</v>
      </c>
      <c r="AI636" s="2994">
        <v>7.0431999999999997</v>
      </c>
      <c r="AJ636" s="2994">
        <v>7.0533000000000001</v>
      </c>
      <c r="AK636" s="2994">
        <v>7.1161000000000003</v>
      </c>
      <c r="AL636" s="2994">
        <v>7.1208</v>
      </c>
      <c r="AM636" s="2994">
        <v>7.0617999999999999</v>
      </c>
      <c r="AN636" s="2994">
        <v>7.0362</v>
      </c>
      <c r="AO636" s="2994">
        <v>7.4855999999999998</v>
      </c>
      <c r="AP636" s="2994">
        <v>7.1816000000000004</v>
      </c>
      <c r="AQ636" s="2994">
        <v>5.8221999999999996</v>
      </c>
      <c r="AR636" s="2994">
        <v>4.9748000000000001</v>
      </c>
      <c r="AS636" s="2994">
        <v>4.1154000000000002</v>
      </c>
      <c r="AT636" s="2994">
        <v>4.5144000000000002</v>
      </c>
      <c r="AU636" s="2994">
        <v>5.0727000000000002</v>
      </c>
      <c r="AV636" s="2994">
        <v>5.3028000000000004</v>
      </c>
      <c r="AW636" s="2994">
        <v>5.5462999999999996</v>
      </c>
      <c r="AX636" s="2994">
        <v>5.3758999999999997</v>
      </c>
      <c r="AY636" s="2994">
        <v>5.4001000000000001</v>
      </c>
      <c r="AZ636" s="2994">
        <v>5.1635</v>
      </c>
      <c r="BA636" s="2994">
        <v>5.0715000000000003</v>
      </c>
      <c r="BB636" s="2994">
        <v>4.9901999999999997</v>
      </c>
      <c r="BC636" s="2994">
        <v>5.1010999999999997</v>
      </c>
      <c r="BD636" s="3471">
        <v>5.1536999999999997</v>
      </c>
      <c r="BE636" s="3471">
        <v>5.2163000000000004</v>
      </c>
      <c r="BF636" s="3471">
        <v>0</v>
      </c>
    </row>
    <row r="637" spans="1:58">
      <c r="A637" s="1817" t="str">
        <f t="shared" si="19"/>
        <v>South AmericaSugar beet</v>
      </c>
      <c r="B637" s="1818" t="s">
        <v>306</v>
      </c>
      <c r="C637" s="1818" t="s">
        <v>1332</v>
      </c>
      <c r="D637" s="3463" t="str">
        <f>VLOOKUP(B637,List_Yield!$G$4:$J$14,4,FALSE)</f>
        <v>South America</v>
      </c>
      <c r="E637" s="3463" t="str">
        <f t="shared" ref="E637:E700" si="20">CONCATENATE(D637,C637)</f>
        <v>South AmericaSugar beet</v>
      </c>
      <c r="F637" s="2994">
        <v>25.5762</v>
      </c>
      <c r="G637" s="2994">
        <v>27.646699999999999</v>
      </c>
      <c r="H637" s="2994">
        <v>37.613300000000002</v>
      </c>
      <c r="I637" s="2994">
        <v>26.77</v>
      </c>
      <c r="J637" s="2994">
        <v>31.523499999999999</v>
      </c>
      <c r="K637" s="2994">
        <v>36.505499999999998</v>
      </c>
      <c r="L637" s="2994">
        <v>32.915599999999998</v>
      </c>
      <c r="M637" s="2994">
        <v>29.2532</v>
      </c>
      <c r="N637" s="2994">
        <v>33.928899999999999</v>
      </c>
      <c r="O637" s="2994">
        <v>37.267699999999998</v>
      </c>
      <c r="P637" s="2994">
        <v>37.284700000000001</v>
      </c>
      <c r="Q637" s="2994">
        <v>32.500100000000003</v>
      </c>
      <c r="R637" s="2994">
        <v>32.067900000000002</v>
      </c>
      <c r="S637" s="2994">
        <v>34.957900000000002</v>
      </c>
      <c r="T637" s="2994">
        <v>33.728700000000003</v>
      </c>
      <c r="U637" s="2994">
        <v>33.845399999999998</v>
      </c>
      <c r="V637" s="2994">
        <v>36.698099999999997</v>
      </c>
      <c r="W637" s="2994">
        <v>30.5533</v>
      </c>
      <c r="X637" s="2994">
        <v>31.844999999999999</v>
      </c>
      <c r="Y637" s="2994">
        <v>38.3523</v>
      </c>
      <c r="Z637" s="2994">
        <v>38.2684</v>
      </c>
      <c r="AA637" s="2994">
        <v>40.793300000000002</v>
      </c>
      <c r="AB637" s="2994">
        <v>41.817500000000003</v>
      </c>
      <c r="AC637" s="2994">
        <v>42.487900000000003</v>
      </c>
      <c r="AD637" s="2994">
        <v>44.209800000000001</v>
      </c>
      <c r="AE637" s="2994">
        <v>48.003900000000002</v>
      </c>
      <c r="AF637" s="2994">
        <v>46.084699999999998</v>
      </c>
      <c r="AG637" s="2994">
        <v>49.651899999999998</v>
      </c>
      <c r="AH637" s="2994">
        <v>52.963200000000001</v>
      </c>
      <c r="AI637" s="2994">
        <v>53.317100000000003</v>
      </c>
      <c r="AJ637" s="2994">
        <v>54.890099999999997</v>
      </c>
      <c r="AK637" s="2994">
        <v>65.040000000000006</v>
      </c>
      <c r="AL637" s="2994">
        <v>63.645000000000003</v>
      </c>
      <c r="AM637" s="2994">
        <v>65.727000000000004</v>
      </c>
      <c r="AN637" s="2994">
        <v>69.032600000000002</v>
      </c>
      <c r="AO637" s="2994">
        <v>60.938299999999998</v>
      </c>
      <c r="AP637" s="2994">
        <v>61.768000000000001</v>
      </c>
      <c r="AQ637" s="2994">
        <v>57.911900000000003</v>
      </c>
      <c r="AR637" s="2994">
        <v>59.419800000000002</v>
      </c>
      <c r="AS637" s="2994">
        <v>61.757800000000003</v>
      </c>
      <c r="AT637" s="2994">
        <v>67.182400000000001</v>
      </c>
      <c r="AU637" s="2994">
        <v>71.602699999999999</v>
      </c>
      <c r="AV637" s="2994">
        <v>74.629000000000005</v>
      </c>
      <c r="AW637" s="2994">
        <v>73.170199999999994</v>
      </c>
      <c r="AX637" s="2994">
        <v>77.926699999999997</v>
      </c>
      <c r="AY637" s="2994">
        <v>74.196600000000004</v>
      </c>
      <c r="AZ637" s="2994">
        <v>71.980800000000002</v>
      </c>
      <c r="BA637" s="2994">
        <v>70.691800000000001</v>
      </c>
      <c r="BB637" s="2994">
        <v>69.901300000000006</v>
      </c>
      <c r="BC637" s="2994">
        <v>76.259900000000002</v>
      </c>
      <c r="BD637" s="3471">
        <v>85.656099999999995</v>
      </c>
      <c r="BE637" s="3471">
        <v>79.988299999999995</v>
      </c>
      <c r="BF637" s="3471">
        <v>87.038700000000006</v>
      </c>
    </row>
    <row r="638" spans="1:58">
      <c r="A638" s="1817" t="str">
        <f t="shared" si="19"/>
        <v>South AmericaSugar cane</v>
      </c>
      <c r="B638" s="1818" t="s">
        <v>306</v>
      </c>
      <c r="C638" s="1818" t="s">
        <v>1375</v>
      </c>
      <c r="D638" s="3463" t="str">
        <f>VLOOKUP(B638,List_Yield!$G$4:$J$14,4,FALSE)</f>
        <v>South America</v>
      </c>
      <c r="E638" s="3463" t="str">
        <f t="shared" si="20"/>
        <v>South AmericaSugar cane</v>
      </c>
      <c r="F638" s="2994">
        <v>48.820599999999999</v>
      </c>
      <c r="G638" s="2994">
        <v>48.966099999999997</v>
      </c>
      <c r="H638" s="2994">
        <v>48.052999999999997</v>
      </c>
      <c r="I638" s="2994">
        <v>49.364100000000001</v>
      </c>
      <c r="J638" s="2994">
        <v>49.607500000000002</v>
      </c>
      <c r="K638" s="2994">
        <v>52.423900000000003</v>
      </c>
      <c r="L638" s="2994">
        <v>51.6477</v>
      </c>
      <c r="M638" s="2994">
        <v>51.755699999999997</v>
      </c>
      <c r="N638" s="2994">
        <v>51.412500000000001</v>
      </c>
      <c r="O638" s="2994">
        <v>51.762300000000003</v>
      </c>
      <c r="P638" s="2994">
        <v>51.988199999999999</v>
      </c>
      <c r="Q638" s="2994">
        <v>52.663699999999999</v>
      </c>
      <c r="R638" s="2994">
        <v>53.077399999999997</v>
      </c>
      <c r="S638" s="2994">
        <v>52.816899999999997</v>
      </c>
      <c r="T638" s="2994">
        <v>54.3414</v>
      </c>
      <c r="U638" s="2994">
        <v>54.927999999999997</v>
      </c>
      <c r="V638" s="2994">
        <v>56.397100000000002</v>
      </c>
      <c r="W638" s="2994">
        <v>57.001600000000003</v>
      </c>
      <c r="X638" s="2994">
        <v>57.570700000000002</v>
      </c>
      <c r="Y638" s="2994">
        <v>60.292700000000004</v>
      </c>
      <c r="Z638" s="2994">
        <v>57.410699999999999</v>
      </c>
      <c r="AA638" s="2994">
        <v>61.876899999999999</v>
      </c>
      <c r="AB638" s="2994">
        <v>63.180199999999999</v>
      </c>
      <c r="AC638" s="2994">
        <v>61.584499999999998</v>
      </c>
      <c r="AD638" s="2994">
        <v>63.369799999999998</v>
      </c>
      <c r="AE638" s="2994">
        <v>60.924399999999999</v>
      </c>
      <c r="AF638" s="2994">
        <v>62.412999999999997</v>
      </c>
      <c r="AG638" s="2994">
        <v>63.142899999999997</v>
      </c>
      <c r="AH638" s="2994">
        <v>63.798999999999999</v>
      </c>
      <c r="AI638" s="2994">
        <v>63.313499999999998</v>
      </c>
      <c r="AJ638" s="2994">
        <v>63.9375</v>
      </c>
      <c r="AK638" s="2994">
        <v>65.930700000000002</v>
      </c>
      <c r="AL638" s="2994">
        <v>64.600899999999996</v>
      </c>
      <c r="AM638" s="2994">
        <v>67.983999999999995</v>
      </c>
      <c r="AN638" s="2994">
        <v>67.400999999999996</v>
      </c>
      <c r="AO638" s="2994">
        <v>67.741200000000006</v>
      </c>
      <c r="AP638" s="2994">
        <v>69.795400000000001</v>
      </c>
      <c r="AQ638" s="2994">
        <v>69.608699999999999</v>
      </c>
      <c r="AR638" s="2994">
        <v>69.004999999999995</v>
      </c>
      <c r="AS638" s="2994">
        <v>68.499499999999998</v>
      </c>
      <c r="AT638" s="2994">
        <v>70.218900000000005</v>
      </c>
      <c r="AU638" s="2994">
        <v>72.683599999999998</v>
      </c>
      <c r="AV638" s="2994">
        <v>75.061800000000005</v>
      </c>
      <c r="AW638" s="2994">
        <v>75.100399999999993</v>
      </c>
      <c r="AX638" s="2994">
        <v>74.394900000000007</v>
      </c>
      <c r="AY638" s="2994">
        <v>75.939400000000006</v>
      </c>
      <c r="AZ638" s="2994">
        <v>77.630600000000001</v>
      </c>
      <c r="BA638" s="2994">
        <v>78.947800000000001</v>
      </c>
      <c r="BB638" s="2994">
        <v>80.132999999999996</v>
      </c>
      <c r="BC638" s="2994">
        <v>78.981999999999999</v>
      </c>
      <c r="BD638" s="3471">
        <v>76.708799999999997</v>
      </c>
      <c r="BE638" s="3471">
        <v>73.525099999999995</v>
      </c>
      <c r="BF638" s="3471">
        <v>74.492900000000006</v>
      </c>
    </row>
    <row r="639" spans="1:58">
      <c r="A639" s="1817" t="str">
        <f t="shared" si="19"/>
        <v>South AmericaSugar crops, nes</v>
      </c>
      <c r="B639" s="1818" t="s">
        <v>306</v>
      </c>
      <c r="C639" s="1818" t="s">
        <v>7380</v>
      </c>
      <c r="D639" s="3463" t="str">
        <f>VLOOKUP(B639,List_Yield!$G$4:$J$14,4,FALSE)</f>
        <v>South America</v>
      </c>
      <c r="E639" s="3463" t="str">
        <f t="shared" si="20"/>
        <v>South AmericaSugar crops, nes</v>
      </c>
      <c r="F639" s="2994">
        <v>0</v>
      </c>
      <c r="G639" s="2994">
        <v>0</v>
      </c>
      <c r="H639" s="2994">
        <v>0</v>
      </c>
      <c r="I639" s="2994">
        <v>0</v>
      </c>
      <c r="J639" s="2994">
        <v>0</v>
      </c>
      <c r="K639" s="2994">
        <v>0</v>
      </c>
      <c r="L639" s="2994">
        <v>0</v>
      </c>
      <c r="M639" s="2994">
        <v>0</v>
      </c>
      <c r="N639" s="2994">
        <v>0</v>
      </c>
      <c r="O639" s="2994">
        <v>0</v>
      </c>
      <c r="P639" s="2994">
        <v>0</v>
      </c>
      <c r="Q639" s="2994">
        <v>0</v>
      </c>
      <c r="R639" s="2994">
        <v>0</v>
      </c>
      <c r="S639" s="2994">
        <v>0</v>
      </c>
      <c r="T639" s="2994">
        <v>0</v>
      </c>
      <c r="U639" s="2994">
        <v>0</v>
      </c>
      <c r="V639" s="2994">
        <v>0</v>
      </c>
      <c r="W639" s="2994">
        <v>0</v>
      </c>
      <c r="X639" s="2994">
        <v>0</v>
      </c>
      <c r="Y639" s="2994">
        <v>0</v>
      </c>
      <c r="Z639" s="2994">
        <v>0</v>
      </c>
      <c r="AA639" s="2994">
        <v>0</v>
      </c>
      <c r="AB639" s="2994">
        <v>0</v>
      </c>
      <c r="AC639" s="2994">
        <v>0</v>
      </c>
      <c r="AD639" s="2994">
        <v>0</v>
      </c>
      <c r="AE639" s="2994">
        <v>0</v>
      </c>
      <c r="AF639" s="2994">
        <v>0</v>
      </c>
      <c r="AG639" s="2994">
        <v>0</v>
      </c>
      <c r="AH639" s="2994">
        <v>0</v>
      </c>
      <c r="AI639" s="2994">
        <v>0</v>
      </c>
      <c r="AJ639" s="2994">
        <v>0</v>
      </c>
      <c r="AK639" s="2994">
        <v>0</v>
      </c>
      <c r="AL639" s="2994">
        <v>0</v>
      </c>
      <c r="AM639" s="2994">
        <v>0</v>
      </c>
      <c r="AN639" s="2994">
        <v>0</v>
      </c>
      <c r="AO639" s="2994">
        <v>0</v>
      </c>
      <c r="AP639" s="2994">
        <v>0</v>
      </c>
      <c r="AQ639" s="2994">
        <v>0</v>
      </c>
      <c r="AR639" s="2994">
        <v>0</v>
      </c>
      <c r="AS639" s="2994">
        <v>0</v>
      </c>
      <c r="AT639" s="2994">
        <v>0</v>
      </c>
      <c r="AU639" s="2994">
        <v>0</v>
      </c>
      <c r="AV639" s="2994">
        <v>0</v>
      </c>
      <c r="AW639" s="2994">
        <v>0</v>
      </c>
      <c r="AX639" s="2994">
        <v>0</v>
      </c>
      <c r="AY639" s="2994">
        <v>0</v>
      </c>
      <c r="AZ639" s="2994">
        <v>0</v>
      </c>
      <c r="BA639" s="2994">
        <v>0</v>
      </c>
      <c r="BB639" s="2994">
        <v>0</v>
      </c>
      <c r="BC639" s="2994">
        <v>0</v>
      </c>
      <c r="BD639" s="3471">
        <v>0</v>
      </c>
      <c r="BE639" s="3471">
        <v>0</v>
      </c>
      <c r="BF639" s="3471">
        <v>0</v>
      </c>
    </row>
    <row r="640" spans="1:58">
      <c r="A640" s="1817" t="str">
        <f t="shared" si="19"/>
        <v>South AmericaSunflower seed</v>
      </c>
      <c r="B640" s="1818" t="s">
        <v>306</v>
      </c>
      <c r="C640" s="1818" t="s">
        <v>1376</v>
      </c>
      <c r="D640" s="3463" t="str">
        <f>VLOOKUP(B640,List_Yield!$G$4:$J$14,4,FALSE)</f>
        <v>South America</v>
      </c>
      <c r="E640" s="3463" t="str">
        <f t="shared" si="20"/>
        <v>South AmericaSunflower seed</v>
      </c>
      <c r="F640" s="2994">
        <v>0.62909999999999999</v>
      </c>
      <c r="G640" s="2994">
        <v>0.71250000000000002</v>
      </c>
      <c r="H640" s="2994">
        <v>0.74129999999999996</v>
      </c>
      <c r="I640" s="2994">
        <v>0.74609999999999999</v>
      </c>
      <c r="J640" s="2994">
        <v>0.72689999999999999</v>
      </c>
      <c r="K640" s="2994">
        <v>0.86070000000000002</v>
      </c>
      <c r="L640" s="2994">
        <v>0.86060000000000003</v>
      </c>
      <c r="M640" s="2994">
        <v>0.92810000000000004</v>
      </c>
      <c r="N640" s="2994">
        <v>0.74099999999999999</v>
      </c>
      <c r="O640" s="2994">
        <v>0.81879999999999997</v>
      </c>
      <c r="P640" s="2994">
        <v>0.70589999999999997</v>
      </c>
      <c r="Q640" s="2994">
        <v>0.75490000000000002</v>
      </c>
      <c r="R640" s="2994">
        <v>0.70430000000000004</v>
      </c>
      <c r="S640" s="2994">
        <v>0.79830000000000001</v>
      </c>
      <c r="T640" s="2994">
        <v>0.7218</v>
      </c>
      <c r="U640" s="2994">
        <v>0.84599999999999997</v>
      </c>
      <c r="V640" s="2994">
        <v>0.72909999999999997</v>
      </c>
      <c r="W640" s="2994">
        <v>0.79390000000000005</v>
      </c>
      <c r="X640" s="2994">
        <v>0.90990000000000004</v>
      </c>
      <c r="Y640" s="2994">
        <v>0.86639999999999995</v>
      </c>
      <c r="Z640" s="2994">
        <v>0.97140000000000004</v>
      </c>
      <c r="AA640" s="2994">
        <v>1.1518999999999999</v>
      </c>
      <c r="AB640" s="2994">
        <v>1.2333000000000001</v>
      </c>
      <c r="AC640" s="2994">
        <v>1.0845</v>
      </c>
      <c r="AD640" s="2994">
        <v>1.4221999999999999</v>
      </c>
      <c r="AE640" s="2994">
        <v>1.3355999999999999</v>
      </c>
      <c r="AF640" s="2994">
        <v>1.2515000000000001</v>
      </c>
      <c r="AG640" s="2994">
        <v>1.3968</v>
      </c>
      <c r="AH640" s="2994">
        <v>1.3944000000000001</v>
      </c>
      <c r="AI640" s="2994">
        <v>1.4093</v>
      </c>
      <c r="AJ640" s="2994">
        <v>1.7163999999999999</v>
      </c>
      <c r="AK640" s="2994">
        <v>1.3974</v>
      </c>
      <c r="AL640" s="2994">
        <v>1.4181999999999999</v>
      </c>
      <c r="AM640" s="2994">
        <v>1.855</v>
      </c>
      <c r="AN640" s="2994">
        <v>1.9073</v>
      </c>
      <c r="AO640" s="2994">
        <v>1.6847000000000001</v>
      </c>
      <c r="AP640" s="2994">
        <v>1.7506999999999999</v>
      </c>
      <c r="AQ640" s="2994">
        <v>1.6204000000000001</v>
      </c>
      <c r="AR640" s="2994">
        <v>1.7087000000000001</v>
      </c>
      <c r="AS640" s="2994">
        <v>1.6874</v>
      </c>
      <c r="AT640" s="2994">
        <v>1.6102000000000001</v>
      </c>
      <c r="AU640" s="2994">
        <v>1.7958000000000001</v>
      </c>
      <c r="AV640" s="2994">
        <v>1.5590999999999999</v>
      </c>
      <c r="AW640" s="2994">
        <v>1.6677999999999999</v>
      </c>
      <c r="AX640" s="2994">
        <v>1.7992999999999999</v>
      </c>
      <c r="AY640" s="2994">
        <v>1.6822999999999999</v>
      </c>
      <c r="AZ640" s="2994">
        <v>1.4941</v>
      </c>
      <c r="BA640" s="2994">
        <v>1.7646999999999999</v>
      </c>
      <c r="BB640" s="2994">
        <v>1.3038000000000001</v>
      </c>
      <c r="BC640" s="2994">
        <v>1.4638</v>
      </c>
      <c r="BD640" s="3471">
        <v>1.9365000000000001</v>
      </c>
      <c r="BE640" s="3471">
        <v>1.7690999999999999</v>
      </c>
      <c r="BF640" s="3471">
        <v>1.8252999999999999</v>
      </c>
    </row>
    <row r="641" spans="1:58">
      <c r="A641" s="1817" t="str">
        <f t="shared" si="19"/>
        <v>South AmericaSweet potatoes</v>
      </c>
      <c r="B641" s="1818" t="s">
        <v>306</v>
      </c>
      <c r="C641" s="1818" t="s">
        <v>1377</v>
      </c>
      <c r="D641" s="3463" t="str">
        <f>VLOOKUP(B641,List_Yield!$G$4:$J$14,4,FALSE)</f>
        <v>South America</v>
      </c>
      <c r="E641" s="3463" t="str">
        <f t="shared" si="20"/>
        <v>South AmericaSweet potatoes</v>
      </c>
      <c r="F641" s="2994">
        <v>9.3788</v>
      </c>
      <c r="G641" s="2994">
        <v>9.3812999999999995</v>
      </c>
      <c r="H641" s="2994">
        <v>9.5998999999999999</v>
      </c>
      <c r="I641" s="2994">
        <v>9.7081</v>
      </c>
      <c r="J641" s="2994">
        <v>9.5541</v>
      </c>
      <c r="K641" s="2994">
        <v>10.3323</v>
      </c>
      <c r="L641" s="2994">
        <v>11.28</v>
      </c>
      <c r="M641" s="2994">
        <v>10.8025</v>
      </c>
      <c r="N641" s="2994">
        <v>11.095700000000001</v>
      </c>
      <c r="O641" s="2994">
        <v>11.0228</v>
      </c>
      <c r="P641" s="2994">
        <v>11.225</v>
      </c>
      <c r="Q641" s="2994">
        <v>11.5769</v>
      </c>
      <c r="R641" s="2994">
        <v>10.7989</v>
      </c>
      <c r="S641" s="2994">
        <v>9.9336000000000002</v>
      </c>
      <c r="T641" s="2994">
        <v>9.8975000000000009</v>
      </c>
      <c r="U641" s="2994">
        <v>9.2950999999999997</v>
      </c>
      <c r="V641" s="2994">
        <v>8.6789000000000005</v>
      </c>
      <c r="W641" s="2994">
        <v>8.5855999999999995</v>
      </c>
      <c r="X641" s="2994">
        <v>8.5182000000000002</v>
      </c>
      <c r="Y641" s="2994">
        <v>8.2870000000000008</v>
      </c>
      <c r="Z641" s="2994">
        <v>8.6209000000000007</v>
      </c>
      <c r="AA641" s="2994">
        <v>9.0396000000000001</v>
      </c>
      <c r="AB641" s="2994">
        <v>8.7294</v>
      </c>
      <c r="AC641" s="2994">
        <v>9.0170999999999992</v>
      </c>
      <c r="AD641" s="2994">
        <v>9.2297999999999991</v>
      </c>
      <c r="AE641" s="2994">
        <v>9.7059999999999995</v>
      </c>
      <c r="AF641" s="2994">
        <v>9.9977</v>
      </c>
      <c r="AG641" s="2994">
        <v>10.4473</v>
      </c>
      <c r="AH641" s="2994">
        <v>10.059200000000001</v>
      </c>
      <c r="AI641" s="2994">
        <v>10.6769</v>
      </c>
      <c r="AJ641" s="2994">
        <v>9.8467000000000002</v>
      </c>
      <c r="AK641" s="2994">
        <v>10.4261</v>
      </c>
      <c r="AL641" s="2994">
        <v>10.927199999999999</v>
      </c>
      <c r="AM641" s="2994">
        <v>12.0143</v>
      </c>
      <c r="AN641" s="2994">
        <v>11.9732</v>
      </c>
      <c r="AO641" s="2994">
        <v>10.8546</v>
      </c>
      <c r="AP641" s="2994">
        <v>11.165100000000001</v>
      </c>
      <c r="AQ641" s="2994">
        <v>11.38</v>
      </c>
      <c r="AR641" s="2994">
        <v>11.5984</v>
      </c>
      <c r="AS641" s="2994">
        <v>11.459300000000001</v>
      </c>
      <c r="AT641" s="2994">
        <v>11.635899999999999</v>
      </c>
      <c r="AU641" s="2994">
        <v>10.969900000000001</v>
      </c>
      <c r="AV641" s="2994">
        <v>11.1709</v>
      </c>
      <c r="AW641" s="2994">
        <v>11.853</v>
      </c>
      <c r="AX641" s="2994">
        <v>11.457599999999999</v>
      </c>
      <c r="AY641" s="2994">
        <v>11.593500000000001</v>
      </c>
      <c r="AZ641" s="2994">
        <v>11.8888</v>
      </c>
      <c r="BA641" s="2994">
        <v>12.160399999999999</v>
      </c>
      <c r="BB641" s="2994">
        <v>12.0589</v>
      </c>
      <c r="BC641" s="2994">
        <v>12.5091</v>
      </c>
      <c r="BD641" s="3471">
        <v>13.1463</v>
      </c>
      <c r="BE641" s="3471">
        <v>13.183400000000001</v>
      </c>
      <c r="BF641" s="3471">
        <v>13.199400000000001</v>
      </c>
    </row>
    <row r="642" spans="1:58">
      <c r="A642" s="1817" t="str">
        <f t="shared" ref="A642:A705" si="21">CONCATENATE(B642,C642)</f>
        <v>South AmericaTallowtree seed</v>
      </c>
      <c r="B642" s="1818" t="s">
        <v>306</v>
      </c>
      <c r="C642" s="1818" t="s">
        <v>7381</v>
      </c>
      <c r="D642" s="3463" t="str">
        <f>VLOOKUP(B642,List_Yield!$G$4:$J$14,4,FALSE)</f>
        <v>South America</v>
      </c>
      <c r="E642" s="3463" t="str">
        <f t="shared" si="20"/>
        <v>South AmericaTallowtree seed</v>
      </c>
      <c r="F642" s="2994">
        <v>0</v>
      </c>
      <c r="G642" s="2994">
        <v>0</v>
      </c>
      <c r="H642" s="2994">
        <v>0</v>
      </c>
      <c r="I642" s="2994">
        <v>0</v>
      </c>
      <c r="J642" s="2994">
        <v>0</v>
      </c>
      <c r="K642" s="2994">
        <v>0</v>
      </c>
      <c r="L642" s="2994">
        <v>0</v>
      </c>
      <c r="M642" s="2994">
        <v>0</v>
      </c>
      <c r="N642" s="2994">
        <v>0</v>
      </c>
      <c r="O642" s="2994">
        <v>0</v>
      </c>
      <c r="P642" s="2994">
        <v>0</v>
      </c>
      <c r="Q642" s="2994">
        <v>0</v>
      </c>
      <c r="R642" s="2994">
        <v>0</v>
      </c>
      <c r="S642" s="2994">
        <v>0</v>
      </c>
      <c r="T642" s="2994">
        <v>0</v>
      </c>
      <c r="U642" s="2994">
        <v>0</v>
      </c>
      <c r="V642" s="2994">
        <v>0</v>
      </c>
      <c r="W642" s="2994">
        <v>0</v>
      </c>
      <c r="X642" s="2994">
        <v>0</v>
      </c>
      <c r="Y642" s="2994">
        <v>0</v>
      </c>
      <c r="Z642" s="2994">
        <v>0</v>
      </c>
      <c r="AA642" s="2994">
        <v>0</v>
      </c>
      <c r="AB642" s="2994">
        <v>0</v>
      </c>
      <c r="AC642" s="2994">
        <v>0</v>
      </c>
      <c r="AD642" s="2994">
        <v>0</v>
      </c>
      <c r="AE642" s="2994">
        <v>0</v>
      </c>
      <c r="AF642" s="2994">
        <v>0</v>
      </c>
      <c r="AG642" s="2994">
        <v>0</v>
      </c>
      <c r="AH642" s="2994">
        <v>0</v>
      </c>
      <c r="AI642" s="2994">
        <v>0</v>
      </c>
      <c r="AJ642" s="2994">
        <v>0</v>
      </c>
      <c r="AK642" s="2994">
        <v>0</v>
      </c>
      <c r="AL642" s="2994">
        <v>0</v>
      </c>
      <c r="AM642" s="2994">
        <v>0</v>
      </c>
      <c r="AN642" s="2994">
        <v>0</v>
      </c>
      <c r="AO642" s="2994">
        <v>0</v>
      </c>
      <c r="AP642" s="2994">
        <v>0</v>
      </c>
      <c r="AQ642" s="2994">
        <v>0</v>
      </c>
      <c r="AR642" s="2994">
        <v>0</v>
      </c>
      <c r="AS642" s="2994">
        <v>0</v>
      </c>
      <c r="AT642" s="2994">
        <v>0</v>
      </c>
      <c r="AU642" s="2994">
        <v>0</v>
      </c>
      <c r="AV642" s="2994">
        <v>0</v>
      </c>
      <c r="AW642" s="2994">
        <v>0</v>
      </c>
      <c r="AX642" s="2994">
        <v>0</v>
      </c>
      <c r="AY642" s="2994">
        <v>0</v>
      </c>
      <c r="AZ642" s="2994">
        <v>0</v>
      </c>
      <c r="BA642" s="2994">
        <v>0</v>
      </c>
      <c r="BB642" s="2994">
        <v>0</v>
      </c>
      <c r="BC642" s="2994">
        <v>0</v>
      </c>
      <c r="BD642" s="3471">
        <v>0</v>
      </c>
      <c r="BE642" s="3471">
        <v>0</v>
      </c>
      <c r="BF642" s="3471">
        <v>0</v>
      </c>
    </row>
    <row r="643" spans="1:58">
      <c r="A643" s="1817" t="str">
        <f t="shared" si="21"/>
        <v>South AmericaTangerines, mandarins, clementines, satsumas</v>
      </c>
      <c r="B643" s="1818" t="s">
        <v>306</v>
      </c>
      <c r="C643" s="1818" t="s">
        <v>7382</v>
      </c>
      <c r="D643" s="3463" t="str">
        <f>VLOOKUP(B643,List_Yield!$G$4:$J$14,4,FALSE)</f>
        <v>South America</v>
      </c>
      <c r="E643" s="3463" t="str">
        <f t="shared" si="20"/>
        <v>South AmericaTangerines, mandarins, clementines, satsumas</v>
      </c>
      <c r="F643" s="2994">
        <v>25.543299999999999</v>
      </c>
      <c r="G643" s="2994">
        <v>24.1816</v>
      </c>
      <c r="H643" s="2994">
        <v>25.2136</v>
      </c>
      <c r="I643" s="2994">
        <v>23.701499999999999</v>
      </c>
      <c r="J643" s="2994">
        <v>19.710599999999999</v>
      </c>
      <c r="K643" s="2994">
        <v>21.842700000000001</v>
      </c>
      <c r="L643" s="2994">
        <v>18.568999999999999</v>
      </c>
      <c r="M643" s="2994">
        <v>19.880500000000001</v>
      </c>
      <c r="N643" s="2994">
        <v>23.324300000000001</v>
      </c>
      <c r="O643" s="2994">
        <v>23.329699999999999</v>
      </c>
      <c r="P643" s="2994">
        <v>25.090800000000002</v>
      </c>
      <c r="Q643" s="2994">
        <v>23.9451</v>
      </c>
      <c r="R643" s="2994">
        <v>24.0489</v>
      </c>
      <c r="S643" s="2994">
        <v>21.3567</v>
      </c>
      <c r="T643" s="2994">
        <v>20.492899999999999</v>
      </c>
      <c r="U643" s="2994">
        <v>20.3476</v>
      </c>
      <c r="V643" s="2994">
        <v>19.715599999999998</v>
      </c>
      <c r="W643" s="2994">
        <v>19.6386</v>
      </c>
      <c r="X643" s="2994">
        <v>19.883500000000002</v>
      </c>
      <c r="Y643" s="2994">
        <v>12.8607</v>
      </c>
      <c r="Z643" s="2994">
        <v>13.9857</v>
      </c>
      <c r="AA643" s="2994">
        <v>14.7727</v>
      </c>
      <c r="AB643" s="2994">
        <v>14.2967</v>
      </c>
      <c r="AC643" s="2994">
        <v>13.985900000000001</v>
      </c>
      <c r="AD643" s="2994">
        <v>12.897</v>
      </c>
      <c r="AE643" s="2994">
        <v>12.542</v>
      </c>
      <c r="AF643" s="2994">
        <v>12.918900000000001</v>
      </c>
      <c r="AG643" s="2994">
        <v>12.9925</v>
      </c>
      <c r="AH643" s="2994">
        <v>13.244300000000001</v>
      </c>
      <c r="AI643" s="2994">
        <v>13.0938</v>
      </c>
      <c r="AJ643" s="2994">
        <v>13.6129</v>
      </c>
      <c r="AK643" s="2994">
        <v>13.956200000000001</v>
      </c>
      <c r="AL643" s="2994">
        <v>13.290900000000001</v>
      </c>
      <c r="AM643" s="2994">
        <v>14.2074</v>
      </c>
      <c r="AN643" s="2994">
        <v>14.2532</v>
      </c>
      <c r="AO643" s="2994">
        <v>12.916600000000001</v>
      </c>
      <c r="AP643" s="2994">
        <v>14.996</v>
      </c>
      <c r="AQ643" s="2994">
        <v>13.806699999999999</v>
      </c>
      <c r="AR643" s="2994">
        <v>14.021699999999999</v>
      </c>
      <c r="AS643" s="2994">
        <v>14.701700000000001</v>
      </c>
      <c r="AT643" s="2994">
        <v>17.039000000000001</v>
      </c>
      <c r="AU643" s="2994">
        <v>17.2255</v>
      </c>
      <c r="AV643" s="2994">
        <v>17.359100000000002</v>
      </c>
      <c r="AW643" s="2994">
        <v>15.6374</v>
      </c>
      <c r="AX643" s="2994">
        <v>15.865500000000001</v>
      </c>
      <c r="AY643" s="2994">
        <v>16.759699999999999</v>
      </c>
      <c r="AZ643" s="2994">
        <v>15.783799999999999</v>
      </c>
      <c r="BA643" s="2994">
        <v>15.8314</v>
      </c>
      <c r="BB643" s="2994">
        <v>14.9726</v>
      </c>
      <c r="BC643" s="2994">
        <v>15.2242</v>
      </c>
      <c r="BD643" s="3471">
        <v>14.577199999999999</v>
      </c>
      <c r="BE643" s="3471">
        <v>14.9001</v>
      </c>
      <c r="BF643" s="3471">
        <v>0</v>
      </c>
    </row>
    <row r="644" spans="1:58">
      <c r="A644" s="1817" t="str">
        <f t="shared" si="21"/>
        <v>South AmericaTaro (cocoyam)</v>
      </c>
      <c r="B644" s="1818" t="s">
        <v>306</v>
      </c>
      <c r="C644" s="1818" t="s">
        <v>7383</v>
      </c>
      <c r="D644" s="3463" t="str">
        <f>VLOOKUP(B644,List_Yield!$G$4:$J$14,4,FALSE)</f>
        <v>South America</v>
      </c>
      <c r="E644" s="3463" t="str">
        <f t="shared" si="20"/>
        <v>South AmericaTaro (cocoyam)</v>
      </c>
      <c r="F644" s="2994">
        <v>12.069000000000001</v>
      </c>
      <c r="G644" s="2994">
        <v>15</v>
      </c>
      <c r="H644" s="2994">
        <v>14.682499999999999</v>
      </c>
      <c r="I644" s="2994">
        <v>8.0434999999999999</v>
      </c>
      <c r="J644" s="2994">
        <v>8.3050999999999995</v>
      </c>
      <c r="K644" s="2994">
        <v>8.3050999999999995</v>
      </c>
      <c r="L644" s="2994">
        <v>11.1053</v>
      </c>
      <c r="M644" s="2994">
        <v>10</v>
      </c>
      <c r="N644" s="2994">
        <v>10</v>
      </c>
      <c r="O644" s="2994">
        <v>24.764199999999999</v>
      </c>
      <c r="P644" s="2994">
        <v>26.764700000000001</v>
      </c>
      <c r="Q644" s="2994">
        <v>26.764700000000001</v>
      </c>
      <c r="R644" s="2994">
        <v>24.625</v>
      </c>
      <c r="S644" s="2994">
        <v>24.625</v>
      </c>
      <c r="T644" s="2994">
        <v>9.375</v>
      </c>
      <c r="U644" s="2994">
        <v>6.875</v>
      </c>
      <c r="V644" s="2994">
        <v>7.25</v>
      </c>
      <c r="W644" s="2994">
        <v>7.3913000000000002</v>
      </c>
      <c r="X644" s="2994">
        <v>11.25</v>
      </c>
      <c r="Y644" s="2994">
        <v>11.25</v>
      </c>
      <c r="Z644" s="2994">
        <v>11.2889</v>
      </c>
      <c r="AA644" s="2994">
        <v>11.2889</v>
      </c>
      <c r="AB644" s="2994">
        <v>11.478300000000001</v>
      </c>
      <c r="AC644" s="2994">
        <v>10.847799999999999</v>
      </c>
      <c r="AD644" s="2994">
        <v>11.478300000000001</v>
      </c>
      <c r="AE644" s="2994">
        <v>11.6952</v>
      </c>
      <c r="AF644" s="2994">
        <v>8.7713999999999999</v>
      </c>
      <c r="AG644" s="2994">
        <v>8.7515000000000001</v>
      </c>
      <c r="AH644" s="2994">
        <v>11.2582</v>
      </c>
      <c r="AI644" s="2994">
        <v>11.2582</v>
      </c>
      <c r="AJ644" s="2994">
        <v>10.150399999999999</v>
      </c>
      <c r="AK644" s="2994">
        <v>8.4466999999999999</v>
      </c>
      <c r="AL644" s="2994">
        <v>11.491</v>
      </c>
      <c r="AM644" s="2994">
        <v>9.1164000000000005</v>
      </c>
      <c r="AN644" s="2994">
        <v>5.3882000000000003</v>
      </c>
      <c r="AO644" s="2994">
        <v>5.3882000000000003</v>
      </c>
      <c r="AP644" s="2994">
        <v>5.3882000000000003</v>
      </c>
      <c r="AQ644" s="2994">
        <v>5.3882000000000003</v>
      </c>
      <c r="AR644" s="2994">
        <v>5.3882000000000003</v>
      </c>
      <c r="AS644" s="2994">
        <v>6.2941000000000003</v>
      </c>
      <c r="AT644" s="2994">
        <v>6.6314000000000002</v>
      </c>
      <c r="AU644" s="2994">
        <v>6.5208000000000004</v>
      </c>
      <c r="AV644" s="2994">
        <v>6.4063999999999997</v>
      </c>
      <c r="AW644" s="2994">
        <v>6.0164</v>
      </c>
      <c r="AX644" s="2994">
        <v>5.3140999999999998</v>
      </c>
      <c r="AY644" s="2994">
        <v>5.6364000000000001</v>
      </c>
      <c r="AZ644" s="2994">
        <v>5.4371999999999998</v>
      </c>
      <c r="BA644" s="2994">
        <v>5.4210000000000003</v>
      </c>
      <c r="BB644" s="2994">
        <v>4.8887999999999998</v>
      </c>
      <c r="BC644" s="2994">
        <v>6.3175999999999997</v>
      </c>
      <c r="BD644" s="3471">
        <v>5.4383999999999997</v>
      </c>
      <c r="BE644" s="3471">
        <v>7.35</v>
      </c>
      <c r="BF644" s="3471">
        <v>6.3663999999999996</v>
      </c>
    </row>
    <row r="645" spans="1:58">
      <c r="A645" s="1817" t="str">
        <f t="shared" si="21"/>
        <v>South AmericaTea</v>
      </c>
      <c r="B645" s="1818" t="s">
        <v>306</v>
      </c>
      <c r="C645" s="1818" t="s">
        <v>1379</v>
      </c>
      <c r="D645" s="3463" t="str">
        <f>VLOOKUP(B645,List_Yield!$G$4:$J$14,4,FALSE)</f>
        <v>South America</v>
      </c>
      <c r="E645" s="3463" t="str">
        <f t="shared" si="20"/>
        <v>South AmericaTea</v>
      </c>
      <c r="F645" s="2994">
        <v>0.66</v>
      </c>
      <c r="G645" s="2994">
        <v>0.62590000000000001</v>
      </c>
      <c r="H645" s="2994">
        <v>0.81630000000000003</v>
      </c>
      <c r="I645" s="2994">
        <v>0.80520000000000003</v>
      </c>
      <c r="J645" s="2994">
        <v>0.82930000000000004</v>
      </c>
      <c r="K645" s="2994">
        <v>0.7752</v>
      </c>
      <c r="L645" s="2994">
        <v>0.81030000000000002</v>
      </c>
      <c r="M645" s="2994">
        <v>0.68810000000000004</v>
      </c>
      <c r="N645" s="2994">
        <v>0.79179999999999995</v>
      </c>
      <c r="O645" s="2994">
        <v>0.86199999999999999</v>
      </c>
      <c r="P645" s="2994">
        <v>0.96970000000000001</v>
      </c>
      <c r="Q645" s="2994">
        <v>1.0599000000000001</v>
      </c>
      <c r="R645" s="2994">
        <v>1.0478000000000001</v>
      </c>
      <c r="S645" s="2994">
        <v>0.97150000000000003</v>
      </c>
      <c r="T645" s="2994">
        <v>1.0482</v>
      </c>
      <c r="U645" s="2994">
        <v>0.93700000000000006</v>
      </c>
      <c r="V645" s="2994">
        <v>1.0063</v>
      </c>
      <c r="W645" s="2994">
        <v>0.73429999999999995</v>
      </c>
      <c r="X645" s="2994">
        <v>0.87260000000000004</v>
      </c>
      <c r="Y645" s="2994">
        <v>0.996</v>
      </c>
      <c r="Z645" s="2994">
        <v>0.91339999999999999</v>
      </c>
      <c r="AA645" s="2994">
        <v>1.0654999999999999</v>
      </c>
      <c r="AB645" s="2994">
        <v>1.0979000000000001</v>
      </c>
      <c r="AC645" s="2994">
        <v>1.0929</v>
      </c>
      <c r="AD645" s="2994">
        <v>1.1674</v>
      </c>
      <c r="AE645" s="2994">
        <v>1.2184999999999999</v>
      </c>
      <c r="AF645" s="2994">
        <v>1.3162</v>
      </c>
      <c r="AG645" s="2994">
        <v>1.0101</v>
      </c>
      <c r="AH645" s="2994">
        <v>1.3372999999999999</v>
      </c>
      <c r="AI645" s="2994">
        <v>1.359</v>
      </c>
      <c r="AJ645" s="2994">
        <v>1.3123</v>
      </c>
      <c r="AK645" s="2994">
        <v>1.2716000000000001</v>
      </c>
      <c r="AL645" s="2994">
        <v>1.46</v>
      </c>
      <c r="AM645" s="2994">
        <v>1.5326</v>
      </c>
      <c r="AN645" s="2994">
        <v>1.5036</v>
      </c>
      <c r="AO645" s="2994">
        <v>1.4676</v>
      </c>
      <c r="AP645" s="2994">
        <v>1.6594</v>
      </c>
      <c r="AQ645" s="2994">
        <v>1.6153999999999999</v>
      </c>
      <c r="AR645" s="2994">
        <v>1.5247999999999999</v>
      </c>
      <c r="AS645" s="2994">
        <v>1.9636</v>
      </c>
      <c r="AT645" s="2994">
        <v>1.9659</v>
      </c>
      <c r="AU645" s="2994">
        <v>1.9841</v>
      </c>
      <c r="AV645" s="2994">
        <v>1.9361999999999999</v>
      </c>
      <c r="AW645" s="2994">
        <v>1.8636999999999999</v>
      </c>
      <c r="AX645" s="2994">
        <v>1.8740000000000001</v>
      </c>
      <c r="AY645" s="2994">
        <v>1.9052</v>
      </c>
      <c r="AZ645" s="2994">
        <v>1.9107000000000001</v>
      </c>
      <c r="BA645" s="2994">
        <v>2.0341</v>
      </c>
      <c r="BB645" s="2994">
        <v>1.9227000000000001</v>
      </c>
      <c r="BC645" s="2994">
        <v>2.3220000000000001</v>
      </c>
      <c r="BD645" s="3471">
        <v>2.5129999999999999</v>
      </c>
      <c r="BE645" s="3471">
        <v>2.5718999999999999</v>
      </c>
      <c r="BF645" s="3471">
        <v>0</v>
      </c>
    </row>
    <row r="646" spans="1:58">
      <c r="A646" s="1817" t="str">
        <f t="shared" si="21"/>
        <v>South AmericaTobacco, unmanufactured</v>
      </c>
      <c r="B646" s="1818" t="s">
        <v>306</v>
      </c>
      <c r="C646" s="1818" t="s">
        <v>1321</v>
      </c>
      <c r="D646" s="3463" t="str">
        <f>VLOOKUP(B646,List_Yield!$G$4:$J$14,4,FALSE)</f>
        <v>South America</v>
      </c>
      <c r="E646" s="3463" t="str">
        <f t="shared" si="20"/>
        <v>South AmericaTobacco, unmanufactured</v>
      </c>
      <c r="F646" s="2994">
        <v>0.88280000000000003</v>
      </c>
      <c r="G646" s="2994">
        <v>0.9788</v>
      </c>
      <c r="H646" s="2994">
        <v>0.99780000000000002</v>
      </c>
      <c r="I646" s="2994">
        <v>0.98070000000000002</v>
      </c>
      <c r="J646" s="2994">
        <v>1.0114000000000001</v>
      </c>
      <c r="K646" s="2994">
        <v>0.96309999999999996</v>
      </c>
      <c r="L646" s="2994">
        <v>1.0441</v>
      </c>
      <c r="M646" s="2994">
        <v>1.0448999999999999</v>
      </c>
      <c r="N646" s="2994">
        <v>1.0575000000000001</v>
      </c>
      <c r="O646" s="2994">
        <v>1.0738000000000001</v>
      </c>
      <c r="P646" s="2994">
        <v>1.071</v>
      </c>
      <c r="Q646" s="2994">
        <v>1.1051</v>
      </c>
      <c r="R646" s="2994">
        <v>1.06</v>
      </c>
      <c r="S646" s="2994">
        <v>1.2634000000000001</v>
      </c>
      <c r="T646" s="2994">
        <v>1.2005999999999999</v>
      </c>
      <c r="U646" s="2994">
        <v>1.1899</v>
      </c>
      <c r="V646" s="2994">
        <v>1.2269000000000001</v>
      </c>
      <c r="W646" s="2994">
        <v>1.2378</v>
      </c>
      <c r="X646" s="2994">
        <v>1.2882</v>
      </c>
      <c r="Y646" s="2994">
        <v>1.3125</v>
      </c>
      <c r="Z646" s="2994">
        <v>1.2716000000000001</v>
      </c>
      <c r="AA646" s="2994">
        <v>1.3514999999999999</v>
      </c>
      <c r="AB646" s="2994">
        <v>1.3089</v>
      </c>
      <c r="AC646" s="2994">
        <v>1.4633</v>
      </c>
      <c r="AD646" s="2994">
        <v>1.4924999999999999</v>
      </c>
      <c r="AE646" s="2994">
        <v>1.4155</v>
      </c>
      <c r="AF646" s="2994">
        <v>1.3862000000000001</v>
      </c>
      <c r="AG646" s="2994">
        <v>1.5257000000000001</v>
      </c>
      <c r="AH646" s="2994">
        <v>1.5676000000000001</v>
      </c>
      <c r="AI646" s="2994">
        <v>1.6375999999999999</v>
      </c>
      <c r="AJ646" s="2994">
        <v>1.5065999999999999</v>
      </c>
      <c r="AK646" s="2994">
        <v>1.6696</v>
      </c>
      <c r="AL646" s="2994">
        <v>1.7577</v>
      </c>
      <c r="AM646" s="2994">
        <v>1.6571</v>
      </c>
      <c r="AN646" s="2994">
        <v>1.5944</v>
      </c>
      <c r="AO646" s="2994">
        <v>1.5752999999999999</v>
      </c>
      <c r="AP646" s="2994">
        <v>1.7871999999999999</v>
      </c>
      <c r="AQ646" s="2994">
        <v>1.4895</v>
      </c>
      <c r="AR646" s="2994">
        <v>1.8298000000000001</v>
      </c>
      <c r="AS646" s="2994">
        <v>1.8792</v>
      </c>
      <c r="AT646" s="2994">
        <v>1.8717999999999999</v>
      </c>
      <c r="AU646" s="2994">
        <v>1.9675</v>
      </c>
      <c r="AV646" s="2994">
        <v>1.7173</v>
      </c>
      <c r="AW646" s="2994">
        <v>2.0059</v>
      </c>
      <c r="AX646" s="2994">
        <v>1.837</v>
      </c>
      <c r="AY646" s="2994">
        <v>1.8307</v>
      </c>
      <c r="AZ646" s="2994">
        <v>1.9476</v>
      </c>
      <c r="BA646" s="2994">
        <v>1.9591000000000001</v>
      </c>
      <c r="BB646" s="2994">
        <v>1.9342999999999999</v>
      </c>
      <c r="BC646" s="2994">
        <v>1.7669999999999999</v>
      </c>
      <c r="BD646" s="3471">
        <v>2.0636999999999999</v>
      </c>
      <c r="BE646" s="3471">
        <v>1.9830000000000001</v>
      </c>
      <c r="BF646" s="3471">
        <v>0</v>
      </c>
    </row>
    <row r="647" spans="1:58">
      <c r="A647" s="1817" t="str">
        <f t="shared" si="21"/>
        <v>South AmericaTomatoes</v>
      </c>
      <c r="B647" s="1818" t="s">
        <v>306</v>
      </c>
      <c r="C647" s="1818" t="s">
        <v>1380</v>
      </c>
      <c r="D647" s="3463" t="str">
        <f>VLOOKUP(B647,List_Yield!$G$4:$J$14,4,FALSE)</f>
        <v>South America</v>
      </c>
      <c r="E647" s="3463" t="str">
        <f t="shared" si="20"/>
        <v>South AmericaTomatoes</v>
      </c>
      <c r="F647" s="2994">
        <v>14.5715</v>
      </c>
      <c r="G647" s="2994">
        <v>15.370900000000001</v>
      </c>
      <c r="H647" s="2994">
        <v>14.5791</v>
      </c>
      <c r="I647" s="2994">
        <v>15.722099999999999</v>
      </c>
      <c r="J647" s="2994">
        <v>15.4937</v>
      </c>
      <c r="K647" s="2994">
        <v>16.360299999999999</v>
      </c>
      <c r="L647" s="2994">
        <v>16.3201</v>
      </c>
      <c r="M647" s="2994">
        <v>16.0044</v>
      </c>
      <c r="N647" s="2994">
        <v>15.949199999999999</v>
      </c>
      <c r="O647" s="2994">
        <v>16.046700000000001</v>
      </c>
      <c r="P647" s="2994">
        <v>15.972099999999999</v>
      </c>
      <c r="Q647" s="2994">
        <v>17.183499999999999</v>
      </c>
      <c r="R647" s="2994">
        <v>17.086300000000001</v>
      </c>
      <c r="S647" s="2994">
        <v>19.234300000000001</v>
      </c>
      <c r="T647" s="2994">
        <v>19.406199999999998</v>
      </c>
      <c r="U647" s="2994">
        <v>20.075600000000001</v>
      </c>
      <c r="V647" s="2994">
        <v>20.3521</v>
      </c>
      <c r="W647" s="2994">
        <v>21.268000000000001</v>
      </c>
      <c r="X647" s="2994">
        <v>21.655200000000001</v>
      </c>
      <c r="Y647" s="2994">
        <v>23.0532</v>
      </c>
      <c r="Z647" s="2994">
        <v>23.134699999999999</v>
      </c>
      <c r="AA647" s="2994">
        <v>24.420100000000001</v>
      </c>
      <c r="AB647" s="2994">
        <v>23.9635</v>
      </c>
      <c r="AC647" s="2994">
        <v>26.226700000000001</v>
      </c>
      <c r="AD647" s="2994">
        <v>26.1631</v>
      </c>
      <c r="AE647" s="2994">
        <v>26.480499999999999</v>
      </c>
      <c r="AF647" s="2994">
        <v>27.7</v>
      </c>
      <c r="AG647" s="2994">
        <v>29.390599999999999</v>
      </c>
      <c r="AH647" s="2994">
        <v>27.572500000000002</v>
      </c>
      <c r="AI647" s="2994">
        <v>29.1418</v>
      </c>
      <c r="AJ647" s="2994">
        <v>29.830100000000002</v>
      </c>
      <c r="AK647" s="2994">
        <v>29.956099999999999</v>
      </c>
      <c r="AL647" s="2994">
        <v>31.191500000000001</v>
      </c>
      <c r="AM647" s="2994">
        <v>35.254199999999997</v>
      </c>
      <c r="AN647" s="2994">
        <v>37.042900000000003</v>
      </c>
      <c r="AO647" s="2994">
        <v>34.2288</v>
      </c>
      <c r="AP647" s="2994">
        <v>35.709299999999999</v>
      </c>
      <c r="AQ647" s="2994">
        <v>35.850700000000003</v>
      </c>
      <c r="AR647" s="2994">
        <v>39.616</v>
      </c>
      <c r="AS647" s="2994">
        <v>39.877600000000001</v>
      </c>
      <c r="AT647" s="2994">
        <v>41.870699999999999</v>
      </c>
      <c r="AU647" s="2994">
        <v>45.688699999999997</v>
      </c>
      <c r="AV647" s="2994">
        <v>46.223100000000002</v>
      </c>
      <c r="AW647" s="2994">
        <v>45.9617</v>
      </c>
      <c r="AX647" s="2994">
        <v>45.822299999999998</v>
      </c>
      <c r="AY647" s="2994">
        <v>44.790999999999997</v>
      </c>
      <c r="AZ647" s="2994">
        <v>45.5886</v>
      </c>
      <c r="BA647" s="2994">
        <v>47.578800000000001</v>
      </c>
      <c r="BB647" s="2994">
        <v>49.936100000000003</v>
      </c>
      <c r="BC647" s="2994">
        <v>48.944800000000001</v>
      </c>
      <c r="BD647" s="3471">
        <v>50.790300000000002</v>
      </c>
      <c r="BE647" s="3471">
        <v>48.859099999999998</v>
      </c>
      <c r="BF647" s="3471">
        <v>0</v>
      </c>
    </row>
    <row r="648" spans="1:58">
      <c r="A648" s="1817" t="str">
        <f t="shared" si="21"/>
        <v>South AmericaTriticale</v>
      </c>
      <c r="B648" s="1818" t="s">
        <v>306</v>
      </c>
      <c r="C648" s="1818" t="s">
        <v>1335</v>
      </c>
      <c r="D648" s="3463" t="str">
        <f>VLOOKUP(B648,List_Yield!$G$4:$J$14,4,FALSE)</f>
        <v>South America</v>
      </c>
      <c r="E648" s="3463" t="str">
        <f t="shared" si="20"/>
        <v>South AmericaTriticale</v>
      </c>
      <c r="F648" s="2994">
        <v>0</v>
      </c>
      <c r="G648" s="2994">
        <v>0</v>
      </c>
      <c r="H648" s="2994">
        <v>0</v>
      </c>
      <c r="I648" s="2994">
        <v>0</v>
      </c>
      <c r="J648" s="2994">
        <v>0</v>
      </c>
      <c r="K648" s="2994">
        <v>0</v>
      </c>
      <c r="L648" s="2994">
        <v>0</v>
      </c>
      <c r="M648" s="2994">
        <v>0</v>
      </c>
      <c r="N648" s="2994">
        <v>0</v>
      </c>
      <c r="O648" s="2994">
        <v>0</v>
      </c>
      <c r="P648" s="2994">
        <v>0</v>
      </c>
      <c r="Q648" s="2994">
        <v>0</v>
      </c>
      <c r="R648" s="2994">
        <v>0</v>
      </c>
      <c r="S648" s="2994">
        <v>0</v>
      </c>
      <c r="T648" s="2994">
        <v>0</v>
      </c>
      <c r="U648" s="2994">
        <v>0</v>
      </c>
      <c r="V648" s="2994">
        <v>0</v>
      </c>
      <c r="W648" s="2994">
        <v>0</v>
      </c>
      <c r="X648" s="2994">
        <v>0</v>
      </c>
      <c r="Y648" s="2994">
        <v>0</v>
      </c>
      <c r="Z648" s="2994">
        <v>0</v>
      </c>
      <c r="AA648" s="2994">
        <v>0</v>
      </c>
      <c r="AB648" s="2994">
        <v>0</v>
      </c>
      <c r="AC648" s="2994">
        <v>0</v>
      </c>
      <c r="AD648" s="2994">
        <v>0</v>
      </c>
      <c r="AE648" s="2994">
        <v>0</v>
      </c>
      <c r="AF648" s="2994">
        <v>0</v>
      </c>
      <c r="AG648" s="2994">
        <v>0</v>
      </c>
      <c r="AH648" s="2994">
        <v>0</v>
      </c>
      <c r="AI648" s="2994">
        <v>0</v>
      </c>
      <c r="AJ648" s="2994">
        <v>0</v>
      </c>
      <c r="AK648" s="2994">
        <v>0</v>
      </c>
      <c r="AL648" s="2994">
        <v>0</v>
      </c>
      <c r="AM648" s="2994">
        <v>0</v>
      </c>
      <c r="AN648" s="2994">
        <v>0</v>
      </c>
      <c r="AO648" s="2994">
        <v>0</v>
      </c>
      <c r="AP648" s="2994">
        <v>0</v>
      </c>
      <c r="AQ648" s="2994">
        <v>0</v>
      </c>
      <c r="AR648" s="2994">
        <v>0</v>
      </c>
      <c r="AS648" s="2994">
        <v>0</v>
      </c>
      <c r="AT648" s="2994">
        <v>0</v>
      </c>
      <c r="AU648" s="2994">
        <v>0</v>
      </c>
      <c r="AV648" s="2994">
        <v>0</v>
      </c>
      <c r="AW648" s="2994">
        <v>5.3426999999999998</v>
      </c>
      <c r="AX648" s="2994">
        <v>2.2921</v>
      </c>
      <c r="AY648" s="2994">
        <v>2.3319000000000001</v>
      </c>
      <c r="AZ648" s="2994">
        <v>2.7839999999999998</v>
      </c>
      <c r="BA648" s="2994">
        <v>2.9228000000000001</v>
      </c>
      <c r="BB648" s="2994">
        <v>2.4377</v>
      </c>
      <c r="BC648" s="2994">
        <v>3.5413999999999999</v>
      </c>
      <c r="BD648" s="3471">
        <v>3.085</v>
      </c>
      <c r="BE648" s="3471">
        <v>2.9662000000000002</v>
      </c>
      <c r="BF648" s="3471">
        <v>3.7562000000000002</v>
      </c>
    </row>
    <row r="649" spans="1:58">
      <c r="A649" s="1817" t="str">
        <f t="shared" si="21"/>
        <v>South AmericaTung nuts</v>
      </c>
      <c r="B649" s="1818" t="s">
        <v>306</v>
      </c>
      <c r="C649" s="1818" t="s">
        <v>7384</v>
      </c>
      <c r="D649" s="3463" t="str">
        <f>VLOOKUP(B649,List_Yield!$G$4:$J$14,4,FALSE)</f>
        <v>South America</v>
      </c>
      <c r="E649" s="3463" t="str">
        <f t="shared" si="20"/>
        <v>South AmericaTung nuts</v>
      </c>
      <c r="F649" s="2994">
        <v>3.0598999999999998</v>
      </c>
      <c r="G649" s="2994">
        <v>3.1922999999999999</v>
      </c>
      <c r="H649" s="2994">
        <v>3.4443999999999999</v>
      </c>
      <c r="I649" s="2994">
        <v>3.1356000000000002</v>
      </c>
      <c r="J649" s="2994">
        <v>1.5786</v>
      </c>
      <c r="K649" s="2994">
        <v>4.9379999999999997</v>
      </c>
      <c r="L649" s="2994">
        <v>4.0357000000000003</v>
      </c>
      <c r="M649" s="2994">
        <v>4.6055000000000001</v>
      </c>
      <c r="N649" s="2994">
        <v>3.0680999999999998</v>
      </c>
      <c r="O649" s="2994">
        <v>4.7736000000000001</v>
      </c>
      <c r="P649" s="2994">
        <v>4.9886999999999997</v>
      </c>
      <c r="Q649" s="2994">
        <v>5.9820000000000002</v>
      </c>
      <c r="R649" s="2994">
        <v>5.0523999999999996</v>
      </c>
      <c r="S649" s="2994">
        <v>5.3303000000000003</v>
      </c>
      <c r="T649" s="2994">
        <v>5.2084000000000001</v>
      </c>
      <c r="U649" s="2994">
        <v>4.5739999999999998</v>
      </c>
      <c r="V649" s="2994">
        <v>4.4478</v>
      </c>
      <c r="W649" s="2994">
        <v>3.4056000000000002</v>
      </c>
      <c r="X649" s="2994">
        <v>3.1252</v>
      </c>
      <c r="Y649" s="2994">
        <v>3.2524999999999999</v>
      </c>
      <c r="Z649" s="2994">
        <v>3.8109999999999999</v>
      </c>
      <c r="AA649" s="2994">
        <v>3.4613999999999998</v>
      </c>
      <c r="AB649" s="2994">
        <v>2.1120999999999999</v>
      </c>
      <c r="AC649" s="2994">
        <v>2.2524999999999999</v>
      </c>
      <c r="AD649" s="2994">
        <v>2.3163999999999998</v>
      </c>
      <c r="AE649" s="2994">
        <v>1.8882000000000001</v>
      </c>
      <c r="AF649" s="2994">
        <v>2.0405000000000002</v>
      </c>
      <c r="AG649" s="2994">
        <v>2.2698</v>
      </c>
      <c r="AH649" s="2994">
        <v>2.3359000000000001</v>
      </c>
      <c r="AI649" s="2994">
        <v>3.1878000000000002</v>
      </c>
      <c r="AJ649" s="2994">
        <v>3.2820999999999998</v>
      </c>
      <c r="AK649" s="2994">
        <v>2.7871999999999999</v>
      </c>
      <c r="AL649" s="2994">
        <v>3.1861999999999999</v>
      </c>
      <c r="AM649" s="2994">
        <v>3.9538000000000002</v>
      </c>
      <c r="AN649" s="2994">
        <v>3.6606999999999998</v>
      </c>
      <c r="AO649" s="2994">
        <v>3.2582</v>
      </c>
      <c r="AP649" s="2994">
        <v>3.1118000000000001</v>
      </c>
      <c r="AQ649" s="2994">
        <v>3.0796000000000001</v>
      </c>
      <c r="AR649" s="2994">
        <v>3.2671000000000001</v>
      </c>
      <c r="AS649" s="2994">
        <v>3.3334999999999999</v>
      </c>
      <c r="AT649" s="2994">
        <v>3.528</v>
      </c>
      <c r="AU649" s="2994">
        <v>2.9712999999999998</v>
      </c>
      <c r="AV649" s="2994">
        <v>2.8643999999999998</v>
      </c>
      <c r="AW649" s="2994">
        <v>3.5005999999999999</v>
      </c>
      <c r="AX649" s="2994">
        <v>3.2696999999999998</v>
      </c>
      <c r="AY649" s="2994">
        <v>3.3414000000000001</v>
      </c>
      <c r="AZ649" s="2994">
        <v>3.8386999999999998</v>
      </c>
      <c r="BA649" s="2994">
        <v>4.5025000000000004</v>
      </c>
      <c r="BB649" s="2994">
        <v>4.7663000000000002</v>
      </c>
      <c r="BC649" s="2994">
        <v>5.3871000000000002</v>
      </c>
      <c r="BD649" s="3471">
        <v>5.3875999999999999</v>
      </c>
      <c r="BE649" s="3471">
        <v>5.0488</v>
      </c>
      <c r="BF649" s="3471">
        <v>3.9468999999999999</v>
      </c>
    </row>
    <row r="650" spans="1:58">
      <c r="A650" s="1817" t="str">
        <f t="shared" si="21"/>
        <v>South AmericaVanilla</v>
      </c>
      <c r="B650" s="1818" t="s">
        <v>306</v>
      </c>
      <c r="C650" s="1818" t="s">
        <v>7385</v>
      </c>
      <c r="D650" s="3463" t="str">
        <f>VLOOKUP(B650,List_Yield!$G$4:$J$14,4,FALSE)</f>
        <v>South America</v>
      </c>
      <c r="E650" s="3463" t="str">
        <f t="shared" si="20"/>
        <v>South AmericaVanilla</v>
      </c>
      <c r="F650" s="2994">
        <v>0</v>
      </c>
      <c r="G650" s="2994">
        <v>0</v>
      </c>
      <c r="H650" s="2994">
        <v>0</v>
      </c>
      <c r="I650" s="2994">
        <v>0</v>
      </c>
      <c r="J650" s="2994">
        <v>0</v>
      </c>
      <c r="K650" s="2994">
        <v>0</v>
      </c>
      <c r="L650" s="2994">
        <v>0</v>
      </c>
      <c r="M650" s="2994">
        <v>0</v>
      </c>
      <c r="N650" s="2994">
        <v>0</v>
      </c>
      <c r="O650" s="2994">
        <v>0</v>
      </c>
      <c r="P650" s="2994">
        <v>0</v>
      </c>
      <c r="Q650" s="2994">
        <v>0</v>
      </c>
      <c r="R650" s="2994">
        <v>0</v>
      </c>
      <c r="S650" s="2994">
        <v>0</v>
      </c>
      <c r="T650" s="2994">
        <v>0</v>
      </c>
      <c r="U650" s="2994">
        <v>0</v>
      </c>
      <c r="V650" s="2994">
        <v>0</v>
      </c>
      <c r="W650" s="2994">
        <v>0</v>
      </c>
      <c r="X650" s="2994">
        <v>0</v>
      </c>
      <c r="Y650" s="2994">
        <v>0</v>
      </c>
      <c r="Z650" s="2994">
        <v>0</v>
      </c>
      <c r="AA650" s="2994">
        <v>0</v>
      </c>
      <c r="AB650" s="2994">
        <v>0</v>
      </c>
      <c r="AC650" s="2994">
        <v>0</v>
      </c>
      <c r="AD650" s="2994">
        <v>0</v>
      </c>
      <c r="AE650" s="2994">
        <v>0</v>
      </c>
      <c r="AF650" s="2994">
        <v>0</v>
      </c>
      <c r="AG650" s="2994">
        <v>0</v>
      </c>
      <c r="AH650" s="2994">
        <v>0</v>
      </c>
      <c r="AI650" s="2994">
        <v>0</v>
      </c>
      <c r="AJ650" s="2994">
        <v>0</v>
      </c>
      <c r="AK650" s="2994">
        <v>0</v>
      </c>
      <c r="AL650" s="2994">
        <v>0</v>
      </c>
      <c r="AM650" s="2994">
        <v>0</v>
      </c>
      <c r="AN650" s="2994">
        <v>0</v>
      </c>
      <c r="AO650" s="2994">
        <v>0</v>
      </c>
      <c r="AP650" s="2994">
        <v>0</v>
      </c>
      <c r="AQ650" s="2994">
        <v>0</v>
      </c>
      <c r="AR650" s="2994">
        <v>0</v>
      </c>
      <c r="AS650" s="2994">
        <v>0</v>
      </c>
      <c r="AT650" s="2994">
        <v>0</v>
      </c>
      <c r="AU650" s="2994">
        <v>0</v>
      </c>
      <c r="AV650" s="2994">
        <v>0</v>
      </c>
      <c r="AW650" s="2994">
        <v>0</v>
      </c>
      <c r="AX650" s="2994">
        <v>0</v>
      </c>
      <c r="AY650" s="2994">
        <v>0</v>
      </c>
      <c r="AZ650" s="2994">
        <v>0</v>
      </c>
      <c r="BA650" s="2994">
        <v>0</v>
      </c>
      <c r="BB650" s="2994">
        <v>0</v>
      </c>
      <c r="BC650" s="2994">
        <v>0</v>
      </c>
      <c r="BD650" s="3471">
        <v>0</v>
      </c>
      <c r="BE650" s="3471">
        <v>0</v>
      </c>
      <c r="BF650" s="3471">
        <v>0</v>
      </c>
    </row>
    <row r="651" spans="1:58">
      <c r="A651" s="1817" t="str">
        <f t="shared" si="21"/>
        <v>South AmericaVegetables, fresh nes</v>
      </c>
      <c r="B651" s="1818" t="s">
        <v>306</v>
      </c>
      <c r="C651" s="1818" t="s">
        <v>7386</v>
      </c>
      <c r="D651" s="3463" t="str">
        <f>VLOOKUP(B651,List_Yield!$G$4:$J$14,4,FALSE)</f>
        <v>South America</v>
      </c>
      <c r="E651" s="3463" t="str">
        <f t="shared" si="20"/>
        <v>South AmericaVegetables, fresh nes</v>
      </c>
      <c r="F651" s="2994">
        <v>4.7968000000000002</v>
      </c>
      <c r="G651" s="2994">
        <v>4.9523999999999999</v>
      </c>
      <c r="H651" s="2994">
        <v>5.0787000000000004</v>
      </c>
      <c r="I651" s="2994">
        <v>5.2220000000000004</v>
      </c>
      <c r="J651" s="2994">
        <v>5.4470999999999998</v>
      </c>
      <c r="K651" s="2994">
        <v>5.4941000000000004</v>
      </c>
      <c r="L651" s="2994">
        <v>5.7251000000000003</v>
      </c>
      <c r="M651" s="2994">
        <v>6.0107999999999997</v>
      </c>
      <c r="N651" s="2994">
        <v>6.2953000000000001</v>
      </c>
      <c r="O651" s="2994">
        <v>6.4348000000000001</v>
      </c>
      <c r="P651" s="2994">
        <v>6.8410000000000002</v>
      </c>
      <c r="Q651" s="2994">
        <v>7.2076000000000002</v>
      </c>
      <c r="R651" s="2994">
        <v>7.3387000000000002</v>
      </c>
      <c r="S651" s="2994">
        <v>7.258</v>
      </c>
      <c r="T651" s="2994">
        <v>7.8414999999999999</v>
      </c>
      <c r="U651" s="2994">
        <v>7.8848000000000003</v>
      </c>
      <c r="V651" s="2994">
        <v>8.1737000000000002</v>
      </c>
      <c r="W651" s="2994">
        <v>8.1759000000000004</v>
      </c>
      <c r="X651" s="2994">
        <v>8.6577999999999999</v>
      </c>
      <c r="Y651" s="2994">
        <v>8.8557000000000006</v>
      </c>
      <c r="Z651" s="2994">
        <v>9.1643000000000008</v>
      </c>
      <c r="AA651" s="2994">
        <v>9.4075000000000006</v>
      </c>
      <c r="AB651" s="2994">
        <v>9.9774999999999991</v>
      </c>
      <c r="AC651" s="2994">
        <v>10.195</v>
      </c>
      <c r="AD651" s="2994">
        <v>10.578099999999999</v>
      </c>
      <c r="AE651" s="2994">
        <v>10.5502</v>
      </c>
      <c r="AF651" s="2994">
        <v>10.6351</v>
      </c>
      <c r="AG651" s="2994">
        <v>11.393000000000001</v>
      </c>
      <c r="AH651" s="2994">
        <v>10.995900000000001</v>
      </c>
      <c r="AI651" s="2994">
        <v>11.3758</v>
      </c>
      <c r="AJ651" s="2994">
        <v>11.0989</v>
      </c>
      <c r="AK651" s="2994">
        <v>11.3727</v>
      </c>
      <c r="AL651" s="2994">
        <v>11.938000000000001</v>
      </c>
      <c r="AM651" s="2994">
        <v>11.981999999999999</v>
      </c>
      <c r="AN651" s="2994">
        <v>11.9345</v>
      </c>
      <c r="AO651" s="2994">
        <v>11.6464</v>
      </c>
      <c r="AP651" s="2994">
        <v>11.792999999999999</v>
      </c>
      <c r="AQ651" s="2994">
        <v>11.8279</v>
      </c>
      <c r="AR651" s="2994">
        <v>11.9267</v>
      </c>
      <c r="AS651" s="2994">
        <v>11.496499999999999</v>
      </c>
      <c r="AT651" s="2994">
        <v>11.3192</v>
      </c>
      <c r="AU651" s="2994">
        <v>11.869300000000001</v>
      </c>
      <c r="AV651" s="2994">
        <v>11.849</v>
      </c>
      <c r="AW651" s="2994">
        <v>11.853199999999999</v>
      </c>
      <c r="AX651" s="2994">
        <v>12.0121</v>
      </c>
      <c r="AY651" s="2994">
        <v>11.8072</v>
      </c>
      <c r="AZ651" s="2994">
        <v>11.664199999999999</v>
      </c>
      <c r="BA651" s="2994">
        <v>11.682700000000001</v>
      </c>
      <c r="BB651" s="2994">
        <v>11.6671</v>
      </c>
      <c r="BC651" s="2994">
        <v>11.9442</v>
      </c>
      <c r="BD651" s="3471">
        <v>13.436999999999999</v>
      </c>
      <c r="BE651" s="3471">
        <v>13.5579</v>
      </c>
      <c r="BF651" s="3471">
        <v>0</v>
      </c>
    </row>
    <row r="652" spans="1:58">
      <c r="A652" s="1817" t="str">
        <f t="shared" si="21"/>
        <v>South AmericaVegetables, leguminous nes</v>
      </c>
      <c r="B652" s="1818" t="s">
        <v>306</v>
      </c>
      <c r="C652" s="1818" t="s">
        <v>7387</v>
      </c>
      <c r="D652" s="3463" t="str">
        <f>VLOOKUP(B652,List_Yield!$G$4:$J$14,4,FALSE)</f>
        <v>South America</v>
      </c>
      <c r="E652" s="3463" t="str">
        <f t="shared" si="20"/>
        <v>South AmericaVegetables, leguminous nes</v>
      </c>
      <c r="F652" s="2994">
        <v>2.7633000000000001</v>
      </c>
      <c r="G652" s="2994">
        <v>2.8113999999999999</v>
      </c>
      <c r="H652" s="2994">
        <v>2.8462000000000001</v>
      </c>
      <c r="I652" s="2994">
        <v>2.9247000000000001</v>
      </c>
      <c r="J652" s="2994">
        <v>2.9007999999999998</v>
      </c>
      <c r="K652" s="2994">
        <v>2.8794</v>
      </c>
      <c r="L652" s="2994">
        <v>2.9611000000000001</v>
      </c>
      <c r="M652" s="2994">
        <v>2.9032</v>
      </c>
      <c r="N652" s="2994">
        <v>3.0914000000000001</v>
      </c>
      <c r="O652" s="2994">
        <v>2.9376000000000002</v>
      </c>
      <c r="P652" s="2994">
        <v>2.9394</v>
      </c>
      <c r="Q652" s="2994">
        <v>2.9834999999999998</v>
      </c>
      <c r="R652" s="2994">
        <v>2.9904999999999999</v>
      </c>
      <c r="S652" s="2994">
        <v>3.1753999999999998</v>
      </c>
      <c r="T652" s="2994">
        <v>3.2764000000000002</v>
      </c>
      <c r="U652" s="2994">
        <v>2.7544</v>
      </c>
      <c r="V652" s="2994">
        <v>2.8834</v>
      </c>
      <c r="W652" s="2994">
        <v>2.8704999999999998</v>
      </c>
      <c r="X652" s="2994">
        <v>2.7075999999999998</v>
      </c>
      <c r="Y652" s="2994">
        <v>2.6575000000000002</v>
      </c>
      <c r="Z652" s="2994">
        <v>2.8062999999999998</v>
      </c>
      <c r="AA652" s="2994">
        <v>2.8893</v>
      </c>
      <c r="AB652" s="2994">
        <v>2.5943000000000001</v>
      </c>
      <c r="AC652" s="2994">
        <v>2.2915999999999999</v>
      </c>
      <c r="AD652" s="2994">
        <v>2.0312999999999999</v>
      </c>
      <c r="AE652" s="2994">
        <v>2.0497999999999998</v>
      </c>
      <c r="AF652" s="2994">
        <v>1.8361000000000001</v>
      </c>
      <c r="AG652" s="2994">
        <v>2.1779999999999999</v>
      </c>
      <c r="AH652" s="2994">
        <v>2.0449999999999999</v>
      </c>
      <c r="AI652" s="2994">
        <v>2.0507</v>
      </c>
      <c r="AJ652" s="2994">
        <v>2.3664999999999998</v>
      </c>
      <c r="AK652" s="2994">
        <v>2.1133999999999999</v>
      </c>
      <c r="AL652" s="2994">
        <v>2.5074999999999998</v>
      </c>
      <c r="AM652" s="2994">
        <v>2.5345</v>
      </c>
      <c r="AN652" s="2994">
        <v>2.5684999999999998</v>
      </c>
      <c r="AO652" s="2994">
        <v>2.8022999999999998</v>
      </c>
      <c r="AP652" s="2994">
        <v>2.6882000000000001</v>
      </c>
      <c r="AQ652" s="2994">
        <v>2.7629999999999999</v>
      </c>
      <c r="AR652" s="2994">
        <v>3.2885</v>
      </c>
      <c r="AS652" s="2994">
        <v>3.1633</v>
      </c>
      <c r="AT652" s="2994">
        <v>3.2637999999999998</v>
      </c>
      <c r="AU652" s="2994">
        <v>3.2170999999999998</v>
      </c>
      <c r="AV652" s="2994">
        <v>3.0872999999999999</v>
      </c>
      <c r="AW652" s="2994">
        <v>3.0792999999999999</v>
      </c>
      <c r="AX652" s="2994">
        <v>3.0651000000000002</v>
      </c>
      <c r="AY652" s="2994">
        <v>2.7435999999999998</v>
      </c>
      <c r="AZ652" s="2994">
        <v>2.6604000000000001</v>
      </c>
      <c r="BA652" s="2994">
        <v>2.8105000000000002</v>
      </c>
      <c r="BB652" s="2994">
        <v>2.2391000000000001</v>
      </c>
      <c r="BC652" s="2994">
        <v>2.5562</v>
      </c>
      <c r="BD652" s="3471">
        <v>2.2511999999999999</v>
      </c>
      <c r="BE652" s="3471">
        <v>2.2383999999999999</v>
      </c>
      <c r="BF652" s="3471">
        <v>0</v>
      </c>
    </row>
    <row r="653" spans="1:58">
      <c r="A653" s="1817" t="str">
        <f t="shared" si="21"/>
        <v>South AmericaVetches</v>
      </c>
      <c r="B653" s="1818" t="s">
        <v>306</v>
      </c>
      <c r="C653" s="1818" t="s">
        <v>1382</v>
      </c>
      <c r="D653" s="3463" t="str">
        <f>VLOOKUP(B653,List_Yield!$G$4:$J$14,4,FALSE)</f>
        <v>South America</v>
      </c>
      <c r="E653" s="3463" t="str">
        <f t="shared" si="20"/>
        <v>South AmericaVetches</v>
      </c>
      <c r="F653" s="2994">
        <v>0</v>
      </c>
      <c r="G653" s="2994">
        <v>0</v>
      </c>
      <c r="H653" s="2994">
        <v>0</v>
      </c>
      <c r="I653" s="2994">
        <v>0</v>
      </c>
      <c r="J653" s="2994">
        <v>0</v>
      </c>
      <c r="K653" s="2994">
        <v>0</v>
      </c>
      <c r="L653" s="2994">
        <v>0</v>
      </c>
      <c r="M653" s="2994">
        <v>0</v>
      </c>
      <c r="N653" s="2994">
        <v>0</v>
      </c>
      <c r="O653" s="2994">
        <v>0</v>
      </c>
      <c r="P653" s="2994">
        <v>0</v>
      </c>
      <c r="Q653" s="2994">
        <v>0</v>
      </c>
      <c r="R653" s="2994">
        <v>0</v>
      </c>
      <c r="S653" s="2994">
        <v>0</v>
      </c>
      <c r="T653" s="2994">
        <v>0</v>
      </c>
      <c r="U653" s="2994">
        <v>0</v>
      </c>
      <c r="V653" s="2994">
        <v>0</v>
      </c>
      <c r="W653" s="2994">
        <v>0</v>
      </c>
      <c r="X653" s="2994">
        <v>0</v>
      </c>
      <c r="Y653" s="2994">
        <v>0</v>
      </c>
      <c r="Z653" s="2994">
        <v>0</v>
      </c>
      <c r="AA653" s="2994">
        <v>0</v>
      </c>
      <c r="AB653" s="2994">
        <v>0</v>
      </c>
      <c r="AC653" s="2994">
        <v>0</v>
      </c>
      <c r="AD653" s="2994">
        <v>0</v>
      </c>
      <c r="AE653" s="2994">
        <v>0</v>
      </c>
      <c r="AF653" s="2994">
        <v>0</v>
      </c>
      <c r="AG653" s="2994">
        <v>0</v>
      </c>
      <c r="AH653" s="2994">
        <v>0</v>
      </c>
      <c r="AI653" s="2994">
        <v>0</v>
      </c>
      <c r="AJ653" s="2994">
        <v>0</v>
      </c>
      <c r="AK653" s="2994">
        <v>0</v>
      </c>
      <c r="AL653" s="2994">
        <v>0</v>
      </c>
      <c r="AM653" s="2994">
        <v>0</v>
      </c>
      <c r="AN653" s="2994">
        <v>0</v>
      </c>
      <c r="AO653" s="2994">
        <v>0</v>
      </c>
      <c r="AP653" s="2994">
        <v>0</v>
      </c>
      <c r="AQ653" s="2994">
        <v>0</v>
      </c>
      <c r="AR653" s="2994">
        <v>0</v>
      </c>
      <c r="AS653" s="2994">
        <v>0</v>
      </c>
      <c r="AT653" s="2994">
        <v>0</v>
      </c>
      <c r="AU653" s="2994">
        <v>0</v>
      </c>
      <c r="AV653" s="2994">
        <v>0</v>
      </c>
      <c r="AW653" s="2994">
        <v>0</v>
      </c>
      <c r="AX653" s="2994">
        <v>0</v>
      </c>
      <c r="AY653" s="2994">
        <v>0</v>
      </c>
      <c r="AZ653" s="2994">
        <v>0</v>
      </c>
      <c r="BA653" s="2994">
        <v>0</v>
      </c>
      <c r="BB653" s="2994">
        <v>0</v>
      </c>
      <c r="BC653" s="2994">
        <v>0</v>
      </c>
      <c r="BD653" s="3471">
        <v>0</v>
      </c>
      <c r="BE653" s="3471">
        <v>0</v>
      </c>
      <c r="BF653" s="3471">
        <v>0</v>
      </c>
    </row>
    <row r="654" spans="1:58">
      <c r="A654" s="1817" t="str">
        <f t="shared" si="21"/>
        <v>South AmericaWalnuts, with shell</v>
      </c>
      <c r="B654" s="1818" t="s">
        <v>306</v>
      </c>
      <c r="C654" s="1818" t="s">
        <v>7388</v>
      </c>
      <c r="D654" s="3463" t="str">
        <f>VLOOKUP(B654,List_Yield!$G$4:$J$14,4,FALSE)</f>
        <v>South America</v>
      </c>
      <c r="E654" s="3463" t="str">
        <f t="shared" si="20"/>
        <v>South AmericaWalnuts, with shell</v>
      </c>
      <c r="F654" s="2994">
        <v>0</v>
      </c>
      <c r="G654" s="2994">
        <v>0</v>
      </c>
      <c r="H654" s="2994">
        <v>0</v>
      </c>
      <c r="I654" s="2994">
        <v>0</v>
      </c>
      <c r="J654" s="2994">
        <v>0</v>
      </c>
      <c r="K654" s="2994">
        <v>0</v>
      </c>
      <c r="L654" s="2994">
        <v>0</v>
      </c>
      <c r="M654" s="2994">
        <v>0</v>
      </c>
      <c r="N654" s="2994">
        <v>0</v>
      </c>
      <c r="O654" s="2994">
        <v>0</v>
      </c>
      <c r="P654" s="2994">
        <v>0</v>
      </c>
      <c r="Q654" s="2994">
        <v>0</v>
      </c>
      <c r="R654" s="2994">
        <v>0</v>
      </c>
      <c r="S654" s="2994">
        <v>0</v>
      </c>
      <c r="T654" s="2994">
        <v>0</v>
      </c>
      <c r="U654" s="2994">
        <v>0</v>
      </c>
      <c r="V654" s="2994">
        <v>0</v>
      </c>
      <c r="W654" s="2994">
        <v>0</v>
      </c>
      <c r="X654" s="2994">
        <v>0</v>
      </c>
      <c r="Y654" s="2994">
        <v>0</v>
      </c>
      <c r="Z654" s="2994">
        <v>0</v>
      </c>
      <c r="AA654" s="2994">
        <v>0</v>
      </c>
      <c r="AB654" s="2994">
        <v>0</v>
      </c>
      <c r="AC654" s="2994">
        <v>0</v>
      </c>
      <c r="AD654" s="2994">
        <v>1.8378000000000001</v>
      </c>
      <c r="AE654" s="2994">
        <v>1.9281999999999999</v>
      </c>
      <c r="AF654" s="2994">
        <v>1.9609000000000001</v>
      </c>
      <c r="AG654" s="2994">
        <v>1.8439000000000001</v>
      </c>
      <c r="AH654" s="2994">
        <v>1.9000999999999999</v>
      </c>
      <c r="AI654" s="2994">
        <v>1.7807999999999999</v>
      </c>
      <c r="AJ654" s="2994">
        <v>1.6601999999999999</v>
      </c>
      <c r="AK654" s="2994">
        <v>1.6262000000000001</v>
      </c>
      <c r="AL654" s="2994">
        <v>1.8747</v>
      </c>
      <c r="AM654" s="2994">
        <v>1.8092999999999999</v>
      </c>
      <c r="AN654" s="2994">
        <v>1.9135</v>
      </c>
      <c r="AO654" s="2994">
        <v>2.0392999999999999</v>
      </c>
      <c r="AP654" s="2994">
        <v>1.8929</v>
      </c>
      <c r="AQ654" s="2994">
        <v>1.7549999999999999</v>
      </c>
      <c r="AR654" s="2994">
        <v>1.7524999999999999</v>
      </c>
      <c r="AS654" s="2994">
        <v>1.7811999999999999</v>
      </c>
      <c r="AT654" s="2994">
        <v>1.9126000000000001</v>
      </c>
      <c r="AU654" s="2994">
        <v>1.7987</v>
      </c>
      <c r="AV654" s="2994">
        <v>1.6737</v>
      </c>
      <c r="AW654" s="2994">
        <v>1.825</v>
      </c>
      <c r="AX654" s="2994">
        <v>1.7457</v>
      </c>
      <c r="AY654" s="2994">
        <v>2.5449999999999999</v>
      </c>
      <c r="AZ654" s="2994">
        <v>2.1044999999999998</v>
      </c>
      <c r="BA654" s="2994">
        <v>2.1956000000000002</v>
      </c>
      <c r="BB654" s="2994">
        <v>2.2235999999999998</v>
      </c>
      <c r="BC654" s="2994">
        <v>2.1091000000000002</v>
      </c>
      <c r="BD654" s="3471">
        <v>2.3811</v>
      </c>
      <c r="BE654" s="3471">
        <v>2.2294</v>
      </c>
      <c r="BF654" s="3471">
        <v>0</v>
      </c>
    </row>
    <row r="655" spans="1:58">
      <c r="A655" s="1817" t="str">
        <f t="shared" si="21"/>
        <v>South AmericaWatermelons</v>
      </c>
      <c r="B655" s="1818" t="s">
        <v>306</v>
      </c>
      <c r="C655" s="1818" t="s">
        <v>7389</v>
      </c>
      <c r="D655" s="3463" t="str">
        <f>VLOOKUP(B655,List_Yield!$G$4:$J$14,4,FALSE)</f>
        <v>South America</v>
      </c>
      <c r="E655" s="3463" t="str">
        <f t="shared" si="20"/>
        <v>South AmericaWatermelons</v>
      </c>
      <c r="F655" s="2994">
        <v>4.4108999999999998</v>
      </c>
      <c r="G655" s="2994">
        <v>4.5174000000000003</v>
      </c>
      <c r="H655" s="2994">
        <v>4.6111000000000004</v>
      </c>
      <c r="I655" s="2994">
        <v>4.5223000000000004</v>
      </c>
      <c r="J655" s="2994">
        <v>4.5274000000000001</v>
      </c>
      <c r="K655" s="2994">
        <v>4.7961999999999998</v>
      </c>
      <c r="L655" s="2994">
        <v>4.8038999999999996</v>
      </c>
      <c r="M655" s="2994">
        <v>4.8014000000000001</v>
      </c>
      <c r="N655" s="2994">
        <v>5.0624000000000002</v>
      </c>
      <c r="O655" s="2994">
        <v>5.2077999999999998</v>
      </c>
      <c r="P655" s="2994">
        <v>5.0213000000000001</v>
      </c>
      <c r="Q655" s="2994">
        <v>4.7122000000000002</v>
      </c>
      <c r="R655" s="2994">
        <v>5.5172999999999996</v>
      </c>
      <c r="S655" s="2994">
        <v>5.9283000000000001</v>
      </c>
      <c r="T655" s="2994">
        <v>6.407</v>
      </c>
      <c r="U655" s="2994">
        <v>7.0980999999999996</v>
      </c>
      <c r="V655" s="2994">
        <v>7.3517999999999999</v>
      </c>
      <c r="W655" s="2994">
        <v>7.8155000000000001</v>
      </c>
      <c r="X655" s="2994">
        <v>7.9257</v>
      </c>
      <c r="Y655" s="2994">
        <v>7.7869000000000002</v>
      </c>
      <c r="Z655" s="2994">
        <v>7.0923999999999996</v>
      </c>
      <c r="AA655" s="2994">
        <v>7.0407000000000002</v>
      </c>
      <c r="AB655" s="2994">
        <v>7.0869</v>
      </c>
      <c r="AC655" s="2994">
        <v>6.8272000000000004</v>
      </c>
      <c r="AD655" s="2994">
        <v>6.8451000000000004</v>
      </c>
      <c r="AE655" s="2994">
        <v>7.0208000000000004</v>
      </c>
      <c r="AF655" s="2994">
        <v>7.7647000000000004</v>
      </c>
      <c r="AG655" s="2994">
        <v>8.1288</v>
      </c>
      <c r="AH655" s="2994">
        <v>8.5340000000000007</v>
      </c>
      <c r="AI655" s="2994">
        <v>8.3422000000000001</v>
      </c>
      <c r="AJ655" s="2994">
        <v>8.4328000000000003</v>
      </c>
      <c r="AK655" s="2994">
        <v>8.4107000000000003</v>
      </c>
      <c r="AL655" s="2994">
        <v>9.0383999999999993</v>
      </c>
      <c r="AM655" s="2994">
        <v>8.7850000000000001</v>
      </c>
      <c r="AN655" s="2994">
        <v>10.310499999999999</v>
      </c>
      <c r="AO655" s="2994">
        <v>9.3626000000000005</v>
      </c>
      <c r="AP655" s="2994">
        <v>9.4155999999999995</v>
      </c>
      <c r="AQ655" s="2994">
        <v>9.8759999999999994</v>
      </c>
      <c r="AR655" s="2994">
        <v>9.8719000000000001</v>
      </c>
      <c r="AS655" s="2994">
        <v>9.2667000000000002</v>
      </c>
      <c r="AT655" s="2994">
        <v>11.427300000000001</v>
      </c>
      <c r="AU655" s="2994">
        <v>15.988200000000001</v>
      </c>
      <c r="AV655" s="2994">
        <v>18.327200000000001</v>
      </c>
      <c r="AW655" s="2994">
        <v>16.935600000000001</v>
      </c>
      <c r="AX655" s="2994">
        <v>16.112300000000001</v>
      </c>
      <c r="AY655" s="2994">
        <v>17.264800000000001</v>
      </c>
      <c r="AZ655" s="2994">
        <v>17.907499999999999</v>
      </c>
      <c r="BA655" s="2994">
        <v>18.262599999999999</v>
      </c>
      <c r="BB655" s="2994">
        <v>18.215599999999998</v>
      </c>
      <c r="BC655" s="2994">
        <v>17.756599999999999</v>
      </c>
      <c r="BD655" s="3471">
        <v>18.774799999999999</v>
      </c>
      <c r="BE655" s="3471">
        <v>18.229399999999998</v>
      </c>
      <c r="BF655" s="3471">
        <v>0</v>
      </c>
    </row>
    <row r="656" spans="1:58">
      <c r="A656" s="1817" t="str">
        <f t="shared" si="21"/>
        <v>South AmericaWheat</v>
      </c>
      <c r="B656" s="1818" t="s">
        <v>306</v>
      </c>
      <c r="C656" s="1818" t="s">
        <v>1383</v>
      </c>
      <c r="D656" s="3463" t="str">
        <f>VLOOKUP(B656,List_Yield!$G$4:$J$14,4,FALSE)</f>
        <v>South America</v>
      </c>
      <c r="E656" s="3463" t="str">
        <f t="shared" si="20"/>
        <v>South AmericaWheat</v>
      </c>
      <c r="F656" s="2994">
        <v>1.1357999999999999</v>
      </c>
      <c r="G656" s="2994">
        <v>1.3452999999999999</v>
      </c>
      <c r="H656" s="2994">
        <v>1.3791</v>
      </c>
      <c r="I656" s="2994">
        <v>1.6361000000000001</v>
      </c>
      <c r="J656" s="2994">
        <v>1.2445999999999999</v>
      </c>
      <c r="K656" s="2994">
        <v>1.1882999999999999</v>
      </c>
      <c r="L656" s="2994">
        <v>1.2138</v>
      </c>
      <c r="M656" s="2994">
        <v>1.0249999999999999</v>
      </c>
      <c r="N656" s="2994">
        <v>1.2722</v>
      </c>
      <c r="O656" s="2994">
        <v>1.2495000000000001</v>
      </c>
      <c r="P656" s="2994">
        <v>1.1827000000000001</v>
      </c>
      <c r="Q656" s="2994">
        <v>1.2397</v>
      </c>
      <c r="R656" s="2994">
        <v>1.4337</v>
      </c>
      <c r="S656" s="2994">
        <v>1.321</v>
      </c>
      <c r="T656" s="2994">
        <v>1.2525999999999999</v>
      </c>
      <c r="U656" s="2994">
        <v>1.3883000000000001</v>
      </c>
      <c r="V656" s="2994">
        <v>1.0958000000000001</v>
      </c>
      <c r="W656" s="2994">
        <v>1.4262999999999999</v>
      </c>
      <c r="X656" s="2994">
        <v>1.3073999999999999</v>
      </c>
      <c r="Y656" s="2994">
        <v>1.3152999999999999</v>
      </c>
      <c r="Z656" s="2994">
        <v>1.3394999999999999</v>
      </c>
      <c r="AA656" s="2994">
        <v>1.6414</v>
      </c>
      <c r="AB656" s="2994">
        <v>1.6796</v>
      </c>
      <c r="AC656" s="2994">
        <v>1.9917</v>
      </c>
      <c r="AD656" s="2994">
        <v>1.629</v>
      </c>
      <c r="AE656" s="2994">
        <v>1.6793</v>
      </c>
      <c r="AF656" s="2994">
        <v>1.8843000000000001</v>
      </c>
      <c r="AG656" s="2994">
        <v>1.8298000000000001</v>
      </c>
      <c r="AH656" s="2994">
        <v>1.8813</v>
      </c>
      <c r="AI656" s="2994">
        <v>1.728</v>
      </c>
      <c r="AJ656" s="2994">
        <v>1.9905999999999999</v>
      </c>
      <c r="AK656" s="2994">
        <v>2.1027999999999998</v>
      </c>
      <c r="AL656" s="2994">
        <v>1.9435</v>
      </c>
      <c r="AM656" s="2994">
        <v>2.0709</v>
      </c>
      <c r="AN656" s="2994">
        <v>1.9636</v>
      </c>
      <c r="AO656" s="2994">
        <v>2.173</v>
      </c>
      <c r="AP656" s="2994">
        <v>2.3946999999999998</v>
      </c>
      <c r="AQ656" s="2994">
        <v>2.2046999999999999</v>
      </c>
      <c r="AR656" s="2994">
        <v>2.3668999999999998</v>
      </c>
      <c r="AS656" s="2994">
        <v>2.3658000000000001</v>
      </c>
      <c r="AT656" s="2994">
        <v>2.2143999999999999</v>
      </c>
      <c r="AU656" s="2994">
        <v>1.9638</v>
      </c>
      <c r="AV656" s="2994">
        <v>2.5352000000000001</v>
      </c>
      <c r="AW656" s="2994">
        <v>2.5139999999999998</v>
      </c>
      <c r="AX656" s="2994">
        <v>2.4178000000000002</v>
      </c>
      <c r="AY656" s="2994">
        <v>2.4430000000000001</v>
      </c>
      <c r="AZ656" s="2994">
        <v>2.6694</v>
      </c>
      <c r="BA656" s="2994">
        <v>2.2522000000000002</v>
      </c>
      <c r="BB656" s="2994">
        <v>2.5001000000000002</v>
      </c>
      <c r="BC656" s="2994">
        <v>3.2913000000000001</v>
      </c>
      <c r="BD656" s="3471">
        <v>3.0442999999999998</v>
      </c>
      <c r="BE656" s="3471">
        <v>2.5547</v>
      </c>
      <c r="BF656" s="3471">
        <v>2.6105999999999998</v>
      </c>
    </row>
    <row r="657" spans="1:58">
      <c r="A657" s="1817" t="str">
        <f t="shared" si="21"/>
        <v>South AmericaYams</v>
      </c>
      <c r="B657" s="1818" t="s">
        <v>306</v>
      </c>
      <c r="C657" s="1818" t="s">
        <v>7390</v>
      </c>
      <c r="D657" s="3463" t="str">
        <f>VLOOKUP(B657,List_Yield!$G$4:$J$14,4,FALSE)</f>
        <v>South America</v>
      </c>
      <c r="E657" s="3463" t="str">
        <f t="shared" si="20"/>
        <v>South AmericaYams</v>
      </c>
      <c r="F657" s="2994">
        <v>7.5784000000000002</v>
      </c>
      <c r="G657" s="2994">
        <v>8.0007000000000001</v>
      </c>
      <c r="H657" s="2994">
        <v>7.7880000000000003</v>
      </c>
      <c r="I657" s="2994">
        <v>7.8978999999999999</v>
      </c>
      <c r="J657" s="2994">
        <v>7.9850000000000003</v>
      </c>
      <c r="K657" s="2994">
        <v>8.1085999999999991</v>
      </c>
      <c r="L657" s="2994">
        <v>8.1507000000000005</v>
      </c>
      <c r="M657" s="2994">
        <v>8.2371999999999996</v>
      </c>
      <c r="N657" s="2994">
        <v>8.2201000000000004</v>
      </c>
      <c r="O657" s="2994">
        <v>8.1219999999999999</v>
      </c>
      <c r="P657" s="2994">
        <v>7.7817999999999996</v>
      </c>
      <c r="Q657" s="2994">
        <v>7.9763000000000002</v>
      </c>
      <c r="R657" s="2994">
        <v>8.3438999999999997</v>
      </c>
      <c r="S657" s="2994">
        <v>7.9783999999999997</v>
      </c>
      <c r="T657" s="2994">
        <v>8.7186000000000003</v>
      </c>
      <c r="U657" s="2994">
        <v>8.5767000000000007</v>
      </c>
      <c r="V657" s="2994">
        <v>9.5106999999999999</v>
      </c>
      <c r="W657" s="2994">
        <v>9.6946999999999992</v>
      </c>
      <c r="X657" s="2994">
        <v>9.2498000000000005</v>
      </c>
      <c r="Y657" s="2994">
        <v>9.4456000000000007</v>
      </c>
      <c r="Z657" s="2994">
        <v>8.4914000000000005</v>
      </c>
      <c r="AA657" s="2994">
        <v>7.9303999999999997</v>
      </c>
      <c r="AB657" s="2994">
        <v>7.8826000000000001</v>
      </c>
      <c r="AC657" s="2994">
        <v>8.0995000000000008</v>
      </c>
      <c r="AD657" s="2994">
        <v>8.2530000000000001</v>
      </c>
      <c r="AE657" s="2994">
        <v>7.9851000000000001</v>
      </c>
      <c r="AF657" s="2994">
        <v>8.8019999999999996</v>
      </c>
      <c r="AG657" s="2994">
        <v>8.1806000000000001</v>
      </c>
      <c r="AH657" s="2994">
        <v>7.2487000000000004</v>
      </c>
      <c r="AI657" s="2994">
        <v>8.0888000000000009</v>
      </c>
      <c r="AJ657" s="2994">
        <v>8.3795999999999999</v>
      </c>
      <c r="AK657" s="2994">
        <v>8.7514000000000003</v>
      </c>
      <c r="AL657" s="2994">
        <v>9.2175999999999991</v>
      </c>
      <c r="AM657" s="2994">
        <v>8.9895999999999994</v>
      </c>
      <c r="AN657" s="2994">
        <v>9.8449000000000009</v>
      </c>
      <c r="AO657" s="2994">
        <v>9.7242999999999995</v>
      </c>
      <c r="AP657" s="2994">
        <v>9.8012999999999995</v>
      </c>
      <c r="AQ657" s="2994">
        <v>9.6903000000000006</v>
      </c>
      <c r="AR657" s="2994">
        <v>9.5603999999999996</v>
      </c>
      <c r="AS657" s="2994">
        <v>10.0679</v>
      </c>
      <c r="AT657" s="2994">
        <v>10.0739</v>
      </c>
      <c r="AU657" s="2994">
        <v>9.8259000000000007</v>
      </c>
      <c r="AV657" s="2994">
        <v>10.128</v>
      </c>
      <c r="AW657" s="2994">
        <v>10.229200000000001</v>
      </c>
      <c r="AX657" s="2994">
        <v>10.099399999999999</v>
      </c>
      <c r="AY657" s="2994">
        <v>9.6633999999999993</v>
      </c>
      <c r="AZ657" s="2994">
        <v>9.7408999999999999</v>
      </c>
      <c r="BA657" s="2994">
        <v>9.9339999999999993</v>
      </c>
      <c r="BB657" s="2994">
        <v>9.6235999999999997</v>
      </c>
      <c r="BC657" s="2994">
        <v>10.080299999999999</v>
      </c>
      <c r="BD657" s="3471">
        <v>10.490500000000001</v>
      </c>
      <c r="BE657" s="3471">
        <v>10.655900000000001</v>
      </c>
      <c r="BF657" s="3471">
        <v>10.5726</v>
      </c>
    </row>
    <row r="658" spans="1:58">
      <c r="A658" s="1817" t="str">
        <f t="shared" si="21"/>
        <v>South AmericaYautia (cocoyam)</v>
      </c>
      <c r="B658" s="1818" t="s">
        <v>306</v>
      </c>
      <c r="C658" s="1818" t="s">
        <v>7391</v>
      </c>
      <c r="D658" s="3463" t="str">
        <f>VLOOKUP(B658,List_Yield!$G$4:$J$14,4,FALSE)</f>
        <v>South America</v>
      </c>
      <c r="E658" s="3463" t="str">
        <f t="shared" si="20"/>
        <v>South AmericaYautia (cocoyam)</v>
      </c>
      <c r="F658" s="2994">
        <v>4.8089000000000004</v>
      </c>
      <c r="G658" s="2994">
        <v>4.9622000000000002</v>
      </c>
      <c r="H658" s="2994">
        <v>5.0907999999999998</v>
      </c>
      <c r="I658" s="2994">
        <v>5.2123999999999997</v>
      </c>
      <c r="J658" s="2994">
        <v>5.3619000000000003</v>
      </c>
      <c r="K658" s="2994">
        <v>5.6539000000000001</v>
      </c>
      <c r="L658" s="2994">
        <v>5.7272999999999996</v>
      </c>
      <c r="M658" s="2994">
        <v>5.8647999999999998</v>
      </c>
      <c r="N658" s="2994">
        <v>6.0419</v>
      </c>
      <c r="O658" s="2994">
        <v>5.9714999999999998</v>
      </c>
      <c r="P658" s="2994">
        <v>6.1140999999999996</v>
      </c>
      <c r="Q658" s="2994">
        <v>5.6626000000000003</v>
      </c>
      <c r="R658" s="2994">
        <v>6.0069999999999997</v>
      </c>
      <c r="S658" s="2994">
        <v>5.9260000000000002</v>
      </c>
      <c r="T658" s="2994">
        <v>5.6649000000000003</v>
      </c>
      <c r="U658" s="2994">
        <v>4.9676</v>
      </c>
      <c r="V658" s="2994">
        <v>5.8639000000000001</v>
      </c>
      <c r="W658" s="2994">
        <v>5.7046999999999999</v>
      </c>
      <c r="X658" s="2994">
        <v>5.6738999999999997</v>
      </c>
      <c r="Y658" s="2994">
        <v>5.6191000000000004</v>
      </c>
      <c r="Z658" s="2994">
        <v>5.5612000000000004</v>
      </c>
      <c r="AA658" s="2994">
        <v>5.5594999999999999</v>
      </c>
      <c r="AB658" s="2994">
        <v>5.6445999999999996</v>
      </c>
      <c r="AC658" s="2994">
        <v>5.8982000000000001</v>
      </c>
      <c r="AD658" s="2994">
        <v>5.6087999999999996</v>
      </c>
      <c r="AE658" s="2994">
        <v>5.5461</v>
      </c>
      <c r="AF658" s="2994">
        <v>5.5378999999999996</v>
      </c>
      <c r="AG658" s="2994">
        <v>5.6588000000000003</v>
      </c>
      <c r="AH658" s="2994">
        <v>5.6296999999999997</v>
      </c>
      <c r="AI658" s="2994">
        <v>5.7769000000000004</v>
      </c>
      <c r="AJ658" s="2994">
        <v>5.9462000000000002</v>
      </c>
      <c r="AK658" s="2994">
        <v>5.8639000000000001</v>
      </c>
      <c r="AL658" s="2994">
        <v>6.0061</v>
      </c>
      <c r="AM658" s="2994">
        <v>6.0442999999999998</v>
      </c>
      <c r="AN658" s="2994">
        <v>6.1608000000000001</v>
      </c>
      <c r="AO658" s="2994">
        <v>6.5347999999999997</v>
      </c>
      <c r="AP658" s="2994">
        <v>6.3333000000000004</v>
      </c>
      <c r="AQ658" s="2994">
        <v>6.9322999999999997</v>
      </c>
      <c r="AR658" s="2994">
        <v>7.6277999999999997</v>
      </c>
      <c r="AS658" s="2994">
        <v>7.5148999999999999</v>
      </c>
      <c r="AT658" s="2994">
        <v>7.9071999999999996</v>
      </c>
      <c r="AU658" s="2994">
        <v>7.4603000000000002</v>
      </c>
      <c r="AV658" s="2994">
        <v>7.2633000000000001</v>
      </c>
      <c r="AW658" s="2994">
        <v>7.8907999999999996</v>
      </c>
      <c r="AX658" s="2994">
        <v>7.9973999999999998</v>
      </c>
      <c r="AY658" s="2994">
        <v>8.7601999999999993</v>
      </c>
      <c r="AZ658" s="2994">
        <v>8.8583999999999996</v>
      </c>
      <c r="BA658" s="2994">
        <v>8.7134</v>
      </c>
      <c r="BB658" s="2994">
        <v>8.9179999999999993</v>
      </c>
      <c r="BC658" s="2994">
        <v>8.1984999999999992</v>
      </c>
      <c r="BD658" s="3471">
        <v>8.6425999999999998</v>
      </c>
      <c r="BE658" s="3471">
        <v>8.9174000000000007</v>
      </c>
      <c r="BF658" s="3471">
        <v>9</v>
      </c>
    </row>
    <row r="659" spans="1:58">
      <c r="A659" s="1817" t="str">
        <f t="shared" si="21"/>
        <v>South AmericaCereals,Total + (Total)</v>
      </c>
      <c r="B659" s="1818" t="s">
        <v>306</v>
      </c>
      <c r="C659" s="1818" t="s">
        <v>7231</v>
      </c>
      <c r="D659" s="3463" t="str">
        <f>VLOOKUP(B659,List_Yield!$G$4:$J$14,4,FALSE)</f>
        <v>South America</v>
      </c>
      <c r="E659" s="3463" t="str">
        <f t="shared" si="20"/>
        <v>South AmericaCereals,Total + (Total)</v>
      </c>
      <c r="F659" s="2994">
        <v>1.3467</v>
      </c>
      <c r="G659" s="2994">
        <v>1.4273</v>
      </c>
      <c r="H659" s="2994">
        <v>1.3819999999999999</v>
      </c>
      <c r="I659" s="2994">
        <v>1.4397</v>
      </c>
      <c r="J659" s="2994">
        <v>1.3944000000000001</v>
      </c>
      <c r="K659" s="2994">
        <v>1.4133</v>
      </c>
      <c r="L659" s="2994">
        <v>1.4744999999999999</v>
      </c>
      <c r="M659" s="2994">
        <v>1.3381000000000001</v>
      </c>
      <c r="N659" s="2994">
        <v>1.4079999999999999</v>
      </c>
      <c r="O659" s="2994">
        <v>1.5506</v>
      </c>
      <c r="P659" s="2994">
        <v>1.4985999999999999</v>
      </c>
      <c r="Q659" s="2994">
        <v>1.4422999999999999</v>
      </c>
      <c r="R659" s="2994">
        <v>1.6581999999999999</v>
      </c>
      <c r="S659" s="2994">
        <v>1.6939</v>
      </c>
      <c r="T659" s="2994">
        <v>1.6055999999999999</v>
      </c>
      <c r="U659" s="2994">
        <v>1.6265000000000001</v>
      </c>
      <c r="V659" s="2994">
        <v>1.6986000000000001</v>
      </c>
      <c r="W659" s="2994">
        <v>1.6792</v>
      </c>
      <c r="X659" s="2994">
        <v>1.6814</v>
      </c>
      <c r="Y659" s="2994">
        <v>1.7123999999999999</v>
      </c>
      <c r="Z659" s="2994">
        <v>1.9404999999999999</v>
      </c>
      <c r="AA659" s="2994">
        <v>1.9229000000000001</v>
      </c>
      <c r="AB659" s="2994">
        <v>1.9400999999999999</v>
      </c>
      <c r="AC659" s="2994">
        <v>2.0577999999999999</v>
      </c>
      <c r="AD659" s="2994">
        <v>2.0825</v>
      </c>
      <c r="AE659" s="2994">
        <v>1.9839</v>
      </c>
      <c r="AF659" s="2994">
        <v>2.0722</v>
      </c>
      <c r="AG659" s="2994">
        <v>2.0958999999999999</v>
      </c>
      <c r="AH659" s="2994">
        <v>2.1093000000000002</v>
      </c>
      <c r="AI659" s="2994">
        <v>2.0043000000000002</v>
      </c>
      <c r="AJ659" s="2994">
        <v>2.1446999999999998</v>
      </c>
      <c r="AK659" s="2994">
        <v>2.4216000000000002</v>
      </c>
      <c r="AL659" s="2994">
        <v>2.5183</v>
      </c>
      <c r="AM659" s="2994">
        <v>2.4819</v>
      </c>
      <c r="AN659" s="2994">
        <v>2.6198999999999999</v>
      </c>
      <c r="AO659" s="2994">
        <v>2.6448999999999998</v>
      </c>
      <c r="AP659" s="2994">
        <v>2.8077999999999999</v>
      </c>
      <c r="AQ659" s="2994">
        <v>2.9836</v>
      </c>
      <c r="AR659" s="2994">
        <v>2.9411999999999998</v>
      </c>
      <c r="AS659" s="2994">
        <v>2.9813000000000001</v>
      </c>
      <c r="AT659" s="2994">
        <v>3.1457000000000002</v>
      </c>
      <c r="AU659" s="2994">
        <v>3.0158</v>
      </c>
      <c r="AV659" s="2994">
        <v>3.4533</v>
      </c>
      <c r="AW659" s="2994">
        <v>3.3273999999999999</v>
      </c>
      <c r="AX659" s="2994">
        <v>3.3371</v>
      </c>
      <c r="AY659" s="2994">
        <v>3.3816999999999999</v>
      </c>
      <c r="AZ659" s="2994">
        <v>3.7254999999999998</v>
      </c>
      <c r="BA659" s="2994">
        <v>3.7896000000000001</v>
      </c>
      <c r="BB659" s="2994">
        <v>3.5642</v>
      </c>
      <c r="BC659" s="2994">
        <v>4.2028999999999996</v>
      </c>
      <c r="BD659" s="3471">
        <v>4.0697000000000001</v>
      </c>
      <c r="BE659" s="3471">
        <v>4.2141000000000002</v>
      </c>
      <c r="BF659" s="3471">
        <v>4.5495999999999999</v>
      </c>
    </row>
    <row r="660" spans="1:58">
      <c r="A660" s="1817" t="str">
        <f t="shared" si="21"/>
        <v>South AmericaPulses,Total + (Total)</v>
      </c>
      <c r="B660" s="1818" t="s">
        <v>306</v>
      </c>
      <c r="C660" s="1818" t="s">
        <v>7228</v>
      </c>
      <c r="D660" s="3463" t="str">
        <f>VLOOKUP(B660,List_Yield!$G$4:$J$14,4,FALSE)</f>
        <v>South America</v>
      </c>
      <c r="E660" s="3463" t="str">
        <f t="shared" si="20"/>
        <v>South AmericaPulses,Total + (Total)</v>
      </c>
      <c r="F660" s="2994">
        <v>0.67720000000000002</v>
      </c>
      <c r="G660" s="2994">
        <v>0.64419999999999999</v>
      </c>
      <c r="H660" s="2994">
        <v>0.65680000000000005</v>
      </c>
      <c r="I660" s="2994">
        <v>0.62590000000000001</v>
      </c>
      <c r="J660" s="2994">
        <v>0.6915</v>
      </c>
      <c r="K660" s="2994">
        <v>0.64829999999999999</v>
      </c>
      <c r="L660" s="2994">
        <v>0.69189999999999996</v>
      </c>
      <c r="M660" s="2994">
        <v>0.64419999999999999</v>
      </c>
      <c r="N660" s="2994">
        <v>0.60170000000000001</v>
      </c>
      <c r="O660" s="2994">
        <v>0.6331</v>
      </c>
      <c r="P660" s="2994">
        <v>0.67559999999999998</v>
      </c>
      <c r="Q660" s="2994">
        <v>0.6724</v>
      </c>
      <c r="R660" s="2994">
        <v>0.5978</v>
      </c>
      <c r="S660" s="2994">
        <v>0.55259999999999998</v>
      </c>
      <c r="T660" s="2994">
        <v>0.57440000000000002</v>
      </c>
      <c r="U660" s="2994">
        <v>0.50980000000000003</v>
      </c>
      <c r="V660" s="2994">
        <v>0.54830000000000001</v>
      </c>
      <c r="W660" s="2994">
        <v>0.52400000000000002</v>
      </c>
      <c r="X660" s="2994">
        <v>0.56689999999999996</v>
      </c>
      <c r="Y660" s="2994">
        <v>0.47149999999999997</v>
      </c>
      <c r="Z660" s="2994">
        <v>0.51929999999999998</v>
      </c>
      <c r="AA660" s="2994">
        <v>0.54100000000000004</v>
      </c>
      <c r="AB660" s="2994">
        <v>0.4642</v>
      </c>
      <c r="AC660" s="2994">
        <v>0.53769999999999996</v>
      </c>
      <c r="AD660" s="2994">
        <v>0.53239999999999998</v>
      </c>
      <c r="AE660" s="2994">
        <v>0.46610000000000001</v>
      </c>
      <c r="AF660" s="2994">
        <v>0.44600000000000001</v>
      </c>
      <c r="AG660" s="2994">
        <v>0.54090000000000005</v>
      </c>
      <c r="AH660" s="2994">
        <v>0.49990000000000001</v>
      </c>
      <c r="AI660" s="2994">
        <v>0.53739999999999999</v>
      </c>
      <c r="AJ660" s="2994">
        <v>0.56769999999999998</v>
      </c>
      <c r="AK660" s="2994">
        <v>0.60089999999999999</v>
      </c>
      <c r="AL660" s="2994">
        <v>0.68600000000000005</v>
      </c>
      <c r="AM660" s="2994">
        <v>0.66190000000000004</v>
      </c>
      <c r="AN660" s="2994">
        <v>0.64759999999999995</v>
      </c>
      <c r="AO660" s="2994">
        <v>0.63500000000000001</v>
      </c>
      <c r="AP660" s="2994">
        <v>0.70389999999999997</v>
      </c>
      <c r="AQ660" s="2994">
        <v>0.74229999999999996</v>
      </c>
      <c r="AR660" s="2994">
        <v>0.73809999999999998</v>
      </c>
      <c r="AS660" s="2994">
        <v>0.75760000000000005</v>
      </c>
      <c r="AT660" s="2994">
        <v>0.77790000000000004</v>
      </c>
      <c r="AU660" s="2994">
        <v>0.78739999999999999</v>
      </c>
      <c r="AV660" s="2994">
        <v>0.85070000000000001</v>
      </c>
      <c r="AW660" s="2994">
        <v>0.80189999999999995</v>
      </c>
      <c r="AX660" s="2994">
        <v>0.85929999999999995</v>
      </c>
      <c r="AY660" s="2994">
        <v>0.91759999999999997</v>
      </c>
      <c r="AZ660" s="2994">
        <v>0.89900000000000002</v>
      </c>
      <c r="BA660" s="2994">
        <v>0.96309999999999996</v>
      </c>
      <c r="BB660" s="2994">
        <v>0.89200000000000002</v>
      </c>
      <c r="BC660" s="2994">
        <v>0.98089999999999999</v>
      </c>
      <c r="BD660" s="3471">
        <v>0.97919999999999996</v>
      </c>
      <c r="BE660" s="3471">
        <v>1.0578000000000001</v>
      </c>
      <c r="BF660" s="3471">
        <v>1.0427999999999999</v>
      </c>
    </row>
    <row r="661" spans="1:58">
      <c r="A661" s="1817" t="str">
        <f t="shared" si="21"/>
        <v>South AmericaRoots and Tubers,Total + (Total)</v>
      </c>
      <c r="B661" s="1818" t="s">
        <v>306</v>
      </c>
      <c r="C661" s="1818" t="s">
        <v>7234</v>
      </c>
      <c r="D661" s="3463" t="str">
        <f>VLOOKUP(B661,List_Yield!$G$4:$J$14,4,FALSE)</f>
        <v>South America</v>
      </c>
      <c r="E661" s="3463" t="str">
        <f t="shared" si="20"/>
        <v>South AmericaRoots and Tubers,Total + (Total)</v>
      </c>
      <c r="F661" s="2994">
        <v>10.330500000000001</v>
      </c>
      <c r="G661" s="2994">
        <v>10.492900000000001</v>
      </c>
      <c r="H661" s="2994">
        <v>10.7219</v>
      </c>
      <c r="I661" s="2994">
        <v>11.0844</v>
      </c>
      <c r="J661" s="2994">
        <v>11.3376</v>
      </c>
      <c r="K661" s="2994">
        <v>11.129799999999999</v>
      </c>
      <c r="L661" s="2994">
        <v>11.561999999999999</v>
      </c>
      <c r="M661" s="2994">
        <v>11.7859</v>
      </c>
      <c r="N661" s="2994">
        <v>11.957599999999999</v>
      </c>
      <c r="O661" s="2994">
        <v>11.981999999999999</v>
      </c>
      <c r="P661" s="2994">
        <v>12.007899999999999</v>
      </c>
      <c r="Q661" s="2994">
        <v>11.757300000000001</v>
      </c>
      <c r="R661" s="2994">
        <v>10.9084</v>
      </c>
      <c r="S661" s="2994">
        <v>11.0047</v>
      </c>
      <c r="T661" s="2994">
        <v>11.0968</v>
      </c>
      <c r="U661" s="2994">
        <v>10.803100000000001</v>
      </c>
      <c r="V661" s="2994">
        <v>10.794700000000001</v>
      </c>
      <c r="W661" s="2994">
        <v>10.7775</v>
      </c>
      <c r="X661" s="2994">
        <v>10.7234</v>
      </c>
      <c r="Y661" s="2994">
        <v>10.711</v>
      </c>
      <c r="Z661" s="2994">
        <v>11.007999999999999</v>
      </c>
      <c r="AA661" s="2994">
        <v>10.8314</v>
      </c>
      <c r="AB661" s="2994">
        <v>10.4315</v>
      </c>
      <c r="AC661" s="2994">
        <v>11.324299999999999</v>
      </c>
      <c r="AD661" s="2994">
        <v>11.5966</v>
      </c>
      <c r="AE661" s="2994">
        <v>11.5373</v>
      </c>
      <c r="AF661" s="2994">
        <v>11.550700000000001</v>
      </c>
      <c r="AG661" s="2994">
        <v>12.012600000000001</v>
      </c>
      <c r="AH661" s="2994">
        <v>12.0344</v>
      </c>
      <c r="AI661" s="2994">
        <v>11.900600000000001</v>
      </c>
      <c r="AJ661" s="2994">
        <v>11.839499999999999</v>
      </c>
      <c r="AK661" s="2994">
        <v>11.494899999999999</v>
      </c>
      <c r="AL661" s="2994">
        <v>11.7051</v>
      </c>
      <c r="AM661" s="2994">
        <v>12.479100000000001</v>
      </c>
      <c r="AN661" s="2994">
        <v>12.5352</v>
      </c>
      <c r="AO661" s="2994">
        <v>11.7423</v>
      </c>
      <c r="AP661" s="2994">
        <v>12.557700000000001</v>
      </c>
      <c r="AQ661" s="2994">
        <v>12.3019</v>
      </c>
      <c r="AR661" s="2994">
        <v>12.951000000000001</v>
      </c>
      <c r="AS661" s="2994">
        <v>12.7592</v>
      </c>
      <c r="AT661" s="2994">
        <v>13.168100000000001</v>
      </c>
      <c r="AU661" s="2994">
        <v>13.5261</v>
      </c>
      <c r="AV661" s="2994">
        <v>13.4543</v>
      </c>
      <c r="AW661" s="2994">
        <v>13.118499999999999</v>
      </c>
      <c r="AX661" s="2994">
        <v>13.511900000000001</v>
      </c>
      <c r="AY661" s="2994">
        <v>13.787599999999999</v>
      </c>
      <c r="AZ661" s="2994">
        <v>13.827299999999999</v>
      </c>
      <c r="BA661" s="2994">
        <v>13.786899999999999</v>
      </c>
      <c r="BB661" s="2994">
        <v>13.564</v>
      </c>
      <c r="BC661" s="2994">
        <v>13.718</v>
      </c>
      <c r="BD661" s="3471">
        <v>14.274800000000001</v>
      </c>
      <c r="BE661" s="3471">
        <v>13.633599999999999</v>
      </c>
      <c r="BF661" s="3471">
        <v>13.9536</v>
      </c>
    </row>
    <row r="662" spans="1:58">
      <c r="A662" s="1817" t="str">
        <f t="shared" si="21"/>
        <v>Eastern AsiaAgave fibres nes</v>
      </c>
      <c r="B662" s="1818" t="s">
        <v>1328</v>
      </c>
      <c r="C662" s="1818" t="s">
        <v>7282</v>
      </c>
      <c r="D662" s="3463" t="str">
        <f>VLOOKUP(B662,List_Yield!$G$4:$J$14,4,FALSE)</f>
        <v>Asia (Continental)</v>
      </c>
      <c r="E662" s="3463" t="str">
        <f t="shared" si="20"/>
        <v>Asia (Continental)Agave fibres nes</v>
      </c>
      <c r="F662" s="2994">
        <v>0</v>
      </c>
      <c r="G662" s="2994">
        <v>0</v>
      </c>
      <c r="H662" s="2994">
        <v>0</v>
      </c>
      <c r="I662" s="2994">
        <v>0</v>
      </c>
      <c r="J662" s="2994">
        <v>0</v>
      </c>
      <c r="K662" s="2994">
        <v>0</v>
      </c>
      <c r="L662" s="2994">
        <v>0</v>
      </c>
      <c r="M662" s="2994">
        <v>0</v>
      </c>
      <c r="N662" s="2994">
        <v>0</v>
      </c>
      <c r="O662" s="2994">
        <v>0</v>
      </c>
      <c r="P662" s="2994">
        <v>0</v>
      </c>
      <c r="Q662" s="2994">
        <v>0</v>
      </c>
      <c r="R662" s="2994">
        <v>0</v>
      </c>
      <c r="S662" s="2994">
        <v>0</v>
      </c>
      <c r="T662" s="2994">
        <v>0</v>
      </c>
      <c r="U662" s="2994">
        <v>0</v>
      </c>
      <c r="V662" s="2994">
        <v>0</v>
      </c>
      <c r="W662" s="2994">
        <v>0</v>
      </c>
      <c r="X662" s="2994">
        <v>0</v>
      </c>
      <c r="Y662" s="2994">
        <v>0</v>
      </c>
      <c r="Z662" s="2994">
        <v>0</v>
      </c>
      <c r="AA662" s="2994">
        <v>0</v>
      </c>
      <c r="AB662" s="2994">
        <v>0</v>
      </c>
      <c r="AC662" s="2994">
        <v>0</v>
      </c>
      <c r="AD662" s="2994">
        <v>0</v>
      </c>
      <c r="AE662" s="2994">
        <v>0</v>
      </c>
      <c r="AF662" s="2994">
        <v>0</v>
      </c>
      <c r="AG662" s="2994">
        <v>0</v>
      </c>
      <c r="AH662" s="2994">
        <v>0</v>
      </c>
      <c r="AI662" s="2994">
        <v>0</v>
      </c>
      <c r="AJ662" s="2994">
        <v>0</v>
      </c>
      <c r="AK662" s="2994">
        <v>0</v>
      </c>
      <c r="AL662" s="2994">
        <v>0</v>
      </c>
      <c r="AM662" s="2994">
        <v>0</v>
      </c>
      <c r="AN662" s="2994">
        <v>0</v>
      </c>
      <c r="AO662" s="2994">
        <v>0</v>
      </c>
      <c r="AP662" s="2994">
        <v>0</v>
      </c>
      <c r="AQ662" s="2994">
        <v>0</v>
      </c>
      <c r="AR662" s="2994">
        <v>0</v>
      </c>
      <c r="AS662" s="2994">
        <v>0</v>
      </c>
      <c r="AT662" s="2994">
        <v>0</v>
      </c>
      <c r="AU662" s="2994">
        <v>0</v>
      </c>
      <c r="AV662" s="2994">
        <v>0</v>
      </c>
      <c r="AW662" s="2994">
        <v>0</v>
      </c>
      <c r="AX662" s="2994">
        <v>0</v>
      </c>
      <c r="AY662" s="2994">
        <v>0</v>
      </c>
      <c r="AZ662" s="2994">
        <v>0</v>
      </c>
      <c r="BA662" s="2994">
        <v>0</v>
      </c>
      <c r="BB662" s="2994">
        <v>0</v>
      </c>
      <c r="BC662" s="2994">
        <v>0</v>
      </c>
      <c r="BD662" s="3471">
        <v>0</v>
      </c>
      <c r="BE662" s="3471">
        <v>0</v>
      </c>
      <c r="BF662" s="3471">
        <v>0</v>
      </c>
    </row>
    <row r="663" spans="1:58">
      <c r="A663" s="1817" t="str">
        <f t="shared" si="21"/>
        <v>Eastern AsiaAlmonds, with shell</v>
      </c>
      <c r="B663" s="1818" t="s">
        <v>1328</v>
      </c>
      <c r="C663" s="1818" t="s">
        <v>7283</v>
      </c>
      <c r="D663" s="3463" t="str">
        <f>VLOOKUP(B663,List_Yield!$G$4:$J$14,4,FALSE)</f>
        <v>Asia (Continental)</v>
      </c>
      <c r="E663" s="3463" t="str">
        <f t="shared" si="20"/>
        <v>Asia (Continental)Almonds, with shell</v>
      </c>
      <c r="F663" s="2994">
        <v>0</v>
      </c>
      <c r="G663" s="2994">
        <v>0</v>
      </c>
      <c r="H663" s="2994">
        <v>0</v>
      </c>
      <c r="I663" s="2994">
        <v>0</v>
      </c>
      <c r="J663" s="2994">
        <v>0</v>
      </c>
      <c r="K663" s="2994">
        <v>0</v>
      </c>
      <c r="L663" s="2994">
        <v>0</v>
      </c>
      <c r="M663" s="2994">
        <v>0</v>
      </c>
      <c r="N663" s="2994">
        <v>0</v>
      </c>
      <c r="O663" s="2994">
        <v>0</v>
      </c>
      <c r="P663" s="2994">
        <v>0</v>
      </c>
      <c r="Q663" s="2994">
        <v>0</v>
      </c>
      <c r="R663" s="2994">
        <v>0</v>
      </c>
      <c r="S663" s="2994">
        <v>0</v>
      </c>
      <c r="T663" s="2994">
        <v>0</v>
      </c>
      <c r="U663" s="2994">
        <v>0</v>
      </c>
      <c r="V663" s="2994">
        <v>0</v>
      </c>
      <c r="W663" s="2994">
        <v>0</v>
      </c>
      <c r="X663" s="2994">
        <v>0</v>
      </c>
      <c r="Y663" s="2994">
        <v>0</v>
      </c>
      <c r="Z663" s="2994">
        <v>0</v>
      </c>
      <c r="AA663" s="2994">
        <v>0</v>
      </c>
      <c r="AB663" s="2994">
        <v>0</v>
      </c>
      <c r="AC663" s="2994">
        <v>0</v>
      </c>
      <c r="AD663" s="2994">
        <v>1.6882999999999999</v>
      </c>
      <c r="AE663" s="2994">
        <v>1.6867000000000001</v>
      </c>
      <c r="AF663" s="2994">
        <v>1.6854</v>
      </c>
      <c r="AG663" s="2994">
        <v>1.6859999999999999</v>
      </c>
      <c r="AH663" s="2994">
        <v>1.7020999999999999</v>
      </c>
      <c r="AI663" s="2994">
        <v>1.7</v>
      </c>
      <c r="AJ663" s="2994">
        <v>1.7142999999999999</v>
      </c>
      <c r="AK663" s="2994">
        <v>1.6972</v>
      </c>
      <c r="AL663" s="2994">
        <v>1.5062</v>
      </c>
      <c r="AM663" s="2994">
        <v>1.5356000000000001</v>
      </c>
      <c r="AN663" s="2994">
        <v>1.7273000000000001</v>
      </c>
      <c r="AO663" s="2994">
        <v>1.9731000000000001</v>
      </c>
      <c r="AP663" s="2994">
        <v>1.9167000000000001</v>
      </c>
      <c r="AQ663" s="2994">
        <v>1.6</v>
      </c>
      <c r="AR663" s="2994">
        <v>2.1429</v>
      </c>
      <c r="AS663" s="2994">
        <v>2.125</v>
      </c>
      <c r="AT663" s="2994">
        <v>2</v>
      </c>
      <c r="AU663" s="2994">
        <v>1.8741000000000001</v>
      </c>
      <c r="AV663" s="2994">
        <v>2.1160999999999999</v>
      </c>
      <c r="AW663" s="2994">
        <v>2.1818</v>
      </c>
      <c r="AX663" s="2994">
        <v>2.0832999999999999</v>
      </c>
      <c r="AY663" s="2994">
        <v>2.3820000000000001</v>
      </c>
      <c r="AZ663" s="2994">
        <v>2.5438999999999998</v>
      </c>
      <c r="BA663" s="2994">
        <v>2.7736999999999998</v>
      </c>
      <c r="BB663" s="2994">
        <v>2.8</v>
      </c>
      <c r="BC663" s="2994">
        <v>2.9230999999999998</v>
      </c>
      <c r="BD663" s="3471">
        <v>3</v>
      </c>
      <c r="BE663" s="3471">
        <v>2.9655</v>
      </c>
      <c r="BF663" s="3471">
        <v>0</v>
      </c>
    </row>
    <row r="664" spans="1:58">
      <c r="A664" s="1817" t="str">
        <f t="shared" si="21"/>
        <v>Eastern AsiaAnise, badian, fennel, coriander</v>
      </c>
      <c r="B664" s="1818" t="s">
        <v>1328</v>
      </c>
      <c r="C664" s="1818" t="s">
        <v>7284</v>
      </c>
      <c r="D664" s="3463" t="str">
        <f>VLOOKUP(B664,List_Yield!$G$4:$J$14,4,FALSE)</f>
        <v>Asia (Continental)</v>
      </c>
      <c r="E664" s="3463" t="str">
        <f t="shared" si="20"/>
        <v>Asia (Continental)Anise, badian, fennel, coriander</v>
      </c>
      <c r="F664" s="2994">
        <v>0</v>
      </c>
      <c r="G664" s="2994">
        <v>0</v>
      </c>
      <c r="H664" s="2994">
        <v>0</v>
      </c>
      <c r="I664" s="2994">
        <v>0</v>
      </c>
      <c r="J664" s="2994">
        <v>0</v>
      </c>
      <c r="K664" s="2994">
        <v>0</v>
      </c>
      <c r="L664" s="2994">
        <v>0</v>
      </c>
      <c r="M664" s="2994">
        <v>0</v>
      </c>
      <c r="N664" s="2994">
        <v>0</v>
      </c>
      <c r="O664" s="2994">
        <v>0</v>
      </c>
      <c r="P664" s="2994">
        <v>0</v>
      </c>
      <c r="Q664" s="2994">
        <v>0</v>
      </c>
      <c r="R664" s="2994">
        <v>0</v>
      </c>
      <c r="S664" s="2994">
        <v>0</v>
      </c>
      <c r="T664" s="2994">
        <v>0</v>
      </c>
      <c r="U664" s="2994">
        <v>0</v>
      </c>
      <c r="V664" s="2994">
        <v>0</v>
      </c>
      <c r="W664" s="2994">
        <v>0</v>
      </c>
      <c r="X664" s="2994">
        <v>0</v>
      </c>
      <c r="Y664" s="2994">
        <v>0</v>
      </c>
      <c r="Z664" s="2994">
        <v>0</v>
      </c>
      <c r="AA664" s="2994">
        <v>0</v>
      </c>
      <c r="AB664" s="2994">
        <v>0</v>
      </c>
      <c r="AC664" s="2994">
        <v>0</v>
      </c>
      <c r="AD664" s="2994">
        <v>0.75</v>
      </c>
      <c r="AE664" s="2994">
        <v>0.75790000000000002</v>
      </c>
      <c r="AF664" s="2994">
        <v>0.69569999999999999</v>
      </c>
      <c r="AG664" s="2994">
        <v>0.78259999999999996</v>
      </c>
      <c r="AH664" s="2994">
        <v>0.73909999999999998</v>
      </c>
      <c r="AI664" s="2994">
        <v>0.96150000000000002</v>
      </c>
      <c r="AJ664" s="2994">
        <v>1.4209000000000001</v>
      </c>
      <c r="AK664" s="2994">
        <v>0.83330000000000004</v>
      </c>
      <c r="AL664" s="2994">
        <v>0.84</v>
      </c>
      <c r="AM664" s="2994">
        <v>0.84619999999999995</v>
      </c>
      <c r="AN664" s="2994">
        <v>0.86270000000000002</v>
      </c>
      <c r="AO664" s="2994">
        <v>0.92589999999999995</v>
      </c>
      <c r="AP664" s="2994">
        <v>0.92859999999999998</v>
      </c>
      <c r="AQ664" s="2994">
        <v>0.93859999999999999</v>
      </c>
      <c r="AR664" s="2994">
        <v>0.93100000000000005</v>
      </c>
      <c r="AS664" s="2994">
        <v>0.93330000000000002</v>
      </c>
      <c r="AT664" s="2994">
        <v>1</v>
      </c>
      <c r="AU664" s="2994">
        <v>1.0333000000000001</v>
      </c>
      <c r="AV664" s="2994">
        <v>1.0323</v>
      </c>
      <c r="AW664" s="2994">
        <v>0.93189999999999995</v>
      </c>
      <c r="AX664" s="2994">
        <v>1.0625</v>
      </c>
      <c r="AY664" s="2994">
        <v>1.0909</v>
      </c>
      <c r="AZ664" s="2994">
        <v>1.1175999999999999</v>
      </c>
      <c r="BA664" s="2994">
        <v>1.1429</v>
      </c>
      <c r="BB664" s="2994">
        <v>1.1667000000000001</v>
      </c>
      <c r="BC664" s="2994">
        <v>1.1892</v>
      </c>
      <c r="BD664" s="3471">
        <v>1.2737000000000001</v>
      </c>
      <c r="BE664" s="3471">
        <v>1.2703</v>
      </c>
      <c r="BF664" s="3471">
        <v>0</v>
      </c>
    </row>
    <row r="665" spans="1:58">
      <c r="A665" s="1817" t="str">
        <f t="shared" si="21"/>
        <v>Eastern AsiaApples</v>
      </c>
      <c r="B665" s="1818" t="s">
        <v>1328</v>
      </c>
      <c r="C665" s="1818" t="s">
        <v>7285</v>
      </c>
      <c r="D665" s="3463" t="str">
        <f>VLOOKUP(B665,List_Yield!$G$4:$J$14,4,FALSE)</f>
        <v>Asia (Continental)</v>
      </c>
      <c r="E665" s="3463" t="str">
        <f t="shared" si="20"/>
        <v>Asia (Continental)Apples</v>
      </c>
      <c r="F665" s="2994">
        <v>7.3921999999999999</v>
      </c>
      <c r="G665" s="2994">
        <v>7.9406999999999996</v>
      </c>
      <c r="H665" s="2994">
        <v>8.7902000000000005</v>
      </c>
      <c r="I665" s="2994">
        <v>8.5122999999999998</v>
      </c>
      <c r="J665" s="2994">
        <v>8.4034999999999993</v>
      </c>
      <c r="K665" s="2994">
        <v>6.0117000000000003</v>
      </c>
      <c r="L665" s="2994">
        <v>6.6710000000000003</v>
      </c>
      <c r="M665" s="2994">
        <v>5.8863000000000003</v>
      </c>
      <c r="N665" s="2994">
        <v>7.0890000000000004</v>
      </c>
      <c r="O665" s="2994">
        <v>6.3002000000000002</v>
      </c>
      <c r="P665" s="2994">
        <v>6.2664999999999997</v>
      </c>
      <c r="Q665" s="2994">
        <v>5.9896000000000003</v>
      </c>
      <c r="R665" s="2994">
        <v>5.3047000000000004</v>
      </c>
      <c r="S665" s="2994">
        <v>5.3247</v>
      </c>
      <c r="T665" s="2994">
        <v>5.1532999999999998</v>
      </c>
      <c r="U665" s="2994">
        <v>4.9779</v>
      </c>
      <c r="V665" s="2994">
        <v>5.4958999999999998</v>
      </c>
      <c r="W665" s="2994">
        <v>5.4978999999999996</v>
      </c>
      <c r="X665" s="2994">
        <v>5.1139999999999999</v>
      </c>
      <c r="Y665" s="2994">
        <v>4.7507000000000001</v>
      </c>
      <c r="Z665" s="2994">
        <v>5.5522</v>
      </c>
      <c r="AA665" s="2994">
        <v>5.0301999999999998</v>
      </c>
      <c r="AB665" s="2994">
        <v>6.5168999999999997</v>
      </c>
      <c r="AC665" s="2994">
        <v>5.3209</v>
      </c>
      <c r="AD665" s="2994">
        <v>6.149</v>
      </c>
      <c r="AE665" s="2994">
        <v>4.1021999999999998</v>
      </c>
      <c r="AF665" s="2994">
        <v>4.0209999999999999</v>
      </c>
      <c r="AG665" s="2994">
        <v>3.6463000000000001</v>
      </c>
      <c r="AH665" s="2994">
        <v>3.6937000000000002</v>
      </c>
      <c r="AI665" s="2994">
        <v>3.6907999999999999</v>
      </c>
      <c r="AJ665" s="2994">
        <v>3.5476999999999999</v>
      </c>
      <c r="AK665" s="2994">
        <v>4.2657999999999996</v>
      </c>
      <c r="AL665" s="2994">
        <v>4.6238000000000001</v>
      </c>
      <c r="AM665" s="2994">
        <v>4.6224999999999996</v>
      </c>
      <c r="AN665" s="2994">
        <v>5.1539000000000001</v>
      </c>
      <c r="AO665" s="2994">
        <v>6.0574000000000003</v>
      </c>
      <c r="AP665" s="2994">
        <v>6.4638999999999998</v>
      </c>
      <c r="AQ665" s="2994">
        <v>7.7457000000000003</v>
      </c>
      <c r="AR665" s="2994">
        <v>8.8483999999999998</v>
      </c>
      <c r="AS665" s="2994">
        <v>9.3462999999999994</v>
      </c>
      <c r="AT665" s="2994">
        <v>9.9740000000000002</v>
      </c>
      <c r="AU665" s="2994">
        <v>10.2425</v>
      </c>
      <c r="AV665" s="2994">
        <v>11.260999999999999</v>
      </c>
      <c r="AW665" s="2994">
        <v>12.620200000000001</v>
      </c>
      <c r="AX665" s="2994">
        <v>12.737500000000001</v>
      </c>
      <c r="AY665" s="2994">
        <v>13.704700000000001</v>
      </c>
      <c r="AZ665" s="2994">
        <v>14.1684</v>
      </c>
      <c r="BA665" s="2994">
        <v>14.959899999999999</v>
      </c>
      <c r="BB665" s="2994">
        <v>15.3957</v>
      </c>
      <c r="BC665" s="2994">
        <v>16.0441</v>
      </c>
      <c r="BD665" s="3471">
        <v>17.217300000000002</v>
      </c>
      <c r="BE665" s="3471">
        <v>17.7014</v>
      </c>
      <c r="BF665" s="3471">
        <v>0</v>
      </c>
    </row>
    <row r="666" spans="1:58">
      <c r="A666" s="1817" t="str">
        <f t="shared" si="21"/>
        <v>Eastern AsiaApricots</v>
      </c>
      <c r="B666" s="1818" t="s">
        <v>1328</v>
      </c>
      <c r="C666" s="1818" t="s">
        <v>7286</v>
      </c>
      <c r="D666" s="3463" t="str">
        <f>VLOOKUP(B666,List_Yield!$G$4:$J$14,4,FALSE)</f>
        <v>Asia (Continental)</v>
      </c>
      <c r="E666" s="3463" t="str">
        <f t="shared" si="20"/>
        <v>Asia (Continental)Apricots</v>
      </c>
      <c r="F666" s="2994">
        <v>6.2129000000000003</v>
      </c>
      <c r="G666" s="2994">
        <v>6.3078000000000003</v>
      </c>
      <c r="H666" s="2994">
        <v>5.3358999999999996</v>
      </c>
      <c r="I666" s="2994">
        <v>7.7009999999999996</v>
      </c>
      <c r="J666" s="2994">
        <v>9.9822000000000006</v>
      </c>
      <c r="K666" s="2994">
        <v>9.4080999999999992</v>
      </c>
      <c r="L666" s="2994">
        <v>10.047000000000001</v>
      </c>
      <c r="M666" s="2994">
        <v>9.3552</v>
      </c>
      <c r="N666" s="2994">
        <v>12.4696</v>
      </c>
      <c r="O666" s="2994">
        <v>12.179600000000001</v>
      </c>
      <c r="P666" s="2994">
        <v>6.4904999999999999</v>
      </c>
      <c r="Q666" s="2994">
        <v>8.8177000000000003</v>
      </c>
      <c r="R666" s="2994">
        <v>9.6074000000000002</v>
      </c>
      <c r="S666" s="2994">
        <v>6.7045000000000003</v>
      </c>
      <c r="T666" s="2994">
        <v>6.4968000000000004</v>
      </c>
      <c r="U666" s="2994">
        <v>7.6280999999999999</v>
      </c>
      <c r="V666" s="2994">
        <v>6.9829999999999997</v>
      </c>
      <c r="W666" s="2994">
        <v>7.8979999999999997</v>
      </c>
      <c r="X666" s="2994">
        <v>7.5242000000000004</v>
      </c>
      <c r="Y666" s="2994">
        <v>13.258900000000001</v>
      </c>
      <c r="Z666" s="2994">
        <v>17.191800000000001</v>
      </c>
      <c r="AA666" s="2994">
        <v>10.220700000000001</v>
      </c>
      <c r="AB666" s="2994">
        <v>5.6576000000000004</v>
      </c>
      <c r="AC666" s="2994">
        <v>12.838100000000001</v>
      </c>
      <c r="AD666" s="2994">
        <v>12.4236</v>
      </c>
      <c r="AE666" s="2994">
        <v>11.6035</v>
      </c>
      <c r="AF666" s="2994">
        <v>10.1976</v>
      </c>
      <c r="AG666" s="2994">
        <v>10.158200000000001</v>
      </c>
      <c r="AH666" s="2994">
        <v>12.0692</v>
      </c>
      <c r="AI666" s="2994">
        <v>10.6656</v>
      </c>
      <c r="AJ666" s="2994">
        <v>7.3836000000000004</v>
      </c>
      <c r="AK666" s="2994">
        <v>6.9287000000000001</v>
      </c>
      <c r="AL666" s="2994">
        <v>4.7365000000000004</v>
      </c>
      <c r="AM666" s="2994">
        <v>6.5831</v>
      </c>
      <c r="AN666" s="2994">
        <v>3.5844999999999998</v>
      </c>
      <c r="AO666" s="2994">
        <v>7.7469000000000001</v>
      </c>
      <c r="AP666" s="2994">
        <v>8.1161999999999992</v>
      </c>
      <c r="AQ666" s="2994">
        <v>4.8396999999999997</v>
      </c>
      <c r="AR666" s="2994">
        <v>6.2485999999999997</v>
      </c>
      <c r="AS666" s="2994">
        <v>6.2542</v>
      </c>
      <c r="AT666" s="2994">
        <v>6.0637999999999996</v>
      </c>
      <c r="AU666" s="2994">
        <v>5.1653000000000002</v>
      </c>
      <c r="AV666" s="2994">
        <v>4.6718999999999999</v>
      </c>
      <c r="AW666" s="2994">
        <v>5.9593999999999996</v>
      </c>
      <c r="AX666" s="2994">
        <v>5.8818000000000001</v>
      </c>
      <c r="AY666" s="2994">
        <v>5.4612999999999996</v>
      </c>
      <c r="AZ666" s="2994">
        <v>5.2862</v>
      </c>
      <c r="BA666" s="2994">
        <v>5.2481</v>
      </c>
      <c r="BB666" s="2994">
        <v>5.1989000000000001</v>
      </c>
      <c r="BC666" s="2994">
        <v>4.7652999999999999</v>
      </c>
      <c r="BD666" s="3471">
        <v>4.9608999999999996</v>
      </c>
      <c r="BE666" s="3471">
        <v>4.4644000000000004</v>
      </c>
      <c r="BF666" s="3471">
        <v>0</v>
      </c>
    </row>
    <row r="667" spans="1:58">
      <c r="A667" s="1817" t="str">
        <f t="shared" si="21"/>
        <v>Eastern AsiaAreca nuts</v>
      </c>
      <c r="B667" s="1818" t="s">
        <v>1328</v>
      </c>
      <c r="C667" s="1818" t="s">
        <v>7287</v>
      </c>
      <c r="D667" s="3463" t="str">
        <f>VLOOKUP(B667,List_Yield!$G$4:$J$14,4,FALSE)</f>
        <v>Asia (Continental)</v>
      </c>
      <c r="E667" s="3463" t="str">
        <f t="shared" si="20"/>
        <v>Asia (Continental)Areca nuts</v>
      </c>
      <c r="F667" s="2994">
        <v>5.9679000000000002</v>
      </c>
      <c r="G667" s="2994">
        <v>5.7926000000000002</v>
      </c>
      <c r="H667" s="2994">
        <v>5.24</v>
      </c>
      <c r="I667" s="2994">
        <v>5.8329000000000004</v>
      </c>
      <c r="J667" s="2994">
        <v>5.7572999999999999</v>
      </c>
      <c r="K667" s="2994">
        <v>7.9660000000000002</v>
      </c>
      <c r="L667" s="2994">
        <v>8.4102999999999994</v>
      </c>
      <c r="M667" s="2994">
        <v>9.4647000000000006</v>
      </c>
      <c r="N667" s="2994">
        <v>7.9221000000000004</v>
      </c>
      <c r="O667" s="2994">
        <v>6.9158999999999997</v>
      </c>
      <c r="P667" s="2994">
        <v>7.5580999999999996</v>
      </c>
      <c r="Q667" s="2994">
        <v>9.1173000000000002</v>
      </c>
      <c r="R667" s="2994">
        <v>8.2029999999999994</v>
      </c>
      <c r="S667" s="2994">
        <v>9.7228999999999992</v>
      </c>
      <c r="T667" s="2994">
        <v>10.0372</v>
      </c>
      <c r="U667" s="2994">
        <v>10.320600000000001</v>
      </c>
      <c r="V667" s="2994">
        <v>10.6006</v>
      </c>
      <c r="W667" s="2994">
        <v>11.0913</v>
      </c>
      <c r="X667" s="2994">
        <v>7.9649999999999999</v>
      </c>
      <c r="Y667" s="2994">
        <v>8.5808</v>
      </c>
      <c r="Z667" s="2994">
        <v>8.5798000000000005</v>
      </c>
      <c r="AA667" s="2994">
        <v>8.6477000000000004</v>
      </c>
      <c r="AB667" s="2994">
        <v>7.6323999999999996</v>
      </c>
      <c r="AC667" s="2994">
        <v>7.8982000000000001</v>
      </c>
      <c r="AD667" s="2994">
        <v>9.1620000000000008</v>
      </c>
      <c r="AE667" s="2994">
        <v>8.8209999999999997</v>
      </c>
      <c r="AF667" s="2994">
        <v>6.4287999999999998</v>
      </c>
      <c r="AG667" s="2994">
        <v>5.7163000000000004</v>
      </c>
      <c r="AH667" s="2994">
        <v>4.8066000000000004</v>
      </c>
      <c r="AI667" s="2994">
        <v>4.3009000000000004</v>
      </c>
      <c r="AJ667" s="2994">
        <v>4.1197999999999997</v>
      </c>
      <c r="AK667" s="2994">
        <v>3.9460000000000002</v>
      </c>
      <c r="AL667" s="2994">
        <v>4.2126000000000001</v>
      </c>
      <c r="AM667" s="2994">
        <v>3.6404999999999998</v>
      </c>
      <c r="AN667" s="2994">
        <v>3.6768999999999998</v>
      </c>
      <c r="AO667" s="2994">
        <v>3.4521999999999999</v>
      </c>
      <c r="AP667" s="2994">
        <v>3.2806999999999999</v>
      </c>
      <c r="AQ667" s="2994">
        <v>3.4933000000000001</v>
      </c>
      <c r="AR667" s="2994">
        <v>3.3961999999999999</v>
      </c>
      <c r="AS667" s="2994">
        <v>3.2349000000000001</v>
      </c>
      <c r="AT667" s="2994">
        <v>3.2351000000000001</v>
      </c>
      <c r="AU667" s="2994">
        <v>3.1688000000000001</v>
      </c>
      <c r="AV667" s="2994">
        <v>3.1421999999999999</v>
      </c>
      <c r="AW667" s="2994">
        <v>2.8639999999999999</v>
      </c>
      <c r="AX667" s="2994">
        <v>2.7433999999999998</v>
      </c>
      <c r="AY667" s="2994">
        <v>2.8719999999999999</v>
      </c>
      <c r="AZ667" s="2994">
        <v>2.6991000000000001</v>
      </c>
      <c r="BA667" s="2994">
        <v>2.9329999999999998</v>
      </c>
      <c r="BB667" s="2994">
        <v>2.9550000000000001</v>
      </c>
      <c r="BC667" s="2994">
        <v>2.8742999999999999</v>
      </c>
      <c r="BD667" s="3471">
        <v>2.8736999999999999</v>
      </c>
      <c r="BE667" s="3471">
        <v>2.9348000000000001</v>
      </c>
      <c r="BF667" s="3471">
        <v>0</v>
      </c>
    </row>
    <row r="668" spans="1:58">
      <c r="A668" s="1817" t="str">
        <f t="shared" si="21"/>
        <v>Eastern AsiaArtichokes</v>
      </c>
      <c r="B668" s="1818" t="s">
        <v>1328</v>
      </c>
      <c r="C668" s="1818" t="s">
        <v>7288</v>
      </c>
      <c r="D668" s="3463" t="str">
        <f>VLOOKUP(B668,List_Yield!$G$4:$J$14,4,FALSE)</f>
        <v>Asia (Continental)</v>
      </c>
      <c r="E668" s="3463" t="str">
        <f t="shared" si="20"/>
        <v>Asia (Continental)Artichokes</v>
      </c>
      <c r="F668" s="2994">
        <v>0</v>
      </c>
      <c r="G668" s="2994">
        <v>0</v>
      </c>
      <c r="H668" s="2994">
        <v>0</v>
      </c>
      <c r="I668" s="2994">
        <v>0</v>
      </c>
      <c r="J668" s="2994">
        <v>0</v>
      </c>
      <c r="K668" s="2994">
        <v>0</v>
      </c>
      <c r="L668" s="2994">
        <v>0</v>
      </c>
      <c r="M668" s="2994">
        <v>0</v>
      </c>
      <c r="N668" s="2994">
        <v>0</v>
      </c>
      <c r="O668" s="2994">
        <v>0</v>
      </c>
      <c r="P668" s="2994">
        <v>0</v>
      </c>
      <c r="Q668" s="2994">
        <v>0</v>
      </c>
      <c r="R668" s="2994">
        <v>0</v>
      </c>
      <c r="S668" s="2994">
        <v>0</v>
      </c>
      <c r="T668" s="2994">
        <v>0</v>
      </c>
      <c r="U668" s="2994">
        <v>0</v>
      </c>
      <c r="V668" s="2994">
        <v>0</v>
      </c>
      <c r="W668" s="2994">
        <v>0</v>
      </c>
      <c r="X668" s="2994">
        <v>0</v>
      </c>
      <c r="Y668" s="2994">
        <v>0</v>
      </c>
      <c r="Z668" s="2994">
        <v>0</v>
      </c>
      <c r="AA668" s="2994">
        <v>0</v>
      </c>
      <c r="AB668" s="2994">
        <v>0</v>
      </c>
      <c r="AC668" s="2994">
        <v>0</v>
      </c>
      <c r="AD668" s="2994">
        <v>0</v>
      </c>
      <c r="AE668" s="2994">
        <v>0</v>
      </c>
      <c r="AF668" s="2994">
        <v>0</v>
      </c>
      <c r="AG668" s="2994">
        <v>0</v>
      </c>
      <c r="AH668" s="2994">
        <v>0</v>
      </c>
      <c r="AI668" s="2994">
        <v>0</v>
      </c>
      <c r="AJ668" s="2994">
        <v>0</v>
      </c>
      <c r="AK668" s="2994">
        <v>2.6667000000000001</v>
      </c>
      <c r="AL668" s="2994">
        <v>3.3233999999999999</v>
      </c>
      <c r="AM668" s="2994">
        <v>3</v>
      </c>
      <c r="AN668" s="2994">
        <v>3.5123000000000002</v>
      </c>
      <c r="AO668" s="2994">
        <v>3.2</v>
      </c>
      <c r="AP668" s="2994">
        <v>3.5693000000000001</v>
      </c>
      <c r="AQ668" s="2994">
        <v>3.3332999999999999</v>
      </c>
      <c r="AR668" s="2994">
        <v>4.4615</v>
      </c>
      <c r="AS668" s="2994">
        <v>4.1333000000000002</v>
      </c>
      <c r="AT668" s="2994">
        <v>4.5</v>
      </c>
      <c r="AU668" s="2994">
        <v>5.1764000000000001</v>
      </c>
      <c r="AV668" s="2994">
        <v>5</v>
      </c>
      <c r="AW668" s="2994">
        <v>6.3345000000000002</v>
      </c>
      <c r="AX668" s="2994">
        <v>6</v>
      </c>
      <c r="AY668" s="2994">
        <v>5.9644000000000004</v>
      </c>
      <c r="AZ668" s="2994">
        <v>6.3738000000000001</v>
      </c>
      <c r="BA668" s="2994">
        <v>6.5331999999999999</v>
      </c>
      <c r="BB668" s="2994">
        <v>6.5285000000000002</v>
      </c>
      <c r="BC668" s="2994">
        <v>6.4</v>
      </c>
      <c r="BD668" s="3471">
        <v>6.8182</v>
      </c>
      <c r="BE668" s="3471">
        <v>6.4166999999999996</v>
      </c>
      <c r="BF668" s="3471">
        <v>0</v>
      </c>
    </row>
    <row r="669" spans="1:58">
      <c r="A669" s="1817" t="str">
        <f t="shared" si="21"/>
        <v>Eastern AsiaAsparagus</v>
      </c>
      <c r="B669" s="1818" t="s">
        <v>1328</v>
      </c>
      <c r="C669" s="1818" t="s">
        <v>7289</v>
      </c>
      <c r="D669" s="3463" t="str">
        <f>VLOOKUP(B669,List_Yield!$G$4:$J$14,4,FALSE)</f>
        <v>Asia (Continental)</v>
      </c>
      <c r="E669" s="3463" t="str">
        <f t="shared" si="20"/>
        <v>Asia (Continental)Asparagus</v>
      </c>
      <c r="F669" s="2994">
        <v>2.5415999999999999</v>
      </c>
      <c r="G669" s="2994">
        <v>2.6958000000000002</v>
      </c>
      <c r="H669" s="2994">
        <v>2.83</v>
      </c>
      <c r="I669" s="2994">
        <v>2.7963</v>
      </c>
      <c r="J669" s="2994">
        <v>2.8820999999999999</v>
      </c>
      <c r="K669" s="2994">
        <v>2.9883999999999999</v>
      </c>
      <c r="L669" s="2994">
        <v>3.0066999999999999</v>
      </c>
      <c r="M669" s="2994">
        <v>3.3742999999999999</v>
      </c>
      <c r="N669" s="2994">
        <v>3.6560000000000001</v>
      </c>
      <c r="O669" s="2994">
        <v>4.0414000000000003</v>
      </c>
      <c r="P669" s="2994">
        <v>4.0012999999999996</v>
      </c>
      <c r="Q669" s="2994">
        <v>3.7519</v>
      </c>
      <c r="R669" s="2994">
        <v>3.7198000000000002</v>
      </c>
      <c r="S669" s="2994">
        <v>3.8797999999999999</v>
      </c>
      <c r="T669" s="2994">
        <v>3.7404000000000002</v>
      </c>
      <c r="U669" s="2994">
        <v>3.8721999999999999</v>
      </c>
      <c r="V669" s="2994">
        <v>3.8614000000000002</v>
      </c>
      <c r="W669" s="2994">
        <v>3.5384000000000002</v>
      </c>
      <c r="X669" s="2994">
        <v>3.7238000000000002</v>
      </c>
      <c r="Y669" s="2994">
        <v>3.681</v>
      </c>
      <c r="Z669" s="2994">
        <v>3.7336</v>
      </c>
      <c r="AA669" s="2994">
        <v>3.5091000000000001</v>
      </c>
      <c r="AB669" s="2994">
        <v>3.5463</v>
      </c>
      <c r="AC669" s="2994">
        <v>3.5819999999999999</v>
      </c>
      <c r="AD669" s="2994">
        <v>3.6196000000000002</v>
      </c>
      <c r="AE669" s="2994">
        <v>3.512</v>
      </c>
      <c r="AF669" s="2994">
        <v>3.5402</v>
      </c>
      <c r="AG669" s="2994">
        <v>3.5139999999999998</v>
      </c>
      <c r="AH669" s="2994">
        <v>3.3235000000000001</v>
      </c>
      <c r="AI669" s="2994">
        <v>3.3988</v>
      </c>
      <c r="AJ669" s="2994">
        <v>3.4161999999999999</v>
      </c>
      <c r="AK669" s="2994">
        <v>3.6716000000000002</v>
      </c>
      <c r="AL669" s="2994">
        <v>3.8218999999999999</v>
      </c>
      <c r="AM669" s="2994">
        <v>4.0350999999999999</v>
      </c>
      <c r="AN669" s="2994">
        <v>3.9380000000000002</v>
      </c>
      <c r="AO669" s="2994">
        <v>3.9698000000000002</v>
      </c>
      <c r="AP669" s="2994">
        <v>4.0678000000000001</v>
      </c>
      <c r="AQ669" s="2994">
        <v>4.1318000000000001</v>
      </c>
      <c r="AR669" s="2994">
        <v>4.1581000000000001</v>
      </c>
      <c r="AS669" s="2994">
        <v>4.2827000000000002</v>
      </c>
      <c r="AT669" s="2994">
        <v>4.3722000000000003</v>
      </c>
      <c r="AU669" s="2994">
        <v>4.8007999999999997</v>
      </c>
      <c r="AV669" s="2994">
        <v>5.0884999999999998</v>
      </c>
      <c r="AW669" s="2994">
        <v>5.0404999999999998</v>
      </c>
      <c r="AX669" s="2994">
        <v>5.0820999999999996</v>
      </c>
      <c r="AY669" s="2994">
        <v>5.0797999999999996</v>
      </c>
      <c r="AZ669" s="2994">
        <v>4.9984000000000002</v>
      </c>
      <c r="BA669" s="2994">
        <v>5.0175999999999998</v>
      </c>
      <c r="BB669" s="2994">
        <v>5.1158000000000001</v>
      </c>
      <c r="BC669" s="2994">
        <v>5.1543999999999999</v>
      </c>
      <c r="BD669" s="3471">
        <v>5.4880000000000004</v>
      </c>
      <c r="BE669" s="3471">
        <v>5.4409999999999998</v>
      </c>
      <c r="BF669" s="3471">
        <v>0</v>
      </c>
    </row>
    <row r="670" spans="1:58">
      <c r="A670" s="1817" t="str">
        <f t="shared" si="21"/>
        <v>Eastern AsiaAvocados</v>
      </c>
      <c r="B670" s="1818" t="s">
        <v>1328</v>
      </c>
      <c r="C670" s="1818" t="s">
        <v>7290</v>
      </c>
      <c r="D670" s="3463" t="str">
        <f>VLOOKUP(B670,List_Yield!$G$4:$J$14,4,FALSE)</f>
        <v>Asia (Continental)</v>
      </c>
      <c r="E670" s="3463" t="str">
        <f t="shared" si="20"/>
        <v>Asia (Continental)Avocados</v>
      </c>
      <c r="F670" s="2994">
        <v>0</v>
      </c>
      <c r="G670" s="2994">
        <v>0</v>
      </c>
      <c r="H670" s="2994">
        <v>0</v>
      </c>
      <c r="I670" s="2994">
        <v>0</v>
      </c>
      <c r="J670" s="2994">
        <v>0</v>
      </c>
      <c r="K670" s="2994">
        <v>0</v>
      </c>
      <c r="L670" s="2994">
        <v>0</v>
      </c>
      <c r="M670" s="2994">
        <v>0</v>
      </c>
      <c r="N670" s="2994">
        <v>0</v>
      </c>
      <c r="O670" s="2994">
        <v>0</v>
      </c>
      <c r="P670" s="2994">
        <v>0</v>
      </c>
      <c r="Q670" s="2994">
        <v>0</v>
      </c>
      <c r="R670" s="2994">
        <v>0</v>
      </c>
      <c r="S670" s="2994">
        <v>0</v>
      </c>
      <c r="T670" s="2994">
        <v>0</v>
      </c>
      <c r="U670" s="2994">
        <v>0</v>
      </c>
      <c r="V670" s="2994">
        <v>0</v>
      </c>
      <c r="W670" s="2994">
        <v>0</v>
      </c>
      <c r="X670" s="2994">
        <v>0</v>
      </c>
      <c r="Y670" s="2994">
        <v>0</v>
      </c>
      <c r="Z670" s="2994">
        <v>0</v>
      </c>
      <c r="AA670" s="2994">
        <v>0</v>
      </c>
      <c r="AB670" s="2994">
        <v>0</v>
      </c>
      <c r="AC670" s="2994">
        <v>0</v>
      </c>
      <c r="AD670" s="2994">
        <v>0</v>
      </c>
      <c r="AE670" s="2994">
        <v>0</v>
      </c>
      <c r="AF670" s="2994">
        <v>0</v>
      </c>
      <c r="AG670" s="2994">
        <v>0</v>
      </c>
      <c r="AH670" s="2994">
        <v>0</v>
      </c>
      <c r="AI670" s="2994">
        <v>0</v>
      </c>
      <c r="AJ670" s="2994">
        <v>0</v>
      </c>
      <c r="AK670" s="2994">
        <v>9</v>
      </c>
      <c r="AL670" s="2994">
        <v>10</v>
      </c>
      <c r="AM670" s="2994">
        <v>7.5</v>
      </c>
      <c r="AN670" s="2994">
        <v>8.75</v>
      </c>
      <c r="AO670" s="2994">
        <v>9</v>
      </c>
      <c r="AP670" s="2994">
        <v>9.6</v>
      </c>
      <c r="AQ670" s="2994">
        <v>8.5</v>
      </c>
      <c r="AR670" s="2994">
        <v>9.3332999999999995</v>
      </c>
      <c r="AS670" s="2994">
        <v>8.75</v>
      </c>
      <c r="AT670" s="2994">
        <v>9.3125</v>
      </c>
      <c r="AU670" s="2994">
        <v>8.8234999999999992</v>
      </c>
      <c r="AV670" s="2994">
        <v>9</v>
      </c>
      <c r="AW670" s="2994">
        <v>10</v>
      </c>
      <c r="AX670" s="2994">
        <v>10.416700000000001</v>
      </c>
      <c r="AY670" s="2994">
        <v>7.2</v>
      </c>
      <c r="AZ670" s="2994">
        <v>7.0769000000000002</v>
      </c>
      <c r="BA670" s="2994">
        <v>6.7857000000000003</v>
      </c>
      <c r="BB670" s="2994">
        <v>6.6666999999999996</v>
      </c>
      <c r="BC670" s="2994">
        <v>6.8</v>
      </c>
      <c r="BD670" s="3471">
        <v>6.7812999999999999</v>
      </c>
      <c r="BE670" s="3471">
        <v>6.875</v>
      </c>
      <c r="BF670" s="3471">
        <v>0</v>
      </c>
    </row>
    <row r="671" spans="1:58">
      <c r="A671" s="1817" t="str">
        <f t="shared" si="21"/>
        <v>Eastern AsiaBambara beans</v>
      </c>
      <c r="B671" s="1818" t="s">
        <v>1328</v>
      </c>
      <c r="C671" s="1818" t="s">
        <v>7291</v>
      </c>
      <c r="D671" s="3463" t="str">
        <f>VLOOKUP(B671,List_Yield!$G$4:$J$14,4,FALSE)</f>
        <v>Asia (Continental)</v>
      </c>
      <c r="E671" s="3463" t="str">
        <f t="shared" si="20"/>
        <v>Asia (Continental)Bambara beans</v>
      </c>
      <c r="F671" s="2994">
        <v>0</v>
      </c>
      <c r="G671" s="2994">
        <v>0</v>
      </c>
      <c r="H671" s="2994">
        <v>0</v>
      </c>
      <c r="I671" s="2994">
        <v>0</v>
      </c>
      <c r="J671" s="2994">
        <v>0</v>
      </c>
      <c r="K671" s="2994">
        <v>0</v>
      </c>
      <c r="L671" s="2994">
        <v>0</v>
      </c>
      <c r="M671" s="2994">
        <v>0</v>
      </c>
      <c r="N671" s="2994">
        <v>0</v>
      </c>
      <c r="O671" s="2994">
        <v>0</v>
      </c>
      <c r="P671" s="2994">
        <v>0</v>
      </c>
      <c r="Q671" s="2994">
        <v>0</v>
      </c>
      <c r="R671" s="2994">
        <v>0</v>
      </c>
      <c r="S671" s="2994">
        <v>0</v>
      </c>
      <c r="T671" s="2994">
        <v>0</v>
      </c>
      <c r="U671" s="2994">
        <v>0</v>
      </c>
      <c r="V671" s="2994">
        <v>0</v>
      </c>
      <c r="W671" s="2994">
        <v>0</v>
      </c>
      <c r="X671" s="2994">
        <v>0</v>
      </c>
      <c r="Y671" s="2994">
        <v>0</v>
      </c>
      <c r="Z671" s="2994">
        <v>0</v>
      </c>
      <c r="AA671" s="2994">
        <v>0</v>
      </c>
      <c r="AB671" s="2994">
        <v>0</v>
      </c>
      <c r="AC671" s="2994">
        <v>0</v>
      </c>
      <c r="AD671" s="2994">
        <v>0</v>
      </c>
      <c r="AE671" s="2994">
        <v>0</v>
      </c>
      <c r="AF671" s="2994">
        <v>0</v>
      </c>
      <c r="AG671" s="2994">
        <v>0</v>
      </c>
      <c r="AH671" s="2994">
        <v>0</v>
      </c>
      <c r="AI671" s="2994">
        <v>0</v>
      </c>
      <c r="AJ671" s="2994">
        <v>0</v>
      </c>
      <c r="AK671" s="2994">
        <v>0</v>
      </c>
      <c r="AL671" s="2994">
        <v>0</v>
      </c>
      <c r="AM671" s="2994">
        <v>0</v>
      </c>
      <c r="AN671" s="2994">
        <v>0</v>
      </c>
      <c r="AO671" s="2994">
        <v>0</v>
      </c>
      <c r="AP671" s="2994">
        <v>0</v>
      </c>
      <c r="AQ671" s="2994">
        <v>0</v>
      </c>
      <c r="AR671" s="2994">
        <v>0</v>
      </c>
      <c r="AS671" s="2994">
        <v>0</v>
      </c>
      <c r="AT671" s="2994">
        <v>0</v>
      </c>
      <c r="AU671" s="2994">
        <v>0</v>
      </c>
      <c r="AV671" s="2994">
        <v>0</v>
      </c>
      <c r="AW671" s="2994">
        <v>0</v>
      </c>
      <c r="AX671" s="2994">
        <v>0</v>
      </c>
      <c r="AY671" s="2994">
        <v>0</v>
      </c>
      <c r="AZ671" s="2994">
        <v>0</v>
      </c>
      <c r="BA671" s="2994">
        <v>0</v>
      </c>
      <c r="BB671" s="2994">
        <v>0</v>
      </c>
      <c r="BC671" s="2994">
        <v>0</v>
      </c>
      <c r="BD671" s="3471">
        <v>0</v>
      </c>
      <c r="BE671" s="3471">
        <v>0</v>
      </c>
      <c r="BF671" s="3471">
        <v>0</v>
      </c>
    </row>
    <row r="672" spans="1:58">
      <c r="A672" s="1817" t="str">
        <f t="shared" si="21"/>
        <v>Eastern AsiaBananas</v>
      </c>
      <c r="B672" s="1818" t="s">
        <v>1328</v>
      </c>
      <c r="C672" s="1818" t="s">
        <v>1336</v>
      </c>
      <c r="D672" s="3463" t="str">
        <f>VLOOKUP(B672,List_Yield!$G$4:$J$14,4,FALSE)</f>
        <v>Asia (Continental)</v>
      </c>
      <c r="E672" s="3463" t="str">
        <f t="shared" si="20"/>
        <v>Asia (Continental)Bananas</v>
      </c>
      <c r="F672" s="2994">
        <v>13.395899999999999</v>
      </c>
      <c r="G672" s="2994">
        <v>12.5106</v>
      </c>
      <c r="H672" s="2994">
        <v>9.3648000000000007</v>
      </c>
      <c r="I672" s="2994">
        <v>15.169</v>
      </c>
      <c r="J672" s="2994">
        <v>17.008800000000001</v>
      </c>
      <c r="K672" s="2994">
        <v>14.197800000000001</v>
      </c>
      <c r="L672" s="2994">
        <v>14.435499999999999</v>
      </c>
      <c r="M672" s="2994">
        <v>14.1668</v>
      </c>
      <c r="N672" s="2994">
        <v>14.8743</v>
      </c>
      <c r="O672" s="2994">
        <v>12.0511</v>
      </c>
      <c r="P672" s="2994">
        <v>14.798400000000001</v>
      </c>
      <c r="Q672" s="2994">
        <v>14.584</v>
      </c>
      <c r="R672" s="2994">
        <v>17.3902</v>
      </c>
      <c r="S672" s="2994">
        <v>17.202999999999999</v>
      </c>
      <c r="T672" s="2994">
        <v>15.758699999999999</v>
      </c>
      <c r="U672" s="2994">
        <v>18.464700000000001</v>
      </c>
      <c r="V672" s="2994">
        <v>21.5762</v>
      </c>
      <c r="W672" s="2994">
        <v>18.186599999999999</v>
      </c>
      <c r="X672" s="2994">
        <v>20.249199999999998</v>
      </c>
      <c r="Y672" s="2994">
        <v>19.232600000000001</v>
      </c>
      <c r="Z672" s="2994">
        <v>17.467099999999999</v>
      </c>
      <c r="AA672" s="2994">
        <v>18.622699999999998</v>
      </c>
      <c r="AB672" s="2994">
        <v>18.162299999999998</v>
      </c>
      <c r="AC672" s="2994">
        <v>17.588799999999999</v>
      </c>
      <c r="AD672" s="2994">
        <v>15.010400000000001</v>
      </c>
      <c r="AE672" s="2994">
        <v>17.617699999999999</v>
      </c>
      <c r="AF672" s="2994">
        <v>13.841100000000001</v>
      </c>
      <c r="AG672" s="2994">
        <v>13.641</v>
      </c>
      <c r="AH672" s="2994">
        <v>13.4452</v>
      </c>
      <c r="AI672" s="2994">
        <v>14.172599999999999</v>
      </c>
      <c r="AJ672" s="2994">
        <v>15.302099999999999</v>
      </c>
      <c r="AK672" s="2994">
        <v>13.809699999999999</v>
      </c>
      <c r="AL672" s="2994">
        <v>14.183</v>
      </c>
      <c r="AM672" s="2994">
        <v>19.3675</v>
      </c>
      <c r="AN672" s="2994">
        <v>16.6416</v>
      </c>
      <c r="AO672" s="2994">
        <v>14.7003</v>
      </c>
      <c r="AP672" s="2994">
        <v>16.378299999999999</v>
      </c>
      <c r="AQ672" s="2994">
        <v>19.930499999999999</v>
      </c>
      <c r="AR672" s="2994">
        <v>20.811900000000001</v>
      </c>
      <c r="AS672" s="2994">
        <v>19.9087</v>
      </c>
      <c r="AT672" s="2994">
        <v>21.562200000000001</v>
      </c>
      <c r="AU672" s="2994">
        <v>22.4575</v>
      </c>
      <c r="AV672" s="2994">
        <v>23.106100000000001</v>
      </c>
      <c r="AW672" s="2994">
        <v>22.691299999999998</v>
      </c>
      <c r="AX672" s="2994">
        <v>23.3764</v>
      </c>
      <c r="AY672" s="2994">
        <v>24.0501</v>
      </c>
      <c r="AZ672" s="2994">
        <v>25.291799999999999</v>
      </c>
      <c r="BA672" s="2994">
        <v>24.4483</v>
      </c>
      <c r="BB672" s="2994">
        <v>25.712700000000002</v>
      </c>
      <c r="BC672" s="2994">
        <v>26.3691</v>
      </c>
      <c r="BD672" s="3471">
        <v>26.545100000000001</v>
      </c>
      <c r="BE672" s="3471">
        <v>26.269400000000001</v>
      </c>
      <c r="BF672" s="3471">
        <v>0</v>
      </c>
    </row>
    <row r="673" spans="1:58">
      <c r="A673" s="1817" t="str">
        <f t="shared" si="21"/>
        <v>Eastern AsiaBarley</v>
      </c>
      <c r="B673" s="1818" t="s">
        <v>1328</v>
      </c>
      <c r="C673" s="1818" t="s">
        <v>1337</v>
      </c>
      <c r="D673" s="3463" t="str">
        <f>VLOOKUP(B673,List_Yield!$G$4:$J$14,4,FALSE)</f>
        <v>Asia (Continental)</v>
      </c>
      <c r="E673" s="3463" t="str">
        <f t="shared" si="20"/>
        <v>Asia (Continental)Barley</v>
      </c>
      <c r="F673" s="2994">
        <v>1.5165</v>
      </c>
      <c r="G673" s="2994">
        <v>1.4288000000000001</v>
      </c>
      <c r="H673" s="2994">
        <v>1.3426</v>
      </c>
      <c r="I673" s="2994">
        <v>1.5566</v>
      </c>
      <c r="J673" s="2994">
        <v>1.7909999999999999</v>
      </c>
      <c r="K673" s="2994">
        <v>1.6114999999999999</v>
      </c>
      <c r="L673" s="2994">
        <v>1.8986000000000001</v>
      </c>
      <c r="M673" s="2994">
        <v>1.6991000000000001</v>
      </c>
      <c r="N673" s="2994">
        <v>1.6443000000000001</v>
      </c>
      <c r="O673" s="2994">
        <v>1.6382000000000001</v>
      </c>
      <c r="P673" s="2994">
        <v>1.7486999999999999</v>
      </c>
      <c r="Q673" s="2994">
        <v>1.7425999999999999</v>
      </c>
      <c r="R673" s="2994">
        <v>1.4873000000000001</v>
      </c>
      <c r="S673" s="2994">
        <v>1.8169</v>
      </c>
      <c r="T673" s="2994">
        <v>2.1981000000000002</v>
      </c>
      <c r="U673" s="2994">
        <v>2.4066999999999998</v>
      </c>
      <c r="V673" s="2994">
        <v>1.9997</v>
      </c>
      <c r="W673" s="2994">
        <v>2.4683999999999999</v>
      </c>
      <c r="X673" s="2994">
        <v>2.8435000000000001</v>
      </c>
      <c r="Y673" s="2994">
        <v>2.3582000000000001</v>
      </c>
      <c r="Z673" s="2994">
        <v>2.6429999999999998</v>
      </c>
      <c r="AA673" s="2994">
        <v>2.8603999999999998</v>
      </c>
      <c r="AB673" s="2994">
        <v>2.6608000000000001</v>
      </c>
      <c r="AC673" s="2994">
        <v>2.8125</v>
      </c>
      <c r="AD673" s="2994">
        <v>2.7214</v>
      </c>
      <c r="AE673" s="2994">
        <v>2.431</v>
      </c>
      <c r="AF673" s="2994">
        <v>2.8102999999999998</v>
      </c>
      <c r="AG673" s="2994">
        <v>3.0531999999999999</v>
      </c>
      <c r="AH673" s="2994">
        <v>2.7096</v>
      </c>
      <c r="AI673" s="2994">
        <v>2.8081999999999998</v>
      </c>
      <c r="AJ673" s="2994">
        <v>2.5899000000000001</v>
      </c>
      <c r="AK673" s="2994">
        <v>2.7900999999999998</v>
      </c>
      <c r="AL673" s="2994">
        <v>2.8016000000000001</v>
      </c>
      <c r="AM673" s="2994">
        <v>2.8454999999999999</v>
      </c>
      <c r="AN673" s="2994">
        <v>2.7035</v>
      </c>
      <c r="AO673" s="2994">
        <v>2.7776000000000001</v>
      </c>
      <c r="AP673" s="2994">
        <v>2.7305999999999999</v>
      </c>
      <c r="AQ673" s="2994">
        <v>2.504</v>
      </c>
      <c r="AR673" s="2994">
        <v>2.6103999999999998</v>
      </c>
      <c r="AS673" s="2994">
        <v>2.5415000000000001</v>
      </c>
      <c r="AT673" s="2994">
        <v>3.7016</v>
      </c>
      <c r="AU673" s="2994">
        <v>3.5573000000000001</v>
      </c>
      <c r="AV673" s="2994">
        <v>3.4457</v>
      </c>
      <c r="AW673" s="2994">
        <v>3.9872000000000001</v>
      </c>
      <c r="AX673" s="2994">
        <v>4.0716999999999999</v>
      </c>
      <c r="AY673" s="2994">
        <v>3.7515000000000001</v>
      </c>
      <c r="AZ673" s="2994">
        <v>3.5320999999999998</v>
      </c>
      <c r="BA673" s="2994">
        <v>3.5139999999999998</v>
      </c>
      <c r="BB673" s="2994">
        <v>3.5476999999999999</v>
      </c>
      <c r="BC673" s="2994">
        <v>3.6375999999999999</v>
      </c>
      <c r="BD673" s="3471">
        <v>3.0745</v>
      </c>
      <c r="BE673" s="3471">
        <v>3.6267</v>
      </c>
      <c r="BF673" s="3471">
        <v>3.6395</v>
      </c>
    </row>
    <row r="674" spans="1:58">
      <c r="A674" s="1817" t="str">
        <f t="shared" si="21"/>
        <v>Eastern AsiaBastfibres, other</v>
      </c>
      <c r="B674" s="1818" t="s">
        <v>1328</v>
      </c>
      <c r="C674" s="1818" t="s">
        <v>7292</v>
      </c>
      <c r="D674" s="3463" t="str">
        <f>VLOOKUP(B674,List_Yield!$G$4:$J$14,4,FALSE)</f>
        <v>Asia (Continental)</v>
      </c>
      <c r="E674" s="3463" t="str">
        <f t="shared" si="20"/>
        <v>Asia (Continental)Bastfibres, other</v>
      </c>
      <c r="F674" s="2994">
        <v>1.9412</v>
      </c>
      <c r="G674" s="2994">
        <v>1.125</v>
      </c>
      <c r="H674" s="2994">
        <v>1.3717999999999999</v>
      </c>
      <c r="I674" s="2994">
        <v>1.4432</v>
      </c>
      <c r="J674" s="2994">
        <v>1.2797000000000001</v>
      </c>
      <c r="K674" s="2994">
        <v>0.8034</v>
      </c>
      <c r="L674" s="2994">
        <v>0.91100000000000003</v>
      </c>
      <c r="M674" s="2994">
        <v>1.0786</v>
      </c>
      <c r="N674" s="2994">
        <v>1</v>
      </c>
      <c r="O674" s="2994">
        <v>0.94440000000000002</v>
      </c>
      <c r="P674" s="2994">
        <v>0.93179999999999996</v>
      </c>
      <c r="Q674" s="2994">
        <v>0.91520000000000001</v>
      </c>
      <c r="R674" s="2994">
        <v>0.89849999999999997</v>
      </c>
      <c r="S674" s="2994">
        <v>0.88539999999999996</v>
      </c>
      <c r="T674" s="2994">
        <v>0.94720000000000004</v>
      </c>
      <c r="U674" s="2994">
        <v>0.91120000000000001</v>
      </c>
      <c r="V674" s="2994">
        <v>0.95830000000000004</v>
      </c>
      <c r="W674" s="2994">
        <v>1.1529</v>
      </c>
      <c r="X674" s="2994">
        <v>1.2748999999999999</v>
      </c>
      <c r="Y674" s="2994">
        <v>1.6066</v>
      </c>
      <c r="Z674" s="2994">
        <v>1.8795999999999999</v>
      </c>
      <c r="AA674" s="2994">
        <v>2</v>
      </c>
      <c r="AB674" s="2994">
        <v>2.0895999999999999</v>
      </c>
      <c r="AC674" s="2994">
        <v>2.1093999999999999</v>
      </c>
      <c r="AD674" s="2994">
        <v>2.1568999999999998</v>
      </c>
      <c r="AE674" s="2994">
        <v>2.5861999999999998</v>
      </c>
      <c r="AF674" s="2994">
        <v>2.69</v>
      </c>
      <c r="AG674" s="2994">
        <v>2.3529</v>
      </c>
      <c r="AH674" s="2994">
        <v>2.8302</v>
      </c>
      <c r="AI674" s="2994">
        <v>2.9636</v>
      </c>
      <c r="AJ674" s="2994">
        <v>2.3157999999999999</v>
      </c>
      <c r="AK674" s="2994">
        <v>2.7353000000000001</v>
      </c>
      <c r="AL674" s="2994">
        <v>3</v>
      </c>
      <c r="AM674" s="2994">
        <v>2.9091</v>
      </c>
      <c r="AN674" s="2994">
        <v>3.5945</v>
      </c>
      <c r="AO674" s="2994">
        <v>3.3978000000000002</v>
      </c>
      <c r="AP674" s="2994">
        <v>3.6471</v>
      </c>
      <c r="AQ674" s="2994">
        <v>3.7711999999999999</v>
      </c>
      <c r="AR674" s="2994">
        <v>3.3571</v>
      </c>
      <c r="AS674" s="2994">
        <v>3.2450999999999999</v>
      </c>
      <c r="AT674" s="2994">
        <v>2.6815000000000002</v>
      </c>
      <c r="AU674" s="2994">
        <v>3.8331</v>
      </c>
      <c r="AV674" s="2994">
        <v>3.3845999999999998</v>
      </c>
      <c r="AW674" s="2994">
        <v>3.7383000000000002</v>
      </c>
      <c r="AX674" s="2994">
        <v>3.6682999999999999</v>
      </c>
      <c r="AY674" s="2994">
        <v>4.2443999999999997</v>
      </c>
      <c r="AZ674" s="2994">
        <v>4.3499999999999996</v>
      </c>
      <c r="BA674" s="2994">
        <v>4.6375000000000002</v>
      </c>
      <c r="BB674" s="2994">
        <v>4.5833000000000004</v>
      </c>
      <c r="BC674" s="2994">
        <v>5.3297999999999996</v>
      </c>
      <c r="BD674" s="3471">
        <v>5.4621000000000004</v>
      </c>
      <c r="BE674" s="3471">
        <v>5.5</v>
      </c>
      <c r="BF674" s="3471">
        <v>0</v>
      </c>
    </row>
    <row r="675" spans="1:58">
      <c r="A675" s="1817" t="str">
        <f t="shared" si="21"/>
        <v>Eastern AsiaBeans, dry</v>
      </c>
      <c r="B675" s="1818" t="s">
        <v>1328</v>
      </c>
      <c r="C675" s="1818" t="s">
        <v>1338</v>
      </c>
      <c r="D675" s="3463" t="str">
        <f>VLOOKUP(B675,List_Yield!$G$4:$J$14,4,FALSE)</f>
        <v>Asia (Continental)</v>
      </c>
      <c r="E675" s="3463" t="str">
        <f t="shared" si="20"/>
        <v>Asia (Continental)Beans, dry</v>
      </c>
      <c r="F675" s="2994">
        <v>0.72119999999999995</v>
      </c>
      <c r="G675" s="2994">
        <v>0.82189999999999996</v>
      </c>
      <c r="H675" s="2994">
        <v>0.79279999999999995</v>
      </c>
      <c r="I675" s="2994">
        <v>0.7913</v>
      </c>
      <c r="J675" s="2994">
        <v>0.83160000000000001</v>
      </c>
      <c r="K675" s="2994">
        <v>0.71250000000000002</v>
      </c>
      <c r="L675" s="2994">
        <v>0.74809999999999999</v>
      </c>
      <c r="M675" s="2994">
        <v>0.7006</v>
      </c>
      <c r="N675" s="2994">
        <v>0.72140000000000004</v>
      </c>
      <c r="O675" s="2994">
        <v>0.8397</v>
      </c>
      <c r="P675" s="2994">
        <v>0.85319999999999996</v>
      </c>
      <c r="Q675" s="2994">
        <v>0.90339999999999998</v>
      </c>
      <c r="R675" s="2994">
        <v>0.94499999999999995</v>
      </c>
      <c r="S675" s="2994">
        <v>0.98660000000000003</v>
      </c>
      <c r="T675" s="2994">
        <v>0.97360000000000002</v>
      </c>
      <c r="U675" s="2994">
        <v>0.96</v>
      </c>
      <c r="V675" s="2994">
        <v>0.95909999999999995</v>
      </c>
      <c r="W675" s="2994">
        <v>1.0914999999999999</v>
      </c>
      <c r="X675" s="2994">
        <v>1.0008999999999999</v>
      </c>
      <c r="Y675" s="2994">
        <v>0.98809999999999998</v>
      </c>
      <c r="Z675" s="2994">
        <v>0.98750000000000004</v>
      </c>
      <c r="AA675" s="2994">
        <v>1.1044</v>
      </c>
      <c r="AB675" s="2994">
        <v>1.0766</v>
      </c>
      <c r="AC675" s="2994">
        <v>1.1696</v>
      </c>
      <c r="AD675" s="2994">
        <v>1.1191</v>
      </c>
      <c r="AE675" s="2994">
        <v>1.0638000000000001</v>
      </c>
      <c r="AF675" s="2994">
        <v>1.036</v>
      </c>
      <c r="AG675" s="2994">
        <v>1.2229000000000001</v>
      </c>
      <c r="AH675" s="2994">
        <v>1.0186999999999999</v>
      </c>
      <c r="AI675" s="2994">
        <v>1.3817999999999999</v>
      </c>
      <c r="AJ675" s="2994">
        <v>1.0189999999999999</v>
      </c>
      <c r="AK675" s="2994">
        <v>0.97070000000000001</v>
      </c>
      <c r="AL675" s="2994">
        <v>1.0232000000000001</v>
      </c>
      <c r="AM675" s="2994">
        <v>1.0545</v>
      </c>
      <c r="AN675" s="2994">
        <v>1.0913999999999999</v>
      </c>
      <c r="AO675" s="2994">
        <v>1.2071000000000001</v>
      </c>
      <c r="AP675" s="2994">
        <v>1.1778</v>
      </c>
      <c r="AQ675" s="2994">
        <v>1.2335</v>
      </c>
      <c r="AR675" s="2994">
        <v>1.3367</v>
      </c>
      <c r="AS675" s="2994">
        <v>1.2801</v>
      </c>
      <c r="AT675" s="2994">
        <v>1.2613000000000001</v>
      </c>
      <c r="AU675" s="2994">
        <v>1.3295999999999999</v>
      </c>
      <c r="AV675" s="2994">
        <v>1.4255</v>
      </c>
      <c r="AW675" s="2994">
        <v>1.4000999999999999</v>
      </c>
      <c r="AX675" s="2994">
        <v>1.3629</v>
      </c>
      <c r="AY675" s="2994">
        <v>1.4375</v>
      </c>
      <c r="AZ675" s="2994">
        <v>1.3855</v>
      </c>
      <c r="BA675" s="2994">
        <v>1.4990000000000001</v>
      </c>
      <c r="BB675" s="2994">
        <v>1.4305000000000001</v>
      </c>
      <c r="BC675" s="2994">
        <v>1.2914000000000001</v>
      </c>
      <c r="BD675" s="3471">
        <v>1.4916</v>
      </c>
      <c r="BE675" s="3471">
        <v>1.5066999999999999</v>
      </c>
      <c r="BF675" s="3471">
        <v>1.4294</v>
      </c>
    </row>
    <row r="676" spans="1:58">
      <c r="A676" s="1817" t="str">
        <f t="shared" si="21"/>
        <v>Eastern AsiaBeans, green</v>
      </c>
      <c r="B676" s="1818" t="s">
        <v>1328</v>
      </c>
      <c r="C676" s="1818" t="s">
        <v>1339</v>
      </c>
      <c r="D676" s="3463" t="str">
        <f>VLOOKUP(B676,List_Yield!$G$4:$J$14,4,FALSE)</f>
        <v>Asia (Continental)</v>
      </c>
      <c r="E676" s="3463" t="str">
        <f t="shared" si="20"/>
        <v>Asia (Continental)Beans, green</v>
      </c>
      <c r="F676" s="2994">
        <v>8.0633999999999997</v>
      </c>
      <c r="G676" s="2994">
        <v>8.1769999999999996</v>
      </c>
      <c r="H676" s="2994">
        <v>7.8571999999999997</v>
      </c>
      <c r="I676" s="2994">
        <v>7.7502000000000004</v>
      </c>
      <c r="J676" s="2994">
        <v>7.7737999999999996</v>
      </c>
      <c r="K676" s="2994">
        <v>7.7996999999999996</v>
      </c>
      <c r="L676" s="2994">
        <v>7.8197999999999999</v>
      </c>
      <c r="M676" s="2994">
        <v>7.5339999999999998</v>
      </c>
      <c r="N676" s="2994">
        <v>7.4802999999999997</v>
      </c>
      <c r="O676" s="2994">
        <v>7.3342000000000001</v>
      </c>
      <c r="P676" s="2994">
        <v>7.1292</v>
      </c>
      <c r="Q676" s="2994">
        <v>7.3886000000000003</v>
      </c>
      <c r="R676" s="2994">
        <v>7.6642999999999999</v>
      </c>
      <c r="S676" s="2994">
        <v>7.7087000000000003</v>
      </c>
      <c r="T676" s="2994">
        <v>7.7450000000000001</v>
      </c>
      <c r="U676" s="2994">
        <v>7.8856000000000002</v>
      </c>
      <c r="V676" s="2994">
        <v>7.8178000000000001</v>
      </c>
      <c r="W676" s="2994">
        <v>8.4504999999999999</v>
      </c>
      <c r="X676" s="2994">
        <v>9.0832999999999995</v>
      </c>
      <c r="Y676" s="2994">
        <v>10.2989</v>
      </c>
      <c r="Z676" s="2994">
        <v>9.5877999999999997</v>
      </c>
      <c r="AA676" s="2994">
        <v>9.6969999999999992</v>
      </c>
      <c r="AB676" s="2994">
        <v>9.1643000000000008</v>
      </c>
      <c r="AC676" s="2994">
        <v>9.5795999999999992</v>
      </c>
      <c r="AD676" s="2994">
        <v>9.8587000000000007</v>
      </c>
      <c r="AE676" s="2994">
        <v>8.6529000000000007</v>
      </c>
      <c r="AF676" s="2994">
        <v>8.2414000000000005</v>
      </c>
      <c r="AG676" s="2994">
        <v>8.8656000000000006</v>
      </c>
      <c r="AH676" s="2994">
        <v>9.3231000000000002</v>
      </c>
      <c r="AI676" s="2994">
        <v>9.3721999999999994</v>
      </c>
      <c r="AJ676" s="2994">
        <v>9.9082000000000008</v>
      </c>
      <c r="AK676" s="2994">
        <v>10.292299999999999</v>
      </c>
      <c r="AL676" s="2994">
        <v>14.1662</v>
      </c>
      <c r="AM676" s="2994">
        <v>14.176299999999999</v>
      </c>
      <c r="AN676" s="2994">
        <v>15.869199999999999</v>
      </c>
      <c r="AO676" s="2994">
        <v>16.134499999999999</v>
      </c>
      <c r="AP676" s="2994">
        <v>16.271000000000001</v>
      </c>
      <c r="AQ676" s="2994">
        <v>16.076499999999999</v>
      </c>
      <c r="AR676" s="2994">
        <v>16.547999999999998</v>
      </c>
      <c r="AS676" s="2994">
        <v>15.3073</v>
      </c>
      <c r="AT676" s="2994">
        <v>15.9604</v>
      </c>
      <c r="AU676" s="2994">
        <v>16.435500000000001</v>
      </c>
      <c r="AV676" s="2994">
        <v>17.988700000000001</v>
      </c>
      <c r="AW676" s="2994">
        <v>18.509599999999999</v>
      </c>
      <c r="AX676" s="2994">
        <v>20.7013</v>
      </c>
      <c r="AY676" s="2994">
        <v>22.6693</v>
      </c>
      <c r="AZ676" s="2994">
        <v>23.7454</v>
      </c>
      <c r="BA676" s="2994">
        <v>24.581099999999999</v>
      </c>
      <c r="BB676" s="2994">
        <v>25.466000000000001</v>
      </c>
      <c r="BC676" s="2994">
        <v>25.489699999999999</v>
      </c>
      <c r="BD676" s="3471">
        <v>25.508700000000001</v>
      </c>
      <c r="BE676" s="3471">
        <v>25.896100000000001</v>
      </c>
      <c r="BF676" s="3471">
        <v>0</v>
      </c>
    </row>
    <row r="677" spans="1:58">
      <c r="A677" s="1817" t="str">
        <f t="shared" si="21"/>
        <v>Eastern AsiaBerries nes</v>
      </c>
      <c r="B677" s="1818" t="s">
        <v>1328</v>
      </c>
      <c r="C677" s="1818" t="s">
        <v>7293</v>
      </c>
      <c r="D677" s="3463" t="str">
        <f>VLOOKUP(B677,List_Yield!$G$4:$J$14,4,FALSE)</f>
        <v>Asia (Continental)</v>
      </c>
      <c r="E677" s="3463" t="str">
        <f t="shared" si="20"/>
        <v>Asia (Continental)Berries nes</v>
      </c>
      <c r="F677" s="2994">
        <v>2.2222</v>
      </c>
      <c r="G677" s="2994">
        <v>2.6667000000000001</v>
      </c>
      <c r="H677" s="2994">
        <v>3.3332999999999999</v>
      </c>
      <c r="I677" s="2994">
        <v>2.6667000000000001</v>
      </c>
      <c r="J677" s="2994">
        <v>3.1111</v>
      </c>
      <c r="K677" s="2994">
        <v>3.3332999999999999</v>
      </c>
      <c r="L677" s="2994">
        <v>3.3332999999999999</v>
      </c>
      <c r="M677" s="2994">
        <v>3.5556000000000001</v>
      </c>
      <c r="N677" s="2994">
        <v>4.4443999999999999</v>
      </c>
      <c r="O677" s="2994">
        <v>2.5714000000000001</v>
      </c>
      <c r="P677" s="2994">
        <v>2.8571</v>
      </c>
      <c r="Q677" s="2994">
        <v>2.7143000000000002</v>
      </c>
      <c r="R677" s="2994">
        <v>3.1429</v>
      </c>
      <c r="S677" s="2994">
        <v>3.5714000000000001</v>
      </c>
      <c r="T677" s="2994">
        <v>3.5714000000000001</v>
      </c>
      <c r="U677" s="2994">
        <v>4.2857000000000003</v>
      </c>
      <c r="V677" s="2994">
        <v>4.3076999999999996</v>
      </c>
      <c r="W677" s="2994">
        <v>4</v>
      </c>
      <c r="X677" s="2994">
        <v>4.6154000000000002</v>
      </c>
      <c r="Y677" s="2994">
        <v>4.3076999999999996</v>
      </c>
      <c r="Z677" s="2994">
        <v>4.6154000000000002</v>
      </c>
      <c r="AA677" s="2994">
        <v>4.9230999999999998</v>
      </c>
      <c r="AB677" s="2994">
        <v>5.3845999999999998</v>
      </c>
      <c r="AC677" s="2994">
        <v>5.2308000000000003</v>
      </c>
      <c r="AD677" s="2994">
        <v>5.3845999999999998</v>
      </c>
      <c r="AE677" s="2994">
        <v>5.2308000000000003</v>
      </c>
      <c r="AF677" s="2994">
        <v>5.2381000000000002</v>
      </c>
      <c r="AG677" s="2994">
        <v>9.4285999999999994</v>
      </c>
      <c r="AH677" s="2994">
        <v>8.75</v>
      </c>
      <c r="AI677" s="2994">
        <v>9.75</v>
      </c>
      <c r="AJ677" s="2994">
        <v>9.6386000000000003</v>
      </c>
      <c r="AK677" s="2994">
        <v>10</v>
      </c>
      <c r="AL677" s="2994">
        <v>10.7692</v>
      </c>
      <c r="AM677" s="2994">
        <v>11.875</v>
      </c>
      <c r="AN677" s="2994">
        <v>12.333299999999999</v>
      </c>
      <c r="AO677" s="2994">
        <v>11.466699999999999</v>
      </c>
      <c r="AP677" s="2994">
        <v>11.5</v>
      </c>
      <c r="AQ677" s="2994">
        <v>10.75</v>
      </c>
      <c r="AR677" s="2994">
        <v>11.4</v>
      </c>
      <c r="AS677" s="2994">
        <v>8.6667000000000005</v>
      </c>
      <c r="AT677" s="2994">
        <v>9.3332999999999995</v>
      </c>
      <c r="AU677" s="2994">
        <v>9.5</v>
      </c>
      <c r="AV677" s="2994">
        <v>10</v>
      </c>
      <c r="AW677" s="2994">
        <v>10.5</v>
      </c>
      <c r="AX677" s="2994">
        <v>11.428599999999999</v>
      </c>
      <c r="AY677" s="2994">
        <v>11.857100000000001</v>
      </c>
      <c r="AZ677" s="2994">
        <v>12</v>
      </c>
      <c r="BA677" s="2994">
        <v>11.25</v>
      </c>
      <c r="BB677" s="2994">
        <v>10.952400000000001</v>
      </c>
      <c r="BC677" s="2994">
        <v>11.2791</v>
      </c>
      <c r="BD677" s="3471">
        <v>10.8889</v>
      </c>
      <c r="BE677" s="3471">
        <v>10.752700000000001</v>
      </c>
      <c r="BF677" s="3471">
        <v>0</v>
      </c>
    </row>
    <row r="678" spans="1:58">
      <c r="A678" s="1817" t="str">
        <f t="shared" si="21"/>
        <v>Eastern AsiaBlueberries</v>
      </c>
      <c r="B678" s="1818" t="s">
        <v>1328</v>
      </c>
      <c r="C678" s="1818" t="s">
        <v>7294</v>
      </c>
      <c r="D678" s="3463" t="str">
        <f>VLOOKUP(B678,List_Yield!$G$4:$J$14,4,FALSE)</f>
        <v>Asia (Continental)</v>
      </c>
      <c r="E678" s="3463" t="str">
        <f t="shared" si="20"/>
        <v>Asia (Continental)Blueberries</v>
      </c>
      <c r="F678" s="2994">
        <v>0</v>
      </c>
      <c r="G678" s="2994">
        <v>0</v>
      </c>
      <c r="H678" s="2994">
        <v>0</v>
      </c>
      <c r="I678" s="2994">
        <v>0</v>
      </c>
      <c r="J678" s="2994">
        <v>0</v>
      </c>
      <c r="K678" s="2994">
        <v>0</v>
      </c>
      <c r="L678" s="2994">
        <v>0</v>
      </c>
      <c r="M678" s="2994">
        <v>0</v>
      </c>
      <c r="N678" s="2994">
        <v>0</v>
      </c>
      <c r="O678" s="2994">
        <v>0</v>
      </c>
      <c r="P678" s="2994">
        <v>0</v>
      </c>
      <c r="Q678" s="2994">
        <v>0</v>
      </c>
      <c r="R678" s="2994">
        <v>0</v>
      </c>
      <c r="S678" s="2994">
        <v>0</v>
      </c>
      <c r="T678" s="2994">
        <v>0</v>
      </c>
      <c r="U678" s="2994">
        <v>0</v>
      </c>
      <c r="V678" s="2994">
        <v>0</v>
      </c>
      <c r="W678" s="2994">
        <v>0</v>
      </c>
      <c r="X678" s="2994">
        <v>0</v>
      </c>
      <c r="Y678" s="2994">
        <v>0</v>
      </c>
      <c r="Z678" s="2994">
        <v>0</v>
      </c>
      <c r="AA678" s="2994">
        <v>0</v>
      </c>
      <c r="AB678" s="2994">
        <v>0</v>
      </c>
      <c r="AC678" s="2994">
        <v>0</v>
      </c>
      <c r="AD678" s="2994">
        <v>0</v>
      </c>
      <c r="AE678" s="2994">
        <v>0</v>
      </c>
      <c r="AF678" s="2994">
        <v>0</v>
      </c>
      <c r="AG678" s="2994">
        <v>0</v>
      </c>
      <c r="AH678" s="2994">
        <v>0</v>
      </c>
      <c r="AI678" s="2994">
        <v>0</v>
      </c>
      <c r="AJ678" s="2994">
        <v>0</v>
      </c>
      <c r="AK678" s="2994">
        <v>0</v>
      </c>
      <c r="AL678" s="2994">
        <v>0</v>
      </c>
      <c r="AM678" s="2994">
        <v>0</v>
      </c>
      <c r="AN678" s="2994">
        <v>0</v>
      </c>
      <c r="AO678" s="2994">
        <v>0</v>
      </c>
      <c r="AP678" s="2994">
        <v>0</v>
      </c>
      <c r="AQ678" s="2994">
        <v>0</v>
      </c>
      <c r="AR678" s="2994">
        <v>0</v>
      </c>
      <c r="AS678" s="2994">
        <v>0</v>
      </c>
      <c r="AT678" s="2994">
        <v>0</v>
      </c>
      <c r="AU678" s="2994">
        <v>0</v>
      </c>
      <c r="AV678" s="2994">
        <v>0</v>
      </c>
      <c r="AW678" s="2994">
        <v>0</v>
      </c>
      <c r="AX678" s="2994">
        <v>0</v>
      </c>
      <c r="AY678" s="2994">
        <v>0</v>
      </c>
      <c r="AZ678" s="2994">
        <v>0</v>
      </c>
      <c r="BA678" s="2994">
        <v>0</v>
      </c>
      <c r="BB678" s="2994">
        <v>0</v>
      </c>
      <c r="BC678" s="2994">
        <v>0</v>
      </c>
      <c r="BD678" s="3471">
        <v>0</v>
      </c>
      <c r="BE678" s="3471">
        <v>0</v>
      </c>
      <c r="BF678" s="3471">
        <v>0</v>
      </c>
    </row>
    <row r="679" spans="1:58">
      <c r="A679" s="1817" t="str">
        <f t="shared" si="21"/>
        <v>Eastern AsiaBrazil nuts, with shell</v>
      </c>
      <c r="B679" s="1818" t="s">
        <v>1328</v>
      </c>
      <c r="C679" s="1818" t="s">
        <v>7295</v>
      </c>
      <c r="D679" s="3463" t="str">
        <f>VLOOKUP(B679,List_Yield!$G$4:$J$14,4,FALSE)</f>
        <v>Asia (Continental)</v>
      </c>
      <c r="E679" s="3463" t="str">
        <f t="shared" si="20"/>
        <v>Asia (Continental)Brazil nuts, with shell</v>
      </c>
      <c r="F679" s="2994">
        <v>0</v>
      </c>
      <c r="G679" s="2994">
        <v>0</v>
      </c>
      <c r="H679" s="2994">
        <v>0</v>
      </c>
      <c r="I679" s="2994">
        <v>0</v>
      </c>
      <c r="J679" s="2994">
        <v>0</v>
      </c>
      <c r="K679" s="2994">
        <v>0</v>
      </c>
      <c r="L679" s="2994">
        <v>0</v>
      </c>
      <c r="M679" s="2994">
        <v>0</v>
      </c>
      <c r="N679" s="2994">
        <v>0</v>
      </c>
      <c r="O679" s="2994">
        <v>0</v>
      </c>
      <c r="P679" s="2994">
        <v>0</v>
      </c>
      <c r="Q679" s="2994">
        <v>0</v>
      </c>
      <c r="R679" s="2994">
        <v>0</v>
      </c>
      <c r="S679" s="2994">
        <v>0</v>
      </c>
      <c r="T679" s="2994">
        <v>0</v>
      </c>
      <c r="U679" s="2994">
        <v>0</v>
      </c>
      <c r="V679" s="2994">
        <v>0</v>
      </c>
      <c r="W679" s="2994">
        <v>0</v>
      </c>
      <c r="X679" s="2994">
        <v>0</v>
      </c>
      <c r="Y679" s="2994">
        <v>0</v>
      </c>
      <c r="Z679" s="2994">
        <v>0</v>
      </c>
      <c r="AA679" s="2994">
        <v>0</v>
      </c>
      <c r="AB679" s="2994">
        <v>0</v>
      </c>
      <c r="AC679" s="2994">
        <v>0</v>
      </c>
      <c r="AD679" s="2994">
        <v>0</v>
      </c>
      <c r="AE679" s="2994">
        <v>0</v>
      </c>
      <c r="AF679" s="2994">
        <v>0</v>
      </c>
      <c r="AG679" s="2994">
        <v>0</v>
      </c>
      <c r="AH679" s="2994">
        <v>0</v>
      </c>
      <c r="AI679" s="2994">
        <v>0</v>
      </c>
      <c r="AJ679" s="2994">
        <v>0</v>
      </c>
      <c r="AK679" s="2994">
        <v>0</v>
      </c>
      <c r="AL679" s="2994">
        <v>0</v>
      </c>
      <c r="AM679" s="2994">
        <v>0</v>
      </c>
      <c r="AN679" s="2994">
        <v>0</v>
      </c>
      <c r="AO679" s="2994">
        <v>0</v>
      </c>
      <c r="AP679" s="2994">
        <v>0</v>
      </c>
      <c r="AQ679" s="2994">
        <v>0</v>
      </c>
      <c r="AR679" s="2994">
        <v>0</v>
      </c>
      <c r="AS679" s="2994">
        <v>0</v>
      </c>
      <c r="AT679" s="2994">
        <v>0</v>
      </c>
      <c r="AU679" s="2994">
        <v>0</v>
      </c>
      <c r="AV679" s="2994">
        <v>0</v>
      </c>
      <c r="AW679" s="2994">
        <v>0</v>
      </c>
      <c r="AX679" s="2994">
        <v>0</v>
      </c>
      <c r="AY679" s="2994">
        <v>0</v>
      </c>
      <c r="AZ679" s="2994">
        <v>0</v>
      </c>
      <c r="BA679" s="2994">
        <v>0</v>
      </c>
      <c r="BB679" s="2994">
        <v>0</v>
      </c>
      <c r="BC679" s="2994">
        <v>0</v>
      </c>
      <c r="BD679" s="3471">
        <v>0</v>
      </c>
      <c r="BE679" s="3471">
        <v>0</v>
      </c>
      <c r="BF679" s="3471">
        <v>0</v>
      </c>
    </row>
    <row r="680" spans="1:58">
      <c r="A680" s="1817" t="str">
        <f t="shared" si="21"/>
        <v>Eastern AsiaBroad beans, horse beans, dry</v>
      </c>
      <c r="B680" s="1818" t="s">
        <v>1328</v>
      </c>
      <c r="C680" s="1818" t="s">
        <v>7296</v>
      </c>
      <c r="D680" s="3463" t="str">
        <f>VLOOKUP(B680,List_Yield!$G$4:$J$14,4,FALSE)</f>
        <v>Asia (Continental)</v>
      </c>
      <c r="E680" s="3463" t="str">
        <f t="shared" si="20"/>
        <v>Asia (Continental)Broad beans, horse beans, dry</v>
      </c>
      <c r="F680" s="2994">
        <v>0.9486</v>
      </c>
      <c r="G680" s="2994">
        <v>1.0477000000000001</v>
      </c>
      <c r="H680" s="2994">
        <v>1.0902000000000001</v>
      </c>
      <c r="I680" s="2994">
        <v>1.1713</v>
      </c>
      <c r="J680" s="2994">
        <v>1.1669</v>
      </c>
      <c r="K680" s="2994">
        <v>0.9042</v>
      </c>
      <c r="L680" s="2994">
        <v>0.90339999999999998</v>
      </c>
      <c r="M680" s="2994">
        <v>0.8075</v>
      </c>
      <c r="N680" s="2994">
        <v>0.80079999999999996</v>
      </c>
      <c r="O680" s="2994">
        <v>0.87160000000000004</v>
      </c>
      <c r="P680" s="2994">
        <v>1.0003</v>
      </c>
      <c r="Q680" s="2994">
        <v>0.96030000000000004</v>
      </c>
      <c r="R680" s="2994">
        <v>1.0001</v>
      </c>
      <c r="S680" s="2994">
        <v>1.0435000000000001</v>
      </c>
      <c r="T680" s="2994">
        <v>1.0435000000000001</v>
      </c>
      <c r="U680" s="2994">
        <v>1.087</v>
      </c>
      <c r="V680" s="2994">
        <v>1.0436000000000001</v>
      </c>
      <c r="W680" s="2994">
        <v>1.2381</v>
      </c>
      <c r="X680" s="2994">
        <v>1.1738999999999999</v>
      </c>
      <c r="Y680" s="2994">
        <v>1.1737</v>
      </c>
      <c r="Z680" s="2994">
        <v>1.1363000000000001</v>
      </c>
      <c r="AA680" s="2994">
        <v>1.3682000000000001</v>
      </c>
      <c r="AB680" s="2994">
        <v>1.1978</v>
      </c>
      <c r="AC680" s="2994">
        <v>1.3471</v>
      </c>
      <c r="AD680" s="2994">
        <v>1.294</v>
      </c>
      <c r="AE680" s="2994">
        <v>1.294</v>
      </c>
      <c r="AF680" s="2994">
        <v>1.294</v>
      </c>
      <c r="AG680" s="2994">
        <v>1.6248</v>
      </c>
      <c r="AH680" s="2994">
        <v>1.3124</v>
      </c>
      <c r="AI680" s="2994">
        <v>1.7596000000000001</v>
      </c>
      <c r="AJ680" s="2994">
        <v>1.5058</v>
      </c>
      <c r="AK680" s="2994">
        <v>1.1628000000000001</v>
      </c>
      <c r="AL680" s="2994">
        <v>1.7498</v>
      </c>
      <c r="AM680" s="2994">
        <v>1.724</v>
      </c>
      <c r="AN680" s="2994">
        <v>1.7898000000000001</v>
      </c>
      <c r="AO680" s="2994">
        <v>1.9248000000000001</v>
      </c>
      <c r="AP680" s="2994">
        <v>1.5999000000000001</v>
      </c>
      <c r="AQ680" s="2994">
        <v>1.6979</v>
      </c>
      <c r="AR680" s="2994">
        <v>1.6511</v>
      </c>
      <c r="AS680" s="2994">
        <v>1.5547</v>
      </c>
      <c r="AT680" s="2994">
        <v>1.4717</v>
      </c>
      <c r="AU680" s="2994">
        <v>1.6798999999999999</v>
      </c>
      <c r="AV680" s="2994">
        <v>1.8151999999999999</v>
      </c>
      <c r="AW680" s="2994">
        <v>1.7037</v>
      </c>
      <c r="AX680" s="2994">
        <v>1.9137999999999999</v>
      </c>
      <c r="AY680" s="2994">
        <v>1.9771000000000001</v>
      </c>
      <c r="AZ680" s="2994">
        <v>1.6839</v>
      </c>
      <c r="BA680" s="2994">
        <v>1.9047000000000001</v>
      </c>
      <c r="BB680" s="2994">
        <v>1.8855999999999999</v>
      </c>
      <c r="BC680" s="2994">
        <v>1.6091</v>
      </c>
      <c r="BD680" s="3471">
        <v>1.7774000000000001</v>
      </c>
      <c r="BE680" s="3471">
        <v>1.6053999999999999</v>
      </c>
      <c r="BF680" s="3471">
        <v>1.5184</v>
      </c>
    </row>
    <row r="681" spans="1:58">
      <c r="A681" s="1817" t="str">
        <f t="shared" si="21"/>
        <v>Eastern AsiaBuckwheat</v>
      </c>
      <c r="B681" s="1818" t="s">
        <v>1328</v>
      </c>
      <c r="C681" s="1818" t="s">
        <v>7297</v>
      </c>
      <c r="D681" s="3463" t="str">
        <f>VLOOKUP(B681,List_Yield!$G$4:$J$14,4,FALSE)</f>
        <v>Asia (Continental)</v>
      </c>
      <c r="E681" s="3463" t="str">
        <f t="shared" si="20"/>
        <v>Asia (Continental)Buckwheat</v>
      </c>
      <c r="F681" s="2994">
        <v>0.60389999999999999</v>
      </c>
      <c r="G681" s="2994">
        <v>0.51900000000000002</v>
      </c>
      <c r="H681" s="2994">
        <v>0.52529999999999999</v>
      </c>
      <c r="I681" s="2994">
        <v>0.56189999999999996</v>
      </c>
      <c r="J681" s="2994">
        <v>0.68159999999999998</v>
      </c>
      <c r="K681" s="2994">
        <v>0.57479999999999998</v>
      </c>
      <c r="L681" s="2994">
        <v>0.66969999999999996</v>
      </c>
      <c r="M681" s="2994">
        <v>0.68169999999999997</v>
      </c>
      <c r="N681" s="2994">
        <v>0.69340000000000002</v>
      </c>
      <c r="O681" s="2994">
        <v>0.75129999999999997</v>
      </c>
      <c r="P681" s="2994">
        <v>0.86960000000000004</v>
      </c>
      <c r="Q681" s="2994">
        <v>0.81850000000000001</v>
      </c>
      <c r="R681" s="2994">
        <v>0.98540000000000005</v>
      </c>
      <c r="S681" s="2994">
        <v>1.1312</v>
      </c>
      <c r="T681" s="2994">
        <v>1.3267</v>
      </c>
      <c r="U681" s="2994">
        <v>1.2787999999999999</v>
      </c>
      <c r="V681" s="2994">
        <v>1.1084000000000001</v>
      </c>
      <c r="W681" s="2994">
        <v>1.2697000000000001</v>
      </c>
      <c r="X681" s="2994">
        <v>1.5201</v>
      </c>
      <c r="Y681" s="2994">
        <v>1.2685</v>
      </c>
      <c r="Z681" s="2994">
        <v>1.4334</v>
      </c>
      <c r="AA681" s="2994">
        <v>1.5795999999999999</v>
      </c>
      <c r="AB681" s="2994">
        <v>1.3908</v>
      </c>
      <c r="AC681" s="2994">
        <v>1.5102</v>
      </c>
      <c r="AD681" s="2994">
        <v>1.2451000000000001</v>
      </c>
      <c r="AE681" s="2994">
        <v>1.1246</v>
      </c>
      <c r="AF681" s="2994">
        <v>1.3017000000000001</v>
      </c>
      <c r="AG681" s="2994">
        <v>1.1802999999999999</v>
      </c>
      <c r="AH681" s="2994">
        <v>1.1651</v>
      </c>
      <c r="AI681" s="2994">
        <v>1.2565</v>
      </c>
      <c r="AJ681" s="2994">
        <v>1.4561999999999999</v>
      </c>
      <c r="AK681" s="2994">
        <v>1.5478000000000001</v>
      </c>
      <c r="AL681" s="2994">
        <v>1.7253000000000001</v>
      </c>
      <c r="AM681" s="2994">
        <v>1.8046</v>
      </c>
      <c r="AN681" s="2994">
        <v>1.8122</v>
      </c>
      <c r="AO681" s="2994">
        <v>1.8086</v>
      </c>
      <c r="AP681" s="2994">
        <v>2.0246</v>
      </c>
      <c r="AQ681" s="2994">
        <v>1.8046</v>
      </c>
      <c r="AR681" s="2994">
        <v>1.6504000000000001</v>
      </c>
      <c r="AS681" s="2994">
        <v>1.6645000000000001</v>
      </c>
      <c r="AT681" s="2994">
        <v>1.1460999999999999</v>
      </c>
      <c r="AU681" s="2994">
        <v>1.1020000000000001</v>
      </c>
      <c r="AV681" s="2994">
        <v>1.5809</v>
      </c>
      <c r="AW681" s="2994">
        <v>1.0909</v>
      </c>
      <c r="AX681" s="2994">
        <v>0.88929999999999998</v>
      </c>
      <c r="AY681" s="2994">
        <v>0.52039999999999997</v>
      </c>
      <c r="AZ681" s="2994">
        <v>0.85</v>
      </c>
      <c r="BA681" s="2994">
        <v>0.85929999999999995</v>
      </c>
      <c r="BB681" s="2994">
        <v>0.76139999999999997</v>
      </c>
      <c r="BC681" s="2994">
        <v>0.70909999999999995</v>
      </c>
      <c r="BD681" s="3471">
        <v>0.88539999999999996</v>
      </c>
      <c r="BE681" s="3471">
        <v>0.9778</v>
      </c>
      <c r="BF681" s="3471">
        <v>0.99939999999999996</v>
      </c>
    </row>
    <row r="682" spans="1:58">
      <c r="A682" s="1817" t="str">
        <f t="shared" si="21"/>
        <v>Eastern AsiaCabbages and other brassicas</v>
      </c>
      <c r="B682" s="1818" t="s">
        <v>1328</v>
      </c>
      <c r="C682" s="1818" t="s">
        <v>7298</v>
      </c>
      <c r="D682" s="3463" t="str">
        <f>VLOOKUP(B682,List_Yield!$G$4:$J$14,4,FALSE)</f>
        <v>Asia (Continental)</v>
      </c>
      <c r="E682" s="3463" t="str">
        <f t="shared" si="20"/>
        <v>Asia (Continental)Cabbages and other brassicas</v>
      </c>
      <c r="F682" s="2994">
        <v>15.556900000000001</v>
      </c>
      <c r="G682" s="2994">
        <v>16.235499999999998</v>
      </c>
      <c r="H682" s="2994">
        <v>17.8001</v>
      </c>
      <c r="I682" s="2994">
        <v>18.302299999999999</v>
      </c>
      <c r="J682" s="2994">
        <v>19.4299</v>
      </c>
      <c r="K682" s="2994">
        <v>20.089099999999998</v>
      </c>
      <c r="L682" s="2994">
        <v>20.1874</v>
      </c>
      <c r="M682" s="2994">
        <v>22.139900000000001</v>
      </c>
      <c r="N682" s="2994">
        <v>22.023499999999999</v>
      </c>
      <c r="O682" s="2994">
        <v>21.833500000000001</v>
      </c>
      <c r="P682" s="2994">
        <v>22.507200000000001</v>
      </c>
      <c r="Q682" s="2994">
        <v>22.339700000000001</v>
      </c>
      <c r="R682" s="2994">
        <v>22.0246</v>
      </c>
      <c r="S682" s="2994">
        <v>22.977699999999999</v>
      </c>
      <c r="T682" s="2994">
        <v>28.657599999999999</v>
      </c>
      <c r="U682" s="2994">
        <v>30.868600000000001</v>
      </c>
      <c r="V682" s="2994">
        <v>30.0093</v>
      </c>
      <c r="W682" s="2994">
        <v>31.5701</v>
      </c>
      <c r="X682" s="2994">
        <v>29.072199999999999</v>
      </c>
      <c r="Y682" s="2994">
        <v>28.693000000000001</v>
      </c>
      <c r="Z682" s="2994">
        <v>29.8093</v>
      </c>
      <c r="AA682" s="2994">
        <v>30.323699999999999</v>
      </c>
      <c r="AB682" s="2994">
        <v>28.761500000000002</v>
      </c>
      <c r="AC682" s="2994">
        <v>29.440300000000001</v>
      </c>
      <c r="AD682" s="2994">
        <v>28.054300000000001</v>
      </c>
      <c r="AE682" s="2994">
        <v>29.328099999999999</v>
      </c>
      <c r="AF682" s="2994">
        <v>27.9985</v>
      </c>
      <c r="AG682" s="2994">
        <v>27.741399999999999</v>
      </c>
      <c r="AH682" s="2994">
        <v>28.768799999999999</v>
      </c>
      <c r="AI682" s="2994">
        <v>30.118500000000001</v>
      </c>
      <c r="AJ682" s="2994">
        <v>29.099799999999998</v>
      </c>
      <c r="AK682" s="2994">
        <v>29.089300000000001</v>
      </c>
      <c r="AL682" s="2994">
        <v>28.458300000000001</v>
      </c>
      <c r="AM682" s="2994">
        <v>27.515799999999999</v>
      </c>
      <c r="AN682" s="2994">
        <v>28.267600000000002</v>
      </c>
      <c r="AO682" s="2994">
        <v>26.474399999999999</v>
      </c>
      <c r="AP682" s="2994">
        <v>25.260300000000001</v>
      </c>
      <c r="AQ682" s="2994">
        <v>23.310300000000002</v>
      </c>
      <c r="AR682" s="2994">
        <v>21.936900000000001</v>
      </c>
      <c r="AS682" s="2994">
        <v>34.385899999999999</v>
      </c>
      <c r="AT682" s="2994">
        <v>34.383299999999998</v>
      </c>
      <c r="AU682" s="2994">
        <v>34.613399999999999</v>
      </c>
      <c r="AV682" s="2994">
        <v>34.399700000000003</v>
      </c>
      <c r="AW682" s="2994">
        <v>34.724200000000003</v>
      </c>
      <c r="AX682" s="2994">
        <v>34.623600000000003</v>
      </c>
      <c r="AY682" s="2994">
        <v>35.816200000000002</v>
      </c>
      <c r="AZ682" s="2994">
        <v>35.139200000000002</v>
      </c>
      <c r="BA682" s="2994">
        <v>35.778599999999997</v>
      </c>
      <c r="BB682" s="2994">
        <v>35.86</v>
      </c>
      <c r="BC682" s="2994">
        <v>35.190199999999997</v>
      </c>
      <c r="BD682" s="3471">
        <v>35.954599999999999</v>
      </c>
      <c r="BE682" s="3471">
        <v>35.298999999999999</v>
      </c>
      <c r="BF682" s="3471">
        <v>0</v>
      </c>
    </row>
    <row r="683" spans="1:58">
      <c r="A683" s="1817" t="str">
        <f t="shared" si="21"/>
        <v>Eastern AsiaCanary seed</v>
      </c>
      <c r="B683" s="1818" t="s">
        <v>1328</v>
      </c>
      <c r="C683" s="1818" t="s">
        <v>7299</v>
      </c>
      <c r="D683" s="3463" t="str">
        <f>VLOOKUP(B683,List_Yield!$G$4:$J$14,4,FALSE)</f>
        <v>Asia (Continental)</v>
      </c>
      <c r="E683" s="3463" t="str">
        <f t="shared" si="20"/>
        <v>Asia (Continental)Canary seed</v>
      </c>
      <c r="F683" s="2994">
        <v>0</v>
      </c>
      <c r="G683" s="2994">
        <v>0</v>
      </c>
      <c r="H683" s="2994">
        <v>0</v>
      </c>
      <c r="I683" s="2994">
        <v>0</v>
      </c>
      <c r="J683" s="2994">
        <v>0</v>
      </c>
      <c r="K683" s="2994">
        <v>0</v>
      </c>
      <c r="L683" s="2994">
        <v>0</v>
      </c>
      <c r="M683" s="2994">
        <v>0</v>
      </c>
      <c r="N683" s="2994">
        <v>0</v>
      </c>
      <c r="O683" s="2994">
        <v>0</v>
      </c>
      <c r="P683" s="2994">
        <v>0</v>
      </c>
      <c r="Q683" s="2994">
        <v>0</v>
      </c>
      <c r="R683" s="2994">
        <v>0</v>
      </c>
      <c r="S683" s="2994">
        <v>0</v>
      </c>
      <c r="T683" s="2994">
        <v>0</v>
      </c>
      <c r="U683" s="2994">
        <v>0</v>
      </c>
      <c r="V683" s="2994">
        <v>0</v>
      </c>
      <c r="W683" s="2994">
        <v>0</v>
      </c>
      <c r="X683" s="2994">
        <v>0</v>
      </c>
      <c r="Y683" s="2994">
        <v>0</v>
      </c>
      <c r="Z683" s="2994">
        <v>0</v>
      </c>
      <c r="AA683" s="2994">
        <v>0</v>
      </c>
      <c r="AB683" s="2994">
        <v>0</v>
      </c>
      <c r="AC683" s="2994">
        <v>0</v>
      </c>
      <c r="AD683" s="2994">
        <v>0</v>
      </c>
      <c r="AE683" s="2994">
        <v>0</v>
      </c>
      <c r="AF683" s="2994">
        <v>0</v>
      </c>
      <c r="AG683" s="2994">
        <v>0</v>
      </c>
      <c r="AH683" s="2994">
        <v>0</v>
      </c>
      <c r="AI683" s="2994">
        <v>0</v>
      </c>
      <c r="AJ683" s="2994">
        <v>0</v>
      </c>
      <c r="AK683" s="2994">
        <v>0</v>
      </c>
      <c r="AL683" s="2994">
        <v>0</v>
      </c>
      <c r="AM683" s="2994">
        <v>0</v>
      </c>
      <c r="AN683" s="2994">
        <v>0</v>
      </c>
      <c r="AO683" s="2994">
        <v>0</v>
      </c>
      <c r="AP683" s="2994">
        <v>0</v>
      </c>
      <c r="AQ683" s="2994">
        <v>0</v>
      </c>
      <c r="AR683" s="2994">
        <v>0</v>
      </c>
      <c r="AS683" s="2994">
        <v>0</v>
      </c>
      <c r="AT683" s="2994">
        <v>0</v>
      </c>
      <c r="AU683" s="2994">
        <v>0</v>
      </c>
      <c r="AV683" s="2994">
        <v>0</v>
      </c>
      <c r="AW683" s="2994">
        <v>0</v>
      </c>
      <c r="AX683" s="2994">
        <v>0</v>
      </c>
      <c r="AY683" s="2994">
        <v>0</v>
      </c>
      <c r="AZ683" s="2994">
        <v>0</v>
      </c>
      <c r="BA683" s="2994">
        <v>0</v>
      </c>
      <c r="BB683" s="2994">
        <v>0</v>
      </c>
      <c r="BC683" s="2994">
        <v>0</v>
      </c>
      <c r="BD683" s="3471">
        <v>0</v>
      </c>
      <c r="BE683" s="3471">
        <v>0</v>
      </c>
      <c r="BF683" s="3471">
        <v>0</v>
      </c>
    </row>
    <row r="684" spans="1:58">
      <c r="A684" s="1817" t="str">
        <f t="shared" si="21"/>
        <v>Eastern AsiaCarobs</v>
      </c>
      <c r="B684" s="1818" t="s">
        <v>1328</v>
      </c>
      <c r="C684" s="1818" t="s">
        <v>7300</v>
      </c>
      <c r="D684" s="3463" t="str">
        <f>VLOOKUP(B684,List_Yield!$G$4:$J$14,4,FALSE)</f>
        <v>Asia (Continental)</v>
      </c>
      <c r="E684" s="3463" t="str">
        <f t="shared" si="20"/>
        <v>Asia (Continental)Carobs</v>
      </c>
      <c r="F684" s="2994">
        <v>0</v>
      </c>
      <c r="G684" s="2994">
        <v>0</v>
      </c>
      <c r="H684" s="2994">
        <v>0</v>
      </c>
      <c r="I684" s="2994">
        <v>0</v>
      </c>
      <c r="J684" s="2994">
        <v>0</v>
      </c>
      <c r="K684" s="2994">
        <v>0</v>
      </c>
      <c r="L684" s="2994">
        <v>0</v>
      </c>
      <c r="M684" s="2994">
        <v>0</v>
      </c>
      <c r="N684" s="2994">
        <v>0</v>
      </c>
      <c r="O684" s="2994">
        <v>0</v>
      </c>
      <c r="P684" s="2994">
        <v>0</v>
      </c>
      <c r="Q684" s="2994">
        <v>0</v>
      </c>
      <c r="R684" s="2994">
        <v>0</v>
      </c>
      <c r="S684" s="2994">
        <v>0</v>
      </c>
      <c r="T684" s="2994">
        <v>0</v>
      </c>
      <c r="U684" s="2994">
        <v>0</v>
      </c>
      <c r="V684" s="2994">
        <v>0</v>
      </c>
      <c r="W684" s="2994">
        <v>0</v>
      </c>
      <c r="X684" s="2994">
        <v>0</v>
      </c>
      <c r="Y684" s="2994">
        <v>0</v>
      </c>
      <c r="Z684" s="2994">
        <v>0</v>
      </c>
      <c r="AA684" s="2994">
        <v>0</v>
      </c>
      <c r="AB684" s="2994">
        <v>0</v>
      </c>
      <c r="AC684" s="2994">
        <v>0</v>
      </c>
      <c r="AD684" s="2994">
        <v>0</v>
      </c>
      <c r="AE684" s="2994">
        <v>0</v>
      </c>
      <c r="AF684" s="2994">
        <v>0</v>
      </c>
      <c r="AG684" s="2994">
        <v>0</v>
      </c>
      <c r="AH684" s="2994">
        <v>0</v>
      </c>
      <c r="AI684" s="2994">
        <v>0</v>
      </c>
      <c r="AJ684" s="2994">
        <v>0</v>
      </c>
      <c r="AK684" s="2994">
        <v>0</v>
      </c>
      <c r="AL684" s="2994">
        <v>0</v>
      </c>
      <c r="AM684" s="2994">
        <v>0</v>
      </c>
      <c r="AN684" s="2994">
        <v>0</v>
      </c>
      <c r="AO684" s="2994">
        <v>0</v>
      </c>
      <c r="AP684" s="2994">
        <v>0</v>
      </c>
      <c r="AQ684" s="2994">
        <v>0</v>
      </c>
      <c r="AR684" s="2994">
        <v>0</v>
      </c>
      <c r="AS684" s="2994">
        <v>0</v>
      </c>
      <c r="AT684" s="2994">
        <v>0</v>
      </c>
      <c r="AU684" s="2994">
        <v>0</v>
      </c>
      <c r="AV684" s="2994">
        <v>0</v>
      </c>
      <c r="AW684" s="2994">
        <v>0</v>
      </c>
      <c r="AX684" s="2994">
        <v>0</v>
      </c>
      <c r="AY684" s="2994">
        <v>0</v>
      </c>
      <c r="AZ684" s="2994">
        <v>0</v>
      </c>
      <c r="BA684" s="2994">
        <v>0</v>
      </c>
      <c r="BB684" s="2994">
        <v>0</v>
      </c>
      <c r="BC684" s="2994">
        <v>0</v>
      </c>
      <c r="BD684" s="3471">
        <v>0</v>
      </c>
      <c r="BE684" s="3471">
        <v>0</v>
      </c>
      <c r="BF684" s="3471">
        <v>0</v>
      </c>
    </row>
    <row r="685" spans="1:58">
      <c r="A685" s="1817" t="str">
        <f t="shared" si="21"/>
        <v>Eastern AsiaCarrots and turnips</v>
      </c>
      <c r="B685" s="1818" t="s">
        <v>1328</v>
      </c>
      <c r="C685" s="1818" t="s">
        <v>1340</v>
      </c>
      <c r="D685" s="3463" t="str">
        <f>VLOOKUP(B685,List_Yield!$G$4:$J$14,4,FALSE)</f>
        <v>Asia (Continental)</v>
      </c>
      <c r="E685" s="3463" t="str">
        <f t="shared" si="20"/>
        <v>Asia (Continental)Carrots and turnips</v>
      </c>
      <c r="F685" s="2994">
        <v>12.862</v>
      </c>
      <c r="G685" s="2994">
        <v>13.375500000000001</v>
      </c>
      <c r="H685" s="2994">
        <v>13.9689</v>
      </c>
      <c r="I685" s="2994">
        <v>13.663399999999999</v>
      </c>
      <c r="J685" s="2994">
        <v>13.6096</v>
      </c>
      <c r="K685" s="2994">
        <v>14.261699999999999</v>
      </c>
      <c r="L685" s="2994">
        <v>14.3489</v>
      </c>
      <c r="M685" s="2994">
        <v>15.042999999999999</v>
      </c>
      <c r="N685" s="2994">
        <v>15.1777</v>
      </c>
      <c r="O685" s="2994">
        <v>15.670199999999999</v>
      </c>
      <c r="P685" s="2994">
        <v>16.058199999999999</v>
      </c>
      <c r="Q685" s="2994">
        <v>16.5303</v>
      </c>
      <c r="R685" s="2994">
        <v>16.518000000000001</v>
      </c>
      <c r="S685" s="2994">
        <v>17.253299999999999</v>
      </c>
      <c r="T685" s="2994">
        <v>17.308700000000002</v>
      </c>
      <c r="U685" s="2994">
        <v>18.1633</v>
      </c>
      <c r="V685" s="2994">
        <v>19.005700000000001</v>
      </c>
      <c r="W685" s="2994">
        <v>19.297899999999998</v>
      </c>
      <c r="X685" s="2994">
        <v>19.978899999999999</v>
      </c>
      <c r="Y685" s="2994">
        <v>20.3322</v>
      </c>
      <c r="Z685" s="2994">
        <v>20.0063</v>
      </c>
      <c r="AA685" s="2994">
        <v>20.299900000000001</v>
      </c>
      <c r="AB685" s="2994">
        <v>20.724900000000002</v>
      </c>
      <c r="AC685" s="2994">
        <v>21.712900000000001</v>
      </c>
      <c r="AD685" s="2994">
        <v>22.436199999999999</v>
      </c>
      <c r="AE685" s="2994">
        <v>22.5746</v>
      </c>
      <c r="AF685" s="2994">
        <v>22.770199999999999</v>
      </c>
      <c r="AG685" s="2994">
        <v>22.686399999999999</v>
      </c>
      <c r="AH685" s="2994">
        <v>22.985900000000001</v>
      </c>
      <c r="AI685" s="2994">
        <v>22.861999999999998</v>
      </c>
      <c r="AJ685" s="2994">
        <v>23.151199999999999</v>
      </c>
      <c r="AK685" s="2994">
        <v>24.1738</v>
      </c>
      <c r="AL685" s="2994">
        <v>24.036100000000001</v>
      </c>
      <c r="AM685" s="2994">
        <v>23.8202</v>
      </c>
      <c r="AN685" s="2994">
        <v>24.006699999999999</v>
      </c>
      <c r="AO685" s="2994">
        <v>24.119</v>
      </c>
      <c r="AP685" s="2994">
        <v>21.430099999999999</v>
      </c>
      <c r="AQ685" s="2994">
        <v>18.824400000000001</v>
      </c>
      <c r="AR685" s="2994">
        <v>18.765899999999998</v>
      </c>
      <c r="AS685" s="2994">
        <v>18.876899999999999</v>
      </c>
      <c r="AT685" s="2994">
        <v>18.828499999999998</v>
      </c>
      <c r="AU685" s="2994">
        <v>19.849900000000002</v>
      </c>
      <c r="AV685" s="2994">
        <v>20.922799999999999</v>
      </c>
      <c r="AW685" s="2994">
        <v>20.322099999999999</v>
      </c>
      <c r="AX685" s="2994">
        <v>22.726299999999998</v>
      </c>
      <c r="AY685" s="2994">
        <v>24.907299999999999</v>
      </c>
      <c r="AZ685" s="2994">
        <v>27.620100000000001</v>
      </c>
      <c r="BA685" s="2994">
        <v>34.2136</v>
      </c>
      <c r="BB685" s="2994">
        <v>34.686500000000002</v>
      </c>
      <c r="BC685" s="2994">
        <v>34.577500000000001</v>
      </c>
      <c r="BD685" s="3471">
        <v>34.558700000000002</v>
      </c>
      <c r="BE685" s="3471">
        <v>34.768000000000001</v>
      </c>
      <c r="BF685" s="3471">
        <v>0</v>
      </c>
    </row>
    <row r="686" spans="1:58">
      <c r="A686" s="1817" t="str">
        <f t="shared" si="21"/>
        <v>Eastern AsiaCashew nuts, with shell</v>
      </c>
      <c r="B686" s="1818" t="s">
        <v>1328</v>
      </c>
      <c r="C686" s="1818" t="s">
        <v>1341</v>
      </c>
      <c r="D686" s="3463" t="str">
        <f>VLOOKUP(B686,List_Yield!$G$4:$J$14,4,FALSE)</f>
        <v>Asia (Continental)</v>
      </c>
      <c r="E686" s="3463" t="str">
        <f t="shared" si="20"/>
        <v>Asia (Continental)Cashew nuts, with shell</v>
      </c>
      <c r="F686" s="2994">
        <v>0</v>
      </c>
      <c r="G686" s="2994">
        <v>0</v>
      </c>
      <c r="H686" s="2994">
        <v>0</v>
      </c>
      <c r="I686" s="2994">
        <v>0</v>
      </c>
      <c r="J686" s="2994">
        <v>0</v>
      </c>
      <c r="K686" s="2994">
        <v>0</v>
      </c>
      <c r="L686" s="2994">
        <v>0</v>
      </c>
      <c r="M686" s="2994">
        <v>0</v>
      </c>
      <c r="N686" s="2994">
        <v>0</v>
      </c>
      <c r="O686" s="2994">
        <v>0</v>
      </c>
      <c r="P686" s="2994">
        <v>0</v>
      </c>
      <c r="Q686" s="2994">
        <v>0</v>
      </c>
      <c r="R686" s="2994">
        <v>0</v>
      </c>
      <c r="S686" s="2994">
        <v>0</v>
      </c>
      <c r="T686" s="2994">
        <v>0</v>
      </c>
      <c r="U686" s="2994">
        <v>0</v>
      </c>
      <c r="V686" s="2994">
        <v>0</v>
      </c>
      <c r="W686" s="2994">
        <v>0</v>
      </c>
      <c r="X686" s="2994">
        <v>0</v>
      </c>
      <c r="Y686" s="2994">
        <v>0</v>
      </c>
      <c r="Z686" s="2994">
        <v>0</v>
      </c>
      <c r="AA686" s="2994">
        <v>0</v>
      </c>
      <c r="AB686" s="2994">
        <v>0</v>
      </c>
      <c r="AC686" s="2994">
        <v>0</v>
      </c>
      <c r="AD686" s="2994">
        <v>0.54169999999999996</v>
      </c>
      <c r="AE686" s="2994">
        <v>0.51429999999999998</v>
      </c>
      <c r="AF686" s="2994">
        <v>0.48749999999999999</v>
      </c>
      <c r="AG686" s="2994">
        <v>0.5</v>
      </c>
      <c r="AH686" s="2994">
        <v>1.5</v>
      </c>
      <c r="AI686" s="2994">
        <v>0.66669999999999996</v>
      </c>
      <c r="AJ686" s="2994">
        <v>0.26669999999999999</v>
      </c>
      <c r="AK686" s="2994">
        <v>0.22950000000000001</v>
      </c>
      <c r="AL686" s="2994">
        <v>0.2429</v>
      </c>
      <c r="AM686" s="2994">
        <v>0.25</v>
      </c>
      <c r="AN686" s="2994">
        <v>0.18840000000000001</v>
      </c>
      <c r="AO686" s="2994">
        <v>0.24</v>
      </c>
      <c r="AP686" s="2994">
        <v>0.26079999999999998</v>
      </c>
      <c r="AQ686" s="2994">
        <v>0.22020000000000001</v>
      </c>
      <c r="AR686" s="2994">
        <v>0.29189999999999999</v>
      </c>
      <c r="AS686" s="2994">
        <v>0.36840000000000001</v>
      </c>
      <c r="AT686" s="2994">
        <v>0.48609999999999998</v>
      </c>
      <c r="AU686" s="2994">
        <v>0.3841</v>
      </c>
      <c r="AV686" s="2994">
        <v>0.48320000000000002</v>
      </c>
      <c r="AW686" s="2994">
        <v>0.29330000000000001</v>
      </c>
      <c r="AX686" s="2994">
        <v>0.24379999999999999</v>
      </c>
      <c r="AY686" s="2994">
        <v>0.26129999999999998</v>
      </c>
      <c r="AZ686" s="2994">
        <v>0.30690000000000001</v>
      </c>
      <c r="BA686" s="2994">
        <v>0.30299999999999999</v>
      </c>
      <c r="BB686" s="2994">
        <v>0.36420000000000002</v>
      </c>
      <c r="BC686" s="2994">
        <v>0.4</v>
      </c>
      <c r="BD686" s="3471">
        <v>0.43640000000000001</v>
      </c>
      <c r="BE686" s="3471">
        <v>0.44640000000000002</v>
      </c>
      <c r="BF686" s="3471">
        <v>0</v>
      </c>
    </row>
    <row r="687" spans="1:58">
      <c r="A687" s="1817" t="str">
        <f t="shared" si="21"/>
        <v>Eastern AsiaCashewapple</v>
      </c>
      <c r="B687" s="1818" t="s">
        <v>1328</v>
      </c>
      <c r="C687" s="1818" t="s">
        <v>7301</v>
      </c>
      <c r="D687" s="3463" t="str">
        <f>VLOOKUP(B687,List_Yield!$G$4:$J$14,4,FALSE)</f>
        <v>Asia (Continental)</v>
      </c>
      <c r="E687" s="3463" t="str">
        <f t="shared" si="20"/>
        <v>Asia (Continental)Cashewapple</v>
      </c>
      <c r="F687" s="2994">
        <v>0</v>
      </c>
      <c r="G687" s="2994">
        <v>0</v>
      </c>
      <c r="H687" s="2994">
        <v>0</v>
      </c>
      <c r="I687" s="2994">
        <v>0</v>
      </c>
      <c r="J687" s="2994">
        <v>0</v>
      </c>
      <c r="K687" s="2994">
        <v>0</v>
      </c>
      <c r="L687" s="2994">
        <v>0</v>
      </c>
      <c r="M687" s="2994">
        <v>0</v>
      </c>
      <c r="N687" s="2994">
        <v>0</v>
      </c>
      <c r="O687" s="2994">
        <v>0</v>
      </c>
      <c r="P687" s="2994">
        <v>0</v>
      </c>
      <c r="Q687" s="2994">
        <v>0</v>
      </c>
      <c r="R687" s="2994">
        <v>0</v>
      </c>
      <c r="S687" s="2994">
        <v>0</v>
      </c>
      <c r="T687" s="2994">
        <v>0</v>
      </c>
      <c r="U687" s="2994">
        <v>0</v>
      </c>
      <c r="V687" s="2994">
        <v>0</v>
      </c>
      <c r="W687" s="2994">
        <v>0</v>
      </c>
      <c r="X687" s="2994">
        <v>0</v>
      </c>
      <c r="Y687" s="2994">
        <v>0</v>
      </c>
      <c r="Z687" s="2994">
        <v>0</v>
      </c>
      <c r="AA687" s="2994">
        <v>0</v>
      </c>
      <c r="AB687" s="2994">
        <v>0</v>
      </c>
      <c r="AC687" s="2994">
        <v>0</v>
      </c>
      <c r="AD687" s="2994">
        <v>0</v>
      </c>
      <c r="AE687" s="2994">
        <v>0</v>
      </c>
      <c r="AF687" s="2994">
        <v>0</v>
      </c>
      <c r="AG687" s="2994">
        <v>0</v>
      </c>
      <c r="AH687" s="2994">
        <v>0</v>
      </c>
      <c r="AI687" s="2994">
        <v>0</v>
      </c>
      <c r="AJ687" s="2994">
        <v>0</v>
      </c>
      <c r="AK687" s="2994">
        <v>0</v>
      </c>
      <c r="AL687" s="2994">
        <v>0</v>
      </c>
      <c r="AM687" s="2994">
        <v>0</v>
      </c>
      <c r="AN687" s="2994">
        <v>0</v>
      </c>
      <c r="AO687" s="2994">
        <v>0</v>
      </c>
      <c r="AP687" s="2994">
        <v>0</v>
      </c>
      <c r="AQ687" s="2994">
        <v>0</v>
      </c>
      <c r="AR687" s="2994">
        <v>0</v>
      </c>
      <c r="AS687" s="2994">
        <v>0</v>
      </c>
      <c r="AT687" s="2994">
        <v>0</v>
      </c>
      <c r="AU687" s="2994">
        <v>0</v>
      </c>
      <c r="AV687" s="2994">
        <v>0</v>
      </c>
      <c r="AW687" s="2994">
        <v>0</v>
      </c>
      <c r="AX687" s="2994">
        <v>0</v>
      </c>
      <c r="AY687" s="2994">
        <v>0</v>
      </c>
      <c r="AZ687" s="2994">
        <v>0</v>
      </c>
      <c r="BA687" s="2994">
        <v>0</v>
      </c>
      <c r="BB687" s="2994">
        <v>0</v>
      </c>
      <c r="BC687" s="2994">
        <v>0</v>
      </c>
      <c r="BD687" s="3471">
        <v>0</v>
      </c>
      <c r="BE687" s="3471">
        <v>0</v>
      </c>
      <c r="BF687" s="3471">
        <v>0</v>
      </c>
    </row>
    <row r="688" spans="1:58">
      <c r="A688" s="1817" t="str">
        <f t="shared" si="21"/>
        <v>Eastern AsiaCassava</v>
      </c>
      <c r="B688" s="1818" t="s">
        <v>1328</v>
      </c>
      <c r="C688" s="1818" t="s">
        <v>1342</v>
      </c>
      <c r="D688" s="3463" t="str">
        <f>VLOOKUP(B688,List_Yield!$G$4:$J$14,4,FALSE)</f>
        <v>Asia (Continental)</v>
      </c>
      <c r="E688" s="3463" t="str">
        <f t="shared" si="20"/>
        <v>Asia (Continental)Cassava</v>
      </c>
      <c r="F688" s="2994">
        <v>12.400499999999999</v>
      </c>
      <c r="G688" s="2994">
        <v>12.2354</v>
      </c>
      <c r="H688" s="2994">
        <v>11.404999999999999</v>
      </c>
      <c r="I688" s="2994">
        <v>11.571999999999999</v>
      </c>
      <c r="J688" s="2994">
        <v>12.5891</v>
      </c>
      <c r="K688" s="2994">
        <v>12.133800000000001</v>
      </c>
      <c r="L688" s="2994">
        <v>12.5863</v>
      </c>
      <c r="M688" s="2994">
        <v>12.354200000000001</v>
      </c>
      <c r="N688" s="2994">
        <v>11.9765</v>
      </c>
      <c r="O688" s="2994">
        <v>11.875</v>
      </c>
      <c r="P688" s="2994">
        <v>12.3161</v>
      </c>
      <c r="Q688" s="2994">
        <v>12.305400000000001</v>
      </c>
      <c r="R688" s="2994">
        <v>12.211</v>
      </c>
      <c r="S688" s="2994">
        <v>12.275600000000001</v>
      </c>
      <c r="T688" s="2994">
        <v>11.981199999999999</v>
      </c>
      <c r="U688" s="2994">
        <v>12.5931</v>
      </c>
      <c r="V688" s="2994">
        <v>12.400499999999999</v>
      </c>
      <c r="W688" s="2994">
        <v>12.6928</v>
      </c>
      <c r="X688" s="2994">
        <v>14.089600000000001</v>
      </c>
      <c r="Y688" s="2994">
        <v>14.619199999999999</v>
      </c>
      <c r="Z688" s="2994">
        <v>15.161300000000001</v>
      </c>
      <c r="AA688" s="2994">
        <v>15.2788</v>
      </c>
      <c r="AB688" s="2994">
        <v>15.810499999999999</v>
      </c>
      <c r="AC688" s="2994">
        <v>15.8072</v>
      </c>
      <c r="AD688" s="2994">
        <v>14.995900000000001</v>
      </c>
      <c r="AE688" s="2994">
        <v>15.184799999999999</v>
      </c>
      <c r="AF688" s="2994">
        <v>14.3444</v>
      </c>
      <c r="AG688" s="2994">
        <v>14.1317</v>
      </c>
      <c r="AH688" s="2994">
        <v>14.665800000000001</v>
      </c>
      <c r="AI688" s="2994">
        <v>13.913500000000001</v>
      </c>
      <c r="AJ688" s="2994">
        <v>14.4091</v>
      </c>
      <c r="AK688" s="2994">
        <v>14.3751</v>
      </c>
      <c r="AL688" s="2994">
        <v>14.4998</v>
      </c>
      <c r="AM688" s="2994">
        <v>14.9842</v>
      </c>
      <c r="AN688" s="2994">
        <v>15.7301</v>
      </c>
      <c r="AO688" s="2994">
        <v>14.587300000000001</v>
      </c>
      <c r="AP688" s="2994">
        <v>14.810700000000001</v>
      </c>
      <c r="AQ688" s="2994">
        <v>14.662000000000001</v>
      </c>
      <c r="AR688" s="2994">
        <v>15.9747</v>
      </c>
      <c r="AS688" s="2994">
        <v>15.976000000000001</v>
      </c>
      <c r="AT688" s="2994">
        <v>16.055900000000001</v>
      </c>
      <c r="AU688" s="2994">
        <v>16.821200000000001</v>
      </c>
      <c r="AV688" s="2994">
        <v>16.016400000000001</v>
      </c>
      <c r="AW688" s="2994">
        <v>15.525499999999999</v>
      </c>
      <c r="AX688" s="2994">
        <v>15.4001</v>
      </c>
      <c r="AY688" s="2994">
        <v>16.236499999999999</v>
      </c>
      <c r="AZ688" s="2994">
        <v>16.2394</v>
      </c>
      <c r="BA688" s="2994">
        <v>16.304200000000002</v>
      </c>
      <c r="BB688" s="2994">
        <v>16.368200000000002</v>
      </c>
      <c r="BC688" s="2994">
        <v>16.378799999999998</v>
      </c>
      <c r="BD688" s="3471">
        <v>16.378599999999999</v>
      </c>
      <c r="BE688" s="3471">
        <v>16.302600000000002</v>
      </c>
      <c r="BF688" s="3471">
        <v>16.103999999999999</v>
      </c>
    </row>
    <row r="689" spans="1:58">
      <c r="A689" s="1817" t="str">
        <f t="shared" si="21"/>
        <v>Eastern AsiaCassava leaves</v>
      </c>
      <c r="B689" s="1818" t="s">
        <v>1328</v>
      </c>
      <c r="C689" s="1818" t="s">
        <v>7302</v>
      </c>
      <c r="D689" s="3463" t="str">
        <f>VLOOKUP(B689,List_Yield!$G$4:$J$14,4,FALSE)</f>
        <v>Asia (Continental)</v>
      </c>
      <c r="E689" s="3463" t="str">
        <f t="shared" si="20"/>
        <v>Asia (Continental)Cassava leaves</v>
      </c>
      <c r="F689" s="2994">
        <v>0</v>
      </c>
      <c r="G689" s="2994">
        <v>0</v>
      </c>
      <c r="H689" s="2994">
        <v>0</v>
      </c>
      <c r="I689" s="2994">
        <v>0</v>
      </c>
      <c r="J689" s="2994">
        <v>0</v>
      </c>
      <c r="K689" s="2994">
        <v>0</v>
      </c>
      <c r="L689" s="2994">
        <v>0</v>
      </c>
      <c r="M689" s="2994">
        <v>0</v>
      </c>
      <c r="N689" s="2994">
        <v>0</v>
      </c>
      <c r="O689" s="2994">
        <v>0</v>
      </c>
      <c r="P689" s="2994">
        <v>0</v>
      </c>
      <c r="Q689" s="2994">
        <v>0</v>
      </c>
      <c r="R689" s="2994">
        <v>0</v>
      </c>
      <c r="S689" s="2994">
        <v>0</v>
      </c>
      <c r="T689" s="2994">
        <v>0</v>
      </c>
      <c r="U689" s="2994">
        <v>0</v>
      </c>
      <c r="V689" s="2994">
        <v>0</v>
      </c>
      <c r="W689" s="2994">
        <v>0</v>
      </c>
      <c r="X689" s="2994">
        <v>0</v>
      </c>
      <c r="Y689" s="2994">
        <v>0</v>
      </c>
      <c r="Z689" s="2994">
        <v>0</v>
      </c>
      <c r="AA689" s="2994">
        <v>0</v>
      </c>
      <c r="AB689" s="2994">
        <v>0</v>
      </c>
      <c r="AC689" s="2994">
        <v>0</v>
      </c>
      <c r="AD689" s="2994">
        <v>0</v>
      </c>
      <c r="AE689" s="2994">
        <v>0</v>
      </c>
      <c r="AF689" s="2994">
        <v>0</v>
      </c>
      <c r="AG689" s="2994">
        <v>0</v>
      </c>
      <c r="AH689" s="2994">
        <v>0</v>
      </c>
      <c r="AI689" s="2994">
        <v>0</v>
      </c>
      <c r="AJ689" s="2994">
        <v>0</v>
      </c>
      <c r="AK689" s="2994">
        <v>0</v>
      </c>
      <c r="AL689" s="2994">
        <v>0</v>
      </c>
      <c r="AM689" s="2994">
        <v>0</v>
      </c>
      <c r="AN689" s="2994">
        <v>0</v>
      </c>
      <c r="AO689" s="2994">
        <v>0</v>
      </c>
      <c r="AP689" s="2994">
        <v>0</v>
      </c>
      <c r="AQ689" s="2994">
        <v>0</v>
      </c>
      <c r="AR689" s="2994">
        <v>0</v>
      </c>
      <c r="AS689" s="2994">
        <v>0</v>
      </c>
      <c r="AT689" s="2994">
        <v>0</v>
      </c>
      <c r="AU689" s="2994">
        <v>0</v>
      </c>
      <c r="AV689" s="2994">
        <v>0</v>
      </c>
      <c r="AW689" s="2994">
        <v>0</v>
      </c>
      <c r="AX689" s="2994">
        <v>0</v>
      </c>
      <c r="AY689" s="2994">
        <v>0</v>
      </c>
      <c r="AZ689" s="2994">
        <v>0</v>
      </c>
      <c r="BA689" s="2994">
        <v>0</v>
      </c>
      <c r="BB689" s="2994">
        <v>0</v>
      </c>
      <c r="BC689" s="2994">
        <v>0</v>
      </c>
      <c r="BD689" s="3471">
        <v>0</v>
      </c>
      <c r="BE689" s="3471">
        <v>0</v>
      </c>
      <c r="BF689" s="3471">
        <v>0</v>
      </c>
    </row>
    <row r="690" spans="1:58">
      <c r="A690" s="1817" t="str">
        <f t="shared" si="21"/>
        <v>Eastern AsiaCastor oil seed</v>
      </c>
      <c r="B690" s="1818" t="s">
        <v>1328</v>
      </c>
      <c r="C690" s="1818" t="s">
        <v>7303</v>
      </c>
      <c r="D690" s="3463" t="str">
        <f>VLOOKUP(B690,List_Yield!$G$4:$J$14,4,FALSE)</f>
        <v>Asia (Continental)</v>
      </c>
      <c r="E690" s="3463" t="str">
        <f t="shared" si="20"/>
        <v>Asia (Continental)Castor oil seed</v>
      </c>
      <c r="F690" s="2994">
        <v>0.35149999999999998</v>
      </c>
      <c r="G690" s="2994">
        <v>0.35439999999999999</v>
      </c>
      <c r="H690" s="2994">
        <v>0.31979999999999997</v>
      </c>
      <c r="I690" s="2994">
        <v>0.35289999999999999</v>
      </c>
      <c r="J690" s="2994">
        <v>0.44700000000000001</v>
      </c>
      <c r="K690" s="2994">
        <v>0.59240000000000004</v>
      </c>
      <c r="L690" s="2994">
        <v>0.63639999999999997</v>
      </c>
      <c r="M690" s="2994">
        <v>0.55230000000000001</v>
      </c>
      <c r="N690" s="2994">
        <v>0.47660000000000002</v>
      </c>
      <c r="O690" s="2994">
        <v>0.56869999999999998</v>
      </c>
      <c r="P690" s="2994">
        <v>0.41949999999999998</v>
      </c>
      <c r="Q690" s="2994">
        <v>0.41520000000000001</v>
      </c>
      <c r="R690" s="2994">
        <v>0.38950000000000001</v>
      </c>
      <c r="S690" s="2994">
        <v>0.41949999999999998</v>
      </c>
      <c r="T690" s="2994">
        <v>0.40360000000000001</v>
      </c>
      <c r="U690" s="2994">
        <v>0.41589999999999999</v>
      </c>
      <c r="V690" s="2994">
        <v>0.46489999999999998</v>
      </c>
      <c r="W690" s="2994">
        <v>0.51619999999999999</v>
      </c>
      <c r="X690" s="2994">
        <v>0.60529999999999995</v>
      </c>
      <c r="Y690" s="2994">
        <v>0.5655</v>
      </c>
      <c r="Z690" s="2994">
        <v>0.68520000000000003</v>
      </c>
      <c r="AA690" s="2994">
        <v>0.78029999999999999</v>
      </c>
      <c r="AB690" s="2994">
        <v>0.83250000000000002</v>
      </c>
      <c r="AC690" s="2994">
        <v>0.80189999999999995</v>
      </c>
      <c r="AD690" s="2994">
        <v>1.2016</v>
      </c>
      <c r="AE690" s="2994">
        <v>0.92149999999999999</v>
      </c>
      <c r="AF690" s="2994">
        <v>1.2359</v>
      </c>
      <c r="AG690" s="2994">
        <v>0.96299999999999997</v>
      </c>
      <c r="AH690" s="2994">
        <v>1</v>
      </c>
      <c r="AI690" s="2994">
        <v>1.1273</v>
      </c>
      <c r="AJ690" s="2994">
        <v>1.1786000000000001</v>
      </c>
      <c r="AK690" s="2994">
        <v>1.2082999999999999</v>
      </c>
      <c r="AL690" s="2994">
        <v>1.0369999999999999</v>
      </c>
      <c r="AM690" s="2994">
        <v>0.93120000000000003</v>
      </c>
      <c r="AN690" s="2994">
        <v>0.89470000000000005</v>
      </c>
      <c r="AO690" s="2994">
        <v>1.1000000000000001</v>
      </c>
      <c r="AP690" s="2994">
        <v>0.81820000000000004</v>
      </c>
      <c r="AQ690" s="2994">
        <v>1.1005</v>
      </c>
      <c r="AR690" s="2994">
        <v>0.92589999999999995</v>
      </c>
      <c r="AS690" s="2994">
        <v>1.0345</v>
      </c>
      <c r="AT690" s="2994">
        <v>0.96299999999999997</v>
      </c>
      <c r="AU690" s="2994">
        <v>0.98150000000000004</v>
      </c>
      <c r="AV690" s="2994">
        <v>0.96630000000000005</v>
      </c>
      <c r="AW690" s="2994">
        <v>0.96150000000000002</v>
      </c>
      <c r="AX690" s="2994">
        <v>0.91669999999999996</v>
      </c>
      <c r="AY690" s="2994">
        <v>0.82609999999999995</v>
      </c>
      <c r="AZ690" s="2994">
        <v>0.8095</v>
      </c>
      <c r="BA690" s="2994">
        <v>0.86360000000000003</v>
      </c>
      <c r="BB690" s="2994">
        <v>0.85</v>
      </c>
      <c r="BC690" s="2994">
        <v>0.78949999999999998</v>
      </c>
      <c r="BD690" s="3471">
        <v>0.94740000000000002</v>
      </c>
      <c r="BE690" s="3471">
        <v>0.92310000000000003</v>
      </c>
      <c r="BF690" s="3471">
        <v>0.85709999999999997</v>
      </c>
    </row>
    <row r="691" spans="1:58">
      <c r="A691" s="1817" t="str">
        <f t="shared" si="21"/>
        <v>Eastern AsiaCauliflowers and broccoli</v>
      </c>
      <c r="B691" s="1818" t="s">
        <v>1328</v>
      </c>
      <c r="C691" s="1818" t="s">
        <v>1343</v>
      </c>
      <c r="D691" s="3463" t="str">
        <f>VLOOKUP(B691,List_Yield!$G$4:$J$14,4,FALSE)</f>
        <v>Asia (Continental)</v>
      </c>
      <c r="E691" s="3463" t="str">
        <f t="shared" si="20"/>
        <v>Asia (Continental)Cauliflowers and broccoli</v>
      </c>
      <c r="F691" s="2994">
        <v>10.875299999999999</v>
      </c>
      <c r="G691" s="2994">
        <v>11.4229</v>
      </c>
      <c r="H691" s="2994">
        <v>10.121600000000001</v>
      </c>
      <c r="I691" s="2994">
        <v>10.353999999999999</v>
      </c>
      <c r="J691" s="2994">
        <v>10.623799999999999</v>
      </c>
      <c r="K691" s="2994">
        <v>10.833500000000001</v>
      </c>
      <c r="L691" s="2994">
        <v>10.685600000000001</v>
      </c>
      <c r="M691" s="2994">
        <v>11.026999999999999</v>
      </c>
      <c r="N691" s="2994">
        <v>11.0404</v>
      </c>
      <c r="O691" s="2994">
        <v>11.2224</v>
      </c>
      <c r="P691" s="2994">
        <v>11.0961</v>
      </c>
      <c r="Q691" s="2994">
        <v>11.5024</v>
      </c>
      <c r="R691" s="2994">
        <v>11.661799999999999</v>
      </c>
      <c r="S691" s="2994">
        <v>11.956099999999999</v>
      </c>
      <c r="T691" s="2994">
        <v>12.2537</v>
      </c>
      <c r="U691" s="2994">
        <v>12.366899999999999</v>
      </c>
      <c r="V691" s="2994">
        <v>12.5182</v>
      </c>
      <c r="W691" s="2994">
        <v>13.2273</v>
      </c>
      <c r="X691" s="2994">
        <v>13.407400000000001</v>
      </c>
      <c r="Y691" s="2994">
        <v>14.1454</v>
      </c>
      <c r="Z691" s="2994">
        <v>15.7576</v>
      </c>
      <c r="AA691" s="2994">
        <v>17.152200000000001</v>
      </c>
      <c r="AB691" s="2994">
        <v>18.268899999999999</v>
      </c>
      <c r="AC691" s="2994">
        <v>18.5107</v>
      </c>
      <c r="AD691" s="2994">
        <v>17.766500000000001</v>
      </c>
      <c r="AE691" s="2994">
        <v>18.341699999999999</v>
      </c>
      <c r="AF691" s="2994">
        <v>18.9544</v>
      </c>
      <c r="AG691" s="2994">
        <v>20.2864</v>
      </c>
      <c r="AH691" s="2994">
        <v>20.1023</v>
      </c>
      <c r="AI691" s="2994">
        <v>21.576699999999999</v>
      </c>
      <c r="AJ691" s="2994">
        <v>22.6614</v>
      </c>
      <c r="AK691" s="2994">
        <v>24.256699999999999</v>
      </c>
      <c r="AL691" s="2994">
        <v>24.621700000000001</v>
      </c>
      <c r="AM691" s="2994">
        <v>24.5854</v>
      </c>
      <c r="AN691" s="2994">
        <v>24.521100000000001</v>
      </c>
      <c r="AO691" s="2994">
        <v>23.839400000000001</v>
      </c>
      <c r="AP691" s="2994">
        <v>22.836099999999998</v>
      </c>
      <c r="AQ691" s="2994">
        <v>22.3521</v>
      </c>
      <c r="AR691" s="2994">
        <v>21.477</v>
      </c>
      <c r="AS691" s="2994">
        <v>22.404</v>
      </c>
      <c r="AT691" s="2994">
        <v>22.6264</v>
      </c>
      <c r="AU691" s="2994">
        <v>21.334</v>
      </c>
      <c r="AV691" s="2994">
        <v>22.202400000000001</v>
      </c>
      <c r="AW691" s="2994">
        <v>20.420500000000001</v>
      </c>
      <c r="AX691" s="2994">
        <v>19.999500000000001</v>
      </c>
      <c r="AY691" s="2994">
        <v>20.015999999999998</v>
      </c>
      <c r="AZ691" s="2994">
        <v>19.744800000000001</v>
      </c>
      <c r="BA691" s="2994">
        <v>19.980599999999999</v>
      </c>
      <c r="BB691" s="2994">
        <v>19.8551</v>
      </c>
      <c r="BC691" s="2994">
        <v>19.870100000000001</v>
      </c>
      <c r="BD691" s="3471">
        <v>19.899899999999999</v>
      </c>
      <c r="BE691" s="3471">
        <v>20.815200000000001</v>
      </c>
      <c r="BF691" s="3471">
        <v>0</v>
      </c>
    </row>
    <row r="692" spans="1:58">
      <c r="A692" s="1817" t="str">
        <f t="shared" si="21"/>
        <v>Eastern AsiaCereals, nes</v>
      </c>
      <c r="B692" s="1818" t="s">
        <v>1328</v>
      </c>
      <c r="C692" s="1818" t="s">
        <v>1344</v>
      </c>
      <c r="D692" s="3463" t="str">
        <f>VLOOKUP(B692,List_Yield!$G$4:$J$14,4,FALSE)</f>
        <v>Asia (Continental)</v>
      </c>
      <c r="E692" s="3463" t="str">
        <f t="shared" si="20"/>
        <v>Asia (Continental)Cereals, nes</v>
      </c>
      <c r="F692" s="2994">
        <v>0.85109999999999997</v>
      </c>
      <c r="G692" s="2994">
        <v>0.70179999999999998</v>
      </c>
      <c r="H692" s="2994">
        <v>0.75680000000000003</v>
      </c>
      <c r="I692" s="2994">
        <v>0.71279999999999999</v>
      </c>
      <c r="J692" s="2994">
        <v>0.64859999999999995</v>
      </c>
      <c r="K692" s="2994">
        <v>0.92</v>
      </c>
      <c r="L692" s="2994">
        <v>1.0112000000000001</v>
      </c>
      <c r="M692" s="2994">
        <v>1.25</v>
      </c>
      <c r="N692" s="2994">
        <v>1.2541</v>
      </c>
      <c r="O692" s="2994">
        <v>1.2370000000000001</v>
      </c>
      <c r="P692" s="2994">
        <v>1.24</v>
      </c>
      <c r="Q692" s="2994">
        <v>1.1299999999999999</v>
      </c>
      <c r="R692" s="2994">
        <v>1.1781999999999999</v>
      </c>
      <c r="S692" s="2994">
        <v>0.9375</v>
      </c>
      <c r="T692" s="2994">
        <v>0.94110000000000005</v>
      </c>
      <c r="U692" s="2994">
        <v>0.81159999999999999</v>
      </c>
      <c r="V692" s="2994">
        <v>0.79830000000000001</v>
      </c>
      <c r="W692" s="2994">
        <v>0.68259999999999998</v>
      </c>
      <c r="X692" s="2994">
        <v>0.629</v>
      </c>
      <c r="Y692" s="2994">
        <v>0.55610000000000004</v>
      </c>
      <c r="Z692" s="2994">
        <v>0.49840000000000001</v>
      </c>
      <c r="AA692" s="2994">
        <v>1.177</v>
      </c>
      <c r="AB692" s="2994">
        <v>1.2922</v>
      </c>
      <c r="AC692" s="2994">
        <v>0.72789999999999999</v>
      </c>
      <c r="AD692" s="2994">
        <v>0.91500000000000004</v>
      </c>
      <c r="AE692" s="2994">
        <v>0.93110000000000004</v>
      </c>
      <c r="AF692" s="2994">
        <v>1.0494000000000001</v>
      </c>
      <c r="AG692" s="2994">
        <v>0.79459999999999997</v>
      </c>
      <c r="AH692" s="2994">
        <v>0.95089999999999997</v>
      </c>
      <c r="AI692" s="2994">
        <v>0.93320000000000003</v>
      </c>
      <c r="AJ692" s="2994">
        <v>0.8155</v>
      </c>
      <c r="AK692" s="2994">
        <v>0.72940000000000005</v>
      </c>
      <c r="AL692" s="2994">
        <v>1.4450000000000001</v>
      </c>
      <c r="AM692" s="2994">
        <v>1.3095000000000001</v>
      </c>
      <c r="AN692" s="2994">
        <v>1.5229999999999999</v>
      </c>
      <c r="AO692" s="2994">
        <v>1.4211</v>
      </c>
      <c r="AP692" s="2994">
        <v>1.4661999999999999</v>
      </c>
      <c r="AQ692" s="2994">
        <v>0.96830000000000005</v>
      </c>
      <c r="AR692" s="2994">
        <v>2.2547999999999999</v>
      </c>
      <c r="AS692" s="2994">
        <v>2.3138000000000001</v>
      </c>
      <c r="AT692" s="2994">
        <v>2.2545999999999999</v>
      </c>
      <c r="AU692" s="2994">
        <v>2.5506000000000002</v>
      </c>
      <c r="AV692" s="2994">
        <v>2.1667999999999998</v>
      </c>
      <c r="AW692" s="2994">
        <v>2.0005999999999999</v>
      </c>
      <c r="AX692" s="2994">
        <v>1.9389000000000001</v>
      </c>
      <c r="AY692" s="2994">
        <v>1.3244</v>
      </c>
      <c r="AZ692" s="2994">
        <v>2.0558000000000001</v>
      </c>
      <c r="BA692" s="2994">
        <v>1.9736</v>
      </c>
      <c r="BB692" s="2994">
        <v>1.9354</v>
      </c>
      <c r="BC692" s="2994">
        <v>1.91</v>
      </c>
      <c r="BD692" s="3471">
        <v>2.1337999999999999</v>
      </c>
      <c r="BE692" s="3471">
        <v>2.1353</v>
      </c>
      <c r="BF692" s="3471">
        <v>1.4261999999999999</v>
      </c>
    </row>
    <row r="693" spans="1:58">
      <c r="A693" s="1817" t="str">
        <f t="shared" si="21"/>
        <v>Eastern AsiaCherries</v>
      </c>
      <c r="B693" s="1818" t="s">
        <v>1328</v>
      </c>
      <c r="C693" s="1818" t="s">
        <v>7304</v>
      </c>
      <c r="D693" s="3463" t="str">
        <f>VLOOKUP(B693,List_Yield!$G$4:$J$14,4,FALSE)</f>
        <v>Asia (Continental)</v>
      </c>
      <c r="E693" s="3463" t="str">
        <f t="shared" si="20"/>
        <v>Asia (Continental)Cherries</v>
      </c>
      <c r="F693" s="2994">
        <v>6.0391000000000004</v>
      </c>
      <c r="G693" s="2994">
        <v>5.0780000000000003</v>
      </c>
      <c r="H693" s="2994">
        <v>4.6399999999999997</v>
      </c>
      <c r="I693" s="2994">
        <v>3.8037999999999998</v>
      </c>
      <c r="J693" s="2994">
        <v>4.75</v>
      </c>
      <c r="K693" s="2994">
        <v>4.3529</v>
      </c>
      <c r="L693" s="2994">
        <v>5.3125</v>
      </c>
      <c r="M693" s="2994">
        <v>5.3125</v>
      </c>
      <c r="N693" s="2994">
        <v>6.7469999999999999</v>
      </c>
      <c r="O693" s="2994">
        <v>7.6162999999999998</v>
      </c>
      <c r="P693" s="2994">
        <v>2.8940000000000001</v>
      </c>
      <c r="Q693" s="2994">
        <v>4.1797000000000004</v>
      </c>
      <c r="R693" s="2994">
        <v>6.0740999999999996</v>
      </c>
      <c r="S693" s="2994">
        <v>6.4157999999999999</v>
      </c>
      <c r="T693" s="2994">
        <v>4.6528</v>
      </c>
      <c r="U693" s="2994">
        <v>5.9375</v>
      </c>
      <c r="V693" s="2994">
        <v>5.7596999999999996</v>
      </c>
      <c r="W693" s="2994">
        <v>5.5789</v>
      </c>
      <c r="X693" s="2994">
        <v>6.1702000000000004</v>
      </c>
      <c r="Y693" s="2994">
        <v>5.4317000000000002</v>
      </c>
      <c r="Z693" s="2994">
        <v>4.7058999999999997</v>
      </c>
      <c r="AA693" s="2994">
        <v>5.8779000000000003</v>
      </c>
      <c r="AB693" s="2994">
        <v>9.2691999999999997</v>
      </c>
      <c r="AC693" s="2994">
        <v>5.7915000000000001</v>
      </c>
      <c r="AD693" s="2994">
        <v>8.8592999999999993</v>
      </c>
      <c r="AE693" s="2994">
        <v>6.3258000000000001</v>
      </c>
      <c r="AF693" s="2994">
        <v>7.0833000000000004</v>
      </c>
      <c r="AG693" s="2994">
        <v>6.7647000000000004</v>
      </c>
      <c r="AH693" s="2994">
        <v>5.0522999999999998</v>
      </c>
      <c r="AI693" s="2994">
        <v>5.2786999999999997</v>
      </c>
      <c r="AJ693" s="2994">
        <v>4.7385000000000002</v>
      </c>
      <c r="AK693" s="2994">
        <v>4.4867999999999997</v>
      </c>
      <c r="AL693" s="2994">
        <v>4.93</v>
      </c>
      <c r="AM693" s="2994">
        <v>3.6957</v>
      </c>
      <c r="AN693" s="2994">
        <v>4.8902999999999999</v>
      </c>
      <c r="AO693" s="2994">
        <v>3.8723999999999998</v>
      </c>
      <c r="AP693" s="2994">
        <v>4.9800000000000004</v>
      </c>
      <c r="AQ693" s="2994">
        <v>4.8673000000000002</v>
      </c>
      <c r="AR693" s="2994">
        <v>4.6608999999999998</v>
      </c>
      <c r="AS693" s="2994">
        <v>4.3986000000000001</v>
      </c>
      <c r="AT693" s="2994">
        <v>4.5664999999999996</v>
      </c>
      <c r="AU693" s="2994">
        <v>4.5114000000000001</v>
      </c>
      <c r="AV693" s="2994">
        <v>4.3303000000000003</v>
      </c>
      <c r="AW693" s="2994">
        <v>4.5049999999999999</v>
      </c>
      <c r="AX693" s="2994">
        <v>4.9661999999999997</v>
      </c>
      <c r="AY693" s="2994">
        <v>4.1939000000000002</v>
      </c>
      <c r="AZ693" s="2994">
        <v>3.8639000000000001</v>
      </c>
      <c r="BA693" s="2994">
        <v>4.0038</v>
      </c>
      <c r="BB693" s="2994">
        <v>3.8079000000000001</v>
      </c>
      <c r="BC693" s="2994">
        <v>4.2023000000000001</v>
      </c>
      <c r="BD693" s="3471">
        <v>4.3886000000000003</v>
      </c>
      <c r="BE693" s="3471">
        <v>4.2846000000000002</v>
      </c>
      <c r="BF693" s="3471">
        <v>0</v>
      </c>
    </row>
    <row r="694" spans="1:58">
      <c r="A694" s="1817" t="str">
        <f t="shared" si="21"/>
        <v>Eastern AsiaCherries, sour</v>
      </c>
      <c r="B694" s="1818" t="s">
        <v>1328</v>
      </c>
      <c r="C694" s="1818" t="s">
        <v>7305</v>
      </c>
      <c r="D694" s="3463" t="str">
        <f>VLOOKUP(B694,List_Yield!$G$4:$J$14,4,FALSE)</f>
        <v>Asia (Continental)</v>
      </c>
      <c r="E694" s="3463" t="str">
        <f t="shared" si="20"/>
        <v>Asia (Continental)Cherries, sour</v>
      </c>
      <c r="F694" s="2994">
        <v>0</v>
      </c>
      <c r="G694" s="2994">
        <v>0</v>
      </c>
      <c r="H694" s="2994">
        <v>0</v>
      </c>
      <c r="I694" s="2994">
        <v>0</v>
      </c>
      <c r="J694" s="2994">
        <v>0</v>
      </c>
      <c r="K694" s="2994">
        <v>0</v>
      </c>
      <c r="L694" s="2994">
        <v>0</v>
      </c>
      <c r="M694" s="2994">
        <v>0</v>
      </c>
      <c r="N694" s="2994">
        <v>0</v>
      </c>
      <c r="O694" s="2994">
        <v>0</v>
      </c>
      <c r="P694" s="2994">
        <v>0</v>
      </c>
      <c r="Q694" s="2994">
        <v>0</v>
      </c>
      <c r="R694" s="2994">
        <v>0</v>
      </c>
      <c r="S694" s="2994">
        <v>0</v>
      </c>
      <c r="T694" s="2994">
        <v>0</v>
      </c>
      <c r="U694" s="2994">
        <v>0</v>
      </c>
      <c r="V694" s="2994">
        <v>0</v>
      </c>
      <c r="W694" s="2994">
        <v>0</v>
      </c>
      <c r="X694" s="2994">
        <v>0</v>
      </c>
      <c r="Y694" s="2994">
        <v>0</v>
      </c>
      <c r="Z694" s="2994">
        <v>0</v>
      </c>
      <c r="AA694" s="2994">
        <v>0</v>
      </c>
      <c r="AB694" s="2994">
        <v>0</v>
      </c>
      <c r="AC694" s="2994">
        <v>0</v>
      </c>
      <c r="AD694" s="2994">
        <v>0</v>
      </c>
      <c r="AE694" s="2994">
        <v>0</v>
      </c>
      <c r="AF694" s="2994">
        <v>0</v>
      </c>
      <c r="AG694" s="2994">
        <v>0</v>
      </c>
      <c r="AH694" s="2994">
        <v>0</v>
      </c>
      <c r="AI694" s="2994">
        <v>0</v>
      </c>
      <c r="AJ694" s="2994">
        <v>0</v>
      </c>
      <c r="AK694" s="2994">
        <v>0</v>
      </c>
      <c r="AL694" s="2994">
        <v>0</v>
      </c>
      <c r="AM694" s="2994">
        <v>0</v>
      </c>
      <c r="AN694" s="2994">
        <v>0</v>
      </c>
      <c r="AO694" s="2994">
        <v>0</v>
      </c>
      <c r="AP694" s="2994">
        <v>0</v>
      </c>
      <c r="AQ694" s="2994">
        <v>0</v>
      </c>
      <c r="AR694" s="2994">
        <v>0</v>
      </c>
      <c r="AS694" s="2994">
        <v>0</v>
      </c>
      <c r="AT694" s="2994">
        <v>0</v>
      </c>
      <c r="AU694" s="2994">
        <v>0</v>
      </c>
      <c r="AV694" s="2994">
        <v>0</v>
      </c>
      <c r="AW694" s="2994">
        <v>0</v>
      </c>
      <c r="AX694" s="2994">
        <v>0</v>
      </c>
      <c r="AY694" s="2994">
        <v>0</v>
      </c>
      <c r="AZ694" s="2994">
        <v>0</v>
      </c>
      <c r="BA694" s="2994">
        <v>0</v>
      </c>
      <c r="BB694" s="2994">
        <v>0</v>
      </c>
      <c r="BC694" s="2994">
        <v>0</v>
      </c>
      <c r="BD694" s="3471">
        <v>0</v>
      </c>
      <c r="BE694" s="3471">
        <v>0</v>
      </c>
      <c r="BF694" s="3471">
        <v>0</v>
      </c>
    </row>
    <row r="695" spans="1:58">
      <c r="A695" s="1817" t="str">
        <f t="shared" si="21"/>
        <v>Eastern AsiaChestnut</v>
      </c>
      <c r="B695" s="1818" t="s">
        <v>1328</v>
      </c>
      <c r="C695" s="1818" t="s">
        <v>7306</v>
      </c>
      <c r="D695" s="3463" t="str">
        <f>VLOOKUP(B695,List_Yield!$G$4:$J$14,4,FALSE)</f>
        <v>Asia (Continental)</v>
      </c>
      <c r="E695" s="3463" t="str">
        <f t="shared" si="20"/>
        <v>Asia (Continental)Chestnut</v>
      </c>
      <c r="F695" s="2994">
        <v>11.9476</v>
      </c>
      <c r="G695" s="2994">
        <v>11.017099999999999</v>
      </c>
      <c r="H695" s="2994">
        <v>8.5645000000000007</v>
      </c>
      <c r="I695" s="2994">
        <v>6.5713999999999997</v>
      </c>
      <c r="J695" s="2994">
        <v>5.5570000000000004</v>
      </c>
      <c r="K695" s="2994">
        <v>5.3445999999999998</v>
      </c>
      <c r="L695" s="2994">
        <v>5.0275999999999996</v>
      </c>
      <c r="M695" s="2994">
        <v>4.8666999999999998</v>
      </c>
      <c r="N695" s="2994">
        <v>4.7617000000000003</v>
      </c>
      <c r="O695" s="2994">
        <v>4.6425999999999998</v>
      </c>
      <c r="P695" s="2994">
        <v>4.5265000000000004</v>
      </c>
      <c r="Q695" s="2994">
        <v>4.5749000000000004</v>
      </c>
      <c r="R695" s="2994">
        <v>4.6292</v>
      </c>
      <c r="S695" s="2994">
        <v>4.3079000000000001</v>
      </c>
      <c r="T695" s="2994">
        <v>4.1330999999999998</v>
      </c>
      <c r="U695" s="2994">
        <v>4.0254000000000003</v>
      </c>
      <c r="V695" s="2994">
        <v>3.6751</v>
      </c>
      <c r="W695" s="2994">
        <v>3.5642</v>
      </c>
      <c r="X695" s="2994">
        <v>3.3549000000000002</v>
      </c>
      <c r="Y695" s="2994">
        <v>2.9784000000000002</v>
      </c>
      <c r="Z695" s="2994">
        <v>3.0851000000000002</v>
      </c>
      <c r="AA695" s="2994">
        <v>2.8311000000000002</v>
      </c>
      <c r="AB695" s="2994">
        <v>2.7723</v>
      </c>
      <c r="AC695" s="2994">
        <v>2.6747000000000001</v>
      </c>
      <c r="AD695" s="2994">
        <v>1.7683</v>
      </c>
      <c r="AE695" s="2994">
        <v>1.86</v>
      </c>
      <c r="AF695" s="2994">
        <v>1.8891</v>
      </c>
      <c r="AG695" s="2994">
        <v>1.9357</v>
      </c>
      <c r="AH695" s="2994">
        <v>1.8718999999999999</v>
      </c>
      <c r="AI695" s="2994">
        <v>2.0331000000000001</v>
      </c>
      <c r="AJ695" s="2994">
        <v>2.7940999999999998</v>
      </c>
      <c r="AK695" s="2994">
        <v>2.9718</v>
      </c>
      <c r="AL695" s="2994">
        <v>2.9337</v>
      </c>
      <c r="AM695" s="2994">
        <v>3.1459999999999999</v>
      </c>
      <c r="AN695" s="2994">
        <v>3.3313000000000001</v>
      </c>
      <c r="AO695" s="2994">
        <v>2.9355000000000002</v>
      </c>
      <c r="AP695" s="2994">
        <v>3.4195000000000002</v>
      </c>
      <c r="AQ695" s="2994">
        <v>3.5794999999999999</v>
      </c>
      <c r="AR695" s="2994">
        <v>3.7669000000000001</v>
      </c>
      <c r="AS695" s="2994">
        <v>4.0392999999999999</v>
      </c>
      <c r="AT695" s="2994">
        <v>4.8803999999999998</v>
      </c>
      <c r="AU695" s="2994">
        <v>4.1454000000000004</v>
      </c>
      <c r="AV695" s="2994">
        <v>4.2584</v>
      </c>
      <c r="AW695" s="2994">
        <v>4.3356000000000003</v>
      </c>
      <c r="AX695" s="2994">
        <v>4.5636999999999999</v>
      </c>
      <c r="AY695" s="2994">
        <v>4.3319000000000001</v>
      </c>
      <c r="AZ695" s="2994">
        <v>4.4867999999999997</v>
      </c>
      <c r="BA695" s="2994">
        <v>4.7676999999999996</v>
      </c>
      <c r="BB695" s="2994">
        <v>4.7872000000000003</v>
      </c>
      <c r="BC695" s="2994">
        <v>4.7812999999999999</v>
      </c>
      <c r="BD695" s="3471">
        <v>4.6763000000000003</v>
      </c>
      <c r="BE695" s="3471">
        <v>4.7633000000000001</v>
      </c>
      <c r="BF695" s="3471">
        <v>0</v>
      </c>
    </row>
    <row r="696" spans="1:58">
      <c r="A696" s="1817" t="str">
        <f t="shared" si="21"/>
        <v>Eastern AsiaChick peas</v>
      </c>
      <c r="B696" s="1818" t="s">
        <v>1328</v>
      </c>
      <c r="C696" s="1818" t="s">
        <v>7307</v>
      </c>
      <c r="D696" s="3463" t="str">
        <f>VLOOKUP(B696,List_Yield!$G$4:$J$14,4,FALSE)</f>
        <v>Asia (Continental)</v>
      </c>
      <c r="E696" s="3463" t="str">
        <f t="shared" si="20"/>
        <v>Asia (Continental)Chick peas</v>
      </c>
      <c r="F696" s="2994">
        <v>0</v>
      </c>
      <c r="G696" s="2994">
        <v>0</v>
      </c>
      <c r="H696" s="2994">
        <v>0</v>
      </c>
      <c r="I696" s="2994">
        <v>0</v>
      </c>
      <c r="J696" s="2994">
        <v>0</v>
      </c>
      <c r="K696" s="2994">
        <v>0</v>
      </c>
      <c r="L696" s="2994">
        <v>0</v>
      </c>
      <c r="M696" s="2994">
        <v>0</v>
      </c>
      <c r="N696" s="2994">
        <v>0</v>
      </c>
      <c r="O696" s="2994">
        <v>0</v>
      </c>
      <c r="P696" s="2994">
        <v>0</v>
      </c>
      <c r="Q696" s="2994">
        <v>0</v>
      </c>
      <c r="R696" s="2994">
        <v>0</v>
      </c>
      <c r="S696" s="2994">
        <v>0</v>
      </c>
      <c r="T696" s="2994">
        <v>0</v>
      </c>
      <c r="U696" s="2994">
        <v>0</v>
      </c>
      <c r="V696" s="2994">
        <v>0</v>
      </c>
      <c r="W696" s="2994">
        <v>0</v>
      </c>
      <c r="X696" s="2994">
        <v>0</v>
      </c>
      <c r="Y696" s="2994">
        <v>0</v>
      </c>
      <c r="Z696" s="2994">
        <v>0</v>
      </c>
      <c r="AA696" s="2994">
        <v>0</v>
      </c>
      <c r="AB696" s="2994">
        <v>0</v>
      </c>
      <c r="AC696" s="2994">
        <v>0</v>
      </c>
      <c r="AD696" s="2994">
        <v>0</v>
      </c>
      <c r="AE696" s="2994">
        <v>0</v>
      </c>
      <c r="AF696" s="2994">
        <v>0</v>
      </c>
      <c r="AG696" s="2994">
        <v>0</v>
      </c>
      <c r="AH696" s="2994">
        <v>0</v>
      </c>
      <c r="AI696" s="2994">
        <v>0</v>
      </c>
      <c r="AJ696" s="2994">
        <v>0</v>
      </c>
      <c r="AK696" s="2994">
        <v>1.3332999999999999</v>
      </c>
      <c r="AL696" s="2994">
        <v>0.754</v>
      </c>
      <c r="AM696" s="2994">
        <v>1.2713000000000001</v>
      </c>
      <c r="AN696" s="2994">
        <v>2</v>
      </c>
      <c r="AO696" s="2994">
        <v>1.8258000000000001</v>
      </c>
      <c r="AP696" s="2994">
        <v>3.3332999999999999</v>
      </c>
      <c r="AQ696" s="2994">
        <v>3.2894999999999999</v>
      </c>
      <c r="AR696" s="2994">
        <v>3.3332999999999999</v>
      </c>
      <c r="AS696" s="2994">
        <v>3.1008</v>
      </c>
      <c r="AT696" s="2994">
        <v>3</v>
      </c>
      <c r="AU696" s="2994">
        <v>3.5</v>
      </c>
      <c r="AV696" s="2994">
        <v>2.9630000000000001</v>
      </c>
      <c r="AW696" s="2994">
        <v>4.3478000000000003</v>
      </c>
      <c r="AX696" s="2994">
        <v>3.75</v>
      </c>
      <c r="AY696" s="2994">
        <v>3.5</v>
      </c>
      <c r="AZ696" s="2994">
        <v>3.65</v>
      </c>
      <c r="BA696" s="2994">
        <v>4</v>
      </c>
      <c r="BB696" s="2994">
        <v>3.2</v>
      </c>
      <c r="BC696" s="2994">
        <v>2.8332999999999999</v>
      </c>
      <c r="BD696" s="3471">
        <v>4</v>
      </c>
      <c r="BE696" s="3471">
        <v>3.8235000000000001</v>
      </c>
      <c r="BF696" s="3471">
        <v>3.3332999999999999</v>
      </c>
    </row>
    <row r="697" spans="1:58">
      <c r="A697" s="1817" t="str">
        <f t="shared" si="21"/>
        <v>Eastern AsiaChicory roots</v>
      </c>
      <c r="B697" s="1818" t="s">
        <v>1328</v>
      </c>
      <c r="C697" s="1818" t="s">
        <v>7308</v>
      </c>
      <c r="D697" s="3463" t="str">
        <f>VLOOKUP(B697,List_Yield!$G$4:$J$14,4,FALSE)</f>
        <v>Asia (Continental)</v>
      </c>
      <c r="E697" s="3463" t="str">
        <f t="shared" si="20"/>
        <v>Asia (Continental)Chicory roots</v>
      </c>
      <c r="F697" s="2994">
        <v>0</v>
      </c>
      <c r="G697" s="2994">
        <v>0</v>
      </c>
      <c r="H697" s="2994">
        <v>0</v>
      </c>
      <c r="I697" s="2994">
        <v>0</v>
      </c>
      <c r="J697" s="2994">
        <v>0</v>
      </c>
      <c r="K697" s="2994">
        <v>0</v>
      </c>
      <c r="L697" s="2994">
        <v>0</v>
      </c>
      <c r="M697" s="2994">
        <v>0</v>
      </c>
      <c r="N697" s="2994">
        <v>0</v>
      </c>
      <c r="O697" s="2994">
        <v>0</v>
      </c>
      <c r="P697" s="2994">
        <v>0</v>
      </c>
      <c r="Q697" s="2994">
        <v>0</v>
      </c>
      <c r="R697" s="2994">
        <v>0</v>
      </c>
      <c r="S697" s="2994">
        <v>0</v>
      </c>
      <c r="T697" s="2994">
        <v>0</v>
      </c>
      <c r="U697" s="2994">
        <v>0</v>
      </c>
      <c r="V697" s="2994">
        <v>0</v>
      </c>
      <c r="W697" s="2994">
        <v>0</v>
      </c>
      <c r="X697" s="2994">
        <v>0</v>
      </c>
      <c r="Y697" s="2994">
        <v>0</v>
      </c>
      <c r="Z697" s="2994">
        <v>0</v>
      </c>
      <c r="AA697" s="2994">
        <v>0</v>
      </c>
      <c r="AB697" s="2994">
        <v>0</v>
      </c>
      <c r="AC697" s="2994">
        <v>0</v>
      </c>
      <c r="AD697" s="2994">
        <v>0</v>
      </c>
      <c r="AE697" s="2994">
        <v>0</v>
      </c>
      <c r="AF697" s="2994">
        <v>0</v>
      </c>
      <c r="AG697" s="2994">
        <v>0</v>
      </c>
      <c r="AH697" s="2994">
        <v>0</v>
      </c>
      <c r="AI697" s="2994">
        <v>0</v>
      </c>
      <c r="AJ697" s="2994">
        <v>0</v>
      </c>
      <c r="AK697" s="2994">
        <v>0</v>
      </c>
      <c r="AL697" s="2994">
        <v>0</v>
      </c>
      <c r="AM697" s="2994">
        <v>0</v>
      </c>
      <c r="AN697" s="2994">
        <v>0</v>
      </c>
      <c r="AO697" s="2994">
        <v>0</v>
      </c>
      <c r="AP697" s="2994">
        <v>0</v>
      </c>
      <c r="AQ697" s="2994">
        <v>0</v>
      </c>
      <c r="AR697" s="2994">
        <v>0</v>
      </c>
      <c r="AS697" s="2994">
        <v>0</v>
      </c>
      <c r="AT697" s="2994">
        <v>0</v>
      </c>
      <c r="AU697" s="2994">
        <v>0</v>
      </c>
      <c r="AV697" s="2994">
        <v>0</v>
      </c>
      <c r="AW697" s="2994">
        <v>0</v>
      </c>
      <c r="AX697" s="2994">
        <v>0</v>
      </c>
      <c r="AY697" s="2994">
        <v>0</v>
      </c>
      <c r="AZ697" s="2994">
        <v>0</v>
      </c>
      <c r="BA697" s="2994">
        <v>0</v>
      </c>
      <c r="BB697" s="2994">
        <v>0</v>
      </c>
      <c r="BC697" s="2994">
        <v>0</v>
      </c>
      <c r="BD697" s="3471">
        <v>0</v>
      </c>
      <c r="BE697" s="3471">
        <v>0</v>
      </c>
      <c r="BF697" s="3471">
        <v>0</v>
      </c>
    </row>
    <row r="698" spans="1:58">
      <c r="A698" s="1817" t="str">
        <f t="shared" si="21"/>
        <v>Eastern AsiaChillies and peppers, dry</v>
      </c>
      <c r="B698" s="1818" t="s">
        <v>1328</v>
      </c>
      <c r="C698" s="1818" t="s">
        <v>7309</v>
      </c>
      <c r="D698" s="3463" t="str">
        <f>VLOOKUP(B698,List_Yield!$G$4:$J$14,4,FALSE)</f>
        <v>Asia (Continental)</v>
      </c>
      <c r="E698" s="3463" t="str">
        <f t="shared" si="20"/>
        <v>Asia (Continental)Chillies and peppers, dry</v>
      </c>
      <c r="F698" s="2994">
        <v>3.5789</v>
      </c>
      <c r="G698" s="2994">
        <v>3.7105000000000001</v>
      </c>
      <c r="H698" s="2994">
        <v>3.9722</v>
      </c>
      <c r="I698" s="2994">
        <v>3.7250000000000001</v>
      </c>
      <c r="J698" s="2994">
        <v>4.0244</v>
      </c>
      <c r="K698" s="2994">
        <v>4.1500000000000004</v>
      </c>
      <c r="L698" s="2994">
        <v>4.0999999999999996</v>
      </c>
      <c r="M698" s="2994">
        <v>4.1429</v>
      </c>
      <c r="N698" s="2994">
        <v>4.0909000000000004</v>
      </c>
      <c r="O698" s="2994">
        <v>4.4634</v>
      </c>
      <c r="P698" s="2994">
        <v>4.2727000000000004</v>
      </c>
      <c r="Q698" s="2994">
        <v>4.5713999999999997</v>
      </c>
      <c r="R698" s="2994">
        <v>4.6047000000000002</v>
      </c>
      <c r="S698" s="2994">
        <v>4.5454999999999997</v>
      </c>
      <c r="T698" s="2994">
        <v>4.5651999999999999</v>
      </c>
      <c r="U698" s="2994">
        <v>4.5956999999999999</v>
      </c>
      <c r="V698" s="2994">
        <v>4.6809000000000003</v>
      </c>
      <c r="W698" s="2994">
        <v>4.6666999999999996</v>
      </c>
      <c r="X698" s="2994">
        <v>5.0434999999999999</v>
      </c>
      <c r="Y698" s="2994">
        <v>4.9166999999999996</v>
      </c>
      <c r="Z698" s="2994">
        <v>5</v>
      </c>
      <c r="AA698" s="2994">
        <v>5.1020000000000003</v>
      </c>
      <c r="AB698" s="2994">
        <v>5</v>
      </c>
      <c r="AC698" s="2994">
        <v>5.2941000000000003</v>
      </c>
      <c r="AD698" s="2994">
        <v>5.6</v>
      </c>
      <c r="AE698" s="2994">
        <v>5</v>
      </c>
      <c r="AF698" s="2994">
        <v>5.5556000000000001</v>
      </c>
      <c r="AG698" s="2994">
        <v>5.6295999999999999</v>
      </c>
      <c r="AH698" s="2994">
        <v>5.5713999999999997</v>
      </c>
      <c r="AI698" s="2994">
        <v>5.6139999999999999</v>
      </c>
      <c r="AJ698" s="2994">
        <v>5.8571</v>
      </c>
      <c r="AK698" s="2994">
        <v>5.7930999999999999</v>
      </c>
      <c r="AL698" s="2994">
        <v>5.7332999999999998</v>
      </c>
      <c r="AM698" s="2994">
        <v>5.5678999999999998</v>
      </c>
      <c r="AN698" s="2994">
        <v>5.2789000000000001</v>
      </c>
      <c r="AO698" s="2994">
        <v>5.1696</v>
      </c>
      <c r="AP698" s="2994">
        <v>6.0606</v>
      </c>
      <c r="AQ698" s="2994">
        <v>4.8798000000000004</v>
      </c>
      <c r="AR698" s="2994">
        <v>6.3235000000000001</v>
      </c>
      <c r="AS698" s="2994">
        <v>6.0571000000000002</v>
      </c>
      <c r="AT698" s="2994">
        <v>5.7657999999999996</v>
      </c>
      <c r="AU698" s="2994">
        <v>6.1971999999999996</v>
      </c>
      <c r="AV698" s="2994">
        <v>6.3888999999999996</v>
      </c>
      <c r="AW698" s="2994">
        <v>5.7144000000000004</v>
      </c>
      <c r="AX698" s="2994">
        <v>6.5753000000000004</v>
      </c>
      <c r="AY698" s="2994">
        <v>6.4474</v>
      </c>
      <c r="AZ698" s="2994">
        <v>6.25</v>
      </c>
      <c r="BA698" s="2994">
        <v>6.1463000000000001</v>
      </c>
      <c r="BB698" s="2994">
        <v>6.1905000000000001</v>
      </c>
      <c r="BC698" s="2994">
        <v>6.1627999999999998</v>
      </c>
      <c r="BD698" s="3471">
        <v>6.6009000000000002</v>
      </c>
      <c r="BE698" s="3471">
        <v>6.7442000000000002</v>
      </c>
      <c r="BF698" s="3471">
        <v>0</v>
      </c>
    </row>
    <row r="699" spans="1:58">
      <c r="A699" s="1817" t="str">
        <f t="shared" si="21"/>
        <v>Eastern AsiaChillies and peppers, green</v>
      </c>
      <c r="B699" s="1818" t="s">
        <v>1328</v>
      </c>
      <c r="C699" s="1818" t="s">
        <v>7310</v>
      </c>
      <c r="D699" s="3463" t="str">
        <f>VLOOKUP(B699,List_Yield!$G$4:$J$14,4,FALSE)</f>
        <v>Asia (Continental)</v>
      </c>
      <c r="E699" s="3463" t="str">
        <f t="shared" si="20"/>
        <v>Asia (Continental)Chillies and peppers, green</v>
      </c>
      <c r="F699" s="2994">
        <v>10.5124</v>
      </c>
      <c r="G699" s="2994">
        <v>10.8973</v>
      </c>
      <c r="H699" s="2994">
        <v>11.271000000000001</v>
      </c>
      <c r="I699" s="2994">
        <v>11.122400000000001</v>
      </c>
      <c r="J699" s="2994">
        <v>11.7118</v>
      </c>
      <c r="K699" s="2994">
        <v>11.9976</v>
      </c>
      <c r="L699" s="2994">
        <v>11.803699999999999</v>
      </c>
      <c r="M699" s="2994">
        <v>12.536099999999999</v>
      </c>
      <c r="N699" s="2994">
        <v>12.6746</v>
      </c>
      <c r="O699" s="2994">
        <v>11.800599999999999</v>
      </c>
      <c r="P699" s="2994">
        <v>11.9038</v>
      </c>
      <c r="Q699" s="2994">
        <v>11.0991</v>
      </c>
      <c r="R699" s="2994">
        <v>11.3186</v>
      </c>
      <c r="S699" s="2994">
        <v>11.4404</v>
      </c>
      <c r="T699" s="2994">
        <v>9.2144999999999992</v>
      </c>
      <c r="U699" s="2994">
        <v>9.0084999999999997</v>
      </c>
      <c r="V699" s="2994">
        <v>9.6115999999999993</v>
      </c>
      <c r="W699" s="2994">
        <v>10.2963</v>
      </c>
      <c r="X699" s="2994">
        <v>8.9862000000000002</v>
      </c>
      <c r="Y699" s="2994">
        <v>7.8998999999999997</v>
      </c>
      <c r="Z699" s="2994">
        <v>8.1717999999999993</v>
      </c>
      <c r="AA699" s="2994">
        <v>9.3323</v>
      </c>
      <c r="AB699" s="2994">
        <v>9.1582000000000008</v>
      </c>
      <c r="AC699" s="2994">
        <v>10.213800000000001</v>
      </c>
      <c r="AD699" s="2994">
        <v>10.2416</v>
      </c>
      <c r="AE699" s="2994">
        <v>9.9750999999999994</v>
      </c>
      <c r="AF699" s="2994">
        <v>11.125999999999999</v>
      </c>
      <c r="AG699" s="2994">
        <v>11.222300000000001</v>
      </c>
      <c r="AH699" s="2994">
        <v>12.305300000000001</v>
      </c>
      <c r="AI699" s="2994">
        <v>13.0322</v>
      </c>
      <c r="AJ699" s="2994">
        <v>12.673999999999999</v>
      </c>
      <c r="AK699" s="2994">
        <v>13.9648</v>
      </c>
      <c r="AL699" s="2994">
        <v>13.146599999999999</v>
      </c>
      <c r="AM699" s="2994">
        <v>13.6153</v>
      </c>
      <c r="AN699" s="2994">
        <v>14.3864</v>
      </c>
      <c r="AO699" s="2994">
        <v>14.9617</v>
      </c>
      <c r="AP699" s="2994">
        <v>15.5357</v>
      </c>
      <c r="AQ699" s="2994">
        <v>15.581300000000001</v>
      </c>
      <c r="AR699" s="2994">
        <v>15.1325</v>
      </c>
      <c r="AS699" s="2994">
        <v>16.533899999999999</v>
      </c>
      <c r="AT699" s="2994">
        <v>16.4941</v>
      </c>
      <c r="AU699" s="2994">
        <v>16.4254</v>
      </c>
      <c r="AV699" s="2994">
        <v>17.407299999999999</v>
      </c>
      <c r="AW699" s="2994">
        <v>17.9133</v>
      </c>
      <c r="AX699" s="2994">
        <v>18.521999999999998</v>
      </c>
      <c r="AY699" s="2994">
        <v>18.9285</v>
      </c>
      <c r="AZ699" s="2994">
        <v>19.694800000000001</v>
      </c>
      <c r="BA699" s="2994">
        <v>20.223800000000001</v>
      </c>
      <c r="BB699" s="2994">
        <v>20.388999999999999</v>
      </c>
      <c r="BC699" s="2994">
        <v>20.438199999999998</v>
      </c>
      <c r="BD699" s="3471">
        <v>20.4941</v>
      </c>
      <c r="BE699" s="3471">
        <v>21.017800000000001</v>
      </c>
      <c r="BF699" s="3471">
        <v>0</v>
      </c>
    </row>
    <row r="700" spans="1:58">
      <c r="A700" s="1817" t="str">
        <f t="shared" si="21"/>
        <v>Eastern AsiaCinnamon (canella)</v>
      </c>
      <c r="B700" s="1818" t="s">
        <v>1328</v>
      </c>
      <c r="C700" s="1818" t="s">
        <v>7311</v>
      </c>
      <c r="D700" s="3463" t="str">
        <f>VLOOKUP(B700,List_Yield!$G$4:$J$14,4,FALSE)</f>
        <v>Asia (Continental)</v>
      </c>
      <c r="E700" s="3463" t="str">
        <f t="shared" si="20"/>
        <v>Asia (Continental)Cinnamon (canella)</v>
      </c>
      <c r="F700" s="2994">
        <v>0</v>
      </c>
      <c r="G700" s="2994">
        <v>0</v>
      </c>
      <c r="H700" s="2994">
        <v>0</v>
      </c>
      <c r="I700" s="2994">
        <v>0</v>
      </c>
      <c r="J700" s="2994">
        <v>0</v>
      </c>
      <c r="K700" s="2994">
        <v>0</v>
      </c>
      <c r="L700" s="2994">
        <v>0</v>
      </c>
      <c r="M700" s="2994">
        <v>0</v>
      </c>
      <c r="N700" s="2994">
        <v>0</v>
      </c>
      <c r="O700" s="2994">
        <v>0</v>
      </c>
      <c r="P700" s="2994">
        <v>0</v>
      </c>
      <c r="Q700" s="2994">
        <v>0</v>
      </c>
      <c r="R700" s="2994">
        <v>0</v>
      </c>
      <c r="S700" s="2994">
        <v>0</v>
      </c>
      <c r="T700" s="2994">
        <v>0</v>
      </c>
      <c r="U700" s="2994">
        <v>0</v>
      </c>
      <c r="V700" s="2994">
        <v>0</v>
      </c>
      <c r="W700" s="2994">
        <v>0</v>
      </c>
      <c r="X700" s="2994">
        <v>0</v>
      </c>
      <c r="Y700" s="2994">
        <v>0</v>
      </c>
      <c r="Z700" s="2994">
        <v>0</v>
      </c>
      <c r="AA700" s="2994">
        <v>0</v>
      </c>
      <c r="AB700" s="2994">
        <v>0</v>
      </c>
      <c r="AC700" s="2994">
        <v>0</v>
      </c>
      <c r="AD700" s="2994">
        <v>0.51429999999999998</v>
      </c>
      <c r="AE700" s="2994">
        <v>0.57140000000000002</v>
      </c>
      <c r="AF700" s="2994">
        <v>0.57140000000000002</v>
      </c>
      <c r="AG700" s="2994">
        <v>0.62860000000000005</v>
      </c>
      <c r="AH700" s="2994">
        <v>0.57140000000000002</v>
      </c>
      <c r="AI700" s="2994">
        <v>0.86890000000000001</v>
      </c>
      <c r="AJ700" s="2994">
        <v>1.032</v>
      </c>
      <c r="AK700" s="2994">
        <v>0.83160000000000001</v>
      </c>
      <c r="AL700" s="2994">
        <v>1.0275000000000001</v>
      </c>
      <c r="AM700" s="2994">
        <v>0.82920000000000005</v>
      </c>
      <c r="AN700" s="2994">
        <v>1.0106999999999999</v>
      </c>
      <c r="AO700" s="2994">
        <v>1.1296999999999999</v>
      </c>
      <c r="AP700" s="2994">
        <v>1.2074</v>
      </c>
      <c r="AQ700" s="2994">
        <v>1.3515999999999999</v>
      </c>
      <c r="AR700" s="2994">
        <v>1.3243</v>
      </c>
      <c r="AS700" s="2994">
        <v>1.0278</v>
      </c>
      <c r="AT700" s="2994">
        <v>1.0810999999999999</v>
      </c>
      <c r="AU700" s="2994">
        <v>1.1841999999999999</v>
      </c>
      <c r="AV700" s="2994">
        <v>1.4838</v>
      </c>
      <c r="AW700" s="2994">
        <v>1.2307999999999999</v>
      </c>
      <c r="AX700" s="2994">
        <v>1.25</v>
      </c>
      <c r="AY700" s="2994">
        <v>1.0549999999999999</v>
      </c>
      <c r="AZ700" s="2994">
        <v>1.2222</v>
      </c>
      <c r="BA700" s="2994">
        <v>1.4955000000000001</v>
      </c>
      <c r="BB700" s="2994">
        <v>1.5049999999999999</v>
      </c>
      <c r="BC700" s="2994">
        <v>1.575</v>
      </c>
      <c r="BD700" s="3471">
        <v>1.6870000000000001</v>
      </c>
      <c r="BE700" s="3471">
        <v>1.7250000000000001</v>
      </c>
      <c r="BF700" s="3471">
        <v>0</v>
      </c>
    </row>
    <row r="701" spans="1:58">
      <c r="A701" s="1817" t="str">
        <f t="shared" si="21"/>
        <v>Eastern AsiaCloves</v>
      </c>
      <c r="B701" s="1818" t="s">
        <v>1328</v>
      </c>
      <c r="C701" s="1818" t="s">
        <v>7312</v>
      </c>
      <c r="D701" s="3463" t="str">
        <f>VLOOKUP(B701,List_Yield!$G$4:$J$14,4,FALSE)</f>
        <v>Asia (Continental)</v>
      </c>
      <c r="E701" s="3463" t="str">
        <f t="shared" ref="E701:E764" si="22">CONCATENATE(D701,C701)</f>
        <v>Asia (Continental)Cloves</v>
      </c>
      <c r="F701" s="2994">
        <v>0</v>
      </c>
      <c r="G701" s="2994">
        <v>0</v>
      </c>
      <c r="H701" s="2994">
        <v>0</v>
      </c>
      <c r="I701" s="2994">
        <v>0</v>
      </c>
      <c r="J701" s="2994">
        <v>0</v>
      </c>
      <c r="K701" s="2994">
        <v>0</v>
      </c>
      <c r="L701" s="2994">
        <v>0</v>
      </c>
      <c r="M701" s="2994">
        <v>0</v>
      </c>
      <c r="N701" s="2994">
        <v>0</v>
      </c>
      <c r="O701" s="2994">
        <v>0</v>
      </c>
      <c r="P701" s="2994">
        <v>0</v>
      </c>
      <c r="Q701" s="2994">
        <v>0</v>
      </c>
      <c r="R701" s="2994">
        <v>0</v>
      </c>
      <c r="S701" s="2994">
        <v>0</v>
      </c>
      <c r="T701" s="2994">
        <v>0</v>
      </c>
      <c r="U701" s="2994">
        <v>0</v>
      </c>
      <c r="V701" s="2994">
        <v>0</v>
      </c>
      <c r="W701" s="2994">
        <v>0</v>
      </c>
      <c r="X701" s="2994">
        <v>0</v>
      </c>
      <c r="Y701" s="2994">
        <v>0</v>
      </c>
      <c r="Z701" s="2994">
        <v>0</v>
      </c>
      <c r="AA701" s="2994">
        <v>0</v>
      </c>
      <c r="AB701" s="2994">
        <v>0</v>
      </c>
      <c r="AC701" s="2994">
        <v>0</v>
      </c>
      <c r="AD701" s="2994">
        <v>0</v>
      </c>
      <c r="AE701" s="2994">
        <v>0.33329999999999999</v>
      </c>
      <c r="AF701" s="2994">
        <v>0.33329999999999999</v>
      </c>
      <c r="AG701" s="2994">
        <v>0.33329999999999999</v>
      </c>
      <c r="AH701" s="2994">
        <v>0.26669999999999999</v>
      </c>
      <c r="AI701" s="2994">
        <v>0.40949999999999998</v>
      </c>
      <c r="AJ701" s="2994">
        <v>0.36359999999999998</v>
      </c>
      <c r="AK701" s="2994">
        <v>0.33329999999999999</v>
      </c>
      <c r="AL701" s="2994">
        <v>0.36420000000000002</v>
      </c>
      <c r="AM701" s="2994">
        <v>0.36559999999999998</v>
      </c>
      <c r="AN701" s="2994">
        <v>0.53480000000000005</v>
      </c>
      <c r="AO701" s="2994">
        <v>0.64090000000000003</v>
      </c>
      <c r="AP701" s="2994">
        <v>0.6452</v>
      </c>
      <c r="AQ701" s="2994">
        <v>0.58720000000000006</v>
      </c>
      <c r="AR701" s="2994">
        <v>0.6421</v>
      </c>
      <c r="AS701" s="2994">
        <v>0.85909999999999997</v>
      </c>
      <c r="AT701" s="2994">
        <v>0.81879999999999997</v>
      </c>
      <c r="AU701" s="2994">
        <v>1.0073000000000001</v>
      </c>
      <c r="AV701" s="2994">
        <v>0.99670000000000003</v>
      </c>
      <c r="AW701" s="2994">
        <v>1.2433000000000001</v>
      </c>
      <c r="AX701" s="2994">
        <v>1.1399999999999999</v>
      </c>
      <c r="AY701" s="2994">
        <v>0.88570000000000004</v>
      </c>
      <c r="AZ701" s="2994">
        <v>1.0667</v>
      </c>
      <c r="BA701" s="2994">
        <v>1.0313000000000001</v>
      </c>
      <c r="BB701" s="2994">
        <v>1.1321000000000001</v>
      </c>
      <c r="BC701" s="2994">
        <v>1.0650999999999999</v>
      </c>
      <c r="BD701" s="3471">
        <v>1.1404000000000001</v>
      </c>
      <c r="BE701" s="3471">
        <v>1.1499999999999999</v>
      </c>
      <c r="BF701" s="3471">
        <v>0</v>
      </c>
    </row>
    <row r="702" spans="1:58">
      <c r="A702" s="1817" t="str">
        <f t="shared" si="21"/>
        <v>Eastern AsiaCocoa, beans</v>
      </c>
      <c r="B702" s="1818" t="s">
        <v>1328</v>
      </c>
      <c r="C702" s="1818" t="s">
        <v>7313</v>
      </c>
      <c r="D702" s="3463" t="str">
        <f>VLOOKUP(B702,List_Yield!$G$4:$J$14,4,FALSE)</f>
        <v>Asia (Continental)</v>
      </c>
      <c r="E702" s="3463" t="str">
        <f t="shared" si="22"/>
        <v>Asia (Continental)Cocoa, beans</v>
      </c>
      <c r="F702" s="2994">
        <v>0</v>
      </c>
      <c r="G702" s="2994">
        <v>0</v>
      </c>
      <c r="H702" s="2994">
        <v>0</v>
      </c>
      <c r="I702" s="2994">
        <v>0</v>
      </c>
      <c r="J702" s="2994">
        <v>0</v>
      </c>
      <c r="K702" s="2994">
        <v>0</v>
      </c>
      <c r="L702" s="2994">
        <v>0</v>
      </c>
      <c r="M702" s="2994">
        <v>0</v>
      </c>
      <c r="N702" s="2994">
        <v>0</v>
      </c>
      <c r="O702" s="2994">
        <v>0</v>
      </c>
      <c r="P702" s="2994">
        <v>0</v>
      </c>
      <c r="Q702" s="2994">
        <v>0</v>
      </c>
      <c r="R702" s="2994">
        <v>0</v>
      </c>
      <c r="S702" s="2994">
        <v>0</v>
      </c>
      <c r="T702" s="2994">
        <v>0</v>
      </c>
      <c r="U702" s="2994">
        <v>0</v>
      </c>
      <c r="V702" s="2994">
        <v>0</v>
      </c>
      <c r="W702" s="2994">
        <v>0</v>
      </c>
      <c r="X702" s="2994">
        <v>0</v>
      </c>
      <c r="Y702" s="2994">
        <v>0</v>
      </c>
      <c r="Z702" s="2994">
        <v>0</v>
      </c>
      <c r="AA702" s="2994">
        <v>0</v>
      </c>
      <c r="AB702" s="2994">
        <v>0</v>
      </c>
      <c r="AC702" s="2994">
        <v>0</v>
      </c>
      <c r="AD702" s="2994">
        <v>0</v>
      </c>
      <c r="AE702" s="2994">
        <v>0</v>
      </c>
      <c r="AF702" s="2994">
        <v>0</v>
      </c>
      <c r="AG702" s="2994">
        <v>0</v>
      </c>
      <c r="AH702" s="2994">
        <v>0</v>
      </c>
      <c r="AI702" s="2994">
        <v>0</v>
      </c>
      <c r="AJ702" s="2994">
        <v>0</v>
      </c>
      <c r="AK702" s="2994">
        <v>0</v>
      </c>
      <c r="AL702" s="2994">
        <v>0</v>
      </c>
      <c r="AM702" s="2994">
        <v>0</v>
      </c>
      <c r="AN702" s="2994">
        <v>0</v>
      </c>
      <c r="AO702" s="2994">
        <v>0</v>
      </c>
      <c r="AP702" s="2994">
        <v>0</v>
      </c>
      <c r="AQ702" s="2994">
        <v>0</v>
      </c>
      <c r="AR702" s="2994">
        <v>0</v>
      </c>
      <c r="AS702" s="2994">
        <v>0</v>
      </c>
      <c r="AT702" s="2994">
        <v>0</v>
      </c>
      <c r="AU702" s="2994">
        <v>0</v>
      </c>
      <c r="AV702" s="2994">
        <v>0</v>
      </c>
      <c r="AW702" s="2994">
        <v>0</v>
      </c>
      <c r="AX702" s="2994">
        <v>0</v>
      </c>
      <c r="AY702" s="2994">
        <v>0</v>
      </c>
      <c r="AZ702" s="2994">
        <v>0</v>
      </c>
      <c r="BA702" s="2994">
        <v>0</v>
      </c>
      <c r="BB702" s="2994">
        <v>0</v>
      </c>
      <c r="BC702" s="2994">
        <v>0</v>
      </c>
      <c r="BD702" s="3471">
        <v>0</v>
      </c>
      <c r="BE702" s="3471">
        <v>0</v>
      </c>
      <c r="BF702" s="3471">
        <v>0</v>
      </c>
    </row>
    <row r="703" spans="1:58">
      <c r="A703" s="1817" t="str">
        <f t="shared" si="21"/>
        <v>Eastern AsiaCoconuts</v>
      </c>
      <c r="B703" s="1818" t="s">
        <v>1328</v>
      </c>
      <c r="C703" s="1818" t="s">
        <v>7314</v>
      </c>
      <c r="D703" s="3463" t="str">
        <f>VLOOKUP(B703,List_Yield!$G$4:$J$14,4,FALSE)</f>
        <v>Asia (Continental)</v>
      </c>
      <c r="E703" s="3463" t="str">
        <f t="shared" si="22"/>
        <v>Asia (Continental)Coconuts</v>
      </c>
      <c r="F703" s="2994">
        <v>0</v>
      </c>
      <c r="G703" s="2994">
        <v>0</v>
      </c>
      <c r="H703" s="2994">
        <v>0</v>
      </c>
      <c r="I703" s="2994">
        <v>0</v>
      </c>
      <c r="J703" s="2994">
        <v>0</v>
      </c>
      <c r="K703" s="2994">
        <v>0</v>
      </c>
      <c r="L703" s="2994">
        <v>0</v>
      </c>
      <c r="M703" s="2994">
        <v>0</v>
      </c>
      <c r="N703" s="2994">
        <v>0</v>
      </c>
      <c r="O703" s="2994">
        <v>0</v>
      </c>
      <c r="P703" s="2994">
        <v>0</v>
      </c>
      <c r="Q703" s="2994">
        <v>0</v>
      </c>
      <c r="R703" s="2994">
        <v>0</v>
      </c>
      <c r="S703" s="2994">
        <v>0</v>
      </c>
      <c r="T703" s="2994">
        <v>0</v>
      </c>
      <c r="U703" s="2994">
        <v>0</v>
      </c>
      <c r="V703" s="2994">
        <v>0</v>
      </c>
      <c r="W703" s="2994">
        <v>0</v>
      </c>
      <c r="X703" s="2994">
        <v>0</v>
      </c>
      <c r="Y703" s="2994">
        <v>0</v>
      </c>
      <c r="Z703" s="2994">
        <v>0</v>
      </c>
      <c r="AA703" s="2994">
        <v>0</v>
      </c>
      <c r="AB703" s="2994">
        <v>0</v>
      </c>
      <c r="AC703" s="2994">
        <v>0</v>
      </c>
      <c r="AD703" s="2994">
        <v>6.3635999999999999</v>
      </c>
      <c r="AE703" s="2994">
        <v>6.25</v>
      </c>
      <c r="AF703" s="2994">
        <v>6.1538000000000004</v>
      </c>
      <c r="AG703" s="2994">
        <v>6.1566999999999998</v>
      </c>
      <c r="AH703" s="2994">
        <v>6.0827</v>
      </c>
      <c r="AI703" s="2994">
        <v>6.8033000000000001</v>
      </c>
      <c r="AJ703" s="2994">
        <v>7.6881000000000004</v>
      </c>
      <c r="AK703" s="2994">
        <v>7.8711000000000002</v>
      </c>
      <c r="AL703" s="2994">
        <v>8.7384000000000004</v>
      </c>
      <c r="AM703" s="2994">
        <v>7.7930000000000001</v>
      </c>
      <c r="AN703" s="2994">
        <v>8.1743000000000006</v>
      </c>
      <c r="AO703" s="2994">
        <v>8.5090000000000003</v>
      </c>
      <c r="AP703" s="2994">
        <v>9.0358999999999998</v>
      </c>
      <c r="AQ703" s="2994">
        <v>10.0261</v>
      </c>
      <c r="AR703" s="2994">
        <v>9.6430000000000007</v>
      </c>
      <c r="AS703" s="2994">
        <v>9.8775999999999993</v>
      </c>
      <c r="AT703" s="2994">
        <v>10.625500000000001</v>
      </c>
      <c r="AU703" s="2994">
        <v>10.220000000000001</v>
      </c>
      <c r="AV703" s="2994">
        <v>9.8301999999999996</v>
      </c>
      <c r="AW703" s="2994">
        <v>10.2797</v>
      </c>
      <c r="AX703" s="2994">
        <v>9.3415999999999997</v>
      </c>
      <c r="AY703" s="2994">
        <v>9.0258000000000003</v>
      </c>
      <c r="AZ703" s="2994">
        <v>9.1328999999999994</v>
      </c>
      <c r="BA703" s="2994">
        <v>20.0259</v>
      </c>
      <c r="BB703" s="2994">
        <v>8.9260000000000002</v>
      </c>
      <c r="BC703" s="2994">
        <v>8.6761999999999997</v>
      </c>
      <c r="BD703" s="3471">
        <v>8.4120000000000008</v>
      </c>
      <c r="BE703" s="3471">
        <v>8.5455000000000005</v>
      </c>
      <c r="BF703" s="3471">
        <v>8.5106000000000002</v>
      </c>
    </row>
    <row r="704" spans="1:58">
      <c r="A704" s="1817" t="str">
        <f t="shared" si="21"/>
        <v>Eastern AsiaCoffee, green</v>
      </c>
      <c r="B704" s="1818" t="s">
        <v>1328</v>
      </c>
      <c r="C704" s="1818" t="s">
        <v>1347</v>
      </c>
      <c r="D704" s="3463" t="str">
        <f>VLOOKUP(B704,List_Yield!$G$4:$J$14,4,FALSE)</f>
        <v>Asia (Continental)</v>
      </c>
      <c r="E704" s="3463" t="str">
        <f t="shared" si="22"/>
        <v>Asia (Continental)Coffee, green</v>
      </c>
      <c r="F704" s="2994">
        <v>0.51749999999999996</v>
      </c>
      <c r="G704" s="2994">
        <v>0.50819999999999999</v>
      </c>
      <c r="H704" s="2994">
        <v>0.50509999999999999</v>
      </c>
      <c r="I704" s="2994">
        <v>0.50380000000000003</v>
      </c>
      <c r="J704" s="2994">
        <v>0.50729999999999997</v>
      </c>
      <c r="K704" s="2994">
        <v>0.4995</v>
      </c>
      <c r="L704" s="2994">
        <v>0.50370000000000004</v>
      </c>
      <c r="M704" s="2994">
        <v>0.5</v>
      </c>
      <c r="N704" s="2994">
        <v>0.50149999999999995</v>
      </c>
      <c r="O704" s="2994">
        <v>0.49969999999999998</v>
      </c>
      <c r="P704" s="2994">
        <v>0.49890000000000001</v>
      </c>
      <c r="Q704" s="2994">
        <v>0.58589999999999998</v>
      </c>
      <c r="R704" s="2994">
        <v>0.79249999999999998</v>
      </c>
      <c r="S704" s="2994">
        <v>0.79849999999999999</v>
      </c>
      <c r="T704" s="2994">
        <v>0.53659999999999997</v>
      </c>
      <c r="U704" s="2994">
        <v>0.498</v>
      </c>
      <c r="V704" s="2994">
        <v>0.502</v>
      </c>
      <c r="W704" s="2994">
        <v>0.50119999999999998</v>
      </c>
      <c r="X704" s="2994">
        <v>0.55489999999999995</v>
      </c>
      <c r="Y704" s="2994">
        <v>0.50129999999999997</v>
      </c>
      <c r="Z704" s="2994">
        <v>0.50119999999999998</v>
      </c>
      <c r="AA704" s="2994">
        <v>0.50119999999999998</v>
      </c>
      <c r="AB704" s="2994">
        <v>0.46150000000000002</v>
      </c>
      <c r="AC704" s="2994">
        <v>0.5625</v>
      </c>
      <c r="AD704" s="2994">
        <v>0.53849999999999998</v>
      </c>
      <c r="AE704" s="2994">
        <v>0.55000000000000004</v>
      </c>
      <c r="AF704" s="2994">
        <v>0.57330000000000003</v>
      </c>
      <c r="AG704" s="2994">
        <v>0.55559999999999998</v>
      </c>
      <c r="AH704" s="2994">
        <v>0.5333</v>
      </c>
      <c r="AI704" s="2994">
        <v>0.52500000000000002</v>
      </c>
      <c r="AJ704" s="2994">
        <v>0.53849999999999998</v>
      </c>
      <c r="AK704" s="2994">
        <v>0.54290000000000005</v>
      </c>
      <c r="AL704" s="2994">
        <v>0.54590000000000005</v>
      </c>
      <c r="AM704" s="2994">
        <v>0.51919999999999999</v>
      </c>
      <c r="AN704" s="2994">
        <v>0.53269999999999995</v>
      </c>
      <c r="AO704" s="2994">
        <v>0.54959999999999998</v>
      </c>
      <c r="AP704" s="2994">
        <v>0.48280000000000001</v>
      </c>
      <c r="AQ704" s="2994">
        <v>1.4175</v>
      </c>
      <c r="AR704" s="2994">
        <v>1.2490000000000001</v>
      </c>
      <c r="AS704" s="2994">
        <v>1.2050000000000001</v>
      </c>
      <c r="AT704" s="2994">
        <v>1.1781999999999999</v>
      </c>
      <c r="AU704" s="2994">
        <v>1.2472000000000001</v>
      </c>
      <c r="AV704" s="2994">
        <v>1.4464999999999999</v>
      </c>
      <c r="AW704" s="2994">
        <v>1.8048999999999999</v>
      </c>
      <c r="AX704" s="2994">
        <v>1.4140999999999999</v>
      </c>
      <c r="AY704" s="2994">
        <v>1.7816000000000001</v>
      </c>
      <c r="AZ704" s="2994">
        <v>1.7206999999999999</v>
      </c>
      <c r="BA704" s="2994">
        <v>2.0440999999999998</v>
      </c>
      <c r="BB704" s="2994">
        <v>3.1248999999999998</v>
      </c>
      <c r="BC704" s="2994">
        <v>1.9833000000000001</v>
      </c>
      <c r="BD704" s="3471">
        <v>2.2126999999999999</v>
      </c>
      <c r="BE704" s="3471">
        <v>2.2581000000000002</v>
      </c>
      <c r="BF704" s="3471">
        <v>0</v>
      </c>
    </row>
    <row r="705" spans="1:58">
      <c r="A705" s="1817" t="str">
        <f t="shared" si="21"/>
        <v>Eastern AsiaCoir</v>
      </c>
      <c r="B705" s="1818" t="s">
        <v>1328</v>
      </c>
      <c r="C705" s="1818" t="s">
        <v>7315</v>
      </c>
      <c r="D705" s="3463" t="str">
        <f>VLOOKUP(B705,List_Yield!$G$4:$J$14,4,FALSE)</f>
        <v>Asia (Continental)</v>
      </c>
      <c r="E705" s="3463" t="str">
        <f t="shared" si="22"/>
        <v>Asia (Continental)Coir</v>
      </c>
      <c r="F705" s="2994">
        <v>0</v>
      </c>
      <c r="G705" s="2994">
        <v>0</v>
      </c>
      <c r="H705" s="2994">
        <v>0</v>
      </c>
      <c r="I705" s="2994">
        <v>0</v>
      </c>
      <c r="J705" s="2994">
        <v>0</v>
      </c>
      <c r="K705" s="2994">
        <v>0</v>
      </c>
      <c r="L705" s="2994">
        <v>0</v>
      </c>
      <c r="M705" s="2994">
        <v>0</v>
      </c>
      <c r="N705" s="2994">
        <v>0</v>
      </c>
      <c r="O705" s="2994">
        <v>0</v>
      </c>
      <c r="P705" s="2994">
        <v>0</v>
      </c>
      <c r="Q705" s="2994">
        <v>0</v>
      </c>
      <c r="R705" s="2994">
        <v>0</v>
      </c>
      <c r="S705" s="2994">
        <v>0</v>
      </c>
      <c r="T705" s="2994">
        <v>0</v>
      </c>
      <c r="U705" s="2994">
        <v>0</v>
      </c>
      <c r="V705" s="2994">
        <v>0</v>
      </c>
      <c r="W705" s="2994">
        <v>0</v>
      </c>
      <c r="X705" s="2994">
        <v>0</v>
      </c>
      <c r="Y705" s="2994">
        <v>0</v>
      </c>
      <c r="Z705" s="2994">
        <v>0</v>
      </c>
      <c r="AA705" s="2994">
        <v>0</v>
      </c>
      <c r="AB705" s="2994">
        <v>0</v>
      </c>
      <c r="AC705" s="2994">
        <v>0</v>
      </c>
      <c r="AD705" s="2994">
        <v>0</v>
      </c>
      <c r="AE705" s="2994">
        <v>0</v>
      </c>
      <c r="AF705" s="2994">
        <v>0</v>
      </c>
      <c r="AG705" s="2994">
        <v>0</v>
      </c>
      <c r="AH705" s="2994">
        <v>0</v>
      </c>
      <c r="AI705" s="2994">
        <v>0</v>
      </c>
      <c r="AJ705" s="2994">
        <v>0</v>
      </c>
      <c r="AK705" s="2994">
        <v>0</v>
      </c>
      <c r="AL705" s="2994">
        <v>0</v>
      </c>
      <c r="AM705" s="2994">
        <v>0</v>
      </c>
      <c r="AN705" s="2994">
        <v>0</v>
      </c>
      <c r="AO705" s="2994">
        <v>0</v>
      </c>
      <c r="AP705" s="2994">
        <v>0</v>
      </c>
      <c r="AQ705" s="2994">
        <v>0</v>
      </c>
      <c r="AR705" s="2994">
        <v>0</v>
      </c>
      <c r="AS705" s="2994">
        <v>0</v>
      </c>
      <c r="AT705" s="2994">
        <v>0</v>
      </c>
      <c r="AU705" s="2994">
        <v>0</v>
      </c>
      <c r="AV705" s="2994">
        <v>0</v>
      </c>
      <c r="AW705" s="2994">
        <v>0</v>
      </c>
      <c r="AX705" s="2994">
        <v>0</v>
      </c>
      <c r="AY705" s="2994">
        <v>0</v>
      </c>
      <c r="AZ705" s="2994">
        <v>0</v>
      </c>
      <c r="BA705" s="2994">
        <v>0</v>
      </c>
      <c r="BB705" s="2994">
        <v>0</v>
      </c>
      <c r="BC705" s="2994">
        <v>0</v>
      </c>
      <c r="BD705" s="3471">
        <v>0</v>
      </c>
      <c r="BE705" s="3471">
        <v>0</v>
      </c>
      <c r="BF705" s="3471">
        <v>0</v>
      </c>
    </row>
    <row r="706" spans="1:58">
      <c r="A706" s="1817" t="str">
        <f t="shared" ref="A706:A769" si="23">CONCATENATE(B706,C706)</f>
        <v>Eastern AsiaCow peas, dry</v>
      </c>
      <c r="B706" s="1818" t="s">
        <v>1328</v>
      </c>
      <c r="C706" s="1818" t="s">
        <v>1329</v>
      </c>
      <c r="D706" s="3463" t="str">
        <f>VLOOKUP(B706,List_Yield!$G$4:$J$14,4,FALSE)</f>
        <v>Asia (Continental)</v>
      </c>
      <c r="E706" s="3463" t="str">
        <f t="shared" si="22"/>
        <v>Asia (Continental)Cow peas, dry</v>
      </c>
      <c r="F706" s="2994">
        <v>1.0271999999999999</v>
      </c>
      <c r="G706" s="2994">
        <v>1</v>
      </c>
      <c r="H706" s="2994">
        <v>1.1008</v>
      </c>
      <c r="I706" s="2994">
        <v>0.98280000000000001</v>
      </c>
      <c r="J706" s="2994">
        <v>1</v>
      </c>
      <c r="K706" s="2994">
        <v>1.0362</v>
      </c>
      <c r="L706" s="2994">
        <v>0.92889999999999995</v>
      </c>
      <c r="M706" s="2994">
        <v>1.0238</v>
      </c>
      <c r="N706" s="2994">
        <v>0.97399999999999998</v>
      </c>
      <c r="O706" s="2994">
        <v>1</v>
      </c>
      <c r="P706" s="2994">
        <v>1</v>
      </c>
      <c r="Q706" s="2994">
        <v>1</v>
      </c>
      <c r="R706" s="2994">
        <v>1.0217000000000001</v>
      </c>
      <c r="S706" s="2994">
        <v>1</v>
      </c>
      <c r="T706" s="2994">
        <v>1.0879000000000001</v>
      </c>
      <c r="U706" s="2994">
        <v>1.0988</v>
      </c>
      <c r="V706" s="2994">
        <v>1.1585000000000001</v>
      </c>
      <c r="W706" s="2994">
        <v>1.1970000000000001</v>
      </c>
      <c r="X706" s="2994">
        <v>1</v>
      </c>
      <c r="Y706" s="2994">
        <v>0.97309999999999997</v>
      </c>
      <c r="Z706" s="2994">
        <v>1</v>
      </c>
      <c r="AA706" s="2994">
        <v>1</v>
      </c>
      <c r="AB706" s="2994">
        <v>1</v>
      </c>
      <c r="AC706" s="2994">
        <v>1</v>
      </c>
      <c r="AD706" s="2994">
        <v>1</v>
      </c>
      <c r="AE706" s="2994">
        <v>1</v>
      </c>
      <c r="AF706" s="2994">
        <v>1</v>
      </c>
      <c r="AG706" s="2994">
        <v>1</v>
      </c>
      <c r="AH706" s="2994">
        <v>1</v>
      </c>
      <c r="AI706" s="2994">
        <v>1</v>
      </c>
      <c r="AJ706" s="2994">
        <v>1</v>
      </c>
      <c r="AK706" s="2994">
        <v>1.1166</v>
      </c>
      <c r="AL706" s="2994">
        <v>0</v>
      </c>
      <c r="AM706" s="2994">
        <v>0</v>
      </c>
      <c r="AN706" s="2994">
        <v>0</v>
      </c>
      <c r="AO706" s="2994">
        <v>0</v>
      </c>
      <c r="AP706" s="2994">
        <v>0</v>
      </c>
      <c r="AQ706" s="2994">
        <v>0</v>
      </c>
      <c r="AR706" s="2994">
        <v>0</v>
      </c>
      <c r="AS706" s="2994">
        <v>0</v>
      </c>
      <c r="AT706" s="2994">
        <v>0</v>
      </c>
      <c r="AU706" s="2994">
        <v>0</v>
      </c>
      <c r="AV706" s="2994">
        <v>0</v>
      </c>
      <c r="AW706" s="2994">
        <v>0</v>
      </c>
      <c r="AX706" s="2994">
        <v>0</v>
      </c>
      <c r="AY706" s="2994">
        <v>0</v>
      </c>
      <c r="AZ706" s="2994">
        <v>0</v>
      </c>
      <c r="BA706" s="2994">
        <v>0</v>
      </c>
      <c r="BB706" s="2994">
        <v>0</v>
      </c>
      <c r="BC706" s="2994">
        <v>0</v>
      </c>
      <c r="BD706" s="3471">
        <v>0</v>
      </c>
      <c r="BE706" s="3471">
        <v>0</v>
      </c>
      <c r="BF706" s="3471">
        <v>0</v>
      </c>
    </row>
    <row r="707" spans="1:58">
      <c r="A707" s="1817" t="str">
        <f t="shared" si="23"/>
        <v>Eastern AsiaCranberries</v>
      </c>
      <c r="B707" s="1818" t="s">
        <v>1328</v>
      </c>
      <c r="C707" s="1818" t="s">
        <v>7316</v>
      </c>
      <c r="D707" s="3463" t="str">
        <f>VLOOKUP(B707,List_Yield!$G$4:$J$14,4,FALSE)</f>
        <v>Asia (Continental)</v>
      </c>
      <c r="E707" s="3463" t="str">
        <f t="shared" si="22"/>
        <v>Asia (Continental)Cranberries</v>
      </c>
      <c r="F707" s="2994">
        <v>0</v>
      </c>
      <c r="G707" s="2994">
        <v>0</v>
      </c>
      <c r="H707" s="2994">
        <v>0</v>
      </c>
      <c r="I707" s="2994">
        <v>0</v>
      </c>
      <c r="J707" s="2994">
        <v>0</v>
      </c>
      <c r="K707" s="2994">
        <v>0</v>
      </c>
      <c r="L707" s="2994">
        <v>0</v>
      </c>
      <c r="M707" s="2994">
        <v>0</v>
      </c>
      <c r="N707" s="2994">
        <v>0</v>
      </c>
      <c r="O707" s="2994">
        <v>0</v>
      </c>
      <c r="P707" s="2994">
        <v>0</v>
      </c>
      <c r="Q707" s="2994">
        <v>0</v>
      </c>
      <c r="R707" s="2994">
        <v>0</v>
      </c>
      <c r="S707" s="2994">
        <v>0</v>
      </c>
      <c r="T707" s="2994">
        <v>0</v>
      </c>
      <c r="U707" s="2994">
        <v>0</v>
      </c>
      <c r="V707" s="2994">
        <v>0</v>
      </c>
      <c r="W707" s="2994">
        <v>0</v>
      </c>
      <c r="X707" s="2994">
        <v>0</v>
      </c>
      <c r="Y707" s="2994">
        <v>0</v>
      </c>
      <c r="Z707" s="2994">
        <v>0</v>
      </c>
      <c r="AA707" s="2994">
        <v>0</v>
      </c>
      <c r="AB707" s="2994">
        <v>0</v>
      </c>
      <c r="AC707" s="2994">
        <v>0</v>
      </c>
      <c r="AD707" s="2994">
        <v>0</v>
      </c>
      <c r="AE707" s="2994">
        <v>0</v>
      </c>
      <c r="AF707" s="2994">
        <v>0</v>
      </c>
      <c r="AG707" s="2994">
        <v>0</v>
      </c>
      <c r="AH707" s="2994">
        <v>0</v>
      </c>
      <c r="AI707" s="2994">
        <v>0</v>
      </c>
      <c r="AJ707" s="2994">
        <v>0</v>
      </c>
      <c r="AK707" s="2994">
        <v>0</v>
      </c>
      <c r="AL707" s="2994">
        <v>0</v>
      </c>
      <c r="AM707" s="2994">
        <v>0</v>
      </c>
      <c r="AN707" s="2994">
        <v>0</v>
      </c>
      <c r="AO707" s="2994">
        <v>0</v>
      </c>
      <c r="AP707" s="2994">
        <v>0</v>
      </c>
      <c r="AQ707" s="2994">
        <v>0</v>
      </c>
      <c r="AR707" s="2994">
        <v>0</v>
      </c>
      <c r="AS707" s="2994">
        <v>0</v>
      </c>
      <c r="AT707" s="2994">
        <v>0</v>
      </c>
      <c r="AU707" s="2994">
        <v>0</v>
      </c>
      <c r="AV707" s="2994">
        <v>0</v>
      </c>
      <c r="AW707" s="2994">
        <v>0</v>
      </c>
      <c r="AX707" s="2994">
        <v>0</v>
      </c>
      <c r="AY707" s="2994">
        <v>0</v>
      </c>
      <c r="AZ707" s="2994">
        <v>0</v>
      </c>
      <c r="BA707" s="2994">
        <v>0</v>
      </c>
      <c r="BB707" s="2994">
        <v>0</v>
      </c>
      <c r="BC707" s="2994">
        <v>0</v>
      </c>
      <c r="BD707" s="3471">
        <v>0</v>
      </c>
      <c r="BE707" s="3471">
        <v>0</v>
      </c>
      <c r="BF707" s="3471">
        <v>0</v>
      </c>
    </row>
    <row r="708" spans="1:58">
      <c r="A708" s="1817" t="str">
        <f t="shared" si="23"/>
        <v>Eastern AsiaCucumbers and gherkins</v>
      </c>
      <c r="B708" s="1818" t="s">
        <v>1328</v>
      </c>
      <c r="C708" s="1818" t="s">
        <v>7317</v>
      </c>
      <c r="D708" s="3463" t="str">
        <f>VLOOKUP(B708,List_Yield!$G$4:$J$14,4,FALSE)</f>
        <v>Asia (Continental)</v>
      </c>
      <c r="E708" s="3463" t="str">
        <f t="shared" si="22"/>
        <v>Asia (Continental)Cucumbers and gherkins</v>
      </c>
      <c r="F708" s="2994">
        <v>9.9663000000000004</v>
      </c>
      <c r="G708" s="2994">
        <v>10.154</v>
      </c>
      <c r="H708" s="2994">
        <v>10.2827</v>
      </c>
      <c r="I708" s="2994">
        <v>10.3239</v>
      </c>
      <c r="J708" s="2994">
        <v>10.8621</v>
      </c>
      <c r="K708" s="2994">
        <v>11.375500000000001</v>
      </c>
      <c r="L708" s="2994">
        <v>11.7546</v>
      </c>
      <c r="M708" s="2994">
        <v>12.7545</v>
      </c>
      <c r="N708" s="2994">
        <v>13.0938</v>
      </c>
      <c r="O708" s="2994">
        <v>14.356</v>
      </c>
      <c r="P708" s="2994">
        <v>14.4237</v>
      </c>
      <c r="Q708" s="2994">
        <v>13.968</v>
      </c>
      <c r="R708" s="2994">
        <v>13.808</v>
      </c>
      <c r="S708" s="2994">
        <v>14.2719</v>
      </c>
      <c r="T708" s="2994">
        <v>14.448600000000001</v>
      </c>
      <c r="U708" s="2994">
        <v>14.4055</v>
      </c>
      <c r="V708" s="2994">
        <v>14.5672</v>
      </c>
      <c r="W708" s="2994">
        <v>13.4437</v>
      </c>
      <c r="X708" s="2994">
        <v>13.936</v>
      </c>
      <c r="Y708" s="2994">
        <v>13.3626</v>
      </c>
      <c r="Z708" s="2994">
        <v>14.018800000000001</v>
      </c>
      <c r="AA708" s="2994">
        <v>13.5769</v>
      </c>
      <c r="AB708" s="2994">
        <v>13.6891</v>
      </c>
      <c r="AC708" s="2994">
        <v>14.307600000000001</v>
      </c>
      <c r="AD708" s="2994">
        <v>14.494400000000001</v>
      </c>
      <c r="AE708" s="2994">
        <v>14.723599999999999</v>
      </c>
      <c r="AF708" s="2994">
        <v>15.020099999999999</v>
      </c>
      <c r="AG708" s="2994">
        <v>15.099</v>
      </c>
      <c r="AH708" s="2994">
        <v>15.447800000000001</v>
      </c>
      <c r="AI708" s="2994">
        <v>16.487500000000001</v>
      </c>
      <c r="AJ708" s="2994">
        <v>17.302600000000002</v>
      </c>
      <c r="AK708" s="2994">
        <v>19.1021</v>
      </c>
      <c r="AL708" s="2994">
        <v>18.231999999999999</v>
      </c>
      <c r="AM708" s="2994">
        <v>17.9771</v>
      </c>
      <c r="AN708" s="2994">
        <v>18.448799999999999</v>
      </c>
      <c r="AO708" s="2994">
        <v>18.667200000000001</v>
      </c>
      <c r="AP708" s="2994">
        <v>17.549900000000001</v>
      </c>
      <c r="AQ708" s="2994">
        <v>16.573699999999999</v>
      </c>
      <c r="AR708" s="2994">
        <v>16.467199999999998</v>
      </c>
      <c r="AS708" s="2994">
        <v>20.607500000000002</v>
      </c>
      <c r="AT708" s="2994">
        <v>22.2912</v>
      </c>
      <c r="AU708" s="2994">
        <v>25.504000000000001</v>
      </c>
      <c r="AV708" s="2994">
        <v>26.450700000000001</v>
      </c>
      <c r="AW708" s="2994">
        <v>27.425799999999999</v>
      </c>
      <c r="AX708" s="2994">
        <v>28.938300000000002</v>
      </c>
      <c r="AY708" s="2994">
        <v>33.218699999999998</v>
      </c>
      <c r="AZ708" s="2994">
        <v>34.695399999999999</v>
      </c>
      <c r="BA708" s="2994">
        <v>41.94</v>
      </c>
      <c r="BB708" s="2994">
        <v>42.678199999999997</v>
      </c>
      <c r="BC708" s="2994">
        <v>42.597299999999997</v>
      </c>
      <c r="BD708" s="3471">
        <v>42.620399999999997</v>
      </c>
      <c r="BE708" s="3471">
        <v>41.702500000000001</v>
      </c>
      <c r="BF708" s="3471">
        <v>0</v>
      </c>
    </row>
    <row r="709" spans="1:58">
      <c r="A709" s="1817" t="str">
        <f t="shared" si="23"/>
        <v>Eastern AsiaCurrants</v>
      </c>
      <c r="B709" s="1818" t="s">
        <v>1328</v>
      </c>
      <c r="C709" s="1818" t="s">
        <v>7318</v>
      </c>
      <c r="D709" s="3463" t="str">
        <f>VLOOKUP(B709,List_Yield!$G$4:$J$14,4,FALSE)</f>
        <v>Asia (Continental)</v>
      </c>
      <c r="E709" s="3463" t="str">
        <f t="shared" si="22"/>
        <v>Asia (Continental)Currants</v>
      </c>
      <c r="F709" s="2994">
        <v>0</v>
      </c>
      <c r="G709" s="2994">
        <v>0</v>
      </c>
      <c r="H709" s="2994">
        <v>0</v>
      </c>
      <c r="I709" s="2994">
        <v>0</v>
      </c>
      <c r="J709" s="2994">
        <v>0</v>
      </c>
      <c r="K709" s="2994">
        <v>0</v>
      </c>
      <c r="L709" s="2994">
        <v>0</v>
      </c>
      <c r="M709" s="2994">
        <v>0</v>
      </c>
      <c r="N709" s="2994">
        <v>0</v>
      </c>
      <c r="O709" s="2994">
        <v>0</v>
      </c>
      <c r="P709" s="2994">
        <v>0</v>
      </c>
      <c r="Q709" s="2994">
        <v>0</v>
      </c>
      <c r="R709" s="2994">
        <v>0</v>
      </c>
      <c r="S709" s="2994">
        <v>0</v>
      </c>
      <c r="T709" s="2994">
        <v>0</v>
      </c>
      <c r="U709" s="2994">
        <v>0</v>
      </c>
      <c r="V709" s="2994">
        <v>0</v>
      </c>
      <c r="W709" s="2994">
        <v>0</v>
      </c>
      <c r="X709" s="2994">
        <v>0</v>
      </c>
      <c r="Y709" s="2994">
        <v>0</v>
      </c>
      <c r="Z709" s="2994">
        <v>0</v>
      </c>
      <c r="AA709" s="2994">
        <v>0</v>
      </c>
      <c r="AB709" s="2994">
        <v>0</v>
      </c>
      <c r="AC709" s="2994">
        <v>0</v>
      </c>
      <c r="AD709" s="2994">
        <v>0</v>
      </c>
      <c r="AE709" s="2994">
        <v>0</v>
      </c>
      <c r="AF709" s="2994">
        <v>0</v>
      </c>
      <c r="AG709" s="2994">
        <v>0</v>
      </c>
      <c r="AH709" s="2994">
        <v>0</v>
      </c>
      <c r="AI709" s="2994">
        <v>0</v>
      </c>
      <c r="AJ709" s="2994">
        <v>0</v>
      </c>
      <c r="AK709" s="2994">
        <v>0</v>
      </c>
      <c r="AL709" s="2994">
        <v>0</v>
      </c>
      <c r="AM709" s="2994">
        <v>0</v>
      </c>
      <c r="AN709" s="2994">
        <v>0</v>
      </c>
      <c r="AO709" s="2994">
        <v>0</v>
      </c>
      <c r="AP709" s="2994">
        <v>0</v>
      </c>
      <c r="AQ709" s="2994">
        <v>0</v>
      </c>
      <c r="AR709" s="2994">
        <v>0</v>
      </c>
      <c r="AS709" s="2994">
        <v>0</v>
      </c>
      <c r="AT709" s="2994">
        <v>0</v>
      </c>
      <c r="AU709" s="2994">
        <v>0</v>
      </c>
      <c r="AV709" s="2994">
        <v>2.1429</v>
      </c>
      <c r="AW709" s="2994">
        <v>3</v>
      </c>
      <c r="AX709" s="2994">
        <v>2.6</v>
      </c>
      <c r="AY709" s="2994">
        <v>1.5713999999999999</v>
      </c>
      <c r="AZ709" s="2994">
        <v>2.8</v>
      </c>
      <c r="BA709" s="2994">
        <v>3</v>
      </c>
      <c r="BB709" s="2994">
        <v>3.2</v>
      </c>
      <c r="BC709" s="2994">
        <v>3.4</v>
      </c>
      <c r="BD709" s="3471">
        <v>3.8</v>
      </c>
      <c r="BE709" s="3471">
        <v>4</v>
      </c>
      <c r="BF709" s="3471">
        <v>0</v>
      </c>
    </row>
    <row r="710" spans="1:58">
      <c r="A710" s="1817" t="str">
        <f t="shared" si="23"/>
        <v>Eastern AsiaDates</v>
      </c>
      <c r="B710" s="1818" t="s">
        <v>1328</v>
      </c>
      <c r="C710" s="1818" t="s">
        <v>1348</v>
      </c>
      <c r="D710" s="3463" t="str">
        <f>VLOOKUP(B710,List_Yield!$G$4:$J$14,4,FALSE)</f>
        <v>Asia (Continental)</v>
      </c>
      <c r="E710" s="3463" t="str">
        <f t="shared" si="22"/>
        <v>Asia (Continental)Dates</v>
      </c>
      <c r="F710" s="2994">
        <v>4</v>
      </c>
      <c r="G710" s="2994">
        <v>4</v>
      </c>
      <c r="H710" s="2994">
        <v>4.2</v>
      </c>
      <c r="I710" s="2994">
        <v>4.0909000000000004</v>
      </c>
      <c r="J710" s="2994">
        <v>4</v>
      </c>
      <c r="K710" s="2994">
        <v>4</v>
      </c>
      <c r="L710" s="2994">
        <v>4</v>
      </c>
      <c r="M710" s="2994">
        <v>4.3478000000000003</v>
      </c>
      <c r="N710" s="2994">
        <v>4.3478000000000003</v>
      </c>
      <c r="O710" s="2994">
        <v>4.3478000000000003</v>
      </c>
      <c r="P710" s="2994">
        <v>4.5217000000000001</v>
      </c>
      <c r="Q710" s="2994">
        <v>4.7390999999999996</v>
      </c>
      <c r="R710" s="2994">
        <v>4.7826000000000004</v>
      </c>
      <c r="S710" s="2994">
        <v>4.7826000000000004</v>
      </c>
      <c r="T710" s="2994">
        <v>4.7826000000000004</v>
      </c>
      <c r="U710" s="2994">
        <v>5.0434999999999999</v>
      </c>
      <c r="V710" s="2994">
        <v>4</v>
      </c>
      <c r="W710" s="2994">
        <v>3.8666999999999998</v>
      </c>
      <c r="X710" s="2994">
        <v>4</v>
      </c>
      <c r="Y710" s="2994">
        <v>3.7222</v>
      </c>
      <c r="Z710" s="2994">
        <v>3.7778</v>
      </c>
      <c r="AA710" s="2994">
        <v>3.8889</v>
      </c>
      <c r="AB710" s="2994">
        <v>4.4443999999999999</v>
      </c>
      <c r="AC710" s="2994">
        <v>5</v>
      </c>
      <c r="AD710" s="2994">
        <v>6</v>
      </c>
      <c r="AE710" s="2994">
        <v>6</v>
      </c>
      <c r="AF710" s="2994">
        <v>6.25</v>
      </c>
      <c r="AG710" s="2994">
        <v>6.4706000000000001</v>
      </c>
      <c r="AH710" s="2994">
        <v>5.625</v>
      </c>
      <c r="AI710" s="2994">
        <v>6</v>
      </c>
      <c r="AJ710" s="2994">
        <v>6.2263999999999999</v>
      </c>
      <c r="AK710" s="2994">
        <v>8.0357000000000003</v>
      </c>
      <c r="AL710" s="2994">
        <v>8.3332999999999995</v>
      </c>
      <c r="AM710" s="2994">
        <v>7.5</v>
      </c>
      <c r="AN710" s="2994">
        <v>10</v>
      </c>
      <c r="AO710" s="2994">
        <v>10</v>
      </c>
      <c r="AP710" s="2994">
        <v>5.4286000000000003</v>
      </c>
      <c r="AQ710" s="2994">
        <v>17.8</v>
      </c>
      <c r="AR710" s="2994">
        <v>19.166699999999999</v>
      </c>
      <c r="AS710" s="2994">
        <v>20.833300000000001</v>
      </c>
      <c r="AT710" s="2994">
        <v>19.5</v>
      </c>
      <c r="AU710" s="2994">
        <v>18.571400000000001</v>
      </c>
      <c r="AV710" s="2994">
        <v>17.142900000000001</v>
      </c>
      <c r="AW710" s="2994">
        <v>18.571400000000001</v>
      </c>
      <c r="AX710" s="2994">
        <v>16.666699999999999</v>
      </c>
      <c r="AY710" s="2994">
        <v>15.625</v>
      </c>
      <c r="AZ710" s="2994">
        <v>15.2941</v>
      </c>
      <c r="BA710" s="2994">
        <v>15</v>
      </c>
      <c r="BB710" s="2994">
        <v>14</v>
      </c>
      <c r="BC710" s="2994">
        <v>14.0732</v>
      </c>
      <c r="BD710" s="3471">
        <v>14.2857</v>
      </c>
      <c r="BE710" s="3471">
        <v>14.2857</v>
      </c>
      <c r="BF710" s="3471">
        <v>0</v>
      </c>
    </row>
    <row r="711" spans="1:58">
      <c r="A711" s="1817" t="str">
        <f t="shared" si="23"/>
        <v>Eastern AsiaEggplants (aubergines)</v>
      </c>
      <c r="B711" s="1818" t="s">
        <v>1328</v>
      </c>
      <c r="C711" s="1818" t="s">
        <v>1349</v>
      </c>
      <c r="D711" s="3463" t="str">
        <f>VLOOKUP(B711,List_Yield!$G$4:$J$14,4,FALSE)</f>
        <v>Asia (Continental)</v>
      </c>
      <c r="E711" s="3463" t="str">
        <f t="shared" si="22"/>
        <v>Asia (Continental)Eggplants (aubergines)</v>
      </c>
      <c r="F711" s="2994">
        <v>9.0218000000000007</v>
      </c>
      <c r="G711" s="2994">
        <v>9.8896999999999995</v>
      </c>
      <c r="H711" s="2994">
        <v>10.4918</v>
      </c>
      <c r="I711" s="2994">
        <v>10.569699999999999</v>
      </c>
      <c r="J711" s="2994">
        <v>10.9742</v>
      </c>
      <c r="K711" s="2994">
        <v>11.450799999999999</v>
      </c>
      <c r="L711" s="2994">
        <v>11.786799999999999</v>
      </c>
      <c r="M711" s="2994">
        <v>12.7485</v>
      </c>
      <c r="N711" s="2994">
        <v>13.024800000000001</v>
      </c>
      <c r="O711" s="2994">
        <v>14.2323</v>
      </c>
      <c r="P711" s="2994">
        <v>14.2866</v>
      </c>
      <c r="Q711" s="2994">
        <v>13.6539</v>
      </c>
      <c r="R711" s="2994">
        <v>14.959199999999999</v>
      </c>
      <c r="S711" s="2994">
        <v>15.4773</v>
      </c>
      <c r="T711" s="2994">
        <v>15.0585</v>
      </c>
      <c r="U711" s="2994">
        <v>13.7654</v>
      </c>
      <c r="V711" s="2994">
        <v>13.8765</v>
      </c>
      <c r="W711" s="2994">
        <v>13.4899</v>
      </c>
      <c r="X711" s="2994">
        <v>14.145099999999999</v>
      </c>
      <c r="Y711" s="2994">
        <v>13.646800000000001</v>
      </c>
      <c r="Z711" s="2994">
        <v>14.338200000000001</v>
      </c>
      <c r="AA711" s="2994">
        <v>13.8302</v>
      </c>
      <c r="AB711" s="2994">
        <v>14.0588</v>
      </c>
      <c r="AC711" s="2994">
        <v>14.2006</v>
      </c>
      <c r="AD711" s="2994">
        <v>14.2981</v>
      </c>
      <c r="AE711" s="2994">
        <v>14.5473</v>
      </c>
      <c r="AF711" s="2994">
        <v>14.222799999999999</v>
      </c>
      <c r="AG711" s="2994">
        <v>14.440899999999999</v>
      </c>
      <c r="AH711" s="2994">
        <v>14.8705</v>
      </c>
      <c r="AI711" s="2994">
        <v>15.8909</v>
      </c>
      <c r="AJ711" s="2994">
        <v>16.9542</v>
      </c>
      <c r="AK711" s="2994">
        <v>18.2957</v>
      </c>
      <c r="AL711" s="2994">
        <v>17.4466</v>
      </c>
      <c r="AM711" s="2994">
        <v>17.474299999999999</v>
      </c>
      <c r="AN711" s="2994">
        <v>17.712700000000002</v>
      </c>
      <c r="AO711" s="2994">
        <v>17.932300000000001</v>
      </c>
      <c r="AP711" s="2994">
        <v>17.5916</v>
      </c>
      <c r="AQ711" s="2994">
        <v>17.793800000000001</v>
      </c>
      <c r="AR711" s="2994">
        <v>21.116800000000001</v>
      </c>
      <c r="AS711" s="2994">
        <v>18.984000000000002</v>
      </c>
      <c r="AT711" s="2994">
        <v>18.1783</v>
      </c>
      <c r="AU711" s="2994">
        <v>18.9283</v>
      </c>
      <c r="AV711" s="2994">
        <v>18.972000000000001</v>
      </c>
      <c r="AW711" s="2994">
        <v>18.487200000000001</v>
      </c>
      <c r="AX711" s="2994">
        <v>18.0548</v>
      </c>
      <c r="AY711" s="2994">
        <v>17.994800000000001</v>
      </c>
      <c r="AZ711" s="2994">
        <v>29.2438</v>
      </c>
      <c r="BA711" s="2994">
        <v>33.655200000000001</v>
      </c>
      <c r="BB711" s="2994">
        <v>34.869799999999998</v>
      </c>
      <c r="BC711" s="2994">
        <v>34.9268</v>
      </c>
      <c r="BD711" s="3471">
        <v>34.960599999999999</v>
      </c>
      <c r="BE711" s="3471">
        <v>35.761499999999998</v>
      </c>
      <c r="BF711" s="3471">
        <v>0</v>
      </c>
    </row>
    <row r="712" spans="1:58">
      <c r="A712" s="1817" t="str">
        <f t="shared" si="23"/>
        <v>Eastern AsiaFibre crops nes</v>
      </c>
      <c r="B712" s="1818" t="s">
        <v>1328</v>
      </c>
      <c r="C712" s="1818" t="s">
        <v>7319</v>
      </c>
      <c r="D712" s="3463" t="str">
        <f>VLOOKUP(B712,List_Yield!$G$4:$J$14,4,FALSE)</f>
        <v>Asia (Continental)</v>
      </c>
      <c r="E712" s="3463" t="str">
        <f t="shared" si="22"/>
        <v>Asia (Continental)Fibre crops nes</v>
      </c>
      <c r="F712" s="2994">
        <v>12.791600000000001</v>
      </c>
      <c r="G712" s="2994">
        <v>13.0504</v>
      </c>
      <c r="H712" s="2994">
        <v>11.9282</v>
      </c>
      <c r="I712" s="2994">
        <v>13.152900000000001</v>
      </c>
      <c r="J712" s="2994">
        <v>13</v>
      </c>
      <c r="K712" s="2994">
        <v>13.5036</v>
      </c>
      <c r="L712" s="2994">
        <v>12.6158</v>
      </c>
      <c r="M712" s="2994">
        <v>12.2263</v>
      </c>
      <c r="N712" s="2994">
        <v>11.2218</v>
      </c>
      <c r="O712" s="2994">
        <v>11.3758</v>
      </c>
      <c r="P712" s="2994">
        <v>10.9315</v>
      </c>
      <c r="Q712" s="2994">
        <v>9.6631999999999998</v>
      </c>
      <c r="R712" s="2994">
        <v>11.613799999999999</v>
      </c>
      <c r="S712" s="2994">
        <v>10.994</v>
      </c>
      <c r="T712" s="2994">
        <v>5.0137999999999998</v>
      </c>
      <c r="U712" s="2994">
        <v>6.5686999999999998</v>
      </c>
      <c r="V712" s="2994">
        <v>7.1379999999999999</v>
      </c>
      <c r="W712" s="2994">
        <v>12.150600000000001</v>
      </c>
      <c r="X712" s="2994">
        <v>14.774699999999999</v>
      </c>
      <c r="Y712" s="2994">
        <v>13.34</v>
      </c>
      <c r="Z712" s="2994">
        <v>12.956099999999999</v>
      </c>
      <c r="AA712" s="2994">
        <v>13.042299999999999</v>
      </c>
      <c r="AB712" s="2994">
        <v>13.434900000000001</v>
      </c>
      <c r="AC712" s="2994">
        <v>12.4979</v>
      </c>
      <c r="AD712" s="2994">
        <v>14.5593</v>
      </c>
      <c r="AE712" s="2994">
        <v>12.7143</v>
      </c>
      <c r="AF712" s="2994">
        <v>8.2637999999999998</v>
      </c>
      <c r="AG712" s="2994">
        <v>7.6966000000000001</v>
      </c>
      <c r="AH712" s="2994">
        <v>6.6707000000000001</v>
      </c>
      <c r="AI712" s="2994">
        <v>6.3663999999999996</v>
      </c>
      <c r="AJ712" s="2994">
        <v>11.8416</v>
      </c>
      <c r="AK712" s="2994">
        <v>10.6364</v>
      </c>
      <c r="AL712" s="2994">
        <v>12.122400000000001</v>
      </c>
      <c r="AM712" s="2994">
        <v>12.391299999999999</v>
      </c>
      <c r="AN712" s="2994">
        <v>12.5</v>
      </c>
      <c r="AO712" s="2994">
        <v>11.666700000000001</v>
      </c>
      <c r="AP712" s="2994">
        <v>12.5</v>
      </c>
      <c r="AQ712" s="2994">
        <v>12</v>
      </c>
      <c r="AR712" s="2994">
        <v>11.4565</v>
      </c>
      <c r="AS712" s="2994">
        <v>10.526300000000001</v>
      </c>
      <c r="AT712" s="2994">
        <v>10.257099999999999</v>
      </c>
      <c r="AU712" s="2994">
        <v>9.6712000000000007</v>
      </c>
      <c r="AV712" s="2994">
        <v>9.3108000000000004</v>
      </c>
      <c r="AW712" s="2994">
        <v>13.303000000000001</v>
      </c>
      <c r="AX712" s="2994">
        <v>11.067600000000001</v>
      </c>
      <c r="AY712" s="2994">
        <v>15.1167</v>
      </c>
      <c r="AZ712" s="2994">
        <v>17.714300000000001</v>
      </c>
      <c r="BA712" s="2994">
        <v>20.166699999999999</v>
      </c>
      <c r="BB712" s="2994">
        <v>12.4412</v>
      </c>
      <c r="BC712" s="2994">
        <v>10.4848</v>
      </c>
      <c r="BD712" s="3471">
        <v>11.0588</v>
      </c>
      <c r="BE712" s="3471">
        <v>10.857100000000001</v>
      </c>
      <c r="BF712" s="3471">
        <v>0</v>
      </c>
    </row>
    <row r="713" spans="1:58">
      <c r="A713" s="1817" t="str">
        <f t="shared" si="23"/>
        <v>Eastern AsiaFigs</v>
      </c>
      <c r="B713" s="1818" t="s">
        <v>1328</v>
      </c>
      <c r="C713" s="1818" t="s">
        <v>7320</v>
      </c>
      <c r="D713" s="3463" t="str">
        <f>VLOOKUP(B713,List_Yield!$G$4:$J$14,4,FALSE)</f>
        <v>Asia (Continental)</v>
      </c>
      <c r="E713" s="3463" t="str">
        <f t="shared" si="22"/>
        <v>Asia (Continental)Figs</v>
      </c>
      <c r="F713" s="2994">
        <v>0</v>
      </c>
      <c r="G713" s="2994">
        <v>0</v>
      </c>
      <c r="H713" s="2994">
        <v>0</v>
      </c>
      <c r="I713" s="2994">
        <v>0</v>
      </c>
      <c r="J713" s="2994">
        <v>0</v>
      </c>
      <c r="K713" s="2994">
        <v>0</v>
      </c>
      <c r="L713" s="2994">
        <v>0</v>
      </c>
      <c r="M713" s="2994">
        <v>0</v>
      </c>
      <c r="N713" s="2994">
        <v>0</v>
      </c>
      <c r="O713" s="2994">
        <v>0</v>
      </c>
      <c r="P713" s="2994">
        <v>0</v>
      </c>
      <c r="Q713" s="2994">
        <v>0</v>
      </c>
      <c r="R713" s="2994">
        <v>0</v>
      </c>
      <c r="S713" s="2994">
        <v>0</v>
      </c>
      <c r="T713" s="2994">
        <v>0</v>
      </c>
      <c r="U713" s="2994">
        <v>0</v>
      </c>
      <c r="V713" s="2994">
        <v>0</v>
      </c>
      <c r="W713" s="2994">
        <v>0</v>
      </c>
      <c r="X713" s="2994">
        <v>0</v>
      </c>
      <c r="Y713" s="2994">
        <v>0</v>
      </c>
      <c r="Z713" s="2994">
        <v>0</v>
      </c>
      <c r="AA713" s="2994">
        <v>0</v>
      </c>
      <c r="AB713" s="2994">
        <v>0</v>
      </c>
      <c r="AC713" s="2994">
        <v>0</v>
      </c>
      <c r="AD713" s="2994">
        <v>1.4544999999999999</v>
      </c>
      <c r="AE713" s="2994">
        <v>1.3635999999999999</v>
      </c>
      <c r="AF713" s="2994">
        <v>1.4544999999999999</v>
      </c>
      <c r="AG713" s="2994">
        <v>1.4908999999999999</v>
      </c>
      <c r="AH713" s="2994">
        <v>1.6364000000000001</v>
      </c>
      <c r="AI713" s="2994">
        <v>1.8182</v>
      </c>
      <c r="AJ713" s="2994">
        <v>1.6364000000000001</v>
      </c>
      <c r="AK713" s="2994">
        <v>1.8182</v>
      </c>
      <c r="AL713" s="2994">
        <v>1.8182</v>
      </c>
      <c r="AM713" s="2994">
        <v>2.7273000000000001</v>
      </c>
      <c r="AN713" s="2994">
        <v>3.3332999999999999</v>
      </c>
      <c r="AO713" s="2994">
        <v>2.6667000000000001</v>
      </c>
      <c r="AP713" s="2994">
        <v>3</v>
      </c>
      <c r="AQ713" s="2994">
        <v>3</v>
      </c>
      <c r="AR713" s="2994">
        <v>3.5</v>
      </c>
      <c r="AS713" s="2994">
        <v>2.5</v>
      </c>
      <c r="AT713" s="2994">
        <v>4</v>
      </c>
      <c r="AU713" s="2994">
        <v>4.5</v>
      </c>
      <c r="AV713" s="2994">
        <v>9.3460999999999999</v>
      </c>
      <c r="AW713" s="2994">
        <v>8.7806999999999995</v>
      </c>
      <c r="AX713" s="2994">
        <v>8.8439999999999994</v>
      </c>
      <c r="AY713" s="2994">
        <v>8.5184999999999995</v>
      </c>
      <c r="AZ713" s="2994">
        <v>8.2630999999999997</v>
      </c>
      <c r="BA713" s="2994">
        <v>8.0704999999999991</v>
      </c>
      <c r="BB713" s="2994">
        <v>8.1492000000000004</v>
      </c>
      <c r="BC713" s="2994">
        <v>7.4371999999999998</v>
      </c>
      <c r="BD713" s="3471">
        <v>7.4301000000000004</v>
      </c>
      <c r="BE713" s="3471">
        <v>7.5</v>
      </c>
      <c r="BF713" s="3471">
        <v>0</v>
      </c>
    </row>
    <row r="714" spans="1:58">
      <c r="A714" s="1817" t="str">
        <f t="shared" si="23"/>
        <v>Eastern AsiaFlax fibre and tow</v>
      </c>
      <c r="B714" s="1818" t="s">
        <v>1328</v>
      </c>
      <c r="C714" s="1818" t="s">
        <v>7321</v>
      </c>
      <c r="D714" s="3463" t="str">
        <f>VLOOKUP(B714,List_Yield!$G$4:$J$14,4,FALSE)</f>
        <v>Asia (Continental)</v>
      </c>
      <c r="E714" s="3463" t="str">
        <f t="shared" si="22"/>
        <v>Asia (Continental)Flax fibre and tow</v>
      </c>
      <c r="F714" s="2994">
        <v>0.96870000000000001</v>
      </c>
      <c r="G714" s="2994">
        <v>1.1426000000000001</v>
      </c>
      <c r="H714" s="2994">
        <v>1.1569</v>
      </c>
      <c r="I714" s="2994">
        <v>1.3206</v>
      </c>
      <c r="J714" s="2994">
        <v>1.3426</v>
      </c>
      <c r="K714" s="2994">
        <v>1.3157000000000001</v>
      </c>
      <c r="L714" s="2994">
        <v>1.4755</v>
      </c>
      <c r="M714" s="2994">
        <v>1.4325000000000001</v>
      </c>
      <c r="N714" s="2994">
        <v>1.5557000000000001</v>
      </c>
      <c r="O714" s="2994">
        <v>1.5599000000000001</v>
      </c>
      <c r="P714" s="2994">
        <v>1.6980999999999999</v>
      </c>
      <c r="Q714" s="2994">
        <v>1.7685999999999999</v>
      </c>
      <c r="R714" s="2994">
        <v>1.7603</v>
      </c>
      <c r="S714" s="2994">
        <v>1.7406999999999999</v>
      </c>
      <c r="T714" s="2994">
        <v>1.756</v>
      </c>
      <c r="U714" s="2994">
        <v>1.8041</v>
      </c>
      <c r="V714" s="2994">
        <v>1.7818000000000001</v>
      </c>
      <c r="W714" s="2994">
        <v>1.8026</v>
      </c>
      <c r="X714" s="2994">
        <v>1.0004999999999999</v>
      </c>
      <c r="Y714" s="2994">
        <v>0.98360000000000003</v>
      </c>
      <c r="Z714" s="2994">
        <v>1.6176999999999999</v>
      </c>
      <c r="AA714" s="2994">
        <v>0.504</v>
      </c>
      <c r="AB714" s="2994">
        <v>1.0564</v>
      </c>
      <c r="AC714" s="2994">
        <v>1.4733000000000001</v>
      </c>
      <c r="AD714" s="2994">
        <v>1.1814</v>
      </c>
      <c r="AE714" s="2994">
        <v>1.5058</v>
      </c>
      <c r="AF714" s="2994">
        <v>2.278</v>
      </c>
      <c r="AG714" s="2994">
        <v>2.5537999999999998</v>
      </c>
      <c r="AH714" s="2994">
        <v>2.4438</v>
      </c>
      <c r="AI714" s="2994">
        <v>2.7069000000000001</v>
      </c>
      <c r="AJ714" s="2994">
        <v>2.6812999999999998</v>
      </c>
      <c r="AK714" s="2994">
        <v>2.7871000000000001</v>
      </c>
      <c r="AL714" s="2994">
        <v>2.669</v>
      </c>
      <c r="AM714" s="2994">
        <v>2.6597</v>
      </c>
      <c r="AN714" s="2994">
        <v>3.0729000000000002</v>
      </c>
      <c r="AO714" s="2994">
        <v>2.8338999999999999</v>
      </c>
      <c r="AP714" s="2994">
        <v>2.4584000000000001</v>
      </c>
      <c r="AQ714" s="2994">
        <v>2.4765999999999999</v>
      </c>
      <c r="AR714" s="2994">
        <v>3.0926</v>
      </c>
      <c r="AS714" s="2994">
        <v>2.2044000000000001</v>
      </c>
      <c r="AT714" s="2994">
        <v>2.4245999999999999</v>
      </c>
      <c r="AU714" s="2994">
        <v>3.7524000000000002</v>
      </c>
      <c r="AV714" s="2994">
        <v>2.9752999999999998</v>
      </c>
      <c r="AW714" s="2994">
        <v>4.3409000000000004</v>
      </c>
      <c r="AX714" s="2994">
        <v>4.3699000000000003</v>
      </c>
      <c r="AY714" s="2994">
        <v>4.7336</v>
      </c>
      <c r="AZ714" s="2994">
        <v>4.2868000000000004</v>
      </c>
      <c r="BA714" s="2994">
        <v>4.4686000000000003</v>
      </c>
      <c r="BB714" s="2994">
        <v>4.6176000000000004</v>
      </c>
      <c r="BC714" s="2994">
        <v>4.7060000000000004</v>
      </c>
      <c r="BD714" s="3471">
        <v>6.0773000000000001</v>
      </c>
      <c r="BE714" s="3471">
        <v>5.8151999999999999</v>
      </c>
      <c r="BF714" s="3471">
        <v>0</v>
      </c>
    </row>
    <row r="715" spans="1:58">
      <c r="A715" s="1817" t="str">
        <f t="shared" si="23"/>
        <v>Eastern AsiaFonio</v>
      </c>
      <c r="B715" s="1818" t="s">
        <v>1328</v>
      </c>
      <c r="C715" s="1818" t="s">
        <v>7322</v>
      </c>
      <c r="D715" s="3463" t="str">
        <f>VLOOKUP(B715,List_Yield!$G$4:$J$14,4,FALSE)</f>
        <v>Asia (Continental)</v>
      </c>
      <c r="E715" s="3463" t="str">
        <f t="shared" si="22"/>
        <v>Asia (Continental)Fonio</v>
      </c>
      <c r="F715" s="2994">
        <v>0</v>
      </c>
      <c r="G715" s="2994">
        <v>0</v>
      </c>
      <c r="H715" s="2994">
        <v>0</v>
      </c>
      <c r="I715" s="2994">
        <v>0</v>
      </c>
      <c r="J715" s="2994">
        <v>0</v>
      </c>
      <c r="K715" s="2994">
        <v>0</v>
      </c>
      <c r="L715" s="2994">
        <v>0</v>
      </c>
      <c r="M715" s="2994">
        <v>0</v>
      </c>
      <c r="N715" s="2994">
        <v>0</v>
      </c>
      <c r="O715" s="2994">
        <v>0</v>
      </c>
      <c r="P715" s="2994">
        <v>0</v>
      </c>
      <c r="Q715" s="2994">
        <v>0</v>
      </c>
      <c r="R715" s="2994">
        <v>0</v>
      </c>
      <c r="S715" s="2994">
        <v>0</v>
      </c>
      <c r="T715" s="2994">
        <v>0</v>
      </c>
      <c r="U715" s="2994">
        <v>0</v>
      </c>
      <c r="V715" s="2994">
        <v>0</v>
      </c>
      <c r="W715" s="2994">
        <v>0</v>
      </c>
      <c r="X715" s="2994">
        <v>0</v>
      </c>
      <c r="Y715" s="2994">
        <v>0</v>
      </c>
      <c r="Z715" s="2994">
        <v>0</v>
      </c>
      <c r="AA715" s="2994">
        <v>0</v>
      </c>
      <c r="AB715" s="2994">
        <v>0</v>
      </c>
      <c r="AC715" s="2994">
        <v>0</v>
      </c>
      <c r="AD715" s="2994">
        <v>0</v>
      </c>
      <c r="AE715" s="2994">
        <v>0</v>
      </c>
      <c r="AF715" s="2994">
        <v>0</v>
      </c>
      <c r="AG715" s="2994">
        <v>0</v>
      </c>
      <c r="AH715" s="2994">
        <v>0</v>
      </c>
      <c r="AI715" s="2994">
        <v>0</v>
      </c>
      <c r="AJ715" s="2994">
        <v>0</v>
      </c>
      <c r="AK715" s="2994">
        <v>0</v>
      </c>
      <c r="AL715" s="2994">
        <v>0</v>
      </c>
      <c r="AM715" s="2994">
        <v>0</v>
      </c>
      <c r="AN715" s="2994">
        <v>0</v>
      </c>
      <c r="AO715" s="2994">
        <v>0</v>
      </c>
      <c r="AP715" s="2994">
        <v>0</v>
      </c>
      <c r="AQ715" s="2994">
        <v>0</v>
      </c>
      <c r="AR715" s="2994">
        <v>0</v>
      </c>
      <c r="AS715" s="2994">
        <v>0</v>
      </c>
      <c r="AT715" s="2994">
        <v>0</v>
      </c>
      <c r="AU715" s="2994">
        <v>0</v>
      </c>
      <c r="AV715" s="2994">
        <v>0</v>
      </c>
      <c r="AW715" s="2994">
        <v>0</v>
      </c>
      <c r="AX715" s="2994">
        <v>0</v>
      </c>
      <c r="AY715" s="2994">
        <v>0</v>
      </c>
      <c r="AZ715" s="2994">
        <v>0</v>
      </c>
      <c r="BA715" s="2994">
        <v>0</v>
      </c>
      <c r="BB715" s="2994">
        <v>0</v>
      </c>
      <c r="BC715" s="2994">
        <v>0</v>
      </c>
      <c r="BD715" s="3471">
        <v>0</v>
      </c>
      <c r="BE715" s="3471">
        <v>0</v>
      </c>
      <c r="BF715" s="3471">
        <v>0</v>
      </c>
    </row>
    <row r="716" spans="1:58">
      <c r="A716" s="1817" t="str">
        <f t="shared" si="23"/>
        <v>Eastern AsiaFruit, citrus nes</v>
      </c>
      <c r="B716" s="1818" t="s">
        <v>1328</v>
      </c>
      <c r="C716" s="1818" t="s">
        <v>7323</v>
      </c>
      <c r="D716" s="3463" t="str">
        <f>VLOOKUP(B716,List_Yield!$G$4:$J$14,4,FALSE)</f>
        <v>Asia (Continental)</v>
      </c>
      <c r="E716" s="3463" t="str">
        <f t="shared" si="22"/>
        <v>Asia (Continental)Fruit, citrus nes</v>
      </c>
      <c r="F716" s="2994">
        <v>6.508</v>
      </c>
      <c r="G716" s="2994">
        <v>5.883</v>
      </c>
      <c r="H716" s="2994">
        <v>5.8181000000000003</v>
      </c>
      <c r="I716" s="2994">
        <v>6.5690999999999997</v>
      </c>
      <c r="J716" s="2994">
        <v>6.3272000000000004</v>
      </c>
      <c r="K716" s="2994">
        <v>4.8502999999999998</v>
      </c>
      <c r="L716" s="2994">
        <v>7.4797000000000002</v>
      </c>
      <c r="M716" s="2994">
        <v>9.4156999999999993</v>
      </c>
      <c r="N716" s="2994">
        <v>8.3399000000000001</v>
      </c>
      <c r="O716" s="2994">
        <v>9.6199999999999992</v>
      </c>
      <c r="P716" s="2994">
        <v>10.575200000000001</v>
      </c>
      <c r="Q716" s="2994">
        <v>11.581300000000001</v>
      </c>
      <c r="R716" s="2994">
        <v>12.4922</v>
      </c>
      <c r="S716" s="2994">
        <v>13.1838</v>
      </c>
      <c r="T716" s="2994">
        <v>14.0411</v>
      </c>
      <c r="U716" s="2994">
        <v>13.392200000000001</v>
      </c>
      <c r="V716" s="2994">
        <v>13.600099999999999</v>
      </c>
      <c r="W716" s="2994">
        <v>14.047599999999999</v>
      </c>
      <c r="X716" s="2994">
        <v>13.733700000000001</v>
      </c>
      <c r="Y716" s="2994">
        <v>11.727600000000001</v>
      </c>
      <c r="Z716" s="2994">
        <v>10.243499999999999</v>
      </c>
      <c r="AA716" s="2994">
        <v>11.6267</v>
      </c>
      <c r="AB716" s="2994">
        <v>10.686</v>
      </c>
      <c r="AC716" s="2994">
        <v>9.1707000000000001</v>
      </c>
      <c r="AD716" s="2994">
        <v>8.0907999999999998</v>
      </c>
      <c r="AE716" s="2994">
        <v>9.0114999999999998</v>
      </c>
      <c r="AF716" s="2994">
        <v>9.1959999999999997</v>
      </c>
      <c r="AG716" s="2994">
        <v>9.4335000000000004</v>
      </c>
      <c r="AH716" s="2994">
        <v>7.0648</v>
      </c>
      <c r="AI716" s="2994">
        <v>8.4524000000000008</v>
      </c>
      <c r="AJ716" s="2994">
        <v>9.0937999999999999</v>
      </c>
      <c r="AK716" s="2994">
        <v>8.3224999999999998</v>
      </c>
      <c r="AL716" s="2994">
        <v>8.5294000000000008</v>
      </c>
      <c r="AM716" s="2994">
        <v>10.1166</v>
      </c>
      <c r="AN716" s="2994">
        <v>9.7965</v>
      </c>
      <c r="AO716" s="2994">
        <v>10.057499999999999</v>
      </c>
      <c r="AP716" s="2994">
        <v>10.867599999999999</v>
      </c>
      <c r="AQ716" s="2994">
        <v>13.6188</v>
      </c>
      <c r="AR716" s="2994">
        <v>15.6808</v>
      </c>
      <c r="AS716" s="2994">
        <v>13.6187</v>
      </c>
      <c r="AT716" s="2994">
        <v>15.4574</v>
      </c>
      <c r="AU716" s="2994">
        <v>15.0335</v>
      </c>
      <c r="AV716" s="2994">
        <v>13.971500000000001</v>
      </c>
      <c r="AW716" s="2994">
        <v>14.853199999999999</v>
      </c>
      <c r="AX716" s="2994">
        <v>14.3428</v>
      </c>
      <c r="AY716" s="2994">
        <v>13.925700000000001</v>
      </c>
      <c r="AZ716" s="2994">
        <v>19.8886</v>
      </c>
      <c r="BA716" s="2994">
        <v>26.302499999999998</v>
      </c>
      <c r="BB716" s="2994">
        <v>25.214200000000002</v>
      </c>
      <c r="BC716" s="2994">
        <v>25.361599999999999</v>
      </c>
      <c r="BD716" s="3471">
        <v>27.290099999999999</v>
      </c>
      <c r="BE716" s="3471">
        <v>26.962499999999999</v>
      </c>
      <c r="BF716" s="3471">
        <v>0</v>
      </c>
    </row>
    <row r="717" spans="1:58">
      <c r="A717" s="1817" t="str">
        <f t="shared" si="23"/>
        <v>Eastern AsiaFruit, fresh nes</v>
      </c>
      <c r="B717" s="1818" t="s">
        <v>1328</v>
      </c>
      <c r="C717" s="1818" t="s">
        <v>7324</v>
      </c>
      <c r="D717" s="3463" t="str">
        <f>VLOOKUP(B717,List_Yield!$G$4:$J$14,4,FALSE)</f>
        <v>Asia (Continental)</v>
      </c>
      <c r="E717" s="3463" t="str">
        <f t="shared" si="22"/>
        <v>Asia (Continental)Fruit, fresh nes</v>
      </c>
      <c r="F717" s="2994">
        <v>5.0454999999999997</v>
      </c>
      <c r="G717" s="2994">
        <v>5.7161</v>
      </c>
      <c r="H717" s="2994">
        <v>5.4485999999999999</v>
      </c>
      <c r="I717" s="2994">
        <v>5.3391999999999999</v>
      </c>
      <c r="J717" s="2994">
        <v>5.1661999999999999</v>
      </c>
      <c r="K717" s="2994">
        <v>5.3028000000000004</v>
      </c>
      <c r="L717" s="2994">
        <v>5.6121999999999996</v>
      </c>
      <c r="M717" s="2994">
        <v>5.3665000000000003</v>
      </c>
      <c r="N717" s="2994">
        <v>5.1658999999999997</v>
      </c>
      <c r="O717" s="2994">
        <v>5.8810000000000002</v>
      </c>
      <c r="P717" s="2994">
        <v>5.9672999999999998</v>
      </c>
      <c r="Q717" s="2994">
        <v>5.859</v>
      </c>
      <c r="R717" s="2994">
        <v>5.9122000000000003</v>
      </c>
      <c r="S717" s="2994">
        <v>5.9730999999999996</v>
      </c>
      <c r="T717" s="2994">
        <v>5.7556000000000003</v>
      </c>
      <c r="U717" s="2994">
        <v>5.8901000000000003</v>
      </c>
      <c r="V717" s="2994">
        <v>5.8912000000000004</v>
      </c>
      <c r="W717" s="2994">
        <v>6.1520000000000001</v>
      </c>
      <c r="X717" s="2994">
        <v>6.4375999999999998</v>
      </c>
      <c r="Y717" s="2994">
        <v>6.3807999999999998</v>
      </c>
      <c r="Z717" s="2994">
        <v>6.5712999999999999</v>
      </c>
      <c r="AA717" s="2994">
        <v>7.1738</v>
      </c>
      <c r="AB717" s="2994">
        <v>6.4528999999999996</v>
      </c>
      <c r="AC717" s="2994">
        <v>6.1345999999999998</v>
      </c>
      <c r="AD717" s="2994">
        <v>4.6294000000000004</v>
      </c>
      <c r="AE717" s="2994">
        <v>4.1069000000000004</v>
      </c>
      <c r="AF717" s="2994">
        <v>4.0511999999999997</v>
      </c>
      <c r="AG717" s="2994">
        <v>3.1118999999999999</v>
      </c>
      <c r="AH717" s="2994">
        <v>3.0588000000000002</v>
      </c>
      <c r="AI717" s="2994">
        <v>3.9449999999999998</v>
      </c>
      <c r="AJ717" s="2994">
        <v>4.0522</v>
      </c>
      <c r="AK717" s="2994">
        <v>3.4676</v>
      </c>
      <c r="AL717" s="2994">
        <v>3.4940000000000002</v>
      </c>
      <c r="AM717" s="2994">
        <v>3.5573000000000001</v>
      </c>
      <c r="AN717" s="2994">
        <v>2.8161</v>
      </c>
      <c r="AO717" s="2994">
        <v>2.2896999999999998</v>
      </c>
      <c r="AP717" s="2994">
        <v>2.7155</v>
      </c>
      <c r="AQ717" s="2994">
        <v>2.77</v>
      </c>
      <c r="AR717" s="2994">
        <v>3.4687000000000001</v>
      </c>
      <c r="AS717" s="2994">
        <v>3.5756000000000001</v>
      </c>
      <c r="AT717" s="2994">
        <v>2.8866000000000001</v>
      </c>
      <c r="AU717" s="2994">
        <v>3.0486</v>
      </c>
      <c r="AV717" s="2994">
        <v>3.1219000000000001</v>
      </c>
      <c r="AW717" s="2994">
        <v>3.5428999999999999</v>
      </c>
      <c r="AX717" s="2994">
        <v>3.5097</v>
      </c>
      <c r="AY717" s="2994">
        <v>3.6848999999999998</v>
      </c>
      <c r="AZ717" s="2994">
        <v>3.6099000000000001</v>
      </c>
      <c r="BA717" s="2994">
        <v>3.7061999999999999</v>
      </c>
      <c r="BB717" s="2994">
        <v>3.8424999999999998</v>
      </c>
      <c r="BC717" s="2994">
        <v>3.6987999999999999</v>
      </c>
      <c r="BD717" s="3471">
        <v>3.7389999999999999</v>
      </c>
      <c r="BE717" s="3471">
        <v>3.7269999999999999</v>
      </c>
      <c r="BF717" s="3471">
        <v>0</v>
      </c>
    </row>
    <row r="718" spans="1:58">
      <c r="A718" s="1817" t="str">
        <f t="shared" si="23"/>
        <v>Eastern AsiaFruit, pome nes</v>
      </c>
      <c r="B718" s="1818" t="s">
        <v>1328</v>
      </c>
      <c r="C718" s="1818" t="s">
        <v>7325</v>
      </c>
      <c r="D718" s="3463" t="str">
        <f>VLOOKUP(B718,List_Yield!$G$4:$J$14,4,FALSE)</f>
        <v>Asia (Continental)</v>
      </c>
      <c r="E718" s="3463" t="str">
        <f t="shared" si="22"/>
        <v>Asia (Continental)Fruit, pome nes</v>
      </c>
      <c r="F718" s="2994">
        <v>0</v>
      </c>
      <c r="G718" s="2994">
        <v>0</v>
      </c>
      <c r="H718" s="2994">
        <v>0</v>
      </c>
      <c r="I718" s="2994">
        <v>0</v>
      </c>
      <c r="J718" s="2994">
        <v>0</v>
      </c>
      <c r="K718" s="2994">
        <v>0</v>
      </c>
      <c r="L718" s="2994">
        <v>0</v>
      </c>
      <c r="M718" s="2994">
        <v>0</v>
      </c>
      <c r="N718" s="2994">
        <v>0</v>
      </c>
      <c r="O718" s="2994">
        <v>0</v>
      </c>
      <c r="P718" s="2994">
        <v>0</v>
      </c>
      <c r="Q718" s="2994">
        <v>0</v>
      </c>
      <c r="R718" s="2994">
        <v>0</v>
      </c>
      <c r="S718" s="2994">
        <v>0</v>
      </c>
      <c r="T718" s="2994">
        <v>0</v>
      </c>
      <c r="U718" s="2994">
        <v>0</v>
      </c>
      <c r="V718" s="2994">
        <v>0</v>
      </c>
      <c r="W718" s="2994">
        <v>0</v>
      </c>
      <c r="X718" s="2994">
        <v>0</v>
      </c>
      <c r="Y718" s="2994">
        <v>0</v>
      </c>
      <c r="Z718" s="2994">
        <v>0</v>
      </c>
      <c r="AA718" s="2994">
        <v>0</v>
      </c>
      <c r="AB718" s="2994">
        <v>0</v>
      </c>
      <c r="AC718" s="2994">
        <v>0</v>
      </c>
      <c r="AD718" s="2994">
        <v>0</v>
      </c>
      <c r="AE718" s="2994">
        <v>0</v>
      </c>
      <c r="AF718" s="2994">
        <v>0</v>
      </c>
      <c r="AG718" s="2994">
        <v>0</v>
      </c>
      <c r="AH718" s="2994">
        <v>0</v>
      </c>
      <c r="AI718" s="2994">
        <v>0</v>
      </c>
      <c r="AJ718" s="2994">
        <v>0</v>
      </c>
      <c r="AK718" s="2994">
        <v>0</v>
      </c>
      <c r="AL718" s="2994">
        <v>0</v>
      </c>
      <c r="AM718" s="2994">
        <v>0</v>
      </c>
      <c r="AN718" s="2994">
        <v>0</v>
      </c>
      <c r="AO718" s="2994">
        <v>0</v>
      </c>
      <c r="AP718" s="2994">
        <v>0</v>
      </c>
      <c r="AQ718" s="2994">
        <v>0</v>
      </c>
      <c r="AR718" s="2994">
        <v>0</v>
      </c>
      <c r="AS718" s="2994">
        <v>0</v>
      </c>
      <c r="AT718" s="2994">
        <v>0</v>
      </c>
      <c r="AU718" s="2994">
        <v>0</v>
      </c>
      <c r="AV718" s="2994">
        <v>0</v>
      </c>
      <c r="AW718" s="2994">
        <v>0</v>
      </c>
      <c r="AX718" s="2994">
        <v>0</v>
      </c>
      <c r="AY718" s="2994">
        <v>0</v>
      </c>
      <c r="AZ718" s="2994">
        <v>0</v>
      </c>
      <c r="BA718" s="2994">
        <v>0</v>
      </c>
      <c r="BB718" s="2994">
        <v>0</v>
      </c>
      <c r="BC718" s="2994">
        <v>0</v>
      </c>
      <c r="BD718" s="3471">
        <v>0</v>
      </c>
      <c r="BE718" s="3471">
        <v>0</v>
      </c>
      <c r="BF718" s="3471">
        <v>0</v>
      </c>
    </row>
    <row r="719" spans="1:58">
      <c r="A719" s="1817" t="str">
        <f t="shared" si="23"/>
        <v>Eastern AsiaFruit, stone nes</v>
      </c>
      <c r="B719" s="1818" t="s">
        <v>1328</v>
      </c>
      <c r="C719" s="1818" t="s">
        <v>7326</v>
      </c>
      <c r="D719" s="3463" t="str">
        <f>VLOOKUP(B719,List_Yield!$G$4:$J$14,4,FALSE)</f>
        <v>Asia (Continental)</v>
      </c>
      <c r="E719" s="3463" t="str">
        <f t="shared" si="22"/>
        <v>Asia (Continental)Fruit, stone nes</v>
      </c>
      <c r="F719" s="2994">
        <v>8.5806000000000004</v>
      </c>
      <c r="G719" s="2994">
        <v>7.3125</v>
      </c>
      <c r="H719" s="2994">
        <v>5.5625</v>
      </c>
      <c r="I719" s="2994">
        <v>6.3226000000000004</v>
      </c>
      <c r="J719" s="2994">
        <v>7.4667000000000003</v>
      </c>
      <c r="K719" s="2994">
        <v>4.0345000000000004</v>
      </c>
      <c r="L719" s="2994">
        <v>8.0357000000000003</v>
      </c>
      <c r="M719" s="2994">
        <v>7.5926</v>
      </c>
      <c r="N719" s="2994">
        <v>5.7691999999999997</v>
      </c>
      <c r="O719" s="2994">
        <v>7.1538000000000004</v>
      </c>
      <c r="P719" s="2994">
        <v>4.5999999999999996</v>
      </c>
      <c r="Q719" s="2994">
        <v>7.25</v>
      </c>
      <c r="R719" s="2994">
        <v>5.8333000000000004</v>
      </c>
      <c r="S719" s="2994">
        <v>6.5</v>
      </c>
      <c r="T719" s="2994">
        <v>6</v>
      </c>
      <c r="U719" s="2994">
        <v>6.9583000000000004</v>
      </c>
      <c r="V719" s="2994">
        <v>2.7917000000000001</v>
      </c>
      <c r="W719" s="2994">
        <v>5.7805999999999997</v>
      </c>
      <c r="X719" s="2994">
        <v>7.3949999999999996</v>
      </c>
      <c r="Y719" s="2994">
        <v>5.8677999999999999</v>
      </c>
      <c r="Z719" s="2994">
        <v>1.5447</v>
      </c>
      <c r="AA719" s="2994">
        <v>6.5736999999999997</v>
      </c>
      <c r="AB719" s="2994">
        <v>2.8725000000000001</v>
      </c>
      <c r="AC719" s="2994">
        <v>5.9448999999999996</v>
      </c>
      <c r="AD719" s="2994">
        <v>3.2597999999999998</v>
      </c>
      <c r="AE719" s="2994">
        <v>4.2271000000000001</v>
      </c>
      <c r="AF719" s="2994">
        <v>3.2530000000000001</v>
      </c>
      <c r="AG719" s="2994">
        <v>3.1339999999999999</v>
      </c>
      <c r="AH719" s="2994">
        <v>3.7176</v>
      </c>
      <c r="AI719" s="2994">
        <v>3.7642000000000002</v>
      </c>
      <c r="AJ719" s="2994">
        <v>3.5385</v>
      </c>
      <c r="AK719" s="2994">
        <v>3.1078000000000001</v>
      </c>
      <c r="AL719" s="2994">
        <v>3.9611000000000001</v>
      </c>
      <c r="AM719" s="2994">
        <v>4.4985999999999997</v>
      </c>
      <c r="AN719" s="2994">
        <v>6</v>
      </c>
      <c r="AO719" s="2994">
        <v>6</v>
      </c>
      <c r="AP719" s="2994">
        <v>6.1616</v>
      </c>
      <c r="AQ719" s="2994">
        <v>6.6635</v>
      </c>
      <c r="AR719" s="2994">
        <v>8.8350000000000009</v>
      </c>
      <c r="AS719" s="2994">
        <v>6.8132999999999999</v>
      </c>
      <c r="AT719" s="2994">
        <v>7.5961999999999996</v>
      </c>
      <c r="AU719" s="2994">
        <v>8.4327000000000005</v>
      </c>
      <c r="AV719" s="2994">
        <v>7.7100999999999997</v>
      </c>
      <c r="AW719" s="2994">
        <v>7.6376999999999997</v>
      </c>
      <c r="AX719" s="2994">
        <v>8.5111000000000008</v>
      </c>
      <c r="AY719" s="2994">
        <v>9.5466999999999995</v>
      </c>
      <c r="AZ719" s="2994">
        <v>7.2644000000000002</v>
      </c>
      <c r="BA719" s="2994">
        <v>7.7846000000000002</v>
      </c>
      <c r="BB719" s="2994">
        <v>7.8334999999999999</v>
      </c>
      <c r="BC719" s="2994">
        <v>8.1158000000000001</v>
      </c>
      <c r="BD719" s="3471">
        <v>7.9352999999999998</v>
      </c>
      <c r="BE719" s="3471">
        <v>8.0173000000000005</v>
      </c>
      <c r="BF719" s="3471">
        <v>0</v>
      </c>
    </row>
    <row r="720" spans="1:58">
      <c r="A720" s="1817" t="str">
        <f t="shared" si="23"/>
        <v>Eastern AsiaFruit, tropical fresh nes</v>
      </c>
      <c r="B720" s="1818" t="s">
        <v>1328</v>
      </c>
      <c r="C720" s="1818" t="s">
        <v>7327</v>
      </c>
      <c r="D720" s="3463" t="str">
        <f>VLOOKUP(B720,List_Yield!$G$4:$J$14,4,FALSE)</f>
        <v>Asia (Continental)</v>
      </c>
      <c r="E720" s="3463" t="str">
        <f t="shared" si="22"/>
        <v>Asia (Continental)Fruit, tropical fresh nes</v>
      </c>
      <c r="F720" s="2994">
        <v>5.5397999999999996</v>
      </c>
      <c r="G720" s="2994">
        <v>4.9836999999999998</v>
      </c>
      <c r="H720" s="2994">
        <v>5.2485999999999997</v>
      </c>
      <c r="I720" s="2994">
        <v>4.8993000000000002</v>
      </c>
      <c r="J720" s="2994">
        <v>5.1219000000000001</v>
      </c>
      <c r="K720" s="2994">
        <v>3.6913999999999998</v>
      </c>
      <c r="L720" s="2994">
        <v>3.8923999999999999</v>
      </c>
      <c r="M720" s="2994">
        <v>3.3416999999999999</v>
      </c>
      <c r="N720" s="2994">
        <v>3.4125999999999999</v>
      </c>
      <c r="O720" s="2994">
        <v>3.3561999999999999</v>
      </c>
      <c r="P720" s="2994">
        <v>3.2332999999999998</v>
      </c>
      <c r="Q720" s="2994">
        <v>3.9060999999999999</v>
      </c>
      <c r="R720" s="2994">
        <v>4.9707999999999997</v>
      </c>
      <c r="S720" s="2994">
        <v>4.3757999999999999</v>
      </c>
      <c r="T720" s="2994">
        <v>3.9714999999999998</v>
      </c>
      <c r="U720" s="2994">
        <v>3.7530999999999999</v>
      </c>
      <c r="V720" s="2994">
        <v>3.2517</v>
      </c>
      <c r="W720" s="2994">
        <v>4.1052</v>
      </c>
      <c r="X720" s="2994">
        <v>5.1607000000000003</v>
      </c>
      <c r="Y720" s="2994">
        <v>5.7961999999999998</v>
      </c>
      <c r="Z720" s="2994">
        <v>6.0689000000000002</v>
      </c>
      <c r="AA720" s="2994">
        <v>5.5293999999999999</v>
      </c>
      <c r="AB720" s="2994">
        <v>5.3636999999999997</v>
      </c>
      <c r="AC720" s="2994">
        <v>5.3413000000000004</v>
      </c>
      <c r="AD720" s="2994">
        <v>5.4562999999999997</v>
      </c>
      <c r="AE720" s="2994">
        <v>4.4901999999999997</v>
      </c>
      <c r="AF720" s="2994">
        <v>4.0598000000000001</v>
      </c>
      <c r="AG720" s="2994">
        <v>4.8667999999999996</v>
      </c>
      <c r="AH720" s="2994">
        <v>4.9648000000000003</v>
      </c>
      <c r="AI720" s="2994">
        <v>5.1525999999999996</v>
      </c>
      <c r="AJ720" s="2994">
        <v>5.6936</v>
      </c>
      <c r="AK720" s="2994">
        <v>4.8695000000000004</v>
      </c>
      <c r="AL720" s="2994">
        <v>4.7117000000000004</v>
      </c>
      <c r="AM720" s="2994">
        <v>4.6624999999999996</v>
      </c>
      <c r="AN720" s="2994">
        <v>4.1534000000000004</v>
      </c>
      <c r="AO720" s="2994">
        <v>3.3616000000000001</v>
      </c>
      <c r="AP720" s="2994">
        <v>4.3502000000000001</v>
      </c>
      <c r="AQ720" s="2994">
        <v>3.6861999999999999</v>
      </c>
      <c r="AR720" s="2994">
        <v>4.2283999999999997</v>
      </c>
      <c r="AS720" s="2994">
        <v>3.8454000000000002</v>
      </c>
      <c r="AT720" s="2994">
        <v>3.4607000000000001</v>
      </c>
      <c r="AU720" s="2994">
        <v>3.6760999999999999</v>
      </c>
      <c r="AV720" s="2994">
        <v>3.3563000000000001</v>
      </c>
      <c r="AW720" s="2994">
        <v>4.2648000000000001</v>
      </c>
      <c r="AX720" s="2994">
        <v>4.0164999999999997</v>
      </c>
      <c r="AY720" s="2994">
        <v>3.6553</v>
      </c>
      <c r="AZ720" s="2994">
        <v>3.7250999999999999</v>
      </c>
      <c r="BA720" s="2994">
        <v>3.7258</v>
      </c>
      <c r="BB720" s="2994">
        <v>3.8056999999999999</v>
      </c>
      <c r="BC720" s="2994">
        <v>4.0716000000000001</v>
      </c>
      <c r="BD720" s="3471">
        <v>4.0819000000000001</v>
      </c>
      <c r="BE720" s="3471">
        <v>4.0903999999999998</v>
      </c>
      <c r="BF720" s="3471">
        <v>0</v>
      </c>
    </row>
    <row r="721" spans="1:58">
      <c r="A721" s="1817" t="str">
        <f t="shared" si="23"/>
        <v>Eastern AsiaGarlic</v>
      </c>
      <c r="B721" s="1818" t="s">
        <v>1328</v>
      </c>
      <c r="C721" s="1818" t="s">
        <v>7328</v>
      </c>
      <c r="D721" s="3463" t="str">
        <f>VLOOKUP(B721,List_Yield!$G$4:$J$14,4,FALSE)</f>
        <v>Asia (Continental)</v>
      </c>
      <c r="E721" s="3463" t="str">
        <f t="shared" si="22"/>
        <v>Asia (Continental)Garlic</v>
      </c>
      <c r="F721" s="2994">
        <v>6.0959000000000003</v>
      </c>
      <c r="G721" s="2994">
        <v>6.5105000000000004</v>
      </c>
      <c r="H721" s="2994">
        <v>6.7553999999999998</v>
      </c>
      <c r="I721" s="2994">
        <v>6.7028999999999996</v>
      </c>
      <c r="J721" s="2994">
        <v>7.0632000000000001</v>
      </c>
      <c r="K721" s="2994">
        <v>7.3128000000000002</v>
      </c>
      <c r="L721" s="2994">
        <v>7.3941999999999997</v>
      </c>
      <c r="M721" s="2994">
        <v>8.0973000000000006</v>
      </c>
      <c r="N721" s="2994">
        <v>8.4308999999999994</v>
      </c>
      <c r="O721" s="2994">
        <v>8.8696000000000002</v>
      </c>
      <c r="P721" s="2994">
        <v>8.9758999999999993</v>
      </c>
      <c r="Q721" s="2994">
        <v>8.5085999999999995</v>
      </c>
      <c r="R721" s="2994">
        <v>8.4888999999999992</v>
      </c>
      <c r="S721" s="2994">
        <v>8.8890999999999991</v>
      </c>
      <c r="T721" s="2994">
        <v>9.0411999999999999</v>
      </c>
      <c r="U721" s="2994">
        <v>9.1041000000000007</v>
      </c>
      <c r="V721" s="2994">
        <v>9.0646000000000004</v>
      </c>
      <c r="W721" s="2994">
        <v>8.2348999999999997</v>
      </c>
      <c r="X721" s="2994">
        <v>8.8120999999999992</v>
      </c>
      <c r="Y721" s="2994">
        <v>8.3370999999999995</v>
      </c>
      <c r="Z721" s="2994">
        <v>8.8515999999999995</v>
      </c>
      <c r="AA721" s="2994">
        <v>8.7327999999999992</v>
      </c>
      <c r="AB721" s="2994">
        <v>8.9709000000000003</v>
      </c>
      <c r="AC721" s="2994">
        <v>8.9110999999999994</v>
      </c>
      <c r="AD721" s="2994">
        <v>9.3346</v>
      </c>
      <c r="AE721" s="2994">
        <v>9.4483999999999995</v>
      </c>
      <c r="AF721" s="2994">
        <v>9.7601999999999993</v>
      </c>
      <c r="AG721" s="2994">
        <v>9.9612999999999996</v>
      </c>
      <c r="AH721" s="2994">
        <v>10.1967</v>
      </c>
      <c r="AI721" s="2994">
        <v>10.075900000000001</v>
      </c>
      <c r="AJ721" s="2994">
        <v>11.863</v>
      </c>
      <c r="AK721" s="2994">
        <v>12.3665</v>
      </c>
      <c r="AL721" s="2994">
        <v>11.943</v>
      </c>
      <c r="AM721" s="2994">
        <v>12.929500000000001</v>
      </c>
      <c r="AN721" s="2994">
        <v>13.178599999999999</v>
      </c>
      <c r="AO721" s="2994">
        <v>13.402699999999999</v>
      </c>
      <c r="AP721" s="2994">
        <v>12.7613</v>
      </c>
      <c r="AQ721" s="2994">
        <v>12.5229</v>
      </c>
      <c r="AR721" s="2994">
        <v>12.5844</v>
      </c>
      <c r="AS721" s="2994">
        <v>13.117699999999999</v>
      </c>
      <c r="AT721" s="2994">
        <v>13.3094</v>
      </c>
      <c r="AU721" s="2994">
        <v>14.3094</v>
      </c>
      <c r="AV721" s="2994">
        <v>15.6333</v>
      </c>
      <c r="AW721" s="2994">
        <v>16.3078</v>
      </c>
      <c r="AX721" s="2994">
        <v>16.749600000000001</v>
      </c>
      <c r="AY721" s="2994">
        <v>17.279499999999999</v>
      </c>
      <c r="AZ721" s="2994">
        <v>20.812200000000001</v>
      </c>
      <c r="BA721" s="2994">
        <v>21.885400000000001</v>
      </c>
      <c r="BB721" s="2994">
        <v>22.6005</v>
      </c>
      <c r="BC721" s="2994">
        <v>22.619399999999999</v>
      </c>
      <c r="BD721" s="3471">
        <v>22.6477</v>
      </c>
      <c r="BE721" s="3471">
        <v>22.941099999999999</v>
      </c>
      <c r="BF721" s="3471">
        <v>0</v>
      </c>
    </row>
    <row r="722" spans="1:58">
      <c r="A722" s="1817" t="str">
        <f t="shared" si="23"/>
        <v>Eastern AsiaGinger</v>
      </c>
      <c r="B722" s="1818" t="s">
        <v>1328</v>
      </c>
      <c r="C722" s="1818" t="s">
        <v>7329</v>
      </c>
      <c r="D722" s="3463" t="str">
        <f>VLOOKUP(B722,List_Yield!$G$4:$J$14,4,FALSE)</f>
        <v>Asia (Continental)</v>
      </c>
      <c r="E722" s="3463" t="str">
        <f t="shared" si="22"/>
        <v>Asia (Continental)Ginger</v>
      </c>
      <c r="F722" s="2994">
        <v>7.8597999999999999</v>
      </c>
      <c r="G722" s="2994">
        <v>9.2692999999999994</v>
      </c>
      <c r="H722" s="2994">
        <v>9.0894999999999992</v>
      </c>
      <c r="I722" s="2994">
        <v>7.2584999999999997</v>
      </c>
      <c r="J722" s="2994">
        <v>9.5373999999999999</v>
      </c>
      <c r="K722" s="2994">
        <v>6.0077999999999996</v>
      </c>
      <c r="L722" s="2994">
        <v>6.0265000000000004</v>
      </c>
      <c r="M722" s="2994">
        <v>6.7826000000000004</v>
      </c>
      <c r="N722" s="2994">
        <v>8.5899000000000001</v>
      </c>
      <c r="O722" s="2994">
        <v>8.0729000000000006</v>
      </c>
      <c r="P722" s="2994">
        <v>7.4633000000000003</v>
      </c>
      <c r="Q722" s="2994">
        <v>7.5042999999999997</v>
      </c>
      <c r="R722" s="2994">
        <v>7.5656999999999996</v>
      </c>
      <c r="S722" s="2994">
        <v>6.1291000000000002</v>
      </c>
      <c r="T722" s="2994">
        <v>5.4573</v>
      </c>
      <c r="U722" s="2994">
        <v>4.8360000000000003</v>
      </c>
      <c r="V722" s="2994">
        <v>6.7643000000000004</v>
      </c>
      <c r="W722" s="2994">
        <v>10.1114</v>
      </c>
      <c r="X722" s="2994">
        <v>10.038</v>
      </c>
      <c r="Y722" s="2994">
        <v>8.3394999999999992</v>
      </c>
      <c r="Z722" s="2994">
        <v>9.93</v>
      </c>
      <c r="AA722" s="2994">
        <v>8.6317000000000004</v>
      </c>
      <c r="AB722" s="2994">
        <v>7.6261999999999999</v>
      </c>
      <c r="AC722" s="2994">
        <v>7.2652999999999999</v>
      </c>
      <c r="AD722" s="2994">
        <v>7.2080000000000002</v>
      </c>
      <c r="AE722" s="2994">
        <v>7.5281000000000002</v>
      </c>
      <c r="AF722" s="2994">
        <v>6.9367000000000001</v>
      </c>
      <c r="AG722" s="2994">
        <v>7.0663</v>
      </c>
      <c r="AH722" s="2994">
        <v>6.4888000000000003</v>
      </c>
      <c r="AI722" s="2994">
        <v>8.3886000000000003</v>
      </c>
      <c r="AJ722" s="2994">
        <v>8.5626999999999995</v>
      </c>
      <c r="AK722" s="2994">
        <v>8.4572000000000003</v>
      </c>
      <c r="AL722" s="2994">
        <v>8.5577000000000005</v>
      </c>
      <c r="AM722" s="2994">
        <v>7.9817</v>
      </c>
      <c r="AN722" s="2994">
        <v>8.8306000000000004</v>
      </c>
      <c r="AO722" s="2994">
        <v>11.233000000000001</v>
      </c>
      <c r="AP722" s="2994">
        <v>9.9461999999999993</v>
      </c>
      <c r="AQ722" s="2994">
        <v>9.4891000000000005</v>
      </c>
      <c r="AR722" s="2994">
        <v>10.0909</v>
      </c>
      <c r="AS722" s="2994">
        <v>11.6099</v>
      </c>
      <c r="AT722" s="2994">
        <v>11.347899999999999</v>
      </c>
      <c r="AU722" s="2994">
        <v>10.723800000000001</v>
      </c>
      <c r="AV722" s="2994">
        <v>13.4581</v>
      </c>
      <c r="AW722" s="2994">
        <v>12.2476</v>
      </c>
      <c r="AX722" s="2994">
        <v>11.653499999999999</v>
      </c>
      <c r="AY722" s="2994">
        <v>11.427899999999999</v>
      </c>
      <c r="AZ722" s="2994">
        <v>12.0723</v>
      </c>
      <c r="BA722" s="2994">
        <v>12.1637</v>
      </c>
      <c r="BB722" s="2994">
        <v>11.4039</v>
      </c>
      <c r="BC722" s="2994">
        <v>11.3916</v>
      </c>
      <c r="BD722" s="3471">
        <v>11.925599999999999</v>
      </c>
      <c r="BE722" s="3471">
        <v>12.007300000000001</v>
      </c>
      <c r="BF722" s="3471">
        <v>0</v>
      </c>
    </row>
    <row r="723" spans="1:58">
      <c r="A723" s="1817" t="str">
        <f t="shared" si="23"/>
        <v>Eastern AsiaGooseberries</v>
      </c>
      <c r="B723" s="1818" t="s">
        <v>1328</v>
      </c>
      <c r="C723" s="1818" t="s">
        <v>7330</v>
      </c>
      <c r="D723" s="3463" t="str">
        <f>VLOOKUP(B723,List_Yield!$G$4:$J$14,4,FALSE)</f>
        <v>Asia (Continental)</v>
      </c>
      <c r="E723" s="3463" t="str">
        <f t="shared" si="22"/>
        <v>Asia (Continental)Gooseberries</v>
      </c>
      <c r="F723" s="2994">
        <v>0</v>
      </c>
      <c r="G723" s="2994">
        <v>0</v>
      </c>
      <c r="H723" s="2994">
        <v>0</v>
      </c>
      <c r="I723" s="2994">
        <v>0</v>
      </c>
      <c r="J723" s="2994">
        <v>0</v>
      </c>
      <c r="K723" s="2994">
        <v>0</v>
      </c>
      <c r="L723" s="2994">
        <v>0</v>
      </c>
      <c r="M723" s="2994">
        <v>0</v>
      </c>
      <c r="N723" s="2994">
        <v>0</v>
      </c>
      <c r="O723" s="2994">
        <v>0</v>
      </c>
      <c r="P723" s="2994">
        <v>0</v>
      </c>
      <c r="Q723" s="2994">
        <v>0</v>
      </c>
      <c r="R723" s="2994">
        <v>0</v>
      </c>
      <c r="S723" s="2994">
        <v>0</v>
      </c>
      <c r="T723" s="2994">
        <v>0</v>
      </c>
      <c r="U723" s="2994">
        <v>0</v>
      </c>
      <c r="V723" s="2994">
        <v>0</v>
      </c>
      <c r="W723" s="2994">
        <v>0</v>
      </c>
      <c r="X723" s="2994">
        <v>0</v>
      </c>
      <c r="Y723" s="2994">
        <v>0</v>
      </c>
      <c r="Z723" s="2994">
        <v>0</v>
      </c>
      <c r="AA723" s="2994">
        <v>0</v>
      </c>
      <c r="AB723" s="2994">
        <v>0</v>
      </c>
      <c r="AC723" s="2994">
        <v>0</v>
      </c>
      <c r="AD723" s="2994">
        <v>0</v>
      </c>
      <c r="AE723" s="2994">
        <v>0</v>
      </c>
      <c r="AF723" s="2994">
        <v>0</v>
      </c>
      <c r="AG723" s="2994">
        <v>0</v>
      </c>
      <c r="AH723" s="2994">
        <v>0</v>
      </c>
      <c r="AI723" s="2994">
        <v>0</v>
      </c>
      <c r="AJ723" s="2994">
        <v>0</v>
      </c>
      <c r="AK723" s="2994">
        <v>0</v>
      </c>
      <c r="AL723" s="2994">
        <v>0</v>
      </c>
      <c r="AM723" s="2994">
        <v>0</v>
      </c>
      <c r="AN723" s="2994">
        <v>0</v>
      </c>
      <c r="AO723" s="2994">
        <v>0</v>
      </c>
      <c r="AP723" s="2994">
        <v>0</v>
      </c>
      <c r="AQ723" s="2994">
        <v>0</v>
      </c>
      <c r="AR723" s="2994">
        <v>0</v>
      </c>
      <c r="AS723" s="2994">
        <v>0</v>
      </c>
      <c r="AT723" s="2994">
        <v>0</v>
      </c>
      <c r="AU723" s="2994">
        <v>0</v>
      </c>
      <c r="AV723" s="2994">
        <v>0</v>
      </c>
      <c r="AW723" s="2994">
        <v>0</v>
      </c>
      <c r="AX723" s="2994">
        <v>0</v>
      </c>
      <c r="AY723" s="2994">
        <v>0</v>
      </c>
      <c r="AZ723" s="2994">
        <v>0</v>
      </c>
      <c r="BA723" s="2994">
        <v>0</v>
      </c>
      <c r="BB723" s="2994">
        <v>0</v>
      </c>
      <c r="BC723" s="2994">
        <v>0</v>
      </c>
      <c r="BD723" s="3471">
        <v>0</v>
      </c>
      <c r="BE723" s="3471">
        <v>0</v>
      </c>
      <c r="BF723" s="3471">
        <v>0</v>
      </c>
    </row>
    <row r="724" spans="1:58">
      <c r="A724" s="1817" t="str">
        <f t="shared" si="23"/>
        <v>Eastern AsiaGrain, mixed</v>
      </c>
      <c r="B724" s="1818" t="s">
        <v>1328</v>
      </c>
      <c r="C724" s="1818" t="s">
        <v>7331</v>
      </c>
      <c r="D724" s="3463" t="str">
        <f>VLOOKUP(B724,List_Yield!$G$4:$J$14,4,FALSE)</f>
        <v>Asia (Continental)</v>
      </c>
      <c r="E724" s="3463" t="str">
        <f t="shared" si="22"/>
        <v>Asia (Continental)Grain, mixed</v>
      </c>
      <c r="F724" s="2994">
        <v>0</v>
      </c>
      <c r="G724" s="2994">
        <v>0</v>
      </c>
      <c r="H724" s="2994">
        <v>0</v>
      </c>
      <c r="I724" s="2994">
        <v>0</v>
      </c>
      <c r="J724" s="2994">
        <v>0</v>
      </c>
      <c r="K724" s="2994">
        <v>0</v>
      </c>
      <c r="L724" s="2994">
        <v>0</v>
      </c>
      <c r="M724" s="2994">
        <v>0</v>
      </c>
      <c r="N724" s="2994">
        <v>0</v>
      </c>
      <c r="O724" s="2994">
        <v>0</v>
      </c>
      <c r="P724" s="2994">
        <v>0</v>
      </c>
      <c r="Q724" s="2994">
        <v>0</v>
      </c>
      <c r="R724" s="2994">
        <v>0</v>
      </c>
      <c r="S724" s="2994">
        <v>0</v>
      </c>
      <c r="T724" s="2994">
        <v>0</v>
      </c>
      <c r="U724" s="2994">
        <v>0</v>
      </c>
      <c r="V724" s="2994">
        <v>0</v>
      </c>
      <c r="W724" s="2994">
        <v>0</v>
      </c>
      <c r="X724" s="2994">
        <v>0</v>
      </c>
      <c r="Y724" s="2994">
        <v>0</v>
      </c>
      <c r="Z724" s="2994">
        <v>0</v>
      </c>
      <c r="AA724" s="2994">
        <v>0</v>
      </c>
      <c r="AB724" s="2994">
        <v>0</v>
      </c>
      <c r="AC724" s="2994">
        <v>0</v>
      </c>
      <c r="AD724" s="2994">
        <v>0</v>
      </c>
      <c r="AE724" s="2994">
        <v>0</v>
      </c>
      <c r="AF724" s="2994">
        <v>0</v>
      </c>
      <c r="AG724" s="2994">
        <v>0</v>
      </c>
      <c r="AH724" s="2994">
        <v>0</v>
      </c>
      <c r="AI724" s="2994">
        <v>0</v>
      </c>
      <c r="AJ724" s="2994">
        <v>0</v>
      </c>
      <c r="AK724" s="2994">
        <v>0</v>
      </c>
      <c r="AL724" s="2994">
        <v>0</v>
      </c>
      <c r="AM724" s="2994">
        <v>0</v>
      </c>
      <c r="AN724" s="2994">
        <v>0</v>
      </c>
      <c r="AO724" s="2994">
        <v>0</v>
      </c>
      <c r="AP724" s="2994">
        <v>0</v>
      </c>
      <c r="AQ724" s="2994">
        <v>0</v>
      </c>
      <c r="AR724" s="2994">
        <v>0</v>
      </c>
      <c r="AS724" s="2994">
        <v>0</v>
      </c>
      <c r="AT724" s="2994">
        <v>0</v>
      </c>
      <c r="AU724" s="2994">
        <v>0</v>
      </c>
      <c r="AV724" s="2994">
        <v>0</v>
      </c>
      <c r="AW724" s="2994">
        <v>0</v>
      </c>
      <c r="AX724" s="2994">
        <v>0</v>
      </c>
      <c r="AY724" s="2994">
        <v>0</v>
      </c>
      <c r="AZ724" s="2994">
        <v>0</v>
      </c>
      <c r="BA724" s="2994">
        <v>0</v>
      </c>
      <c r="BB724" s="2994">
        <v>0</v>
      </c>
      <c r="BC724" s="2994">
        <v>0</v>
      </c>
      <c r="BD724" s="3471">
        <v>0</v>
      </c>
      <c r="BE724" s="3471">
        <v>0</v>
      </c>
      <c r="BF724" s="3471">
        <v>0</v>
      </c>
    </row>
    <row r="725" spans="1:58">
      <c r="A725" s="1817" t="str">
        <f t="shared" si="23"/>
        <v>Eastern AsiaGrapefruit (inc. pomelos)</v>
      </c>
      <c r="B725" s="1818" t="s">
        <v>1328</v>
      </c>
      <c r="C725" s="1818" t="s">
        <v>1351</v>
      </c>
      <c r="D725" s="3463" t="str">
        <f>VLOOKUP(B725,List_Yield!$G$4:$J$14,4,FALSE)</f>
        <v>Asia (Continental)</v>
      </c>
      <c r="E725" s="3463" t="str">
        <f t="shared" si="22"/>
        <v>Asia (Continental)Grapefruit (inc. pomelos)</v>
      </c>
      <c r="F725" s="2994">
        <v>3.5914000000000001</v>
      </c>
      <c r="G725" s="2994">
        <v>4.2962999999999996</v>
      </c>
      <c r="H725" s="2994">
        <v>4.3842999999999996</v>
      </c>
      <c r="I725" s="2994">
        <v>4.7262000000000004</v>
      </c>
      <c r="J725" s="2994">
        <v>4.2834000000000003</v>
      </c>
      <c r="K725" s="2994">
        <v>4.2236000000000002</v>
      </c>
      <c r="L725" s="2994">
        <v>4.7746000000000004</v>
      </c>
      <c r="M725" s="2994">
        <v>5.0641999999999996</v>
      </c>
      <c r="N725" s="2994">
        <v>4.5084</v>
      </c>
      <c r="O725" s="2994">
        <v>5.78</v>
      </c>
      <c r="P725" s="2994">
        <v>5.4210000000000003</v>
      </c>
      <c r="Q725" s="2994">
        <v>6.0768000000000004</v>
      </c>
      <c r="R725" s="2994">
        <v>5.9660000000000002</v>
      </c>
      <c r="S725" s="2994">
        <v>5.44</v>
      </c>
      <c r="T725" s="2994">
        <v>5.3067000000000002</v>
      </c>
      <c r="U725" s="2994">
        <v>5.2987000000000002</v>
      </c>
      <c r="V725" s="2994">
        <v>5.8648999999999996</v>
      </c>
      <c r="W725" s="2994">
        <v>5.5460000000000003</v>
      </c>
      <c r="X725" s="2994">
        <v>5.0856000000000003</v>
      </c>
      <c r="Y725" s="2994">
        <v>4.8304</v>
      </c>
      <c r="Z725" s="2994">
        <v>4.8169000000000004</v>
      </c>
      <c r="AA725" s="2994">
        <v>4.4988000000000001</v>
      </c>
      <c r="AB725" s="2994">
        <v>4.375</v>
      </c>
      <c r="AC725" s="2994">
        <v>4.2443999999999997</v>
      </c>
      <c r="AD725" s="2994">
        <v>4.0509000000000004</v>
      </c>
      <c r="AE725" s="2994">
        <v>4.2272999999999996</v>
      </c>
      <c r="AF725" s="2994">
        <v>4.54</v>
      </c>
      <c r="AG725" s="2994">
        <v>5.1440999999999999</v>
      </c>
      <c r="AH725" s="2994">
        <v>4.5159000000000002</v>
      </c>
      <c r="AI725" s="2994">
        <v>4.6706000000000003</v>
      </c>
      <c r="AJ725" s="2994">
        <v>6.6717000000000004</v>
      </c>
      <c r="AK725" s="2994">
        <v>5.5289999999999999</v>
      </c>
      <c r="AL725" s="2994">
        <v>6.3718000000000004</v>
      </c>
      <c r="AM725" s="2994">
        <v>6.9096000000000002</v>
      </c>
      <c r="AN725" s="2994">
        <v>8.2095000000000002</v>
      </c>
      <c r="AO725" s="2994">
        <v>7.8564999999999996</v>
      </c>
      <c r="AP725" s="2994">
        <v>7.8114999999999997</v>
      </c>
      <c r="AQ725" s="2994">
        <v>7.8377999999999997</v>
      </c>
      <c r="AR725" s="2994">
        <v>8.6709999999999994</v>
      </c>
      <c r="AS725" s="2994">
        <v>6.3739999999999997</v>
      </c>
      <c r="AT725" s="2994">
        <v>7.1440000000000001</v>
      </c>
      <c r="AU725" s="2994">
        <v>7.7522000000000002</v>
      </c>
      <c r="AV725" s="2994">
        <v>7.9635999999999996</v>
      </c>
      <c r="AW725" s="2994">
        <v>8.2711000000000006</v>
      </c>
      <c r="AX725" s="2994">
        <v>8.0594000000000001</v>
      </c>
      <c r="AY725" s="2994">
        <v>8.6707999999999998</v>
      </c>
      <c r="AZ725" s="2994">
        <v>39.165399999999998</v>
      </c>
      <c r="BA725" s="2994">
        <v>41.948</v>
      </c>
      <c r="BB725" s="2994">
        <v>43.298099999999998</v>
      </c>
      <c r="BC725" s="2994">
        <v>43.718699999999998</v>
      </c>
      <c r="BD725" s="3471">
        <v>47.9482</v>
      </c>
      <c r="BE725" s="3471">
        <v>48.657499999999999</v>
      </c>
      <c r="BF725" s="3471">
        <v>0</v>
      </c>
    </row>
    <row r="726" spans="1:58">
      <c r="A726" s="1817" t="str">
        <f t="shared" si="23"/>
        <v>Eastern AsiaGrapes</v>
      </c>
      <c r="B726" s="1818" t="s">
        <v>1328</v>
      </c>
      <c r="C726" s="1818" t="s">
        <v>1352</v>
      </c>
      <c r="D726" s="3463" t="str">
        <f>VLOOKUP(B726,List_Yield!$G$4:$J$14,4,FALSE)</f>
        <v>Asia (Continental)</v>
      </c>
      <c r="E726" s="3463" t="str">
        <f t="shared" si="22"/>
        <v>Asia (Continental)Grapes</v>
      </c>
      <c r="F726" s="2994">
        <v>8.8331</v>
      </c>
      <c r="G726" s="2994">
        <v>8.7857000000000003</v>
      </c>
      <c r="H726" s="2994">
        <v>7.9195000000000002</v>
      </c>
      <c r="I726" s="2994">
        <v>8.6511999999999993</v>
      </c>
      <c r="J726" s="2994">
        <v>8.3693000000000008</v>
      </c>
      <c r="K726" s="2994">
        <v>8.0312000000000001</v>
      </c>
      <c r="L726" s="2994">
        <v>8.5531000000000006</v>
      </c>
      <c r="M726" s="2994">
        <v>8.9268000000000001</v>
      </c>
      <c r="N726" s="2994">
        <v>8.1159999999999997</v>
      </c>
      <c r="O726" s="2994">
        <v>7.5362</v>
      </c>
      <c r="P726" s="2994">
        <v>7.9211</v>
      </c>
      <c r="Q726" s="2994">
        <v>8.3666</v>
      </c>
      <c r="R726" s="2994">
        <v>8.2830999999999992</v>
      </c>
      <c r="S726" s="2994">
        <v>8.3963000000000001</v>
      </c>
      <c r="T726" s="2994">
        <v>8.3176000000000005</v>
      </c>
      <c r="U726" s="2994">
        <v>8.6475000000000009</v>
      </c>
      <c r="V726" s="2994">
        <v>8.3710000000000004</v>
      </c>
      <c r="W726" s="2994">
        <v>7.9644000000000004</v>
      </c>
      <c r="X726" s="2994">
        <v>8.1737000000000002</v>
      </c>
      <c r="Y726" s="2994">
        <v>7.4344000000000001</v>
      </c>
      <c r="Z726" s="2994">
        <v>7.5244</v>
      </c>
      <c r="AA726" s="2994">
        <v>7.3974000000000002</v>
      </c>
      <c r="AB726" s="2994">
        <v>7.4337999999999997</v>
      </c>
      <c r="AC726" s="2994">
        <v>7.0846</v>
      </c>
      <c r="AD726" s="2994">
        <v>6.6562999999999999</v>
      </c>
      <c r="AE726" s="2994">
        <v>5.9272999999999998</v>
      </c>
      <c r="AF726" s="2994">
        <v>6.0967000000000002</v>
      </c>
      <c r="AG726" s="2994">
        <v>6.8529</v>
      </c>
      <c r="AH726" s="2994">
        <v>7.6784999999999997</v>
      </c>
      <c r="AI726" s="2994">
        <v>8.2329000000000008</v>
      </c>
      <c r="AJ726" s="2994">
        <v>9.2571999999999992</v>
      </c>
      <c r="AK726" s="2994">
        <v>9.2246000000000006</v>
      </c>
      <c r="AL726" s="2994">
        <v>10.833600000000001</v>
      </c>
      <c r="AM726" s="2994">
        <v>10.918699999999999</v>
      </c>
      <c r="AN726" s="2994">
        <v>11.9384</v>
      </c>
      <c r="AO726" s="2994">
        <v>12.621499999999999</v>
      </c>
      <c r="AP726" s="2994">
        <v>13.0596</v>
      </c>
      <c r="AQ726" s="2994">
        <v>13.220599999999999</v>
      </c>
      <c r="AR726" s="2994">
        <v>12.492699999999999</v>
      </c>
      <c r="AS726" s="2994">
        <v>12.178699999999999</v>
      </c>
      <c r="AT726" s="2994">
        <v>11.5695</v>
      </c>
      <c r="AU726" s="2994">
        <v>11.828900000000001</v>
      </c>
      <c r="AV726" s="2994">
        <v>12.5252</v>
      </c>
      <c r="AW726" s="2994">
        <v>13.8294</v>
      </c>
      <c r="AX726" s="2994">
        <v>14.2949</v>
      </c>
      <c r="AY726" s="2994">
        <v>15.0252</v>
      </c>
      <c r="AZ726" s="2994">
        <v>15.2881</v>
      </c>
      <c r="BA726" s="2994">
        <v>15.824</v>
      </c>
      <c r="BB726" s="2994">
        <v>16.089300000000001</v>
      </c>
      <c r="BC726" s="2994">
        <v>15.476599999999999</v>
      </c>
      <c r="BD726" s="3471">
        <v>15.1386</v>
      </c>
      <c r="BE726" s="3471">
        <v>15.9595</v>
      </c>
      <c r="BF726" s="3471">
        <v>0</v>
      </c>
    </row>
    <row r="727" spans="1:58">
      <c r="A727" s="1817" t="str">
        <f t="shared" si="23"/>
        <v>Eastern AsiaGroundnuts, with shell</v>
      </c>
      <c r="B727" s="1818" t="s">
        <v>1328</v>
      </c>
      <c r="C727" s="1818" t="s">
        <v>1353</v>
      </c>
      <c r="D727" s="3463" t="str">
        <f>VLOOKUP(B727,List_Yield!$G$4:$J$14,4,FALSE)</f>
        <v>Asia (Continental)</v>
      </c>
      <c r="E727" s="3463" t="str">
        <f t="shared" si="22"/>
        <v>Asia (Continental)Groundnuts, with shell</v>
      </c>
      <c r="F727" s="2994">
        <v>0.95009999999999994</v>
      </c>
      <c r="G727" s="2994">
        <v>0.91579999999999995</v>
      </c>
      <c r="H727" s="2994">
        <v>1.0277000000000001</v>
      </c>
      <c r="I727" s="2994">
        <v>1.0159</v>
      </c>
      <c r="J727" s="2994">
        <v>1.0864</v>
      </c>
      <c r="K727" s="2994">
        <v>1.2358</v>
      </c>
      <c r="L727" s="2994">
        <v>1.1779999999999999</v>
      </c>
      <c r="M727" s="2994">
        <v>1.1335</v>
      </c>
      <c r="N727" s="2994">
        <v>1.0922000000000001</v>
      </c>
      <c r="O727" s="2994">
        <v>1.2901</v>
      </c>
      <c r="P727" s="2994">
        <v>1.264</v>
      </c>
      <c r="Q727" s="2994">
        <v>1.1477999999999999</v>
      </c>
      <c r="R727" s="2994">
        <v>1.2376</v>
      </c>
      <c r="S727" s="2994">
        <v>1.2948999999999999</v>
      </c>
      <c r="T727" s="2994">
        <v>1.2266999999999999</v>
      </c>
      <c r="U727" s="2994">
        <v>1.0468999999999999</v>
      </c>
      <c r="V727" s="2994">
        <v>1.1970000000000001</v>
      </c>
      <c r="W727" s="2994">
        <v>1.3601000000000001</v>
      </c>
      <c r="X727" s="2994">
        <v>1.3752</v>
      </c>
      <c r="Y727" s="2994">
        <v>1.5414000000000001</v>
      </c>
      <c r="Z727" s="2994">
        <v>1.5524</v>
      </c>
      <c r="AA727" s="2994">
        <v>1.6195999999999999</v>
      </c>
      <c r="AB727" s="2994">
        <v>1.7831999999999999</v>
      </c>
      <c r="AC727" s="2994">
        <v>1.9785999999999999</v>
      </c>
      <c r="AD727" s="2994">
        <v>2.0003000000000002</v>
      </c>
      <c r="AE727" s="2994">
        <v>1.8043</v>
      </c>
      <c r="AF727" s="2994">
        <v>2.0316000000000001</v>
      </c>
      <c r="AG727" s="2994">
        <v>1.9075</v>
      </c>
      <c r="AH727" s="2994">
        <v>1.8211999999999999</v>
      </c>
      <c r="AI727" s="2994">
        <v>2.1844000000000001</v>
      </c>
      <c r="AJ727" s="2994">
        <v>2.1831</v>
      </c>
      <c r="AK727" s="2994">
        <v>2.0002</v>
      </c>
      <c r="AL727" s="2994">
        <v>2.4841000000000002</v>
      </c>
      <c r="AM727" s="2994">
        <v>2.5598000000000001</v>
      </c>
      <c r="AN727" s="2994">
        <v>2.6787999999999998</v>
      </c>
      <c r="AO727" s="2994">
        <v>2.7968000000000002</v>
      </c>
      <c r="AP727" s="2994">
        <v>2.5901999999999998</v>
      </c>
      <c r="AQ727" s="2994">
        <v>2.9327999999999999</v>
      </c>
      <c r="AR727" s="2994">
        <v>2.9552999999999998</v>
      </c>
      <c r="AS727" s="2994">
        <v>2.9693999999999998</v>
      </c>
      <c r="AT727" s="2994">
        <v>2.8828</v>
      </c>
      <c r="AU727" s="2994">
        <v>3.0091999999999999</v>
      </c>
      <c r="AV727" s="2994">
        <v>2.6537999999999999</v>
      </c>
      <c r="AW727" s="2994">
        <v>3.0213999999999999</v>
      </c>
      <c r="AX727" s="2994">
        <v>3.0708000000000002</v>
      </c>
      <c r="AY727" s="2994">
        <v>3.2155</v>
      </c>
      <c r="AZ727" s="2994">
        <v>3.2930999999999999</v>
      </c>
      <c r="BA727" s="2994">
        <v>3.3572000000000002</v>
      </c>
      <c r="BB727" s="2994">
        <v>3.3546</v>
      </c>
      <c r="BC727" s="2994">
        <v>3.4508000000000001</v>
      </c>
      <c r="BD727" s="3471">
        <v>3.4975000000000001</v>
      </c>
      <c r="BE727" s="3471">
        <v>3.5691000000000002</v>
      </c>
      <c r="BF727" s="3471">
        <v>3.6105999999999998</v>
      </c>
    </row>
    <row r="728" spans="1:58">
      <c r="A728" s="1817" t="str">
        <f t="shared" si="23"/>
        <v>Eastern AsiaHazelnuts, with shell</v>
      </c>
      <c r="B728" s="1818" t="s">
        <v>1328</v>
      </c>
      <c r="C728" s="1818" t="s">
        <v>7332</v>
      </c>
      <c r="D728" s="3463" t="str">
        <f>VLOOKUP(B728,List_Yield!$G$4:$J$14,4,FALSE)</f>
        <v>Asia (Continental)</v>
      </c>
      <c r="E728" s="3463" t="str">
        <f t="shared" si="22"/>
        <v>Asia (Continental)Hazelnuts, with shell</v>
      </c>
      <c r="F728" s="2994">
        <v>0</v>
      </c>
      <c r="G728" s="2994">
        <v>0</v>
      </c>
      <c r="H728" s="2994">
        <v>0</v>
      </c>
      <c r="I728" s="2994">
        <v>0</v>
      </c>
      <c r="J728" s="2994">
        <v>0</v>
      </c>
      <c r="K728" s="2994">
        <v>0</v>
      </c>
      <c r="L728" s="2994">
        <v>0</v>
      </c>
      <c r="M728" s="2994">
        <v>0</v>
      </c>
      <c r="N728" s="2994">
        <v>0</v>
      </c>
      <c r="O728" s="2994">
        <v>0</v>
      </c>
      <c r="P728" s="2994">
        <v>0</v>
      </c>
      <c r="Q728" s="2994">
        <v>0</v>
      </c>
      <c r="R728" s="2994">
        <v>0</v>
      </c>
      <c r="S728" s="2994">
        <v>0</v>
      </c>
      <c r="T728" s="2994">
        <v>0</v>
      </c>
      <c r="U728" s="2994">
        <v>0</v>
      </c>
      <c r="V728" s="2994">
        <v>0</v>
      </c>
      <c r="W728" s="2994">
        <v>0</v>
      </c>
      <c r="X728" s="2994">
        <v>0</v>
      </c>
      <c r="Y728" s="2994">
        <v>0</v>
      </c>
      <c r="Z728" s="2994">
        <v>0</v>
      </c>
      <c r="AA728" s="2994">
        <v>0</v>
      </c>
      <c r="AB728" s="2994">
        <v>0</v>
      </c>
      <c r="AC728" s="2994">
        <v>0</v>
      </c>
      <c r="AD728" s="2994">
        <v>1.2069000000000001</v>
      </c>
      <c r="AE728" s="2994">
        <v>1.2037</v>
      </c>
      <c r="AF728" s="2994">
        <v>1.2202999999999999</v>
      </c>
      <c r="AG728" s="2994">
        <v>1.2333000000000001</v>
      </c>
      <c r="AH728" s="2994">
        <v>1.2258</v>
      </c>
      <c r="AI728" s="2994">
        <v>1.2307999999999999</v>
      </c>
      <c r="AJ728" s="2994">
        <v>1.2387999999999999</v>
      </c>
      <c r="AK728" s="2994">
        <v>1.2142999999999999</v>
      </c>
      <c r="AL728" s="2994">
        <v>1.2414000000000001</v>
      </c>
      <c r="AM728" s="2994">
        <v>1.1621999999999999</v>
      </c>
      <c r="AN728" s="2994">
        <v>1.2248000000000001</v>
      </c>
      <c r="AO728" s="2994">
        <v>1.2572000000000001</v>
      </c>
      <c r="AP728" s="2994">
        <v>1.4914000000000001</v>
      </c>
      <c r="AQ728" s="2994">
        <v>1.2356</v>
      </c>
      <c r="AR728" s="2994">
        <v>1.6940999999999999</v>
      </c>
      <c r="AS728" s="2994">
        <v>1.4826999999999999</v>
      </c>
      <c r="AT728" s="2994">
        <v>1.5479000000000001</v>
      </c>
      <c r="AU728" s="2994">
        <v>1.4861</v>
      </c>
      <c r="AV728" s="2994">
        <v>1.7267999999999999</v>
      </c>
      <c r="AW728" s="2994">
        <v>2.1978</v>
      </c>
      <c r="AX728" s="2994">
        <v>2.7528999999999999</v>
      </c>
      <c r="AY728" s="2994">
        <v>1.6367</v>
      </c>
      <c r="AZ728" s="2994">
        <v>1.6641999999999999</v>
      </c>
      <c r="BA728" s="2994">
        <v>1.7876000000000001</v>
      </c>
      <c r="BB728" s="2994">
        <v>1.6971000000000001</v>
      </c>
      <c r="BC728" s="2994">
        <v>1.9209000000000001</v>
      </c>
      <c r="BD728" s="3471">
        <v>1.9957</v>
      </c>
      <c r="BE728" s="3471">
        <v>1.9958</v>
      </c>
      <c r="BF728" s="3471">
        <v>0</v>
      </c>
    </row>
    <row r="729" spans="1:58">
      <c r="A729" s="1817" t="str">
        <f t="shared" si="23"/>
        <v>Eastern AsiaHemp tow waste</v>
      </c>
      <c r="B729" s="1818" t="s">
        <v>1328</v>
      </c>
      <c r="C729" s="1818" t="s">
        <v>7333</v>
      </c>
      <c r="D729" s="3463" t="str">
        <f>VLOOKUP(B729,List_Yield!$G$4:$J$14,4,FALSE)</f>
        <v>Asia (Continental)</v>
      </c>
      <c r="E729" s="3463" t="str">
        <f t="shared" si="22"/>
        <v>Asia (Continental)Hemp tow waste</v>
      </c>
      <c r="F729" s="2994">
        <v>0.51</v>
      </c>
      <c r="G729" s="2994">
        <v>0.55310000000000004</v>
      </c>
      <c r="H729" s="2994">
        <v>0.54100000000000004</v>
      </c>
      <c r="I729" s="2994">
        <v>0.54069999999999996</v>
      </c>
      <c r="J729" s="2994">
        <v>0.54339999999999999</v>
      </c>
      <c r="K729" s="2994">
        <v>0.5504</v>
      </c>
      <c r="L729" s="2994">
        <v>0.55579999999999996</v>
      </c>
      <c r="M729" s="2994">
        <v>0.56330000000000002</v>
      </c>
      <c r="N729" s="2994">
        <v>0.56879999999999997</v>
      </c>
      <c r="O729" s="2994">
        <v>0.57340000000000002</v>
      </c>
      <c r="P729" s="2994">
        <v>0.56679999999999997</v>
      </c>
      <c r="Q729" s="2994">
        <v>0.5766</v>
      </c>
      <c r="R729" s="2994">
        <v>0.58020000000000005</v>
      </c>
      <c r="S729" s="2994">
        <v>0.57940000000000003</v>
      </c>
      <c r="T729" s="2994">
        <v>0.56799999999999995</v>
      </c>
      <c r="U729" s="2994">
        <v>0.55710000000000004</v>
      </c>
      <c r="V729" s="2994">
        <v>0.55159999999999998</v>
      </c>
      <c r="W729" s="2994">
        <v>0.54400000000000004</v>
      </c>
      <c r="X729" s="2994">
        <v>0.56810000000000005</v>
      </c>
      <c r="Y729" s="2994">
        <v>0.6169</v>
      </c>
      <c r="Z729" s="2994">
        <v>0.51780000000000004</v>
      </c>
      <c r="AA729" s="2994">
        <v>0.5343</v>
      </c>
      <c r="AB729" s="2994">
        <v>0.67120000000000002</v>
      </c>
      <c r="AC729" s="2994">
        <v>0.72450000000000003</v>
      </c>
      <c r="AD729" s="2994">
        <v>1.0519000000000001</v>
      </c>
      <c r="AE729" s="2994">
        <v>0.82530000000000003</v>
      </c>
      <c r="AF729" s="2994">
        <v>1.0753999999999999</v>
      </c>
      <c r="AG729" s="2994">
        <v>1.1281000000000001</v>
      </c>
      <c r="AH729" s="2994">
        <v>0.90600000000000003</v>
      </c>
      <c r="AI729" s="2994">
        <v>1.1311</v>
      </c>
      <c r="AJ729" s="2994">
        <v>0.83089999999999997</v>
      </c>
      <c r="AK729" s="2994">
        <v>1.0088999999999999</v>
      </c>
      <c r="AL729" s="2994">
        <v>1.0283</v>
      </c>
      <c r="AM729" s="2994">
        <v>0.97719999999999996</v>
      </c>
      <c r="AN729" s="2994">
        <v>1.0186999999999999</v>
      </c>
      <c r="AO729" s="2994">
        <v>0.99560000000000004</v>
      </c>
      <c r="AP729" s="2994">
        <v>0.95520000000000005</v>
      </c>
      <c r="AQ729" s="2994">
        <v>0.97760000000000002</v>
      </c>
      <c r="AR729" s="2994">
        <v>0.87390000000000001</v>
      </c>
      <c r="AS729" s="2994">
        <v>1.0690999999999999</v>
      </c>
      <c r="AT729" s="2994">
        <v>1.0819000000000001</v>
      </c>
      <c r="AU729" s="2994">
        <v>1.2905</v>
      </c>
      <c r="AV729" s="2994">
        <v>1.3615999999999999</v>
      </c>
      <c r="AW729" s="2994">
        <v>1.2535000000000001</v>
      </c>
      <c r="AX729" s="2994">
        <v>1.8116000000000001</v>
      </c>
      <c r="AY729" s="2994">
        <v>2.5171000000000001</v>
      </c>
      <c r="AZ729" s="2994">
        <v>1.6538999999999999</v>
      </c>
      <c r="BA729" s="2994">
        <v>1.3773</v>
      </c>
      <c r="BB729" s="2994">
        <v>0.98</v>
      </c>
      <c r="BC729" s="2994">
        <v>0.9909</v>
      </c>
      <c r="BD729" s="3471">
        <v>1.1598999999999999</v>
      </c>
      <c r="BE729" s="3471">
        <v>1.2402</v>
      </c>
      <c r="BF729" s="3471">
        <v>0</v>
      </c>
    </row>
    <row r="730" spans="1:58">
      <c r="A730" s="1817" t="str">
        <f t="shared" si="23"/>
        <v>Eastern AsiaHempseed</v>
      </c>
      <c r="B730" s="1818" t="s">
        <v>1328</v>
      </c>
      <c r="C730" s="1818" t="s">
        <v>7334</v>
      </c>
      <c r="D730" s="3463" t="str">
        <f>VLOOKUP(B730,List_Yield!$G$4:$J$14,4,FALSE)</f>
        <v>Asia (Continental)</v>
      </c>
      <c r="E730" s="3463" t="str">
        <f t="shared" si="22"/>
        <v>Asia (Continental)Hempseed</v>
      </c>
      <c r="F730" s="2994">
        <v>0.3</v>
      </c>
      <c r="G730" s="2994">
        <v>0.3</v>
      </c>
      <c r="H730" s="2994">
        <v>0.3</v>
      </c>
      <c r="I730" s="2994">
        <v>0.3</v>
      </c>
      <c r="J730" s="2994">
        <v>0.3</v>
      </c>
      <c r="K730" s="2994">
        <v>0.30070000000000002</v>
      </c>
      <c r="L730" s="2994">
        <v>0.29680000000000001</v>
      </c>
      <c r="M730" s="2994">
        <v>0.2994</v>
      </c>
      <c r="N730" s="2994">
        <v>0.2994</v>
      </c>
      <c r="O730" s="2994">
        <v>0.3</v>
      </c>
      <c r="P730" s="2994">
        <v>0.29449999999999998</v>
      </c>
      <c r="Q730" s="2994">
        <v>0.29699999999999999</v>
      </c>
      <c r="R730" s="2994">
        <v>0.2994</v>
      </c>
      <c r="S730" s="2994">
        <v>0.34549999999999997</v>
      </c>
      <c r="T730" s="2994">
        <v>0.34760000000000002</v>
      </c>
      <c r="U730" s="2994">
        <v>0.34570000000000001</v>
      </c>
      <c r="V730" s="2994">
        <v>0.34379999999999999</v>
      </c>
      <c r="W730" s="2994">
        <v>0.33810000000000001</v>
      </c>
      <c r="X730" s="2994">
        <v>0.34839999999999999</v>
      </c>
      <c r="Y730" s="2994">
        <v>0.35</v>
      </c>
      <c r="Z730" s="2994">
        <v>0.58950000000000002</v>
      </c>
      <c r="AA730" s="2994">
        <v>0.78790000000000004</v>
      </c>
      <c r="AB730" s="2994">
        <v>0.9093</v>
      </c>
      <c r="AC730" s="2994">
        <v>0.88370000000000004</v>
      </c>
      <c r="AD730" s="2994">
        <v>0.89129999999999998</v>
      </c>
      <c r="AE730" s="2994">
        <v>1.2062999999999999</v>
      </c>
      <c r="AF730" s="2994">
        <v>1.2075</v>
      </c>
      <c r="AG730" s="2994">
        <v>1.2075</v>
      </c>
      <c r="AH730" s="2994">
        <v>1.2082999999999999</v>
      </c>
      <c r="AI730" s="2994">
        <v>1.1904999999999999</v>
      </c>
      <c r="AJ730" s="2994">
        <v>1.5121</v>
      </c>
      <c r="AK730" s="2994">
        <v>1.2021999999999999</v>
      </c>
      <c r="AL730" s="2994">
        <v>1.3158000000000001</v>
      </c>
      <c r="AM730" s="2994">
        <v>1.6291</v>
      </c>
      <c r="AN730" s="2994">
        <v>1.7962</v>
      </c>
      <c r="AO730" s="2994">
        <v>1.8036000000000001</v>
      </c>
      <c r="AP730" s="2994">
        <v>1.8816999999999999</v>
      </c>
      <c r="AQ730" s="2994">
        <v>2.4630999999999998</v>
      </c>
      <c r="AR730" s="2994">
        <v>2.7031999999999998</v>
      </c>
      <c r="AS730" s="2994">
        <v>2.6804000000000001</v>
      </c>
      <c r="AT730" s="2994">
        <v>1.6411</v>
      </c>
      <c r="AU730" s="2994">
        <v>2.0341</v>
      </c>
      <c r="AV730" s="2994">
        <v>2.6518000000000002</v>
      </c>
      <c r="AW730" s="2994">
        <v>2.4</v>
      </c>
      <c r="AX730" s="2994">
        <v>3.7589000000000001</v>
      </c>
      <c r="AY730" s="2994">
        <v>4.0427</v>
      </c>
      <c r="AZ730" s="2994">
        <v>2.6888000000000001</v>
      </c>
      <c r="BA730" s="2994">
        <v>2.5512000000000001</v>
      </c>
      <c r="BB730" s="2994">
        <v>2.0945999999999998</v>
      </c>
      <c r="BC730" s="2994">
        <v>2.13</v>
      </c>
      <c r="BD730" s="3471">
        <v>2.7723</v>
      </c>
      <c r="BE730" s="3471">
        <v>2.9091</v>
      </c>
      <c r="BF730" s="3471">
        <v>2.9091</v>
      </c>
    </row>
    <row r="731" spans="1:58">
      <c r="A731" s="1817" t="str">
        <f t="shared" si="23"/>
        <v>Eastern AsiaHops</v>
      </c>
      <c r="B731" s="1818" t="s">
        <v>1328</v>
      </c>
      <c r="C731" s="1818" t="s">
        <v>7335</v>
      </c>
      <c r="D731" s="3463" t="str">
        <f>VLOOKUP(B731,List_Yield!$G$4:$J$14,4,FALSE)</f>
        <v>Asia (Continental)</v>
      </c>
      <c r="E731" s="3463" t="str">
        <f t="shared" si="22"/>
        <v>Asia (Continental)Hops</v>
      </c>
      <c r="F731" s="2994">
        <v>1.0246999999999999</v>
      </c>
      <c r="G731" s="2994">
        <v>0.95679999999999998</v>
      </c>
      <c r="H731" s="2994">
        <v>0.95350000000000001</v>
      </c>
      <c r="I731" s="2994">
        <v>1.0654999999999999</v>
      </c>
      <c r="J731" s="2994">
        <v>1.0145999999999999</v>
      </c>
      <c r="K731" s="2994">
        <v>1.0345</v>
      </c>
      <c r="L731" s="2994">
        <v>1.0743</v>
      </c>
      <c r="M731" s="2994">
        <v>1.117</v>
      </c>
      <c r="N731" s="2994">
        <v>0.99980000000000002</v>
      </c>
      <c r="O731" s="2994">
        <v>0.99709999999999999</v>
      </c>
      <c r="P731" s="2994">
        <v>0.99180000000000001</v>
      </c>
      <c r="Q731" s="2994">
        <v>0.99960000000000004</v>
      </c>
      <c r="R731" s="2994">
        <v>1.0645</v>
      </c>
      <c r="S731" s="2994">
        <v>0.86119999999999997</v>
      </c>
      <c r="T731" s="2994">
        <v>0.8458</v>
      </c>
      <c r="U731" s="2994">
        <v>1.0256000000000001</v>
      </c>
      <c r="V731" s="2994">
        <v>1.0980000000000001</v>
      </c>
      <c r="W731" s="2994">
        <v>1.0814999999999999</v>
      </c>
      <c r="X731" s="2994">
        <v>0.98819999999999997</v>
      </c>
      <c r="Y731" s="2994">
        <v>1.0770999999999999</v>
      </c>
      <c r="Z731" s="2994">
        <v>1.0257000000000001</v>
      </c>
      <c r="AA731" s="2994">
        <v>1.0347999999999999</v>
      </c>
      <c r="AB731" s="2994">
        <v>1.1059000000000001</v>
      </c>
      <c r="AC731" s="2994">
        <v>1.7770999999999999</v>
      </c>
      <c r="AD731" s="2994">
        <v>1.0492999999999999</v>
      </c>
      <c r="AE731" s="2994">
        <v>1.1089</v>
      </c>
      <c r="AF731" s="2994">
        <v>1.125</v>
      </c>
      <c r="AG731" s="2994">
        <v>1.1761999999999999</v>
      </c>
      <c r="AH731" s="2994">
        <v>1.236</v>
      </c>
      <c r="AI731" s="2994">
        <v>1.1337999999999999</v>
      </c>
      <c r="AJ731" s="2994">
        <v>1.1929000000000001</v>
      </c>
      <c r="AK731" s="2994">
        <v>1.2866</v>
      </c>
      <c r="AL731" s="2994">
        <v>1.2768999999999999</v>
      </c>
      <c r="AM731" s="2994">
        <v>1.2797000000000001</v>
      </c>
      <c r="AN731" s="2994">
        <v>1.3274999999999999</v>
      </c>
      <c r="AO731" s="2994">
        <v>1.3898999999999999</v>
      </c>
      <c r="AP731" s="2994">
        <v>1.3408</v>
      </c>
      <c r="AQ731" s="2994">
        <v>1.4080999999999999</v>
      </c>
      <c r="AR731" s="2994">
        <v>1.7694000000000001</v>
      </c>
      <c r="AS731" s="2994">
        <v>1.6363000000000001</v>
      </c>
      <c r="AT731" s="2994">
        <v>1.5925</v>
      </c>
      <c r="AU731" s="2994">
        <v>1.8595999999999999</v>
      </c>
      <c r="AV731" s="2994">
        <v>1.8305</v>
      </c>
      <c r="AW731" s="2994">
        <v>1.6282000000000001</v>
      </c>
      <c r="AX731" s="2994">
        <v>1.7733000000000001</v>
      </c>
      <c r="AY731" s="2994">
        <v>1.7902</v>
      </c>
      <c r="AZ731" s="2994">
        <v>1.5135000000000001</v>
      </c>
      <c r="BA731" s="2994">
        <v>1.5012000000000001</v>
      </c>
      <c r="BB731" s="2994">
        <v>1.5028999999999999</v>
      </c>
      <c r="BC731" s="2994">
        <v>1.4895</v>
      </c>
      <c r="BD731" s="3471">
        <v>1.5385</v>
      </c>
      <c r="BE731" s="3471">
        <v>1.5908</v>
      </c>
      <c r="BF731" s="3471">
        <v>0</v>
      </c>
    </row>
    <row r="732" spans="1:58">
      <c r="A732" s="1817" t="str">
        <f t="shared" si="23"/>
        <v>Eastern AsiaJojoba seed</v>
      </c>
      <c r="B732" s="1818" t="s">
        <v>1328</v>
      </c>
      <c r="C732" s="1818" t="s">
        <v>7336</v>
      </c>
      <c r="D732" s="3463" t="str">
        <f>VLOOKUP(B732,List_Yield!$G$4:$J$14,4,FALSE)</f>
        <v>Asia (Continental)</v>
      </c>
      <c r="E732" s="3463" t="str">
        <f t="shared" si="22"/>
        <v>Asia (Continental)Jojoba seed</v>
      </c>
      <c r="F732" s="2994">
        <v>0</v>
      </c>
      <c r="G732" s="2994">
        <v>0</v>
      </c>
      <c r="H732" s="2994">
        <v>0</v>
      </c>
      <c r="I732" s="2994">
        <v>0</v>
      </c>
      <c r="J732" s="2994">
        <v>0</v>
      </c>
      <c r="K732" s="2994">
        <v>0</v>
      </c>
      <c r="L732" s="2994">
        <v>0</v>
      </c>
      <c r="M732" s="2994">
        <v>0</v>
      </c>
      <c r="N732" s="2994">
        <v>0</v>
      </c>
      <c r="O732" s="2994">
        <v>0</v>
      </c>
      <c r="P732" s="2994">
        <v>0</v>
      </c>
      <c r="Q732" s="2994">
        <v>0</v>
      </c>
      <c r="R732" s="2994">
        <v>0</v>
      </c>
      <c r="S732" s="2994">
        <v>0</v>
      </c>
      <c r="T732" s="2994">
        <v>0</v>
      </c>
      <c r="U732" s="2994">
        <v>0</v>
      </c>
      <c r="V732" s="2994">
        <v>0</v>
      </c>
      <c r="W732" s="2994">
        <v>0</v>
      </c>
      <c r="X732" s="2994">
        <v>0</v>
      </c>
      <c r="Y732" s="2994">
        <v>0</v>
      </c>
      <c r="Z732" s="2994">
        <v>0</v>
      </c>
      <c r="AA732" s="2994">
        <v>0</v>
      </c>
      <c r="AB732" s="2994">
        <v>0</v>
      </c>
      <c r="AC732" s="2994">
        <v>0</v>
      </c>
      <c r="AD732" s="2994">
        <v>0</v>
      </c>
      <c r="AE732" s="2994">
        <v>0</v>
      </c>
      <c r="AF732" s="2994">
        <v>0</v>
      </c>
      <c r="AG732" s="2994">
        <v>0</v>
      </c>
      <c r="AH732" s="2994">
        <v>0</v>
      </c>
      <c r="AI732" s="2994">
        <v>0</v>
      </c>
      <c r="AJ732" s="2994">
        <v>0</v>
      </c>
      <c r="AK732" s="2994">
        <v>0</v>
      </c>
      <c r="AL732" s="2994">
        <v>0</v>
      </c>
      <c r="AM732" s="2994">
        <v>0</v>
      </c>
      <c r="AN732" s="2994">
        <v>0</v>
      </c>
      <c r="AO732" s="2994">
        <v>0</v>
      </c>
      <c r="AP732" s="2994">
        <v>0</v>
      </c>
      <c r="AQ732" s="2994">
        <v>0</v>
      </c>
      <c r="AR732" s="2994">
        <v>0</v>
      </c>
      <c r="AS732" s="2994">
        <v>0</v>
      </c>
      <c r="AT732" s="2994">
        <v>0</v>
      </c>
      <c r="AU732" s="2994">
        <v>0</v>
      </c>
      <c r="AV732" s="2994">
        <v>0</v>
      </c>
      <c r="AW732" s="2994">
        <v>0</v>
      </c>
      <c r="AX732" s="2994">
        <v>0</v>
      </c>
      <c r="AY732" s="2994">
        <v>0</v>
      </c>
      <c r="AZ732" s="2994">
        <v>0</v>
      </c>
      <c r="BA732" s="2994">
        <v>0</v>
      </c>
      <c r="BB732" s="2994">
        <v>0</v>
      </c>
      <c r="BC732" s="2994">
        <v>0</v>
      </c>
      <c r="BD732" s="3471">
        <v>0</v>
      </c>
      <c r="BE732" s="3471">
        <v>0</v>
      </c>
      <c r="BF732" s="3471">
        <v>0</v>
      </c>
    </row>
    <row r="733" spans="1:58">
      <c r="A733" s="1817" t="str">
        <f t="shared" si="23"/>
        <v>Eastern AsiaJute</v>
      </c>
      <c r="B733" s="1818" t="s">
        <v>1328</v>
      </c>
      <c r="C733" s="1818" t="s">
        <v>7337</v>
      </c>
      <c r="D733" s="3463" t="str">
        <f>VLOOKUP(B733,List_Yield!$G$4:$J$14,4,FALSE)</f>
        <v>Asia (Continental)</v>
      </c>
      <c r="E733" s="3463" t="str">
        <f t="shared" si="22"/>
        <v>Asia (Continental)Jute</v>
      </c>
      <c r="F733" s="2994">
        <v>1.6473</v>
      </c>
      <c r="G733" s="2994">
        <v>1.0899000000000001</v>
      </c>
      <c r="H733" s="2994">
        <v>1.3030999999999999</v>
      </c>
      <c r="I733" s="2994">
        <v>1.4370000000000001</v>
      </c>
      <c r="J733" s="2994">
        <v>1.7003999999999999</v>
      </c>
      <c r="K733" s="2994">
        <v>1.4362999999999999</v>
      </c>
      <c r="L733" s="2994">
        <v>1.6029</v>
      </c>
      <c r="M733" s="2994">
        <v>1.8363</v>
      </c>
      <c r="N733" s="2994">
        <v>1.7371000000000001</v>
      </c>
      <c r="O733" s="2994">
        <v>1.6297999999999999</v>
      </c>
      <c r="P733" s="2994">
        <v>1.5905</v>
      </c>
      <c r="Q733" s="2994">
        <v>1.5863</v>
      </c>
      <c r="R733" s="2994">
        <v>1.5589999999999999</v>
      </c>
      <c r="S733" s="2994">
        <v>1.5263</v>
      </c>
      <c r="T733" s="2994">
        <v>1.6428</v>
      </c>
      <c r="U733" s="2994">
        <v>1.4914000000000001</v>
      </c>
      <c r="V733" s="2994">
        <v>1.4666999999999999</v>
      </c>
      <c r="W733" s="2994">
        <v>1.5911</v>
      </c>
      <c r="X733" s="2994">
        <v>1.923</v>
      </c>
      <c r="Y733" s="2994">
        <v>1.9614</v>
      </c>
      <c r="Z733" s="2994">
        <v>2.3184</v>
      </c>
      <c r="AA733" s="2994">
        <v>2.3761999999999999</v>
      </c>
      <c r="AB733" s="2994">
        <v>2.4731000000000001</v>
      </c>
      <c r="AC733" s="2994">
        <v>2.6562999999999999</v>
      </c>
      <c r="AD733" s="2994">
        <v>1.9917</v>
      </c>
      <c r="AE733" s="2994">
        <v>1.675</v>
      </c>
      <c r="AF733" s="2994">
        <v>1.7442</v>
      </c>
      <c r="AG733" s="2994">
        <v>1.7142999999999999</v>
      </c>
      <c r="AH733" s="2994">
        <v>2</v>
      </c>
      <c r="AI733" s="2994">
        <v>2.1053000000000002</v>
      </c>
      <c r="AJ733" s="2994">
        <v>1.6597999999999999</v>
      </c>
      <c r="AK733" s="2994">
        <v>1.9429000000000001</v>
      </c>
      <c r="AL733" s="2994">
        <v>2.1328999999999998</v>
      </c>
      <c r="AM733" s="2994">
        <v>1.625</v>
      </c>
      <c r="AN733" s="2994">
        <v>2.04</v>
      </c>
      <c r="AO733" s="2994">
        <v>2.0596999999999999</v>
      </c>
      <c r="AP733" s="2994">
        <v>2.1981999999999999</v>
      </c>
      <c r="AQ733" s="2994">
        <v>2.1587000000000001</v>
      </c>
      <c r="AR733" s="2994">
        <v>2.1476999999999999</v>
      </c>
      <c r="AS733" s="2994">
        <v>2.1175999999999999</v>
      </c>
      <c r="AT733" s="2994">
        <v>1.7291000000000001</v>
      </c>
      <c r="AU733" s="2994">
        <v>2.4064000000000001</v>
      </c>
      <c r="AV733" s="2994">
        <v>2</v>
      </c>
      <c r="AW733" s="2994">
        <v>2.2389999999999999</v>
      </c>
      <c r="AX733" s="2994">
        <v>2.2090000000000001</v>
      </c>
      <c r="AY733" s="2994">
        <v>2.1976</v>
      </c>
      <c r="AZ733" s="2994">
        <v>2.3717999999999999</v>
      </c>
      <c r="BA733" s="2994">
        <v>2.5933999999999999</v>
      </c>
      <c r="BB733" s="2994">
        <v>2.5893000000000002</v>
      </c>
      <c r="BC733" s="2994">
        <v>3.0074999999999998</v>
      </c>
      <c r="BD733" s="3471">
        <v>3.2222</v>
      </c>
      <c r="BE733" s="3471">
        <v>3.2143000000000002</v>
      </c>
      <c r="BF733" s="3471">
        <v>0</v>
      </c>
    </row>
    <row r="734" spans="1:58">
      <c r="A734" s="1817" t="str">
        <f t="shared" si="23"/>
        <v>Eastern AsiaKapok fruit</v>
      </c>
      <c r="B734" s="1818" t="s">
        <v>1328</v>
      </c>
      <c r="C734" s="1818" t="s">
        <v>7338</v>
      </c>
      <c r="D734" s="3463" t="str">
        <f>VLOOKUP(B734,List_Yield!$G$4:$J$14,4,FALSE)</f>
        <v>Asia (Continental)</v>
      </c>
      <c r="E734" s="3463" t="str">
        <f t="shared" si="22"/>
        <v>Asia (Continental)Kapok fruit</v>
      </c>
      <c r="F734" s="2994">
        <v>0</v>
      </c>
      <c r="G734" s="2994">
        <v>0</v>
      </c>
      <c r="H734" s="2994">
        <v>0</v>
      </c>
      <c r="I734" s="2994">
        <v>0</v>
      </c>
      <c r="J734" s="2994">
        <v>0</v>
      </c>
      <c r="K734" s="2994">
        <v>0</v>
      </c>
      <c r="L734" s="2994">
        <v>0</v>
      </c>
      <c r="M734" s="2994">
        <v>0</v>
      </c>
      <c r="N734" s="2994">
        <v>0</v>
      </c>
      <c r="O734" s="2994">
        <v>0</v>
      </c>
      <c r="P734" s="2994">
        <v>0</v>
      </c>
      <c r="Q734" s="2994">
        <v>0</v>
      </c>
      <c r="R734" s="2994">
        <v>0</v>
      </c>
      <c r="S734" s="2994">
        <v>0</v>
      </c>
      <c r="T734" s="2994">
        <v>0</v>
      </c>
      <c r="U734" s="2994">
        <v>0</v>
      </c>
      <c r="V734" s="2994">
        <v>0</v>
      </c>
      <c r="W734" s="2994">
        <v>0</v>
      </c>
      <c r="X734" s="2994">
        <v>0</v>
      </c>
      <c r="Y734" s="2994">
        <v>0</v>
      </c>
      <c r="Z734" s="2994">
        <v>0</v>
      </c>
      <c r="AA734" s="2994">
        <v>0</v>
      </c>
      <c r="AB734" s="2994">
        <v>0</v>
      </c>
      <c r="AC734" s="2994">
        <v>0</v>
      </c>
      <c r="AD734" s="2994">
        <v>0</v>
      </c>
      <c r="AE734" s="2994">
        <v>0</v>
      </c>
      <c r="AF734" s="2994">
        <v>0</v>
      </c>
      <c r="AG734" s="2994">
        <v>0</v>
      </c>
      <c r="AH734" s="2994">
        <v>0</v>
      </c>
      <c r="AI734" s="2994">
        <v>0</v>
      </c>
      <c r="AJ734" s="2994">
        <v>0</v>
      </c>
      <c r="AK734" s="2994">
        <v>0</v>
      </c>
      <c r="AL734" s="2994">
        <v>0</v>
      </c>
      <c r="AM734" s="2994">
        <v>0</v>
      </c>
      <c r="AN734" s="2994">
        <v>0</v>
      </c>
      <c r="AO734" s="2994">
        <v>0</v>
      </c>
      <c r="AP734" s="2994">
        <v>0</v>
      </c>
      <c r="AQ734" s="2994">
        <v>0</v>
      </c>
      <c r="AR734" s="2994">
        <v>0</v>
      </c>
      <c r="AS734" s="2994">
        <v>0</v>
      </c>
      <c r="AT734" s="2994">
        <v>0</v>
      </c>
      <c r="AU734" s="2994">
        <v>0</v>
      </c>
      <c r="AV734" s="2994">
        <v>0</v>
      </c>
      <c r="AW734" s="2994">
        <v>0</v>
      </c>
      <c r="AX734" s="2994">
        <v>0</v>
      </c>
      <c r="AY734" s="2994">
        <v>0</v>
      </c>
      <c r="AZ734" s="2994">
        <v>0</v>
      </c>
      <c r="BA734" s="2994">
        <v>0</v>
      </c>
      <c r="BB734" s="2994">
        <v>0</v>
      </c>
      <c r="BC734" s="2994">
        <v>0</v>
      </c>
      <c r="BD734" s="3471">
        <v>0</v>
      </c>
      <c r="BE734" s="3471">
        <v>0</v>
      </c>
      <c r="BF734" s="3471">
        <v>0</v>
      </c>
    </row>
    <row r="735" spans="1:58">
      <c r="A735" s="1817" t="str">
        <f t="shared" si="23"/>
        <v>Eastern AsiaKarite nuts (sheanuts)</v>
      </c>
      <c r="B735" s="1818" t="s">
        <v>1328</v>
      </c>
      <c r="C735" s="1818" t="s">
        <v>7339</v>
      </c>
      <c r="D735" s="3463" t="str">
        <f>VLOOKUP(B735,List_Yield!$G$4:$J$14,4,FALSE)</f>
        <v>Asia (Continental)</v>
      </c>
      <c r="E735" s="3463" t="str">
        <f t="shared" si="22"/>
        <v>Asia (Continental)Karite nuts (sheanuts)</v>
      </c>
      <c r="F735" s="2994">
        <v>0</v>
      </c>
      <c r="G735" s="2994">
        <v>0</v>
      </c>
      <c r="H735" s="2994">
        <v>0</v>
      </c>
      <c r="I735" s="2994">
        <v>0</v>
      </c>
      <c r="J735" s="2994">
        <v>0</v>
      </c>
      <c r="K735" s="2994">
        <v>0</v>
      </c>
      <c r="L735" s="2994">
        <v>0</v>
      </c>
      <c r="M735" s="2994">
        <v>0</v>
      </c>
      <c r="N735" s="2994">
        <v>0</v>
      </c>
      <c r="O735" s="2994">
        <v>0</v>
      </c>
      <c r="P735" s="2994">
        <v>0</v>
      </c>
      <c r="Q735" s="2994">
        <v>0</v>
      </c>
      <c r="R735" s="2994">
        <v>0</v>
      </c>
      <c r="S735" s="2994">
        <v>0</v>
      </c>
      <c r="T735" s="2994">
        <v>0</v>
      </c>
      <c r="U735" s="2994">
        <v>0</v>
      </c>
      <c r="V735" s="2994">
        <v>0</v>
      </c>
      <c r="W735" s="2994">
        <v>0</v>
      </c>
      <c r="X735" s="2994">
        <v>0</v>
      </c>
      <c r="Y735" s="2994">
        <v>0</v>
      </c>
      <c r="Z735" s="2994">
        <v>0</v>
      </c>
      <c r="AA735" s="2994">
        <v>0</v>
      </c>
      <c r="AB735" s="2994">
        <v>0</v>
      </c>
      <c r="AC735" s="2994">
        <v>0</v>
      </c>
      <c r="AD735" s="2994">
        <v>0</v>
      </c>
      <c r="AE735" s="2994">
        <v>0</v>
      </c>
      <c r="AF735" s="2994">
        <v>0</v>
      </c>
      <c r="AG735" s="2994">
        <v>0</v>
      </c>
      <c r="AH735" s="2994">
        <v>0</v>
      </c>
      <c r="AI735" s="2994">
        <v>0</v>
      </c>
      <c r="AJ735" s="2994">
        <v>0</v>
      </c>
      <c r="AK735" s="2994">
        <v>0</v>
      </c>
      <c r="AL735" s="2994">
        <v>0</v>
      </c>
      <c r="AM735" s="2994">
        <v>0</v>
      </c>
      <c r="AN735" s="2994">
        <v>0</v>
      </c>
      <c r="AO735" s="2994">
        <v>0</v>
      </c>
      <c r="AP735" s="2994">
        <v>0</v>
      </c>
      <c r="AQ735" s="2994">
        <v>0</v>
      </c>
      <c r="AR735" s="2994">
        <v>0</v>
      </c>
      <c r="AS735" s="2994">
        <v>0</v>
      </c>
      <c r="AT735" s="2994">
        <v>0</v>
      </c>
      <c r="AU735" s="2994">
        <v>0</v>
      </c>
      <c r="AV735" s="2994">
        <v>0</v>
      </c>
      <c r="AW735" s="2994">
        <v>0</v>
      </c>
      <c r="AX735" s="2994">
        <v>0</v>
      </c>
      <c r="AY735" s="2994">
        <v>0</v>
      </c>
      <c r="AZ735" s="2994">
        <v>0</v>
      </c>
      <c r="BA735" s="2994">
        <v>0</v>
      </c>
      <c r="BB735" s="2994">
        <v>0</v>
      </c>
      <c r="BC735" s="2994">
        <v>0</v>
      </c>
      <c r="BD735" s="3471">
        <v>0</v>
      </c>
      <c r="BE735" s="3471">
        <v>0</v>
      </c>
      <c r="BF735" s="3471">
        <v>0</v>
      </c>
    </row>
    <row r="736" spans="1:58">
      <c r="A736" s="1817" t="str">
        <f t="shared" si="23"/>
        <v>Eastern AsiaKiwi fruit</v>
      </c>
      <c r="B736" s="1818" t="s">
        <v>1328</v>
      </c>
      <c r="C736" s="1818" t="s">
        <v>7340</v>
      </c>
      <c r="D736" s="3463" t="str">
        <f>VLOOKUP(B736,List_Yield!$G$4:$J$14,4,FALSE)</f>
        <v>Asia (Continental)</v>
      </c>
      <c r="E736" s="3463" t="str">
        <f t="shared" si="22"/>
        <v>Asia (Continental)Kiwi fruit</v>
      </c>
      <c r="F736" s="2994">
        <v>0</v>
      </c>
      <c r="G736" s="2994">
        <v>0</v>
      </c>
      <c r="H736" s="2994">
        <v>0</v>
      </c>
      <c r="I736" s="2994">
        <v>0</v>
      </c>
      <c r="J736" s="2994">
        <v>0</v>
      </c>
      <c r="K736" s="2994">
        <v>0</v>
      </c>
      <c r="L736" s="2994">
        <v>0</v>
      </c>
      <c r="M736" s="2994">
        <v>0</v>
      </c>
      <c r="N736" s="2994">
        <v>0</v>
      </c>
      <c r="O736" s="2994">
        <v>0</v>
      </c>
      <c r="P736" s="2994">
        <v>0</v>
      </c>
      <c r="Q736" s="2994">
        <v>0</v>
      </c>
      <c r="R736" s="2994">
        <v>0</v>
      </c>
      <c r="S736" s="2994">
        <v>0</v>
      </c>
      <c r="T736" s="2994">
        <v>0</v>
      </c>
      <c r="U736" s="2994">
        <v>0</v>
      </c>
      <c r="V736" s="2994">
        <v>0</v>
      </c>
      <c r="W736" s="2994">
        <v>0</v>
      </c>
      <c r="X736" s="2994">
        <v>0</v>
      </c>
      <c r="Y736" s="2994">
        <v>0</v>
      </c>
      <c r="Z736" s="2994">
        <v>0</v>
      </c>
      <c r="AA736" s="2994">
        <v>0</v>
      </c>
      <c r="AB736" s="2994">
        <v>0</v>
      </c>
      <c r="AC736" s="2994">
        <v>0</v>
      </c>
      <c r="AD736" s="2994">
        <v>9.9451999999999998</v>
      </c>
      <c r="AE736" s="2994">
        <v>9.0860000000000003</v>
      </c>
      <c r="AF736" s="2994">
        <v>7.6650999999999998</v>
      </c>
      <c r="AG736" s="2994">
        <v>9.6737000000000002</v>
      </c>
      <c r="AH736" s="2994">
        <v>8.3683999999999994</v>
      </c>
      <c r="AI736" s="2994">
        <v>12.379200000000001</v>
      </c>
      <c r="AJ736" s="2994">
        <v>8.5498999999999992</v>
      </c>
      <c r="AK736" s="2994">
        <v>10.450100000000001</v>
      </c>
      <c r="AL736" s="2994">
        <v>10.3637</v>
      </c>
      <c r="AM736" s="2994">
        <v>10.9701</v>
      </c>
      <c r="AN736" s="2994">
        <v>11.128500000000001</v>
      </c>
      <c r="AO736" s="2994">
        <v>11.1732</v>
      </c>
      <c r="AP736" s="2994">
        <v>11.045400000000001</v>
      </c>
      <c r="AQ736" s="2994">
        <v>11.3216</v>
      </c>
      <c r="AR736" s="2994">
        <v>12.8767</v>
      </c>
      <c r="AS736" s="2994">
        <v>14.5526</v>
      </c>
      <c r="AT736" s="2994">
        <v>14.307700000000001</v>
      </c>
      <c r="AU736" s="2994">
        <v>14.148899999999999</v>
      </c>
      <c r="AV736" s="2994">
        <v>13.4642</v>
      </c>
      <c r="AW736" s="2994">
        <v>11.432700000000001</v>
      </c>
      <c r="AX736" s="2994">
        <v>14.0786</v>
      </c>
      <c r="AY736" s="2994">
        <v>13.222099999999999</v>
      </c>
      <c r="AZ736" s="2994">
        <v>13.7806</v>
      </c>
      <c r="BA736" s="2994">
        <v>15.6694</v>
      </c>
      <c r="BB736" s="2994">
        <v>14.7967</v>
      </c>
      <c r="BC736" s="2994">
        <v>11.8188</v>
      </c>
      <c r="BD736" s="3471">
        <v>11.813800000000001</v>
      </c>
      <c r="BE736" s="3471">
        <v>12.3718</v>
      </c>
      <c r="BF736" s="3471">
        <v>0</v>
      </c>
    </row>
    <row r="737" spans="1:58">
      <c r="A737" s="1817" t="str">
        <f t="shared" si="23"/>
        <v>Eastern AsiaKola nuts</v>
      </c>
      <c r="B737" s="1818" t="s">
        <v>1328</v>
      </c>
      <c r="C737" s="1818" t="s">
        <v>7341</v>
      </c>
      <c r="D737" s="3463" t="str">
        <f>VLOOKUP(B737,List_Yield!$G$4:$J$14,4,FALSE)</f>
        <v>Asia (Continental)</v>
      </c>
      <c r="E737" s="3463" t="str">
        <f t="shared" si="22"/>
        <v>Asia (Continental)Kola nuts</v>
      </c>
      <c r="F737" s="2994">
        <v>0</v>
      </c>
      <c r="G737" s="2994">
        <v>0</v>
      </c>
      <c r="H737" s="2994">
        <v>0</v>
      </c>
      <c r="I737" s="2994">
        <v>0</v>
      </c>
      <c r="J737" s="2994">
        <v>0</v>
      </c>
      <c r="K737" s="2994">
        <v>0</v>
      </c>
      <c r="L737" s="2994">
        <v>0</v>
      </c>
      <c r="M737" s="2994">
        <v>0</v>
      </c>
      <c r="N737" s="2994">
        <v>0</v>
      </c>
      <c r="O737" s="2994">
        <v>0</v>
      </c>
      <c r="P737" s="2994">
        <v>0</v>
      </c>
      <c r="Q737" s="2994">
        <v>0</v>
      </c>
      <c r="R737" s="2994">
        <v>0</v>
      </c>
      <c r="S737" s="2994">
        <v>0</v>
      </c>
      <c r="T737" s="2994">
        <v>0</v>
      </c>
      <c r="U737" s="2994">
        <v>0</v>
      </c>
      <c r="V737" s="2994">
        <v>0</v>
      </c>
      <c r="W737" s="2994">
        <v>0</v>
      </c>
      <c r="X737" s="2994">
        <v>0</v>
      </c>
      <c r="Y737" s="2994">
        <v>0</v>
      </c>
      <c r="Z737" s="2994">
        <v>0</v>
      </c>
      <c r="AA737" s="2994">
        <v>0</v>
      </c>
      <c r="AB737" s="2994">
        <v>0</v>
      </c>
      <c r="AC737" s="2994">
        <v>0</v>
      </c>
      <c r="AD737" s="2994">
        <v>0</v>
      </c>
      <c r="AE737" s="2994">
        <v>0</v>
      </c>
      <c r="AF737" s="2994">
        <v>0</v>
      </c>
      <c r="AG737" s="2994">
        <v>0</v>
      </c>
      <c r="AH737" s="2994">
        <v>0</v>
      </c>
      <c r="AI737" s="2994">
        <v>0</v>
      </c>
      <c r="AJ737" s="2994">
        <v>0</v>
      </c>
      <c r="AK737" s="2994">
        <v>0</v>
      </c>
      <c r="AL737" s="2994">
        <v>0</v>
      </c>
      <c r="AM737" s="2994">
        <v>0</v>
      </c>
      <c r="AN737" s="2994">
        <v>0</v>
      </c>
      <c r="AO737" s="2994">
        <v>0</v>
      </c>
      <c r="AP737" s="2994">
        <v>0</v>
      </c>
      <c r="AQ737" s="2994">
        <v>0</v>
      </c>
      <c r="AR737" s="2994">
        <v>0</v>
      </c>
      <c r="AS737" s="2994">
        <v>0</v>
      </c>
      <c r="AT737" s="2994">
        <v>0</v>
      </c>
      <c r="AU737" s="2994">
        <v>0</v>
      </c>
      <c r="AV737" s="2994">
        <v>0</v>
      </c>
      <c r="AW737" s="2994">
        <v>0</v>
      </c>
      <c r="AX737" s="2994">
        <v>0</v>
      </c>
      <c r="AY737" s="2994">
        <v>0</v>
      </c>
      <c r="AZ737" s="2994">
        <v>0</v>
      </c>
      <c r="BA737" s="2994">
        <v>0</v>
      </c>
      <c r="BB737" s="2994">
        <v>0</v>
      </c>
      <c r="BC737" s="2994">
        <v>0</v>
      </c>
      <c r="BD737" s="3471">
        <v>0</v>
      </c>
      <c r="BE737" s="3471">
        <v>0</v>
      </c>
      <c r="BF737" s="3471">
        <v>0</v>
      </c>
    </row>
    <row r="738" spans="1:58">
      <c r="A738" s="1817" t="str">
        <f t="shared" si="23"/>
        <v>Eastern AsiaLeeks, other alliaceous vegetables</v>
      </c>
      <c r="B738" s="1818" t="s">
        <v>1328</v>
      </c>
      <c r="C738" s="1818" t="s">
        <v>7342</v>
      </c>
      <c r="D738" s="3463" t="str">
        <f>VLOOKUP(B738,List_Yield!$G$4:$J$14,4,FALSE)</f>
        <v>Asia (Continental)</v>
      </c>
      <c r="E738" s="3463" t="str">
        <f t="shared" si="22"/>
        <v>Asia (Continental)Leeks, other alliaceous vegetables</v>
      </c>
      <c r="F738" s="2994">
        <v>10.7006</v>
      </c>
      <c r="G738" s="2994">
        <v>10.561500000000001</v>
      </c>
      <c r="H738" s="2994">
        <v>11.02</v>
      </c>
      <c r="I738" s="2994">
        <v>13.211</v>
      </c>
      <c r="J738" s="2994">
        <v>13.2372</v>
      </c>
      <c r="K738" s="2994">
        <v>10.372400000000001</v>
      </c>
      <c r="L738" s="2994">
        <v>14.2288</v>
      </c>
      <c r="M738" s="2994">
        <v>15.279199999999999</v>
      </c>
      <c r="N738" s="2994">
        <v>13.4168</v>
      </c>
      <c r="O738" s="2994">
        <v>16.1099</v>
      </c>
      <c r="P738" s="2994">
        <v>11.866899999999999</v>
      </c>
      <c r="Q738" s="2994">
        <v>18.3432</v>
      </c>
      <c r="R738" s="2994">
        <v>20.648</v>
      </c>
      <c r="S738" s="2994">
        <v>22.823799999999999</v>
      </c>
      <c r="T738" s="2994">
        <v>20.956099999999999</v>
      </c>
      <c r="U738" s="2994">
        <v>26.5396</v>
      </c>
      <c r="V738" s="2994">
        <v>26.327999999999999</v>
      </c>
      <c r="W738" s="2994">
        <v>27.4725</v>
      </c>
      <c r="X738" s="2994">
        <v>21.354800000000001</v>
      </c>
      <c r="Y738" s="2994">
        <v>26.5395</v>
      </c>
      <c r="Z738" s="2994">
        <v>24.765799999999999</v>
      </c>
      <c r="AA738" s="2994">
        <v>26.107399999999998</v>
      </c>
      <c r="AB738" s="2994">
        <v>28.220400000000001</v>
      </c>
      <c r="AC738" s="2994">
        <v>28.0106</v>
      </c>
      <c r="AD738" s="2994">
        <v>32.11</v>
      </c>
      <c r="AE738" s="2994">
        <v>34.355899999999998</v>
      </c>
      <c r="AF738" s="2994">
        <v>38.837000000000003</v>
      </c>
      <c r="AG738" s="2994">
        <v>15.485799999999999</v>
      </c>
      <c r="AH738" s="2994">
        <v>15.8062</v>
      </c>
      <c r="AI738" s="2994">
        <v>17.677600000000002</v>
      </c>
      <c r="AJ738" s="2994">
        <v>18.996400000000001</v>
      </c>
      <c r="AK738" s="2994">
        <v>17.587900000000001</v>
      </c>
      <c r="AL738" s="2994">
        <v>18.808499999999999</v>
      </c>
      <c r="AM738" s="2994">
        <v>19.803000000000001</v>
      </c>
      <c r="AN738" s="2994">
        <v>20.894400000000001</v>
      </c>
      <c r="AO738" s="2994">
        <v>22.4</v>
      </c>
      <c r="AP738" s="2994">
        <v>22.385899999999999</v>
      </c>
      <c r="AQ738" s="2994">
        <v>23.104900000000001</v>
      </c>
      <c r="AR738" s="2994">
        <v>23.360399999999998</v>
      </c>
      <c r="AS738" s="2994">
        <v>21.247900000000001</v>
      </c>
      <c r="AT738" s="2994">
        <v>22.223700000000001</v>
      </c>
      <c r="AU738" s="2994">
        <v>23.897600000000001</v>
      </c>
      <c r="AV738" s="2994">
        <v>25.778199999999998</v>
      </c>
      <c r="AW738" s="2994">
        <v>29.959199999999999</v>
      </c>
      <c r="AX738" s="2994">
        <v>32.495399999999997</v>
      </c>
      <c r="AY738" s="2994">
        <v>31.1204</v>
      </c>
      <c r="AZ738" s="2994">
        <v>31.810300000000002</v>
      </c>
      <c r="BA738" s="2994">
        <v>31.721599999999999</v>
      </c>
      <c r="BB738" s="2994">
        <v>32.482999999999997</v>
      </c>
      <c r="BC738" s="2994">
        <v>31.836300000000001</v>
      </c>
      <c r="BD738" s="3471">
        <v>33.662799999999997</v>
      </c>
      <c r="BE738" s="3471">
        <v>34.2012</v>
      </c>
      <c r="BF738" s="3471">
        <v>0</v>
      </c>
    </row>
    <row r="739" spans="1:58">
      <c r="A739" s="1817" t="str">
        <f t="shared" si="23"/>
        <v>Eastern AsiaLemons and limes</v>
      </c>
      <c r="B739" s="1818" t="s">
        <v>1328</v>
      </c>
      <c r="C739" s="1818" t="s">
        <v>7343</v>
      </c>
      <c r="D739" s="3463" t="str">
        <f>VLOOKUP(B739,List_Yield!$G$4:$J$14,4,FALSE)</f>
        <v>Asia (Continental)</v>
      </c>
      <c r="E739" s="3463" t="str">
        <f t="shared" si="22"/>
        <v>Asia (Continental)Lemons and limes</v>
      </c>
      <c r="F739" s="2994">
        <v>2.7183999999999999</v>
      </c>
      <c r="G739" s="2994">
        <v>2.6819000000000002</v>
      </c>
      <c r="H739" s="2994">
        <v>2.7665000000000002</v>
      </c>
      <c r="I739" s="2994">
        <v>2.7084999999999999</v>
      </c>
      <c r="J739" s="2994">
        <v>2.8180000000000001</v>
      </c>
      <c r="K739" s="2994">
        <v>2.8746</v>
      </c>
      <c r="L739" s="2994">
        <v>3.3231999999999999</v>
      </c>
      <c r="M739" s="2994">
        <v>3.5110999999999999</v>
      </c>
      <c r="N739" s="2994">
        <v>3.6320999999999999</v>
      </c>
      <c r="O739" s="2994">
        <v>3.7473999999999998</v>
      </c>
      <c r="P739" s="2994">
        <v>4.1616</v>
      </c>
      <c r="Q739" s="2994">
        <v>3.7084999999999999</v>
      </c>
      <c r="R739" s="2994">
        <v>3.3553000000000002</v>
      </c>
      <c r="S739" s="2994">
        <v>4.5319000000000003</v>
      </c>
      <c r="T739" s="2994">
        <v>4.4589999999999996</v>
      </c>
      <c r="U739" s="2994">
        <v>5.7805999999999997</v>
      </c>
      <c r="V739" s="2994">
        <v>4.8593000000000002</v>
      </c>
      <c r="W739" s="2994">
        <v>3.6234000000000002</v>
      </c>
      <c r="X739" s="2994">
        <v>3.7703000000000002</v>
      </c>
      <c r="Y739" s="2994">
        <v>4.0915999999999997</v>
      </c>
      <c r="Z739" s="2994">
        <v>4.3949999999999996</v>
      </c>
      <c r="AA739" s="2994">
        <v>4.2638999999999996</v>
      </c>
      <c r="AB739" s="2994">
        <v>3.7938000000000001</v>
      </c>
      <c r="AC739" s="2994">
        <v>3.7593000000000001</v>
      </c>
      <c r="AD739" s="2994">
        <v>2.9043000000000001</v>
      </c>
      <c r="AE739" s="2994">
        <v>4.3779000000000003</v>
      </c>
      <c r="AF739" s="2994">
        <v>3.9788999999999999</v>
      </c>
      <c r="AG739" s="2994">
        <v>4.3289</v>
      </c>
      <c r="AH739" s="2994">
        <v>3.8420000000000001</v>
      </c>
      <c r="AI739" s="2994">
        <v>4.9358000000000004</v>
      </c>
      <c r="AJ739" s="2994">
        <v>8.1715</v>
      </c>
      <c r="AK739" s="2994">
        <v>4.7830000000000004</v>
      </c>
      <c r="AL739" s="2994">
        <v>7.4154</v>
      </c>
      <c r="AM739" s="2994">
        <v>8.0025999999999993</v>
      </c>
      <c r="AN739" s="2994">
        <v>7.7685000000000004</v>
      </c>
      <c r="AO739" s="2994">
        <v>7.2887000000000004</v>
      </c>
      <c r="AP739" s="2994">
        <v>7.6943999999999999</v>
      </c>
      <c r="AQ739" s="2994">
        <v>9.9606999999999992</v>
      </c>
      <c r="AR739" s="2994">
        <v>10.957800000000001</v>
      </c>
      <c r="AS739" s="2994">
        <v>7.6010999999999997</v>
      </c>
      <c r="AT739" s="2994">
        <v>9.5759000000000007</v>
      </c>
      <c r="AU739" s="2994">
        <v>12.298999999999999</v>
      </c>
      <c r="AV739" s="2994">
        <v>11.9565</v>
      </c>
      <c r="AW739" s="2994">
        <v>12.6259</v>
      </c>
      <c r="AX739" s="2994">
        <v>12.8744</v>
      </c>
      <c r="AY739" s="2994">
        <v>12.7112</v>
      </c>
      <c r="AZ739" s="2994">
        <v>13.2233</v>
      </c>
      <c r="BA739" s="2994">
        <v>32.886099999999999</v>
      </c>
      <c r="BB739" s="2994">
        <v>21.8216</v>
      </c>
      <c r="BC739" s="2994">
        <v>14.526400000000001</v>
      </c>
      <c r="BD739" s="3471">
        <v>22.782299999999999</v>
      </c>
      <c r="BE739" s="3471">
        <v>20.7806</v>
      </c>
      <c r="BF739" s="3471">
        <v>0</v>
      </c>
    </row>
    <row r="740" spans="1:58">
      <c r="A740" s="1817" t="str">
        <f t="shared" si="23"/>
        <v>Eastern AsiaLentils</v>
      </c>
      <c r="B740" s="1818" t="s">
        <v>1328</v>
      </c>
      <c r="C740" s="1818" t="s">
        <v>7344</v>
      </c>
      <c r="D740" s="3463" t="str">
        <f>VLOOKUP(B740,List_Yield!$G$4:$J$14,4,FALSE)</f>
        <v>Asia (Continental)</v>
      </c>
      <c r="E740" s="3463" t="str">
        <f t="shared" si="22"/>
        <v>Asia (Continental)Lentils</v>
      </c>
      <c r="F740" s="2994">
        <v>0</v>
      </c>
      <c r="G740" s="2994">
        <v>0</v>
      </c>
      <c r="H740" s="2994">
        <v>0</v>
      </c>
      <c r="I740" s="2994">
        <v>0</v>
      </c>
      <c r="J740" s="2994">
        <v>0</v>
      </c>
      <c r="K740" s="2994">
        <v>0</v>
      </c>
      <c r="L740" s="2994">
        <v>0</v>
      </c>
      <c r="M740" s="2994">
        <v>0</v>
      </c>
      <c r="N740" s="2994">
        <v>0</v>
      </c>
      <c r="O740" s="2994">
        <v>0</v>
      </c>
      <c r="P740" s="2994">
        <v>0</v>
      </c>
      <c r="Q740" s="2994">
        <v>0</v>
      </c>
      <c r="R740" s="2994">
        <v>0</v>
      </c>
      <c r="S740" s="2994">
        <v>0</v>
      </c>
      <c r="T740" s="2994">
        <v>0</v>
      </c>
      <c r="U740" s="2994">
        <v>0</v>
      </c>
      <c r="V740" s="2994">
        <v>0</v>
      </c>
      <c r="W740" s="2994">
        <v>0</v>
      </c>
      <c r="X740" s="2994">
        <v>0</v>
      </c>
      <c r="Y740" s="2994">
        <v>0</v>
      </c>
      <c r="Z740" s="2994">
        <v>0</v>
      </c>
      <c r="AA740" s="2994">
        <v>0</v>
      </c>
      <c r="AB740" s="2994">
        <v>0</v>
      </c>
      <c r="AC740" s="2994">
        <v>1</v>
      </c>
      <c r="AD740" s="2994">
        <v>1</v>
      </c>
      <c r="AE740" s="2994">
        <v>1</v>
      </c>
      <c r="AF740" s="2994">
        <v>1.0667</v>
      </c>
      <c r="AG740" s="2994">
        <v>1.1701999999999999</v>
      </c>
      <c r="AH740" s="2994">
        <v>1.0909</v>
      </c>
      <c r="AI740" s="2994">
        <v>1.7778</v>
      </c>
      <c r="AJ740" s="2994">
        <v>1.5909</v>
      </c>
      <c r="AK740" s="2994">
        <v>1.5152000000000001</v>
      </c>
      <c r="AL740" s="2994">
        <v>1.4544999999999999</v>
      </c>
      <c r="AM740" s="2994">
        <v>1.0526</v>
      </c>
      <c r="AN740" s="2994">
        <v>1.2632000000000001</v>
      </c>
      <c r="AO740" s="2994">
        <v>1.1536999999999999</v>
      </c>
      <c r="AP740" s="2994">
        <v>1.1419999999999999</v>
      </c>
      <c r="AQ740" s="2994">
        <v>1.3616999999999999</v>
      </c>
      <c r="AR740" s="2994">
        <v>1</v>
      </c>
      <c r="AS740" s="2994">
        <v>1.1599999999999999</v>
      </c>
      <c r="AT740" s="2994">
        <v>1.087</v>
      </c>
      <c r="AU740" s="2994">
        <v>1.1364000000000001</v>
      </c>
      <c r="AV740" s="2994">
        <v>1.4666999999999999</v>
      </c>
      <c r="AW740" s="2994">
        <v>2.0870000000000002</v>
      </c>
      <c r="AX740" s="2994">
        <v>1.6980999999999999</v>
      </c>
      <c r="AY740" s="2994">
        <v>1.8675999999999999</v>
      </c>
      <c r="AZ740" s="2994">
        <v>2.0615000000000001</v>
      </c>
      <c r="BA740" s="2994">
        <v>2.1898</v>
      </c>
      <c r="BB740" s="2994">
        <v>1.9355</v>
      </c>
      <c r="BC740" s="2994">
        <v>2</v>
      </c>
      <c r="BD740" s="3471">
        <v>2.5</v>
      </c>
      <c r="BE740" s="3471">
        <v>2.1642000000000001</v>
      </c>
      <c r="BF740" s="3471">
        <v>2.2387999999999999</v>
      </c>
    </row>
    <row r="741" spans="1:58">
      <c r="A741" s="1817" t="str">
        <f t="shared" si="23"/>
        <v>Eastern AsiaLettuce and chicory</v>
      </c>
      <c r="B741" s="1818" t="s">
        <v>1328</v>
      </c>
      <c r="C741" s="1818" t="s">
        <v>7345</v>
      </c>
      <c r="D741" s="3463" t="str">
        <f>VLOOKUP(B741,List_Yield!$G$4:$J$14,4,FALSE)</f>
        <v>Asia (Continental)</v>
      </c>
      <c r="E741" s="3463" t="str">
        <f t="shared" si="22"/>
        <v>Asia (Continental)Lettuce and chicory</v>
      </c>
      <c r="F741" s="2994">
        <v>14.8226</v>
      </c>
      <c r="G741" s="2994">
        <v>15.9192</v>
      </c>
      <c r="H741" s="2994">
        <v>16.5627</v>
      </c>
      <c r="I741" s="2994">
        <v>16.637899999999998</v>
      </c>
      <c r="J741" s="2994">
        <v>17.464700000000001</v>
      </c>
      <c r="K741" s="2994">
        <v>17.807099999999998</v>
      </c>
      <c r="L741" s="2994">
        <v>17.973299999999998</v>
      </c>
      <c r="M741" s="2994">
        <v>19.0916</v>
      </c>
      <c r="N741" s="2994">
        <v>20.460899999999999</v>
      </c>
      <c r="O741" s="2994">
        <v>20.8657</v>
      </c>
      <c r="P741" s="2994">
        <v>21.0197</v>
      </c>
      <c r="Q741" s="2994">
        <v>20.319099999999999</v>
      </c>
      <c r="R741" s="2994">
        <v>21.096900000000002</v>
      </c>
      <c r="S741" s="2994">
        <v>21.1479</v>
      </c>
      <c r="T741" s="2994">
        <v>21.1448</v>
      </c>
      <c r="U741" s="2994">
        <v>21.072299999999998</v>
      </c>
      <c r="V741" s="2994">
        <v>21.231200000000001</v>
      </c>
      <c r="W741" s="2994">
        <v>19.556999999999999</v>
      </c>
      <c r="X741" s="2994">
        <v>20.803000000000001</v>
      </c>
      <c r="Y741" s="2994">
        <v>20.208500000000001</v>
      </c>
      <c r="Z741" s="2994">
        <v>21.4742</v>
      </c>
      <c r="AA741" s="2994">
        <v>21.373999999999999</v>
      </c>
      <c r="AB741" s="2994">
        <v>21.1858</v>
      </c>
      <c r="AC741" s="2994">
        <v>21.831299999999999</v>
      </c>
      <c r="AD741" s="2994">
        <v>21.6844</v>
      </c>
      <c r="AE741" s="2994">
        <v>22.3355</v>
      </c>
      <c r="AF741" s="2994">
        <v>23.136700000000001</v>
      </c>
      <c r="AG741" s="2994">
        <v>22.694900000000001</v>
      </c>
      <c r="AH741" s="2994">
        <v>22.6905</v>
      </c>
      <c r="AI741" s="2994">
        <v>23.505099999999999</v>
      </c>
      <c r="AJ741" s="2994">
        <v>23.592199999999998</v>
      </c>
      <c r="AK741" s="2994">
        <v>26.875399999999999</v>
      </c>
      <c r="AL741" s="2994">
        <v>24.400200000000002</v>
      </c>
      <c r="AM741" s="2994">
        <v>24.396100000000001</v>
      </c>
      <c r="AN741" s="2994">
        <v>24.736000000000001</v>
      </c>
      <c r="AO741" s="2994">
        <v>25.501799999999999</v>
      </c>
      <c r="AP741" s="2994">
        <v>22.7559</v>
      </c>
      <c r="AQ741" s="2994">
        <v>21.8535</v>
      </c>
      <c r="AR741" s="2994">
        <v>21.0749</v>
      </c>
      <c r="AS741" s="2994">
        <v>22.215499999999999</v>
      </c>
      <c r="AT741" s="2994">
        <v>22.005400000000002</v>
      </c>
      <c r="AU741" s="2994">
        <v>22.7148</v>
      </c>
      <c r="AV741" s="2994">
        <v>23.911300000000001</v>
      </c>
      <c r="AW741" s="2994">
        <v>21.215299999999999</v>
      </c>
      <c r="AX741" s="2994">
        <v>21.651800000000001</v>
      </c>
      <c r="AY741" s="2994">
        <v>22.312000000000001</v>
      </c>
      <c r="AZ741" s="2994">
        <v>22.635200000000001</v>
      </c>
      <c r="BA741" s="2994">
        <v>23.118600000000001</v>
      </c>
      <c r="BB741" s="2994">
        <v>23.520099999999999</v>
      </c>
      <c r="BC741" s="2994">
        <v>23.216699999999999</v>
      </c>
      <c r="BD741" s="3471">
        <v>23.657399999999999</v>
      </c>
      <c r="BE741" s="3471">
        <v>24.412800000000001</v>
      </c>
      <c r="BF741" s="3471">
        <v>0</v>
      </c>
    </row>
    <row r="742" spans="1:58">
      <c r="A742" s="1817" t="str">
        <f t="shared" si="23"/>
        <v>Eastern AsiaLinseed</v>
      </c>
      <c r="B742" s="1818" t="s">
        <v>1328</v>
      </c>
      <c r="C742" s="1818" t="s">
        <v>1355</v>
      </c>
      <c r="D742" s="3463" t="str">
        <f>VLOOKUP(B742,List_Yield!$G$4:$J$14,4,FALSE)</f>
        <v>Asia (Continental)</v>
      </c>
      <c r="E742" s="3463" t="str">
        <f t="shared" si="22"/>
        <v>Asia (Continental)Linseed</v>
      </c>
      <c r="F742" s="2994">
        <v>0.50519999999999998</v>
      </c>
      <c r="G742" s="2994">
        <v>0.49790000000000001</v>
      </c>
      <c r="H742" s="2994">
        <v>0.53249999999999997</v>
      </c>
      <c r="I742" s="2994">
        <v>0.4829</v>
      </c>
      <c r="J742" s="2994">
        <v>0.53820000000000001</v>
      </c>
      <c r="K742" s="2994">
        <v>0.59650000000000003</v>
      </c>
      <c r="L742" s="2994">
        <v>0.64280000000000004</v>
      </c>
      <c r="M742" s="2994">
        <v>0.621</v>
      </c>
      <c r="N742" s="2994">
        <v>0.69769999999999999</v>
      </c>
      <c r="O742" s="2994">
        <v>0.71109999999999995</v>
      </c>
      <c r="P742" s="2994">
        <v>0.77270000000000005</v>
      </c>
      <c r="Q742" s="2994">
        <v>0.83720000000000006</v>
      </c>
      <c r="R742" s="2994">
        <v>0.82220000000000004</v>
      </c>
      <c r="S742" s="2994">
        <v>0.80430000000000001</v>
      </c>
      <c r="T742" s="2994">
        <v>0.79169999999999996</v>
      </c>
      <c r="U742" s="2994">
        <v>0.8</v>
      </c>
      <c r="V742" s="2994">
        <v>0.7843</v>
      </c>
      <c r="W742" s="2994">
        <v>0.94699999999999995</v>
      </c>
      <c r="X742" s="2994">
        <v>1.1667000000000001</v>
      </c>
      <c r="Y742" s="2994">
        <v>1</v>
      </c>
      <c r="Z742" s="2994">
        <v>0.85</v>
      </c>
      <c r="AA742" s="2994">
        <v>0.79169999999999996</v>
      </c>
      <c r="AB742" s="2994">
        <v>0.74399999999999999</v>
      </c>
      <c r="AC742" s="2994">
        <v>0.74219999999999997</v>
      </c>
      <c r="AD742" s="2994">
        <v>0.81820000000000004</v>
      </c>
      <c r="AE742" s="2994">
        <v>0.94120000000000004</v>
      </c>
      <c r="AF742" s="2994">
        <v>0.90280000000000005</v>
      </c>
      <c r="AG742" s="2994">
        <v>0.89949999999999997</v>
      </c>
      <c r="AH742" s="2994">
        <v>0.89800000000000002</v>
      </c>
      <c r="AI742" s="2994">
        <v>0.89939999999999998</v>
      </c>
      <c r="AJ742" s="2994">
        <v>0.89470000000000005</v>
      </c>
      <c r="AK742" s="2994">
        <v>0.85940000000000005</v>
      </c>
      <c r="AL742" s="2994">
        <v>0.72729999999999995</v>
      </c>
      <c r="AM742" s="2994">
        <v>0.76580000000000004</v>
      </c>
      <c r="AN742" s="2994">
        <v>0.58579999999999999</v>
      </c>
      <c r="AO742" s="2994">
        <v>0.85840000000000005</v>
      </c>
      <c r="AP742" s="2994">
        <v>0.65339999999999998</v>
      </c>
      <c r="AQ742" s="2994">
        <v>0.91520000000000001</v>
      </c>
      <c r="AR742" s="2994">
        <v>0.7319</v>
      </c>
      <c r="AS742" s="2994">
        <v>0.69040000000000001</v>
      </c>
      <c r="AT742" s="2994">
        <v>0.62819999999999998</v>
      </c>
      <c r="AU742" s="2994">
        <v>0.90290000000000004</v>
      </c>
      <c r="AV742" s="2994">
        <v>1.0022</v>
      </c>
      <c r="AW742" s="2994">
        <v>0.92</v>
      </c>
      <c r="AX742" s="2994">
        <v>0.96940000000000004</v>
      </c>
      <c r="AY742" s="2994">
        <v>0.98970000000000002</v>
      </c>
      <c r="AZ742" s="2994">
        <v>0.78939999999999999</v>
      </c>
      <c r="BA742" s="2994">
        <v>1.0350999999999999</v>
      </c>
      <c r="BB742" s="2994">
        <v>0.94420000000000004</v>
      </c>
      <c r="BC742" s="2994">
        <v>1.0875999999999999</v>
      </c>
      <c r="BD742" s="3471">
        <v>1.1133999999999999</v>
      </c>
      <c r="BE742" s="3471">
        <v>1</v>
      </c>
      <c r="BF742" s="3471">
        <v>1</v>
      </c>
    </row>
    <row r="743" spans="1:58">
      <c r="A743" s="1817" t="str">
        <f t="shared" si="23"/>
        <v>Eastern AsiaLupins</v>
      </c>
      <c r="B743" s="1818" t="s">
        <v>1328</v>
      </c>
      <c r="C743" s="1818" t="s">
        <v>7346</v>
      </c>
      <c r="D743" s="3463" t="str">
        <f>VLOOKUP(B743,List_Yield!$G$4:$J$14,4,FALSE)</f>
        <v>Asia (Continental)</v>
      </c>
      <c r="E743" s="3463" t="str">
        <f t="shared" si="22"/>
        <v>Asia (Continental)Lupins</v>
      </c>
      <c r="F743" s="2994">
        <v>0</v>
      </c>
      <c r="G743" s="2994">
        <v>0</v>
      </c>
      <c r="H743" s="2994">
        <v>0</v>
      </c>
      <c r="I743" s="2994">
        <v>0</v>
      </c>
      <c r="J743" s="2994">
        <v>0</v>
      </c>
      <c r="K743" s="2994">
        <v>0</v>
      </c>
      <c r="L743" s="2994">
        <v>0</v>
      </c>
      <c r="M743" s="2994">
        <v>0</v>
      </c>
      <c r="N743" s="2994">
        <v>0</v>
      </c>
      <c r="O743" s="2994">
        <v>0</v>
      </c>
      <c r="P743" s="2994">
        <v>0</v>
      </c>
      <c r="Q743" s="2994">
        <v>0</v>
      </c>
      <c r="R743" s="2994">
        <v>0</v>
      </c>
      <c r="S743" s="2994">
        <v>0</v>
      </c>
      <c r="T743" s="2994">
        <v>0</v>
      </c>
      <c r="U743" s="2994">
        <v>0</v>
      </c>
      <c r="V743" s="2994">
        <v>0</v>
      </c>
      <c r="W743" s="2994">
        <v>0</v>
      </c>
      <c r="X743" s="2994">
        <v>0</v>
      </c>
      <c r="Y743" s="2994">
        <v>0</v>
      </c>
      <c r="Z743" s="2994">
        <v>0</v>
      </c>
      <c r="AA743" s="2994">
        <v>0</v>
      </c>
      <c r="AB743" s="2994">
        <v>0</v>
      </c>
      <c r="AC743" s="2994">
        <v>0</v>
      </c>
      <c r="AD743" s="2994">
        <v>0</v>
      </c>
      <c r="AE743" s="2994">
        <v>0</v>
      </c>
      <c r="AF743" s="2994">
        <v>0</v>
      </c>
      <c r="AG743" s="2994">
        <v>0</v>
      </c>
      <c r="AH743" s="2994">
        <v>0</v>
      </c>
      <c r="AI743" s="2994">
        <v>0</v>
      </c>
      <c r="AJ743" s="2994">
        <v>0</v>
      </c>
      <c r="AK743" s="2994">
        <v>0</v>
      </c>
      <c r="AL743" s="2994">
        <v>0</v>
      </c>
      <c r="AM743" s="2994">
        <v>0</v>
      </c>
      <c r="AN743" s="2994">
        <v>0</v>
      </c>
      <c r="AO743" s="2994">
        <v>0</v>
      </c>
      <c r="AP743" s="2994">
        <v>0</v>
      </c>
      <c r="AQ743" s="2994">
        <v>0</v>
      </c>
      <c r="AR743" s="2994">
        <v>0</v>
      </c>
      <c r="AS743" s="2994">
        <v>0</v>
      </c>
      <c r="AT743" s="2994">
        <v>0</v>
      </c>
      <c r="AU743" s="2994">
        <v>0</v>
      </c>
      <c r="AV743" s="2994">
        <v>0</v>
      </c>
      <c r="AW743" s="2994">
        <v>0</v>
      </c>
      <c r="AX743" s="2994">
        <v>0</v>
      </c>
      <c r="AY743" s="2994">
        <v>0</v>
      </c>
      <c r="AZ743" s="2994">
        <v>0</v>
      </c>
      <c r="BA743" s="2994">
        <v>0</v>
      </c>
      <c r="BB743" s="2994">
        <v>0</v>
      </c>
      <c r="BC743" s="2994">
        <v>0</v>
      </c>
      <c r="BD743" s="3471">
        <v>0</v>
      </c>
      <c r="BE743" s="3471">
        <v>0</v>
      </c>
      <c r="BF743" s="3471">
        <v>0</v>
      </c>
    </row>
    <row r="744" spans="1:58">
      <c r="A744" s="1817" t="str">
        <f t="shared" si="23"/>
        <v>Eastern AsiaMaize</v>
      </c>
      <c r="B744" s="1818" t="s">
        <v>1328</v>
      </c>
      <c r="C744" s="1818" t="s">
        <v>1356</v>
      </c>
      <c r="D744" s="3463" t="str">
        <f>VLOOKUP(B744,List_Yield!$G$4:$J$14,4,FALSE)</f>
        <v>Asia (Continental)</v>
      </c>
      <c r="E744" s="3463" t="str">
        <f t="shared" si="22"/>
        <v>Asia (Continental)Maize</v>
      </c>
      <c r="F744" s="2994">
        <v>1.2276</v>
      </c>
      <c r="G744" s="2994">
        <v>1.3203</v>
      </c>
      <c r="H744" s="2994">
        <v>1.3873</v>
      </c>
      <c r="I744" s="2994">
        <v>1.524</v>
      </c>
      <c r="J744" s="2994">
        <v>1.5423</v>
      </c>
      <c r="K744" s="2994">
        <v>1.7439</v>
      </c>
      <c r="L744" s="2994">
        <v>1.9523999999999999</v>
      </c>
      <c r="M744" s="2994">
        <v>1.8369</v>
      </c>
      <c r="N744" s="2994">
        <v>1.8143</v>
      </c>
      <c r="O744" s="2994">
        <v>2.113</v>
      </c>
      <c r="P744" s="2994">
        <v>2.1682999999999999</v>
      </c>
      <c r="Q744" s="2994">
        <v>1.9495</v>
      </c>
      <c r="R744" s="2994">
        <v>2.3513000000000002</v>
      </c>
      <c r="S744" s="2994">
        <v>2.484</v>
      </c>
      <c r="T744" s="2994">
        <v>2.5562</v>
      </c>
      <c r="U744" s="2994">
        <v>2.5316999999999998</v>
      </c>
      <c r="V744" s="2994">
        <v>2.5438000000000001</v>
      </c>
      <c r="W744" s="2994">
        <v>2.8262999999999998</v>
      </c>
      <c r="X744" s="2994">
        <v>3.0085999999999999</v>
      </c>
      <c r="Y744" s="2994">
        <v>3.1078000000000001</v>
      </c>
      <c r="Z744" s="2994">
        <v>3.0872999999999999</v>
      </c>
      <c r="AA744" s="2994">
        <v>3.3031999999999999</v>
      </c>
      <c r="AB744" s="2994">
        <v>3.6509999999999998</v>
      </c>
      <c r="AC744" s="2994">
        <v>3.9868000000000001</v>
      </c>
      <c r="AD744" s="2994">
        <v>3.6560000000000001</v>
      </c>
      <c r="AE744" s="2994">
        <v>3.7528000000000001</v>
      </c>
      <c r="AF744" s="2994">
        <v>3.9638</v>
      </c>
      <c r="AG744" s="2994">
        <v>3.9807000000000001</v>
      </c>
      <c r="AH744" s="2994">
        <v>3.9337</v>
      </c>
      <c r="AI744" s="2994">
        <v>4.5669000000000004</v>
      </c>
      <c r="AJ744" s="2994">
        <v>4.6349999999999998</v>
      </c>
      <c r="AK744" s="2994">
        <v>4.5712000000000002</v>
      </c>
      <c r="AL744" s="2994">
        <v>5.0016999999999996</v>
      </c>
      <c r="AM744" s="2994">
        <v>4.7196999999999996</v>
      </c>
      <c r="AN744" s="2994">
        <v>4.8352000000000004</v>
      </c>
      <c r="AO744" s="2994">
        <v>5.1140999999999996</v>
      </c>
      <c r="AP744" s="2994">
        <v>4.3232999999999997</v>
      </c>
      <c r="AQ744" s="2994">
        <v>5.2079000000000004</v>
      </c>
      <c r="AR744" s="2994">
        <v>4.8844000000000003</v>
      </c>
      <c r="AS744" s="2994">
        <v>4.5462999999999996</v>
      </c>
      <c r="AT744" s="2994">
        <v>4.6650999999999998</v>
      </c>
      <c r="AU744" s="2994">
        <v>4.8945999999999996</v>
      </c>
      <c r="AV744" s="2994">
        <v>4.7873999999999999</v>
      </c>
      <c r="AW744" s="2994">
        <v>5.0899000000000001</v>
      </c>
      <c r="AX744" s="2994">
        <v>5.2404999999999999</v>
      </c>
      <c r="AY744" s="2994">
        <v>5.5869</v>
      </c>
      <c r="AZ744" s="2994">
        <v>5.1345000000000001</v>
      </c>
      <c r="BA744" s="2994">
        <v>5.5103</v>
      </c>
      <c r="BB744" s="2994">
        <v>5.2294999999999998</v>
      </c>
      <c r="BC744" s="2994">
        <v>5.4272999999999998</v>
      </c>
      <c r="BD744" s="3471">
        <v>5.7172000000000001</v>
      </c>
      <c r="BE744" s="3471">
        <v>5.8398000000000003</v>
      </c>
      <c r="BF744" s="3471">
        <v>6.1395</v>
      </c>
    </row>
    <row r="745" spans="1:58">
      <c r="A745" s="1817" t="str">
        <f t="shared" si="23"/>
        <v>Eastern AsiaMaize, green</v>
      </c>
      <c r="B745" s="1818" t="s">
        <v>1328</v>
      </c>
      <c r="C745" s="1818" t="s">
        <v>1357</v>
      </c>
      <c r="D745" s="3463" t="str">
        <f>VLOOKUP(B745,List_Yield!$G$4:$J$14,4,FALSE)</f>
        <v>Asia (Continental)</v>
      </c>
      <c r="E745" s="3463" t="str">
        <f t="shared" si="22"/>
        <v>Asia (Continental)Maize, green</v>
      </c>
      <c r="F745" s="2994">
        <v>10.5358</v>
      </c>
      <c r="G745" s="2994">
        <v>10.104900000000001</v>
      </c>
      <c r="H745" s="2994">
        <v>10.914099999999999</v>
      </c>
      <c r="I745" s="2994">
        <v>10.2326</v>
      </c>
      <c r="J745" s="2994">
        <v>10.092700000000001</v>
      </c>
      <c r="K745" s="2994">
        <v>10.2852</v>
      </c>
      <c r="L745" s="2994">
        <v>11.219200000000001</v>
      </c>
      <c r="M745" s="2994">
        <v>11.3934</v>
      </c>
      <c r="N745" s="2994">
        <v>11.1174</v>
      </c>
      <c r="O745" s="2994">
        <v>11.084199999999999</v>
      </c>
      <c r="P745" s="2994">
        <v>10.661799999999999</v>
      </c>
      <c r="Q745" s="2994">
        <v>11.4154</v>
      </c>
      <c r="R745" s="2994">
        <v>10.9041</v>
      </c>
      <c r="S745" s="2994">
        <v>11.0364</v>
      </c>
      <c r="T745" s="2994">
        <v>11.0547</v>
      </c>
      <c r="U745" s="2994">
        <v>10.9451</v>
      </c>
      <c r="V745" s="2994">
        <v>10.9452</v>
      </c>
      <c r="W745" s="2994">
        <v>10.9148</v>
      </c>
      <c r="X745" s="2994">
        <v>10.515700000000001</v>
      </c>
      <c r="Y745" s="2994">
        <v>10.2599</v>
      </c>
      <c r="Z745" s="2994">
        <v>9.5850000000000009</v>
      </c>
      <c r="AA745" s="2994">
        <v>10.1386</v>
      </c>
      <c r="AB745" s="2994">
        <v>9.1011000000000006</v>
      </c>
      <c r="AC745" s="2994">
        <v>10.2005</v>
      </c>
      <c r="AD745" s="2994">
        <v>9.8790999999999993</v>
      </c>
      <c r="AE745" s="2994">
        <v>10.477</v>
      </c>
      <c r="AF745" s="2994">
        <v>10.2354</v>
      </c>
      <c r="AG745" s="2994">
        <v>9.7607999999999997</v>
      </c>
      <c r="AH745" s="2994">
        <v>9.8371999999999993</v>
      </c>
      <c r="AI745" s="2994">
        <v>10.2791</v>
      </c>
      <c r="AJ745" s="2994">
        <v>10.0207</v>
      </c>
      <c r="AK745" s="2994">
        <v>9.9115000000000002</v>
      </c>
      <c r="AL745" s="2994">
        <v>9.2530000000000001</v>
      </c>
      <c r="AM745" s="2994">
        <v>10.325799999999999</v>
      </c>
      <c r="AN745" s="2994">
        <v>9.67</v>
      </c>
      <c r="AO745" s="2994">
        <v>9.2271000000000001</v>
      </c>
      <c r="AP745" s="2994">
        <v>9.4390999999999998</v>
      </c>
      <c r="AQ745" s="2994">
        <v>9.2273999999999994</v>
      </c>
      <c r="AR745" s="2994">
        <v>9.8019999999999996</v>
      </c>
      <c r="AS745" s="2994">
        <v>9.9655000000000005</v>
      </c>
      <c r="AT745" s="2994">
        <v>9.5534999999999997</v>
      </c>
      <c r="AU745" s="2994">
        <v>9.7443000000000008</v>
      </c>
      <c r="AV745" s="2994">
        <v>9.5996000000000006</v>
      </c>
      <c r="AW745" s="2994">
        <v>9.8670000000000009</v>
      </c>
      <c r="AX745" s="2994">
        <v>9.6678999999999995</v>
      </c>
      <c r="AY745" s="2994">
        <v>9.1491000000000007</v>
      </c>
      <c r="AZ745" s="2994">
        <v>10.023</v>
      </c>
      <c r="BA745" s="2994">
        <v>10.215</v>
      </c>
      <c r="BB745" s="2994">
        <v>9.3760999999999992</v>
      </c>
      <c r="BC745" s="2994">
        <v>9.3907000000000007</v>
      </c>
      <c r="BD745" s="3471">
        <v>9.6562000000000001</v>
      </c>
      <c r="BE745" s="3471">
        <v>9.3057999999999996</v>
      </c>
      <c r="BF745" s="3471">
        <v>0</v>
      </c>
    </row>
    <row r="746" spans="1:58">
      <c r="A746" s="1817" t="str">
        <f t="shared" si="23"/>
        <v>Eastern AsiaMangoes, mangosteens, guavas</v>
      </c>
      <c r="B746" s="1818" t="s">
        <v>1328</v>
      </c>
      <c r="C746" s="1818" t="s">
        <v>1358</v>
      </c>
      <c r="D746" s="3463" t="str">
        <f>VLOOKUP(B746,List_Yield!$G$4:$J$14,4,FALSE)</f>
        <v>Asia (Continental)</v>
      </c>
      <c r="E746" s="3463" t="str">
        <f t="shared" si="22"/>
        <v>Asia (Continental)Mangoes, mangosteens, guavas</v>
      </c>
      <c r="F746" s="2994">
        <v>6.4130000000000003</v>
      </c>
      <c r="G746" s="2994">
        <v>5.8311000000000002</v>
      </c>
      <c r="H746" s="2994">
        <v>6.1554000000000002</v>
      </c>
      <c r="I746" s="2994">
        <v>5.7904999999999998</v>
      </c>
      <c r="J746" s="2994">
        <v>6.4115000000000002</v>
      </c>
      <c r="K746" s="2994">
        <v>4.5373999999999999</v>
      </c>
      <c r="L746" s="2994">
        <v>4.8590999999999998</v>
      </c>
      <c r="M746" s="2994">
        <v>3.9022999999999999</v>
      </c>
      <c r="N746" s="2994">
        <v>4.2283999999999997</v>
      </c>
      <c r="O746" s="2994">
        <v>3.9708999999999999</v>
      </c>
      <c r="P746" s="2994">
        <v>4.1200999999999999</v>
      </c>
      <c r="Q746" s="2994">
        <v>5.0194999999999999</v>
      </c>
      <c r="R746" s="2994">
        <v>6.1897000000000002</v>
      </c>
      <c r="S746" s="2994">
        <v>4.7816999999999998</v>
      </c>
      <c r="T746" s="2994">
        <v>4.3155000000000001</v>
      </c>
      <c r="U746" s="2994">
        <v>4.3460999999999999</v>
      </c>
      <c r="V746" s="2994">
        <v>4.1755000000000004</v>
      </c>
      <c r="W746" s="2994">
        <v>4.1204999999999998</v>
      </c>
      <c r="X746" s="2994">
        <v>5.8818000000000001</v>
      </c>
      <c r="Y746" s="2994">
        <v>5.9865000000000004</v>
      </c>
      <c r="Z746" s="2994">
        <v>6.7112999999999996</v>
      </c>
      <c r="AA746" s="2994">
        <v>5.7439</v>
      </c>
      <c r="AB746" s="2994">
        <v>5.4523999999999999</v>
      </c>
      <c r="AC746" s="2994">
        <v>5.5514999999999999</v>
      </c>
      <c r="AD746" s="2994">
        <v>5.7694999999999999</v>
      </c>
      <c r="AE746" s="2994">
        <v>6.1085000000000003</v>
      </c>
      <c r="AF746" s="2994">
        <v>7.0740999999999996</v>
      </c>
      <c r="AG746" s="2994">
        <v>6.8228</v>
      </c>
      <c r="AH746" s="2994">
        <v>6.6615000000000002</v>
      </c>
      <c r="AI746" s="2994">
        <v>8.1240000000000006</v>
      </c>
      <c r="AJ746" s="2994">
        <v>9.26</v>
      </c>
      <c r="AK746" s="2994">
        <v>7.6170999999999998</v>
      </c>
      <c r="AL746" s="2994">
        <v>8.4542000000000002</v>
      </c>
      <c r="AM746" s="2994">
        <v>8.5006000000000004</v>
      </c>
      <c r="AN746" s="2994">
        <v>7.0179</v>
      </c>
      <c r="AO746" s="2994">
        <v>6.4923000000000002</v>
      </c>
      <c r="AP746" s="2994">
        <v>7.6965000000000003</v>
      </c>
      <c r="AQ746" s="2994">
        <v>6.4207999999999998</v>
      </c>
      <c r="AR746" s="2994">
        <v>7.4682000000000004</v>
      </c>
      <c r="AS746" s="2994">
        <v>6.7037000000000004</v>
      </c>
      <c r="AT746" s="2994">
        <v>8.423</v>
      </c>
      <c r="AU746" s="2994">
        <v>8.9169</v>
      </c>
      <c r="AV746" s="2994">
        <v>8.7304999999999993</v>
      </c>
      <c r="AW746" s="2994">
        <v>9.1776</v>
      </c>
      <c r="AX746" s="2994">
        <v>9.8161000000000005</v>
      </c>
      <c r="AY746" s="2994">
        <v>9.3897999999999993</v>
      </c>
      <c r="AZ746" s="2994">
        <v>8.3882999999999992</v>
      </c>
      <c r="BA746" s="2994">
        <v>8.7835000000000001</v>
      </c>
      <c r="BB746" s="2994">
        <v>8.8719000000000001</v>
      </c>
      <c r="BC746" s="2994">
        <v>8.8643000000000001</v>
      </c>
      <c r="BD746" s="3471">
        <v>9.5837000000000003</v>
      </c>
      <c r="BE746" s="3471">
        <v>9.6027000000000005</v>
      </c>
      <c r="BF746" s="3471">
        <v>0</v>
      </c>
    </row>
    <row r="747" spans="1:58">
      <c r="A747" s="1817" t="str">
        <f t="shared" si="23"/>
        <v>Eastern AsiaManila fibre (abaca)</v>
      </c>
      <c r="B747" s="1818" t="s">
        <v>1328</v>
      </c>
      <c r="C747" s="1818" t="s">
        <v>7347</v>
      </c>
      <c r="D747" s="3463" t="str">
        <f>VLOOKUP(B747,List_Yield!$G$4:$J$14,4,FALSE)</f>
        <v>Asia (Continental)</v>
      </c>
      <c r="E747" s="3463" t="str">
        <f t="shared" si="22"/>
        <v>Asia (Continental)Manila fibre (abaca)</v>
      </c>
      <c r="F747" s="2994">
        <v>0</v>
      </c>
      <c r="G747" s="2994">
        <v>0</v>
      </c>
      <c r="H747" s="2994">
        <v>0</v>
      </c>
      <c r="I747" s="2994">
        <v>0</v>
      </c>
      <c r="J747" s="2994">
        <v>0</v>
      </c>
      <c r="K747" s="2994">
        <v>0</v>
      </c>
      <c r="L747" s="2994">
        <v>0</v>
      </c>
      <c r="M747" s="2994">
        <v>0</v>
      </c>
      <c r="N747" s="2994">
        <v>0</v>
      </c>
      <c r="O747" s="2994">
        <v>0</v>
      </c>
      <c r="P747" s="2994">
        <v>0</v>
      </c>
      <c r="Q747" s="2994">
        <v>0</v>
      </c>
      <c r="R747" s="2994">
        <v>0</v>
      </c>
      <c r="S747" s="2994">
        <v>0</v>
      </c>
      <c r="T747" s="2994">
        <v>0</v>
      </c>
      <c r="U747" s="2994">
        <v>0</v>
      </c>
      <c r="V747" s="2994">
        <v>0</v>
      </c>
      <c r="W747" s="2994">
        <v>0</v>
      </c>
      <c r="X747" s="2994">
        <v>0</v>
      </c>
      <c r="Y747" s="2994">
        <v>0</v>
      </c>
      <c r="Z747" s="2994">
        <v>0</v>
      </c>
      <c r="AA747" s="2994">
        <v>0</v>
      </c>
      <c r="AB747" s="2994">
        <v>0</v>
      </c>
      <c r="AC747" s="2994">
        <v>0</v>
      </c>
      <c r="AD747" s="2994">
        <v>0</v>
      </c>
      <c r="AE747" s="2994">
        <v>0</v>
      </c>
      <c r="AF747" s="2994">
        <v>0</v>
      </c>
      <c r="AG747" s="2994">
        <v>0</v>
      </c>
      <c r="AH747" s="2994">
        <v>0</v>
      </c>
      <c r="AI747" s="2994">
        <v>0</v>
      </c>
      <c r="AJ747" s="2994">
        <v>0</v>
      </c>
      <c r="AK747" s="2994">
        <v>0</v>
      </c>
      <c r="AL747" s="2994">
        <v>0</v>
      </c>
      <c r="AM747" s="2994">
        <v>0</v>
      </c>
      <c r="AN747" s="2994">
        <v>0</v>
      </c>
      <c r="AO747" s="2994">
        <v>0</v>
      </c>
      <c r="AP747" s="2994">
        <v>0</v>
      </c>
      <c r="AQ747" s="2994">
        <v>0</v>
      </c>
      <c r="AR747" s="2994">
        <v>0</v>
      </c>
      <c r="AS747" s="2994">
        <v>0</v>
      </c>
      <c r="AT747" s="2994">
        <v>0</v>
      </c>
      <c r="AU747" s="2994">
        <v>0</v>
      </c>
      <c r="AV747" s="2994">
        <v>0</v>
      </c>
      <c r="AW747" s="2994">
        <v>0</v>
      </c>
      <c r="AX747" s="2994">
        <v>0</v>
      </c>
      <c r="AY747" s="2994">
        <v>0</v>
      </c>
      <c r="AZ747" s="2994">
        <v>0</v>
      </c>
      <c r="BA747" s="2994">
        <v>0</v>
      </c>
      <c r="BB747" s="2994">
        <v>0</v>
      </c>
      <c r="BC747" s="2994">
        <v>0</v>
      </c>
      <c r="BD747" s="3471">
        <v>0</v>
      </c>
      <c r="BE747" s="3471">
        <v>0</v>
      </c>
      <c r="BF747" s="3471">
        <v>0</v>
      </c>
    </row>
    <row r="748" spans="1:58">
      <c r="A748" s="1817" t="str">
        <f t="shared" si="23"/>
        <v>Eastern AsiaMaté</v>
      </c>
      <c r="B748" s="1818" t="s">
        <v>1328</v>
      </c>
      <c r="C748" s="1818" t="s">
        <v>2268</v>
      </c>
      <c r="D748" s="3463" t="str">
        <f>VLOOKUP(B748,List_Yield!$G$4:$J$14,4,FALSE)</f>
        <v>Asia (Continental)</v>
      </c>
      <c r="E748" s="3463" t="str">
        <f t="shared" si="22"/>
        <v>Asia (Continental)Maté</v>
      </c>
      <c r="F748" s="2994">
        <v>0</v>
      </c>
      <c r="G748" s="2994">
        <v>0</v>
      </c>
      <c r="H748" s="2994">
        <v>0</v>
      </c>
      <c r="I748" s="2994">
        <v>0</v>
      </c>
      <c r="J748" s="2994">
        <v>0</v>
      </c>
      <c r="K748" s="2994">
        <v>0</v>
      </c>
      <c r="L748" s="2994">
        <v>0</v>
      </c>
      <c r="M748" s="2994">
        <v>0</v>
      </c>
      <c r="N748" s="2994">
        <v>0</v>
      </c>
      <c r="O748" s="2994">
        <v>0</v>
      </c>
      <c r="P748" s="2994">
        <v>0</v>
      </c>
      <c r="Q748" s="2994">
        <v>0</v>
      </c>
      <c r="R748" s="2994">
        <v>0</v>
      </c>
      <c r="S748" s="2994">
        <v>0</v>
      </c>
      <c r="T748" s="2994">
        <v>0</v>
      </c>
      <c r="U748" s="2994">
        <v>0</v>
      </c>
      <c r="V748" s="2994">
        <v>0</v>
      </c>
      <c r="W748" s="2994">
        <v>0</v>
      </c>
      <c r="X748" s="2994">
        <v>0</v>
      </c>
      <c r="Y748" s="2994">
        <v>0</v>
      </c>
      <c r="Z748" s="2994">
        <v>0</v>
      </c>
      <c r="AA748" s="2994">
        <v>0</v>
      </c>
      <c r="AB748" s="2994">
        <v>0</v>
      </c>
      <c r="AC748" s="2994">
        <v>0</v>
      </c>
      <c r="AD748" s="2994">
        <v>0</v>
      </c>
      <c r="AE748" s="2994">
        <v>0</v>
      </c>
      <c r="AF748" s="2994">
        <v>0</v>
      </c>
      <c r="AG748" s="2994">
        <v>0</v>
      </c>
      <c r="AH748" s="2994">
        <v>0</v>
      </c>
      <c r="AI748" s="2994">
        <v>0</v>
      </c>
      <c r="AJ748" s="2994">
        <v>0</v>
      </c>
      <c r="AK748" s="2994">
        <v>0</v>
      </c>
      <c r="AL748" s="2994">
        <v>0</v>
      </c>
      <c r="AM748" s="2994">
        <v>0</v>
      </c>
      <c r="AN748" s="2994">
        <v>0</v>
      </c>
      <c r="AO748" s="2994">
        <v>0</v>
      </c>
      <c r="AP748" s="2994">
        <v>0</v>
      </c>
      <c r="AQ748" s="2994">
        <v>0</v>
      </c>
      <c r="AR748" s="2994">
        <v>0</v>
      </c>
      <c r="AS748" s="2994">
        <v>0</v>
      </c>
      <c r="AT748" s="2994">
        <v>0</v>
      </c>
      <c r="AU748" s="2994">
        <v>0</v>
      </c>
      <c r="AV748" s="2994">
        <v>0</v>
      </c>
      <c r="AW748" s="2994">
        <v>0</v>
      </c>
      <c r="AX748" s="2994">
        <v>0</v>
      </c>
      <c r="AY748" s="2994">
        <v>0</v>
      </c>
      <c r="AZ748" s="2994">
        <v>0</v>
      </c>
      <c r="BA748" s="2994">
        <v>0</v>
      </c>
      <c r="BB748" s="2994">
        <v>0</v>
      </c>
      <c r="BC748" s="2994">
        <v>0</v>
      </c>
      <c r="BD748" s="3471">
        <v>0</v>
      </c>
      <c r="BE748" s="3471">
        <v>0</v>
      </c>
      <c r="BF748" s="3471">
        <v>0</v>
      </c>
    </row>
    <row r="749" spans="1:58">
      <c r="A749" s="1817" t="str">
        <f t="shared" si="23"/>
        <v>Eastern AsiaMelons, other (inc.cantaloupes)</v>
      </c>
      <c r="B749" s="1818" t="s">
        <v>1328</v>
      </c>
      <c r="C749" s="1818" t="s">
        <v>7348</v>
      </c>
      <c r="D749" s="3463" t="str">
        <f>VLOOKUP(B749,List_Yield!$G$4:$J$14,4,FALSE)</f>
        <v>Asia (Continental)</v>
      </c>
      <c r="E749" s="3463" t="str">
        <f t="shared" si="22"/>
        <v>Asia (Continental)Melons, other (inc.cantaloupes)</v>
      </c>
      <c r="F749" s="2994">
        <v>10.743</v>
      </c>
      <c r="G749" s="2994">
        <v>11.4421</v>
      </c>
      <c r="H749" s="2994">
        <v>11.7529</v>
      </c>
      <c r="I749" s="2994">
        <v>11.8276</v>
      </c>
      <c r="J749" s="2994">
        <v>12.3584</v>
      </c>
      <c r="K749" s="2994">
        <v>12.396000000000001</v>
      </c>
      <c r="L749" s="2994">
        <v>12.592499999999999</v>
      </c>
      <c r="M749" s="2994">
        <v>13.657400000000001</v>
      </c>
      <c r="N749" s="2994">
        <v>14.120900000000001</v>
      </c>
      <c r="O749" s="2994">
        <v>14.5116</v>
      </c>
      <c r="P749" s="2994">
        <v>15.058400000000001</v>
      </c>
      <c r="Q749" s="2994">
        <v>14.5411</v>
      </c>
      <c r="R749" s="2994">
        <v>14.672800000000001</v>
      </c>
      <c r="S749" s="2994">
        <v>14.7926</v>
      </c>
      <c r="T749" s="2994">
        <v>14.7235</v>
      </c>
      <c r="U749" s="2994">
        <v>14.757400000000001</v>
      </c>
      <c r="V749" s="2994">
        <v>15.001200000000001</v>
      </c>
      <c r="W749" s="2994">
        <v>14.8612</v>
      </c>
      <c r="X749" s="2994">
        <v>15.196400000000001</v>
      </c>
      <c r="Y749" s="2994">
        <v>15.2395</v>
      </c>
      <c r="Z749" s="2994">
        <v>16.002800000000001</v>
      </c>
      <c r="AA749" s="2994">
        <v>15.9031</v>
      </c>
      <c r="AB749" s="2994">
        <v>15.485099999999999</v>
      </c>
      <c r="AC749" s="2994">
        <v>15.898999999999999</v>
      </c>
      <c r="AD749" s="2994">
        <v>15.8391</v>
      </c>
      <c r="AE749" s="2994">
        <v>15.686400000000001</v>
      </c>
      <c r="AF749" s="2994">
        <v>16.12</v>
      </c>
      <c r="AG749" s="2994">
        <v>16.4803</v>
      </c>
      <c r="AH749" s="2994">
        <v>16.471499999999999</v>
      </c>
      <c r="AI749" s="2994">
        <v>17.7805</v>
      </c>
      <c r="AJ749" s="2994">
        <v>17.263999999999999</v>
      </c>
      <c r="AK749" s="2994">
        <v>18.939399999999999</v>
      </c>
      <c r="AL749" s="2994">
        <v>18.213999999999999</v>
      </c>
      <c r="AM749" s="2994">
        <v>18.512599999999999</v>
      </c>
      <c r="AN749" s="2994">
        <v>20.909300000000002</v>
      </c>
      <c r="AO749" s="2994">
        <v>22.397500000000001</v>
      </c>
      <c r="AP749" s="2994">
        <v>26.0946</v>
      </c>
      <c r="AQ749" s="2994">
        <v>23.33</v>
      </c>
      <c r="AR749" s="2994">
        <v>23.645700000000001</v>
      </c>
      <c r="AS749" s="2994">
        <v>23.084700000000002</v>
      </c>
      <c r="AT749" s="2994">
        <v>25.637599999999999</v>
      </c>
      <c r="AU749" s="2994">
        <v>26.232099999999999</v>
      </c>
      <c r="AV749" s="2994">
        <v>22.2806</v>
      </c>
      <c r="AW749" s="2994">
        <v>24.2058</v>
      </c>
      <c r="AX749" s="2994">
        <v>25.4</v>
      </c>
      <c r="AY749" s="2994">
        <v>26.511800000000001</v>
      </c>
      <c r="AZ749" s="2994">
        <v>26.790600000000001</v>
      </c>
      <c r="BA749" s="2994">
        <v>29.860299999999999</v>
      </c>
      <c r="BB749" s="2994">
        <v>30.160599999999999</v>
      </c>
      <c r="BC749" s="2994">
        <v>29.128900000000002</v>
      </c>
      <c r="BD749" s="3471">
        <v>28.846499999999999</v>
      </c>
      <c r="BE749" s="3471">
        <v>28.745799999999999</v>
      </c>
      <c r="BF749" s="3471">
        <v>0</v>
      </c>
    </row>
    <row r="750" spans="1:58">
      <c r="A750" s="1817" t="str">
        <f t="shared" si="23"/>
        <v>Eastern AsiaMelonseed</v>
      </c>
      <c r="B750" s="1818" t="s">
        <v>1328</v>
      </c>
      <c r="C750" s="1818" t="s">
        <v>7349</v>
      </c>
      <c r="D750" s="3463" t="str">
        <f>VLOOKUP(B750,List_Yield!$G$4:$J$14,4,FALSE)</f>
        <v>Asia (Continental)</v>
      </c>
      <c r="E750" s="3463" t="str">
        <f t="shared" si="22"/>
        <v>Asia (Continental)Melonseed</v>
      </c>
      <c r="F750" s="2994">
        <v>0</v>
      </c>
      <c r="G750" s="2994">
        <v>0</v>
      </c>
      <c r="H750" s="2994">
        <v>0</v>
      </c>
      <c r="I750" s="2994">
        <v>0</v>
      </c>
      <c r="J750" s="2994">
        <v>0</v>
      </c>
      <c r="K750" s="2994">
        <v>0</v>
      </c>
      <c r="L750" s="2994">
        <v>0</v>
      </c>
      <c r="M750" s="2994">
        <v>0</v>
      </c>
      <c r="N750" s="2994">
        <v>0</v>
      </c>
      <c r="O750" s="2994">
        <v>0</v>
      </c>
      <c r="P750" s="2994">
        <v>0</v>
      </c>
      <c r="Q750" s="2994">
        <v>0.53190000000000004</v>
      </c>
      <c r="R750" s="2994">
        <v>0.59</v>
      </c>
      <c r="S750" s="2994">
        <v>0.60209999999999997</v>
      </c>
      <c r="T750" s="2994">
        <v>0.52010000000000001</v>
      </c>
      <c r="U750" s="2994">
        <v>0.67659999999999998</v>
      </c>
      <c r="V750" s="2994">
        <v>0.73360000000000003</v>
      </c>
      <c r="W750" s="2994">
        <v>0.32750000000000001</v>
      </c>
      <c r="X750" s="2994">
        <v>0.53649999999999998</v>
      </c>
      <c r="Y750" s="2994">
        <v>0.38</v>
      </c>
      <c r="Z750" s="2994">
        <v>0.57830000000000004</v>
      </c>
      <c r="AA750" s="2994">
        <v>0.2487</v>
      </c>
      <c r="AB750" s="2994">
        <v>0.27400000000000002</v>
      </c>
      <c r="AC750" s="2994">
        <v>0.29160000000000003</v>
      </c>
      <c r="AD750" s="2994">
        <v>0.54079999999999995</v>
      </c>
      <c r="AE750" s="2994">
        <v>0.4027</v>
      </c>
      <c r="AF750" s="2994">
        <v>1.2045999999999999</v>
      </c>
      <c r="AG750" s="2994">
        <v>1.0908</v>
      </c>
      <c r="AH750" s="2994">
        <v>1.3561000000000001</v>
      </c>
      <c r="AI750" s="2994">
        <v>1.6373</v>
      </c>
      <c r="AJ750" s="2994">
        <v>1.3647</v>
      </c>
      <c r="AK750" s="2994">
        <v>1.3747</v>
      </c>
      <c r="AL750" s="2994">
        <v>1.0328999999999999</v>
      </c>
      <c r="AM750" s="2994">
        <v>0.57689999999999997</v>
      </c>
      <c r="AN750" s="2994">
        <v>0.80879999999999996</v>
      </c>
      <c r="AO750" s="2994">
        <v>1.1621999999999999</v>
      </c>
      <c r="AP750" s="2994">
        <v>0.9153</v>
      </c>
      <c r="AQ750" s="2994">
        <v>1.65</v>
      </c>
      <c r="AR750" s="2994">
        <v>0.625</v>
      </c>
      <c r="AS750" s="2994">
        <v>1.1002000000000001</v>
      </c>
      <c r="AT750" s="2994">
        <v>0.83330000000000004</v>
      </c>
      <c r="AU750" s="2994">
        <v>1.25</v>
      </c>
      <c r="AV750" s="2994">
        <v>1.3191999999999999</v>
      </c>
      <c r="AW750" s="2994">
        <v>1.3976</v>
      </c>
      <c r="AX750" s="2994">
        <v>1.5713999999999999</v>
      </c>
      <c r="AY750" s="2994">
        <v>1.5</v>
      </c>
      <c r="AZ750" s="2994">
        <v>1.5455000000000001</v>
      </c>
      <c r="BA750" s="2994">
        <v>1.4934000000000001</v>
      </c>
      <c r="BB750" s="2994">
        <v>1.7032</v>
      </c>
      <c r="BC750" s="2994">
        <v>1.6957</v>
      </c>
      <c r="BD750" s="3471">
        <v>1.6667000000000001</v>
      </c>
      <c r="BE750" s="3471">
        <v>1.7292000000000001</v>
      </c>
      <c r="BF750" s="3471">
        <v>1.75</v>
      </c>
    </row>
    <row r="751" spans="1:58">
      <c r="A751" s="1817" t="str">
        <f t="shared" si="23"/>
        <v>Eastern AsiaMillet</v>
      </c>
      <c r="B751" s="1818" t="s">
        <v>1328</v>
      </c>
      <c r="C751" s="1818" t="s">
        <v>1359</v>
      </c>
      <c r="D751" s="3463" t="str">
        <f>VLOOKUP(B751,List_Yield!$G$4:$J$14,4,FALSE)</f>
        <v>Asia (Continental)</v>
      </c>
      <c r="E751" s="3463" t="str">
        <f t="shared" si="22"/>
        <v>Asia (Continental)Millet</v>
      </c>
      <c r="F751" s="2994">
        <v>0.96760000000000002</v>
      </c>
      <c r="G751" s="2994">
        <v>0.82110000000000005</v>
      </c>
      <c r="H751" s="2994">
        <v>0.87849999999999995</v>
      </c>
      <c r="I751" s="2994">
        <v>0.97909999999999997</v>
      </c>
      <c r="J751" s="2994">
        <v>0.93959999999999999</v>
      </c>
      <c r="K751" s="2994">
        <v>1.2725</v>
      </c>
      <c r="L751" s="2994">
        <v>1.2707999999999999</v>
      </c>
      <c r="M751" s="2994">
        <v>1.2373000000000001</v>
      </c>
      <c r="N751" s="2994">
        <v>1.224</v>
      </c>
      <c r="O751" s="2994">
        <v>1.4007000000000001</v>
      </c>
      <c r="P751" s="2994">
        <v>1.3487</v>
      </c>
      <c r="Q751" s="2994">
        <v>1.0743</v>
      </c>
      <c r="R751" s="2994">
        <v>1.1620999999999999</v>
      </c>
      <c r="S751" s="2994">
        <v>1.2447999999999999</v>
      </c>
      <c r="T751" s="2994">
        <v>1.2223999999999999</v>
      </c>
      <c r="U751" s="2994">
        <v>1.2297</v>
      </c>
      <c r="V751" s="2994">
        <v>1.3671</v>
      </c>
      <c r="W751" s="2994">
        <v>1.5262</v>
      </c>
      <c r="X751" s="2994">
        <v>1.4671000000000001</v>
      </c>
      <c r="Y751" s="2994">
        <v>1.4008</v>
      </c>
      <c r="Z751" s="2994">
        <v>1.4753000000000001</v>
      </c>
      <c r="AA751" s="2994">
        <v>1.6214999999999999</v>
      </c>
      <c r="AB751" s="2994">
        <v>1.8346</v>
      </c>
      <c r="AC751" s="2994">
        <v>1.841</v>
      </c>
      <c r="AD751" s="2994">
        <v>1.7945</v>
      </c>
      <c r="AE751" s="2994">
        <v>1.5246</v>
      </c>
      <c r="AF751" s="2994">
        <v>1.6880999999999999</v>
      </c>
      <c r="AG751" s="2994">
        <v>1.7581</v>
      </c>
      <c r="AH751" s="2994">
        <v>1.5707</v>
      </c>
      <c r="AI751" s="2994">
        <v>1.9875</v>
      </c>
      <c r="AJ751" s="2994">
        <v>1.6269</v>
      </c>
      <c r="AK751" s="2994">
        <v>1.754</v>
      </c>
      <c r="AL751" s="2994">
        <v>2.1541999999999999</v>
      </c>
      <c r="AM751" s="2994">
        <v>2.1848000000000001</v>
      </c>
      <c r="AN751" s="2994">
        <v>1.9626999999999999</v>
      </c>
      <c r="AO751" s="2994">
        <v>2.3306</v>
      </c>
      <c r="AP751" s="2994">
        <v>1.59</v>
      </c>
      <c r="AQ751" s="2994">
        <v>2.1755</v>
      </c>
      <c r="AR751" s="2994">
        <v>1.7215</v>
      </c>
      <c r="AS751" s="2994">
        <v>1.6729000000000001</v>
      </c>
      <c r="AT751" s="2994">
        <v>1.6794</v>
      </c>
      <c r="AU751" s="2994">
        <v>1.8573</v>
      </c>
      <c r="AV751" s="2994">
        <v>1.8203</v>
      </c>
      <c r="AW751" s="2994">
        <v>1.9204000000000001</v>
      </c>
      <c r="AX751" s="2994">
        <v>2.0270999999999999</v>
      </c>
      <c r="AY751" s="2994">
        <v>2.0388999999999999</v>
      </c>
      <c r="AZ751" s="2994">
        <v>1.7393000000000001</v>
      </c>
      <c r="BA751" s="2994">
        <v>1.5350999999999999</v>
      </c>
      <c r="BB751" s="2994">
        <v>1.512</v>
      </c>
      <c r="BC751" s="2994">
        <v>1.8755999999999999</v>
      </c>
      <c r="BD751" s="3471">
        <v>2.0236999999999998</v>
      </c>
      <c r="BE751" s="3471">
        <v>2.2206999999999999</v>
      </c>
      <c r="BF751" s="3471">
        <v>2.1892999999999998</v>
      </c>
    </row>
    <row r="752" spans="1:58">
      <c r="A752" s="1817" t="str">
        <f t="shared" si="23"/>
        <v>Eastern AsiaMushrooms and truffles</v>
      </c>
      <c r="B752" s="1818" t="s">
        <v>1328</v>
      </c>
      <c r="C752" s="1818" t="s">
        <v>7350</v>
      </c>
      <c r="D752" s="3463" t="str">
        <f>VLOOKUP(B752,List_Yield!$G$4:$J$14,4,FALSE)</f>
        <v>Asia (Continental)</v>
      </c>
      <c r="E752" s="3463" t="str">
        <f t="shared" si="22"/>
        <v>Asia (Continental)Mushrooms and truffles</v>
      </c>
      <c r="F752" s="2994">
        <v>117.7296</v>
      </c>
      <c r="G752" s="2994">
        <v>113.2413</v>
      </c>
      <c r="H752" s="2994">
        <v>106.9592</v>
      </c>
      <c r="I752" s="2994">
        <v>111.85639999999999</v>
      </c>
      <c r="J752" s="2994">
        <v>106.7016</v>
      </c>
      <c r="K752" s="2994">
        <v>103.1022</v>
      </c>
      <c r="L752" s="2994">
        <v>107.2573</v>
      </c>
      <c r="M752" s="2994">
        <v>108.33620000000001</v>
      </c>
      <c r="N752" s="2994">
        <v>119.366</v>
      </c>
      <c r="O752" s="2994">
        <v>122.0376</v>
      </c>
      <c r="P752" s="2994">
        <v>117.64870000000001</v>
      </c>
      <c r="Q752" s="2994">
        <v>133.9648</v>
      </c>
      <c r="R752" s="2994">
        <v>138.90969999999999</v>
      </c>
      <c r="S752" s="2994">
        <v>136.6669</v>
      </c>
      <c r="T752" s="2994">
        <v>133.61359999999999</v>
      </c>
      <c r="U752" s="2994">
        <v>135.6191</v>
      </c>
      <c r="V752" s="2994">
        <v>140.74639999999999</v>
      </c>
      <c r="W752" s="2994">
        <v>138.4102</v>
      </c>
      <c r="X752" s="2994">
        <v>134.5635</v>
      </c>
      <c r="Y752" s="2994">
        <v>137.26669999999999</v>
      </c>
      <c r="Z752" s="2994">
        <v>148.6326</v>
      </c>
      <c r="AA752" s="2994">
        <v>153.70750000000001</v>
      </c>
      <c r="AB752" s="2994">
        <v>160.56819999999999</v>
      </c>
      <c r="AC752" s="2994">
        <v>165.73159999999999</v>
      </c>
      <c r="AD752" s="2994">
        <v>173.04560000000001</v>
      </c>
      <c r="AE752" s="2994">
        <v>178.67160000000001</v>
      </c>
      <c r="AF752" s="2994">
        <v>187.0018</v>
      </c>
      <c r="AG752" s="2994">
        <v>189.09460000000001</v>
      </c>
      <c r="AH752" s="2994">
        <v>169.71610000000001</v>
      </c>
      <c r="AI752" s="2994">
        <v>179.9444</v>
      </c>
      <c r="AJ752" s="2994">
        <v>189.4759</v>
      </c>
      <c r="AK752" s="2994">
        <v>189.47499999999999</v>
      </c>
      <c r="AL752" s="2994">
        <v>188.20840000000001</v>
      </c>
      <c r="AM752" s="2994">
        <v>193.61709999999999</v>
      </c>
      <c r="AN752" s="2994">
        <v>182.20439999999999</v>
      </c>
      <c r="AO752" s="2994">
        <v>179.92230000000001</v>
      </c>
      <c r="AP752" s="2994">
        <v>197.51939999999999</v>
      </c>
      <c r="AQ752" s="2994">
        <v>260.07940000000002</v>
      </c>
      <c r="AR752" s="2994">
        <v>278.57380000000001</v>
      </c>
      <c r="AS752" s="2994">
        <v>287.68360000000001</v>
      </c>
      <c r="AT752" s="2994">
        <v>300.76589999999999</v>
      </c>
      <c r="AU752" s="2994">
        <v>263.35660000000001</v>
      </c>
      <c r="AV752" s="2994">
        <v>254.16900000000001</v>
      </c>
      <c r="AW752" s="2994">
        <v>242.9485</v>
      </c>
      <c r="AX752" s="2994">
        <v>230.6823</v>
      </c>
      <c r="AY752" s="2994">
        <v>232.96870000000001</v>
      </c>
      <c r="AZ752" s="2994">
        <v>249.44669999999999</v>
      </c>
      <c r="BA752" s="2994">
        <v>279.50240000000002</v>
      </c>
      <c r="BB752" s="2994">
        <v>262.35000000000002</v>
      </c>
      <c r="BC752" s="2994">
        <v>262.19060000000002</v>
      </c>
      <c r="BD752" s="3471">
        <v>261.52789999999999</v>
      </c>
      <c r="BE752" s="3471">
        <v>259.94990000000001</v>
      </c>
      <c r="BF752" s="3471">
        <v>0</v>
      </c>
    </row>
    <row r="753" spans="1:58">
      <c r="A753" s="1817" t="str">
        <f t="shared" si="23"/>
        <v>Eastern AsiaMustard seed</v>
      </c>
      <c r="B753" s="1818" t="s">
        <v>1328</v>
      </c>
      <c r="C753" s="1818" t="s">
        <v>7351</v>
      </c>
      <c r="D753" s="3463" t="str">
        <f>VLOOKUP(B753,List_Yield!$G$4:$J$14,4,FALSE)</f>
        <v>Asia (Continental)</v>
      </c>
      <c r="E753" s="3463" t="str">
        <f t="shared" si="22"/>
        <v>Asia (Continental)Mustard seed</v>
      </c>
      <c r="F753" s="2994">
        <v>0</v>
      </c>
      <c r="G753" s="2994">
        <v>0</v>
      </c>
      <c r="H753" s="2994">
        <v>0</v>
      </c>
      <c r="I753" s="2994">
        <v>0</v>
      </c>
      <c r="J753" s="2994">
        <v>0</v>
      </c>
      <c r="K753" s="2994">
        <v>0</v>
      </c>
      <c r="L753" s="2994">
        <v>0</v>
      </c>
      <c r="M753" s="2994">
        <v>0</v>
      </c>
      <c r="N753" s="2994">
        <v>0</v>
      </c>
      <c r="O753" s="2994">
        <v>0</v>
      </c>
      <c r="P753" s="2994">
        <v>0</v>
      </c>
      <c r="Q753" s="2994">
        <v>0</v>
      </c>
      <c r="R753" s="2994">
        <v>0</v>
      </c>
      <c r="S753" s="2994">
        <v>0</v>
      </c>
      <c r="T753" s="2994">
        <v>0</v>
      </c>
      <c r="U753" s="2994">
        <v>0</v>
      </c>
      <c r="V753" s="2994">
        <v>0</v>
      </c>
      <c r="W753" s="2994">
        <v>0</v>
      </c>
      <c r="X753" s="2994">
        <v>0</v>
      </c>
      <c r="Y753" s="2994">
        <v>0</v>
      </c>
      <c r="Z753" s="2994">
        <v>0</v>
      </c>
      <c r="AA753" s="2994">
        <v>0</v>
      </c>
      <c r="AB753" s="2994">
        <v>0</v>
      </c>
      <c r="AC753" s="2994">
        <v>0</v>
      </c>
      <c r="AD753" s="2994">
        <v>0</v>
      </c>
      <c r="AE753" s="2994">
        <v>0</v>
      </c>
      <c r="AF753" s="2994">
        <v>0</v>
      </c>
      <c r="AG753" s="2994">
        <v>0.5</v>
      </c>
      <c r="AH753" s="2994">
        <v>0.44440000000000002</v>
      </c>
      <c r="AI753" s="2994">
        <v>0.47060000000000002</v>
      </c>
      <c r="AJ753" s="2994">
        <v>0.5</v>
      </c>
      <c r="AK753" s="2994">
        <v>0.47060000000000002</v>
      </c>
      <c r="AL753" s="2994">
        <v>0.57140000000000002</v>
      </c>
      <c r="AM753" s="2994">
        <v>0.33329999999999999</v>
      </c>
      <c r="AN753" s="2994">
        <v>0.66669999999999996</v>
      </c>
      <c r="AO753" s="2994">
        <v>0.8</v>
      </c>
      <c r="AP753" s="2994">
        <v>0.4667</v>
      </c>
      <c r="AQ753" s="2994">
        <v>0.60609999999999997</v>
      </c>
      <c r="AR753" s="2994">
        <v>0.5</v>
      </c>
      <c r="AS753" s="2994">
        <v>0.625</v>
      </c>
      <c r="AT753" s="2994">
        <v>0.43330000000000002</v>
      </c>
      <c r="AU753" s="2994">
        <v>0.52</v>
      </c>
      <c r="AV753" s="2994">
        <v>0.56540000000000001</v>
      </c>
      <c r="AW753" s="2994">
        <v>0.67779999999999996</v>
      </c>
      <c r="AX753" s="2994">
        <v>0.8</v>
      </c>
      <c r="AY753" s="2994">
        <v>0.78949999999999998</v>
      </c>
      <c r="AZ753" s="2994">
        <v>0.75</v>
      </c>
      <c r="BA753" s="2994">
        <v>0.73909999999999998</v>
      </c>
      <c r="BB753" s="2994">
        <v>0.75</v>
      </c>
      <c r="BC753" s="2994">
        <v>0.73329999999999995</v>
      </c>
      <c r="BD753" s="3471">
        <v>0.75</v>
      </c>
      <c r="BE753" s="3471">
        <v>0.68089999999999995</v>
      </c>
      <c r="BF753" s="3471">
        <v>0.70830000000000004</v>
      </c>
    </row>
    <row r="754" spans="1:58">
      <c r="A754" s="1817" t="str">
        <f t="shared" si="23"/>
        <v>Eastern AsiaNutmeg, mace and cardamoms</v>
      </c>
      <c r="B754" s="1818" t="s">
        <v>1328</v>
      </c>
      <c r="C754" s="1818" t="s">
        <v>7352</v>
      </c>
      <c r="D754" s="3463" t="str">
        <f>VLOOKUP(B754,List_Yield!$G$4:$J$14,4,FALSE)</f>
        <v>Asia (Continental)</v>
      </c>
      <c r="E754" s="3463" t="str">
        <f t="shared" si="22"/>
        <v>Asia (Continental)Nutmeg, mace and cardamoms</v>
      </c>
      <c r="F754" s="2994">
        <v>0</v>
      </c>
      <c r="G754" s="2994">
        <v>0</v>
      </c>
      <c r="H754" s="2994">
        <v>0</v>
      </c>
      <c r="I754" s="2994">
        <v>0</v>
      </c>
      <c r="J754" s="2994">
        <v>0</v>
      </c>
      <c r="K754" s="2994">
        <v>0</v>
      </c>
      <c r="L754" s="2994">
        <v>0</v>
      </c>
      <c r="M754" s="2994">
        <v>0</v>
      </c>
      <c r="N754" s="2994">
        <v>0</v>
      </c>
      <c r="O754" s="2994">
        <v>0</v>
      </c>
      <c r="P754" s="2994">
        <v>0</v>
      </c>
      <c r="Q754" s="2994">
        <v>0</v>
      </c>
      <c r="R754" s="2994">
        <v>0</v>
      </c>
      <c r="S754" s="2994">
        <v>0</v>
      </c>
      <c r="T754" s="2994">
        <v>0</v>
      </c>
      <c r="U754" s="2994">
        <v>0</v>
      </c>
      <c r="V754" s="2994">
        <v>0</v>
      </c>
      <c r="W754" s="2994">
        <v>0</v>
      </c>
      <c r="X754" s="2994">
        <v>0</v>
      </c>
      <c r="Y754" s="2994">
        <v>0</v>
      </c>
      <c r="Z754" s="2994">
        <v>0</v>
      </c>
      <c r="AA754" s="2994">
        <v>0</v>
      </c>
      <c r="AB754" s="2994">
        <v>0</v>
      </c>
      <c r="AC754" s="2994">
        <v>0</v>
      </c>
      <c r="AD754" s="2994">
        <v>0</v>
      </c>
      <c r="AE754" s="2994">
        <v>0</v>
      </c>
      <c r="AF754" s="2994">
        <v>0</v>
      </c>
      <c r="AG754" s="2994">
        <v>0</v>
      </c>
      <c r="AH754" s="2994">
        <v>0</v>
      </c>
      <c r="AI754" s="2994">
        <v>0</v>
      </c>
      <c r="AJ754" s="2994">
        <v>0</v>
      </c>
      <c r="AK754" s="2994">
        <v>0</v>
      </c>
      <c r="AL754" s="2994">
        <v>0</v>
      </c>
      <c r="AM754" s="2994">
        <v>0</v>
      </c>
      <c r="AN754" s="2994">
        <v>0</v>
      </c>
      <c r="AO754" s="2994">
        <v>0</v>
      </c>
      <c r="AP754" s="2994">
        <v>0</v>
      </c>
      <c r="AQ754" s="2994">
        <v>0</v>
      </c>
      <c r="AR754" s="2994">
        <v>0</v>
      </c>
      <c r="AS754" s="2994">
        <v>0</v>
      </c>
      <c r="AT754" s="2994">
        <v>0</v>
      </c>
      <c r="AU754" s="2994">
        <v>0</v>
      </c>
      <c r="AV754" s="2994">
        <v>0</v>
      </c>
      <c r="AW754" s="2994">
        <v>0</v>
      </c>
      <c r="AX754" s="2994">
        <v>0</v>
      </c>
      <c r="AY754" s="2994">
        <v>0</v>
      </c>
      <c r="AZ754" s="2994">
        <v>0</v>
      </c>
      <c r="BA754" s="2994">
        <v>0</v>
      </c>
      <c r="BB754" s="2994">
        <v>0</v>
      </c>
      <c r="BC754" s="2994">
        <v>0</v>
      </c>
      <c r="BD754" s="3471">
        <v>0</v>
      </c>
      <c r="BE754" s="3471">
        <v>0</v>
      </c>
      <c r="BF754" s="3471">
        <v>0</v>
      </c>
    </row>
    <row r="755" spans="1:58">
      <c r="A755" s="1817" t="str">
        <f t="shared" si="23"/>
        <v>Eastern AsiaNuts, nes</v>
      </c>
      <c r="B755" s="1818" t="s">
        <v>1328</v>
      </c>
      <c r="C755" s="1818" t="s">
        <v>7353</v>
      </c>
      <c r="D755" s="3463" t="str">
        <f>VLOOKUP(B755,List_Yield!$G$4:$J$14,4,FALSE)</f>
        <v>Asia (Continental)</v>
      </c>
      <c r="E755" s="3463" t="str">
        <f t="shared" si="22"/>
        <v>Asia (Continental)Nuts, nes</v>
      </c>
      <c r="F755" s="2994">
        <v>5.2667000000000002</v>
      </c>
      <c r="G755" s="2994">
        <v>6</v>
      </c>
      <c r="H755" s="2994">
        <v>5.8823999999999996</v>
      </c>
      <c r="I755" s="2994">
        <v>6.1764999999999999</v>
      </c>
      <c r="J755" s="2994">
        <v>6.0526</v>
      </c>
      <c r="K755" s="2994">
        <v>6.3684000000000003</v>
      </c>
      <c r="L755" s="2994">
        <v>6.3158000000000003</v>
      </c>
      <c r="M755" s="2994">
        <v>6.4211</v>
      </c>
      <c r="N755" s="2994">
        <v>6.6841999999999997</v>
      </c>
      <c r="O755" s="2994">
        <v>7</v>
      </c>
      <c r="P755" s="2994">
        <v>5.7916999999999996</v>
      </c>
      <c r="Q755" s="2994">
        <v>6.1666999999999996</v>
      </c>
      <c r="R755" s="2994">
        <v>5.3102999999999998</v>
      </c>
      <c r="S755" s="2994">
        <v>6.4166999999999996</v>
      </c>
      <c r="T755" s="2994">
        <v>7.2272999999999996</v>
      </c>
      <c r="U755" s="2994">
        <v>7.4545000000000003</v>
      </c>
      <c r="V755" s="2994">
        <v>7.7272999999999996</v>
      </c>
      <c r="W755" s="2994">
        <v>8.8947000000000003</v>
      </c>
      <c r="X755" s="2994">
        <v>9.2104999999999997</v>
      </c>
      <c r="Y755" s="2994">
        <v>9.6842000000000006</v>
      </c>
      <c r="Z755" s="2994">
        <v>2.1778</v>
      </c>
      <c r="AA755" s="2994">
        <v>8.125</v>
      </c>
      <c r="AB755" s="2994">
        <v>7.2142999999999997</v>
      </c>
      <c r="AC755" s="2994">
        <v>5.95</v>
      </c>
      <c r="AD755" s="2994">
        <v>1.5610999999999999</v>
      </c>
      <c r="AE755" s="2994">
        <v>1.6053999999999999</v>
      </c>
      <c r="AF755" s="2994">
        <v>1.6917</v>
      </c>
      <c r="AG755" s="2994">
        <v>1.7617</v>
      </c>
      <c r="AH755" s="2994">
        <v>1.8415999999999999</v>
      </c>
      <c r="AI755" s="2994">
        <v>1.8998999999999999</v>
      </c>
      <c r="AJ755" s="2994">
        <v>1.8677999999999999</v>
      </c>
      <c r="AK755" s="2994">
        <v>2.0196999999999998</v>
      </c>
      <c r="AL755" s="2994">
        <v>1.8673999999999999</v>
      </c>
      <c r="AM755" s="2994">
        <v>2.0583999999999998</v>
      </c>
      <c r="AN755" s="2994">
        <v>2.1901999999999999</v>
      </c>
      <c r="AO755" s="2994">
        <v>2.2309999999999999</v>
      </c>
      <c r="AP755" s="2994">
        <v>2.194</v>
      </c>
      <c r="AQ755" s="2994">
        <v>2.1454</v>
      </c>
      <c r="AR755" s="2994">
        <v>2.5272999999999999</v>
      </c>
      <c r="AS755" s="2994">
        <v>2.8986000000000001</v>
      </c>
      <c r="AT755" s="2994">
        <v>2.9125999999999999</v>
      </c>
      <c r="AU755" s="2994">
        <v>2.5023</v>
      </c>
      <c r="AV755" s="2994">
        <v>2.7402000000000002</v>
      </c>
      <c r="AW755" s="2994">
        <v>2.9942000000000002</v>
      </c>
      <c r="AX755" s="2994">
        <v>3.1718000000000002</v>
      </c>
      <c r="AY755" s="2994">
        <v>3.4611999999999998</v>
      </c>
      <c r="AZ755" s="2994">
        <v>3.6615000000000002</v>
      </c>
      <c r="BA755" s="2994">
        <v>3.5497000000000001</v>
      </c>
      <c r="BB755" s="2994">
        <v>3.2715999999999998</v>
      </c>
      <c r="BC755" s="2994">
        <v>3.51</v>
      </c>
      <c r="BD755" s="3471">
        <v>4.4443999999999999</v>
      </c>
      <c r="BE755" s="3471">
        <v>4.5072000000000001</v>
      </c>
      <c r="BF755" s="3471">
        <v>0</v>
      </c>
    </row>
    <row r="756" spans="1:58">
      <c r="A756" s="1817" t="str">
        <f t="shared" si="23"/>
        <v>Eastern AsiaOats</v>
      </c>
      <c r="B756" s="1818" t="s">
        <v>1328</v>
      </c>
      <c r="C756" s="1818" t="s">
        <v>1323</v>
      </c>
      <c r="D756" s="3463" t="str">
        <f>VLOOKUP(B756,List_Yield!$G$4:$J$14,4,FALSE)</f>
        <v>Asia (Continental)</v>
      </c>
      <c r="E756" s="3463" t="str">
        <f t="shared" si="22"/>
        <v>Asia (Continental)Oats</v>
      </c>
      <c r="F756" s="2994">
        <v>1.0052000000000001</v>
      </c>
      <c r="G756" s="2994">
        <v>0.77949999999999997</v>
      </c>
      <c r="H756" s="2994">
        <v>1.0006999999999999</v>
      </c>
      <c r="I756" s="2994">
        <v>1.0604</v>
      </c>
      <c r="J756" s="2994">
        <v>1.0687</v>
      </c>
      <c r="K756" s="2994">
        <v>0.97689999999999999</v>
      </c>
      <c r="L756" s="2994">
        <v>1.0668</v>
      </c>
      <c r="M756" s="2994">
        <v>1.0615000000000001</v>
      </c>
      <c r="N756" s="2994">
        <v>0.85540000000000005</v>
      </c>
      <c r="O756" s="2994">
        <v>0.99560000000000004</v>
      </c>
      <c r="P756" s="2994">
        <v>0.94950000000000001</v>
      </c>
      <c r="Q756" s="2994">
        <v>0.85899999999999999</v>
      </c>
      <c r="R756" s="2994">
        <v>0.88239999999999996</v>
      </c>
      <c r="S756" s="2994">
        <v>1.137</v>
      </c>
      <c r="T756" s="2994">
        <v>1.3004</v>
      </c>
      <c r="U756" s="2994">
        <v>1.4906999999999999</v>
      </c>
      <c r="V756" s="2994">
        <v>1.2079</v>
      </c>
      <c r="W756" s="2994">
        <v>1.3444</v>
      </c>
      <c r="X756" s="2994">
        <v>1.5708</v>
      </c>
      <c r="Y756" s="2994">
        <v>1.4804999999999999</v>
      </c>
      <c r="Z756" s="2994">
        <v>1.5692999999999999</v>
      </c>
      <c r="AA756" s="2994">
        <v>1.595</v>
      </c>
      <c r="AB756" s="2994">
        <v>1.6205000000000001</v>
      </c>
      <c r="AC756" s="2994">
        <v>1.7737000000000001</v>
      </c>
      <c r="AD756" s="2994">
        <v>1.7543</v>
      </c>
      <c r="AE756" s="2994">
        <v>1.4071</v>
      </c>
      <c r="AF756" s="2994">
        <v>1.3120000000000001</v>
      </c>
      <c r="AG756" s="2994">
        <v>1.3512999999999999</v>
      </c>
      <c r="AH756" s="2994">
        <v>1.4167000000000001</v>
      </c>
      <c r="AI756" s="2994">
        <v>1.7685999999999999</v>
      </c>
      <c r="AJ756" s="2994">
        <v>1.4294</v>
      </c>
      <c r="AK756" s="2994">
        <v>1.8772</v>
      </c>
      <c r="AL756" s="2994">
        <v>1.7506999999999999</v>
      </c>
      <c r="AM756" s="2994">
        <v>2.3742000000000001</v>
      </c>
      <c r="AN756" s="2994">
        <v>1.9916</v>
      </c>
      <c r="AO756" s="2994">
        <v>2.3828</v>
      </c>
      <c r="AP756" s="2994">
        <v>2.5767000000000002</v>
      </c>
      <c r="AQ756" s="2994">
        <v>2.5617999999999999</v>
      </c>
      <c r="AR756" s="2994">
        <v>2.3885000000000001</v>
      </c>
      <c r="AS756" s="2994">
        <v>2.0869</v>
      </c>
      <c r="AT756" s="2994">
        <v>2.2216999999999998</v>
      </c>
      <c r="AU756" s="2994">
        <v>1.7718</v>
      </c>
      <c r="AV756" s="2994">
        <v>2.4661</v>
      </c>
      <c r="AW756" s="2994">
        <v>2.1871</v>
      </c>
      <c r="AX756" s="2994">
        <v>3.0712999999999999</v>
      </c>
      <c r="AY756" s="2994">
        <v>1.4454</v>
      </c>
      <c r="AZ756" s="2994">
        <v>2.3424999999999998</v>
      </c>
      <c r="BA756" s="2994">
        <v>2.556</v>
      </c>
      <c r="BB756" s="2994">
        <v>2.8315999999999999</v>
      </c>
      <c r="BC756" s="2994">
        <v>2.8565</v>
      </c>
      <c r="BD756" s="3471">
        <v>2.7879999999999998</v>
      </c>
      <c r="BE756" s="3471">
        <v>2.9171999999999998</v>
      </c>
      <c r="BF756" s="3471">
        <v>2.9437000000000002</v>
      </c>
    </row>
    <row r="757" spans="1:58">
      <c r="A757" s="1817" t="str">
        <f t="shared" si="23"/>
        <v>Eastern AsiaOil, palm fruit</v>
      </c>
      <c r="B757" s="1818" t="s">
        <v>1328</v>
      </c>
      <c r="C757" s="1818" t="s">
        <v>7354</v>
      </c>
      <c r="D757" s="3463" t="str">
        <f>VLOOKUP(B757,List_Yield!$G$4:$J$14,4,FALSE)</f>
        <v>Asia (Continental)</v>
      </c>
      <c r="E757" s="3463" t="str">
        <f t="shared" si="22"/>
        <v>Asia (Continental)Oil, palm fruit</v>
      </c>
      <c r="F757" s="2994">
        <v>0</v>
      </c>
      <c r="G757" s="2994">
        <v>0</v>
      </c>
      <c r="H757" s="2994">
        <v>0</v>
      </c>
      <c r="I757" s="2994">
        <v>0</v>
      </c>
      <c r="J757" s="2994">
        <v>0</v>
      </c>
      <c r="K757" s="2994">
        <v>0</v>
      </c>
      <c r="L757" s="2994">
        <v>0</v>
      </c>
      <c r="M757" s="2994">
        <v>0</v>
      </c>
      <c r="N757" s="2994">
        <v>0</v>
      </c>
      <c r="O757" s="2994">
        <v>0</v>
      </c>
      <c r="P757" s="2994">
        <v>0</v>
      </c>
      <c r="Q757" s="2994">
        <v>0</v>
      </c>
      <c r="R757" s="2994">
        <v>0</v>
      </c>
      <c r="S757" s="2994">
        <v>0</v>
      </c>
      <c r="T757" s="2994">
        <v>0</v>
      </c>
      <c r="U757" s="2994">
        <v>0</v>
      </c>
      <c r="V757" s="2994">
        <v>0</v>
      </c>
      <c r="W757" s="2994">
        <v>0</v>
      </c>
      <c r="X757" s="2994">
        <v>0</v>
      </c>
      <c r="Y757" s="2994">
        <v>0</v>
      </c>
      <c r="Z757" s="2994">
        <v>0</v>
      </c>
      <c r="AA757" s="2994">
        <v>0</v>
      </c>
      <c r="AB757" s="2994">
        <v>0</v>
      </c>
      <c r="AC757" s="2994">
        <v>0</v>
      </c>
      <c r="AD757" s="2994">
        <v>13.0909</v>
      </c>
      <c r="AE757" s="2994">
        <v>13.584899999999999</v>
      </c>
      <c r="AF757" s="2994">
        <v>13.267300000000001</v>
      </c>
      <c r="AG757" s="2994">
        <v>12.673299999999999</v>
      </c>
      <c r="AH757" s="2994">
        <v>12.9787</v>
      </c>
      <c r="AI757" s="2994">
        <v>12.3256</v>
      </c>
      <c r="AJ757" s="2994">
        <v>13.6585</v>
      </c>
      <c r="AK757" s="2994">
        <v>14.0244</v>
      </c>
      <c r="AL757" s="2994">
        <v>14.6341</v>
      </c>
      <c r="AM757" s="2994">
        <v>14.6341</v>
      </c>
      <c r="AN757" s="2994">
        <v>14.6341</v>
      </c>
      <c r="AO757" s="2994">
        <v>14.4762</v>
      </c>
      <c r="AP757" s="2994">
        <v>14.642899999999999</v>
      </c>
      <c r="AQ757" s="2994">
        <v>14.4651</v>
      </c>
      <c r="AR757" s="2994">
        <v>14.651199999999999</v>
      </c>
      <c r="AS757" s="2994">
        <v>14.222200000000001</v>
      </c>
      <c r="AT757" s="2994">
        <v>13.829800000000001</v>
      </c>
      <c r="AU757" s="2994">
        <v>14.0426</v>
      </c>
      <c r="AV757" s="2994">
        <v>14.2553</v>
      </c>
      <c r="AW757" s="2994">
        <v>14.361700000000001</v>
      </c>
      <c r="AX757" s="2994">
        <v>14.361700000000001</v>
      </c>
      <c r="AY757" s="2994">
        <v>14.4444</v>
      </c>
      <c r="AZ757" s="2994">
        <v>13.854200000000001</v>
      </c>
      <c r="BA757" s="2994">
        <v>13.916700000000001</v>
      </c>
      <c r="BB757" s="2994">
        <v>13.4</v>
      </c>
      <c r="BC757" s="2994">
        <v>14.0426</v>
      </c>
      <c r="BD757" s="3471">
        <v>13.541700000000001</v>
      </c>
      <c r="BE757" s="3471">
        <v>13.4694</v>
      </c>
      <c r="BF757" s="3471">
        <v>13.4</v>
      </c>
    </row>
    <row r="758" spans="1:58">
      <c r="A758" s="1817" t="str">
        <f t="shared" si="23"/>
        <v>Eastern AsiaOilseeds nes</v>
      </c>
      <c r="B758" s="1818" t="s">
        <v>1328</v>
      </c>
      <c r="C758" s="1818" t="s">
        <v>7355</v>
      </c>
      <c r="D758" s="3463" t="str">
        <f>VLOOKUP(B758,List_Yield!$G$4:$J$14,4,FALSE)</f>
        <v>Asia (Continental)</v>
      </c>
      <c r="E758" s="3463" t="str">
        <f t="shared" si="22"/>
        <v>Asia (Continental)Oilseeds nes</v>
      </c>
      <c r="F758" s="2994">
        <v>46.9968</v>
      </c>
      <c r="G758" s="2994">
        <v>34.0991</v>
      </c>
      <c r="H758" s="2994">
        <v>45.051600000000001</v>
      </c>
      <c r="I758" s="2994">
        <v>32.908299999999997</v>
      </c>
      <c r="J758" s="2994">
        <v>45.5289</v>
      </c>
      <c r="K758" s="2994">
        <v>40.020699999999998</v>
      </c>
      <c r="L758" s="2994">
        <v>30.3691</v>
      </c>
      <c r="M758" s="2994">
        <v>40.9193</v>
      </c>
      <c r="N758" s="2994">
        <v>39.381900000000002</v>
      </c>
      <c r="O758" s="2994">
        <v>34.164299999999997</v>
      </c>
      <c r="P758" s="2994">
        <v>44.104500000000002</v>
      </c>
      <c r="Q758" s="2994">
        <v>50.218800000000002</v>
      </c>
      <c r="R758" s="2994">
        <v>44.530500000000004</v>
      </c>
      <c r="S758" s="2994">
        <v>44.781100000000002</v>
      </c>
      <c r="T758" s="2994">
        <v>32.002200000000002</v>
      </c>
      <c r="U758" s="2994">
        <v>14.811299999999999</v>
      </c>
      <c r="V758" s="2994">
        <v>27.102699999999999</v>
      </c>
      <c r="W758" s="2994">
        <v>33.004300000000001</v>
      </c>
      <c r="X758" s="2994">
        <v>30.367000000000001</v>
      </c>
      <c r="Y758" s="2994">
        <v>26.136399999999998</v>
      </c>
      <c r="Z758" s="2994">
        <v>31.771899999999999</v>
      </c>
      <c r="AA758" s="2994">
        <v>24.166499999999999</v>
      </c>
      <c r="AB758" s="2994">
        <v>20.422799999999999</v>
      </c>
      <c r="AC758" s="2994">
        <v>23.566500000000001</v>
      </c>
      <c r="AD758" s="2994">
        <v>24.736000000000001</v>
      </c>
      <c r="AE758" s="2994">
        <v>15.554399999999999</v>
      </c>
      <c r="AF758" s="2994">
        <v>15.319599999999999</v>
      </c>
      <c r="AG758" s="2994">
        <v>14.4015</v>
      </c>
      <c r="AH758" s="2994">
        <v>18.4498</v>
      </c>
      <c r="AI758" s="2994">
        <v>15.742599999999999</v>
      </c>
      <c r="AJ758" s="2994">
        <v>17.061299999999999</v>
      </c>
      <c r="AK758" s="2994">
        <v>14.183199999999999</v>
      </c>
      <c r="AL758" s="2994">
        <v>13.494199999999999</v>
      </c>
      <c r="AM758" s="2994">
        <v>21.5717</v>
      </c>
      <c r="AN758" s="2994">
        <v>19.334099999999999</v>
      </c>
      <c r="AO758" s="2994">
        <v>23.8203</v>
      </c>
      <c r="AP758" s="2994">
        <v>28.2699</v>
      </c>
      <c r="AQ758" s="2994">
        <v>22.129100000000001</v>
      </c>
      <c r="AR758" s="2994">
        <v>28.434000000000001</v>
      </c>
      <c r="AS758" s="2994">
        <v>29.0962</v>
      </c>
      <c r="AT758" s="2994">
        <v>29.924600000000002</v>
      </c>
      <c r="AU758" s="2994">
        <v>33.981999999999999</v>
      </c>
      <c r="AV758" s="2994">
        <v>28.736999999999998</v>
      </c>
      <c r="AW758" s="2994">
        <v>37.650599999999997</v>
      </c>
      <c r="AX758" s="2994">
        <v>38.101700000000001</v>
      </c>
      <c r="AY758" s="2994">
        <v>36.338500000000003</v>
      </c>
      <c r="AZ758" s="2994">
        <v>34.627099999999999</v>
      </c>
      <c r="BA758" s="2994">
        <v>38.624699999999997</v>
      </c>
      <c r="BB758" s="2994">
        <v>41.069499999999998</v>
      </c>
      <c r="BC758" s="2994">
        <v>34.363799999999998</v>
      </c>
      <c r="BD758" s="3471">
        <v>47.649900000000002</v>
      </c>
      <c r="BE758" s="3471">
        <v>52.155799999999999</v>
      </c>
      <c r="BF758" s="3471">
        <v>51.621200000000002</v>
      </c>
    </row>
    <row r="759" spans="1:58">
      <c r="A759" s="1817" t="str">
        <f t="shared" si="23"/>
        <v>Eastern AsiaOkra</v>
      </c>
      <c r="B759" s="1818" t="s">
        <v>1328</v>
      </c>
      <c r="C759" s="1818" t="s">
        <v>7356</v>
      </c>
      <c r="D759" s="3463" t="str">
        <f>VLOOKUP(B759,List_Yield!$G$4:$J$14,4,FALSE)</f>
        <v>Asia (Continental)</v>
      </c>
      <c r="E759" s="3463" t="str">
        <f t="shared" si="22"/>
        <v>Asia (Continental)Okra</v>
      </c>
      <c r="F759" s="2994">
        <v>0</v>
      </c>
      <c r="G759" s="2994">
        <v>0</v>
      </c>
      <c r="H759" s="2994">
        <v>0</v>
      </c>
      <c r="I759" s="2994">
        <v>0</v>
      </c>
      <c r="J759" s="2994">
        <v>0</v>
      </c>
      <c r="K759" s="2994">
        <v>0</v>
      </c>
      <c r="L759" s="2994">
        <v>0</v>
      </c>
      <c r="M759" s="2994">
        <v>0</v>
      </c>
      <c r="N759" s="2994">
        <v>0</v>
      </c>
      <c r="O759" s="2994">
        <v>0</v>
      </c>
      <c r="P759" s="2994">
        <v>0</v>
      </c>
      <c r="Q759" s="2994">
        <v>0</v>
      </c>
      <c r="R759" s="2994">
        <v>0</v>
      </c>
      <c r="S759" s="2994">
        <v>0</v>
      </c>
      <c r="T759" s="2994">
        <v>0</v>
      </c>
      <c r="U759" s="2994">
        <v>0</v>
      </c>
      <c r="V759" s="2994">
        <v>0</v>
      </c>
      <c r="W759" s="2994">
        <v>0</v>
      </c>
      <c r="X759" s="2994">
        <v>0</v>
      </c>
      <c r="Y759" s="2994">
        <v>0</v>
      </c>
      <c r="Z759" s="2994">
        <v>0</v>
      </c>
      <c r="AA759" s="2994">
        <v>0</v>
      </c>
      <c r="AB759" s="2994">
        <v>0</v>
      </c>
      <c r="AC759" s="2994">
        <v>0</v>
      </c>
      <c r="AD759" s="2994">
        <v>0</v>
      </c>
      <c r="AE759" s="2994">
        <v>0</v>
      </c>
      <c r="AF759" s="2994">
        <v>0</v>
      </c>
      <c r="AG759" s="2994">
        <v>0</v>
      </c>
      <c r="AH759" s="2994">
        <v>0</v>
      </c>
      <c r="AI759" s="2994">
        <v>0</v>
      </c>
      <c r="AJ759" s="2994">
        <v>0</v>
      </c>
      <c r="AK759" s="2994">
        <v>0</v>
      </c>
      <c r="AL759" s="2994">
        <v>0</v>
      </c>
      <c r="AM759" s="2994">
        <v>0</v>
      </c>
      <c r="AN759" s="2994">
        <v>0</v>
      </c>
      <c r="AO759" s="2994">
        <v>0</v>
      </c>
      <c r="AP759" s="2994">
        <v>0</v>
      </c>
      <c r="AQ759" s="2994">
        <v>0</v>
      </c>
      <c r="AR759" s="2994">
        <v>0</v>
      </c>
      <c r="AS759" s="2994">
        <v>0</v>
      </c>
      <c r="AT759" s="2994">
        <v>0</v>
      </c>
      <c r="AU759" s="2994">
        <v>0</v>
      </c>
      <c r="AV759" s="2994">
        <v>0</v>
      </c>
      <c r="AW759" s="2994">
        <v>0</v>
      </c>
      <c r="AX759" s="2994">
        <v>0</v>
      </c>
      <c r="AY759" s="2994">
        <v>0</v>
      </c>
      <c r="AZ759" s="2994">
        <v>0</v>
      </c>
      <c r="BA759" s="2994">
        <v>0</v>
      </c>
      <c r="BB759" s="2994">
        <v>0</v>
      </c>
      <c r="BC759" s="2994">
        <v>0</v>
      </c>
      <c r="BD759" s="3471">
        <v>0</v>
      </c>
      <c r="BE759" s="3471">
        <v>0</v>
      </c>
      <c r="BF759" s="3471">
        <v>0</v>
      </c>
    </row>
    <row r="760" spans="1:58">
      <c r="A760" s="1817" t="str">
        <f t="shared" si="23"/>
        <v>Eastern AsiaOlives</v>
      </c>
      <c r="B760" s="1818" t="s">
        <v>1328</v>
      </c>
      <c r="C760" s="1818" t="s">
        <v>1361</v>
      </c>
      <c r="D760" s="3463" t="str">
        <f>VLOOKUP(B760,List_Yield!$G$4:$J$14,4,FALSE)</f>
        <v>Asia (Continental)</v>
      </c>
      <c r="E760" s="3463" t="str">
        <f t="shared" si="22"/>
        <v>Asia (Continental)Olives</v>
      </c>
      <c r="F760" s="2994">
        <v>6.8601999999999999</v>
      </c>
      <c r="G760" s="2994">
        <v>10.4719</v>
      </c>
      <c r="H760" s="2994">
        <v>9.7800999999999991</v>
      </c>
      <c r="I760" s="2994">
        <v>13.8377</v>
      </c>
      <c r="J760" s="2994">
        <v>8.5313999999999997</v>
      </c>
      <c r="K760" s="2994">
        <v>8.3168000000000006</v>
      </c>
      <c r="L760" s="2994">
        <v>9.0402000000000005</v>
      </c>
      <c r="M760" s="2994">
        <v>15.019600000000001</v>
      </c>
      <c r="N760" s="2994">
        <v>12.3657</v>
      </c>
      <c r="O760" s="2994">
        <v>7.8631000000000002</v>
      </c>
      <c r="P760" s="2994">
        <v>8.4459</v>
      </c>
      <c r="Q760" s="2994">
        <v>6.7910000000000004</v>
      </c>
      <c r="R760" s="2994">
        <v>9.8683999999999994</v>
      </c>
      <c r="S760" s="2994">
        <v>8.7797999999999998</v>
      </c>
      <c r="T760" s="2994">
        <v>7.2190000000000003</v>
      </c>
      <c r="U760" s="2994">
        <v>8.8920999999999992</v>
      </c>
      <c r="V760" s="2994">
        <v>11.103899999999999</v>
      </c>
      <c r="W760" s="2994">
        <v>8.7691999999999997</v>
      </c>
      <c r="X760" s="2994">
        <v>9.2545000000000002</v>
      </c>
      <c r="Y760" s="2994">
        <v>8.1562999999999999</v>
      </c>
      <c r="Z760" s="2994">
        <v>5.3114999999999997</v>
      </c>
      <c r="AA760" s="2994">
        <v>10.7021</v>
      </c>
      <c r="AB760" s="2994">
        <v>13.595700000000001</v>
      </c>
      <c r="AC760" s="2994">
        <v>13.5</v>
      </c>
      <c r="AD760" s="2994">
        <v>9.2210999999999999</v>
      </c>
      <c r="AE760" s="2994">
        <v>7.3611000000000004</v>
      </c>
      <c r="AF760" s="2994">
        <v>7.7629000000000001</v>
      </c>
      <c r="AG760" s="2994">
        <v>6.5517000000000003</v>
      </c>
      <c r="AH760" s="2994">
        <v>11.636100000000001</v>
      </c>
      <c r="AI760" s="2994">
        <v>10.118499999999999</v>
      </c>
      <c r="AJ760" s="2994">
        <v>10.199299999999999</v>
      </c>
      <c r="AK760" s="2994">
        <v>7.5776000000000003</v>
      </c>
      <c r="AL760" s="2994">
        <v>8.1625999999999994</v>
      </c>
      <c r="AM760" s="2994">
        <v>8.2606999999999999</v>
      </c>
      <c r="AN760" s="2994">
        <v>9.1011000000000006</v>
      </c>
      <c r="AO760" s="2994">
        <v>7.4103000000000003</v>
      </c>
      <c r="AP760" s="2994">
        <v>8.0783000000000005</v>
      </c>
      <c r="AQ760" s="2994">
        <v>6.9286000000000003</v>
      </c>
      <c r="AR760" s="2994">
        <v>7.8867000000000003</v>
      </c>
      <c r="AS760" s="2994">
        <v>8.2929999999999993</v>
      </c>
      <c r="AT760" s="2994">
        <v>8.2294</v>
      </c>
      <c r="AU760" s="2994">
        <v>8.2476000000000003</v>
      </c>
      <c r="AV760" s="2994">
        <v>8.1881000000000004</v>
      </c>
      <c r="AW760" s="2994">
        <v>8.6133000000000006</v>
      </c>
      <c r="AX760" s="2994">
        <v>7.9470000000000001</v>
      </c>
      <c r="AY760" s="2994">
        <v>8.33</v>
      </c>
      <c r="AZ760" s="2994">
        <v>8.2926000000000002</v>
      </c>
      <c r="BA760" s="2994">
        <v>8.1732999999999993</v>
      </c>
      <c r="BB760" s="2994">
        <v>8.7559000000000005</v>
      </c>
      <c r="BC760" s="2994">
        <v>7.8014000000000001</v>
      </c>
      <c r="BD760" s="3471">
        <v>7.931</v>
      </c>
      <c r="BE760" s="3471">
        <v>7.8571</v>
      </c>
      <c r="BF760" s="3471">
        <v>7.4074</v>
      </c>
    </row>
    <row r="761" spans="1:58">
      <c r="A761" s="1817" t="str">
        <f t="shared" si="23"/>
        <v>Eastern AsiaOnions, dry</v>
      </c>
      <c r="B761" s="1818" t="s">
        <v>1328</v>
      </c>
      <c r="C761" s="1818" t="s">
        <v>1362</v>
      </c>
      <c r="D761" s="3463" t="str">
        <f>VLOOKUP(B761,List_Yield!$G$4:$J$14,4,FALSE)</f>
        <v>Asia (Continental)</v>
      </c>
      <c r="E761" s="3463" t="str">
        <f t="shared" si="22"/>
        <v>Asia (Continental)Onions, dry</v>
      </c>
      <c r="F761" s="2994">
        <v>14.813599999999999</v>
      </c>
      <c r="G761" s="2994">
        <v>15.1366</v>
      </c>
      <c r="H761" s="2994">
        <v>15.134499999999999</v>
      </c>
      <c r="I761" s="2994">
        <v>16.067699999999999</v>
      </c>
      <c r="J761" s="2994">
        <v>16.469200000000001</v>
      </c>
      <c r="K761" s="2994">
        <v>17.561299999999999</v>
      </c>
      <c r="L761" s="2994">
        <v>17.531300000000002</v>
      </c>
      <c r="M761" s="2994">
        <v>19.468800000000002</v>
      </c>
      <c r="N761" s="2994">
        <v>20.4038</v>
      </c>
      <c r="O761" s="2994">
        <v>21.619800000000001</v>
      </c>
      <c r="P761" s="2994">
        <v>22.077200000000001</v>
      </c>
      <c r="Q761" s="2994">
        <v>21.433599999999998</v>
      </c>
      <c r="R761" s="2994">
        <v>20.610499999999998</v>
      </c>
      <c r="S761" s="2994">
        <v>21.47</v>
      </c>
      <c r="T761" s="2994">
        <v>21.3338</v>
      </c>
      <c r="U761" s="2994">
        <v>22.008099999999999</v>
      </c>
      <c r="V761" s="2994">
        <v>21.687000000000001</v>
      </c>
      <c r="W761" s="2994">
        <v>20.626799999999999</v>
      </c>
      <c r="X761" s="2994">
        <v>22.164400000000001</v>
      </c>
      <c r="Y761" s="2994">
        <v>21.1676</v>
      </c>
      <c r="Z761" s="2994">
        <v>21.259799999999998</v>
      </c>
      <c r="AA761" s="2994">
        <v>21.590800000000002</v>
      </c>
      <c r="AB761" s="2994">
        <v>21.722899999999999</v>
      </c>
      <c r="AC761" s="2994">
        <v>20.689699999999998</v>
      </c>
      <c r="AD761" s="2994">
        <v>23.014600000000002</v>
      </c>
      <c r="AE761" s="2994">
        <v>22.79</v>
      </c>
      <c r="AF761" s="2994">
        <v>23.417400000000001</v>
      </c>
      <c r="AG761" s="2994">
        <v>23.3705</v>
      </c>
      <c r="AH761" s="2994">
        <v>23.421199999999999</v>
      </c>
      <c r="AI761" s="2994">
        <v>23.549099999999999</v>
      </c>
      <c r="AJ761" s="2994">
        <v>23.729600000000001</v>
      </c>
      <c r="AK761" s="2994">
        <v>25.183499999999999</v>
      </c>
      <c r="AL761" s="2994">
        <v>23.048999999999999</v>
      </c>
      <c r="AM761" s="2994">
        <v>23.430099999999999</v>
      </c>
      <c r="AN761" s="2994">
        <v>24.770199999999999</v>
      </c>
      <c r="AO761" s="2994">
        <v>24.130199999999999</v>
      </c>
      <c r="AP761" s="2994">
        <v>22.134499999999999</v>
      </c>
      <c r="AQ761" s="2994">
        <v>22.846800000000002</v>
      </c>
      <c r="AR761" s="2994">
        <v>22.479199999999999</v>
      </c>
      <c r="AS761" s="2994">
        <v>22.765599999999999</v>
      </c>
      <c r="AT761" s="2994">
        <v>22.566299999999998</v>
      </c>
      <c r="AU761" s="2994">
        <v>23.022400000000001</v>
      </c>
      <c r="AV761" s="2994">
        <v>23.1556</v>
      </c>
      <c r="AW761" s="2994">
        <v>22.526499999999999</v>
      </c>
      <c r="AX761" s="2994">
        <v>22.412400000000002</v>
      </c>
      <c r="AY761" s="2994">
        <v>21.793299999999999</v>
      </c>
      <c r="AZ761" s="2994">
        <v>22.0184</v>
      </c>
      <c r="BA761" s="2994">
        <v>23.728300000000001</v>
      </c>
      <c r="BB761" s="2994">
        <v>23.682600000000001</v>
      </c>
      <c r="BC761" s="2994">
        <v>23.462499999999999</v>
      </c>
      <c r="BD761" s="3471">
        <v>23.0855</v>
      </c>
      <c r="BE761" s="3471">
        <v>23.1676</v>
      </c>
      <c r="BF761" s="3471">
        <v>0</v>
      </c>
    </row>
    <row r="762" spans="1:58">
      <c r="A762" s="1817" t="str">
        <f t="shared" si="23"/>
        <v>Eastern AsiaOnions, shallots, green</v>
      </c>
      <c r="B762" s="1818" t="s">
        <v>1328</v>
      </c>
      <c r="C762" s="1818" t="s">
        <v>7357</v>
      </c>
      <c r="D762" s="3463" t="str">
        <f>VLOOKUP(B762,List_Yield!$G$4:$J$14,4,FALSE)</f>
        <v>Asia (Continental)</v>
      </c>
      <c r="E762" s="3463" t="str">
        <f t="shared" si="22"/>
        <v>Asia (Continental)Onions, shallots, green</v>
      </c>
      <c r="F762" s="2994">
        <v>14.452299999999999</v>
      </c>
      <c r="G762" s="2994">
        <v>16.3292</v>
      </c>
      <c r="H762" s="2994">
        <v>17.213899999999999</v>
      </c>
      <c r="I762" s="2994">
        <v>16.361000000000001</v>
      </c>
      <c r="J762" s="2994">
        <v>17.113600000000002</v>
      </c>
      <c r="K762" s="2994">
        <v>18.066099999999999</v>
      </c>
      <c r="L762" s="2994">
        <v>18.196400000000001</v>
      </c>
      <c r="M762" s="2994">
        <v>19.094100000000001</v>
      </c>
      <c r="N762" s="2994">
        <v>18.5717</v>
      </c>
      <c r="O762" s="2994">
        <v>19.222899999999999</v>
      </c>
      <c r="P762" s="2994">
        <v>19.462900000000001</v>
      </c>
      <c r="Q762" s="2994">
        <v>19.5153</v>
      </c>
      <c r="R762" s="2994">
        <v>19.344899999999999</v>
      </c>
      <c r="S762" s="2994">
        <v>19.1191</v>
      </c>
      <c r="T762" s="2994">
        <v>19.020900000000001</v>
      </c>
      <c r="U762" s="2994">
        <v>17.2287</v>
      </c>
      <c r="V762" s="2994">
        <v>19.311900000000001</v>
      </c>
      <c r="W762" s="2994">
        <v>18.648</v>
      </c>
      <c r="X762" s="2994">
        <v>24.550699999999999</v>
      </c>
      <c r="Y762" s="2994">
        <v>22.9712</v>
      </c>
      <c r="Z762" s="2994">
        <v>21.925699999999999</v>
      </c>
      <c r="AA762" s="2994">
        <v>21.2638</v>
      </c>
      <c r="AB762" s="2994">
        <v>20.900200000000002</v>
      </c>
      <c r="AC762" s="2994">
        <v>21.3428</v>
      </c>
      <c r="AD762" s="2994">
        <v>22.118099999999998</v>
      </c>
      <c r="AE762" s="2994">
        <v>23.053799999999999</v>
      </c>
      <c r="AF762" s="2994">
        <v>22.5229</v>
      </c>
      <c r="AG762" s="2994">
        <v>21.930199999999999</v>
      </c>
      <c r="AH762" s="2994">
        <v>22.197399999999998</v>
      </c>
      <c r="AI762" s="2994">
        <v>22.4437</v>
      </c>
      <c r="AJ762" s="2994">
        <v>21.828900000000001</v>
      </c>
      <c r="AK762" s="2994">
        <v>20.6919</v>
      </c>
      <c r="AL762" s="2994">
        <v>22.089200000000002</v>
      </c>
      <c r="AM762" s="2994">
        <v>21.968699999999998</v>
      </c>
      <c r="AN762" s="2994">
        <v>22.581099999999999</v>
      </c>
      <c r="AO762" s="2994">
        <v>22.907800000000002</v>
      </c>
      <c r="AP762" s="2994">
        <v>22.8718</v>
      </c>
      <c r="AQ762" s="2994">
        <v>21.7514</v>
      </c>
      <c r="AR762" s="2994">
        <v>22.369399999999999</v>
      </c>
      <c r="AS762" s="2994">
        <v>23.1648</v>
      </c>
      <c r="AT762" s="2994">
        <v>22.65</v>
      </c>
      <c r="AU762" s="2994">
        <v>23.923300000000001</v>
      </c>
      <c r="AV762" s="2994">
        <v>25.354199999999999</v>
      </c>
      <c r="AW762" s="2994">
        <v>25.552800000000001</v>
      </c>
      <c r="AX762" s="2994">
        <v>25.136099999999999</v>
      </c>
      <c r="AY762" s="2994">
        <v>26.316700000000001</v>
      </c>
      <c r="AZ762" s="2994">
        <v>26.296399999999998</v>
      </c>
      <c r="BA762" s="2994">
        <v>26.745100000000001</v>
      </c>
      <c r="BB762" s="2994">
        <v>26.4087</v>
      </c>
      <c r="BC762" s="2994">
        <v>26.368400000000001</v>
      </c>
      <c r="BD762" s="3471">
        <v>26.192</v>
      </c>
      <c r="BE762" s="3471">
        <v>26.257300000000001</v>
      </c>
      <c r="BF762" s="3471">
        <v>0</v>
      </c>
    </row>
    <row r="763" spans="1:58">
      <c r="A763" s="1817" t="str">
        <f t="shared" si="23"/>
        <v>Eastern AsiaOranges</v>
      </c>
      <c r="B763" s="1818" t="s">
        <v>1328</v>
      </c>
      <c r="C763" s="1818" t="s">
        <v>1363</v>
      </c>
      <c r="D763" s="3463" t="str">
        <f>VLOOKUP(B763,List_Yield!$G$4:$J$14,4,FALSE)</f>
        <v>Asia (Continental)</v>
      </c>
      <c r="E763" s="3463" t="str">
        <f t="shared" si="22"/>
        <v>Asia (Continental)Oranges</v>
      </c>
      <c r="F763" s="2994">
        <v>7.9835000000000003</v>
      </c>
      <c r="G763" s="2994">
        <v>7.7667999999999999</v>
      </c>
      <c r="H763" s="2994">
        <v>5.8981000000000003</v>
      </c>
      <c r="I763" s="2994">
        <v>7.4053000000000004</v>
      </c>
      <c r="J763" s="2994">
        <v>7.8175999999999997</v>
      </c>
      <c r="K763" s="2994">
        <v>7.8704000000000001</v>
      </c>
      <c r="L763" s="2994">
        <v>7.2755000000000001</v>
      </c>
      <c r="M763" s="2994">
        <v>7.5472999999999999</v>
      </c>
      <c r="N763" s="2994">
        <v>9.4808000000000003</v>
      </c>
      <c r="O763" s="2994">
        <v>7.3376000000000001</v>
      </c>
      <c r="P763" s="2994">
        <v>9.2446999999999999</v>
      </c>
      <c r="Q763" s="2994">
        <v>8.4723000000000006</v>
      </c>
      <c r="R763" s="2994">
        <v>10.5055</v>
      </c>
      <c r="S763" s="2994">
        <v>9.1236999999999995</v>
      </c>
      <c r="T763" s="2994">
        <v>10.154299999999999</v>
      </c>
      <c r="U763" s="2994">
        <v>9.5795999999999992</v>
      </c>
      <c r="V763" s="2994">
        <v>8.4652999999999992</v>
      </c>
      <c r="W763" s="2994">
        <v>9.3576999999999995</v>
      </c>
      <c r="X763" s="2994">
        <v>7.8449</v>
      </c>
      <c r="Y763" s="2994">
        <v>8.2296999999999993</v>
      </c>
      <c r="Z763" s="2994">
        <v>6.6128999999999998</v>
      </c>
      <c r="AA763" s="2994">
        <v>7.3212000000000002</v>
      </c>
      <c r="AB763" s="2994">
        <v>8.1443999999999992</v>
      </c>
      <c r="AC763" s="2994">
        <v>7.6547000000000001</v>
      </c>
      <c r="AD763" s="2994">
        <v>6.4752000000000001</v>
      </c>
      <c r="AE763" s="2994">
        <v>5.7891000000000004</v>
      </c>
      <c r="AF763" s="2994">
        <v>5.7240000000000002</v>
      </c>
      <c r="AG763" s="2994">
        <v>4.3917999999999999</v>
      </c>
      <c r="AH763" s="2994">
        <v>5.7460000000000004</v>
      </c>
      <c r="AI763" s="2994">
        <v>5.6718000000000002</v>
      </c>
      <c r="AJ763" s="2994">
        <v>6.8495999999999997</v>
      </c>
      <c r="AK763" s="2994">
        <v>5.6620999999999997</v>
      </c>
      <c r="AL763" s="2994">
        <v>6.5650000000000004</v>
      </c>
      <c r="AM763" s="2994">
        <v>6.7077999999999998</v>
      </c>
      <c r="AN763" s="2994">
        <v>7.4347000000000003</v>
      </c>
      <c r="AO763" s="2994">
        <v>7.4147999999999996</v>
      </c>
      <c r="AP763" s="2994">
        <v>6.9328000000000003</v>
      </c>
      <c r="AQ763" s="2994">
        <v>5.2944000000000004</v>
      </c>
      <c r="AR763" s="2994">
        <v>5.5069999999999997</v>
      </c>
      <c r="AS763" s="2994">
        <v>4.8696999999999999</v>
      </c>
      <c r="AT763" s="2994">
        <v>5.9458000000000002</v>
      </c>
      <c r="AU763" s="2994">
        <v>6.03</v>
      </c>
      <c r="AV763" s="2994">
        <v>6.923</v>
      </c>
      <c r="AW763" s="2994">
        <v>7.0331000000000001</v>
      </c>
      <c r="AX763" s="2994">
        <v>7.7267000000000001</v>
      </c>
      <c r="AY763" s="2994">
        <v>8.5067000000000004</v>
      </c>
      <c r="AZ763" s="2994">
        <v>9.2379999999999995</v>
      </c>
      <c r="BA763" s="2994">
        <v>10.8004</v>
      </c>
      <c r="BB763" s="2994">
        <v>12.237299999999999</v>
      </c>
      <c r="BC763" s="2994">
        <v>12.9884</v>
      </c>
      <c r="BD763" s="3471">
        <v>12.9648</v>
      </c>
      <c r="BE763" s="3471">
        <v>13.866099999999999</v>
      </c>
      <c r="BF763" s="3471">
        <v>0</v>
      </c>
    </row>
    <row r="764" spans="1:58">
      <c r="A764" s="1817" t="str">
        <f t="shared" si="23"/>
        <v>Eastern AsiaPapayas</v>
      </c>
      <c r="B764" s="1818" t="s">
        <v>1328</v>
      </c>
      <c r="C764" s="1818" t="s">
        <v>7358</v>
      </c>
      <c r="D764" s="3463" t="str">
        <f>VLOOKUP(B764,List_Yield!$G$4:$J$14,4,FALSE)</f>
        <v>Asia (Continental)</v>
      </c>
      <c r="E764" s="3463" t="str">
        <f t="shared" si="22"/>
        <v>Asia (Continental)Papayas</v>
      </c>
      <c r="F764" s="2994">
        <v>20.3538</v>
      </c>
      <c r="G764" s="2994">
        <v>20.136500000000002</v>
      </c>
      <c r="H764" s="2994">
        <v>19.862300000000001</v>
      </c>
      <c r="I764" s="2994">
        <v>20.1724</v>
      </c>
      <c r="J764" s="2994">
        <v>20.109500000000001</v>
      </c>
      <c r="K764" s="2994">
        <v>17.918700000000001</v>
      </c>
      <c r="L764" s="2994">
        <v>21.073399999999999</v>
      </c>
      <c r="M764" s="2994">
        <v>21.053100000000001</v>
      </c>
      <c r="N764" s="2994">
        <v>21.368200000000002</v>
      </c>
      <c r="O764" s="2994">
        <v>20.321899999999999</v>
      </c>
      <c r="P764" s="2994">
        <v>22.910599999999999</v>
      </c>
      <c r="Q764" s="2994">
        <v>20.890699999999999</v>
      </c>
      <c r="R764" s="2994">
        <v>25.849699999999999</v>
      </c>
      <c r="S764" s="2994">
        <v>34.895099999999999</v>
      </c>
      <c r="T764" s="2994">
        <v>27.347100000000001</v>
      </c>
      <c r="U764" s="2994">
        <v>29.396899999999999</v>
      </c>
      <c r="V764" s="2994">
        <v>17.530100000000001</v>
      </c>
      <c r="W764" s="2994">
        <v>22.033799999999999</v>
      </c>
      <c r="X764" s="2994">
        <v>30.2636</v>
      </c>
      <c r="Y764" s="2994">
        <v>23.8307</v>
      </c>
      <c r="Z764" s="2994">
        <v>33.876199999999997</v>
      </c>
      <c r="AA764" s="2994">
        <v>27.532800000000002</v>
      </c>
      <c r="AB764" s="2994">
        <v>29.9876</v>
      </c>
      <c r="AC764" s="2994">
        <v>24.498899999999999</v>
      </c>
      <c r="AD764" s="2994">
        <v>26.242699999999999</v>
      </c>
      <c r="AE764" s="2994">
        <v>18.917999999999999</v>
      </c>
      <c r="AF764" s="2994">
        <v>22.816199999999998</v>
      </c>
      <c r="AG764" s="2994">
        <v>27.721900000000002</v>
      </c>
      <c r="AH764" s="2994">
        <v>24.398700000000002</v>
      </c>
      <c r="AI764" s="2994">
        <v>25.0076</v>
      </c>
      <c r="AJ764" s="2994">
        <v>29.534600000000001</v>
      </c>
      <c r="AK764" s="2994">
        <v>28.145499999999998</v>
      </c>
      <c r="AL764" s="2994">
        <v>34.342399999999998</v>
      </c>
      <c r="AM764" s="2994">
        <v>28.7318</v>
      </c>
      <c r="AN764" s="2994">
        <v>34.431100000000001</v>
      </c>
      <c r="AO764" s="2994">
        <v>34.080500000000001</v>
      </c>
      <c r="AP764" s="2994">
        <v>35.136800000000001</v>
      </c>
      <c r="AQ764" s="2994">
        <v>27.645199999999999</v>
      </c>
      <c r="AR764" s="2994">
        <v>33.768099999999997</v>
      </c>
      <c r="AS764" s="2994">
        <v>29.1205</v>
      </c>
      <c r="AT764" s="2994">
        <v>29.592400000000001</v>
      </c>
      <c r="AU764" s="2994">
        <v>30.825199999999999</v>
      </c>
      <c r="AV764" s="2994">
        <v>28.643899999999999</v>
      </c>
      <c r="AW764" s="2994">
        <v>27.445599999999999</v>
      </c>
      <c r="AX764" s="2994">
        <v>20.9209</v>
      </c>
      <c r="AY764" s="2994">
        <v>26.766300000000001</v>
      </c>
      <c r="AZ764" s="2994">
        <v>20.7376</v>
      </c>
      <c r="BA764" s="2994">
        <v>20.0565</v>
      </c>
      <c r="BB764" s="2994">
        <v>18.017199999999999</v>
      </c>
      <c r="BC764" s="2994">
        <v>25.0153</v>
      </c>
      <c r="BD764" s="3471">
        <v>28.217300000000002</v>
      </c>
      <c r="BE764" s="3471">
        <v>34.794499999999999</v>
      </c>
      <c r="BF764" s="3471">
        <v>0</v>
      </c>
    </row>
    <row r="765" spans="1:58">
      <c r="A765" s="1817" t="str">
        <f t="shared" si="23"/>
        <v>Eastern AsiaPeaches and nectarines</v>
      </c>
      <c r="B765" s="1818" t="s">
        <v>1328</v>
      </c>
      <c r="C765" s="1818" t="s">
        <v>1364</v>
      </c>
      <c r="D765" s="3463" t="str">
        <f>VLOOKUP(B765,List_Yield!$G$4:$J$14,4,FALSE)</f>
        <v>Asia (Continental)</v>
      </c>
      <c r="E765" s="3463" t="str">
        <f t="shared" ref="E765:E828" si="24">CONCATENATE(D765,C765)</f>
        <v>Asia (Continental)Peaches and nectarines</v>
      </c>
      <c r="F765" s="2994">
        <v>7.7640000000000002</v>
      </c>
      <c r="G765" s="2994">
        <v>6.8072999999999997</v>
      </c>
      <c r="H765" s="2994">
        <v>7.15</v>
      </c>
      <c r="I765" s="2994">
        <v>6.5523999999999996</v>
      </c>
      <c r="J765" s="2994">
        <v>6.5902000000000003</v>
      </c>
      <c r="K765" s="2994">
        <v>5.4467999999999996</v>
      </c>
      <c r="L765" s="2994">
        <v>5.5467000000000004</v>
      </c>
      <c r="M765" s="2994">
        <v>5.0221999999999998</v>
      </c>
      <c r="N765" s="2994">
        <v>5.5641999999999996</v>
      </c>
      <c r="O765" s="2994">
        <v>5.3318000000000003</v>
      </c>
      <c r="P765" s="2994">
        <v>5.0148000000000001</v>
      </c>
      <c r="Q765" s="2994">
        <v>6.2003000000000004</v>
      </c>
      <c r="R765" s="2994">
        <v>7.2256999999999998</v>
      </c>
      <c r="S765" s="2994">
        <v>5.9515000000000002</v>
      </c>
      <c r="T765" s="2994">
        <v>5.7073</v>
      </c>
      <c r="U765" s="2994">
        <v>5.4893000000000001</v>
      </c>
      <c r="V765" s="2994">
        <v>4.7702</v>
      </c>
      <c r="W765" s="2994">
        <v>5.5708000000000002</v>
      </c>
      <c r="X765" s="2994">
        <v>6.8444000000000003</v>
      </c>
      <c r="Y765" s="2994">
        <v>6.2165999999999997</v>
      </c>
      <c r="Z765" s="2994">
        <v>6.3962000000000003</v>
      </c>
      <c r="AA765" s="2994">
        <v>5.5389999999999997</v>
      </c>
      <c r="AB765" s="2994">
        <v>6.0472999999999999</v>
      </c>
      <c r="AC765" s="2994">
        <v>5.5949999999999998</v>
      </c>
      <c r="AD765" s="2994">
        <v>3.5463</v>
      </c>
      <c r="AE765" s="2994">
        <v>3.0884</v>
      </c>
      <c r="AF765" s="2994">
        <v>3.0118999999999998</v>
      </c>
      <c r="AG765" s="2994">
        <v>2.3384999999999998</v>
      </c>
      <c r="AH765" s="2994">
        <v>1.9643999999999999</v>
      </c>
      <c r="AI765" s="2994">
        <v>3.0249000000000001</v>
      </c>
      <c r="AJ765" s="2994">
        <v>3.3395000000000001</v>
      </c>
      <c r="AK765" s="2994">
        <v>3.343</v>
      </c>
      <c r="AL765" s="2994">
        <v>3.9931000000000001</v>
      </c>
      <c r="AM765" s="2994">
        <v>4.5579000000000001</v>
      </c>
      <c r="AN765" s="2994">
        <v>5.3460000000000001</v>
      </c>
      <c r="AO765" s="2994">
        <v>5.9720000000000004</v>
      </c>
      <c r="AP765" s="2994">
        <v>7.2866999999999997</v>
      </c>
      <c r="AQ765" s="2994">
        <v>7.6996000000000002</v>
      </c>
      <c r="AR765" s="2994">
        <v>8.4441000000000006</v>
      </c>
      <c r="AS765" s="2994">
        <v>8.4882000000000009</v>
      </c>
      <c r="AT765" s="2994">
        <v>10.1973</v>
      </c>
      <c r="AU765" s="2994">
        <v>9.7035999999999998</v>
      </c>
      <c r="AV765" s="2994">
        <v>10.1965</v>
      </c>
      <c r="AW765" s="2994">
        <v>10.6289</v>
      </c>
      <c r="AX765" s="2994">
        <v>11.275499999999999</v>
      </c>
      <c r="AY765" s="2994">
        <v>12.1691</v>
      </c>
      <c r="AZ765" s="2994">
        <v>12.8469</v>
      </c>
      <c r="BA765" s="2994">
        <v>13.569100000000001</v>
      </c>
      <c r="BB765" s="2994">
        <v>14.2387</v>
      </c>
      <c r="BC765" s="2994">
        <v>14.441000000000001</v>
      </c>
      <c r="BD765" s="3471">
        <v>14.7399</v>
      </c>
      <c r="BE765" s="3471">
        <v>15.2265</v>
      </c>
      <c r="BF765" s="3471">
        <v>0</v>
      </c>
    </row>
    <row r="766" spans="1:58">
      <c r="A766" s="1817" t="str">
        <f t="shared" si="23"/>
        <v>Eastern AsiaPears</v>
      </c>
      <c r="B766" s="1818" t="s">
        <v>1328</v>
      </c>
      <c r="C766" s="1818" t="s">
        <v>7359</v>
      </c>
      <c r="D766" s="3463" t="str">
        <f>VLOOKUP(B766,List_Yield!$G$4:$J$14,4,FALSE)</f>
        <v>Asia (Continental)</v>
      </c>
      <c r="E766" s="3463" t="str">
        <f t="shared" si="24"/>
        <v>Asia (Continental)Pears</v>
      </c>
      <c r="F766" s="2994">
        <v>5.6368</v>
      </c>
      <c r="G766" s="2994">
        <v>5.5327000000000002</v>
      </c>
      <c r="H766" s="2994">
        <v>5.7986000000000004</v>
      </c>
      <c r="I766" s="2994">
        <v>5.5791000000000004</v>
      </c>
      <c r="J766" s="2994">
        <v>5.6840999999999999</v>
      </c>
      <c r="K766" s="2994">
        <v>6.3120000000000003</v>
      </c>
      <c r="L766" s="2994">
        <v>6.6840999999999999</v>
      </c>
      <c r="M766" s="2994">
        <v>6.9783999999999997</v>
      </c>
      <c r="N766" s="2994">
        <v>6.4538000000000002</v>
      </c>
      <c r="O766" s="2994">
        <v>6.2366000000000001</v>
      </c>
      <c r="P766" s="2994">
        <v>6.3392999999999997</v>
      </c>
      <c r="Q766" s="2994">
        <v>6.3247999999999998</v>
      </c>
      <c r="R766" s="2994">
        <v>6.0736999999999997</v>
      </c>
      <c r="S766" s="2994">
        <v>5.9333</v>
      </c>
      <c r="T766" s="2994">
        <v>5.4710999999999999</v>
      </c>
      <c r="U766" s="2994">
        <v>6.0057999999999998</v>
      </c>
      <c r="V766" s="2994">
        <v>5.4413</v>
      </c>
      <c r="W766" s="2994">
        <v>6.5191999999999997</v>
      </c>
      <c r="X766" s="2994">
        <v>6.0953999999999997</v>
      </c>
      <c r="Y766" s="2994">
        <v>6.4089999999999998</v>
      </c>
      <c r="Z766" s="2994">
        <v>6.8132999999999999</v>
      </c>
      <c r="AA766" s="2994">
        <v>7.2742000000000004</v>
      </c>
      <c r="AB766" s="2994">
        <v>7.5366999999999997</v>
      </c>
      <c r="AC766" s="2994">
        <v>8.2411999999999992</v>
      </c>
      <c r="AD766" s="2994">
        <v>7.5827999999999998</v>
      </c>
      <c r="AE766" s="2994">
        <v>7.1441999999999997</v>
      </c>
      <c r="AF766" s="2994">
        <v>5.7319000000000004</v>
      </c>
      <c r="AG766" s="2994">
        <v>6.6144999999999996</v>
      </c>
      <c r="AH766" s="2994">
        <v>6.4596999999999998</v>
      </c>
      <c r="AI766" s="2994">
        <v>6.0025000000000004</v>
      </c>
      <c r="AJ766" s="2994">
        <v>6.2449000000000003</v>
      </c>
      <c r="AK766" s="2994">
        <v>6.3712999999999997</v>
      </c>
      <c r="AL766" s="2994">
        <v>6.1069000000000004</v>
      </c>
      <c r="AM766" s="2994">
        <v>5.9991000000000003</v>
      </c>
      <c r="AN766" s="2994">
        <v>6.2153</v>
      </c>
      <c r="AO766" s="2994">
        <v>6.6454000000000004</v>
      </c>
      <c r="AP766" s="2994">
        <v>5.2873999999999999</v>
      </c>
      <c r="AQ766" s="2994">
        <v>8.3231000000000002</v>
      </c>
      <c r="AR766" s="2994">
        <v>8.3078000000000003</v>
      </c>
      <c r="AS766" s="2994">
        <v>8.6631999999999998</v>
      </c>
      <c r="AT766" s="2994">
        <v>9.0104000000000006</v>
      </c>
      <c r="AU766" s="2994">
        <v>9.3443000000000005</v>
      </c>
      <c r="AV766" s="2994">
        <v>9.5366999999999997</v>
      </c>
      <c r="AW766" s="2994">
        <v>10.210800000000001</v>
      </c>
      <c r="AX766" s="2994">
        <v>10.5664</v>
      </c>
      <c r="AY766" s="2994">
        <v>11.320600000000001</v>
      </c>
      <c r="AZ766" s="2994">
        <v>12.351900000000001</v>
      </c>
      <c r="BA766" s="2994">
        <v>12.937900000000001</v>
      </c>
      <c r="BB766" s="2994">
        <v>13.561199999999999</v>
      </c>
      <c r="BC766" s="2994">
        <v>14.0985</v>
      </c>
      <c r="BD766" s="3471">
        <v>14.194100000000001</v>
      </c>
      <c r="BE766" s="3471">
        <v>14.495200000000001</v>
      </c>
      <c r="BF766" s="3471">
        <v>0</v>
      </c>
    </row>
    <row r="767" spans="1:58">
      <c r="A767" s="1817" t="str">
        <f t="shared" si="23"/>
        <v>Eastern AsiaPeas, dry</v>
      </c>
      <c r="B767" s="1818" t="s">
        <v>1328</v>
      </c>
      <c r="C767" s="1818" t="s">
        <v>1365</v>
      </c>
      <c r="D767" s="3463" t="str">
        <f>VLOOKUP(B767,List_Yield!$G$4:$J$14,4,FALSE)</f>
        <v>Asia (Continental)</v>
      </c>
      <c r="E767" s="3463" t="str">
        <f t="shared" si="24"/>
        <v>Asia (Continental)Peas, dry</v>
      </c>
      <c r="F767" s="2994">
        <v>0.98899999999999999</v>
      </c>
      <c r="G767" s="2994">
        <v>1.1803999999999999</v>
      </c>
      <c r="H767" s="2994">
        <v>1.1062000000000001</v>
      </c>
      <c r="I767" s="2994">
        <v>1.2397</v>
      </c>
      <c r="J767" s="2994">
        <v>1.2401</v>
      </c>
      <c r="K767" s="2994">
        <v>0.99939999999999996</v>
      </c>
      <c r="L767" s="2994">
        <v>1.0003</v>
      </c>
      <c r="M767" s="2994">
        <v>0.91390000000000005</v>
      </c>
      <c r="N767" s="2994">
        <v>0.90969999999999995</v>
      </c>
      <c r="O767" s="2994">
        <v>1.0450999999999999</v>
      </c>
      <c r="P767" s="2994">
        <v>1.1578999999999999</v>
      </c>
      <c r="Q767" s="2994">
        <v>1.0532999999999999</v>
      </c>
      <c r="R767" s="2994">
        <v>1.1055999999999999</v>
      </c>
      <c r="S767" s="2994">
        <v>1.1664000000000001</v>
      </c>
      <c r="T767" s="2994">
        <v>1.1658999999999999</v>
      </c>
      <c r="U767" s="2994">
        <v>1.2213000000000001</v>
      </c>
      <c r="V767" s="2994">
        <v>1.1109</v>
      </c>
      <c r="W767" s="2994">
        <v>1.5692999999999999</v>
      </c>
      <c r="X767" s="2994">
        <v>1.5313000000000001</v>
      </c>
      <c r="Y767" s="2994">
        <v>1.6412</v>
      </c>
      <c r="Z767" s="2994">
        <v>1.5694999999999999</v>
      </c>
      <c r="AA767" s="2994">
        <v>1.4277</v>
      </c>
      <c r="AB767" s="2994">
        <v>1.4091</v>
      </c>
      <c r="AC767" s="2994">
        <v>1.5074000000000001</v>
      </c>
      <c r="AD767" s="2994">
        <v>1.3146</v>
      </c>
      <c r="AE767" s="2994">
        <v>1.3157000000000001</v>
      </c>
      <c r="AF767" s="2994">
        <v>1.3168</v>
      </c>
      <c r="AG767" s="2994">
        <v>1.4378</v>
      </c>
      <c r="AH767" s="2994">
        <v>1.0951</v>
      </c>
      <c r="AI767" s="2994">
        <v>1.5366</v>
      </c>
      <c r="AJ767" s="2994">
        <v>1.3787</v>
      </c>
      <c r="AK767" s="2994">
        <v>1.3421000000000001</v>
      </c>
      <c r="AL767" s="2994">
        <v>1.6004</v>
      </c>
      <c r="AM767" s="2994">
        <v>1.5802</v>
      </c>
      <c r="AN767" s="2994">
        <v>1.5553999999999999</v>
      </c>
      <c r="AO767" s="2994">
        <v>1.621</v>
      </c>
      <c r="AP767" s="2994">
        <v>1.4927999999999999</v>
      </c>
      <c r="AQ767" s="2994">
        <v>1.6020000000000001</v>
      </c>
      <c r="AR767" s="2994">
        <v>1.2535000000000001</v>
      </c>
      <c r="AS767" s="2994">
        <v>1.2145999999999999</v>
      </c>
      <c r="AT767" s="2994">
        <v>1.1894</v>
      </c>
      <c r="AU767" s="2994">
        <v>1.5791999999999999</v>
      </c>
      <c r="AV767" s="2994">
        <v>1.4897</v>
      </c>
      <c r="AW767" s="2994">
        <v>1.2078</v>
      </c>
      <c r="AX767" s="2994">
        <v>1.1555</v>
      </c>
      <c r="AY767" s="2994">
        <v>1.1262000000000001</v>
      </c>
      <c r="AZ767" s="2994">
        <v>1.1015999999999999</v>
      </c>
      <c r="BA767" s="2994">
        <v>1.1898</v>
      </c>
      <c r="BB767" s="2994">
        <v>1.0978000000000001</v>
      </c>
      <c r="BC767" s="2994">
        <v>1.0459000000000001</v>
      </c>
      <c r="BD767" s="3471">
        <v>1.3647</v>
      </c>
      <c r="BE767" s="3471">
        <v>1.232</v>
      </c>
      <c r="BF767" s="3471">
        <v>1.5253000000000001</v>
      </c>
    </row>
    <row r="768" spans="1:58">
      <c r="A768" s="1817" t="str">
        <f t="shared" si="23"/>
        <v>Eastern AsiaPeas, green</v>
      </c>
      <c r="B768" s="1818" t="s">
        <v>1328</v>
      </c>
      <c r="C768" s="1818" t="s">
        <v>1366</v>
      </c>
      <c r="D768" s="3463" t="str">
        <f>VLOOKUP(B768,List_Yield!$G$4:$J$14,4,FALSE)</f>
        <v>Asia (Continental)</v>
      </c>
      <c r="E768" s="3463" t="str">
        <f t="shared" si="24"/>
        <v>Asia (Continental)Peas, green</v>
      </c>
      <c r="F768" s="2994">
        <v>5.8928000000000003</v>
      </c>
      <c r="G768" s="2994">
        <v>5.8502999999999998</v>
      </c>
      <c r="H768" s="2994">
        <v>4.9051</v>
      </c>
      <c r="I768" s="2994">
        <v>5.4844999999999997</v>
      </c>
      <c r="J768" s="2994">
        <v>5.4692999999999996</v>
      </c>
      <c r="K768" s="2994">
        <v>5.3369</v>
      </c>
      <c r="L768" s="2994">
        <v>5.1912000000000003</v>
      </c>
      <c r="M768" s="2994">
        <v>5.2564000000000002</v>
      </c>
      <c r="N768" s="2994">
        <v>5.3494000000000002</v>
      </c>
      <c r="O768" s="2994">
        <v>5.3094999999999999</v>
      </c>
      <c r="P768" s="2994">
        <v>5.7008000000000001</v>
      </c>
      <c r="Q768" s="2994">
        <v>5.6852</v>
      </c>
      <c r="R768" s="2994">
        <v>5.5782999999999996</v>
      </c>
      <c r="S768" s="2994">
        <v>5.7702999999999998</v>
      </c>
      <c r="T768" s="2994">
        <v>5.6829000000000001</v>
      </c>
      <c r="U768" s="2994">
        <v>5.3948</v>
      </c>
      <c r="V768" s="2994">
        <v>5.4561000000000002</v>
      </c>
      <c r="W768" s="2994">
        <v>5.4554999999999998</v>
      </c>
      <c r="X768" s="2994">
        <v>5.3654000000000002</v>
      </c>
      <c r="Y768" s="2994">
        <v>5.2157999999999998</v>
      </c>
      <c r="Z768" s="2994">
        <v>5.2672999999999996</v>
      </c>
      <c r="AA768" s="2994">
        <v>5.4917999999999996</v>
      </c>
      <c r="AB768" s="2994">
        <v>5.4673999999999996</v>
      </c>
      <c r="AC768" s="2994">
        <v>5.9340999999999999</v>
      </c>
      <c r="AD768" s="2994">
        <v>5.9661999999999997</v>
      </c>
      <c r="AE768" s="2994">
        <v>6.2687999999999997</v>
      </c>
      <c r="AF768" s="2994">
        <v>6.2417999999999996</v>
      </c>
      <c r="AG768" s="2994">
        <v>7.5602999999999998</v>
      </c>
      <c r="AH768" s="2994">
        <v>7.6574</v>
      </c>
      <c r="AI768" s="2994">
        <v>7.7698</v>
      </c>
      <c r="AJ768" s="2994">
        <v>7.7976000000000001</v>
      </c>
      <c r="AK768" s="2994">
        <v>7.7587000000000002</v>
      </c>
      <c r="AL768" s="2994">
        <v>7.8987999999999996</v>
      </c>
      <c r="AM768" s="2994">
        <v>7.9705000000000004</v>
      </c>
      <c r="AN768" s="2994">
        <v>7.7403000000000004</v>
      </c>
      <c r="AO768" s="2994">
        <v>7.9880000000000004</v>
      </c>
      <c r="AP768" s="2994">
        <v>7.9150999999999998</v>
      </c>
      <c r="AQ768" s="2994">
        <v>7.9497</v>
      </c>
      <c r="AR768" s="2994">
        <v>7.8718000000000004</v>
      </c>
      <c r="AS768" s="2994">
        <v>7.8037999999999998</v>
      </c>
      <c r="AT768" s="2994">
        <v>7.9119000000000002</v>
      </c>
      <c r="AU768" s="2994">
        <v>7.9199000000000002</v>
      </c>
      <c r="AV768" s="2994">
        <v>7.7186000000000003</v>
      </c>
      <c r="AW768" s="2994">
        <v>7.9257</v>
      </c>
      <c r="AX768" s="2994">
        <v>7.5907</v>
      </c>
      <c r="AY768" s="2994">
        <v>7.992</v>
      </c>
      <c r="AZ768" s="2994">
        <v>7.7337999999999996</v>
      </c>
      <c r="BA768" s="2994">
        <v>7.9893999999999998</v>
      </c>
      <c r="BB768" s="2994">
        <v>7.9886999999999997</v>
      </c>
      <c r="BC768" s="2994">
        <v>7.9227999999999996</v>
      </c>
      <c r="BD768" s="3471">
        <v>7.9245000000000001</v>
      </c>
      <c r="BE768" s="3471">
        <v>8.8385999999999996</v>
      </c>
      <c r="BF768" s="3471">
        <v>0</v>
      </c>
    </row>
    <row r="769" spans="1:58">
      <c r="A769" s="1817" t="str">
        <f t="shared" si="23"/>
        <v>Eastern AsiaPepper (piper spp.)</v>
      </c>
      <c r="B769" s="1818" t="s">
        <v>1328</v>
      </c>
      <c r="C769" s="1818" t="s">
        <v>7360</v>
      </c>
      <c r="D769" s="3463" t="str">
        <f>VLOOKUP(B769,List_Yield!$G$4:$J$14,4,FALSE)</f>
        <v>Asia (Continental)</v>
      </c>
      <c r="E769" s="3463" t="str">
        <f t="shared" si="24"/>
        <v>Asia (Continental)Pepper (piper spp.)</v>
      </c>
      <c r="F769" s="2994">
        <v>0.217</v>
      </c>
      <c r="G769" s="2994">
        <v>0.2515</v>
      </c>
      <c r="H769" s="2994">
        <v>0.2515</v>
      </c>
      <c r="I769" s="2994">
        <v>0.20830000000000001</v>
      </c>
      <c r="J769" s="2994">
        <v>0.25</v>
      </c>
      <c r="K769" s="2994">
        <v>0.26650000000000001</v>
      </c>
      <c r="L769" s="2994">
        <v>0.26119999999999999</v>
      </c>
      <c r="M769" s="2994">
        <v>0.27600000000000002</v>
      </c>
      <c r="N769" s="2994">
        <v>0.24590000000000001</v>
      </c>
      <c r="O769" s="2994">
        <v>0.26029999999999998</v>
      </c>
      <c r="P769" s="2994">
        <v>0.22270000000000001</v>
      </c>
      <c r="Q769" s="2994">
        <v>0.2387</v>
      </c>
      <c r="R769" s="2994">
        <v>0.2465</v>
      </c>
      <c r="S769" s="2994">
        <v>0.2394</v>
      </c>
      <c r="T769" s="2994">
        <v>0.2535</v>
      </c>
      <c r="U769" s="2994">
        <v>0.2283</v>
      </c>
      <c r="V769" s="2994">
        <v>0.23449999999999999</v>
      </c>
      <c r="W769" s="2994">
        <v>0.2429</v>
      </c>
      <c r="X769" s="2994">
        <v>0.2429</v>
      </c>
      <c r="Y769" s="2994">
        <v>0.25</v>
      </c>
      <c r="Z769" s="2994">
        <v>0.26240000000000002</v>
      </c>
      <c r="AA769" s="2994">
        <v>0.3054</v>
      </c>
      <c r="AB769" s="2994">
        <v>0.34449999999999997</v>
      </c>
      <c r="AC769" s="2994">
        <v>0.39960000000000001</v>
      </c>
      <c r="AD769" s="2994">
        <v>0.3987</v>
      </c>
      <c r="AE769" s="2994">
        <v>0.34110000000000001</v>
      </c>
      <c r="AF769" s="2994">
        <v>0.42380000000000001</v>
      </c>
      <c r="AG769" s="2994">
        <v>0.50280000000000002</v>
      </c>
      <c r="AH769" s="2994">
        <v>0.52010000000000001</v>
      </c>
      <c r="AI769" s="2994">
        <v>0.7883</v>
      </c>
      <c r="AJ769" s="2994">
        <v>0.90349999999999997</v>
      </c>
      <c r="AK769" s="2994">
        <v>1.0031000000000001</v>
      </c>
      <c r="AL769" s="2994">
        <v>1.0942000000000001</v>
      </c>
      <c r="AM769" s="2994">
        <v>1.1843999999999999</v>
      </c>
      <c r="AN769" s="2994">
        <v>1.0658000000000001</v>
      </c>
      <c r="AO769" s="2994">
        <v>1.1694</v>
      </c>
      <c r="AP769" s="2994">
        <v>1.089</v>
      </c>
      <c r="AQ769" s="2994">
        <v>1.3613999999999999</v>
      </c>
      <c r="AR769" s="2994">
        <v>1.5</v>
      </c>
      <c r="AS769" s="2994">
        <v>1.4009</v>
      </c>
      <c r="AT769" s="2994">
        <v>1.4229000000000001</v>
      </c>
      <c r="AU769" s="2994">
        <v>1.5188999999999999</v>
      </c>
      <c r="AV769" s="2994">
        <v>1.5377000000000001</v>
      </c>
      <c r="AW769" s="2994">
        <v>1.4683999999999999</v>
      </c>
      <c r="AX769" s="2994">
        <v>1.3491</v>
      </c>
      <c r="AY769" s="2994">
        <v>1.5025999999999999</v>
      </c>
      <c r="AZ769" s="2994">
        <v>1.5765</v>
      </c>
      <c r="BA769" s="2994">
        <v>1.9012</v>
      </c>
      <c r="BB769" s="2994">
        <v>1.9851000000000001</v>
      </c>
      <c r="BC769" s="2994">
        <v>1.7716000000000001</v>
      </c>
      <c r="BD769" s="3471">
        <v>1.7210000000000001</v>
      </c>
      <c r="BE769" s="3471">
        <v>1.8219000000000001</v>
      </c>
      <c r="BF769" s="3471">
        <v>0</v>
      </c>
    </row>
    <row r="770" spans="1:58">
      <c r="A770" s="1817" t="str">
        <f t="shared" ref="A770:A833" si="25">CONCATENATE(B770,C770)</f>
        <v>Eastern AsiaPeppermint</v>
      </c>
      <c r="B770" s="1818" t="s">
        <v>1328</v>
      </c>
      <c r="C770" s="1818" t="s">
        <v>7361</v>
      </c>
      <c r="D770" s="3463" t="str">
        <f>VLOOKUP(B770,List_Yield!$G$4:$J$14,4,FALSE)</f>
        <v>Asia (Continental)</v>
      </c>
      <c r="E770" s="3463" t="str">
        <f t="shared" si="24"/>
        <v>Asia (Continental)Peppermint</v>
      </c>
      <c r="F770" s="2994">
        <v>6.3963999999999999</v>
      </c>
      <c r="G770" s="2994">
        <v>6.4949000000000003</v>
      </c>
      <c r="H770" s="2994">
        <v>5.9050000000000002</v>
      </c>
      <c r="I770" s="2994">
        <v>4.3525999999999998</v>
      </c>
      <c r="J770" s="2994">
        <v>4.7984999999999998</v>
      </c>
      <c r="K770" s="2994">
        <v>5.4672000000000001</v>
      </c>
      <c r="L770" s="2994">
        <v>6.3865999999999996</v>
      </c>
      <c r="M770" s="2994">
        <v>7.1077000000000004</v>
      </c>
      <c r="N770" s="2994">
        <v>5.9385000000000003</v>
      </c>
      <c r="O770" s="2994">
        <v>6.5823</v>
      </c>
      <c r="P770" s="2994">
        <v>6.3956999999999997</v>
      </c>
      <c r="Q770" s="2994">
        <v>5.0975999999999999</v>
      </c>
      <c r="R770" s="2994">
        <v>4.2310999999999996</v>
      </c>
      <c r="S770" s="2994">
        <v>5.5967000000000002</v>
      </c>
      <c r="T770" s="2994">
        <v>5.5026999999999999</v>
      </c>
      <c r="U770" s="2994">
        <v>5.4084000000000003</v>
      </c>
      <c r="V770" s="2994">
        <v>5.2884000000000002</v>
      </c>
      <c r="W770" s="2994">
        <v>6.2088000000000001</v>
      </c>
      <c r="X770" s="2994">
        <v>5.87</v>
      </c>
      <c r="Y770" s="2994">
        <v>6.6642999999999999</v>
      </c>
      <c r="Z770" s="2994">
        <v>7.8989000000000003</v>
      </c>
      <c r="AA770" s="2994">
        <v>7.3771000000000004</v>
      </c>
      <c r="AB770" s="2994">
        <v>8.75</v>
      </c>
      <c r="AC770" s="2994">
        <v>8.75</v>
      </c>
      <c r="AD770" s="2994">
        <v>8.6206999999999994</v>
      </c>
      <c r="AE770" s="2994">
        <v>8.75</v>
      </c>
      <c r="AF770" s="2994">
        <v>8.6364000000000001</v>
      </c>
      <c r="AG770" s="2994">
        <v>8.5</v>
      </c>
      <c r="AH770" s="2994">
        <v>8.5</v>
      </c>
      <c r="AI770" s="2994">
        <v>9.3332999999999995</v>
      </c>
      <c r="AJ770" s="2994">
        <v>14.2857</v>
      </c>
      <c r="AK770" s="2994">
        <v>14.2857</v>
      </c>
      <c r="AL770" s="2994">
        <v>14.2857</v>
      </c>
      <c r="AM770" s="2994">
        <v>0</v>
      </c>
      <c r="AN770" s="2994">
        <v>0</v>
      </c>
      <c r="AO770" s="2994">
        <v>0</v>
      </c>
      <c r="AP770" s="2994">
        <v>0</v>
      </c>
      <c r="AQ770" s="2994">
        <v>0</v>
      </c>
      <c r="AR770" s="2994">
        <v>0</v>
      </c>
      <c r="AS770" s="2994">
        <v>0</v>
      </c>
      <c r="AT770" s="2994">
        <v>0</v>
      </c>
      <c r="AU770" s="2994">
        <v>0</v>
      </c>
      <c r="AV770" s="2994">
        <v>0</v>
      </c>
      <c r="AW770" s="2994">
        <v>0</v>
      </c>
      <c r="AX770" s="2994">
        <v>0</v>
      </c>
      <c r="AY770" s="2994">
        <v>0</v>
      </c>
      <c r="AZ770" s="2994">
        <v>0</v>
      </c>
      <c r="BA770" s="2994">
        <v>0</v>
      </c>
      <c r="BB770" s="2994">
        <v>0</v>
      </c>
      <c r="BC770" s="2994">
        <v>0</v>
      </c>
      <c r="BD770" s="3471">
        <v>0</v>
      </c>
      <c r="BE770" s="3471">
        <v>0</v>
      </c>
      <c r="BF770" s="3471">
        <v>0</v>
      </c>
    </row>
    <row r="771" spans="1:58">
      <c r="A771" s="1817" t="str">
        <f t="shared" si="25"/>
        <v>Eastern AsiaPersimmons</v>
      </c>
      <c r="B771" s="1818" t="s">
        <v>1328</v>
      </c>
      <c r="C771" s="1818" t="s">
        <v>7362</v>
      </c>
      <c r="D771" s="3463" t="str">
        <f>VLOOKUP(B771,List_Yield!$G$4:$J$14,4,FALSE)</f>
        <v>Asia (Continental)</v>
      </c>
      <c r="E771" s="3463" t="str">
        <f t="shared" si="24"/>
        <v>Asia (Continental)Persimmons</v>
      </c>
      <c r="F771" s="2994">
        <v>7.8422000000000001</v>
      </c>
      <c r="G771" s="2994">
        <v>6.5042</v>
      </c>
      <c r="H771" s="2994">
        <v>7.2485999999999997</v>
      </c>
      <c r="I771" s="2994">
        <v>7.2271999999999998</v>
      </c>
      <c r="J771" s="2994">
        <v>6.2812000000000001</v>
      </c>
      <c r="K771" s="2994">
        <v>5.4545000000000003</v>
      </c>
      <c r="L771" s="2994">
        <v>5.6657000000000002</v>
      </c>
      <c r="M771" s="2994">
        <v>4.8440000000000003</v>
      </c>
      <c r="N771" s="2994">
        <v>5.5160999999999998</v>
      </c>
      <c r="O771" s="2994">
        <v>4.5784000000000002</v>
      </c>
      <c r="P771" s="2994">
        <v>4.1124999999999998</v>
      </c>
      <c r="Q771" s="2994">
        <v>4.7196999999999996</v>
      </c>
      <c r="R771" s="2994">
        <v>5.6797000000000004</v>
      </c>
      <c r="S771" s="2994">
        <v>4.4729000000000001</v>
      </c>
      <c r="T771" s="2994">
        <v>4.5658000000000003</v>
      </c>
      <c r="U771" s="2994">
        <v>4.2641999999999998</v>
      </c>
      <c r="V771" s="2994">
        <v>4.3691000000000004</v>
      </c>
      <c r="W771" s="2994">
        <v>5.0781000000000001</v>
      </c>
      <c r="X771" s="2994">
        <v>5.9660000000000002</v>
      </c>
      <c r="Y771" s="2994">
        <v>5.8883999999999999</v>
      </c>
      <c r="Z771" s="2994">
        <v>5.3178000000000001</v>
      </c>
      <c r="AA771" s="2994">
        <v>4.9428000000000001</v>
      </c>
      <c r="AB771" s="2994">
        <v>5.0972</v>
      </c>
      <c r="AC771" s="2994">
        <v>4.4118000000000004</v>
      </c>
      <c r="AD771" s="2994">
        <v>4.6702000000000004</v>
      </c>
      <c r="AE771" s="2994">
        <v>4.7638999999999996</v>
      </c>
      <c r="AF771" s="2994">
        <v>4.6856999999999998</v>
      </c>
      <c r="AG771" s="2994">
        <v>4.6543000000000001</v>
      </c>
      <c r="AH771" s="2994">
        <v>4.5491000000000001</v>
      </c>
      <c r="AI771" s="2994">
        <v>4.9579000000000004</v>
      </c>
      <c r="AJ771" s="2994">
        <v>5.3456000000000001</v>
      </c>
      <c r="AK771" s="2994">
        <v>5.2495000000000003</v>
      </c>
      <c r="AL771" s="2994">
        <v>4.6013999999999999</v>
      </c>
      <c r="AM771" s="2994">
        <v>4.5826000000000002</v>
      </c>
      <c r="AN771" s="2994">
        <v>4.4470000000000001</v>
      </c>
      <c r="AO771" s="2994">
        <v>4.4306000000000001</v>
      </c>
      <c r="AP771" s="2994">
        <v>4.5754999999999999</v>
      </c>
      <c r="AQ771" s="2994">
        <v>4.4699</v>
      </c>
      <c r="AR771" s="2994">
        <v>4.5110000000000001</v>
      </c>
      <c r="AS771" s="2994">
        <v>4.1360999999999999</v>
      </c>
      <c r="AT771" s="2994">
        <v>4.0199999999999996</v>
      </c>
      <c r="AU771" s="2994">
        <v>3.9188999999999998</v>
      </c>
      <c r="AV771" s="2994">
        <v>3.6371000000000002</v>
      </c>
      <c r="AW771" s="2994">
        <v>3.9230999999999998</v>
      </c>
      <c r="AX771" s="2994">
        <v>4.2533000000000003</v>
      </c>
      <c r="AY771" s="2994">
        <v>4.2405999999999997</v>
      </c>
      <c r="AZ771" s="2994">
        <v>4.6679000000000004</v>
      </c>
      <c r="BA771" s="2994">
        <v>4.6669</v>
      </c>
      <c r="BB771" s="2994">
        <v>4.6843000000000004</v>
      </c>
      <c r="BC771" s="2994">
        <v>4.6825000000000001</v>
      </c>
      <c r="BD771" s="3471">
        <v>4.9629000000000003</v>
      </c>
      <c r="BE771" s="3471">
        <v>5.1348000000000003</v>
      </c>
      <c r="BF771" s="3471">
        <v>0</v>
      </c>
    </row>
    <row r="772" spans="1:58">
      <c r="A772" s="1817" t="str">
        <f t="shared" si="25"/>
        <v>Eastern AsiaPigeon peas</v>
      </c>
      <c r="B772" s="1818" t="s">
        <v>1328</v>
      </c>
      <c r="C772" s="1818" t="s">
        <v>7363</v>
      </c>
      <c r="D772" s="3463" t="str">
        <f>VLOOKUP(B772,List_Yield!$G$4:$J$14,4,FALSE)</f>
        <v>Asia (Continental)</v>
      </c>
      <c r="E772" s="3463" t="str">
        <f t="shared" si="24"/>
        <v>Asia (Continental)Pigeon peas</v>
      </c>
      <c r="F772" s="2994">
        <v>0</v>
      </c>
      <c r="G772" s="2994">
        <v>0</v>
      </c>
      <c r="H772" s="2994">
        <v>0</v>
      </c>
      <c r="I772" s="2994">
        <v>0</v>
      </c>
      <c r="J772" s="2994">
        <v>0</v>
      </c>
      <c r="K772" s="2994">
        <v>0</v>
      </c>
      <c r="L772" s="2994">
        <v>0</v>
      </c>
      <c r="M772" s="2994">
        <v>0</v>
      </c>
      <c r="N772" s="2994">
        <v>0</v>
      </c>
      <c r="O772" s="2994">
        <v>0</v>
      </c>
      <c r="P772" s="2994">
        <v>0</v>
      </c>
      <c r="Q772" s="2994">
        <v>0</v>
      </c>
      <c r="R772" s="2994">
        <v>0</v>
      </c>
      <c r="S772" s="2994">
        <v>0</v>
      </c>
      <c r="T772" s="2994">
        <v>0</v>
      </c>
      <c r="U772" s="2994">
        <v>0</v>
      </c>
      <c r="V772" s="2994">
        <v>0</v>
      </c>
      <c r="W772" s="2994">
        <v>0</v>
      </c>
      <c r="X772" s="2994">
        <v>0</v>
      </c>
      <c r="Y772" s="2994">
        <v>0</v>
      </c>
      <c r="Z772" s="2994">
        <v>0</v>
      </c>
      <c r="AA772" s="2994">
        <v>0</v>
      </c>
      <c r="AB772" s="2994">
        <v>0</v>
      </c>
      <c r="AC772" s="2994">
        <v>0</v>
      </c>
      <c r="AD772" s="2994">
        <v>0</v>
      </c>
      <c r="AE772" s="2994">
        <v>0</v>
      </c>
      <c r="AF772" s="2994">
        <v>0</v>
      </c>
      <c r="AG772" s="2994">
        <v>0</v>
      </c>
      <c r="AH772" s="2994">
        <v>0</v>
      </c>
      <c r="AI772" s="2994">
        <v>0</v>
      </c>
      <c r="AJ772" s="2994">
        <v>0</v>
      </c>
      <c r="AK772" s="2994">
        <v>0</v>
      </c>
      <c r="AL772" s="2994">
        <v>0</v>
      </c>
      <c r="AM772" s="2994">
        <v>0</v>
      </c>
      <c r="AN772" s="2994">
        <v>0</v>
      </c>
      <c r="AO772" s="2994">
        <v>0</v>
      </c>
      <c r="AP772" s="2994">
        <v>0</v>
      </c>
      <c r="AQ772" s="2994">
        <v>0</v>
      </c>
      <c r="AR772" s="2994">
        <v>0</v>
      </c>
      <c r="AS772" s="2994">
        <v>0</v>
      </c>
      <c r="AT772" s="2994">
        <v>0</v>
      </c>
      <c r="AU772" s="2994">
        <v>0</v>
      </c>
      <c r="AV772" s="2994">
        <v>0</v>
      </c>
      <c r="AW772" s="2994">
        <v>0</v>
      </c>
      <c r="AX772" s="2994">
        <v>0</v>
      </c>
      <c r="AY772" s="2994">
        <v>0</v>
      </c>
      <c r="AZ772" s="2994">
        <v>0</v>
      </c>
      <c r="BA772" s="2994">
        <v>0</v>
      </c>
      <c r="BB772" s="2994">
        <v>0</v>
      </c>
      <c r="BC772" s="2994">
        <v>0</v>
      </c>
      <c r="BD772" s="3471">
        <v>0</v>
      </c>
      <c r="BE772" s="3471">
        <v>0</v>
      </c>
      <c r="BF772" s="3471">
        <v>0</v>
      </c>
    </row>
    <row r="773" spans="1:58">
      <c r="A773" s="1817" t="str">
        <f t="shared" si="25"/>
        <v>Eastern AsiaPineapples</v>
      </c>
      <c r="B773" s="1818" t="s">
        <v>1328</v>
      </c>
      <c r="C773" s="1818" t="s">
        <v>1325</v>
      </c>
      <c r="D773" s="3463" t="str">
        <f>VLOOKUP(B773,List_Yield!$G$4:$J$14,4,FALSE)</f>
        <v>Asia (Continental)</v>
      </c>
      <c r="E773" s="3463" t="str">
        <f t="shared" si="24"/>
        <v>Asia (Continental)Pineapples</v>
      </c>
      <c r="F773" s="2994">
        <v>15.543799999999999</v>
      </c>
      <c r="G773" s="2994">
        <v>15.3413</v>
      </c>
      <c r="H773" s="2994">
        <v>13.9084</v>
      </c>
      <c r="I773" s="2994">
        <v>16.489599999999999</v>
      </c>
      <c r="J773" s="2994">
        <v>16.584299999999999</v>
      </c>
      <c r="K773" s="2994">
        <v>18.2591</v>
      </c>
      <c r="L773" s="2994">
        <v>19.1904</v>
      </c>
      <c r="M773" s="2994">
        <v>19.486499999999999</v>
      </c>
      <c r="N773" s="2994">
        <v>20.607099999999999</v>
      </c>
      <c r="O773" s="2994">
        <v>19.460699999999999</v>
      </c>
      <c r="P773" s="2994">
        <v>19.8508</v>
      </c>
      <c r="Q773" s="2994">
        <v>18.916</v>
      </c>
      <c r="R773" s="2994">
        <v>19.786000000000001</v>
      </c>
      <c r="S773" s="2994">
        <v>18.567499999999999</v>
      </c>
      <c r="T773" s="2994">
        <v>19.585100000000001</v>
      </c>
      <c r="U773" s="2994">
        <v>19.250699999999998</v>
      </c>
      <c r="V773" s="2994">
        <v>20.3626</v>
      </c>
      <c r="W773" s="2994">
        <v>19.008900000000001</v>
      </c>
      <c r="X773" s="2994">
        <v>19.9849</v>
      </c>
      <c r="Y773" s="2994">
        <v>19.953700000000001</v>
      </c>
      <c r="Z773" s="2994">
        <v>17.813600000000001</v>
      </c>
      <c r="AA773" s="2994">
        <v>17.5932</v>
      </c>
      <c r="AB773" s="2994">
        <v>16.433299999999999</v>
      </c>
      <c r="AC773" s="2994">
        <v>16.7804</v>
      </c>
      <c r="AD773" s="2994">
        <v>18.837599999999998</v>
      </c>
      <c r="AE773" s="2994">
        <v>24.2547</v>
      </c>
      <c r="AF773" s="2994">
        <v>25.075299999999999</v>
      </c>
      <c r="AG773" s="2994">
        <v>26.714300000000001</v>
      </c>
      <c r="AH773" s="2994">
        <v>26.149000000000001</v>
      </c>
      <c r="AI773" s="2994">
        <v>26.289899999999999</v>
      </c>
      <c r="AJ773" s="2994">
        <v>27.023399999999999</v>
      </c>
      <c r="AK773" s="2994">
        <v>25.769600000000001</v>
      </c>
      <c r="AL773" s="2994">
        <v>29.531300000000002</v>
      </c>
      <c r="AM773" s="2994">
        <v>27.002600000000001</v>
      </c>
      <c r="AN773" s="2994">
        <v>27.253299999999999</v>
      </c>
      <c r="AO773" s="2994">
        <v>24.943899999999999</v>
      </c>
      <c r="AP773" s="2994">
        <v>22.600200000000001</v>
      </c>
      <c r="AQ773" s="2994">
        <v>25.821200000000001</v>
      </c>
      <c r="AR773" s="2994">
        <v>26.015899999999998</v>
      </c>
      <c r="AS773" s="2994">
        <v>22.9377</v>
      </c>
      <c r="AT773" s="2994">
        <v>18.209199999999999</v>
      </c>
      <c r="AU773" s="2994">
        <v>19.11</v>
      </c>
      <c r="AV773" s="2994">
        <v>20.356100000000001</v>
      </c>
      <c r="AW773" s="2994">
        <v>20.683700000000002</v>
      </c>
      <c r="AX773" s="2994">
        <v>20.7563</v>
      </c>
      <c r="AY773" s="2994">
        <v>21.5745</v>
      </c>
      <c r="AZ773" s="2994">
        <v>20.847899999999999</v>
      </c>
      <c r="BA773" s="2994">
        <v>21.6675</v>
      </c>
      <c r="BB773" s="2994">
        <v>23.110399999999998</v>
      </c>
      <c r="BC773" s="2994">
        <v>22.201599999999999</v>
      </c>
      <c r="BD773" s="3471">
        <v>22.408000000000001</v>
      </c>
      <c r="BE773" s="3471">
        <v>22.8048</v>
      </c>
      <c r="BF773" s="3471">
        <v>0</v>
      </c>
    </row>
    <row r="774" spans="1:58">
      <c r="A774" s="1817" t="str">
        <f t="shared" si="25"/>
        <v>Eastern AsiaPistachios</v>
      </c>
      <c r="B774" s="1818" t="s">
        <v>1328</v>
      </c>
      <c r="C774" s="1818" t="s">
        <v>7364</v>
      </c>
      <c r="D774" s="3463" t="str">
        <f>VLOOKUP(B774,List_Yield!$G$4:$J$14,4,FALSE)</f>
        <v>Asia (Continental)</v>
      </c>
      <c r="E774" s="3463" t="str">
        <f t="shared" si="24"/>
        <v>Asia (Continental)Pistachios</v>
      </c>
      <c r="F774" s="2994">
        <v>0</v>
      </c>
      <c r="G774" s="2994">
        <v>0</v>
      </c>
      <c r="H774" s="2994">
        <v>0</v>
      </c>
      <c r="I774" s="2994">
        <v>0</v>
      </c>
      <c r="J774" s="2994">
        <v>0</v>
      </c>
      <c r="K774" s="2994">
        <v>0</v>
      </c>
      <c r="L774" s="2994">
        <v>0</v>
      </c>
      <c r="M774" s="2994">
        <v>0</v>
      </c>
      <c r="N774" s="2994">
        <v>0</v>
      </c>
      <c r="O774" s="2994">
        <v>0</v>
      </c>
      <c r="P774" s="2994">
        <v>0</v>
      </c>
      <c r="Q774" s="2994">
        <v>0</v>
      </c>
      <c r="R774" s="2994">
        <v>0</v>
      </c>
      <c r="S774" s="2994">
        <v>0</v>
      </c>
      <c r="T774" s="2994">
        <v>0</v>
      </c>
      <c r="U774" s="2994">
        <v>0</v>
      </c>
      <c r="V774" s="2994">
        <v>0</v>
      </c>
      <c r="W774" s="2994">
        <v>0</v>
      </c>
      <c r="X774" s="2994">
        <v>0</v>
      </c>
      <c r="Y774" s="2994">
        <v>0</v>
      </c>
      <c r="Z774" s="2994">
        <v>0</v>
      </c>
      <c r="AA774" s="2994">
        <v>0</v>
      </c>
      <c r="AB774" s="2994">
        <v>0</v>
      </c>
      <c r="AC774" s="2994">
        <v>0</v>
      </c>
      <c r="AD774" s="2994">
        <v>1.1875</v>
      </c>
      <c r="AE774" s="2994">
        <v>1.3125</v>
      </c>
      <c r="AF774" s="2994">
        <v>1.375</v>
      </c>
      <c r="AG774" s="2994">
        <v>1.25</v>
      </c>
      <c r="AH774" s="2994">
        <v>1.3438000000000001</v>
      </c>
      <c r="AI774" s="2994">
        <v>1.3414999999999999</v>
      </c>
      <c r="AJ774" s="2994">
        <v>1.3633999999999999</v>
      </c>
      <c r="AK774" s="2994">
        <v>1.2534000000000001</v>
      </c>
      <c r="AL774" s="2994">
        <v>1.4458</v>
      </c>
      <c r="AM774" s="2994">
        <v>1.4500999999999999</v>
      </c>
      <c r="AN774" s="2994">
        <v>1.5283</v>
      </c>
      <c r="AO774" s="2994">
        <v>1.5374000000000001</v>
      </c>
      <c r="AP774" s="2994">
        <v>1.7646999999999999</v>
      </c>
      <c r="AQ774" s="2994">
        <v>1.4857</v>
      </c>
      <c r="AR774" s="2994">
        <v>1.9333</v>
      </c>
      <c r="AS774" s="2994">
        <v>1.8332999999999999</v>
      </c>
      <c r="AT774" s="2994">
        <v>1.7333000000000001</v>
      </c>
      <c r="AU774" s="2994">
        <v>1.5901000000000001</v>
      </c>
      <c r="AV774" s="2994">
        <v>1.8399000000000001</v>
      </c>
      <c r="AW774" s="2994">
        <v>2.3363999999999998</v>
      </c>
      <c r="AX774" s="2994">
        <v>2.125</v>
      </c>
      <c r="AY774" s="2994">
        <v>2.2968999999999999</v>
      </c>
      <c r="AZ774" s="2994">
        <v>2.1714000000000002</v>
      </c>
      <c r="BA774" s="2994">
        <v>2.2222</v>
      </c>
      <c r="BB774" s="2994">
        <v>2.25</v>
      </c>
      <c r="BC774" s="2994">
        <v>2.4167000000000001</v>
      </c>
      <c r="BD774" s="3471">
        <v>2.96</v>
      </c>
      <c r="BE774" s="3471">
        <v>2.96</v>
      </c>
      <c r="BF774" s="3471">
        <v>0</v>
      </c>
    </row>
    <row r="775" spans="1:58">
      <c r="A775" s="1817" t="str">
        <f t="shared" si="25"/>
        <v>Eastern AsiaPlantains</v>
      </c>
      <c r="B775" s="1818" t="s">
        <v>1328</v>
      </c>
      <c r="C775" s="1818" t="s">
        <v>1367</v>
      </c>
      <c r="D775" s="3463" t="str">
        <f>VLOOKUP(B775,List_Yield!$G$4:$J$14,4,FALSE)</f>
        <v>Asia (Continental)</v>
      </c>
      <c r="E775" s="3463" t="str">
        <f t="shared" si="24"/>
        <v>Asia (Continental)Plantains</v>
      </c>
      <c r="F775" s="2994">
        <v>0</v>
      </c>
      <c r="G775" s="2994">
        <v>0</v>
      </c>
      <c r="H775" s="2994">
        <v>0</v>
      </c>
      <c r="I775" s="2994">
        <v>0</v>
      </c>
      <c r="J775" s="2994">
        <v>0</v>
      </c>
      <c r="K775" s="2994">
        <v>0</v>
      </c>
      <c r="L775" s="2994">
        <v>0</v>
      </c>
      <c r="M775" s="2994">
        <v>0</v>
      </c>
      <c r="N775" s="2994">
        <v>0</v>
      </c>
      <c r="O775" s="2994">
        <v>0</v>
      </c>
      <c r="P775" s="2994">
        <v>0</v>
      </c>
      <c r="Q775" s="2994">
        <v>0</v>
      </c>
      <c r="R775" s="2994">
        <v>0</v>
      </c>
      <c r="S775" s="2994">
        <v>0</v>
      </c>
      <c r="T775" s="2994">
        <v>0</v>
      </c>
      <c r="U775" s="2994">
        <v>0</v>
      </c>
      <c r="V775" s="2994">
        <v>0</v>
      </c>
      <c r="W775" s="2994">
        <v>0</v>
      </c>
      <c r="X775" s="2994">
        <v>0</v>
      </c>
      <c r="Y775" s="2994">
        <v>0</v>
      </c>
      <c r="Z775" s="2994">
        <v>0</v>
      </c>
      <c r="AA775" s="2994">
        <v>0</v>
      </c>
      <c r="AB775" s="2994">
        <v>0</v>
      </c>
      <c r="AC775" s="2994">
        <v>0</v>
      </c>
      <c r="AD775" s="2994">
        <v>0</v>
      </c>
      <c r="AE775" s="2994">
        <v>0</v>
      </c>
      <c r="AF775" s="2994">
        <v>0</v>
      </c>
      <c r="AG775" s="2994">
        <v>0</v>
      </c>
      <c r="AH775" s="2994">
        <v>0</v>
      </c>
      <c r="AI775" s="2994">
        <v>0</v>
      </c>
      <c r="AJ775" s="2994">
        <v>0</v>
      </c>
      <c r="AK775" s="2994">
        <v>0</v>
      </c>
      <c r="AL775" s="2994">
        <v>0</v>
      </c>
      <c r="AM775" s="2994">
        <v>0</v>
      </c>
      <c r="AN775" s="2994">
        <v>0</v>
      </c>
      <c r="AO775" s="2994">
        <v>0</v>
      </c>
      <c r="AP775" s="2994">
        <v>0</v>
      </c>
      <c r="AQ775" s="2994">
        <v>0</v>
      </c>
      <c r="AR775" s="2994">
        <v>0</v>
      </c>
      <c r="AS775" s="2994">
        <v>0</v>
      </c>
      <c r="AT775" s="2994">
        <v>0</v>
      </c>
      <c r="AU775" s="2994">
        <v>0</v>
      </c>
      <c r="AV775" s="2994">
        <v>0</v>
      </c>
      <c r="AW775" s="2994">
        <v>0</v>
      </c>
      <c r="AX775" s="2994">
        <v>0</v>
      </c>
      <c r="AY775" s="2994">
        <v>0</v>
      </c>
      <c r="AZ775" s="2994">
        <v>0</v>
      </c>
      <c r="BA775" s="2994">
        <v>0</v>
      </c>
      <c r="BB775" s="2994">
        <v>0</v>
      </c>
      <c r="BC775" s="2994">
        <v>0</v>
      </c>
      <c r="BD775" s="3471">
        <v>0</v>
      </c>
      <c r="BE775" s="3471">
        <v>0</v>
      </c>
      <c r="BF775" s="3471">
        <v>0</v>
      </c>
    </row>
    <row r="776" spans="1:58">
      <c r="A776" s="1817" t="str">
        <f t="shared" si="25"/>
        <v>Eastern AsiaPlums and sloes</v>
      </c>
      <c r="B776" s="1818" t="s">
        <v>1328</v>
      </c>
      <c r="C776" s="1818" t="s">
        <v>7365</v>
      </c>
      <c r="D776" s="3463" t="str">
        <f>VLOOKUP(B776,List_Yield!$G$4:$J$14,4,FALSE)</f>
        <v>Asia (Continental)</v>
      </c>
      <c r="E776" s="3463" t="str">
        <f t="shared" si="24"/>
        <v>Asia (Continental)Plums and sloes</v>
      </c>
      <c r="F776" s="2994">
        <v>6.5762</v>
      </c>
      <c r="G776" s="2994">
        <v>5.6505000000000001</v>
      </c>
      <c r="H776" s="2994">
        <v>5.7470999999999997</v>
      </c>
      <c r="I776" s="2994">
        <v>4.8028000000000004</v>
      </c>
      <c r="J776" s="2994">
        <v>4.8781999999999996</v>
      </c>
      <c r="K776" s="2994">
        <v>3.6189</v>
      </c>
      <c r="L776" s="2994">
        <v>3.5668000000000002</v>
      </c>
      <c r="M776" s="2994">
        <v>3.1947999999999999</v>
      </c>
      <c r="N776" s="2994">
        <v>3.2353999999999998</v>
      </c>
      <c r="O776" s="2994">
        <v>3.2517</v>
      </c>
      <c r="P776" s="2994">
        <v>2.9356</v>
      </c>
      <c r="Q776" s="2994">
        <v>3.6442999999999999</v>
      </c>
      <c r="R776" s="2994">
        <v>4.516</v>
      </c>
      <c r="S776" s="2994">
        <v>3.7522000000000002</v>
      </c>
      <c r="T776" s="2994">
        <v>3.5028999999999999</v>
      </c>
      <c r="U776" s="2994">
        <v>3.0569000000000002</v>
      </c>
      <c r="V776" s="2994">
        <v>2.8231999999999999</v>
      </c>
      <c r="W776" s="2994">
        <v>3.4803000000000002</v>
      </c>
      <c r="X776" s="2994">
        <v>4.2702</v>
      </c>
      <c r="Y776" s="2994">
        <v>4.1516000000000002</v>
      </c>
      <c r="Z776" s="2994">
        <v>4.0854999999999997</v>
      </c>
      <c r="AA776" s="2994">
        <v>3.4832000000000001</v>
      </c>
      <c r="AB776" s="2994">
        <v>3.9731000000000001</v>
      </c>
      <c r="AC776" s="2994">
        <v>3.9661</v>
      </c>
      <c r="AD776" s="2994">
        <v>2.9146000000000001</v>
      </c>
      <c r="AE776" s="2994">
        <v>2.2383000000000002</v>
      </c>
      <c r="AF776" s="2994">
        <v>2.2223999999999999</v>
      </c>
      <c r="AG776" s="2994">
        <v>1.9603999999999999</v>
      </c>
      <c r="AH776" s="2994">
        <v>1.7317</v>
      </c>
      <c r="AI776" s="2994">
        <v>1.8737999999999999</v>
      </c>
      <c r="AJ776" s="2994">
        <v>2.0505</v>
      </c>
      <c r="AK776" s="2994">
        <v>2.1724000000000001</v>
      </c>
      <c r="AL776" s="2994">
        <v>2.2467000000000001</v>
      </c>
      <c r="AM776" s="2994">
        <v>2.3531</v>
      </c>
      <c r="AN776" s="2994">
        <v>2.6244000000000001</v>
      </c>
      <c r="AO776" s="2994">
        <v>2.8146</v>
      </c>
      <c r="AP776" s="2994">
        <v>3.6724999999999999</v>
      </c>
      <c r="AQ776" s="2994">
        <v>2.6882999999999999</v>
      </c>
      <c r="AR776" s="2994">
        <v>3.0386000000000002</v>
      </c>
      <c r="AS776" s="2994">
        <v>2.7496999999999998</v>
      </c>
      <c r="AT776" s="2994">
        <v>3.0438999999999998</v>
      </c>
      <c r="AU776" s="2994">
        <v>3.2784</v>
      </c>
      <c r="AV776" s="2994">
        <v>3.1858</v>
      </c>
      <c r="AW776" s="2994">
        <v>3.2734999999999999</v>
      </c>
      <c r="AX776" s="2994">
        <v>3.5232999999999999</v>
      </c>
      <c r="AY776" s="2994">
        <v>3.5434000000000001</v>
      </c>
      <c r="AZ776" s="2994">
        <v>3.1520999999999999</v>
      </c>
      <c r="BA776" s="2994">
        <v>3.1985999999999999</v>
      </c>
      <c r="BB776" s="2994">
        <v>3.2650000000000001</v>
      </c>
      <c r="BC776" s="2994">
        <v>3.3980000000000001</v>
      </c>
      <c r="BD776" s="3471">
        <v>3.4786000000000001</v>
      </c>
      <c r="BE776" s="3471">
        <v>3.4615999999999998</v>
      </c>
      <c r="BF776" s="3471">
        <v>0</v>
      </c>
    </row>
    <row r="777" spans="1:58">
      <c r="A777" s="1817" t="str">
        <f t="shared" si="25"/>
        <v>Eastern AsiaPopcorn</v>
      </c>
      <c r="B777" s="1818" t="s">
        <v>1328</v>
      </c>
      <c r="C777" s="1818" t="s">
        <v>7366</v>
      </c>
      <c r="D777" s="3463" t="str">
        <f>VLOOKUP(B777,List_Yield!$G$4:$J$14,4,FALSE)</f>
        <v>Asia (Continental)</v>
      </c>
      <c r="E777" s="3463" t="str">
        <f t="shared" si="24"/>
        <v>Asia (Continental)Popcorn</v>
      </c>
      <c r="F777" s="2994">
        <v>0</v>
      </c>
      <c r="G777" s="2994">
        <v>0</v>
      </c>
      <c r="H777" s="2994">
        <v>0</v>
      </c>
      <c r="I777" s="2994">
        <v>0</v>
      </c>
      <c r="J777" s="2994">
        <v>0</v>
      </c>
      <c r="K777" s="2994">
        <v>0</v>
      </c>
      <c r="L777" s="2994">
        <v>0</v>
      </c>
      <c r="M777" s="2994">
        <v>0</v>
      </c>
      <c r="N777" s="2994">
        <v>0</v>
      </c>
      <c r="O777" s="2994">
        <v>0</v>
      </c>
      <c r="P777" s="2994">
        <v>0</v>
      </c>
      <c r="Q777" s="2994">
        <v>0</v>
      </c>
      <c r="R777" s="2994">
        <v>0</v>
      </c>
      <c r="S777" s="2994">
        <v>0</v>
      </c>
      <c r="T777" s="2994">
        <v>0</v>
      </c>
      <c r="U777" s="2994">
        <v>0</v>
      </c>
      <c r="V777" s="2994">
        <v>0</v>
      </c>
      <c r="W777" s="2994">
        <v>0</v>
      </c>
      <c r="X777" s="2994">
        <v>0</v>
      </c>
      <c r="Y777" s="2994">
        <v>0</v>
      </c>
      <c r="Z777" s="2994">
        <v>0</v>
      </c>
      <c r="AA777" s="2994">
        <v>0</v>
      </c>
      <c r="AB777" s="2994">
        <v>0</v>
      </c>
      <c r="AC777" s="2994">
        <v>0</v>
      </c>
      <c r="AD777" s="2994">
        <v>0</v>
      </c>
      <c r="AE777" s="2994">
        <v>0</v>
      </c>
      <c r="AF777" s="2994">
        <v>0</v>
      </c>
      <c r="AG777" s="2994">
        <v>0</v>
      </c>
      <c r="AH777" s="2994">
        <v>0</v>
      </c>
      <c r="AI777" s="2994">
        <v>0</v>
      </c>
      <c r="AJ777" s="2994">
        <v>0</v>
      </c>
      <c r="AK777" s="2994">
        <v>0</v>
      </c>
      <c r="AL777" s="2994">
        <v>0</v>
      </c>
      <c r="AM777" s="2994">
        <v>0</v>
      </c>
      <c r="AN777" s="2994">
        <v>0</v>
      </c>
      <c r="AO777" s="2994">
        <v>0</v>
      </c>
      <c r="AP777" s="2994">
        <v>0</v>
      </c>
      <c r="AQ777" s="2994">
        <v>0</v>
      </c>
      <c r="AR777" s="2994">
        <v>0</v>
      </c>
      <c r="AS777" s="2994">
        <v>0</v>
      </c>
      <c r="AT777" s="2994">
        <v>0</v>
      </c>
      <c r="AU777" s="2994">
        <v>0</v>
      </c>
      <c r="AV777" s="2994">
        <v>0</v>
      </c>
      <c r="AW777" s="2994">
        <v>0</v>
      </c>
      <c r="AX777" s="2994">
        <v>0</v>
      </c>
      <c r="AY777" s="2994">
        <v>0</v>
      </c>
      <c r="AZ777" s="2994">
        <v>0</v>
      </c>
      <c r="BA777" s="2994">
        <v>0</v>
      </c>
      <c r="BB777" s="2994">
        <v>0</v>
      </c>
      <c r="BC777" s="2994">
        <v>0</v>
      </c>
      <c r="BD777" s="3471">
        <v>0</v>
      </c>
      <c r="BE777" s="3471">
        <v>0</v>
      </c>
      <c r="BF777" s="3471">
        <v>0</v>
      </c>
    </row>
    <row r="778" spans="1:58">
      <c r="A778" s="1817" t="str">
        <f t="shared" si="25"/>
        <v>Eastern AsiaPoppy seed</v>
      </c>
      <c r="B778" s="1818" t="s">
        <v>1328</v>
      </c>
      <c r="C778" s="1818" t="s">
        <v>7367</v>
      </c>
      <c r="D778" s="3463" t="str">
        <f>VLOOKUP(B778,List_Yield!$G$4:$J$14,4,FALSE)</f>
        <v>Asia (Continental)</v>
      </c>
      <c r="E778" s="3463" t="str">
        <f t="shared" si="24"/>
        <v>Asia (Continental)Poppy seed</v>
      </c>
      <c r="F778" s="2994">
        <v>0</v>
      </c>
      <c r="G778" s="2994">
        <v>0</v>
      </c>
      <c r="H778" s="2994">
        <v>0</v>
      </c>
      <c r="I778" s="2994">
        <v>0</v>
      </c>
      <c r="J778" s="2994">
        <v>0</v>
      </c>
      <c r="K778" s="2994">
        <v>0</v>
      </c>
      <c r="L778" s="2994">
        <v>0</v>
      </c>
      <c r="M778" s="2994">
        <v>0</v>
      </c>
      <c r="N778" s="2994">
        <v>0</v>
      </c>
      <c r="O778" s="2994">
        <v>0</v>
      </c>
      <c r="P778" s="2994">
        <v>0</v>
      </c>
      <c r="Q778" s="2994">
        <v>0</v>
      </c>
      <c r="R778" s="2994">
        <v>0</v>
      </c>
      <c r="S778" s="2994">
        <v>0</v>
      </c>
      <c r="T778" s="2994">
        <v>0</v>
      </c>
      <c r="U778" s="2994">
        <v>0</v>
      </c>
      <c r="V778" s="2994">
        <v>0</v>
      </c>
      <c r="W778" s="2994">
        <v>0</v>
      </c>
      <c r="X778" s="2994">
        <v>0</v>
      </c>
      <c r="Y778" s="2994">
        <v>0</v>
      </c>
      <c r="Z778" s="2994">
        <v>0</v>
      </c>
      <c r="AA778" s="2994">
        <v>0</v>
      </c>
      <c r="AB778" s="2994">
        <v>0</v>
      </c>
      <c r="AC778" s="2994">
        <v>0</v>
      </c>
      <c r="AD778" s="2994">
        <v>0</v>
      </c>
      <c r="AE778" s="2994">
        <v>0</v>
      </c>
      <c r="AF778" s="2994">
        <v>0</v>
      </c>
      <c r="AG778" s="2994">
        <v>0</v>
      </c>
      <c r="AH778" s="2994">
        <v>0</v>
      </c>
      <c r="AI778" s="2994">
        <v>0</v>
      </c>
      <c r="AJ778" s="2994">
        <v>0</v>
      </c>
      <c r="AK778" s="2994">
        <v>0</v>
      </c>
      <c r="AL778" s="2994">
        <v>0</v>
      </c>
      <c r="AM778" s="2994">
        <v>0</v>
      </c>
      <c r="AN778" s="2994">
        <v>0</v>
      </c>
      <c r="AO778" s="2994">
        <v>0</v>
      </c>
      <c r="AP778" s="2994">
        <v>0</v>
      </c>
      <c r="AQ778" s="2994">
        <v>0</v>
      </c>
      <c r="AR778" s="2994">
        <v>0</v>
      </c>
      <c r="AS778" s="2994">
        <v>0</v>
      </c>
      <c r="AT778" s="2994">
        <v>0</v>
      </c>
      <c r="AU778" s="2994">
        <v>0</v>
      </c>
      <c r="AV778" s="2994">
        <v>0</v>
      </c>
      <c r="AW778" s="2994">
        <v>0</v>
      </c>
      <c r="AX778" s="2994">
        <v>0</v>
      </c>
      <c r="AY778" s="2994">
        <v>0</v>
      </c>
      <c r="AZ778" s="2994">
        <v>0</v>
      </c>
      <c r="BA778" s="2994">
        <v>0</v>
      </c>
      <c r="BB778" s="2994">
        <v>0</v>
      </c>
      <c r="BC778" s="2994">
        <v>0</v>
      </c>
      <c r="BD778" s="3471">
        <v>0</v>
      </c>
      <c r="BE778" s="3471">
        <v>0</v>
      </c>
      <c r="BF778" s="3471">
        <v>0</v>
      </c>
    </row>
    <row r="779" spans="1:58">
      <c r="A779" s="1817" t="str">
        <f t="shared" si="25"/>
        <v>Eastern AsiaPotatoes</v>
      </c>
      <c r="B779" s="1818" t="s">
        <v>1328</v>
      </c>
      <c r="C779" s="1818" t="s">
        <v>1368</v>
      </c>
      <c r="D779" s="3463" t="str">
        <f>VLOOKUP(B779,List_Yield!$G$4:$J$14,4,FALSE)</f>
        <v>Asia (Continental)</v>
      </c>
      <c r="E779" s="3463" t="str">
        <f t="shared" si="24"/>
        <v>Asia (Continental)Potatoes</v>
      </c>
      <c r="F779" s="2994">
        <v>10.993600000000001</v>
      </c>
      <c r="G779" s="2994">
        <v>10.1416</v>
      </c>
      <c r="H779" s="2994">
        <v>9.0437999999999992</v>
      </c>
      <c r="I779" s="2994">
        <v>9.9181000000000008</v>
      </c>
      <c r="J779" s="2994">
        <v>10.4681</v>
      </c>
      <c r="K779" s="2994">
        <v>9.7995000000000001</v>
      </c>
      <c r="L779" s="2994">
        <v>9.8755000000000006</v>
      </c>
      <c r="M779" s="2994">
        <v>10.0085</v>
      </c>
      <c r="N779" s="2994">
        <v>10.9955</v>
      </c>
      <c r="O779" s="2994">
        <v>11.599299999999999</v>
      </c>
      <c r="P779" s="2994">
        <v>11.188000000000001</v>
      </c>
      <c r="Q779" s="2994">
        <v>11.003500000000001</v>
      </c>
      <c r="R779" s="2994">
        <v>14.042400000000001</v>
      </c>
      <c r="S779" s="2994">
        <v>13.415100000000001</v>
      </c>
      <c r="T779" s="2994">
        <v>12.3047</v>
      </c>
      <c r="U779" s="2994">
        <v>12.2982</v>
      </c>
      <c r="V779" s="2994">
        <v>13.9504</v>
      </c>
      <c r="W779" s="2994">
        <v>13.3369</v>
      </c>
      <c r="X779" s="2994">
        <v>11.9428</v>
      </c>
      <c r="Y779" s="2994">
        <v>12.0662</v>
      </c>
      <c r="Z779" s="2994">
        <v>11.047800000000001</v>
      </c>
      <c r="AA779" s="2994">
        <v>11.903700000000001</v>
      </c>
      <c r="AB779" s="2994">
        <v>12.2271</v>
      </c>
      <c r="AC779" s="2994">
        <v>12.548500000000001</v>
      </c>
      <c r="AD779" s="2994">
        <v>11.7889</v>
      </c>
      <c r="AE779" s="2994">
        <v>11.200900000000001</v>
      </c>
      <c r="AF779" s="2994">
        <v>11.397600000000001</v>
      </c>
      <c r="AG779" s="2994">
        <v>12.3765</v>
      </c>
      <c r="AH779" s="2994">
        <v>11.910600000000001</v>
      </c>
      <c r="AI779" s="2994">
        <v>12.1386</v>
      </c>
      <c r="AJ779" s="2994">
        <v>11.4483</v>
      </c>
      <c r="AK779" s="2994">
        <v>13.339399999999999</v>
      </c>
      <c r="AL779" s="2994">
        <v>15.4129</v>
      </c>
      <c r="AM779" s="2994">
        <v>14.2057</v>
      </c>
      <c r="AN779" s="2994">
        <v>13.9466</v>
      </c>
      <c r="AO779" s="2994">
        <v>14.620100000000001</v>
      </c>
      <c r="AP779" s="2994">
        <v>15.391999999999999</v>
      </c>
      <c r="AQ779" s="2994">
        <v>16.125699999999998</v>
      </c>
      <c r="AR779" s="2994">
        <v>12.9316</v>
      </c>
      <c r="AS779" s="2994">
        <v>14.241</v>
      </c>
      <c r="AT779" s="2994">
        <v>13.999599999999999</v>
      </c>
      <c r="AU779" s="2994">
        <v>15.197900000000001</v>
      </c>
      <c r="AV779" s="2994">
        <v>15.258800000000001</v>
      </c>
      <c r="AW779" s="2994">
        <v>15.873100000000001</v>
      </c>
      <c r="AX779" s="2994">
        <v>14.7448</v>
      </c>
      <c r="AY779" s="2994">
        <v>13.204499999999999</v>
      </c>
      <c r="AZ779" s="2994">
        <v>14.8903</v>
      </c>
      <c r="BA779" s="2994">
        <v>15.277100000000001</v>
      </c>
      <c r="BB779" s="2994">
        <v>14.6174</v>
      </c>
      <c r="BC779" s="2994">
        <v>15.8147</v>
      </c>
      <c r="BD779" s="3471">
        <v>16.404800000000002</v>
      </c>
      <c r="BE779" s="3471">
        <v>16.288399999999999</v>
      </c>
      <c r="BF779" s="3471">
        <v>15.621499999999999</v>
      </c>
    </row>
    <row r="780" spans="1:58">
      <c r="A780" s="1817" t="str">
        <f t="shared" si="25"/>
        <v>Eastern AsiaPulses, nes</v>
      </c>
      <c r="B780" s="1818" t="s">
        <v>1328</v>
      </c>
      <c r="C780" s="1818" t="s">
        <v>1369</v>
      </c>
      <c r="D780" s="3463" t="str">
        <f>VLOOKUP(B780,List_Yield!$G$4:$J$14,4,FALSE)</f>
        <v>Asia (Continental)</v>
      </c>
      <c r="E780" s="3463" t="str">
        <f t="shared" si="24"/>
        <v>Asia (Continental)Pulses, nes</v>
      </c>
      <c r="F780" s="2994">
        <v>0.41599999999999998</v>
      </c>
      <c r="G780" s="2994">
        <v>0.39</v>
      </c>
      <c r="H780" s="2994">
        <v>0.32750000000000001</v>
      </c>
      <c r="I780" s="2994">
        <v>0.35089999999999999</v>
      </c>
      <c r="J780" s="2994">
        <v>0.34610000000000002</v>
      </c>
      <c r="K780" s="2994">
        <v>0.5726</v>
      </c>
      <c r="L780" s="2994">
        <v>0.42870000000000003</v>
      </c>
      <c r="M780" s="2994">
        <v>0.51749999999999996</v>
      </c>
      <c r="N780" s="2994">
        <v>0.5353</v>
      </c>
      <c r="O780" s="2994">
        <v>0.58030000000000004</v>
      </c>
      <c r="P780" s="2994">
        <v>0.63419999999999999</v>
      </c>
      <c r="Q780" s="2994">
        <v>0.51939999999999997</v>
      </c>
      <c r="R780" s="2994">
        <v>0.61160000000000003</v>
      </c>
      <c r="S780" s="2994">
        <v>0.54259999999999997</v>
      </c>
      <c r="T780" s="2994">
        <v>0.69310000000000005</v>
      </c>
      <c r="U780" s="2994">
        <v>0.72350000000000003</v>
      </c>
      <c r="V780" s="2994">
        <v>0.78639999999999999</v>
      </c>
      <c r="W780" s="2994">
        <v>0.74660000000000004</v>
      </c>
      <c r="X780" s="2994">
        <v>0.86199999999999999</v>
      </c>
      <c r="Y780" s="2994">
        <v>0.95650000000000002</v>
      </c>
      <c r="Z780" s="2994">
        <v>0.99099999999999999</v>
      </c>
      <c r="AA780" s="2994">
        <v>1.0232000000000001</v>
      </c>
      <c r="AB780" s="2994">
        <v>1.0184</v>
      </c>
      <c r="AC780" s="2994">
        <v>1.0437000000000001</v>
      </c>
      <c r="AD780" s="2994">
        <v>1.1055999999999999</v>
      </c>
      <c r="AE780" s="2994">
        <v>1.0896999999999999</v>
      </c>
      <c r="AF780" s="2994">
        <v>1.0999000000000001</v>
      </c>
      <c r="AG780" s="2994">
        <v>1.1182000000000001</v>
      </c>
      <c r="AH780" s="2994">
        <v>1.0895999999999999</v>
      </c>
      <c r="AI780" s="2994">
        <v>1.087</v>
      </c>
      <c r="AJ780" s="2994">
        <v>1.0085</v>
      </c>
      <c r="AK780" s="2994">
        <v>1.1574</v>
      </c>
      <c r="AL780" s="2994">
        <v>2.851</v>
      </c>
      <c r="AM780" s="2994">
        <v>1.4957</v>
      </c>
      <c r="AN780" s="2994">
        <v>1.8821000000000001</v>
      </c>
      <c r="AO780" s="2994">
        <v>1.8835999999999999</v>
      </c>
      <c r="AP780" s="2994">
        <v>1.8754</v>
      </c>
      <c r="AQ780" s="2994">
        <v>2.0457999999999998</v>
      </c>
      <c r="AR780" s="2994">
        <v>1.5955999999999999</v>
      </c>
      <c r="AS780" s="2994">
        <v>1.6870000000000001</v>
      </c>
      <c r="AT780" s="2994">
        <v>1.6653</v>
      </c>
      <c r="AU780" s="2994">
        <v>1.6088</v>
      </c>
      <c r="AV780" s="2994">
        <v>2.0554999999999999</v>
      </c>
      <c r="AW780" s="2994">
        <v>2.3140000000000001</v>
      </c>
      <c r="AX780" s="2994">
        <v>2.0533000000000001</v>
      </c>
      <c r="AY780" s="2994">
        <v>2.0962999999999998</v>
      </c>
      <c r="AZ780" s="2994">
        <v>2.0874999999999999</v>
      </c>
      <c r="BA780" s="2994">
        <v>2.4754</v>
      </c>
      <c r="BB780" s="2994">
        <v>2.2099000000000002</v>
      </c>
      <c r="BC780" s="2994">
        <v>2.2208000000000001</v>
      </c>
      <c r="BD780" s="3471">
        <v>2.5167000000000002</v>
      </c>
      <c r="BE780" s="3471">
        <v>2.1362999999999999</v>
      </c>
      <c r="BF780" s="3471">
        <v>2.0537000000000001</v>
      </c>
    </row>
    <row r="781" spans="1:58">
      <c r="A781" s="1817" t="str">
        <f t="shared" si="25"/>
        <v>Eastern AsiaPumpkins, squash and gourds</v>
      </c>
      <c r="B781" s="1818" t="s">
        <v>1328</v>
      </c>
      <c r="C781" s="1818" t="s">
        <v>7368</v>
      </c>
      <c r="D781" s="3463" t="str">
        <f>VLOOKUP(B781,List_Yield!$G$4:$J$14,4,FALSE)</f>
        <v>Asia (Continental)</v>
      </c>
      <c r="E781" s="3463" t="str">
        <f t="shared" si="24"/>
        <v>Asia (Continental)Pumpkins, squash and gourds</v>
      </c>
      <c r="F781" s="2994">
        <v>11.443099999999999</v>
      </c>
      <c r="G781" s="2994">
        <v>11.1927</v>
      </c>
      <c r="H781" s="2994">
        <v>10.9541</v>
      </c>
      <c r="I781" s="2994">
        <v>10.461399999999999</v>
      </c>
      <c r="J781" s="2994">
        <v>10.1379</v>
      </c>
      <c r="K781" s="2994">
        <v>10.0816</v>
      </c>
      <c r="L781" s="2994">
        <v>10.6225</v>
      </c>
      <c r="M781" s="2994">
        <v>10.5334</v>
      </c>
      <c r="N781" s="2994">
        <v>10.4992</v>
      </c>
      <c r="O781" s="2994">
        <v>10.7134</v>
      </c>
      <c r="P781" s="2994">
        <v>11.036</v>
      </c>
      <c r="Q781" s="2994">
        <v>11.302099999999999</v>
      </c>
      <c r="R781" s="2994">
        <v>11.615</v>
      </c>
      <c r="S781" s="2994">
        <v>11.5646</v>
      </c>
      <c r="T781" s="2994">
        <v>11.350199999999999</v>
      </c>
      <c r="U781" s="2994">
        <v>11.333399999999999</v>
      </c>
      <c r="V781" s="2994">
        <v>11.706300000000001</v>
      </c>
      <c r="W781" s="2994">
        <v>11.532999999999999</v>
      </c>
      <c r="X781" s="2994">
        <v>11.416700000000001</v>
      </c>
      <c r="Y781" s="2994">
        <v>11.6275</v>
      </c>
      <c r="Z781" s="2994">
        <v>11.8078</v>
      </c>
      <c r="AA781" s="2994">
        <v>12.290100000000001</v>
      </c>
      <c r="AB781" s="2994">
        <v>12.4618</v>
      </c>
      <c r="AC781" s="2994">
        <v>12.790699999999999</v>
      </c>
      <c r="AD781" s="2994">
        <v>12.679399999999999</v>
      </c>
      <c r="AE781" s="2994">
        <v>13.349399999999999</v>
      </c>
      <c r="AF781" s="2994">
        <v>13.6592</v>
      </c>
      <c r="AG781" s="2994">
        <v>14.2096</v>
      </c>
      <c r="AH781" s="2994">
        <v>14.1488</v>
      </c>
      <c r="AI781" s="2994">
        <v>14.9512</v>
      </c>
      <c r="AJ781" s="2994">
        <v>15.606299999999999</v>
      </c>
      <c r="AK781" s="2994">
        <v>16.978100000000001</v>
      </c>
      <c r="AL781" s="2994">
        <v>16.5549</v>
      </c>
      <c r="AM781" s="2994">
        <v>16.528099999999998</v>
      </c>
      <c r="AN781" s="2994">
        <v>16.865300000000001</v>
      </c>
      <c r="AO781" s="2994">
        <v>15.7079</v>
      </c>
      <c r="AP781" s="2994">
        <v>15.157299999999999</v>
      </c>
      <c r="AQ781" s="2994">
        <v>14.8795</v>
      </c>
      <c r="AR781" s="2994">
        <v>15.0618</v>
      </c>
      <c r="AS781" s="2994">
        <v>15.2019</v>
      </c>
      <c r="AT781" s="2994">
        <v>15.8317</v>
      </c>
      <c r="AU781" s="2994">
        <v>18.414999999999999</v>
      </c>
      <c r="AV781" s="2994">
        <v>19.395900000000001</v>
      </c>
      <c r="AW781" s="2994">
        <v>18.583100000000002</v>
      </c>
      <c r="AX781" s="2994">
        <v>18.705100000000002</v>
      </c>
      <c r="AY781" s="2994">
        <v>18.9145</v>
      </c>
      <c r="AZ781" s="2994">
        <v>19.071999999999999</v>
      </c>
      <c r="BA781" s="2994">
        <v>19.157800000000002</v>
      </c>
      <c r="BB781" s="2994">
        <v>18.3339</v>
      </c>
      <c r="BC781" s="2994">
        <v>18.327400000000001</v>
      </c>
      <c r="BD781" s="3471">
        <v>18.326599999999999</v>
      </c>
      <c r="BE781" s="3471">
        <v>18.290900000000001</v>
      </c>
      <c r="BF781" s="3471">
        <v>0</v>
      </c>
    </row>
    <row r="782" spans="1:58">
      <c r="A782" s="1817" t="str">
        <f t="shared" si="25"/>
        <v>Eastern AsiaPyrethrum, dried</v>
      </c>
      <c r="B782" s="1818" t="s">
        <v>1328</v>
      </c>
      <c r="C782" s="1818" t="s">
        <v>7369</v>
      </c>
      <c r="D782" s="3463" t="str">
        <f>VLOOKUP(B782,List_Yield!$G$4:$J$14,4,FALSE)</f>
        <v>Asia (Continental)</v>
      </c>
      <c r="E782" s="3463" t="str">
        <f t="shared" si="24"/>
        <v>Asia (Continental)Pyrethrum, dried</v>
      </c>
      <c r="F782" s="2994">
        <v>1</v>
      </c>
      <c r="G782" s="2994">
        <v>1</v>
      </c>
      <c r="H782" s="2994">
        <v>1</v>
      </c>
      <c r="I782" s="2994">
        <v>1</v>
      </c>
      <c r="J782" s="2994">
        <v>0.78949999999999998</v>
      </c>
      <c r="K782" s="2994">
        <v>0.8</v>
      </c>
      <c r="L782" s="2994">
        <v>0.90910000000000002</v>
      </c>
      <c r="M782" s="2994">
        <v>1</v>
      </c>
      <c r="N782" s="2994">
        <v>1</v>
      </c>
      <c r="O782" s="2994">
        <v>1</v>
      </c>
      <c r="P782" s="2994">
        <v>1</v>
      </c>
      <c r="Q782" s="2994">
        <v>1</v>
      </c>
      <c r="R782" s="2994">
        <v>1</v>
      </c>
      <c r="S782" s="2994">
        <v>1</v>
      </c>
      <c r="T782" s="2994">
        <v>1</v>
      </c>
      <c r="U782" s="2994">
        <v>1</v>
      </c>
      <c r="V782" s="2994">
        <v>1</v>
      </c>
      <c r="W782" s="2994">
        <v>1</v>
      </c>
      <c r="X782" s="2994">
        <v>1</v>
      </c>
      <c r="Y782" s="2994">
        <v>1</v>
      </c>
      <c r="Z782" s="2994">
        <v>1</v>
      </c>
      <c r="AA782" s="2994">
        <v>1</v>
      </c>
      <c r="AB782" s="2994">
        <v>1</v>
      </c>
      <c r="AC782" s="2994">
        <v>0</v>
      </c>
      <c r="AD782" s="2994">
        <v>0</v>
      </c>
      <c r="AE782" s="2994">
        <v>0</v>
      </c>
      <c r="AF782" s="2994">
        <v>0</v>
      </c>
      <c r="AG782" s="2994">
        <v>0</v>
      </c>
      <c r="AH782" s="2994">
        <v>0</v>
      </c>
      <c r="AI782" s="2994">
        <v>0</v>
      </c>
      <c r="AJ782" s="2994">
        <v>0</v>
      </c>
      <c r="AK782" s="2994">
        <v>0</v>
      </c>
      <c r="AL782" s="2994">
        <v>0</v>
      </c>
      <c r="AM782" s="2994">
        <v>0</v>
      </c>
      <c r="AN782" s="2994">
        <v>0</v>
      </c>
      <c r="AO782" s="2994">
        <v>0</v>
      </c>
      <c r="AP782" s="2994">
        <v>0</v>
      </c>
      <c r="AQ782" s="2994">
        <v>0</v>
      </c>
      <c r="AR782" s="2994">
        <v>0</v>
      </c>
      <c r="AS782" s="2994">
        <v>0</v>
      </c>
      <c r="AT782" s="2994">
        <v>0</v>
      </c>
      <c r="AU782" s="2994">
        <v>0</v>
      </c>
      <c r="AV782" s="2994">
        <v>0</v>
      </c>
      <c r="AW782" s="2994">
        <v>0</v>
      </c>
      <c r="AX782" s="2994">
        <v>0</v>
      </c>
      <c r="AY782" s="2994">
        <v>0</v>
      </c>
      <c r="AZ782" s="2994">
        <v>0</v>
      </c>
      <c r="BA782" s="2994">
        <v>0</v>
      </c>
      <c r="BB782" s="2994">
        <v>0</v>
      </c>
      <c r="BC782" s="2994">
        <v>0</v>
      </c>
      <c r="BD782" s="3471">
        <v>0</v>
      </c>
      <c r="BE782" s="3471">
        <v>0</v>
      </c>
      <c r="BF782" s="3471">
        <v>0</v>
      </c>
    </row>
    <row r="783" spans="1:58">
      <c r="A783" s="1817" t="str">
        <f t="shared" si="25"/>
        <v>Eastern AsiaQuinces</v>
      </c>
      <c r="B783" s="1818" t="s">
        <v>1328</v>
      </c>
      <c r="C783" s="1818" t="s">
        <v>7370</v>
      </c>
      <c r="D783" s="3463" t="str">
        <f>VLOOKUP(B783,List_Yield!$G$4:$J$14,4,FALSE)</f>
        <v>Asia (Continental)</v>
      </c>
      <c r="E783" s="3463" t="str">
        <f t="shared" si="24"/>
        <v>Asia (Continental)Quinces</v>
      </c>
      <c r="F783" s="2994">
        <v>0</v>
      </c>
      <c r="G783" s="2994">
        <v>0</v>
      </c>
      <c r="H783" s="2994">
        <v>0</v>
      </c>
      <c r="I783" s="2994">
        <v>0</v>
      </c>
      <c r="J783" s="2994">
        <v>0</v>
      </c>
      <c r="K783" s="2994">
        <v>0</v>
      </c>
      <c r="L783" s="2994">
        <v>0</v>
      </c>
      <c r="M783" s="2994">
        <v>0</v>
      </c>
      <c r="N783" s="2994">
        <v>0</v>
      </c>
      <c r="O783" s="2994">
        <v>0</v>
      </c>
      <c r="P783" s="2994">
        <v>0</v>
      </c>
      <c r="Q783" s="2994">
        <v>0</v>
      </c>
      <c r="R783" s="2994">
        <v>0</v>
      </c>
      <c r="S783" s="2994">
        <v>0</v>
      </c>
      <c r="T783" s="2994">
        <v>0</v>
      </c>
      <c r="U783" s="2994">
        <v>0</v>
      </c>
      <c r="V783" s="2994">
        <v>0</v>
      </c>
      <c r="W783" s="2994">
        <v>0</v>
      </c>
      <c r="X783" s="2994">
        <v>0</v>
      </c>
      <c r="Y783" s="2994">
        <v>0</v>
      </c>
      <c r="Z783" s="2994">
        <v>0</v>
      </c>
      <c r="AA783" s="2994">
        <v>0</v>
      </c>
      <c r="AB783" s="2994">
        <v>0</v>
      </c>
      <c r="AC783" s="2994">
        <v>0</v>
      </c>
      <c r="AD783" s="2994">
        <v>2.8571</v>
      </c>
      <c r="AE783" s="2994">
        <v>3.5714000000000001</v>
      </c>
      <c r="AF783" s="2994">
        <v>4.2857000000000003</v>
      </c>
      <c r="AG783" s="2994">
        <v>4.2857000000000003</v>
      </c>
      <c r="AH783" s="2994">
        <v>4</v>
      </c>
      <c r="AI783" s="2994">
        <v>4.2857000000000003</v>
      </c>
      <c r="AJ783" s="2994">
        <v>4.5454999999999997</v>
      </c>
      <c r="AK783" s="2994">
        <v>5.3333000000000004</v>
      </c>
      <c r="AL783" s="2994">
        <v>6.0606</v>
      </c>
      <c r="AM783" s="2994">
        <v>7.1515000000000004</v>
      </c>
      <c r="AN783" s="2994">
        <v>7.5</v>
      </c>
      <c r="AO783" s="2994">
        <v>5.7812999999999999</v>
      </c>
      <c r="AP783" s="2994">
        <v>6.6666999999999996</v>
      </c>
      <c r="AQ783" s="2994">
        <v>7.875</v>
      </c>
      <c r="AR783" s="2994">
        <v>8</v>
      </c>
      <c r="AS783" s="2994">
        <v>7.0833000000000004</v>
      </c>
      <c r="AT783" s="2994">
        <v>6.9230999999999998</v>
      </c>
      <c r="AU783" s="2994">
        <v>6.7691999999999997</v>
      </c>
      <c r="AV783" s="2994">
        <v>6.6722999999999999</v>
      </c>
      <c r="AW783" s="2994">
        <v>6.0461</v>
      </c>
      <c r="AX783" s="2994">
        <v>6.2366999999999999</v>
      </c>
      <c r="AY783" s="2994">
        <v>5.3179999999999996</v>
      </c>
      <c r="AZ783" s="2994">
        <v>5.3009000000000004</v>
      </c>
      <c r="BA783" s="2994">
        <v>5.3211000000000004</v>
      </c>
      <c r="BB783" s="2994">
        <v>5.2561999999999998</v>
      </c>
      <c r="BC783" s="2994">
        <v>5.5380000000000003</v>
      </c>
      <c r="BD783" s="3471">
        <v>5.7168999999999999</v>
      </c>
      <c r="BE783" s="3471">
        <v>5.6851000000000003</v>
      </c>
      <c r="BF783" s="3471">
        <v>0</v>
      </c>
    </row>
    <row r="784" spans="1:58">
      <c r="A784" s="1817" t="str">
        <f t="shared" si="25"/>
        <v>Eastern AsiaQuinoa</v>
      </c>
      <c r="B784" s="1818" t="s">
        <v>1328</v>
      </c>
      <c r="C784" s="1818" t="s">
        <v>1385</v>
      </c>
      <c r="D784" s="3463" t="str">
        <f>VLOOKUP(B784,List_Yield!$G$4:$J$14,4,FALSE)</f>
        <v>Asia (Continental)</v>
      </c>
      <c r="E784" s="3463" t="str">
        <f t="shared" si="24"/>
        <v>Asia (Continental)Quinoa</v>
      </c>
      <c r="F784" s="2994">
        <v>0</v>
      </c>
      <c r="G784" s="2994">
        <v>0</v>
      </c>
      <c r="H784" s="2994">
        <v>0</v>
      </c>
      <c r="I784" s="2994">
        <v>0</v>
      </c>
      <c r="J784" s="2994">
        <v>0</v>
      </c>
      <c r="K784" s="2994">
        <v>0</v>
      </c>
      <c r="L784" s="2994">
        <v>0</v>
      </c>
      <c r="M784" s="2994">
        <v>0</v>
      </c>
      <c r="N784" s="2994">
        <v>0</v>
      </c>
      <c r="O784" s="2994">
        <v>0</v>
      </c>
      <c r="P784" s="2994">
        <v>0</v>
      </c>
      <c r="Q784" s="2994">
        <v>0</v>
      </c>
      <c r="R784" s="2994">
        <v>0</v>
      </c>
      <c r="S784" s="2994">
        <v>0</v>
      </c>
      <c r="T784" s="2994">
        <v>0</v>
      </c>
      <c r="U784" s="2994">
        <v>0</v>
      </c>
      <c r="V784" s="2994">
        <v>0</v>
      </c>
      <c r="W784" s="2994">
        <v>0</v>
      </c>
      <c r="X784" s="2994">
        <v>0</v>
      </c>
      <c r="Y784" s="2994">
        <v>0</v>
      </c>
      <c r="Z784" s="2994">
        <v>0</v>
      </c>
      <c r="AA784" s="2994">
        <v>0</v>
      </c>
      <c r="AB784" s="2994">
        <v>0</v>
      </c>
      <c r="AC784" s="2994">
        <v>0</v>
      </c>
      <c r="AD784" s="2994">
        <v>0</v>
      </c>
      <c r="AE784" s="2994">
        <v>0</v>
      </c>
      <c r="AF784" s="2994">
        <v>0</v>
      </c>
      <c r="AG784" s="2994">
        <v>0</v>
      </c>
      <c r="AH784" s="2994">
        <v>0</v>
      </c>
      <c r="AI784" s="2994">
        <v>0</v>
      </c>
      <c r="AJ784" s="2994">
        <v>0</v>
      </c>
      <c r="AK784" s="2994">
        <v>0</v>
      </c>
      <c r="AL784" s="2994">
        <v>0</v>
      </c>
      <c r="AM784" s="2994">
        <v>0</v>
      </c>
      <c r="AN784" s="2994">
        <v>0</v>
      </c>
      <c r="AO784" s="2994">
        <v>0</v>
      </c>
      <c r="AP784" s="2994">
        <v>0</v>
      </c>
      <c r="AQ784" s="2994">
        <v>0</v>
      </c>
      <c r="AR784" s="2994">
        <v>0</v>
      </c>
      <c r="AS784" s="2994">
        <v>0</v>
      </c>
      <c r="AT784" s="2994">
        <v>0</v>
      </c>
      <c r="AU784" s="2994">
        <v>0</v>
      </c>
      <c r="AV784" s="2994">
        <v>0</v>
      </c>
      <c r="AW784" s="2994">
        <v>0</v>
      </c>
      <c r="AX784" s="2994">
        <v>0</v>
      </c>
      <c r="AY784" s="2994">
        <v>0</v>
      </c>
      <c r="AZ784" s="2994">
        <v>0</v>
      </c>
      <c r="BA784" s="2994">
        <v>0</v>
      </c>
      <c r="BB784" s="2994">
        <v>0</v>
      </c>
      <c r="BC784" s="2994">
        <v>0</v>
      </c>
      <c r="BD784" s="3471">
        <v>0</v>
      </c>
      <c r="BE784" s="3471">
        <v>0</v>
      </c>
      <c r="BF784" s="3471">
        <v>0</v>
      </c>
    </row>
    <row r="785" spans="1:58">
      <c r="A785" s="1817" t="str">
        <f t="shared" si="25"/>
        <v>Eastern AsiaRamie</v>
      </c>
      <c r="B785" s="1818" t="s">
        <v>1328</v>
      </c>
      <c r="C785" s="1818" t="s">
        <v>7371</v>
      </c>
      <c r="D785" s="3463" t="str">
        <f>VLOOKUP(B785,List_Yield!$G$4:$J$14,4,FALSE)</f>
        <v>Asia (Continental)</v>
      </c>
      <c r="E785" s="3463" t="str">
        <f t="shared" si="24"/>
        <v>Asia (Continental)Ramie</v>
      </c>
      <c r="F785" s="2994">
        <v>0.87370000000000003</v>
      </c>
      <c r="G785" s="2994">
        <v>0.88970000000000005</v>
      </c>
      <c r="H785" s="2994">
        <v>0.90190000000000003</v>
      </c>
      <c r="I785" s="2994">
        <v>0.8972</v>
      </c>
      <c r="J785" s="2994">
        <v>0.84989999999999999</v>
      </c>
      <c r="K785" s="2994">
        <v>0.84379999999999999</v>
      </c>
      <c r="L785" s="2994">
        <v>0.87239999999999995</v>
      </c>
      <c r="M785" s="2994">
        <v>0.87080000000000002</v>
      </c>
      <c r="N785" s="2994">
        <v>0.86850000000000005</v>
      </c>
      <c r="O785" s="2994">
        <v>0.86819999999999997</v>
      </c>
      <c r="P785" s="2994">
        <v>0.86780000000000002</v>
      </c>
      <c r="Q785" s="2994">
        <v>0.86299999999999999</v>
      </c>
      <c r="R785" s="2994">
        <v>0.87729999999999997</v>
      </c>
      <c r="S785" s="2994">
        <v>0.87409999999999999</v>
      </c>
      <c r="T785" s="2994">
        <v>0.87770000000000004</v>
      </c>
      <c r="U785" s="2994">
        <v>0.87370000000000003</v>
      </c>
      <c r="V785" s="2994">
        <v>0.8175</v>
      </c>
      <c r="W785" s="2994">
        <v>0.72899999999999998</v>
      </c>
      <c r="X785" s="2994">
        <v>0.93230000000000002</v>
      </c>
      <c r="Y785" s="2994">
        <v>0.95120000000000005</v>
      </c>
      <c r="Z785" s="2994">
        <v>1.0218</v>
      </c>
      <c r="AA785" s="2994">
        <v>1.2552000000000001</v>
      </c>
      <c r="AB785" s="2994">
        <v>1.1566000000000001</v>
      </c>
      <c r="AC785" s="2994">
        <v>1.2757000000000001</v>
      </c>
      <c r="AD785" s="2994">
        <v>0.95</v>
      </c>
      <c r="AE785" s="2994">
        <v>0.83289999999999997</v>
      </c>
      <c r="AF785" s="2994">
        <v>1.0989</v>
      </c>
      <c r="AG785" s="2994">
        <v>1.0967</v>
      </c>
      <c r="AH785" s="2994">
        <v>1.2390000000000001</v>
      </c>
      <c r="AI785" s="2994">
        <v>1.1069</v>
      </c>
      <c r="AJ785" s="2994">
        <v>1.0693999999999999</v>
      </c>
      <c r="AK785" s="2994">
        <v>1.1512</v>
      </c>
      <c r="AL785" s="2994">
        <v>1.3406</v>
      </c>
      <c r="AM785" s="2994">
        <v>1.4035</v>
      </c>
      <c r="AN785" s="2994">
        <v>1.5136000000000001</v>
      </c>
      <c r="AO785" s="2994">
        <v>1.5153000000000001</v>
      </c>
      <c r="AP785" s="2994">
        <v>1.6318999999999999</v>
      </c>
      <c r="AQ785" s="2994">
        <v>1.5736000000000001</v>
      </c>
      <c r="AR785" s="2994">
        <v>1.6215999999999999</v>
      </c>
      <c r="AS785" s="2994">
        <v>1.6867000000000001</v>
      </c>
      <c r="AT785" s="2994">
        <v>1.7330000000000001</v>
      </c>
      <c r="AU785" s="2994">
        <v>1.9049</v>
      </c>
      <c r="AV785" s="2994">
        <v>1.9140999999999999</v>
      </c>
      <c r="AW785" s="2994">
        <v>2.5247999999999999</v>
      </c>
      <c r="AX785" s="2994">
        <v>2.0989</v>
      </c>
      <c r="AY785" s="2994">
        <v>2.0226999999999999</v>
      </c>
      <c r="AZ785" s="2994">
        <v>2.0396000000000001</v>
      </c>
      <c r="BA785" s="2994">
        <v>1.986</v>
      </c>
      <c r="BB785" s="2994">
        <v>1.9278</v>
      </c>
      <c r="BC785" s="2994">
        <v>1.9401999999999999</v>
      </c>
      <c r="BD785" s="3471">
        <v>1.8863000000000001</v>
      </c>
      <c r="BE785" s="3471">
        <v>1.875</v>
      </c>
      <c r="BF785" s="3471">
        <v>0</v>
      </c>
    </row>
    <row r="786" spans="1:58">
      <c r="A786" s="1817" t="str">
        <f t="shared" si="25"/>
        <v>Eastern AsiaRapeseed</v>
      </c>
      <c r="B786" s="1818" t="s">
        <v>1328</v>
      </c>
      <c r="C786" s="1818" t="s">
        <v>7372</v>
      </c>
      <c r="D786" s="3463" t="str">
        <f>VLOOKUP(B786,List_Yield!$G$4:$J$14,4,FALSE)</f>
        <v>Asia (Continental)</v>
      </c>
      <c r="E786" s="3463" t="str">
        <f t="shared" si="24"/>
        <v>Asia (Continental)Rapeseed</v>
      </c>
      <c r="F786" s="2994">
        <v>0.3967</v>
      </c>
      <c r="G786" s="2994">
        <v>0.4834</v>
      </c>
      <c r="H786" s="2994">
        <v>0.40139999999999998</v>
      </c>
      <c r="I786" s="2994">
        <v>0.57189999999999996</v>
      </c>
      <c r="J786" s="2994">
        <v>0.64300000000000002</v>
      </c>
      <c r="K786" s="2994">
        <v>0.55730000000000002</v>
      </c>
      <c r="L786" s="2994">
        <v>0.63800000000000001</v>
      </c>
      <c r="M786" s="2994">
        <v>0.68210000000000004</v>
      </c>
      <c r="N786" s="2994">
        <v>0.64610000000000001</v>
      </c>
      <c r="O786" s="2994">
        <v>0.6835</v>
      </c>
      <c r="P786" s="2994">
        <v>0.78069999999999995</v>
      </c>
      <c r="Q786" s="2994">
        <v>0.72</v>
      </c>
      <c r="R786" s="2994">
        <v>0.65459999999999996</v>
      </c>
      <c r="S786" s="2994">
        <v>0.68140000000000001</v>
      </c>
      <c r="T786" s="2994">
        <v>0.67420000000000002</v>
      </c>
      <c r="U786" s="2994">
        <v>0.58640000000000003</v>
      </c>
      <c r="V786" s="2994">
        <v>0.53949999999999998</v>
      </c>
      <c r="W786" s="2994">
        <v>0.72389999999999999</v>
      </c>
      <c r="X786" s="2994">
        <v>0.87639999999999996</v>
      </c>
      <c r="Y786" s="2994">
        <v>0.84499999999999997</v>
      </c>
      <c r="Z786" s="2994">
        <v>1.0742</v>
      </c>
      <c r="AA786" s="2994">
        <v>1.375</v>
      </c>
      <c r="AB786" s="2994">
        <v>1.1697</v>
      </c>
      <c r="AC786" s="2994">
        <v>1.2325999999999999</v>
      </c>
      <c r="AD786" s="2994">
        <v>1.248</v>
      </c>
      <c r="AE786" s="2994">
        <v>1.1968000000000001</v>
      </c>
      <c r="AF786" s="2994">
        <v>1.2544</v>
      </c>
      <c r="AG786" s="2994">
        <v>1.0227999999999999</v>
      </c>
      <c r="AH786" s="2994">
        <v>1.0894999999999999</v>
      </c>
      <c r="AI786" s="2994">
        <v>1.2647999999999999</v>
      </c>
      <c r="AJ786" s="2994">
        <v>1.2128000000000001</v>
      </c>
      <c r="AK786" s="2994">
        <v>1.2808999999999999</v>
      </c>
      <c r="AL786" s="2994">
        <v>1.3095000000000001</v>
      </c>
      <c r="AM786" s="2994">
        <v>1.2958000000000001</v>
      </c>
      <c r="AN786" s="2994">
        <v>1.4157</v>
      </c>
      <c r="AO786" s="2994">
        <v>1.3665</v>
      </c>
      <c r="AP786" s="2994">
        <v>1.474</v>
      </c>
      <c r="AQ786" s="2994">
        <v>1.2717000000000001</v>
      </c>
      <c r="AR786" s="2994">
        <v>1.4685999999999999</v>
      </c>
      <c r="AS786" s="2994">
        <v>1.5185999999999999</v>
      </c>
      <c r="AT786" s="2994">
        <v>1.5971</v>
      </c>
      <c r="AU786" s="2994">
        <v>1.4772000000000001</v>
      </c>
      <c r="AV786" s="2994">
        <v>1.5812999999999999</v>
      </c>
      <c r="AW786" s="2994">
        <v>1.8126</v>
      </c>
      <c r="AX786" s="2994">
        <v>1.7931999999999999</v>
      </c>
      <c r="AY786" s="2994">
        <v>1.8311999999999999</v>
      </c>
      <c r="AZ786" s="2994">
        <v>1.8723000000000001</v>
      </c>
      <c r="BA786" s="2994">
        <v>1.8343</v>
      </c>
      <c r="BB786" s="2994">
        <v>1.8754999999999999</v>
      </c>
      <c r="BC786" s="2994">
        <v>1.774</v>
      </c>
      <c r="BD786" s="3471">
        <v>1.8269</v>
      </c>
      <c r="BE786" s="3471">
        <v>1.9179999999999999</v>
      </c>
      <c r="BF786" s="3471">
        <v>1.9202999999999999</v>
      </c>
    </row>
    <row r="787" spans="1:58">
      <c r="A787" s="1817" t="str">
        <f t="shared" si="25"/>
        <v>Eastern AsiaRaspberries</v>
      </c>
      <c r="B787" s="1818" t="s">
        <v>1328</v>
      </c>
      <c r="C787" s="1818" t="s">
        <v>7373</v>
      </c>
      <c r="D787" s="3463" t="str">
        <f>VLOOKUP(B787,List_Yield!$G$4:$J$14,4,FALSE)</f>
        <v>Asia (Continental)</v>
      </c>
      <c r="E787" s="3463" t="str">
        <f t="shared" si="24"/>
        <v>Asia (Continental)Raspberries</v>
      </c>
      <c r="F787" s="2994">
        <v>0</v>
      </c>
      <c r="G787" s="2994">
        <v>0</v>
      </c>
      <c r="H787" s="2994">
        <v>0</v>
      </c>
      <c r="I787" s="2994">
        <v>0</v>
      </c>
      <c r="J787" s="2994">
        <v>0</v>
      </c>
      <c r="K787" s="2994">
        <v>0</v>
      </c>
      <c r="L787" s="2994">
        <v>0</v>
      </c>
      <c r="M787" s="2994">
        <v>0</v>
      </c>
      <c r="N787" s="2994">
        <v>0</v>
      </c>
      <c r="O787" s="2994">
        <v>0</v>
      </c>
      <c r="P787" s="2994">
        <v>0</v>
      </c>
      <c r="Q787" s="2994">
        <v>0</v>
      </c>
      <c r="R787" s="2994">
        <v>0</v>
      </c>
      <c r="S787" s="2994">
        <v>0</v>
      </c>
      <c r="T787" s="2994">
        <v>0</v>
      </c>
      <c r="U787" s="2994">
        <v>0</v>
      </c>
      <c r="V787" s="2994">
        <v>0</v>
      </c>
      <c r="W787" s="2994">
        <v>0</v>
      </c>
      <c r="X787" s="2994">
        <v>0</v>
      </c>
      <c r="Y787" s="2994">
        <v>0</v>
      </c>
      <c r="Z787" s="2994">
        <v>0</v>
      </c>
      <c r="AA787" s="2994">
        <v>0</v>
      </c>
      <c r="AB787" s="2994">
        <v>0</v>
      </c>
      <c r="AC787" s="2994">
        <v>0</v>
      </c>
      <c r="AD787" s="2994">
        <v>0</v>
      </c>
      <c r="AE787" s="2994">
        <v>0</v>
      </c>
      <c r="AF787" s="2994">
        <v>0</v>
      </c>
      <c r="AG787" s="2994">
        <v>0</v>
      </c>
      <c r="AH787" s="2994">
        <v>0</v>
      </c>
      <c r="AI787" s="2994">
        <v>0</v>
      </c>
      <c r="AJ787" s="2994">
        <v>0</v>
      </c>
      <c r="AK787" s="2994">
        <v>0</v>
      </c>
      <c r="AL787" s="2994">
        <v>0</v>
      </c>
      <c r="AM787" s="2994">
        <v>0</v>
      </c>
      <c r="AN787" s="2994">
        <v>0</v>
      </c>
      <c r="AO787" s="2994">
        <v>0</v>
      </c>
      <c r="AP787" s="2994">
        <v>0</v>
      </c>
      <c r="AQ787" s="2994">
        <v>0</v>
      </c>
      <c r="AR787" s="2994">
        <v>0</v>
      </c>
      <c r="AS787" s="2994">
        <v>0</v>
      </c>
      <c r="AT787" s="2994">
        <v>0</v>
      </c>
      <c r="AU787" s="2994">
        <v>0</v>
      </c>
      <c r="AV787" s="2994">
        <v>0</v>
      </c>
      <c r="AW787" s="2994">
        <v>0</v>
      </c>
      <c r="AX787" s="2994">
        <v>0</v>
      </c>
      <c r="AY787" s="2994">
        <v>0</v>
      </c>
      <c r="AZ787" s="2994">
        <v>0</v>
      </c>
      <c r="BA787" s="2994">
        <v>0</v>
      </c>
      <c r="BB787" s="2994">
        <v>0</v>
      </c>
      <c r="BC787" s="2994">
        <v>0</v>
      </c>
      <c r="BD787" s="3471">
        <v>0</v>
      </c>
      <c r="BE787" s="3471">
        <v>0</v>
      </c>
      <c r="BF787" s="3471">
        <v>0</v>
      </c>
    </row>
    <row r="788" spans="1:58">
      <c r="A788" s="1817" t="str">
        <f t="shared" si="25"/>
        <v>Eastern AsiaRice, paddy</v>
      </c>
      <c r="B788" s="1818" t="s">
        <v>1328</v>
      </c>
      <c r="C788" s="1818" t="s">
        <v>1370</v>
      </c>
      <c r="D788" s="3463" t="str">
        <f>VLOOKUP(B788,List_Yield!$G$4:$J$14,4,FALSE)</f>
        <v>Asia (Continental)</v>
      </c>
      <c r="E788" s="3463" t="str">
        <f t="shared" si="24"/>
        <v>Asia (Continental)Rice, paddy</v>
      </c>
      <c r="F788" s="2994">
        <v>2.4719000000000002</v>
      </c>
      <c r="G788" s="2994">
        <v>2.7181999999999999</v>
      </c>
      <c r="H788" s="2994">
        <v>3.0041000000000002</v>
      </c>
      <c r="I788" s="2994">
        <v>3.1095999999999999</v>
      </c>
      <c r="J788" s="2994">
        <v>3.1964000000000001</v>
      </c>
      <c r="K788" s="2994">
        <v>3.3774000000000002</v>
      </c>
      <c r="L788" s="2994">
        <v>3.3839999999999999</v>
      </c>
      <c r="M788" s="2994">
        <v>3.4510999999999998</v>
      </c>
      <c r="N788" s="2994">
        <v>3.4295</v>
      </c>
      <c r="O788" s="2994">
        <v>3.6379999999999999</v>
      </c>
      <c r="P788" s="2994">
        <v>3.5009999999999999</v>
      </c>
      <c r="Q788" s="2994">
        <v>3.4733999999999998</v>
      </c>
      <c r="R788" s="2994">
        <v>3.7059000000000002</v>
      </c>
      <c r="S788" s="2994">
        <v>3.7235</v>
      </c>
      <c r="T788" s="2994">
        <v>3.7751000000000001</v>
      </c>
      <c r="U788" s="2994">
        <v>3.7161</v>
      </c>
      <c r="V788" s="2994">
        <v>3.9196</v>
      </c>
      <c r="W788" s="2994">
        <v>4.2225999999999999</v>
      </c>
      <c r="X788" s="2994">
        <v>4.4348000000000001</v>
      </c>
      <c r="Y788" s="2994">
        <v>4.2079000000000004</v>
      </c>
      <c r="Z788" s="2994">
        <v>4.4614000000000003</v>
      </c>
      <c r="AA788" s="2994">
        <v>4.9466999999999999</v>
      </c>
      <c r="AB788" s="2994">
        <v>5.1317000000000004</v>
      </c>
      <c r="AC788" s="2994">
        <v>5.4302000000000001</v>
      </c>
      <c r="AD788" s="2994">
        <v>5.3140999999999998</v>
      </c>
      <c r="AE788" s="2994">
        <v>5.3956</v>
      </c>
      <c r="AF788" s="2994">
        <v>5.4359999999999999</v>
      </c>
      <c r="AG788" s="2994">
        <v>5.3258000000000001</v>
      </c>
      <c r="AH788" s="2994">
        <v>5.5346000000000002</v>
      </c>
      <c r="AI788" s="2994">
        <v>5.7232000000000003</v>
      </c>
      <c r="AJ788" s="2994">
        <v>5.6723999999999997</v>
      </c>
      <c r="AK788" s="2994">
        <v>5.8695000000000004</v>
      </c>
      <c r="AL788" s="2994">
        <v>5.8029999999999999</v>
      </c>
      <c r="AM788" s="2994">
        <v>5.8959999999999999</v>
      </c>
      <c r="AN788" s="2994">
        <v>5.9988000000000001</v>
      </c>
      <c r="AO788" s="2994">
        <v>6.1795999999999998</v>
      </c>
      <c r="AP788" s="2994">
        <v>6.2706</v>
      </c>
      <c r="AQ788" s="2994">
        <v>6.3086000000000002</v>
      </c>
      <c r="AR788" s="2994">
        <v>6.3085000000000004</v>
      </c>
      <c r="AS788" s="2994">
        <v>6.2521000000000004</v>
      </c>
      <c r="AT788" s="2994">
        <v>6.1557000000000004</v>
      </c>
      <c r="AU788" s="2994">
        <v>6.1673999999999998</v>
      </c>
      <c r="AV788" s="2994">
        <v>6.0011000000000001</v>
      </c>
      <c r="AW788" s="2994">
        <v>6.2864000000000004</v>
      </c>
      <c r="AX788" s="2994">
        <v>6.2502000000000004</v>
      </c>
      <c r="AY788" s="2994">
        <v>6.1877000000000004</v>
      </c>
      <c r="AZ788" s="2994">
        <v>6.3669000000000002</v>
      </c>
      <c r="BA788" s="2994">
        <v>6.5620000000000003</v>
      </c>
      <c r="BB788" s="2994">
        <v>6.5648</v>
      </c>
      <c r="BC788" s="2994">
        <v>6.516</v>
      </c>
      <c r="BD788" s="3471">
        <v>6.6547000000000001</v>
      </c>
      <c r="BE788" s="3471">
        <v>6.7431000000000001</v>
      </c>
      <c r="BF788" s="3471">
        <v>6.6794000000000002</v>
      </c>
    </row>
    <row r="789" spans="1:58">
      <c r="A789" s="1817" t="str">
        <f t="shared" si="25"/>
        <v>Eastern AsiaRoots and tubers, nes</v>
      </c>
      <c r="B789" s="1818" t="s">
        <v>1328</v>
      </c>
      <c r="C789" s="1818" t="s">
        <v>7374</v>
      </c>
      <c r="D789" s="3463" t="str">
        <f>VLOOKUP(B789,List_Yield!$G$4:$J$14,4,FALSE)</f>
        <v>Asia (Continental)</v>
      </c>
      <c r="E789" s="3463" t="str">
        <f t="shared" si="24"/>
        <v>Asia (Continental)Roots and tubers, nes</v>
      </c>
      <c r="F789" s="2994">
        <v>14.7135</v>
      </c>
      <c r="G789" s="2994">
        <v>15.273400000000001</v>
      </c>
      <c r="H789" s="2994">
        <v>16.2102</v>
      </c>
      <c r="I789" s="2994">
        <v>16.905000000000001</v>
      </c>
      <c r="J789" s="2994">
        <v>15.936</v>
      </c>
      <c r="K789" s="2994">
        <v>16.829599999999999</v>
      </c>
      <c r="L789" s="2994">
        <v>17.822500000000002</v>
      </c>
      <c r="M789" s="2994">
        <v>16.1799</v>
      </c>
      <c r="N789" s="2994">
        <v>15.162599999999999</v>
      </c>
      <c r="O789" s="2994">
        <v>14.2194</v>
      </c>
      <c r="P789" s="2994">
        <v>14.673299999999999</v>
      </c>
      <c r="Q789" s="2994">
        <v>15.6029</v>
      </c>
      <c r="R789" s="2994">
        <v>17.003599999999999</v>
      </c>
      <c r="S789" s="2994">
        <v>16.7468</v>
      </c>
      <c r="T789" s="2994">
        <v>16.565300000000001</v>
      </c>
      <c r="U789" s="2994">
        <v>15.2003</v>
      </c>
      <c r="V789" s="2994">
        <v>16.243200000000002</v>
      </c>
      <c r="W789" s="2994">
        <v>16.448</v>
      </c>
      <c r="X789" s="2994">
        <v>16.500699999999998</v>
      </c>
      <c r="Y789" s="2994">
        <v>14.71</v>
      </c>
      <c r="Z789" s="2994">
        <v>14.865500000000001</v>
      </c>
      <c r="AA789" s="2994">
        <v>12.645</v>
      </c>
      <c r="AB789" s="2994">
        <v>14.0029</v>
      </c>
      <c r="AC789" s="2994">
        <v>14.2524</v>
      </c>
      <c r="AD789" s="2994">
        <v>14.2979</v>
      </c>
      <c r="AE789" s="2994">
        <v>14.406000000000001</v>
      </c>
      <c r="AF789" s="2994">
        <v>12.5883</v>
      </c>
      <c r="AG789" s="2994">
        <v>12.816700000000001</v>
      </c>
      <c r="AH789" s="2994">
        <v>13.034700000000001</v>
      </c>
      <c r="AI789" s="2994">
        <v>13.6999</v>
      </c>
      <c r="AJ789" s="2994">
        <v>12.1343</v>
      </c>
      <c r="AK789" s="2994">
        <v>12.223599999999999</v>
      </c>
      <c r="AL789" s="2994">
        <v>9.4894999999999996</v>
      </c>
      <c r="AM789" s="2994">
        <v>14.9026</v>
      </c>
      <c r="AN789" s="2994">
        <v>14.296900000000001</v>
      </c>
      <c r="AO789" s="2994">
        <v>13.0768</v>
      </c>
      <c r="AP789" s="2994">
        <v>13.244999999999999</v>
      </c>
      <c r="AQ789" s="2994">
        <v>14.3096</v>
      </c>
      <c r="AR789" s="2994">
        <v>15.051600000000001</v>
      </c>
      <c r="AS789" s="2994">
        <v>15.4794</v>
      </c>
      <c r="AT789" s="2994">
        <v>15.8713</v>
      </c>
      <c r="AU789" s="2994">
        <v>15.8141</v>
      </c>
      <c r="AV789" s="2994">
        <v>13.682499999999999</v>
      </c>
      <c r="AW789" s="2994">
        <v>14.227</v>
      </c>
      <c r="AX789" s="2994">
        <v>15.081300000000001</v>
      </c>
      <c r="AY789" s="2994">
        <v>13.771100000000001</v>
      </c>
      <c r="AZ789" s="2994">
        <v>13.9366</v>
      </c>
      <c r="BA789" s="2994">
        <v>14.964600000000001</v>
      </c>
      <c r="BB789" s="2994">
        <v>14.968299999999999</v>
      </c>
      <c r="BC789" s="2994">
        <v>14.6022</v>
      </c>
      <c r="BD789" s="3471">
        <v>14.1729</v>
      </c>
      <c r="BE789" s="3471">
        <v>15.188700000000001</v>
      </c>
      <c r="BF789" s="3471">
        <v>14.8551</v>
      </c>
    </row>
    <row r="790" spans="1:58">
      <c r="A790" s="1817" t="str">
        <f t="shared" si="25"/>
        <v>Eastern AsiaRubber, natural</v>
      </c>
      <c r="B790" s="1818" t="s">
        <v>1328</v>
      </c>
      <c r="C790" s="1818" t="s">
        <v>7375</v>
      </c>
      <c r="D790" s="3463" t="str">
        <f>VLOOKUP(B790,List_Yield!$G$4:$J$14,4,FALSE)</f>
        <v>Asia (Continental)</v>
      </c>
      <c r="E790" s="3463" t="str">
        <f t="shared" si="24"/>
        <v>Asia (Continental)Rubber, natural</v>
      </c>
      <c r="F790" s="2994">
        <v>0</v>
      </c>
      <c r="G790" s="2994">
        <v>0</v>
      </c>
      <c r="H790" s="2994">
        <v>0</v>
      </c>
      <c r="I790" s="2994">
        <v>0</v>
      </c>
      <c r="J790" s="2994">
        <v>0</v>
      </c>
      <c r="K790" s="2994">
        <v>0</v>
      </c>
      <c r="L790" s="2994">
        <v>0</v>
      </c>
      <c r="M790" s="2994">
        <v>0</v>
      </c>
      <c r="N790" s="2994">
        <v>0</v>
      </c>
      <c r="O790" s="2994">
        <v>0</v>
      </c>
      <c r="P790" s="2994">
        <v>0</v>
      </c>
      <c r="Q790" s="2994">
        <v>0</v>
      </c>
      <c r="R790" s="2994">
        <v>0</v>
      </c>
      <c r="S790" s="2994">
        <v>0</v>
      </c>
      <c r="T790" s="2994">
        <v>0</v>
      </c>
      <c r="U790" s="2994">
        <v>0</v>
      </c>
      <c r="V790" s="2994">
        <v>0</v>
      </c>
      <c r="W790" s="2994">
        <v>0</v>
      </c>
      <c r="X790" s="2994">
        <v>0</v>
      </c>
      <c r="Y790" s="2994">
        <v>0</v>
      </c>
      <c r="Z790" s="2994">
        <v>0</v>
      </c>
      <c r="AA790" s="2994">
        <v>0</v>
      </c>
      <c r="AB790" s="2994">
        <v>0</v>
      </c>
      <c r="AC790" s="2994">
        <v>0</v>
      </c>
      <c r="AD790" s="2994">
        <v>0.62629999999999997</v>
      </c>
      <c r="AE790" s="2994">
        <v>0.65529999999999999</v>
      </c>
      <c r="AF790" s="2994">
        <v>0.65210000000000001</v>
      </c>
      <c r="AG790" s="2994">
        <v>0.65749999999999997</v>
      </c>
      <c r="AH790" s="2994">
        <v>0.66510000000000002</v>
      </c>
      <c r="AI790" s="2994">
        <v>0.67759999999999998</v>
      </c>
      <c r="AJ790" s="2994">
        <v>0.7056</v>
      </c>
      <c r="AK790" s="2994">
        <v>0.71640000000000004</v>
      </c>
      <c r="AL790" s="2994">
        <v>0.76719999999999999</v>
      </c>
      <c r="AM790" s="2994">
        <v>0.89690000000000003</v>
      </c>
      <c r="AN790" s="2994">
        <v>1.0722</v>
      </c>
      <c r="AO790" s="2994">
        <v>1.0188999999999999</v>
      </c>
      <c r="AP790" s="2994">
        <v>1.1096999999999999</v>
      </c>
      <c r="AQ790" s="2994">
        <v>1.1346000000000001</v>
      </c>
      <c r="AR790" s="2994">
        <v>1.1722999999999999</v>
      </c>
      <c r="AS790" s="2994">
        <v>1.1428</v>
      </c>
      <c r="AT790" s="2994">
        <v>1.1457999999999999</v>
      </c>
      <c r="AU790" s="2994">
        <v>1.23</v>
      </c>
      <c r="AV790" s="2994">
        <v>1.2975000000000001</v>
      </c>
      <c r="AW790" s="2994">
        <v>1.2650999999999999</v>
      </c>
      <c r="AX790" s="2994">
        <v>1.105</v>
      </c>
      <c r="AY790" s="2994">
        <v>1.1277999999999999</v>
      </c>
      <c r="AZ790" s="2994">
        <v>1.2361</v>
      </c>
      <c r="BA790" s="2994">
        <v>1.0593999999999999</v>
      </c>
      <c r="BB790" s="2994">
        <v>1.1535</v>
      </c>
      <c r="BC790" s="2994">
        <v>1.1973</v>
      </c>
      <c r="BD790" s="3471">
        <v>1.2561</v>
      </c>
      <c r="BE790" s="3471">
        <v>1.3</v>
      </c>
      <c r="BF790" s="3471">
        <v>0</v>
      </c>
    </row>
    <row r="791" spans="1:58">
      <c r="A791" s="1817" t="str">
        <f t="shared" si="25"/>
        <v>Eastern AsiaRye</v>
      </c>
      <c r="B791" s="1818" t="s">
        <v>1328</v>
      </c>
      <c r="C791" s="1818" t="s">
        <v>1327</v>
      </c>
      <c r="D791" s="3463" t="str">
        <f>VLOOKUP(B791,List_Yield!$G$4:$J$14,4,FALSE)</f>
        <v>Asia (Continental)</v>
      </c>
      <c r="E791" s="3463" t="str">
        <f t="shared" si="24"/>
        <v>Asia (Continental)Rye</v>
      </c>
      <c r="F791" s="2994">
        <v>1.0031000000000001</v>
      </c>
      <c r="G791" s="2994">
        <v>0.83620000000000005</v>
      </c>
      <c r="H791" s="2994">
        <v>0.86829999999999996</v>
      </c>
      <c r="I791" s="2994">
        <v>1.0024999999999999</v>
      </c>
      <c r="J791" s="2994">
        <v>1.1537999999999999</v>
      </c>
      <c r="K791" s="2994">
        <v>0.93520000000000003</v>
      </c>
      <c r="L791" s="2994">
        <v>1.0034000000000001</v>
      </c>
      <c r="M791" s="2994">
        <v>1.0038</v>
      </c>
      <c r="N791" s="2994">
        <v>1.0043</v>
      </c>
      <c r="O791" s="2994">
        <v>1.0414000000000001</v>
      </c>
      <c r="P791" s="2994">
        <v>1.0262</v>
      </c>
      <c r="Q791" s="2994">
        <v>1.0182</v>
      </c>
      <c r="R791" s="2994">
        <v>1.1267</v>
      </c>
      <c r="S791" s="2994">
        <v>1.1671</v>
      </c>
      <c r="T791" s="2994">
        <v>1.3647</v>
      </c>
      <c r="U791" s="2994">
        <v>1.4539</v>
      </c>
      <c r="V791" s="2994">
        <v>1.091</v>
      </c>
      <c r="W791" s="2994">
        <v>1.3742000000000001</v>
      </c>
      <c r="X791" s="2994">
        <v>1.8006</v>
      </c>
      <c r="Y791" s="2994">
        <v>1.5557000000000001</v>
      </c>
      <c r="Z791" s="2994">
        <v>1.5630999999999999</v>
      </c>
      <c r="AA791" s="2994">
        <v>1.7504999999999999</v>
      </c>
      <c r="AB791" s="2994">
        <v>1.9367000000000001</v>
      </c>
      <c r="AC791" s="2994">
        <v>2.2650000000000001</v>
      </c>
      <c r="AD791" s="2994">
        <v>1.8326</v>
      </c>
      <c r="AE791" s="2994">
        <v>1.5624</v>
      </c>
      <c r="AF791" s="2994">
        <v>1.6960999999999999</v>
      </c>
      <c r="AG791" s="2994">
        <v>1.5935999999999999</v>
      </c>
      <c r="AH791" s="2994">
        <v>1.4938</v>
      </c>
      <c r="AI791" s="2994">
        <v>1.4615</v>
      </c>
      <c r="AJ791" s="2994">
        <v>1.4855</v>
      </c>
      <c r="AK791" s="2994">
        <v>1.6473</v>
      </c>
      <c r="AL791" s="2994">
        <v>1.5934999999999999</v>
      </c>
      <c r="AM791" s="2994">
        <v>1.7625</v>
      </c>
      <c r="AN791" s="2994">
        <v>1.5510999999999999</v>
      </c>
      <c r="AO791" s="2994">
        <v>2.0981000000000001</v>
      </c>
      <c r="AP791" s="2994">
        <v>1.9752000000000001</v>
      </c>
      <c r="AQ791" s="2994">
        <v>1.6500999999999999</v>
      </c>
      <c r="AR791" s="2994">
        <v>1.7326999999999999</v>
      </c>
      <c r="AS791" s="2994">
        <v>1.5194000000000001</v>
      </c>
      <c r="AT791" s="2994">
        <v>1.3234999999999999</v>
      </c>
      <c r="AU791" s="2994">
        <v>1.4236</v>
      </c>
      <c r="AV791" s="2994">
        <v>2.1183000000000001</v>
      </c>
      <c r="AW791" s="2994">
        <v>2.0003000000000002</v>
      </c>
      <c r="AX791" s="2994">
        <v>1.8523000000000001</v>
      </c>
      <c r="AY791" s="2994">
        <v>1.2626999999999999</v>
      </c>
      <c r="AZ791" s="2994">
        <v>2.246</v>
      </c>
      <c r="BA791" s="2994">
        <v>2.7115999999999998</v>
      </c>
      <c r="BB791" s="2994">
        <v>2.9754</v>
      </c>
      <c r="BC791" s="2994">
        <v>2.7841999999999998</v>
      </c>
      <c r="BD791" s="3471">
        <v>3</v>
      </c>
      <c r="BE791" s="3471">
        <v>3.1347</v>
      </c>
      <c r="BF791" s="3471">
        <v>2.9020000000000001</v>
      </c>
    </row>
    <row r="792" spans="1:58">
      <c r="A792" s="1817" t="str">
        <f t="shared" si="25"/>
        <v>Eastern AsiaSafflower seed</v>
      </c>
      <c r="B792" s="1818" t="s">
        <v>1328</v>
      </c>
      <c r="C792" s="1818" t="s">
        <v>7376</v>
      </c>
      <c r="D792" s="3463" t="str">
        <f>VLOOKUP(B792,List_Yield!$G$4:$J$14,4,FALSE)</f>
        <v>Asia (Continental)</v>
      </c>
      <c r="E792" s="3463" t="str">
        <f t="shared" si="24"/>
        <v>Asia (Continental)Safflower seed</v>
      </c>
      <c r="F792" s="2994">
        <v>0</v>
      </c>
      <c r="G792" s="2994">
        <v>0</v>
      </c>
      <c r="H792" s="2994">
        <v>0</v>
      </c>
      <c r="I792" s="2994">
        <v>0</v>
      </c>
      <c r="J792" s="2994">
        <v>0</v>
      </c>
      <c r="K792" s="2994">
        <v>0</v>
      </c>
      <c r="L792" s="2994">
        <v>0</v>
      </c>
      <c r="M792" s="2994">
        <v>0</v>
      </c>
      <c r="N792" s="2994">
        <v>0</v>
      </c>
      <c r="O792" s="2994">
        <v>0</v>
      </c>
      <c r="P792" s="2994">
        <v>0</v>
      </c>
      <c r="Q792" s="2994">
        <v>0</v>
      </c>
      <c r="R792" s="2994">
        <v>0</v>
      </c>
      <c r="S792" s="2994">
        <v>0</v>
      </c>
      <c r="T792" s="2994">
        <v>0</v>
      </c>
      <c r="U792" s="2994">
        <v>0</v>
      </c>
      <c r="V792" s="2994">
        <v>0</v>
      </c>
      <c r="W792" s="2994">
        <v>0</v>
      </c>
      <c r="X792" s="2994">
        <v>0</v>
      </c>
      <c r="Y792" s="2994">
        <v>0</v>
      </c>
      <c r="Z792" s="2994">
        <v>0</v>
      </c>
      <c r="AA792" s="2994">
        <v>0</v>
      </c>
      <c r="AB792" s="2994">
        <v>0</v>
      </c>
      <c r="AC792" s="2994">
        <v>0</v>
      </c>
      <c r="AD792" s="2994">
        <v>0</v>
      </c>
      <c r="AE792" s="2994">
        <v>0</v>
      </c>
      <c r="AF792" s="2994">
        <v>0</v>
      </c>
      <c r="AG792" s="2994">
        <v>0</v>
      </c>
      <c r="AH792" s="2994">
        <v>0</v>
      </c>
      <c r="AI792" s="2994">
        <v>0</v>
      </c>
      <c r="AJ792" s="2994">
        <v>0</v>
      </c>
      <c r="AK792" s="2994">
        <v>1.7646999999999999</v>
      </c>
      <c r="AL792" s="2994">
        <v>2</v>
      </c>
      <c r="AM792" s="2994">
        <v>1.2195</v>
      </c>
      <c r="AN792" s="2994">
        <v>1.4286000000000001</v>
      </c>
      <c r="AO792" s="2994">
        <v>1.8824000000000001</v>
      </c>
      <c r="AP792" s="2994">
        <v>1.1904999999999999</v>
      </c>
      <c r="AQ792" s="2994">
        <v>2.0832999999999999</v>
      </c>
      <c r="AR792" s="2994">
        <v>0.8</v>
      </c>
      <c r="AS792" s="2994">
        <v>1.3</v>
      </c>
      <c r="AT792" s="2994">
        <v>1.5789</v>
      </c>
      <c r="AU792" s="2994">
        <v>1.5238</v>
      </c>
      <c r="AV792" s="2994">
        <v>1.4737</v>
      </c>
      <c r="AW792" s="2994">
        <v>1.3635999999999999</v>
      </c>
      <c r="AX792" s="2994">
        <v>1.5238</v>
      </c>
      <c r="AY792" s="2994">
        <v>1.3635999999999999</v>
      </c>
      <c r="AZ792" s="2994">
        <v>1.5238</v>
      </c>
      <c r="BA792" s="2994">
        <v>1.4773000000000001</v>
      </c>
      <c r="BB792" s="2994">
        <v>1.4782999999999999</v>
      </c>
      <c r="BC792" s="2994">
        <v>1.4827999999999999</v>
      </c>
      <c r="BD792" s="3471">
        <v>1.5736000000000001</v>
      </c>
      <c r="BE792" s="3471">
        <v>1.5651999999999999</v>
      </c>
      <c r="BF792" s="3471">
        <v>1.5651999999999999</v>
      </c>
    </row>
    <row r="793" spans="1:58">
      <c r="A793" s="1817" t="str">
        <f t="shared" si="25"/>
        <v>Eastern AsiaSeed cotton</v>
      </c>
      <c r="B793" s="1818" t="s">
        <v>1328</v>
      </c>
      <c r="C793" s="1818" t="s">
        <v>1371</v>
      </c>
      <c r="D793" s="3463" t="str">
        <f>VLOOKUP(B793,List_Yield!$G$4:$J$14,4,FALSE)</f>
        <v>Asia (Continental)</v>
      </c>
      <c r="E793" s="3463" t="str">
        <f t="shared" si="24"/>
        <v>Asia (Continental)Seed cotton</v>
      </c>
      <c r="F793" s="2994">
        <v>0.62019999999999997</v>
      </c>
      <c r="G793" s="2994">
        <v>0.63939999999999997</v>
      </c>
      <c r="H793" s="2994">
        <v>0.81469999999999998</v>
      </c>
      <c r="I793" s="2994">
        <v>1.0085</v>
      </c>
      <c r="J793" s="2994">
        <v>1.2548999999999999</v>
      </c>
      <c r="K793" s="2994">
        <v>1.4198</v>
      </c>
      <c r="L793" s="2994">
        <v>1.3818999999999999</v>
      </c>
      <c r="M793" s="2994">
        <v>1.4132</v>
      </c>
      <c r="N793" s="2994">
        <v>1.2887</v>
      </c>
      <c r="O793" s="2994">
        <v>1.3644000000000001</v>
      </c>
      <c r="P793" s="2994">
        <v>1.2807999999999999</v>
      </c>
      <c r="Q793" s="2994">
        <v>1.1982999999999999</v>
      </c>
      <c r="R793" s="2994">
        <v>1.5519000000000001</v>
      </c>
      <c r="S793" s="2994">
        <v>1.4702999999999999</v>
      </c>
      <c r="T793" s="2994">
        <v>1.4398</v>
      </c>
      <c r="U793" s="2994">
        <v>1.2495000000000001</v>
      </c>
      <c r="V793" s="2994">
        <v>1.2677</v>
      </c>
      <c r="W793" s="2994">
        <v>1.3344</v>
      </c>
      <c r="X793" s="2994">
        <v>1.4652000000000001</v>
      </c>
      <c r="Y793" s="2994">
        <v>1.6476</v>
      </c>
      <c r="Z793" s="2994">
        <v>1.7151000000000001</v>
      </c>
      <c r="AA793" s="2994">
        <v>1.8498000000000001</v>
      </c>
      <c r="AB793" s="2994">
        <v>2.2864</v>
      </c>
      <c r="AC793" s="2994">
        <v>2.7094</v>
      </c>
      <c r="AD793" s="2994">
        <v>2.4152999999999998</v>
      </c>
      <c r="AE793" s="2994">
        <v>2.4609999999999999</v>
      </c>
      <c r="AF793" s="2994">
        <v>2.6246999999999998</v>
      </c>
      <c r="AG793" s="2994">
        <v>2.2488999999999999</v>
      </c>
      <c r="AH793" s="2994">
        <v>2.1819999999999999</v>
      </c>
      <c r="AI793" s="2994">
        <v>2.4173</v>
      </c>
      <c r="AJ793" s="2994">
        <v>2.6009000000000002</v>
      </c>
      <c r="AK793" s="2994">
        <v>1.9782</v>
      </c>
      <c r="AL793" s="2994">
        <v>2.2486999999999999</v>
      </c>
      <c r="AM793" s="2994">
        <v>2.3542999999999998</v>
      </c>
      <c r="AN793" s="2994">
        <v>2.6349</v>
      </c>
      <c r="AO793" s="2994">
        <v>2.6667000000000001</v>
      </c>
      <c r="AP793" s="2994">
        <v>3.0687000000000002</v>
      </c>
      <c r="AQ793" s="2994">
        <v>3.0226999999999999</v>
      </c>
      <c r="AR793" s="2994">
        <v>3.0752000000000002</v>
      </c>
      <c r="AS793" s="2994">
        <v>3.2724000000000002</v>
      </c>
      <c r="AT793" s="2994">
        <v>3.3153000000000001</v>
      </c>
      <c r="AU793" s="2994">
        <v>3.5173000000000001</v>
      </c>
      <c r="AV793" s="2994">
        <v>2.8490000000000002</v>
      </c>
      <c r="AW793" s="2994">
        <v>3.3275000000000001</v>
      </c>
      <c r="AX793" s="2994">
        <v>3.3807</v>
      </c>
      <c r="AY793" s="2994">
        <v>3.4746000000000001</v>
      </c>
      <c r="AZ793" s="2994">
        <v>3.8538999999999999</v>
      </c>
      <c r="BA793" s="2994">
        <v>3.9001000000000001</v>
      </c>
      <c r="BB793" s="2994">
        <v>3.8553999999999999</v>
      </c>
      <c r="BC793" s="2994">
        <v>3.6856</v>
      </c>
      <c r="BD793" s="3471">
        <v>3.9152999999999998</v>
      </c>
      <c r="BE793" s="3471">
        <v>4.3567999999999998</v>
      </c>
      <c r="BF793" s="3471">
        <v>4.3417000000000003</v>
      </c>
    </row>
    <row r="794" spans="1:58">
      <c r="A794" s="1817" t="str">
        <f t="shared" si="25"/>
        <v>Eastern AsiaSesame seed</v>
      </c>
      <c r="B794" s="1818" t="s">
        <v>1328</v>
      </c>
      <c r="C794" s="1818" t="s">
        <v>1319</v>
      </c>
      <c r="D794" s="3463" t="str">
        <f>VLOOKUP(B794,List_Yield!$G$4:$J$14,4,FALSE)</f>
        <v>Asia (Continental)</v>
      </c>
      <c r="E794" s="3463" t="str">
        <f t="shared" si="24"/>
        <v>Asia (Continental)Sesame seed</v>
      </c>
      <c r="F794" s="2994">
        <v>0.29949999999999999</v>
      </c>
      <c r="G794" s="2994">
        <v>0.36130000000000001</v>
      </c>
      <c r="H794" s="2994">
        <v>0.3286</v>
      </c>
      <c r="I794" s="2994">
        <v>0.39240000000000003</v>
      </c>
      <c r="J794" s="2994">
        <v>0.3896</v>
      </c>
      <c r="K794" s="2994">
        <v>0.42820000000000003</v>
      </c>
      <c r="L794" s="2994">
        <v>0.45140000000000002</v>
      </c>
      <c r="M794" s="2994">
        <v>0.39629999999999999</v>
      </c>
      <c r="N794" s="2994">
        <v>0.42909999999999998</v>
      </c>
      <c r="O794" s="2994">
        <v>0.47160000000000002</v>
      </c>
      <c r="P794" s="2994">
        <v>0.47420000000000001</v>
      </c>
      <c r="Q794" s="2994">
        <v>0.43419999999999997</v>
      </c>
      <c r="R794" s="2994">
        <v>0.44529999999999997</v>
      </c>
      <c r="S794" s="2994">
        <v>0.4254</v>
      </c>
      <c r="T794" s="2994">
        <v>0.39889999999999998</v>
      </c>
      <c r="U794" s="2994">
        <v>0.4229</v>
      </c>
      <c r="V794" s="2994">
        <v>0.44140000000000001</v>
      </c>
      <c r="W794" s="2994">
        <v>0.50019999999999998</v>
      </c>
      <c r="X794" s="2994">
        <v>0.4834</v>
      </c>
      <c r="Y794" s="2994">
        <v>0.32369999999999999</v>
      </c>
      <c r="Z794" s="2994">
        <v>0.6129</v>
      </c>
      <c r="AA794" s="2994">
        <v>0.3533</v>
      </c>
      <c r="AB794" s="2994">
        <v>0.44690000000000002</v>
      </c>
      <c r="AC794" s="2994">
        <v>0.55620000000000003</v>
      </c>
      <c r="AD794" s="2994">
        <v>0.65049999999999997</v>
      </c>
      <c r="AE794" s="2994">
        <v>0.60809999999999997</v>
      </c>
      <c r="AF794" s="2994">
        <v>0.59099999999999997</v>
      </c>
      <c r="AG794" s="2994">
        <v>0.58399999999999996</v>
      </c>
      <c r="AH794" s="2994">
        <v>0.4793</v>
      </c>
      <c r="AI794" s="2994">
        <v>0.69740000000000002</v>
      </c>
      <c r="AJ794" s="2994">
        <v>0.63170000000000004</v>
      </c>
      <c r="AK794" s="2994">
        <v>0.68759999999999999</v>
      </c>
      <c r="AL794" s="2994">
        <v>0.72399999999999998</v>
      </c>
      <c r="AM794" s="2994">
        <v>0.78790000000000004</v>
      </c>
      <c r="AN794" s="2994">
        <v>0.88529999999999998</v>
      </c>
      <c r="AO794" s="2994">
        <v>0.94989999999999997</v>
      </c>
      <c r="AP794" s="2994">
        <v>0.97440000000000004</v>
      </c>
      <c r="AQ794" s="2994">
        <v>1.0007999999999999</v>
      </c>
      <c r="AR794" s="2994">
        <v>1.0271999999999999</v>
      </c>
      <c r="AS794" s="2994">
        <v>1.0165</v>
      </c>
      <c r="AT794" s="2994">
        <v>1.0410999999999999</v>
      </c>
      <c r="AU794" s="2994">
        <v>1.1442000000000001</v>
      </c>
      <c r="AV794" s="2994">
        <v>0.83740000000000003</v>
      </c>
      <c r="AW794" s="2994">
        <v>1.1039000000000001</v>
      </c>
      <c r="AX794" s="2994">
        <v>1.0335000000000001</v>
      </c>
      <c r="AY794" s="2994">
        <v>1.1286</v>
      </c>
      <c r="AZ794" s="2994">
        <v>1.1103000000000001</v>
      </c>
      <c r="BA794" s="2994">
        <v>1.2089000000000001</v>
      </c>
      <c r="BB794" s="2994">
        <v>1.2421</v>
      </c>
      <c r="BC794" s="2994">
        <v>1.2629999999999999</v>
      </c>
      <c r="BD794" s="3471">
        <v>1.3264</v>
      </c>
      <c r="BE794" s="3471">
        <v>1.2583</v>
      </c>
      <c r="BF794" s="3471">
        <v>1.2723</v>
      </c>
    </row>
    <row r="795" spans="1:58">
      <c r="A795" s="1817" t="str">
        <f t="shared" si="25"/>
        <v>Eastern AsiaSisal</v>
      </c>
      <c r="B795" s="1818" t="s">
        <v>1328</v>
      </c>
      <c r="C795" s="1818" t="s">
        <v>1372</v>
      </c>
      <c r="D795" s="3463" t="str">
        <f>VLOOKUP(B795,List_Yield!$G$4:$J$14,4,FALSE)</f>
        <v>Asia (Continental)</v>
      </c>
      <c r="E795" s="3463" t="str">
        <f t="shared" si="24"/>
        <v>Asia (Continental)Sisal</v>
      </c>
      <c r="F795" s="2994">
        <v>1.1138999999999999</v>
      </c>
      <c r="G795" s="2994">
        <v>1.0195000000000001</v>
      </c>
      <c r="H795" s="2994">
        <v>1.1214</v>
      </c>
      <c r="I795" s="2994">
        <v>1.1686000000000001</v>
      </c>
      <c r="J795" s="2994">
        <v>1.1548</v>
      </c>
      <c r="K795" s="2994">
        <v>1.1585000000000001</v>
      </c>
      <c r="L795" s="2994">
        <v>1.2</v>
      </c>
      <c r="M795" s="2994">
        <v>1.1717</v>
      </c>
      <c r="N795" s="2994">
        <v>1.1879</v>
      </c>
      <c r="O795" s="2994">
        <v>1.2181999999999999</v>
      </c>
      <c r="P795" s="2994">
        <v>1.2038</v>
      </c>
      <c r="Q795" s="2994">
        <v>1.1883999999999999</v>
      </c>
      <c r="R795" s="2994">
        <v>1.151</v>
      </c>
      <c r="S795" s="2994">
        <v>1.2637</v>
      </c>
      <c r="T795" s="2994">
        <v>1.1567000000000001</v>
      </c>
      <c r="U795" s="2994">
        <v>1.1978</v>
      </c>
      <c r="V795" s="2994">
        <v>1.1605000000000001</v>
      </c>
      <c r="W795" s="2994">
        <v>1.2706999999999999</v>
      </c>
      <c r="X795" s="2994">
        <v>1.3441000000000001</v>
      </c>
      <c r="Y795" s="2994">
        <v>1.3554999999999999</v>
      </c>
      <c r="Z795" s="2994">
        <v>1.3549</v>
      </c>
      <c r="AA795" s="2994">
        <v>1.2569999999999999</v>
      </c>
      <c r="AB795" s="2994">
        <v>1.29</v>
      </c>
      <c r="AC795" s="2994">
        <v>1.3459000000000001</v>
      </c>
      <c r="AD795" s="2994">
        <v>1.2391000000000001</v>
      </c>
      <c r="AE795" s="2994">
        <v>1.2676000000000001</v>
      </c>
      <c r="AF795" s="2994">
        <v>1.3298000000000001</v>
      </c>
      <c r="AG795" s="2994">
        <v>1.2979000000000001</v>
      </c>
      <c r="AH795" s="2994">
        <v>1.4121999999999999</v>
      </c>
      <c r="AI795" s="2994">
        <v>2.2578999999999998</v>
      </c>
      <c r="AJ795" s="2994">
        <v>2.1741999999999999</v>
      </c>
      <c r="AK795" s="2994">
        <v>2.2201</v>
      </c>
      <c r="AL795" s="2994">
        <v>2.4216000000000002</v>
      </c>
      <c r="AM795" s="2994">
        <v>2.7233000000000001</v>
      </c>
      <c r="AN795" s="2994">
        <v>3.4921000000000002</v>
      </c>
      <c r="AO795" s="2994">
        <v>2.4245000000000001</v>
      </c>
      <c r="AP795" s="2994">
        <v>2.7016</v>
      </c>
      <c r="AQ795" s="2994">
        <v>3.0238999999999998</v>
      </c>
      <c r="AR795" s="2994">
        <v>3.2523</v>
      </c>
      <c r="AS795" s="2994">
        <v>3.7890000000000001</v>
      </c>
      <c r="AT795" s="2994">
        <v>3.2437999999999998</v>
      </c>
      <c r="AU795" s="2994">
        <v>4.2104999999999997</v>
      </c>
      <c r="AV795" s="2994">
        <v>5.6666999999999996</v>
      </c>
      <c r="AW795" s="2994">
        <v>6.4286000000000003</v>
      </c>
      <c r="AX795" s="2994">
        <v>4.1935000000000002</v>
      </c>
      <c r="AY795" s="2994">
        <v>4.1666999999999996</v>
      </c>
      <c r="AZ795" s="2994">
        <v>4.375</v>
      </c>
      <c r="BA795" s="2994">
        <v>4.8484999999999996</v>
      </c>
      <c r="BB795" s="2994">
        <v>4.8529</v>
      </c>
      <c r="BC795" s="2994">
        <v>4.8571</v>
      </c>
      <c r="BD795" s="3471">
        <v>4.7058999999999997</v>
      </c>
      <c r="BE795" s="3471">
        <v>4.7058999999999997</v>
      </c>
      <c r="BF795" s="3471">
        <v>0</v>
      </c>
    </row>
    <row r="796" spans="1:58">
      <c r="A796" s="1817" t="str">
        <f t="shared" si="25"/>
        <v>Eastern AsiaSorghum</v>
      </c>
      <c r="B796" s="1818" t="s">
        <v>1328</v>
      </c>
      <c r="C796" s="1818" t="s">
        <v>1373</v>
      </c>
      <c r="D796" s="3463" t="str">
        <f>VLOOKUP(B796,List_Yield!$G$4:$J$14,4,FALSE)</f>
        <v>Asia (Continental)</v>
      </c>
      <c r="E796" s="3463" t="str">
        <f t="shared" si="24"/>
        <v>Asia (Continental)Sorghum</v>
      </c>
      <c r="F796" s="2994">
        <v>0.92659999999999998</v>
      </c>
      <c r="G796" s="2994">
        <v>0.90969999999999995</v>
      </c>
      <c r="H796" s="2994">
        <v>1.0757000000000001</v>
      </c>
      <c r="I796" s="2994">
        <v>1.2194</v>
      </c>
      <c r="J796" s="2994">
        <v>1.153</v>
      </c>
      <c r="K796" s="2994">
        <v>1.3817999999999999</v>
      </c>
      <c r="L796" s="2994">
        <v>1.3826000000000001</v>
      </c>
      <c r="M796" s="2994">
        <v>1.4145000000000001</v>
      </c>
      <c r="N796" s="2994">
        <v>1.3772</v>
      </c>
      <c r="O796" s="2994">
        <v>1.6819</v>
      </c>
      <c r="P796" s="2994">
        <v>1.7266999999999999</v>
      </c>
      <c r="Q796" s="2994">
        <v>1.5978000000000001</v>
      </c>
      <c r="R796" s="2994">
        <v>1.7963</v>
      </c>
      <c r="S796" s="2994">
        <v>1.7684</v>
      </c>
      <c r="T796" s="2994">
        <v>1.8853</v>
      </c>
      <c r="U796" s="2994">
        <v>2.0044</v>
      </c>
      <c r="V796" s="2994">
        <v>2.0451999999999999</v>
      </c>
      <c r="W796" s="2994">
        <v>2.3212999999999999</v>
      </c>
      <c r="X796" s="2994">
        <v>2.4047000000000001</v>
      </c>
      <c r="Y796" s="2994">
        <v>2.5091000000000001</v>
      </c>
      <c r="Z796" s="2994">
        <v>2.5417999999999998</v>
      </c>
      <c r="AA796" s="2994">
        <v>2.5049000000000001</v>
      </c>
      <c r="AB796" s="2994">
        <v>3.0779999999999998</v>
      </c>
      <c r="AC796" s="2994">
        <v>3.1429</v>
      </c>
      <c r="AD796" s="2994">
        <v>2.8902999999999999</v>
      </c>
      <c r="AE796" s="2994">
        <v>2.8782000000000001</v>
      </c>
      <c r="AF796" s="2994">
        <v>2.9232</v>
      </c>
      <c r="AG796" s="2994">
        <v>3.1431</v>
      </c>
      <c r="AH796" s="2994">
        <v>2.7690999999999999</v>
      </c>
      <c r="AI796" s="2994">
        <v>3.6617000000000002</v>
      </c>
      <c r="AJ796" s="2994">
        <v>3.5575999999999999</v>
      </c>
      <c r="AK796" s="2994">
        <v>3.5905</v>
      </c>
      <c r="AL796" s="2994">
        <v>4.0898000000000003</v>
      </c>
      <c r="AM796" s="2994">
        <v>4.5971000000000002</v>
      </c>
      <c r="AN796" s="2994">
        <v>3.9064999999999999</v>
      </c>
      <c r="AO796" s="2994">
        <v>4.3837999999999999</v>
      </c>
      <c r="AP796" s="2994">
        <v>3.3589000000000002</v>
      </c>
      <c r="AQ796" s="2994">
        <v>4.1951999999999998</v>
      </c>
      <c r="AR796" s="2994">
        <v>3.3088000000000002</v>
      </c>
      <c r="AS796" s="2994">
        <v>2.9009999999999998</v>
      </c>
      <c r="AT796" s="2994">
        <v>3.4287000000000001</v>
      </c>
      <c r="AU796" s="2994">
        <v>3.9110999999999998</v>
      </c>
      <c r="AV796" s="2994">
        <v>3.9039999999999999</v>
      </c>
      <c r="AW796" s="2994">
        <v>4.0449000000000002</v>
      </c>
      <c r="AX796" s="2994">
        <v>4.3608000000000002</v>
      </c>
      <c r="AY796" s="2994">
        <v>4.7119</v>
      </c>
      <c r="AZ796" s="2994">
        <v>3.7511999999999999</v>
      </c>
      <c r="BA796" s="2994">
        <v>3.6581000000000001</v>
      </c>
      <c r="BB796" s="2994">
        <v>2.9396</v>
      </c>
      <c r="BC796" s="2994">
        <v>4.3635000000000002</v>
      </c>
      <c r="BD796" s="3471">
        <v>3.9956</v>
      </c>
      <c r="BE796" s="3471">
        <v>3.5762999999999998</v>
      </c>
      <c r="BF796" s="3471">
        <v>3.5777999999999999</v>
      </c>
    </row>
    <row r="797" spans="1:58">
      <c r="A797" s="1817" t="str">
        <f t="shared" si="25"/>
        <v>Eastern AsiaSoybeans</v>
      </c>
      <c r="B797" s="1818" t="s">
        <v>1328</v>
      </c>
      <c r="C797" s="1818" t="s">
        <v>1333</v>
      </c>
      <c r="D797" s="3463" t="str">
        <f>VLOOKUP(B797,List_Yield!$G$4:$J$14,4,FALSE)</f>
        <v>Asia (Continental)</v>
      </c>
      <c r="E797" s="3463" t="str">
        <f t="shared" si="24"/>
        <v>Asia (Continental)Soybeans</v>
      </c>
      <c r="F797" s="2994">
        <v>0.6421</v>
      </c>
      <c r="G797" s="2994">
        <v>0.69450000000000001</v>
      </c>
      <c r="H797" s="2994">
        <v>0.72430000000000005</v>
      </c>
      <c r="I797" s="2994">
        <v>0.7833</v>
      </c>
      <c r="J797" s="2994">
        <v>0.71899999999999997</v>
      </c>
      <c r="K797" s="2994">
        <v>0.97030000000000005</v>
      </c>
      <c r="L797" s="2994">
        <v>0.96740000000000004</v>
      </c>
      <c r="M797" s="2994">
        <v>0.96230000000000004</v>
      </c>
      <c r="N797" s="2994">
        <v>0.91820000000000002</v>
      </c>
      <c r="O797" s="2994">
        <v>1.0805</v>
      </c>
      <c r="P797" s="2994">
        <v>1.0951</v>
      </c>
      <c r="Q797" s="2994">
        <v>0.86160000000000003</v>
      </c>
      <c r="R797" s="2994">
        <v>1.1107</v>
      </c>
      <c r="S797" s="2994">
        <v>1.0374000000000001</v>
      </c>
      <c r="T797" s="2994">
        <v>1.0439000000000001</v>
      </c>
      <c r="U797" s="2994">
        <v>1.0065</v>
      </c>
      <c r="V797" s="2994">
        <v>1.0738000000000001</v>
      </c>
      <c r="W797" s="2994">
        <v>1.0728</v>
      </c>
      <c r="X797" s="2994">
        <v>1.0474000000000001</v>
      </c>
      <c r="Y797" s="2994">
        <v>1.1056999999999999</v>
      </c>
      <c r="Z797" s="2994">
        <v>1.171</v>
      </c>
      <c r="AA797" s="2994">
        <v>1.0887</v>
      </c>
      <c r="AB797" s="2994">
        <v>1.2907999999999999</v>
      </c>
      <c r="AC797" s="2994">
        <v>1.3402000000000001</v>
      </c>
      <c r="AD797" s="2994">
        <v>1.3661000000000001</v>
      </c>
      <c r="AE797" s="2994">
        <v>1.4033</v>
      </c>
      <c r="AF797" s="2994">
        <v>1.4420999999999999</v>
      </c>
      <c r="AG797" s="2994">
        <v>1.4384999999999999</v>
      </c>
      <c r="AH797" s="2994">
        <v>1.2835000000000001</v>
      </c>
      <c r="AI797" s="2994">
        <v>1.4486000000000001</v>
      </c>
      <c r="AJ797" s="2994">
        <v>1.3768</v>
      </c>
      <c r="AK797" s="2994">
        <v>1.4293</v>
      </c>
      <c r="AL797" s="2994">
        <v>1.6006</v>
      </c>
      <c r="AM797" s="2994">
        <v>1.7125999999999999</v>
      </c>
      <c r="AN797" s="2994">
        <v>1.6459999999999999</v>
      </c>
      <c r="AO797" s="2994">
        <v>1.7503</v>
      </c>
      <c r="AP797" s="2994">
        <v>1.7425999999999999</v>
      </c>
      <c r="AQ797" s="2994">
        <v>1.7532000000000001</v>
      </c>
      <c r="AR797" s="2994">
        <v>1.7604</v>
      </c>
      <c r="AS797" s="2994">
        <v>1.6395999999999999</v>
      </c>
      <c r="AT797" s="2994">
        <v>1.6152</v>
      </c>
      <c r="AU797" s="2994">
        <v>1.8624000000000001</v>
      </c>
      <c r="AV797" s="2994">
        <v>1.6324000000000001</v>
      </c>
      <c r="AW797" s="2994">
        <v>1.7869999999999999</v>
      </c>
      <c r="AX797" s="2994">
        <v>1.6881999999999999</v>
      </c>
      <c r="AY797" s="2994">
        <v>1.65</v>
      </c>
      <c r="AZ797" s="2994">
        <v>1.4470000000000001</v>
      </c>
      <c r="BA797" s="2994">
        <v>1.6878</v>
      </c>
      <c r="BB797" s="2994">
        <v>1.6175999999999999</v>
      </c>
      <c r="BC797" s="2994">
        <v>1.7463</v>
      </c>
      <c r="BD797" s="3471">
        <v>1.8068</v>
      </c>
      <c r="BE797" s="3471">
        <v>1.8946000000000001</v>
      </c>
      <c r="BF797" s="3471">
        <v>1.8547</v>
      </c>
    </row>
    <row r="798" spans="1:58">
      <c r="A798" s="1817" t="str">
        <f t="shared" si="25"/>
        <v>Eastern AsiaSpices, nes</v>
      </c>
      <c r="B798" s="1818" t="s">
        <v>1328</v>
      </c>
      <c r="C798" s="1818" t="s">
        <v>7377</v>
      </c>
      <c r="D798" s="3463" t="str">
        <f>VLOOKUP(B798,List_Yield!$G$4:$J$14,4,FALSE)</f>
        <v>Asia (Continental)</v>
      </c>
      <c r="E798" s="3463" t="str">
        <f t="shared" si="24"/>
        <v>Asia (Continental)Spices, nes</v>
      </c>
      <c r="F798" s="2994">
        <v>312</v>
      </c>
      <c r="G798" s="2994">
        <v>312</v>
      </c>
      <c r="H798" s="2994">
        <v>312</v>
      </c>
      <c r="I798" s="2994">
        <v>332</v>
      </c>
      <c r="J798" s="2994">
        <v>332.7</v>
      </c>
      <c r="K798" s="2994">
        <v>578.76670000000001</v>
      </c>
      <c r="L798" s="2994">
        <v>421.06819999999999</v>
      </c>
      <c r="M798" s="2994">
        <v>460.9</v>
      </c>
      <c r="N798" s="2994">
        <v>371.14</v>
      </c>
      <c r="O798" s="2994">
        <v>338.18180000000001</v>
      </c>
      <c r="P798" s="2994">
        <v>282.8571</v>
      </c>
      <c r="Q798" s="2994">
        <v>233.33330000000001</v>
      </c>
      <c r="R798" s="2994">
        <v>233.33330000000001</v>
      </c>
      <c r="S798" s="2994">
        <v>244.4444</v>
      </c>
      <c r="T798" s="2994">
        <v>255.5556</v>
      </c>
      <c r="U798" s="2994">
        <v>255.5556</v>
      </c>
      <c r="V798" s="2994">
        <v>266.66669999999999</v>
      </c>
      <c r="W798" s="2994">
        <v>288.88889999999998</v>
      </c>
      <c r="X798" s="2994">
        <v>270</v>
      </c>
      <c r="Y798" s="2994">
        <v>280</v>
      </c>
      <c r="Z798" s="2994">
        <v>290</v>
      </c>
      <c r="AA798" s="2994">
        <v>310</v>
      </c>
      <c r="AB798" s="2994">
        <v>330</v>
      </c>
      <c r="AC798" s="2994">
        <v>309.09089999999998</v>
      </c>
      <c r="AD798" s="2994">
        <v>1.9867999999999999</v>
      </c>
      <c r="AE798" s="2994">
        <v>2.0971000000000002</v>
      </c>
      <c r="AF798" s="2994">
        <v>2.2621000000000002</v>
      </c>
      <c r="AG798" s="2994">
        <v>2.3717999999999999</v>
      </c>
      <c r="AH798" s="2994">
        <v>2.4264999999999999</v>
      </c>
      <c r="AI798" s="2994">
        <v>3.1088</v>
      </c>
      <c r="AJ798" s="2994">
        <v>4.4436999999999998</v>
      </c>
      <c r="AK798" s="2994">
        <v>3.4908999999999999</v>
      </c>
      <c r="AL798" s="2994">
        <v>4.2934999999999999</v>
      </c>
      <c r="AM798" s="2994">
        <v>4.0663999999999998</v>
      </c>
      <c r="AN798" s="2994">
        <v>4.1113999999999997</v>
      </c>
      <c r="AO798" s="2994">
        <v>4.0765000000000002</v>
      </c>
      <c r="AP798" s="2994">
        <v>3.7906</v>
      </c>
      <c r="AQ798" s="2994">
        <v>3.1554000000000002</v>
      </c>
      <c r="AR798" s="2994">
        <v>3.0897999999999999</v>
      </c>
      <c r="AS798" s="2994">
        <v>3.032</v>
      </c>
      <c r="AT798" s="2994">
        <v>2.9807000000000001</v>
      </c>
      <c r="AU798" s="2994">
        <v>2.8963000000000001</v>
      </c>
      <c r="AV798" s="2994">
        <v>3.5752000000000002</v>
      </c>
      <c r="AW798" s="2994">
        <v>2.7747999999999999</v>
      </c>
      <c r="AX798" s="2994">
        <v>2.5678999999999998</v>
      </c>
      <c r="AY798" s="2994">
        <v>2.8290999999999999</v>
      </c>
      <c r="AZ798" s="2994">
        <v>2.8570000000000002</v>
      </c>
      <c r="BA798" s="2994">
        <v>2.8378999999999999</v>
      </c>
      <c r="BB798" s="2994">
        <v>3.0545</v>
      </c>
      <c r="BC798" s="2994">
        <v>3.1238999999999999</v>
      </c>
      <c r="BD798" s="3471">
        <v>3.3431999999999999</v>
      </c>
      <c r="BE798" s="3471">
        <v>3.3641999999999999</v>
      </c>
      <c r="BF798" s="3471">
        <v>0</v>
      </c>
    </row>
    <row r="799" spans="1:58">
      <c r="A799" s="1817" t="str">
        <f t="shared" si="25"/>
        <v>Eastern AsiaSpinach</v>
      </c>
      <c r="B799" s="1818" t="s">
        <v>1328</v>
      </c>
      <c r="C799" s="1818" t="s">
        <v>7378</v>
      </c>
      <c r="D799" s="3463" t="str">
        <f>VLOOKUP(B799,List_Yield!$G$4:$J$14,4,FALSE)</f>
        <v>Asia (Continental)</v>
      </c>
      <c r="E799" s="3463" t="str">
        <f t="shared" si="24"/>
        <v>Asia (Continental)Spinach</v>
      </c>
      <c r="F799" s="2994">
        <v>8.6143999999999998</v>
      </c>
      <c r="G799" s="2994">
        <v>9.1295999999999999</v>
      </c>
      <c r="H799" s="2994">
        <v>9.6523000000000003</v>
      </c>
      <c r="I799" s="2994">
        <v>9.5737000000000005</v>
      </c>
      <c r="J799" s="2994">
        <v>10.108499999999999</v>
      </c>
      <c r="K799" s="2994">
        <v>10.4122</v>
      </c>
      <c r="L799" s="2994">
        <v>10.582599999999999</v>
      </c>
      <c r="M799" s="2994">
        <v>11.809799999999999</v>
      </c>
      <c r="N799" s="2994">
        <v>12.5031</v>
      </c>
      <c r="O799" s="2994">
        <v>15.1389</v>
      </c>
      <c r="P799" s="2994">
        <v>15.3142</v>
      </c>
      <c r="Q799" s="2994">
        <v>14.7883</v>
      </c>
      <c r="R799" s="2994">
        <v>14.5405</v>
      </c>
      <c r="S799" s="2994">
        <v>15.153</v>
      </c>
      <c r="T799" s="2994">
        <v>15.236499999999999</v>
      </c>
      <c r="U799" s="2994">
        <v>15.168699999999999</v>
      </c>
      <c r="V799" s="2994">
        <v>15.2369</v>
      </c>
      <c r="W799" s="2994">
        <v>17.6861</v>
      </c>
      <c r="X799" s="2994">
        <v>14.8805</v>
      </c>
      <c r="Y799" s="2994">
        <v>14.1434</v>
      </c>
      <c r="Z799" s="2994">
        <v>14.9391</v>
      </c>
      <c r="AA799" s="2994">
        <v>14.720700000000001</v>
      </c>
      <c r="AB799" s="2994">
        <v>14.8119</v>
      </c>
      <c r="AC799" s="2994">
        <v>78.474900000000005</v>
      </c>
      <c r="AD799" s="2994">
        <v>14.881399999999999</v>
      </c>
      <c r="AE799" s="2994">
        <v>14.9421</v>
      </c>
      <c r="AF799" s="2994">
        <v>14.7301</v>
      </c>
      <c r="AG799" s="2994">
        <v>14.9933</v>
      </c>
      <c r="AH799" s="2994">
        <v>14.3894</v>
      </c>
      <c r="AI799" s="2994">
        <v>14.467000000000001</v>
      </c>
      <c r="AJ799" s="2994">
        <v>14.5441</v>
      </c>
      <c r="AK799" s="2994">
        <v>14.9223</v>
      </c>
      <c r="AL799" s="2994">
        <v>14.6623</v>
      </c>
      <c r="AM799" s="2994">
        <v>14.8537</v>
      </c>
      <c r="AN799" s="2994">
        <v>14.797000000000001</v>
      </c>
      <c r="AO799" s="2994">
        <v>14.6592</v>
      </c>
      <c r="AP799" s="2994">
        <v>14.1374</v>
      </c>
      <c r="AQ799" s="2994">
        <v>13.929500000000001</v>
      </c>
      <c r="AR799" s="2994">
        <v>13.355600000000001</v>
      </c>
      <c r="AS799" s="2994">
        <v>14.908200000000001</v>
      </c>
      <c r="AT799" s="2994">
        <v>15.280900000000001</v>
      </c>
      <c r="AU799" s="2994">
        <v>15.7277</v>
      </c>
      <c r="AV799" s="2994">
        <v>16.783899999999999</v>
      </c>
      <c r="AW799" s="2994">
        <v>18.558299999999999</v>
      </c>
      <c r="AX799" s="2994">
        <v>19.078099999999999</v>
      </c>
      <c r="AY799" s="2994">
        <v>19.865400000000001</v>
      </c>
      <c r="AZ799" s="2994">
        <v>22.013400000000001</v>
      </c>
      <c r="BA799" s="2994">
        <v>26.196400000000001</v>
      </c>
      <c r="BB799" s="2994">
        <v>27.0579</v>
      </c>
      <c r="BC799" s="2994">
        <v>27.085799999999999</v>
      </c>
      <c r="BD799" s="3471">
        <v>27.088100000000001</v>
      </c>
      <c r="BE799" s="3471">
        <v>25.523</v>
      </c>
      <c r="BF799" s="3471">
        <v>0</v>
      </c>
    </row>
    <row r="800" spans="1:58">
      <c r="A800" s="1817" t="str">
        <f t="shared" si="25"/>
        <v>Eastern AsiaStrawberries</v>
      </c>
      <c r="B800" s="1818" t="s">
        <v>1328</v>
      </c>
      <c r="C800" s="1818" t="s">
        <v>1374</v>
      </c>
      <c r="D800" s="3463" t="str">
        <f>VLOOKUP(B800,List_Yield!$G$4:$J$14,4,FALSE)</f>
        <v>Asia (Continental)</v>
      </c>
      <c r="E800" s="3463" t="str">
        <f t="shared" si="24"/>
        <v>Asia (Continental)Strawberries</v>
      </c>
      <c r="F800" s="2994">
        <v>7.1478999999999999</v>
      </c>
      <c r="G800" s="2994">
        <v>7.1478999999999999</v>
      </c>
      <c r="H800" s="2994">
        <v>7.1478999999999999</v>
      </c>
      <c r="I800" s="2994">
        <v>8.0998000000000001</v>
      </c>
      <c r="J800" s="2994">
        <v>7.8680000000000003</v>
      </c>
      <c r="K800" s="2994">
        <v>9.2769999999999992</v>
      </c>
      <c r="L800" s="2994">
        <v>8.9083000000000006</v>
      </c>
      <c r="M800" s="2994">
        <v>9.8838000000000008</v>
      </c>
      <c r="N800" s="2994">
        <v>10.183199999999999</v>
      </c>
      <c r="O800" s="2994">
        <v>10.298500000000001</v>
      </c>
      <c r="P800" s="2994">
        <v>11.420999999999999</v>
      </c>
      <c r="Q800" s="2994">
        <v>12.1417</v>
      </c>
      <c r="R800" s="2994">
        <v>13.369300000000001</v>
      </c>
      <c r="S800" s="2994">
        <v>12.250500000000001</v>
      </c>
      <c r="T800" s="2994">
        <v>13.035500000000001</v>
      </c>
      <c r="U800" s="2994">
        <v>13.392899999999999</v>
      </c>
      <c r="V800" s="2994">
        <v>13.4091</v>
      </c>
      <c r="W800" s="2994">
        <v>14.3049</v>
      </c>
      <c r="X800" s="2994">
        <v>14.521000000000001</v>
      </c>
      <c r="Y800" s="2994">
        <v>13.7568</v>
      </c>
      <c r="Z800" s="2994">
        <v>13.949400000000001</v>
      </c>
      <c r="AA800" s="2994">
        <v>14.4308</v>
      </c>
      <c r="AB800" s="2994">
        <v>14.703099999999999</v>
      </c>
      <c r="AC800" s="2994">
        <v>15.6439</v>
      </c>
      <c r="AD800" s="2994">
        <v>15.7713</v>
      </c>
      <c r="AE800" s="2994">
        <v>16.257100000000001</v>
      </c>
      <c r="AF800" s="2994">
        <v>16.622699999999998</v>
      </c>
      <c r="AG800" s="2994">
        <v>18.047699999999999</v>
      </c>
      <c r="AH800" s="2994">
        <v>18.5213</v>
      </c>
      <c r="AI800" s="2994">
        <v>18.933599999999998</v>
      </c>
      <c r="AJ800" s="2994">
        <v>19.6067</v>
      </c>
      <c r="AK800" s="2994">
        <v>20.287600000000001</v>
      </c>
      <c r="AL800" s="2994">
        <v>20.757899999999999</v>
      </c>
      <c r="AM800" s="2994">
        <v>21.316099999999999</v>
      </c>
      <c r="AN800" s="2994">
        <v>22.9529</v>
      </c>
      <c r="AO800" s="2994">
        <v>24.215499999999999</v>
      </c>
      <c r="AP800" s="2994">
        <v>23.572600000000001</v>
      </c>
      <c r="AQ800" s="2994">
        <v>22.883099999999999</v>
      </c>
      <c r="AR800" s="2994">
        <v>24.5505</v>
      </c>
      <c r="AS800" s="2994">
        <v>25.5307</v>
      </c>
      <c r="AT800" s="2994">
        <v>26.7498</v>
      </c>
      <c r="AU800" s="2994">
        <v>27.078600000000002</v>
      </c>
      <c r="AV800" s="2994">
        <v>27.034800000000001</v>
      </c>
      <c r="AW800" s="2994">
        <v>27.2788</v>
      </c>
      <c r="AX800" s="2994">
        <v>27.430199999999999</v>
      </c>
      <c r="AY800" s="2994">
        <v>27.730699999999999</v>
      </c>
      <c r="AZ800" s="2994">
        <v>27.9419</v>
      </c>
      <c r="BA800" s="2994">
        <v>28.348400000000002</v>
      </c>
      <c r="BB800" s="2994">
        <v>29.045400000000001</v>
      </c>
      <c r="BC800" s="2994">
        <v>29.482900000000001</v>
      </c>
      <c r="BD800" s="3471">
        <v>28.142700000000001</v>
      </c>
      <c r="BE800" s="3471">
        <v>29.027200000000001</v>
      </c>
      <c r="BF800" s="3471">
        <v>0</v>
      </c>
    </row>
    <row r="801" spans="1:58">
      <c r="A801" s="1817" t="str">
        <f t="shared" si="25"/>
        <v>Eastern AsiaString beans</v>
      </c>
      <c r="B801" s="1818" t="s">
        <v>1328</v>
      </c>
      <c r="C801" s="1818" t="s">
        <v>7379</v>
      </c>
      <c r="D801" s="3463" t="str">
        <f>VLOOKUP(B801,List_Yield!$G$4:$J$14,4,FALSE)</f>
        <v>Asia (Continental)</v>
      </c>
      <c r="E801" s="3463" t="str">
        <f t="shared" si="24"/>
        <v>Asia (Continental)String beans</v>
      </c>
      <c r="F801" s="2994">
        <v>6.4059999999999997</v>
      </c>
      <c r="G801" s="2994">
        <v>6.4913999999999996</v>
      </c>
      <c r="H801" s="2994">
        <v>6.7199</v>
      </c>
      <c r="I801" s="2994">
        <v>6.7965</v>
      </c>
      <c r="J801" s="2994">
        <v>6.7092999999999998</v>
      </c>
      <c r="K801" s="2994">
        <v>6.9267000000000003</v>
      </c>
      <c r="L801" s="2994">
        <v>6.8398000000000003</v>
      </c>
      <c r="M801" s="2994">
        <v>7.1623999999999999</v>
      </c>
      <c r="N801" s="2994">
        <v>7.4344000000000001</v>
      </c>
      <c r="O801" s="2994">
        <v>7.2172000000000001</v>
      </c>
      <c r="P801" s="2994">
        <v>7.5838999999999999</v>
      </c>
      <c r="Q801" s="2994">
        <v>7.9854000000000003</v>
      </c>
      <c r="R801" s="2994">
        <v>8.1692999999999998</v>
      </c>
      <c r="S801" s="2994">
        <v>8.5127000000000006</v>
      </c>
      <c r="T801" s="2994">
        <v>8.4680999999999997</v>
      </c>
      <c r="U801" s="2994">
        <v>8.5154999999999994</v>
      </c>
      <c r="V801" s="2994">
        <v>8.8092000000000006</v>
      </c>
      <c r="W801" s="2994">
        <v>8.8170000000000002</v>
      </c>
      <c r="X801" s="2994">
        <v>9.0330999999999992</v>
      </c>
      <c r="Y801" s="2994">
        <v>8.7692999999999994</v>
      </c>
      <c r="Z801" s="2994">
        <v>8.8370999999999995</v>
      </c>
      <c r="AA801" s="2994">
        <v>9.0416000000000007</v>
      </c>
      <c r="AB801" s="2994">
        <v>9.1443999999999992</v>
      </c>
      <c r="AC801" s="2994">
        <v>9.2959999999999994</v>
      </c>
      <c r="AD801" s="2994">
        <v>9.2211999999999996</v>
      </c>
      <c r="AE801" s="2994">
        <v>9.5833999999999993</v>
      </c>
      <c r="AF801" s="2994">
        <v>9.3927999999999994</v>
      </c>
      <c r="AG801" s="2994">
        <v>8.7415000000000003</v>
      </c>
      <c r="AH801" s="2994">
        <v>8.7264999999999997</v>
      </c>
      <c r="AI801" s="2994">
        <v>8.3998000000000008</v>
      </c>
      <c r="AJ801" s="2994">
        <v>8.1347000000000005</v>
      </c>
      <c r="AK801" s="2994">
        <v>8.4039999999999999</v>
      </c>
      <c r="AL801" s="2994">
        <v>7.9511000000000003</v>
      </c>
      <c r="AM801" s="2994">
        <v>8.1027000000000005</v>
      </c>
      <c r="AN801" s="2994">
        <v>8.4022000000000006</v>
      </c>
      <c r="AO801" s="2994">
        <v>8.4428000000000001</v>
      </c>
      <c r="AP801" s="2994">
        <v>8.6367999999999991</v>
      </c>
      <c r="AQ801" s="2994">
        <v>8.2432999999999996</v>
      </c>
      <c r="AR801" s="2994">
        <v>8.0058000000000007</v>
      </c>
      <c r="AS801" s="2994">
        <v>8.3551000000000002</v>
      </c>
      <c r="AT801" s="2994">
        <v>8.4315999999999995</v>
      </c>
      <c r="AU801" s="2994">
        <v>8.3094000000000001</v>
      </c>
      <c r="AV801" s="2994">
        <v>8.0952000000000002</v>
      </c>
      <c r="AW801" s="2994">
        <v>7.9039000000000001</v>
      </c>
      <c r="AX801" s="2994">
        <v>7.7645999999999997</v>
      </c>
      <c r="AY801" s="2994">
        <v>7.8258999999999999</v>
      </c>
      <c r="AZ801" s="2994">
        <v>7.7195999999999998</v>
      </c>
      <c r="BA801" s="2994">
        <v>7.8605999999999998</v>
      </c>
      <c r="BB801" s="2994">
        <v>7.7605000000000004</v>
      </c>
      <c r="BC801" s="2994">
        <v>7.3151999999999999</v>
      </c>
      <c r="BD801" s="3471">
        <v>7.3719999999999999</v>
      </c>
      <c r="BE801" s="3471">
        <v>7.8</v>
      </c>
      <c r="BF801" s="3471">
        <v>0</v>
      </c>
    </row>
    <row r="802" spans="1:58">
      <c r="A802" s="1817" t="str">
        <f t="shared" si="25"/>
        <v>Eastern AsiaSugar beet</v>
      </c>
      <c r="B802" s="1818" t="s">
        <v>1328</v>
      </c>
      <c r="C802" s="1818" t="s">
        <v>1332</v>
      </c>
      <c r="D802" s="3463" t="str">
        <f>VLOOKUP(B802,List_Yield!$G$4:$J$14,4,FALSE)</f>
        <v>Asia (Continental)</v>
      </c>
      <c r="E802" s="3463" t="str">
        <f t="shared" si="24"/>
        <v>Asia (Continental)Sugar beet</v>
      </c>
      <c r="F802" s="2994">
        <v>7.5880999999999998</v>
      </c>
      <c r="G802" s="2994">
        <v>11.816800000000001</v>
      </c>
      <c r="H802" s="2994">
        <v>13.453799999999999</v>
      </c>
      <c r="I802" s="2994">
        <v>14.4329</v>
      </c>
      <c r="J802" s="2994">
        <v>16.415900000000001</v>
      </c>
      <c r="K802" s="2994">
        <v>16.722899999999999</v>
      </c>
      <c r="L802" s="2994">
        <v>18.752600000000001</v>
      </c>
      <c r="M802" s="2994">
        <v>18.962700000000002</v>
      </c>
      <c r="N802" s="2994">
        <v>18.3018</v>
      </c>
      <c r="O802" s="2994">
        <v>17.5427</v>
      </c>
      <c r="P802" s="2994">
        <v>15.7971</v>
      </c>
      <c r="Q802" s="2994">
        <v>15.696099999999999</v>
      </c>
      <c r="R802" s="2994">
        <v>16.218699999999998</v>
      </c>
      <c r="S802" s="2994">
        <v>13.2607</v>
      </c>
      <c r="T802" s="2994">
        <v>12.073499999999999</v>
      </c>
      <c r="U802" s="2994">
        <v>12.787699999999999</v>
      </c>
      <c r="V802" s="2994">
        <v>11.9397</v>
      </c>
      <c r="W802" s="2994">
        <v>14.371</v>
      </c>
      <c r="X802" s="2994">
        <v>16.801300000000001</v>
      </c>
      <c r="Y802" s="2994">
        <v>19.434000000000001</v>
      </c>
      <c r="Z802" s="2994">
        <v>19.0715</v>
      </c>
      <c r="AA802" s="2994">
        <v>20.369</v>
      </c>
      <c r="AB802" s="2994">
        <v>20.379100000000001</v>
      </c>
      <c r="AC802" s="2994">
        <v>21.369900000000001</v>
      </c>
      <c r="AD802" s="2994">
        <v>20.299800000000001</v>
      </c>
      <c r="AE802" s="2994">
        <v>20.557500000000001</v>
      </c>
      <c r="AF802" s="2994">
        <v>21.0427</v>
      </c>
      <c r="AG802" s="2994">
        <v>20.394600000000001</v>
      </c>
      <c r="AH802" s="2994">
        <v>20.1356</v>
      </c>
      <c r="AI802" s="2994">
        <v>24.948499999999999</v>
      </c>
      <c r="AJ802" s="2994">
        <v>23.852900000000002</v>
      </c>
      <c r="AK802" s="2994">
        <v>25.527000000000001</v>
      </c>
      <c r="AL802" s="2994">
        <v>23.069800000000001</v>
      </c>
      <c r="AM802" s="2994">
        <v>21.320799999999998</v>
      </c>
      <c r="AN802" s="2994">
        <v>23.264099999999999</v>
      </c>
      <c r="AO802" s="2994">
        <v>27.562899999999999</v>
      </c>
      <c r="AP802" s="2994">
        <v>29.745200000000001</v>
      </c>
      <c r="AQ802" s="2994">
        <v>32.485599999999998</v>
      </c>
      <c r="AR802" s="2994">
        <v>30.231000000000002</v>
      </c>
      <c r="AS802" s="2994">
        <v>29.487100000000002</v>
      </c>
      <c r="AT802" s="2994">
        <v>31.098299999999998</v>
      </c>
      <c r="AU802" s="2994">
        <v>34.484299999999998</v>
      </c>
      <c r="AV802" s="2994">
        <v>32.740299999999998</v>
      </c>
      <c r="AW802" s="2994">
        <v>40.748600000000003</v>
      </c>
      <c r="AX802" s="2994">
        <v>43.523099999999999</v>
      </c>
      <c r="AY802" s="2994">
        <v>44.582700000000003</v>
      </c>
      <c r="AZ802" s="2994">
        <v>46.808199999999999</v>
      </c>
      <c r="BA802" s="2994">
        <v>45.807099999999998</v>
      </c>
      <c r="BB802" s="2994">
        <v>43.1599</v>
      </c>
      <c r="BC802" s="2994">
        <v>43.984400000000001</v>
      </c>
      <c r="BD802" s="3471">
        <v>49.7318</v>
      </c>
      <c r="BE802" s="3471">
        <v>51.6556</v>
      </c>
      <c r="BF802" s="3471">
        <v>50.756900000000002</v>
      </c>
    </row>
    <row r="803" spans="1:58">
      <c r="A803" s="1817" t="str">
        <f t="shared" si="25"/>
        <v>Eastern AsiaSugar cane</v>
      </c>
      <c r="B803" s="1818" t="s">
        <v>1328</v>
      </c>
      <c r="C803" s="1818" t="s">
        <v>1375</v>
      </c>
      <c r="D803" s="3463" t="str">
        <f>VLOOKUP(B803,List_Yield!$G$4:$J$14,4,FALSE)</f>
        <v>Asia (Continental)</v>
      </c>
      <c r="E803" s="3463" t="str">
        <f t="shared" si="24"/>
        <v>Asia (Continental)Sugar cane</v>
      </c>
      <c r="F803" s="2994">
        <v>44.192799999999998</v>
      </c>
      <c r="G803" s="2994">
        <v>42.449199999999998</v>
      </c>
      <c r="H803" s="2994">
        <v>51.740900000000003</v>
      </c>
      <c r="I803" s="2994">
        <v>50.041899999999998</v>
      </c>
      <c r="J803" s="2994">
        <v>50.740099999999998</v>
      </c>
      <c r="K803" s="2994">
        <v>46.559100000000001</v>
      </c>
      <c r="L803" s="2994">
        <v>47.096200000000003</v>
      </c>
      <c r="M803" s="2994">
        <v>46.761800000000001</v>
      </c>
      <c r="N803" s="2994">
        <v>43.6569</v>
      </c>
      <c r="O803" s="2994">
        <v>43.214100000000002</v>
      </c>
      <c r="P803" s="2994">
        <v>41.9373</v>
      </c>
      <c r="Q803" s="2994">
        <v>42.701799999999999</v>
      </c>
      <c r="R803" s="2994">
        <v>42.043500000000002</v>
      </c>
      <c r="S803" s="2994">
        <v>43.716299999999997</v>
      </c>
      <c r="T803" s="2994">
        <v>40.405700000000003</v>
      </c>
      <c r="U803" s="2994">
        <v>40.244500000000002</v>
      </c>
      <c r="V803" s="2994">
        <v>47.370899999999999</v>
      </c>
      <c r="W803" s="2994">
        <v>46.072400000000002</v>
      </c>
      <c r="X803" s="2994">
        <v>50.941499999999998</v>
      </c>
      <c r="Y803" s="2994">
        <v>54.5062</v>
      </c>
      <c r="Z803" s="2994">
        <v>58.604199999999999</v>
      </c>
      <c r="AA803" s="2994">
        <v>60.244100000000003</v>
      </c>
      <c r="AB803" s="2994">
        <v>52.486400000000003</v>
      </c>
      <c r="AC803" s="2994">
        <v>57.677300000000002</v>
      </c>
      <c r="AD803" s="2994">
        <v>56.378900000000002</v>
      </c>
      <c r="AE803" s="2994">
        <v>55.7896</v>
      </c>
      <c r="AF803" s="2994">
        <v>57.475099999999998</v>
      </c>
      <c r="AG803" s="2994">
        <v>56.517699999999998</v>
      </c>
      <c r="AH803" s="2994">
        <v>54.848500000000001</v>
      </c>
      <c r="AI803" s="2994">
        <v>58.934899999999999</v>
      </c>
      <c r="AJ803" s="2994">
        <v>59.3277</v>
      </c>
      <c r="AK803" s="2994">
        <v>60.292900000000003</v>
      </c>
      <c r="AL803" s="2994">
        <v>59.933100000000003</v>
      </c>
      <c r="AM803" s="2994">
        <v>59.457999999999998</v>
      </c>
      <c r="AN803" s="2994">
        <v>59.439100000000003</v>
      </c>
      <c r="AO803" s="2994">
        <v>57.498199999999997</v>
      </c>
      <c r="AP803" s="2994">
        <v>74.686700000000002</v>
      </c>
      <c r="AQ803" s="2994">
        <v>73.484700000000004</v>
      </c>
      <c r="AR803" s="2994">
        <v>74.8035</v>
      </c>
      <c r="AS803" s="2994">
        <v>58.3431</v>
      </c>
      <c r="AT803" s="2994">
        <v>60.948099999999997</v>
      </c>
      <c r="AU803" s="2994">
        <v>64.736000000000004</v>
      </c>
      <c r="AV803" s="2994">
        <v>64.176599999999993</v>
      </c>
      <c r="AW803" s="2994">
        <v>65.121899999999997</v>
      </c>
      <c r="AX803" s="2994">
        <v>64.013900000000007</v>
      </c>
      <c r="AY803" s="2994">
        <v>67.071399999999997</v>
      </c>
      <c r="AZ803" s="2994">
        <v>71.186000000000007</v>
      </c>
      <c r="BA803" s="2994">
        <v>71.227599999999995</v>
      </c>
      <c r="BB803" s="2994">
        <v>68.049899999999994</v>
      </c>
      <c r="BC803" s="2994">
        <v>65.717799999999997</v>
      </c>
      <c r="BD803" s="3471">
        <v>66.242999999999995</v>
      </c>
      <c r="BE803" s="3471">
        <v>68.546099999999996</v>
      </c>
      <c r="BF803" s="3471">
        <v>68.855199999999996</v>
      </c>
    </row>
    <row r="804" spans="1:58">
      <c r="A804" s="1817" t="str">
        <f t="shared" si="25"/>
        <v>Eastern AsiaSugar crops, nes</v>
      </c>
      <c r="B804" s="1818" t="s">
        <v>1328</v>
      </c>
      <c r="C804" s="1818" t="s">
        <v>7380</v>
      </c>
      <c r="D804" s="3463" t="str">
        <f>VLOOKUP(B804,List_Yield!$G$4:$J$14,4,FALSE)</f>
        <v>Asia (Continental)</v>
      </c>
      <c r="E804" s="3463" t="str">
        <f t="shared" si="24"/>
        <v>Asia (Continental)Sugar crops, nes</v>
      </c>
      <c r="F804" s="2994">
        <v>0</v>
      </c>
      <c r="G804" s="2994">
        <v>0</v>
      </c>
      <c r="H804" s="2994">
        <v>0</v>
      </c>
      <c r="I804" s="2994">
        <v>0</v>
      </c>
      <c r="J804" s="2994">
        <v>0</v>
      </c>
      <c r="K804" s="2994">
        <v>0</v>
      </c>
      <c r="L804" s="2994">
        <v>0</v>
      </c>
      <c r="M804" s="2994">
        <v>0</v>
      </c>
      <c r="N804" s="2994">
        <v>0</v>
      </c>
      <c r="O804" s="2994">
        <v>0</v>
      </c>
      <c r="P804" s="2994">
        <v>0</v>
      </c>
      <c r="Q804" s="2994">
        <v>0</v>
      </c>
      <c r="R804" s="2994">
        <v>0</v>
      </c>
      <c r="S804" s="2994">
        <v>0</v>
      </c>
      <c r="T804" s="2994">
        <v>0</v>
      </c>
      <c r="U804" s="2994">
        <v>0</v>
      </c>
      <c r="V804" s="2994">
        <v>0</v>
      </c>
      <c r="W804" s="2994">
        <v>0</v>
      </c>
      <c r="X804" s="2994">
        <v>0</v>
      </c>
      <c r="Y804" s="2994">
        <v>0</v>
      </c>
      <c r="Z804" s="2994">
        <v>0</v>
      </c>
      <c r="AA804" s="2994">
        <v>0</v>
      </c>
      <c r="AB804" s="2994">
        <v>0</v>
      </c>
      <c r="AC804" s="2994">
        <v>0</v>
      </c>
      <c r="AD804" s="2994">
        <v>0</v>
      </c>
      <c r="AE804" s="2994">
        <v>0</v>
      </c>
      <c r="AF804" s="2994">
        <v>0</v>
      </c>
      <c r="AG804" s="2994">
        <v>0</v>
      </c>
      <c r="AH804" s="2994">
        <v>0</v>
      </c>
      <c r="AI804" s="2994">
        <v>0</v>
      </c>
      <c r="AJ804" s="2994">
        <v>0</v>
      </c>
      <c r="AK804" s="2994">
        <v>0</v>
      </c>
      <c r="AL804" s="2994">
        <v>0</v>
      </c>
      <c r="AM804" s="2994">
        <v>0</v>
      </c>
      <c r="AN804" s="2994">
        <v>0</v>
      </c>
      <c r="AO804" s="2994">
        <v>0</v>
      </c>
      <c r="AP804" s="2994">
        <v>0</v>
      </c>
      <c r="AQ804" s="2994">
        <v>0</v>
      </c>
      <c r="AR804" s="2994">
        <v>0</v>
      </c>
      <c r="AS804" s="2994">
        <v>0</v>
      </c>
      <c r="AT804" s="2994">
        <v>0</v>
      </c>
      <c r="AU804" s="2994">
        <v>0</v>
      </c>
      <c r="AV804" s="2994">
        <v>0</v>
      </c>
      <c r="AW804" s="2994">
        <v>0</v>
      </c>
      <c r="AX804" s="2994">
        <v>0</v>
      </c>
      <c r="AY804" s="2994">
        <v>0</v>
      </c>
      <c r="AZ804" s="2994">
        <v>0</v>
      </c>
      <c r="BA804" s="2994">
        <v>0</v>
      </c>
      <c r="BB804" s="2994">
        <v>0</v>
      </c>
      <c r="BC804" s="2994">
        <v>0</v>
      </c>
      <c r="BD804" s="3471">
        <v>0</v>
      </c>
      <c r="BE804" s="3471">
        <v>0</v>
      </c>
      <c r="BF804" s="3471">
        <v>0</v>
      </c>
    </row>
    <row r="805" spans="1:58">
      <c r="A805" s="1817" t="str">
        <f t="shared" si="25"/>
        <v>Eastern AsiaSunflower seed</v>
      </c>
      <c r="B805" s="1818" t="s">
        <v>1328</v>
      </c>
      <c r="C805" s="1818" t="s">
        <v>1376</v>
      </c>
      <c r="D805" s="3463" t="str">
        <f>VLOOKUP(B805,List_Yield!$G$4:$J$14,4,FALSE)</f>
        <v>Asia (Continental)</v>
      </c>
      <c r="E805" s="3463" t="str">
        <f t="shared" si="24"/>
        <v>Asia (Continental)Sunflower seed</v>
      </c>
      <c r="F805" s="2994">
        <v>1.2448999999999999</v>
      </c>
      <c r="G805" s="2994">
        <v>1.2453000000000001</v>
      </c>
      <c r="H805" s="2994">
        <v>1.2453000000000001</v>
      </c>
      <c r="I805" s="2994">
        <v>1.2453000000000001</v>
      </c>
      <c r="J805" s="2994">
        <v>1.2453000000000001</v>
      </c>
      <c r="K805" s="2994">
        <v>0.86839999999999995</v>
      </c>
      <c r="L805" s="2994">
        <v>0.875</v>
      </c>
      <c r="M805" s="2994">
        <v>0.875</v>
      </c>
      <c r="N805" s="2994">
        <v>0.86899999999999999</v>
      </c>
      <c r="O805" s="2994">
        <v>0.875</v>
      </c>
      <c r="P805" s="2994">
        <v>0.875</v>
      </c>
      <c r="Q805" s="2994">
        <v>0.82279999999999998</v>
      </c>
      <c r="R805" s="2994">
        <v>0.86419999999999997</v>
      </c>
      <c r="S805" s="2994">
        <v>0.85370000000000001</v>
      </c>
      <c r="T805" s="2994">
        <v>0.84209999999999996</v>
      </c>
      <c r="U805" s="2994">
        <v>0.86960000000000004</v>
      </c>
      <c r="V805" s="2994">
        <v>0.98839999999999995</v>
      </c>
      <c r="W805" s="2994">
        <v>0.87190000000000001</v>
      </c>
      <c r="X805" s="2994">
        <v>0.9244</v>
      </c>
      <c r="Y805" s="2994">
        <v>1.0790999999999999</v>
      </c>
      <c r="Z805" s="2994">
        <v>1.2807999999999999</v>
      </c>
      <c r="AA805" s="2994">
        <v>1.5290999999999999</v>
      </c>
      <c r="AB805" s="2994">
        <v>1.8290999999999999</v>
      </c>
      <c r="AC805" s="2994">
        <v>1.6822999999999999</v>
      </c>
      <c r="AD805" s="2994">
        <v>1.1752</v>
      </c>
      <c r="AE805" s="2994">
        <v>1.3948</v>
      </c>
      <c r="AF805" s="2994">
        <v>1.3992</v>
      </c>
      <c r="AG805" s="2994">
        <v>1.4212</v>
      </c>
      <c r="AH805" s="2994">
        <v>1.4861</v>
      </c>
      <c r="AI805" s="2994">
        <v>1.8785000000000001</v>
      </c>
      <c r="AJ805" s="2994">
        <v>1.7988</v>
      </c>
      <c r="AK805" s="2994">
        <v>1.8262</v>
      </c>
      <c r="AL805" s="2994">
        <v>1.7732000000000001</v>
      </c>
      <c r="AM805" s="2994">
        <v>1.6989000000000001</v>
      </c>
      <c r="AN805" s="2994">
        <v>1.5609</v>
      </c>
      <c r="AO805" s="2994">
        <v>2.0598999999999998</v>
      </c>
      <c r="AP805" s="2994">
        <v>1.6431</v>
      </c>
      <c r="AQ805" s="2994">
        <v>1.6467000000000001</v>
      </c>
      <c r="AR805" s="2994">
        <v>1.5606</v>
      </c>
      <c r="AS805" s="2994">
        <v>1.5899000000000001</v>
      </c>
      <c r="AT805" s="2994">
        <v>1.4548000000000001</v>
      </c>
      <c r="AU805" s="2994">
        <v>1.7206999999999999</v>
      </c>
      <c r="AV805" s="2994">
        <v>1.4859</v>
      </c>
      <c r="AW805" s="2994">
        <v>1.6596</v>
      </c>
      <c r="AX805" s="2994">
        <v>1.8896999999999999</v>
      </c>
      <c r="AY805" s="2994">
        <v>1.8252999999999999</v>
      </c>
      <c r="AZ805" s="2994">
        <v>1.6500999999999999</v>
      </c>
      <c r="BA805" s="2994">
        <v>1.8581000000000001</v>
      </c>
      <c r="BB805" s="2994">
        <v>2.0398000000000001</v>
      </c>
      <c r="BC805" s="2994">
        <v>2.3353999999999999</v>
      </c>
      <c r="BD805" s="3471">
        <v>2.4601000000000002</v>
      </c>
      <c r="BE805" s="3471">
        <v>2.4937</v>
      </c>
      <c r="BF805" s="3471">
        <v>2.5590999999999999</v>
      </c>
    </row>
    <row r="806" spans="1:58">
      <c r="A806" s="1817" t="str">
        <f t="shared" si="25"/>
        <v>Eastern AsiaSweet potatoes</v>
      </c>
      <c r="B806" s="1818" t="s">
        <v>1328</v>
      </c>
      <c r="C806" s="1818" t="s">
        <v>1377</v>
      </c>
      <c r="D806" s="3463" t="str">
        <f>VLOOKUP(B806,List_Yield!$G$4:$J$14,4,FALSE)</f>
        <v>Asia (Continental)</v>
      </c>
      <c r="E806" s="3463" t="str">
        <f t="shared" si="24"/>
        <v>Asia (Continental)Sweet potatoes</v>
      </c>
      <c r="F806" s="2994">
        <v>7.5338000000000003</v>
      </c>
      <c r="G806" s="2994">
        <v>8.0211000000000006</v>
      </c>
      <c r="H806" s="2994">
        <v>8.6757000000000009</v>
      </c>
      <c r="I806" s="2994">
        <v>7.6021000000000001</v>
      </c>
      <c r="J806" s="2994">
        <v>9.7868999999999993</v>
      </c>
      <c r="K806" s="2994">
        <v>10.311</v>
      </c>
      <c r="L806" s="2994">
        <v>11.163399999999999</v>
      </c>
      <c r="M806" s="2994">
        <v>11.6044</v>
      </c>
      <c r="N806" s="2994">
        <v>12.1493</v>
      </c>
      <c r="O806" s="2994">
        <v>13.0655</v>
      </c>
      <c r="P806" s="2994">
        <v>12.708</v>
      </c>
      <c r="Q806" s="2994">
        <v>11.2286</v>
      </c>
      <c r="R806" s="2994">
        <v>14.1983</v>
      </c>
      <c r="S806" s="2994">
        <v>12.878399999999999</v>
      </c>
      <c r="T806" s="2994">
        <v>13.540699999999999</v>
      </c>
      <c r="U806" s="2994">
        <v>13.395200000000001</v>
      </c>
      <c r="V806" s="2994">
        <v>13.369199999999999</v>
      </c>
      <c r="W806" s="2994">
        <v>13.770799999999999</v>
      </c>
      <c r="X806" s="2994">
        <v>13.648400000000001</v>
      </c>
      <c r="Y806" s="2994">
        <v>15.107699999999999</v>
      </c>
      <c r="Z806" s="2994">
        <v>14.7105</v>
      </c>
      <c r="AA806" s="2994">
        <v>15.7189</v>
      </c>
      <c r="AB806" s="2994">
        <v>17.108799999999999</v>
      </c>
      <c r="AC806" s="2994">
        <v>17.444800000000001</v>
      </c>
      <c r="AD806" s="2994">
        <v>17.062799999999999</v>
      </c>
      <c r="AE806" s="2994">
        <v>16.538</v>
      </c>
      <c r="AF806" s="2994">
        <v>18.262599999999999</v>
      </c>
      <c r="AG806" s="2994">
        <v>16.4328</v>
      </c>
      <c r="AH806" s="2994">
        <v>16.886199999999999</v>
      </c>
      <c r="AI806" s="2994">
        <v>16.7117</v>
      </c>
      <c r="AJ806" s="2994">
        <v>17.040700000000001</v>
      </c>
      <c r="AK806" s="2994">
        <v>16.7699</v>
      </c>
      <c r="AL806" s="2994">
        <v>18.195599999999999</v>
      </c>
      <c r="AM806" s="2994">
        <v>17.773499999999999</v>
      </c>
      <c r="AN806" s="2994">
        <v>19.286100000000001</v>
      </c>
      <c r="AO806" s="2994">
        <v>20.43</v>
      </c>
      <c r="AP806" s="2994">
        <v>17.2165</v>
      </c>
      <c r="AQ806" s="2994">
        <v>19.445399999999999</v>
      </c>
      <c r="AR806" s="2994">
        <v>21.178799999999999</v>
      </c>
      <c r="AS806" s="2994">
        <v>20.296700000000001</v>
      </c>
      <c r="AT806" s="2994">
        <v>20.660499999999999</v>
      </c>
      <c r="AU806" s="2994">
        <v>21.674399999999999</v>
      </c>
      <c r="AV806" s="2994">
        <v>20.749199999999998</v>
      </c>
      <c r="AW806" s="2994">
        <v>21.715599999999998</v>
      </c>
      <c r="AX806" s="2994">
        <v>22.140899999999998</v>
      </c>
      <c r="AY806" s="2994">
        <v>22.058599999999998</v>
      </c>
      <c r="AZ806" s="2994">
        <v>20.6602</v>
      </c>
      <c r="BA806" s="2994">
        <v>20.757999999999999</v>
      </c>
      <c r="BB806" s="2994">
        <v>21.510999999999999</v>
      </c>
      <c r="BC806" s="2994">
        <v>20.847300000000001</v>
      </c>
      <c r="BD806" s="3471">
        <v>21.550599999999999</v>
      </c>
      <c r="BE806" s="3471">
        <v>22.307400000000001</v>
      </c>
      <c r="BF806" s="3471">
        <v>22.331099999999999</v>
      </c>
    </row>
    <row r="807" spans="1:58">
      <c r="A807" s="1817" t="str">
        <f t="shared" si="25"/>
        <v>Eastern AsiaTallowtree seed</v>
      </c>
      <c r="B807" s="1818" t="s">
        <v>1328</v>
      </c>
      <c r="C807" s="1818" t="s">
        <v>7381</v>
      </c>
      <c r="D807" s="3463" t="str">
        <f>VLOOKUP(B807,List_Yield!$G$4:$J$14,4,FALSE)</f>
        <v>Asia (Continental)</v>
      </c>
      <c r="E807" s="3463" t="str">
        <f t="shared" si="24"/>
        <v>Asia (Continental)Tallowtree seed</v>
      </c>
      <c r="F807" s="2994">
        <v>0</v>
      </c>
      <c r="G807" s="2994">
        <v>0</v>
      </c>
      <c r="H807" s="2994">
        <v>0</v>
      </c>
      <c r="I807" s="2994">
        <v>0</v>
      </c>
      <c r="J807" s="2994">
        <v>0</v>
      </c>
      <c r="K807" s="2994">
        <v>0</v>
      </c>
      <c r="L807" s="2994">
        <v>0</v>
      </c>
      <c r="M807" s="2994">
        <v>0</v>
      </c>
      <c r="N807" s="2994">
        <v>0</v>
      </c>
      <c r="O807" s="2994">
        <v>0</v>
      </c>
      <c r="P807" s="2994">
        <v>0</v>
      </c>
      <c r="Q807" s="2994">
        <v>0</v>
      </c>
      <c r="R807" s="2994">
        <v>0</v>
      </c>
      <c r="S807" s="2994">
        <v>0</v>
      </c>
      <c r="T807" s="2994">
        <v>0</v>
      </c>
      <c r="U807" s="2994">
        <v>0</v>
      </c>
      <c r="V807" s="2994">
        <v>0</v>
      </c>
      <c r="W807" s="2994">
        <v>0</v>
      </c>
      <c r="X807" s="2994">
        <v>0</v>
      </c>
      <c r="Y807" s="2994">
        <v>0</v>
      </c>
      <c r="Z807" s="2994">
        <v>0</v>
      </c>
      <c r="AA807" s="2994">
        <v>0</v>
      </c>
      <c r="AB807" s="2994">
        <v>0</v>
      </c>
      <c r="AC807" s="2994">
        <v>0</v>
      </c>
      <c r="AD807" s="2994">
        <v>2.59</v>
      </c>
      <c r="AE807" s="2994">
        <v>2.46</v>
      </c>
      <c r="AF807" s="2994">
        <v>2.2667000000000002</v>
      </c>
      <c r="AG807" s="2994">
        <v>2.3384999999999998</v>
      </c>
      <c r="AH807" s="2994">
        <v>2.3121</v>
      </c>
      <c r="AI807" s="2994">
        <v>2.2985000000000002</v>
      </c>
      <c r="AJ807" s="2994">
        <v>2.2058</v>
      </c>
      <c r="AK807" s="2994">
        <v>2.1472000000000002</v>
      </c>
      <c r="AL807" s="2994">
        <v>2.1720999999999999</v>
      </c>
      <c r="AM807" s="2994">
        <v>2.3382000000000001</v>
      </c>
      <c r="AN807" s="2994">
        <v>2.3088000000000002</v>
      </c>
      <c r="AO807" s="2994">
        <v>2.5019</v>
      </c>
      <c r="AP807" s="2994">
        <v>2.4708999999999999</v>
      </c>
      <c r="AQ807" s="2994">
        <v>2.3188</v>
      </c>
      <c r="AR807" s="2994">
        <v>2.2944</v>
      </c>
      <c r="AS807" s="2994">
        <v>2.3429000000000002</v>
      </c>
      <c r="AT807" s="2994">
        <v>2.3193999999999999</v>
      </c>
      <c r="AU807" s="2994">
        <v>2.3288000000000002</v>
      </c>
      <c r="AV807" s="2994">
        <v>2.3378000000000001</v>
      </c>
      <c r="AW807" s="2994">
        <v>2.3199999999999998</v>
      </c>
      <c r="AX807" s="2994">
        <v>2.3420999999999998</v>
      </c>
      <c r="AY807" s="2994">
        <v>2.5076999999999998</v>
      </c>
      <c r="AZ807" s="2994">
        <v>2.6922000000000001</v>
      </c>
      <c r="BA807" s="2994">
        <v>2.4359000000000002</v>
      </c>
      <c r="BB807" s="2994">
        <v>2.4125000000000001</v>
      </c>
      <c r="BC807" s="2994">
        <v>2.3984000000000001</v>
      </c>
      <c r="BD807" s="3471">
        <v>2.4051</v>
      </c>
      <c r="BE807" s="3471">
        <v>2.4624999999999999</v>
      </c>
      <c r="BF807" s="3471">
        <v>2.4567999999999999</v>
      </c>
    </row>
    <row r="808" spans="1:58">
      <c r="A808" s="1817" t="str">
        <f t="shared" si="25"/>
        <v>Eastern AsiaTangerines, mandarins, clementines, satsumas</v>
      </c>
      <c r="B808" s="1818" t="s">
        <v>1328</v>
      </c>
      <c r="C808" s="1818" t="s">
        <v>7382</v>
      </c>
      <c r="D808" s="3463" t="str">
        <f>VLOOKUP(B808,List_Yield!$G$4:$J$14,4,FALSE)</f>
        <v>Asia (Continental)</v>
      </c>
      <c r="E808" s="3463" t="str">
        <f t="shared" si="24"/>
        <v>Asia (Continental)Tangerines, mandarins, clementines, satsumas</v>
      </c>
      <c r="F808" s="2994">
        <v>8.3242999999999991</v>
      </c>
      <c r="G808" s="2994">
        <v>7.8197000000000001</v>
      </c>
      <c r="H808" s="2994">
        <v>7.6969000000000003</v>
      </c>
      <c r="I808" s="2994">
        <v>8.5563000000000002</v>
      </c>
      <c r="J808" s="2994">
        <v>8.4115000000000002</v>
      </c>
      <c r="K808" s="2994">
        <v>9.9672000000000001</v>
      </c>
      <c r="L808" s="2994">
        <v>8.5791000000000004</v>
      </c>
      <c r="M808" s="2994">
        <v>11.2887</v>
      </c>
      <c r="N808" s="2994">
        <v>9.5844000000000005</v>
      </c>
      <c r="O808" s="2994">
        <v>11.1135</v>
      </c>
      <c r="P808" s="2994">
        <v>10.6744</v>
      </c>
      <c r="Q808" s="2994">
        <v>14.432700000000001</v>
      </c>
      <c r="R808" s="2994">
        <v>13.652699999999999</v>
      </c>
      <c r="S808" s="2994">
        <v>13.534700000000001</v>
      </c>
      <c r="T808" s="2994">
        <v>14.762700000000001</v>
      </c>
      <c r="U808" s="2994">
        <v>12.707100000000001</v>
      </c>
      <c r="V808" s="2994">
        <v>14.8865</v>
      </c>
      <c r="W808" s="2994">
        <v>13.095800000000001</v>
      </c>
      <c r="X808" s="2994">
        <v>13.823600000000001</v>
      </c>
      <c r="Y808" s="2994">
        <v>11.353199999999999</v>
      </c>
      <c r="Z808" s="2994">
        <v>11.404199999999999</v>
      </c>
      <c r="AA808" s="2994">
        <v>11.2316</v>
      </c>
      <c r="AB808" s="2994">
        <v>11.7326</v>
      </c>
      <c r="AC808" s="2994">
        <v>8.9167000000000005</v>
      </c>
      <c r="AD808" s="2994">
        <v>8.8316999999999997</v>
      </c>
      <c r="AE808" s="2994">
        <v>7.4497</v>
      </c>
      <c r="AF808" s="2994">
        <v>7.42</v>
      </c>
      <c r="AG808" s="2994">
        <v>5.62</v>
      </c>
      <c r="AH808" s="2994">
        <v>7.4890999999999996</v>
      </c>
      <c r="AI808" s="2994">
        <v>6.8003</v>
      </c>
      <c r="AJ808" s="2994">
        <v>7.3794000000000004</v>
      </c>
      <c r="AK808" s="2994">
        <v>7.2352999999999996</v>
      </c>
      <c r="AL808" s="2994">
        <v>7.6409000000000002</v>
      </c>
      <c r="AM808" s="2994">
        <v>7.4381000000000004</v>
      </c>
      <c r="AN808" s="2994">
        <v>8.1927000000000003</v>
      </c>
      <c r="AO808" s="2994">
        <v>7.6029</v>
      </c>
      <c r="AP808" s="2994">
        <v>9.7545000000000002</v>
      </c>
      <c r="AQ808" s="2994">
        <v>8.1827000000000005</v>
      </c>
      <c r="AR808" s="2994">
        <v>10.3629</v>
      </c>
      <c r="AS808" s="2994">
        <v>8.5452999999999992</v>
      </c>
      <c r="AT808" s="2994">
        <v>10.581</v>
      </c>
      <c r="AU808" s="2994">
        <v>9.9512</v>
      </c>
      <c r="AV808" s="2994">
        <v>10.287100000000001</v>
      </c>
      <c r="AW808" s="2994">
        <v>10.4129</v>
      </c>
      <c r="AX808" s="2994">
        <v>10.290900000000001</v>
      </c>
      <c r="AY808" s="2994">
        <v>10.8607</v>
      </c>
      <c r="AZ808" s="2994">
        <v>6.7446999999999999</v>
      </c>
      <c r="BA808" s="2994">
        <v>7.6238999999999999</v>
      </c>
      <c r="BB808" s="2994">
        <v>7.9687000000000001</v>
      </c>
      <c r="BC808" s="2994">
        <v>8.4873999999999992</v>
      </c>
      <c r="BD808" s="3471">
        <v>9.2415000000000003</v>
      </c>
      <c r="BE808" s="3471">
        <v>9.3742000000000001</v>
      </c>
      <c r="BF808" s="3471">
        <v>0</v>
      </c>
    </row>
    <row r="809" spans="1:58">
      <c r="A809" s="1817" t="str">
        <f t="shared" si="25"/>
        <v>Eastern AsiaTaro (cocoyam)</v>
      </c>
      <c r="B809" s="1818" t="s">
        <v>1328</v>
      </c>
      <c r="C809" s="1818" t="s">
        <v>7383</v>
      </c>
      <c r="D809" s="3463" t="str">
        <f>VLOOKUP(B809,List_Yield!$G$4:$J$14,4,FALSE)</f>
        <v>Asia (Continental)</v>
      </c>
      <c r="E809" s="3463" t="str">
        <f t="shared" si="24"/>
        <v>Asia (Continental)Taro (cocoyam)</v>
      </c>
      <c r="F809" s="2994">
        <v>11.464499999999999</v>
      </c>
      <c r="G809" s="2994">
        <v>11.524800000000001</v>
      </c>
      <c r="H809" s="2994">
        <v>12.3919</v>
      </c>
      <c r="I809" s="2994">
        <v>11.1587</v>
      </c>
      <c r="J809" s="2994">
        <v>11.5565</v>
      </c>
      <c r="K809" s="2994">
        <v>11.8979</v>
      </c>
      <c r="L809" s="2994">
        <v>11.6067</v>
      </c>
      <c r="M809" s="2994">
        <v>12.7119</v>
      </c>
      <c r="N809" s="2994">
        <v>12.5449</v>
      </c>
      <c r="O809" s="2994">
        <v>12.513</v>
      </c>
      <c r="P809" s="2994">
        <v>12.685600000000001</v>
      </c>
      <c r="Q809" s="2994">
        <v>12.458500000000001</v>
      </c>
      <c r="R809" s="2994">
        <v>11.882999999999999</v>
      </c>
      <c r="S809" s="2994">
        <v>12.1838</v>
      </c>
      <c r="T809" s="2994">
        <v>11.5543</v>
      </c>
      <c r="U809" s="2994">
        <v>11.723599999999999</v>
      </c>
      <c r="V809" s="2994">
        <v>13.3187</v>
      </c>
      <c r="W809" s="2994">
        <v>12.4153</v>
      </c>
      <c r="X809" s="2994">
        <v>13.131</v>
      </c>
      <c r="Y809" s="2994">
        <v>12.992900000000001</v>
      </c>
      <c r="Z809" s="2994">
        <v>12.787699999999999</v>
      </c>
      <c r="AA809" s="2994">
        <v>12.868</v>
      </c>
      <c r="AB809" s="2994">
        <v>12.979900000000001</v>
      </c>
      <c r="AC809" s="2994">
        <v>13.025</v>
      </c>
      <c r="AD809" s="2994">
        <v>12.250400000000001</v>
      </c>
      <c r="AE809" s="2994">
        <v>13.637600000000001</v>
      </c>
      <c r="AF809" s="2994">
        <v>13.7681</v>
      </c>
      <c r="AG809" s="2994">
        <v>13.2607</v>
      </c>
      <c r="AH809" s="2994">
        <v>13.3939</v>
      </c>
      <c r="AI809" s="2994">
        <v>13.356299999999999</v>
      </c>
      <c r="AJ809" s="2994">
        <v>14.3239</v>
      </c>
      <c r="AK809" s="2994">
        <v>14.3042</v>
      </c>
      <c r="AL809" s="2994">
        <v>14.729900000000001</v>
      </c>
      <c r="AM809" s="2994">
        <v>15.4054</v>
      </c>
      <c r="AN809" s="2994">
        <v>15.682399999999999</v>
      </c>
      <c r="AO809" s="2994">
        <v>14.8482</v>
      </c>
      <c r="AP809" s="2994">
        <v>15.230600000000001</v>
      </c>
      <c r="AQ809" s="2994">
        <v>16.3599</v>
      </c>
      <c r="AR809" s="2994">
        <v>16.321899999999999</v>
      </c>
      <c r="AS809" s="2994">
        <v>16.8108</v>
      </c>
      <c r="AT809" s="2994">
        <v>16.801100000000002</v>
      </c>
      <c r="AU809" s="2994">
        <v>17.207899999999999</v>
      </c>
      <c r="AV809" s="2994">
        <v>16.986499999999999</v>
      </c>
      <c r="AW809" s="2994">
        <v>16.689800000000002</v>
      </c>
      <c r="AX809" s="2994">
        <v>16.779900000000001</v>
      </c>
      <c r="AY809" s="2994">
        <v>16.668299999999999</v>
      </c>
      <c r="AZ809" s="2994">
        <v>17.5092</v>
      </c>
      <c r="BA809" s="2994">
        <v>17.410799999999998</v>
      </c>
      <c r="BB809" s="2994">
        <v>17.5562</v>
      </c>
      <c r="BC809" s="2994">
        <v>17.944400000000002</v>
      </c>
      <c r="BD809" s="3471">
        <v>17.629300000000001</v>
      </c>
      <c r="BE809" s="3471">
        <v>18.3735</v>
      </c>
      <c r="BF809" s="3471">
        <v>18.5321</v>
      </c>
    </row>
    <row r="810" spans="1:58">
      <c r="A810" s="1817" t="str">
        <f t="shared" si="25"/>
        <v>Eastern AsiaTea</v>
      </c>
      <c r="B810" s="1818" t="s">
        <v>1328</v>
      </c>
      <c r="C810" s="1818" t="s">
        <v>1379</v>
      </c>
      <c r="D810" s="3463" t="str">
        <f>VLOOKUP(B810,List_Yield!$G$4:$J$14,4,FALSE)</f>
        <v>Asia (Continental)</v>
      </c>
      <c r="E810" s="3463" t="str">
        <f t="shared" si="24"/>
        <v>Asia (Continental)Tea</v>
      </c>
      <c r="F810" s="2994">
        <v>0.44230000000000003</v>
      </c>
      <c r="G810" s="2994">
        <v>0.42820000000000003</v>
      </c>
      <c r="H810" s="2994">
        <v>0.45979999999999999</v>
      </c>
      <c r="I810" s="2994">
        <v>0.46800000000000003</v>
      </c>
      <c r="J810" s="2994">
        <v>0.47570000000000001</v>
      </c>
      <c r="K810" s="2994">
        <v>0.49840000000000001</v>
      </c>
      <c r="L810" s="2994">
        <v>0.48089999999999999</v>
      </c>
      <c r="M810" s="2994">
        <v>0.46139999999999998</v>
      </c>
      <c r="N810" s="2994">
        <v>0.45490000000000003</v>
      </c>
      <c r="O810" s="2994">
        <v>0.4466</v>
      </c>
      <c r="P810" s="2994">
        <v>0.42899999999999999</v>
      </c>
      <c r="Q810" s="2994">
        <v>0.42349999999999999</v>
      </c>
      <c r="R810" s="2994">
        <v>0.39510000000000001</v>
      </c>
      <c r="S810" s="2994">
        <v>0.35670000000000002</v>
      </c>
      <c r="T810" s="2994">
        <v>0.34589999999999999</v>
      </c>
      <c r="U810" s="2994">
        <v>0.34060000000000001</v>
      </c>
      <c r="V810" s="2994">
        <v>0.34570000000000001</v>
      </c>
      <c r="W810" s="2994">
        <v>0.35120000000000001</v>
      </c>
      <c r="X810" s="2994">
        <v>0.3533</v>
      </c>
      <c r="Y810" s="2994">
        <v>0.38159999999999999</v>
      </c>
      <c r="Z810" s="2994">
        <v>0.4098</v>
      </c>
      <c r="AA810" s="2994">
        <v>0.43890000000000001</v>
      </c>
      <c r="AB810" s="2994">
        <v>0.44269999999999998</v>
      </c>
      <c r="AC810" s="2994">
        <v>0.45590000000000003</v>
      </c>
      <c r="AD810" s="2994">
        <v>0.6159</v>
      </c>
      <c r="AE810" s="2994">
        <v>0.65739999999999998</v>
      </c>
      <c r="AF810" s="2994">
        <v>0.70689999999999997</v>
      </c>
      <c r="AG810" s="2994">
        <v>0.72960000000000003</v>
      </c>
      <c r="AH810" s="2994">
        <v>0.71460000000000001</v>
      </c>
      <c r="AI810" s="2994">
        <v>0.72389999999999999</v>
      </c>
      <c r="AJ810" s="2994">
        <v>0.71630000000000005</v>
      </c>
      <c r="AK810" s="2994">
        <v>0.73260000000000003</v>
      </c>
      <c r="AL810" s="2994">
        <v>0.74539999999999995</v>
      </c>
      <c r="AM810" s="2994">
        <v>0.73009999999999997</v>
      </c>
      <c r="AN810" s="2994">
        <v>0.73719999999999997</v>
      </c>
      <c r="AO810" s="2994">
        <v>0.74719999999999998</v>
      </c>
      <c r="AP810" s="2994">
        <v>0.77459999999999996</v>
      </c>
      <c r="AQ810" s="2994">
        <v>0.82869999999999999</v>
      </c>
      <c r="AR810" s="2994">
        <v>0.80210000000000004</v>
      </c>
      <c r="AS810" s="2994">
        <v>0.83209999999999995</v>
      </c>
      <c r="AT810" s="2994">
        <v>0.84370000000000001</v>
      </c>
      <c r="AU810" s="2994">
        <v>0.88729999999999998</v>
      </c>
      <c r="AV810" s="2994">
        <v>0.88729999999999998</v>
      </c>
      <c r="AW810" s="2994">
        <v>0.91139999999999999</v>
      </c>
      <c r="AX810" s="2994">
        <v>0.95169999999999999</v>
      </c>
      <c r="AY810" s="2994">
        <v>0.97750000000000004</v>
      </c>
      <c r="AZ810" s="2994">
        <v>0.97799999999999998</v>
      </c>
      <c r="BA810" s="2994">
        <v>1.0187999999999999</v>
      </c>
      <c r="BB810" s="2994">
        <v>1.0685</v>
      </c>
      <c r="BC810" s="2994">
        <v>1.0589</v>
      </c>
      <c r="BD810" s="3471">
        <v>1.1041000000000001</v>
      </c>
      <c r="BE810" s="3471">
        <v>1.1553</v>
      </c>
      <c r="BF810" s="3471">
        <v>0</v>
      </c>
    </row>
    <row r="811" spans="1:58">
      <c r="A811" s="1817" t="str">
        <f t="shared" si="25"/>
        <v>Eastern AsiaTobacco, unmanufactured</v>
      </c>
      <c r="B811" s="1818" t="s">
        <v>1328</v>
      </c>
      <c r="C811" s="1818" t="s">
        <v>1321</v>
      </c>
      <c r="D811" s="3463" t="str">
        <f>VLOOKUP(B811,List_Yield!$G$4:$J$14,4,FALSE)</f>
        <v>Asia (Continental)</v>
      </c>
      <c r="E811" s="3463" t="str">
        <f t="shared" si="24"/>
        <v>Asia (Continental)Tobacco, unmanufactured</v>
      </c>
      <c r="F811" s="2994">
        <v>1.3879999999999999</v>
      </c>
      <c r="G811" s="2994">
        <v>1.3929</v>
      </c>
      <c r="H811" s="2994">
        <v>1.4034</v>
      </c>
      <c r="I811" s="2994">
        <v>1.5719000000000001</v>
      </c>
      <c r="J811" s="2994">
        <v>1.6125</v>
      </c>
      <c r="K811" s="2994">
        <v>1.7641</v>
      </c>
      <c r="L811" s="2994">
        <v>1.7701</v>
      </c>
      <c r="M811" s="2994">
        <v>2.0699000000000001</v>
      </c>
      <c r="N811" s="2994">
        <v>1.9117999999999999</v>
      </c>
      <c r="O811" s="2994">
        <v>1.9461999999999999</v>
      </c>
      <c r="P811" s="2994">
        <v>1.9505999999999999</v>
      </c>
      <c r="Q811" s="2994">
        <v>1.9837</v>
      </c>
      <c r="R811" s="2994">
        <v>2.1286</v>
      </c>
      <c r="S811" s="2994">
        <v>2.0703999999999998</v>
      </c>
      <c r="T811" s="2994">
        <v>1.7907</v>
      </c>
      <c r="U811" s="2994">
        <v>1.5998000000000001</v>
      </c>
      <c r="V811" s="2994">
        <v>1.5747</v>
      </c>
      <c r="W811" s="2994">
        <v>1.6910000000000001</v>
      </c>
      <c r="X811" s="2994">
        <v>1.6144000000000001</v>
      </c>
      <c r="Y811" s="2994">
        <v>1.8076000000000001</v>
      </c>
      <c r="Z811" s="2994">
        <v>1.9850000000000001</v>
      </c>
      <c r="AA811" s="2994">
        <v>1.9773000000000001</v>
      </c>
      <c r="AB811" s="2994">
        <v>1.8667</v>
      </c>
      <c r="AC811" s="2994">
        <v>2.0198</v>
      </c>
      <c r="AD811" s="2994">
        <v>1.8654999999999999</v>
      </c>
      <c r="AE811" s="2994">
        <v>1.5849</v>
      </c>
      <c r="AF811" s="2994">
        <v>1.7609999999999999</v>
      </c>
      <c r="AG811" s="2994">
        <v>1.7763</v>
      </c>
      <c r="AH811" s="2994">
        <v>1.6073999999999999</v>
      </c>
      <c r="AI811" s="2994">
        <v>1.6859</v>
      </c>
      <c r="AJ811" s="2994">
        <v>1.7037</v>
      </c>
      <c r="AK811" s="2994">
        <v>1.6969000000000001</v>
      </c>
      <c r="AL811" s="2994">
        <v>1.6788000000000001</v>
      </c>
      <c r="AM811" s="2994">
        <v>1.5558000000000001</v>
      </c>
      <c r="AN811" s="2994">
        <v>1.6127</v>
      </c>
      <c r="AO811" s="2994">
        <v>1.7573000000000001</v>
      </c>
      <c r="AP811" s="2994">
        <v>1.8136000000000001</v>
      </c>
      <c r="AQ811" s="2994">
        <v>1.7509999999999999</v>
      </c>
      <c r="AR811" s="2994">
        <v>1.8174999999999999</v>
      </c>
      <c r="AS811" s="2994">
        <v>1.7967</v>
      </c>
      <c r="AT811" s="2994">
        <v>1.7686999999999999</v>
      </c>
      <c r="AU811" s="2994">
        <v>1.8485</v>
      </c>
      <c r="AV811" s="2994">
        <v>1.7874000000000001</v>
      </c>
      <c r="AW811" s="2994">
        <v>1.907</v>
      </c>
      <c r="AX811" s="2994">
        <v>1.9622999999999999</v>
      </c>
      <c r="AY811" s="2994">
        <v>2.0352000000000001</v>
      </c>
      <c r="AZ811" s="2994">
        <v>2.04</v>
      </c>
      <c r="BA811" s="2994">
        <v>2.1204999999999998</v>
      </c>
      <c r="BB811" s="2994">
        <v>2.1831</v>
      </c>
      <c r="BC811" s="2994">
        <v>2.2078000000000002</v>
      </c>
      <c r="BD811" s="3471">
        <v>2.1389</v>
      </c>
      <c r="BE811" s="3471">
        <v>2.1433</v>
      </c>
      <c r="BF811" s="3471">
        <v>0</v>
      </c>
    </row>
    <row r="812" spans="1:58">
      <c r="A812" s="1817" t="str">
        <f t="shared" si="25"/>
        <v>Eastern AsiaTomatoes</v>
      </c>
      <c r="B812" s="1818" t="s">
        <v>1328</v>
      </c>
      <c r="C812" s="1818" t="s">
        <v>1380</v>
      </c>
      <c r="D812" s="3463" t="str">
        <f>VLOOKUP(B812,List_Yield!$G$4:$J$14,4,FALSE)</f>
        <v>Asia (Continental)</v>
      </c>
      <c r="E812" s="3463" t="str">
        <f t="shared" si="24"/>
        <v>Asia (Continental)Tomatoes</v>
      </c>
      <c r="F812" s="2994">
        <v>16.133299999999998</v>
      </c>
      <c r="G812" s="2994">
        <v>16.258800000000001</v>
      </c>
      <c r="H812" s="2994">
        <v>17.359100000000002</v>
      </c>
      <c r="I812" s="2994">
        <v>17.9937</v>
      </c>
      <c r="J812" s="2994">
        <v>18.756</v>
      </c>
      <c r="K812" s="2994">
        <v>20.162700000000001</v>
      </c>
      <c r="L812" s="2994">
        <v>21.011199999999999</v>
      </c>
      <c r="M812" s="2994">
        <v>22.7684</v>
      </c>
      <c r="N812" s="2994">
        <v>24.519200000000001</v>
      </c>
      <c r="O812" s="2994">
        <v>25.6204</v>
      </c>
      <c r="P812" s="2994">
        <v>25.974499999999999</v>
      </c>
      <c r="Q812" s="2994">
        <v>25.0199</v>
      </c>
      <c r="R812" s="2994">
        <v>25.122699999999998</v>
      </c>
      <c r="S812" s="2994">
        <v>25.8245</v>
      </c>
      <c r="T812" s="2994">
        <v>26.8718</v>
      </c>
      <c r="U812" s="2994">
        <v>26.3398</v>
      </c>
      <c r="V812" s="2994">
        <v>26.554400000000001</v>
      </c>
      <c r="W812" s="2994">
        <v>25.7361</v>
      </c>
      <c r="X812" s="2994">
        <v>24.7836</v>
      </c>
      <c r="Y812" s="2994">
        <v>24.842400000000001</v>
      </c>
      <c r="Z812" s="2994">
        <v>24.8202</v>
      </c>
      <c r="AA812" s="2994">
        <v>24.646000000000001</v>
      </c>
      <c r="AB812" s="2994">
        <v>25.373200000000001</v>
      </c>
      <c r="AC812" s="2994">
        <v>25.225100000000001</v>
      </c>
      <c r="AD812" s="2994">
        <v>23.966200000000001</v>
      </c>
      <c r="AE812" s="2994">
        <v>23.740500000000001</v>
      </c>
      <c r="AF812" s="2994">
        <v>23.528300000000002</v>
      </c>
      <c r="AG812" s="2994">
        <v>23.476400000000002</v>
      </c>
      <c r="AH812" s="2994">
        <v>24.283000000000001</v>
      </c>
      <c r="AI812" s="2994">
        <v>25.861699999999999</v>
      </c>
      <c r="AJ812" s="2994">
        <v>27.521599999999999</v>
      </c>
      <c r="AK812" s="2994">
        <v>28.696000000000002</v>
      </c>
      <c r="AL812" s="2994">
        <v>27.735600000000002</v>
      </c>
      <c r="AM812" s="2994">
        <v>27.6525</v>
      </c>
      <c r="AN812" s="2994">
        <v>28.308900000000001</v>
      </c>
      <c r="AO812" s="2994">
        <v>27.683800000000002</v>
      </c>
      <c r="AP812" s="2994">
        <v>27.037700000000001</v>
      </c>
      <c r="AQ812" s="2994">
        <v>24.705400000000001</v>
      </c>
      <c r="AR812" s="2994">
        <v>24.483899999999998</v>
      </c>
      <c r="AS812" s="2994">
        <v>33.462699999999998</v>
      </c>
      <c r="AT812" s="2994">
        <v>33.153500000000001</v>
      </c>
      <c r="AU812" s="2994">
        <v>34.825499999999998</v>
      </c>
      <c r="AV812" s="2994">
        <v>33.232700000000001</v>
      </c>
      <c r="AW812" s="2994">
        <v>34.3521</v>
      </c>
      <c r="AX812" s="2994">
        <v>35.224600000000002</v>
      </c>
      <c r="AY812" s="2994">
        <v>37.809199999999997</v>
      </c>
      <c r="AZ812" s="2994">
        <v>40.100999999999999</v>
      </c>
      <c r="BA812" s="2994">
        <v>46.871000000000002</v>
      </c>
      <c r="BB812" s="2994">
        <v>49.077500000000001</v>
      </c>
      <c r="BC812" s="2994">
        <v>49.0214</v>
      </c>
      <c r="BD812" s="3471">
        <v>49.120399999999997</v>
      </c>
      <c r="BE812" s="3471">
        <v>49.761299999999999</v>
      </c>
      <c r="BF812" s="3471">
        <v>0</v>
      </c>
    </row>
    <row r="813" spans="1:58">
      <c r="A813" s="1817" t="str">
        <f t="shared" si="25"/>
        <v>Eastern AsiaTriticale</v>
      </c>
      <c r="B813" s="1818" t="s">
        <v>1328</v>
      </c>
      <c r="C813" s="1818" t="s">
        <v>1335</v>
      </c>
      <c r="D813" s="3463" t="str">
        <f>VLOOKUP(B813,List_Yield!$G$4:$J$14,4,FALSE)</f>
        <v>Asia (Continental)</v>
      </c>
      <c r="E813" s="3463" t="str">
        <f t="shared" si="24"/>
        <v>Asia (Continental)Triticale</v>
      </c>
      <c r="F813" s="2994">
        <v>0</v>
      </c>
      <c r="G813" s="2994">
        <v>0</v>
      </c>
      <c r="H813" s="2994">
        <v>0</v>
      </c>
      <c r="I813" s="2994">
        <v>0</v>
      </c>
      <c r="J813" s="2994">
        <v>0</v>
      </c>
      <c r="K813" s="2994">
        <v>0</v>
      </c>
      <c r="L813" s="2994">
        <v>0</v>
      </c>
      <c r="M813" s="2994">
        <v>0</v>
      </c>
      <c r="N813" s="2994">
        <v>0</v>
      </c>
      <c r="O813" s="2994">
        <v>0</v>
      </c>
      <c r="P813" s="2994">
        <v>0</v>
      </c>
      <c r="Q813" s="2994">
        <v>0</v>
      </c>
      <c r="R813" s="2994">
        <v>0</v>
      </c>
      <c r="S813" s="2994">
        <v>0</v>
      </c>
      <c r="T813" s="2994">
        <v>2.5695999999999999</v>
      </c>
      <c r="U813" s="2994">
        <v>3.1501000000000001</v>
      </c>
      <c r="V813" s="2994">
        <v>3.09</v>
      </c>
      <c r="W813" s="2994">
        <v>2.6349999999999998</v>
      </c>
      <c r="X813" s="2994">
        <v>3.02</v>
      </c>
      <c r="Y813" s="2994">
        <v>2.3113999999999999</v>
      </c>
      <c r="Z813" s="2994">
        <v>3.4</v>
      </c>
      <c r="AA813" s="2994">
        <v>1.65</v>
      </c>
      <c r="AB813" s="2994">
        <v>2.0499999999999998</v>
      </c>
      <c r="AC813" s="2994">
        <v>2.2494000000000001</v>
      </c>
      <c r="AD813" s="2994">
        <v>2.3395000000000001</v>
      </c>
      <c r="AE813" s="2994">
        <v>3</v>
      </c>
      <c r="AF813" s="2994">
        <v>3.25</v>
      </c>
      <c r="AG813" s="2994">
        <v>2.82</v>
      </c>
      <c r="AH813" s="2994">
        <v>3.3353999999999999</v>
      </c>
      <c r="AI813" s="2994">
        <v>3.2574000000000001</v>
      </c>
      <c r="AJ813" s="2994">
        <v>3.08</v>
      </c>
      <c r="AK813" s="2994">
        <v>3.15</v>
      </c>
      <c r="AL813" s="2994">
        <v>3.26</v>
      </c>
      <c r="AM813" s="2994">
        <v>3.06</v>
      </c>
      <c r="AN813" s="2994">
        <v>3.19</v>
      </c>
      <c r="AO813" s="2994">
        <v>2.98</v>
      </c>
      <c r="AP813" s="2994">
        <v>3.1974999999999998</v>
      </c>
      <c r="AQ813" s="2994">
        <v>3.26</v>
      </c>
      <c r="AR813" s="2994">
        <v>3.2</v>
      </c>
      <c r="AS813" s="2994">
        <v>3.38</v>
      </c>
      <c r="AT813" s="2994">
        <v>3.19</v>
      </c>
      <c r="AU813" s="2994">
        <v>3.2303000000000002</v>
      </c>
      <c r="AV813" s="2994">
        <v>3.42</v>
      </c>
      <c r="AW813" s="2994">
        <v>2.7985000000000002</v>
      </c>
      <c r="AX813" s="2994">
        <v>1.9821</v>
      </c>
      <c r="AY813" s="2994">
        <v>1.0333000000000001</v>
      </c>
      <c r="AZ813" s="2994">
        <v>1.9823999999999999</v>
      </c>
      <c r="BA813" s="2994">
        <v>1.6781999999999999</v>
      </c>
      <c r="BB813" s="2994">
        <v>1.6811</v>
      </c>
      <c r="BC813" s="2994">
        <v>1.75</v>
      </c>
      <c r="BD813" s="3471">
        <v>2</v>
      </c>
      <c r="BE813" s="3471">
        <v>2.2886000000000002</v>
      </c>
      <c r="BF813" s="3471">
        <v>2.1667000000000001</v>
      </c>
    </row>
    <row r="814" spans="1:58">
      <c r="A814" s="1817" t="str">
        <f t="shared" si="25"/>
        <v>Eastern AsiaTung nuts</v>
      </c>
      <c r="B814" s="1818" t="s">
        <v>1328</v>
      </c>
      <c r="C814" s="1818" t="s">
        <v>7384</v>
      </c>
      <c r="D814" s="3463" t="str">
        <f>VLOOKUP(B814,List_Yield!$G$4:$J$14,4,FALSE)</f>
        <v>Asia (Continental)</v>
      </c>
      <c r="E814" s="3463" t="str">
        <f t="shared" si="24"/>
        <v>Asia (Continental)Tung nuts</v>
      </c>
      <c r="F814" s="2994">
        <v>0</v>
      </c>
      <c r="G814" s="2994">
        <v>0</v>
      </c>
      <c r="H814" s="2994">
        <v>0</v>
      </c>
      <c r="I814" s="2994">
        <v>0</v>
      </c>
      <c r="J814" s="2994">
        <v>0</v>
      </c>
      <c r="K814" s="2994">
        <v>0</v>
      </c>
      <c r="L814" s="2994">
        <v>0</v>
      </c>
      <c r="M814" s="2994">
        <v>0</v>
      </c>
      <c r="N814" s="2994">
        <v>0</v>
      </c>
      <c r="O814" s="2994">
        <v>0</v>
      </c>
      <c r="P814" s="2994">
        <v>0</v>
      </c>
      <c r="Q814" s="2994">
        <v>0</v>
      </c>
      <c r="R814" s="2994">
        <v>0</v>
      </c>
      <c r="S814" s="2994">
        <v>0</v>
      </c>
      <c r="T814" s="2994">
        <v>0</v>
      </c>
      <c r="U814" s="2994">
        <v>0</v>
      </c>
      <c r="V814" s="2994">
        <v>0</v>
      </c>
      <c r="W814" s="2994">
        <v>0</v>
      </c>
      <c r="X814" s="2994">
        <v>0</v>
      </c>
      <c r="Y814" s="2994">
        <v>0</v>
      </c>
      <c r="Z814" s="2994">
        <v>0</v>
      </c>
      <c r="AA814" s="2994">
        <v>0</v>
      </c>
      <c r="AB814" s="2994">
        <v>0</v>
      </c>
      <c r="AC814" s="2994">
        <v>0</v>
      </c>
      <c r="AD814" s="2994">
        <v>1.9935</v>
      </c>
      <c r="AE814" s="2994">
        <v>2.0366</v>
      </c>
      <c r="AF814" s="2994">
        <v>2.0102000000000002</v>
      </c>
      <c r="AG814" s="2994">
        <v>2.0497000000000001</v>
      </c>
      <c r="AH814" s="2994">
        <v>1.9692000000000001</v>
      </c>
      <c r="AI814" s="2994">
        <v>2.0365000000000002</v>
      </c>
      <c r="AJ814" s="2994">
        <v>2.1132</v>
      </c>
      <c r="AK814" s="2994">
        <v>3.0148999999999999</v>
      </c>
      <c r="AL814" s="2994">
        <v>3.0072999999999999</v>
      </c>
      <c r="AM814" s="2994">
        <v>2.9603999999999999</v>
      </c>
      <c r="AN814" s="2994">
        <v>2.9788999999999999</v>
      </c>
      <c r="AO814" s="2994">
        <v>3.2521</v>
      </c>
      <c r="AP814" s="2994">
        <v>3.5432000000000001</v>
      </c>
      <c r="AQ814" s="2994">
        <v>3.3239000000000001</v>
      </c>
      <c r="AR814" s="2994">
        <v>3.3963999999999999</v>
      </c>
      <c r="AS814" s="2994">
        <v>3.359</v>
      </c>
      <c r="AT814" s="2994">
        <v>2.9906000000000001</v>
      </c>
      <c r="AU814" s="2994">
        <v>2.8329</v>
      </c>
      <c r="AV814" s="2994">
        <v>2.5630999999999999</v>
      </c>
      <c r="AW814" s="2994">
        <v>2.7244999999999999</v>
      </c>
      <c r="AX814" s="2994">
        <v>2.7309999999999999</v>
      </c>
      <c r="AY814" s="2994">
        <v>2.7355999999999998</v>
      </c>
      <c r="AZ814" s="2994">
        <v>2.5442999999999998</v>
      </c>
      <c r="BA814" s="2994">
        <v>2.5583999999999998</v>
      </c>
      <c r="BB814" s="2994">
        <v>2.4485999999999999</v>
      </c>
      <c r="BC814" s="2994">
        <v>2.7976000000000001</v>
      </c>
      <c r="BD814" s="3471">
        <v>2.7703000000000002</v>
      </c>
      <c r="BE814" s="3471">
        <v>2.7273000000000001</v>
      </c>
      <c r="BF814" s="3471">
        <v>2.7545000000000002</v>
      </c>
    </row>
    <row r="815" spans="1:58">
      <c r="A815" s="1817" t="str">
        <f t="shared" si="25"/>
        <v>Eastern AsiaVanilla</v>
      </c>
      <c r="B815" s="1818" t="s">
        <v>1328</v>
      </c>
      <c r="C815" s="1818" t="s">
        <v>7385</v>
      </c>
      <c r="D815" s="3463" t="str">
        <f>VLOOKUP(B815,List_Yield!$G$4:$J$14,4,FALSE)</f>
        <v>Asia (Continental)</v>
      </c>
      <c r="E815" s="3463" t="str">
        <f t="shared" si="24"/>
        <v>Asia (Continental)Vanilla</v>
      </c>
      <c r="F815" s="2994">
        <v>0</v>
      </c>
      <c r="G815" s="2994">
        <v>0</v>
      </c>
      <c r="H815" s="2994">
        <v>0</v>
      </c>
      <c r="I815" s="2994">
        <v>0</v>
      </c>
      <c r="J815" s="2994">
        <v>0</v>
      </c>
      <c r="K815" s="2994">
        <v>0</v>
      </c>
      <c r="L815" s="2994">
        <v>0</v>
      </c>
      <c r="M815" s="2994">
        <v>0</v>
      </c>
      <c r="N815" s="2994">
        <v>0</v>
      </c>
      <c r="O815" s="2994">
        <v>0</v>
      </c>
      <c r="P815" s="2994">
        <v>0</v>
      </c>
      <c r="Q815" s="2994">
        <v>0</v>
      </c>
      <c r="R815" s="2994">
        <v>0</v>
      </c>
      <c r="S815" s="2994">
        <v>0</v>
      </c>
      <c r="T815" s="2994">
        <v>0</v>
      </c>
      <c r="U815" s="2994">
        <v>0</v>
      </c>
      <c r="V815" s="2994">
        <v>0</v>
      </c>
      <c r="W815" s="2994">
        <v>0</v>
      </c>
      <c r="X815" s="2994">
        <v>0</v>
      </c>
      <c r="Y815" s="2994">
        <v>0</v>
      </c>
      <c r="Z815" s="2994">
        <v>0</v>
      </c>
      <c r="AA815" s="2994">
        <v>0</v>
      </c>
      <c r="AB815" s="2994">
        <v>0</v>
      </c>
      <c r="AC815" s="2994">
        <v>0</v>
      </c>
      <c r="AD815" s="2994">
        <v>0.2</v>
      </c>
      <c r="AE815" s="2994">
        <v>0.25</v>
      </c>
      <c r="AF815" s="2994">
        <v>0.25</v>
      </c>
      <c r="AG815" s="2994">
        <v>0.3</v>
      </c>
      <c r="AH815" s="2994">
        <v>0.3</v>
      </c>
      <c r="AI815" s="2994">
        <v>0.45579999999999998</v>
      </c>
      <c r="AJ815" s="2994">
        <v>0.31819999999999998</v>
      </c>
      <c r="AK815" s="2994">
        <v>0.26779999999999998</v>
      </c>
      <c r="AL815" s="2994">
        <v>0.3478</v>
      </c>
      <c r="AM815" s="2994">
        <v>0.34949999999999998</v>
      </c>
      <c r="AN815" s="2994">
        <v>0.30370000000000003</v>
      </c>
      <c r="AO815" s="2994">
        <v>0.41670000000000001</v>
      </c>
      <c r="AP815" s="2994">
        <v>0.36009999999999998</v>
      </c>
      <c r="AQ815" s="2994">
        <v>0.313</v>
      </c>
      <c r="AR815" s="2994">
        <v>0.41549999999999998</v>
      </c>
      <c r="AS815" s="2994">
        <v>0.48180000000000001</v>
      </c>
      <c r="AT815" s="2994">
        <v>0.45910000000000001</v>
      </c>
      <c r="AU815" s="2994">
        <v>0.5534</v>
      </c>
      <c r="AV815" s="2994">
        <v>0.66669999999999996</v>
      </c>
      <c r="AW815" s="2994">
        <v>0.65649999999999997</v>
      </c>
      <c r="AX815" s="2994">
        <v>0.76919999999999999</v>
      </c>
      <c r="AY815" s="2994">
        <v>0.85709999999999997</v>
      </c>
      <c r="AZ815" s="2994">
        <v>0.9</v>
      </c>
      <c r="BA815" s="2994">
        <v>1.0835999999999999</v>
      </c>
      <c r="BB815" s="2994">
        <v>1.2903</v>
      </c>
      <c r="BC815" s="2994">
        <v>1</v>
      </c>
      <c r="BD815" s="3471">
        <v>1.0711999999999999</v>
      </c>
      <c r="BE815" s="3471">
        <v>1.08</v>
      </c>
      <c r="BF815" s="3471">
        <v>0</v>
      </c>
    </row>
    <row r="816" spans="1:58">
      <c r="A816" s="1817" t="str">
        <f t="shared" si="25"/>
        <v>Eastern AsiaVegetables, fresh nes</v>
      </c>
      <c r="B816" s="1818" t="s">
        <v>1328</v>
      </c>
      <c r="C816" s="1818" t="s">
        <v>7386</v>
      </c>
      <c r="D816" s="3463" t="str">
        <f>VLOOKUP(B816,List_Yield!$G$4:$J$14,4,FALSE)</f>
        <v>Asia (Continental)</v>
      </c>
      <c r="E816" s="3463" t="str">
        <f t="shared" si="24"/>
        <v>Asia (Continental)Vegetables, fresh nes</v>
      </c>
      <c r="F816" s="2994">
        <v>12.703900000000001</v>
      </c>
      <c r="G816" s="2994">
        <v>12.4833</v>
      </c>
      <c r="H816" s="2994">
        <v>13.2324</v>
      </c>
      <c r="I816" s="2994">
        <v>12.8726</v>
      </c>
      <c r="J816" s="2994">
        <v>13.405200000000001</v>
      </c>
      <c r="K816" s="2994">
        <v>13.611700000000001</v>
      </c>
      <c r="L816" s="2994">
        <v>13.7432</v>
      </c>
      <c r="M816" s="2994">
        <v>14.5327</v>
      </c>
      <c r="N816" s="2994">
        <v>14.7963</v>
      </c>
      <c r="O816" s="2994">
        <v>15.3386</v>
      </c>
      <c r="P816" s="2994">
        <v>15.9107</v>
      </c>
      <c r="Q816" s="2994">
        <v>15.446099999999999</v>
      </c>
      <c r="R816" s="2994">
        <v>15.4947</v>
      </c>
      <c r="S816" s="2994">
        <v>15.4564</v>
      </c>
      <c r="T816" s="2994">
        <v>16.995999999999999</v>
      </c>
      <c r="U816" s="2994">
        <v>16.940799999999999</v>
      </c>
      <c r="V816" s="2994">
        <v>17.032599999999999</v>
      </c>
      <c r="W816" s="2994">
        <v>17.014399999999998</v>
      </c>
      <c r="X816" s="2994">
        <v>17.778500000000001</v>
      </c>
      <c r="Y816" s="2994">
        <v>17.535699999999999</v>
      </c>
      <c r="Z816" s="2994">
        <v>18.774000000000001</v>
      </c>
      <c r="AA816" s="2994">
        <v>17.96</v>
      </c>
      <c r="AB816" s="2994">
        <v>20.142299999999999</v>
      </c>
      <c r="AC816" s="2994">
        <v>21.8764</v>
      </c>
      <c r="AD816" s="2994">
        <v>18.580400000000001</v>
      </c>
      <c r="AE816" s="2994">
        <v>20.5716</v>
      </c>
      <c r="AF816" s="2994">
        <v>20.0472</v>
      </c>
      <c r="AG816" s="2994">
        <v>19.5534</v>
      </c>
      <c r="AH816" s="2994">
        <v>19.195599999999999</v>
      </c>
      <c r="AI816" s="2994">
        <v>19.729900000000001</v>
      </c>
      <c r="AJ816" s="2994">
        <v>18.555800000000001</v>
      </c>
      <c r="AK816" s="2994">
        <v>19.980799999999999</v>
      </c>
      <c r="AL816" s="2994">
        <v>19.497</v>
      </c>
      <c r="AM816" s="2994">
        <v>19.252800000000001</v>
      </c>
      <c r="AN816" s="2994">
        <v>19.223099999999999</v>
      </c>
      <c r="AO816" s="2994">
        <v>19.332799999999999</v>
      </c>
      <c r="AP816" s="2994">
        <v>18.6751</v>
      </c>
      <c r="AQ816" s="2994">
        <v>18.1172</v>
      </c>
      <c r="AR816" s="2994">
        <v>17.028099999999998</v>
      </c>
      <c r="AS816" s="2994">
        <v>18.226199999999999</v>
      </c>
      <c r="AT816" s="2994">
        <v>18.281500000000001</v>
      </c>
      <c r="AU816" s="2994">
        <v>18.613099999999999</v>
      </c>
      <c r="AV816" s="2994">
        <v>18.3733</v>
      </c>
      <c r="AW816" s="2994">
        <v>17.524999999999999</v>
      </c>
      <c r="AX816" s="2994">
        <v>17.3718</v>
      </c>
      <c r="AY816" s="2994">
        <v>17.5943</v>
      </c>
      <c r="AZ816" s="2994">
        <v>17.333100000000002</v>
      </c>
      <c r="BA816" s="2994">
        <v>17.266999999999999</v>
      </c>
      <c r="BB816" s="2994">
        <v>16.6356</v>
      </c>
      <c r="BC816" s="2994">
        <v>16.574000000000002</v>
      </c>
      <c r="BD816" s="3471">
        <v>16.652899999999999</v>
      </c>
      <c r="BE816" s="3471">
        <v>16.789200000000001</v>
      </c>
      <c r="BF816" s="3471">
        <v>0</v>
      </c>
    </row>
    <row r="817" spans="1:58">
      <c r="A817" s="1817" t="str">
        <f t="shared" si="25"/>
        <v>Eastern AsiaVegetables, leguminous nes</v>
      </c>
      <c r="B817" s="1818" t="s">
        <v>1328</v>
      </c>
      <c r="C817" s="1818" t="s">
        <v>7387</v>
      </c>
      <c r="D817" s="3463" t="str">
        <f>VLOOKUP(B817,List_Yield!$G$4:$J$14,4,FALSE)</f>
        <v>Asia (Continental)</v>
      </c>
      <c r="E817" s="3463" t="str">
        <f t="shared" si="24"/>
        <v>Asia (Continental)Vegetables, leguminous nes</v>
      </c>
      <c r="F817" s="2994">
        <v>6.6924999999999999</v>
      </c>
      <c r="G817" s="2994">
        <v>4.28</v>
      </c>
      <c r="H817" s="2994">
        <v>2.5528</v>
      </c>
      <c r="I817" s="2994">
        <v>4.4298000000000002</v>
      </c>
      <c r="J817" s="2994">
        <v>4.3784000000000001</v>
      </c>
      <c r="K817" s="2994">
        <v>4.7691999999999997</v>
      </c>
      <c r="L817" s="2994">
        <v>4.0236000000000001</v>
      </c>
      <c r="M817" s="2994">
        <v>4.7881999999999998</v>
      </c>
      <c r="N817" s="2994">
        <v>4.8734000000000002</v>
      </c>
      <c r="O817" s="2994">
        <v>4</v>
      </c>
      <c r="P817" s="2994">
        <v>1.5733999999999999</v>
      </c>
      <c r="Q817" s="2994">
        <v>1.6667000000000001</v>
      </c>
      <c r="R817" s="2994">
        <v>2</v>
      </c>
      <c r="S817" s="2994">
        <v>2.6667000000000001</v>
      </c>
      <c r="T817" s="2994">
        <v>3.3332999999999999</v>
      </c>
      <c r="U817" s="2994">
        <v>4</v>
      </c>
      <c r="V817" s="2994">
        <v>4.6666999999999996</v>
      </c>
      <c r="W817" s="2994">
        <v>5</v>
      </c>
      <c r="X817" s="2994">
        <v>5.3333000000000004</v>
      </c>
      <c r="Y817" s="2994">
        <v>5.4839000000000002</v>
      </c>
      <c r="Z817" s="2994">
        <v>6</v>
      </c>
      <c r="AA817" s="2994">
        <v>6.9097</v>
      </c>
      <c r="AB817" s="2994">
        <v>5.5193000000000003</v>
      </c>
      <c r="AC817" s="2994">
        <v>5.4626000000000001</v>
      </c>
      <c r="AD817" s="2994">
        <v>5.7041000000000004</v>
      </c>
      <c r="AE817" s="2994">
        <v>5.8849</v>
      </c>
      <c r="AF817" s="2994">
        <v>6.1417999999999999</v>
      </c>
      <c r="AG817" s="2994">
        <v>5.6726000000000001</v>
      </c>
      <c r="AH817" s="2994">
        <v>5.6353</v>
      </c>
      <c r="AI817" s="2994">
        <v>5.5692000000000004</v>
      </c>
      <c r="AJ817" s="2994">
        <v>6.1250999999999998</v>
      </c>
      <c r="AK817" s="2994">
        <v>6.9507000000000003</v>
      </c>
      <c r="AL817" s="2994">
        <v>7.8281999999999998</v>
      </c>
      <c r="AM817" s="2994">
        <v>8.8697999999999997</v>
      </c>
      <c r="AN817" s="2994">
        <v>8.9397000000000002</v>
      </c>
      <c r="AO817" s="2994">
        <v>8.3193000000000001</v>
      </c>
      <c r="AP817" s="2994">
        <v>8.8369999999999997</v>
      </c>
      <c r="AQ817" s="2994">
        <v>8.0518000000000001</v>
      </c>
      <c r="AR817" s="2994">
        <v>8.4376999999999995</v>
      </c>
      <c r="AS817" s="2994">
        <v>8.5378000000000007</v>
      </c>
      <c r="AT817" s="2994">
        <v>7.7249999999999996</v>
      </c>
      <c r="AU817" s="2994">
        <v>10.2864</v>
      </c>
      <c r="AV817" s="2994">
        <v>9.8140000000000001</v>
      </c>
      <c r="AW817" s="2994">
        <v>9.9183000000000003</v>
      </c>
      <c r="AX817" s="2994">
        <v>9.5441000000000003</v>
      </c>
      <c r="AY817" s="2994">
        <v>10.0068</v>
      </c>
      <c r="AZ817" s="2994">
        <v>10.634600000000001</v>
      </c>
      <c r="BA817" s="2994">
        <v>10.699299999999999</v>
      </c>
      <c r="BB817" s="2994">
        <v>11.4245</v>
      </c>
      <c r="BC817" s="2994">
        <v>11.5648</v>
      </c>
      <c r="BD817" s="3471">
        <v>12.6914</v>
      </c>
      <c r="BE817" s="3471">
        <v>12.917999999999999</v>
      </c>
      <c r="BF817" s="3471">
        <v>0</v>
      </c>
    </row>
    <row r="818" spans="1:58">
      <c r="A818" s="1817" t="str">
        <f t="shared" si="25"/>
        <v>Eastern AsiaVetches</v>
      </c>
      <c r="B818" s="1818" t="s">
        <v>1328</v>
      </c>
      <c r="C818" s="1818" t="s">
        <v>1382</v>
      </c>
      <c r="D818" s="3463" t="str">
        <f>VLOOKUP(B818,List_Yield!$G$4:$J$14,4,FALSE)</f>
        <v>Asia (Continental)</v>
      </c>
      <c r="E818" s="3463" t="str">
        <f t="shared" si="24"/>
        <v>Asia (Continental)Vetches</v>
      </c>
      <c r="F818" s="2994">
        <v>0</v>
      </c>
      <c r="G818" s="2994">
        <v>0</v>
      </c>
      <c r="H818" s="2994">
        <v>0</v>
      </c>
      <c r="I818" s="2994">
        <v>0</v>
      </c>
      <c r="J818" s="2994">
        <v>0</v>
      </c>
      <c r="K818" s="2994">
        <v>0</v>
      </c>
      <c r="L818" s="2994">
        <v>0</v>
      </c>
      <c r="M818" s="2994">
        <v>0</v>
      </c>
      <c r="N818" s="2994">
        <v>0</v>
      </c>
      <c r="O818" s="2994">
        <v>0</v>
      </c>
      <c r="P818" s="2994">
        <v>0</v>
      </c>
      <c r="Q818" s="2994">
        <v>0</v>
      </c>
      <c r="R818" s="2994">
        <v>0</v>
      </c>
      <c r="S818" s="2994">
        <v>0</v>
      </c>
      <c r="T818" s="2994">
        <v>0</v>
      </c>
      <c r="U818" s="2994">
        <v>0</v>
      </c>
      <c r="V818" s="2994">
        <v>0</v>
      </c>
      <c r="W818" s="2994">
        <v>0</v>
      </c>
      <c r="X818" s="2994">
        <v>0</v>
      </c>
      <c r="Y818" s="2994">
        <v>0</v>
      </c>
      <c r="Z818" s="2994">
        <v>0</v>
      </c>
      <c r="AA818" s="2994">
        <v>0</v>
      </c>
      <c r="AB818" s="2994">
        <v>0</v>
      </c>
      <c r="AC818" s="2994">
        <v>0</v>
      </c>
      <c r="AD818" s="2994">
        <v>0</v>
      </c>
      <c r="AE818" s="2994">
        <v>0</v>
      </c>
      <c r="AF818" s="2994">
        <v>0</v>
      </c>
      <c r="AG818" s="2994">
        <v>0</v>
      </c>
      <c r="AH818" s="2994">
        <v>0</v>
      </c>
      <c r="AI818" s="2994">
        <v>0</v>
      </c>
      <c r="AJ818" s="2994">
        <v>0</v>
      </c>
      <c r="AK818" s="2994">
        <v>0</v>
      </c>
      <c r="AL818" s="2994">
        <v>0</v>
      </c>
      <c r="AM818" s="2994">
        <v>0</v>
      </c>
      <c r="AN818" s="2994">
        <v>0</v>
      </c>
      <c r="AO818" s="2994">
        <v>0</v>
      </c>
      <c r="AP818" s="2994">
        <v>0</v>
      </c>
      <c r="AQ818" s="2994">
        <v>0</v>
      </c>
      <c r="AR818" s="2994">
        <v>0</v>
      </c>
      <c r="AS818" s="2994">
        <v>0</v>
      </c>
      <c r="AT818" s="2994">
        <v>0</v>
      </c>
      <c r="AU818" s="2994">
        <v>0</v>
      </c>
      <c r="AV818" s="2994">
        <v>0</v>
      </c>
      <c r="AW818" s="2994">
        <v>0</v>
      </c>
      <c r="AX818" s="2994">
        <v>0</v>
      </c>
      <c r="AY818" s="2994">
        <v>0</v>
      </c>
      <c r="AZ818" s="2994">
        <v>0</v>
      </c>
      <c r="BA818" s="2994">
        <v>0</v>
      </c>
      <c r="BB818" s="2994">
        <v>0</v>
      </c>
      <c r="BC818" s="2994">
        <v>0</v>
      </c>
      <c r="BD818" s="3471">
        <v>0</v>
      </c>
      <c r="BE818" s="3471">
        <v>0</v>
      </c>
      <c r="BF818" s="3471">
        <v>0</v>
      </c>
    </row>
    <row r="819" spans="1:58">
      <c r="A819" s="1817" t="str">
        <f t="shared" si="25"/>
        <v>Eastern AsiaWalnuts, with shell</v>
      </c>
      <c r="B819" s="1818" t="s">
        <v>1328</v>
      </c>
      <c r="C819" s="1818" t="s">
        <v>7388</v>
      </c>
      <c r="D819" s="3463" t="str">
        <f>VLOOKUP(B819,List_Yield!$G$4:$J$14,4,FALSE)</f>
        <v>Asia (Continental)</v>
      </c>
      <c r="E819" s="3463" t="str">
        <f t="shared" si="24"/>
        <v>Asia (Continental)Walnuts, with shell</v>
      </c>
      <c r="F819" s="2994">
        <v>1602</v>
      </c>
      <c r="G819" s="2994">
        <v>1602</v>
      </c>
      <c r="H819" s="2994">
        <v>1535.3333</v>
      </c>
      <c r="I819" s="2994">
        <v>1402</v>
      </c>
      <c r="J819" s="2994">
        <v>1068.8888999999999</v>
      </c>
      <c r="K819" s="2994">
        <v>648.26149999999996</v>
      </c>
      <c r="L819" s="2994">
        <v>514.6875</v>
      </c>
      <c r="M819" s="2994">
        <v>502.1</v>
      </c>
      <c r="N819" s="2994">
        <v>673.6857</v>
      </c>
      <c r="O819" s="2994">
        <v>568.70000000000005</v>
      </c>
      <c r="P819" s="2994">
        <v>1002.1429000000001</v>
      </c>
      <c r="Q819" s="2994">
        <v>1442.14</v>
      </c>
      <c r="R819" s="2994">
        <v>1622.14</v>
      </c>
      <c r="S819" s="2994">
        <v>1602.28</v>
      </c>
      <c r="T819" s="2994">
        <v>930.94290000000001</v>
      </c>
      <c r="U819" s="2994">
        <v>1016.5714</v>
      </c>
      <c r="V819" s="2994">
        <v>1171.2769000000001</v>
      </c>
      <c r="W819" s="2994">
        <v>1132.23</v>
      </c>
      <c r="X819" s="2994">
        <v>760.55830000000003</v>
      </c>
      <c r="Y819" s="2994">
        <v>478.24400000000003</v>
      </c>
      <c r="Z819" s="2994">
        <v>1072.07</v>
      </c>
      <c r="AA819" s="2994">
        <v>574.42219999999998</v>
      </c>
      <c r="AB819" s="2994">
        <v>597.22500000000002</v>
      </c>
      <c r="AC819" s="2994">
        <v>429.5</v>
      </c>
      <c r="AD819" s="2994">
        <v>2.2166000000000001</v>
      </c>
      <c r="AE819" s="2994">
        <v>2.2345999999999999</v>
      </c>
      <c r="AF819" s="2994">
        <v>2.2622</v>
      </c>
      <c r="AG819" s="2994">
        <v>2.3006000000000002</v>
      </c>
      <c r="AH819" s="2994">
        <v>2.2244999999999999</v>
      </c>
      <c r="AI819" s="2994">
        <v>2.1995</v>
      </c>
      <c r="AJ819" s="2994">
        <v>2.1695000000000002</v>
      </c>
      <c r="AK819" s="2994">
        <v>2.3081</v>
      </c>
      <c r="AL819" s="2994">
        <v>1.5027999999999999</v>
      </c>
      <c r="AM819" s="2994">
        <v>1.5038</v>
      </c>
      <c r="AN819" s="2994">
        <v>1.5408999999999999</v>
      </c>
      <c r="AO819" s="2994">
        <v>1.589</v>
      </c>
      <c r="AP819" s="2994">
        <v>1.5634999999999999</v>
      </c>
      <c r="AQ819" s="2994">
        <v>1.6433</v>
      </c>
      <c r="AR819" s="2994">
        <v>1.6636</v>
      </c>
      <c r="AS819" s="2994">
        <v>1.8461000000000001</v>
      </c>
      <c r="AT819" s="2994">
        <v>1.4444999999999999</v>
      </c>
      <c r="AU819" s="2994">
        <v>1.9518</v>
      </c>
      <c r="AV819" s="2994">
        <v>2.1865000000000001</v>
      </c>
      <c r="AW819" s="2994">
        <v>2.3610000000000002</v>
      </c>
      <c r="AX819" s="2994">
        <v>2.6814</v>
      </c>
      <c r="AY819" s="2994">
        <v>2.5276000000000001</v>
      </c>
      <c r="AZ819" s="2994">
        <v>2.9975000000000001</v>
      </c>
      <c r="BA819" s="2994">
        <v>3.0114000000000001</v>
      </c>
      <c r="BB819" s="2994">
        <v>3.2088999999999999</v>
      </c>
      <c r="BC819" s="2994">
        <v>3.6667999999999998</v>
      </c>
      <c r="BD819" s="3471">
        <v>3.9398</v>
      </c>
      <c r="BE819" s="3471">
        <v>3.9981</v>
      </c>
      <c r="BF819" s="3471">
        <v>0</v>
      </c>
    </row>
    <row r="820" spans="1:58">
      <c r="A820" s="1817" t="str">
        <f t="shared" si="25"/>
        <v>Eastern AsiaWatermelons</v>
      </c>
      <c r="B820" s="1818" t="s">
        <v>1328</v>
      </c>
      <c r="C820" s="1818" t="s">
        <v>7389</v>
      </c>
      <c r="D820" s="3463" t="str">
        <f>VLOOKUP(B820,List_Yield!$G$4:$J$14,4,FALSE)</f>
        <v>Asia (Continental)</v>
      </c>
      <c r="E820" s="3463" t="str">
        <f t="shared" si="24"/>
        <v>Asia (Continental)Watermelons</v>
      </c>
      <c r="F820" s="2994">
        <v>12.823</v>
      </c>
      <c r="G820" s="2994">
        <v>12.661799999999999</v>
      </c>
      <c r="H820" s="2994">
        <v>13.018000000000001</v>
      </c>
      <c r="I820" s="2994">
        <v>13.159000000000001</v>
      </c>
      <c r="J820" s="2994">
        <v>13.6404</v>
      </c>
      <c r="K820" s="2994">
        <v>14.345499999999999</v>
      </c>
      <c r="L820" s="2994">
        <v>14.996600000000001</v>
      </c>
      <c r="M820" s="2994">
        <v>16.505800000000001</v>
      </c>
      <c r="N820" s="2994">
        <v>16.587</v>
      </c>
      <c r="O820" s="2994">
        <v>17.678699999999999</v>
      </c>
      <c r="P820" s="2994">
        <v>18.166399999999999</v>
      </c>
      <c r="Q820" s="2994">
        <v>17.4238</v>
      </c>
      <c r="R820" s="2994">
        <v>17.711400000000001</v>
      </c>
      <c r="S820" s="2994">
        <v>17.988099999999999</v>
      </c>
      <c r="T820" s="2994">
        <v>18.224299999999999</v>
      </c>
      <c r="U820" s="2994">
        <v>18.235199999999999</v>
      </c>
      <c r="V820" s="2994">
        <v>18.3278</v>
      </c>
      <c r="W820" s="2994">
        <v>17.148599999999998</v>
      </c>
      <c r="X820" s="2994">
        <v>17.4725</v>
      </c>
      <c r="Y820" s="2994">
        <v>16.805599999999998</v>
      </c>
      <c r="Z820" s="2994">
        <v>17.642299999999999</v>
      </c>
      <c r="AA820" s="2994">
        <v>16.085899999999999</v>
      </c>
      <c r="AB820" s="2994">
        <v>16.8858</v>
      </c>
      <c r="AC820" s="2994">
        <v>16.764099999999999</v>
      </c>
      <c r="AD820" s="2994">
        <v>17.3889</v>
      </c>
      <c r="AE820" s="2994">
        <v>17.4542</v>
      </c>
      <c r="AF820" s="2994">
        <v>17.441600000000001</v>
      </c>
      <c r="AG820" s="2994">
        <v>17.608499999999999</v>
      </c>
      <c r="AH820" s="2994">
        <v>18.2943</v>
      </c>
      <c r="AI820" s="2994">
        <v>19.7668</v>
      </c>
      <c r="AJ820" s="2994">
        <v>19.572099999999999</v>
      </c>
      <c r="AK820" s="2994">
        <v>20.744700000000002</v>
      </c>
      <c r="AL820" s="2994">
        <v>19.8931</v>
      </c>
      <c r="AM820" s="2994">
        <v>20.475300000000001</v>
      </c>
      <c r="AN820" s="2994">
        <v>21.676300000000001</v>
      </c>
      <c r="AO820" s="2994">
        <v>24.334399999999999</v>
      </c>
      <c r="AP820" s="2994">
        <v>32.278500000000001</v>
      </c>
      <c r="AQ820" s="2994">
        <v>26.826799999999999</v>
      </c>
      <c r="AR820" s="2994">
        <v>32.1554</v>
      </c>
      <c r="AS820" s="2994">
        <v>31.667000000000002</v>
      </c>
      <c r="AT820" s="2994">
        <v>31.2882</v>
      </c>
      <c r="AU820" s="2994">
        <v>32.556600000000003</v>
      </c>
      <c r="AV820" s="2994">
        <v>31.494800000000001</v>
      </c>
      <c r="AW820" s="2994">
        <v>34.508499999999998</v>
      </c>
      <c r="AX820" s="2994">
        <v>34.944200000000002</v>
      </c>
      <c r="AY820" s="2994">
        <v>34.919400000000003</v>
      </c>
      <c r="AZ820" s="2994">
        <v>35.552399999999999</v>
      </c>
      <c r="BA820" s="2994">
        <v>36.054400000000001</v>
      </c>
      <c r="BB820" s="2994">
        <v>36.524299999999997</v>
      </c>
      <c r="BC820" s="2994">
        <v>37.410200000000003</v>
      </c>
      <c r="BD820" s="3471">
        <v>38.005800000000001</v>
      </c>
      <c r="BE820" s="3471">
        <v>38.380299999999998</v>
      </c>
      <c r="BF820" s="3471">
        <v>0</v>
      </c>
    </row>
    <row r="821" spans="1:58">
      <c r="A821" s="1817" t="str">
        <f t="shared" si="25"/>
        <v>Eastern AsiaWheat</v>
      </c>
      <c r="B821" s="1818" t="s">
        <v>1328</v>
      </c>
      <c r="C821" s="1818" t="s">
        <v>1383</v>
      </c>
      <c r="D821" s="3463" t="str">
        <f>VLOOKUP(B821,List_Yield!$G$4:$J$14,4,FALSE)</f>
        <v>Asia (Continental)</v>
      </c>
      <c r="E821" s="3463" t="str">
        <f t="shared" si="24"/>
        <v>Asia (Continental)Wheat</v>
      </c>
      <c r="F821" s="2994">
        <v>0.61480000000000001</v>
      </c>
      <c r="G821" s="2994">
        <v>0.74670000000000003</v>
      </c>
      <c r="H821" s="2994">
        <v>0.79110000000000003</v>
      </c>
      <c r="I821" s="2994">
        <v>0.85740000000000005</v>
      </c>
      <c r="J821" s="2994">
        <v>1.0505</v>
      </c>
      <c r="K821" s="2994">
        <v>1.0770999999999999</v>
      </c>
      <c r="L821" s="2994">
        <v>1.1457999999999999</v>
      </c>
      <c r="M821" s="2994">
        <v>1.1334</v>
      </c>
      <c r="N821" s="2994">
        <v>1.0945</v>
      </c>
      <c r="O821" s="2994">
        <v>1.151</v>
      </c>
      <c r="P821" s="2994">
        <v>1.2766</v>
      </c>
      <c r="Q821" s="2994">
        <v>1.3637999999999999</v>
      </c>
      <c r="R821" s="2994">
        <v>1.3344</v>
      </c>
      <c r="S821" s="2994">
        <v>1.5065</v>
      </c>
      <c r="T821" s="2994">
        <v>1.6368</v>
      </c>
      <c r="U821" s="2994">
        <v>1.7662</v>
      </c>
      <c r="V821" s="2994">
        <v>1.4619</v>
      </c>
      <c r="W821" s="2994">
        <v>1.8326</v>
      </c>
      <c r="X821" s="2994">
        <v>2.1230000000000002</v>
      </c>
      <c r="Y821" s="2994">
        <v>1.88</v>
      </c>
      <c r="Z821" s="2994">
        <v>2.0916999999999999</v>
      </c>
      <c r="AA821" s="2994">
        <v>2.4342000000000001</v>
      </c>
      <c r="AB821" s="2994">
        <v>2.7808999999999999</v>
      </c>
      <c r="AC821" s="2994">
        <v>2.9369000000000001</v>
      </c>
      <c r="AD821" s="2994">
        <v>2.9146999999999998</v>
      </c>
      <c r="AE821" s="2994">
        <v>3.0152999999999999</v>
      </c>
      <c r="AF821" s="2994">
        <v>2.9514</v>
      </c>
      <c r="AG821" s="2994">
        <v>2.9430000000000001</v>
      </c>
      <c r="AH821" s="2994">
        <v>3.0133000000000001</v>
      </c>
      <c r="AI821" s="2994">
        <v>3.1575000000000002</v>
      </c>
      <c r="AJ821" s="2994">
        <v>3.0617999999999999</v>
      </c>
      <c r="AK821" s="2994">
        <v>3.2856000000000001</v>
      </c>
      <c r="AL821" s="2994">
        <v>3.4706000000000001</v>
      </c>
      <c r="AM821" s="2994">
        <v>3.3832</v>
      </c>
      <c r="AN821" s="2994">
        <v>3.4986999999999999</v>
      </c>
      <c r="AO821" s="2994">
        <v>3.6913</v>
      </c>
      <c r="AP821" s="2994">
        <v>4.0586000000000002</v>
      </c>
      <c r="AQ821" s="2994">
        <v>3.6509</v>
      </c>
      <c r="AR821" s="2994">
        <v>3.9096000000000002</v>
      </c>
      <c r="AS821" s="2994">
        <v>3.7124999999999999</v>
      </c>
      <c r="AT821" s="2994">
        <v>3.7766999999999999</v>
      </c>
      <c r="AU821" s="2994">
        <v>3.7473999999999998</v>
      </c>
      <c r="AV821" s="2994">
        <v>3.8994</v>
      </c>
      <c r="AW821" s="2994">
        <v>4.218</v>
      </c>
      <c r="AX821" s="2994">
        <v>4.2426000000000004</v>
      </c>
      <c r="AY821" s="2994">
        <v>4.6894</v>
      </c>
      <c r="AZ821" s="2994">
        <v>4.5803000000000003</v>
      </c>
      <c r="BA821" s="2994">
        <v>4.7290000000000001</v>
      </c>
      <c r="BB821" s="2994">
        <v>4.6868999999999996</v>
      </c>
      <c r="BC821" s="2994">
        <v>4.6894999999999998</v>
      </c>
      <c r="BD821" s="3471">
        <v>4.7790999999999997</v>
      </c>
      <c r="BE821" s="3471">
        <v>4.9306000000000001</v>
      </c>
      <c r="BF821" s="3471">
        <v>4.9911000000000003</v>
      </c>
    </row>
    <row r="822" spans="1:58">
      <c r="A822" s="1817" t="str">
        <f t="shared" si="25"/>
        <v>Eastern AsiaYams</v>
      </c>
      <c r="B822" s="1818" t="s">
        <v>1328</v>
      </c>
      <c r="C822" s="1818" t="s">
        <v>7390</v>
      </c>
      <c r="D822" s="3463" t="str">
        <f>VLOOKUP(B822,List_Yield!$G$4:$J$14,4,FALSE)</f>
        <v>Asia (Continental)</v>
      </c>
      <c r="E822" s="3463" t="str">
        <f t="shared" si="24"/>
        <v>Asia (Continental)Yams</v>
      </c>
      <c r="F822" s="2994">
        <v>16.875</v>
      </c>
      <c r="G822" s="2994">
        <v>16.875</v>
      </c>
      <c r="H822" s="2994">
        <v>17.142900000000001</v>
      </c>
      <c r="I822" s="2994">
        <v>19.378399999999999</v>
      </c>
      <c r="J822" s="2994">
        <v>18.947399999999998</v>
      </c>
      <c r="K822" s="2994">
        <v>18.375</v>
      </c>
      <c r="L822" s="2994">
        <v>17.777799999999999</v>
      </c>
      <c r="M822" s="2994">
        <v>17</v>
      </c>
      <c r="N822" s="2994">
        <v>16.7273</v>
      </c>
      <c r="O822" s="2994">
        <v>16.333300000000001</v>
      </c>
      <c r="P822" s="2994">
        <v>17.339500000000001</v>
      </c>
      <c r="Q822" s="2994">
        <v>18.2546</v>
      </c>
      <c r="R822" s="2994">
        <v>17.870899999999999</v>
      </c>
      <c r="S822" s="2994">
        <v>17.974</v>
      </c>
      <c r="T822" s="2994">
        <v>18.484400000000001</v>
      </c>
      <c r="U822" s="2994">
        <v>17.590699999999998</v>
      </c>
      <c r="V822" s="2994">
        <v>18.845600000000001</v>
      </c>
      <c r="W822" s="2994">
        <v>19.5304</v>
      </c>
      <c r="X822" s="2994">
        <v>19.8169</v>
      </c>
      <c r="Y822" s="2994">
        <v>16.944400000000002</v>
      </c>
      <c r="Z822" s="2994">
        <v>17.4252</v>
      </c>
      <c r="AA822" s="2994">
        <v>18.015499999999999</v>
      </c>
      <c r="AB822" s="2994">
        <v>17.116900000000001</v>
      </c>
      <c r="AC822" s="2994">
        <v>19.729099999999999</v>
      </c>
      <c r="AD822" s="2994">
        <v>19.976199999999999</v>
      </c>
      <c r="AE822" s="2994">
        <v>18.045000000000002</v>
      </c>
      <c r="AF822" s="2994">
        <v>19.4725</v>
      </c>
      <c r="AG822" s="2994">
        <v>16.920400000000001</v>
      </c>
      <c r="AH822" s="2994">
        <v>18.565000000000001</v>
      </c>
      <c r="AI822" s="2994">
        <v>21.0808</v>
      </c>
      <c r="AJ822" s="2994">
        <v>19.220400000000001</v>
      </c>
      <c r="AK822" s="2994">
        <v>18.826899999999998</v>
      </c>
      <c r="AL822" s="2994">
        <v>15.799799999999999</v>
      </c>
      <c r="AM822" s="2994">
        <v>20.841000000000001</v>
      </c>
      <c r="AN822" s="2994">
        <v>19.770399999999999</v>
      </c>
      <c r="AO822" s="2994">
        <v>19.4514</v>
      </c>
      <c r="AP822" s="2994">
        <v>20.984000000000002</v>
      </c>
      <c r="AQ822" s="2994">
        <v>20.078600000000002</v>
      </c>
      <c r="AR822" s="2994">
        <v>21.7455</v>
      </c>
      <c r="AS822" s="2994">
        <v>22.657699999999998</v>
      </c>
      <c r="AT822" s="2994">
        <v>20.798200000000001</v>
      </c>
      <c r="AU822" s="2994">
        <v>20.624300000000002</v>
      </c>
      <c r="AV822" s="2994">
        <v>19.988700000000001</v>
      </c>
      <c r="AW822" s="2994">
        <v>22.905100000000001</v>
      </c>
      <c r="AX822" s="2994">
        <v>23.325700000000001</v>
      </c>
      <c r="AY822" s="2994">
        <v>22.5059</v>
      </c>
      <c r="AZ822" s="2994">
        <v>23.078800000000001</v>
      </c>
      <c r="BA822" s="2994">
        <v>22.5093</v>
      </c>
      <c r="BB822" s="2994">
        <v>21.151900000000001</v>
      </c>
      <c r="BC822" s="2994">
        <v>22.696300000000001</v>
      </c>
      <c r="BD822" s="3471">
        <v>22.090499999999999</v>
      </c>
      <c r="BE822" s="3471">
        <v>22.2059</v>
      </c>
      <c r="BF822" s="3471">
        <v>22.368400000000001</v>
      </c>
    </row>
    <row r="823" spans="1:58">
      <c r="A823" s="1817" t="str">
        <f t="shared" si="25"/>
        <v>Eastern AsiaYautia (cocoyam)</v>
      </c>
      <c r="B823" s="1818" t="s">
        <v>1328</v>
      </c>
      <c r="C823" s="1818" t="s">
        <v>7391</v>
      </c>
      <c r="D823" s="3463" t="str">
        <f>VLOOKUP(B823,List_Yield!$G$4:$J$14,4,FALSE)</f>
        <v>Asia (Continental)</v>
      </c>
      <c r="E823" s="3463" t="str">
        <f t="shared" si="24"/>
        <v>Asia (Continental)Yautia (cocoyam)</v>
      </c>
      <c r="F823" s="2994">
        <v>0</v>
      </c>
      <c r="G823" s="2994">
        <v>0</v>
      </c>
      <c r="H823" s="2994">
        <v>0</v>
      </c>
      <c r="I823" s="2994">
        <v>0</v>
      </c>
      <c r="J823" s="2994">
        <v>0</v>
      </c>
      <c r="K823" s="2994">
        <v>0</v>
      </c>
      <c r="L823" s="2994">
        <v>0</v>
      </c>
      <c r="M823" s="2994">
        <v>0</v>
      </c>
      <c r="N823" s="2994">
        <v>0</v>
      </c>
      <c r="O823" s="2994">
        <v>0</v>
      </c>
      <c r="P823" s="2994">
        <v>0</v>
      </c>
      <c r="Q823" s="2994">
        <v>0</v>
      </c>
      <c r="R823" s="2994">
        <v>0</v>
      </c>
      <c r="S823" s="2994">
        <v>0</v>
      </c>
      <c r="T823" s="2994">
        <v>0</v>
      </c>
      <c r="U823" s="2994">
        <v>0</v>
      </c>
      <c r="V823" s="2994">
        <v>0</v>
      </c>
      <c r="W823" s="2994">
        <v>0</v>
      </c>
      <c r="X823" s="2994">
        <v>0</v>
      </c>
      <c r="Y823" s="2994">
        <v>0</v>
      </c>
      <c r="Z823" s="2994">
        <v>0</v>
      </c>
      <c r="AA823" s="2994">
        <v>0</v>
      </c>
      <c r="AB823" s="2994">
        <v>0</v>
      </c>
      <c r="AC823" s="2994">
        <v>0</v>
      </c>
      <c r="AD823" s="2994">
        <v>0</v>
      </c>
      <c r="AE823" s="2994">
        <v>0</v>
      </c>
      <c r="AF823" s="2994">
        <v>0</v>
      </c>
      <c r="AG823" s="2994">
        <v>0</v>
      </c>
      <c r="AH823" s="2994">
        <v>0</v>
      </c>
      <c r="AI823" s="2994">
        <v>0</v>
      </c>
      <c r="AJ823" s="2994">
        <v>0</v>
      </c>
      <c r="AK823" s="2994">
        <v>0</v>
      </c>
      <c r="AL823" s="2994">
        <v>0</v>
      </c>
      <c r="AM823" s="2994">
        <v>0</v>
      </c>
      <c r="AN823" s="2994">
        <v>0</v>
      </c>
      <c r="AO823" s="2994">
        <v>0</v>
      </c>
      <c r="AP823" s="2994">
        <v>0</v>
      </c>
      <c r="AQ823" s="2994">
        <v>0</v>
      </c>
      <c r="AR823" s="2994">
        <v>0</v>
      </c>
      <c r="AS823" s="2994">
        <v>0</v>
      </c>
      <c r="AT823" s="2994">
        <v>0</v>
      </c>
      <c r="AU823" s="2994">
        <v>0</v>
      </c>
      <c r="AV823" s="2994">
        <v>0</v>
      </c>
      <c r="AW823" s="2994">
        <v>0</v>
      </c>
      <c r="AX823" s="2994">
        <v>0</v>
      </c>
      <c r="AY823" s="2994">
        <v>0</v>
      </c>
      <c r="AZ823" s="2994">
        <v>0</v>
      </c>
      <c r="BA823" s="2994">
        <v>0</v>
      </c>
      <c r="BB823" s="2994">
        <v>0</v>
      </c>
      <c r="BC823" s="2994">
        <v>0</v>
      </c>
      <c r="BD823" s="3471">
        <v>0</v>
      </c>
      <c r="BE823" s="3471">
        <v>0</v>
      </c>
      <c r="BF823" s="3471">
        <v>0</v>
      </c>
    </row>
    <row r="824" spans="1:58">
      <c r="A824" s="1817" t="str">
        <f t="shared" si="25"/>
        <v>Eastern AsiaCereals,Total + (Total)</v>
      </c>
      <c r="B824" s="1818" t="s">
        <v>1328</v>
      </c>
      <c r="C824" s="1818" t="s">
        <v>7231</v>
      </c>
      <c r="D824" s="3463" t="str">
        <f>VLOOKUP(B824,List_Yield!$G$4:$J$14,4,FALSE)</f>
        <v>Asia (Continental)</v>
      </c>
      <c r="E824" s="3463" t="str">
        <f t="shared" si="24"/>
        <v>Asia (Continental)Cereals,Total + (Total)</v>
      </c>
      <c r="F824" s="2994">
        <v>1.4138999999999999</v>
      </c>
      <c r="G824" s="2994">
        <v>1.534</v>
      </c>
      <c r="H824" s="2994">
        <v>1.6789000000000001</v>
      </c>
      <c r="I824" s="2994">
        <v>1.8072999999999999</v>
      </c>
      <c r="J824" s="2994">
        <v>1.9142999999999999</v>
      </c>
      <c r="K824" s="2994">
        <v>2.0468000000000002</v>
      </c>
      <c r="L824" s="2994">
        <v>2.1150000000000002</v>
      </c>
      <c r="M824" s="2994">
        <v>2.1204999999999998</v>
      </c>
      <c r="N824" s="2994">
        <v>2.0889000000000002</v>
      </c>
      <c r="O824" s="2994">
        <v>2.2833999999999999</v>
      </c>
      <c r="P824" s="2994">
        <v>2.3077999999999999</v>
      </c>
      <c r="Q824" s="2994">
        <v>2.2561</v>
      </c>
      <c r="R824" s="2994">
        <v>2.4237000000000002</v>
      </c>
      <c r="S824" s="2994">
        <v>2.5303</v>
      </c>
      <c r="T824" s="2994">
        <v>2.6332</v>
      </c>
      <c r="U824" s="2994">
        <v>2.6648000000000001</v>
      </c>
      <c r="V824" s="2994">
        <v>2.6558000000000002</v>
      </c>
      <c r="W824" s="2994">
        <v>2.9358</v>
      </c>
      <c r="X824" s="2994">
        <v>3.1562999999999999</v>
      </c>
      <c r="Y824" s="2994">
        <v>3.0139999999999998</v>
      </c>
      <c r="Z824" s="2994">
        <v>3.1818</v>
      </c>
      <c r="AA824" s="2994">
        <v>3.532</v>
      </c>
      <c r="AB824" s="2994">
        <v>3.7778</v>
      </c>
      <c r="AC824" s="2994">
        <v>4.0208000000000004</v>
      </c>
      <c r="AD824" s="2994">
        <v>3.8986000000000001</v>
      </c>
      <c r="AE824" s="2994">
        <v>3.9658000000000002</v>
      </c>
      <c r="AF824" s="2994">
        <v>4.0274999999999999</v>
      </c>
      <c r="AG824" s="2994">
        <v>3.9925999999999999</v>
      </c>
      <c r="AH824" s="2994">
        <v>4.0739999999999998</v>
      </c>
      <c r="AI824" s="2994">
        <v>4.3569000000000004</v>
      </c>
      <c r="AJ824" s="2994">
        <v>4.2846000000000002</v>
      </c>
      <c r="AK824" s="2994">
        <v>4.4245000000000001</v>
      </c>
      <c r="AL824" s="2994">
        <v>4.58</v>
      </c>
      <c r="AM824" s="2994">
        <v>4.5658000000000003</v>
      </c>
      <c r="AN824" s="2994">
        <v>4.6623000000000001</v>
      </c>
      <c r="AO824" s="2994">
        <v>4.8875000000000002</v>
      </c>
      <c r="AP824" s="2994">
        <v>4.8204000000000002</v>
      </c>
      <c r="AQ824" s="2994">
        <v>4.9451000000000001</v>
      </c>
      <c r="AR824" s="2994">
        <v>4.9448999999999996</v>
      </c>
      <c r="AS824" s="2994">
        <v>4.7716000000000003</v>
      </c>
      <c r="AT824" s="2994">
        <v>4.8205999999999998</v>
      </c>
      <c r="AU824" s="2994">
        <v>4.8968999999999996</v>
      </c>
      <c r="AV824" s="2994">
        <v>4.8658999999999999</v>
      </c>
      <c r="AW824" s="2994">
        <v>5.1883999999999997</v>
      </c>
      <c r="AX824" s="2994">
        <v>5.2229999999999999</v>
      </c>
      <c r="AY824" s="2994">
        <v>5.4128999999999996</v>
      </c>
      <c r="AZ824" s="2994">
        <v>5.3037999999999998</v>
      </c>
      <c r="BA824" s="2994">
        <v>5.5449999999999999</v>
      </c>
      <c r="BB824" s="2994">
        <v>5.4391999999999996</v>
      </c>
      <c r="BC824" s="2994">
        <v>5.5042999999999997</v>
      </c>
      <c r="BD824" s="3471">
        <v>5.6778000000000004</v>
      </c>
      <c r="BE824" s="3471">
        <v>5.7991999999999999</v>
      </c>
      <c r="BF824" s="3471">
        <v>5.9039000000000001</v>
      </c>
    </row>
    <row r="825" spans="1:58">
      <c r="A825" s="1817" t="str">
        <f t="shared" si="25"/>
        <v>Eastern AsiaPulses,Total + (Total)</v>
      </c>
      <c r="B825" s="1818" t="s">
        <v>1328</v>
      </c>
      <c r="C825" s="1818" t="s">
        <v>7228</v>
      </c>
      <c r="D825" s="3463" t="str">
        <f>VLOOKUP(B825,List_Yield!$G$4:$J$14,4,FALSE)</f>
        <v>Asia (Continental)</v>
      </c>
      <c r="E825" s="3463" t="str">
        <f t="shared" si="24"/>
        <v>Asia (Continental)Pulses,Total + (Total)</v>
      </c>
      <c r="F825" s="2994">
        <v>0.87919999999999998</v>
      </c>
      <c r="G825" s="2994">
        <v>1.0054000000000001</v>
      </c>
      <c r="H825" s="2994">
        <v>0.98619999999999997</v>
      </c>
      <c r="I825" s="2994">
        <v>1.0502</v>
      </c>
      <c r="J825" s="2994">
        <v>1.0643</v>
      </c>
      <c r="K825" s="2994">
        <v>0.86160000000000003</v>
      </c>
      <c r="L825" s="2994">
        <v>0.87439999999999996</v>
      </c>
      <c r="M825" s="2994">
        <v>0.79890000000000005</v>
      </c>
      <c r="N825" s="2994">
        <v>0.80230000000000001</v>
      </c>
      <c r="O825" s="2994">
        <v>0.90690000000000004</v>
      </c>
      <c r="P825" s="2994">
        <v>0.99119999999999997</v>
      </c>
      <c r="Q825" s="2994">
        <v>0.96589999999999998</v>
      </c>
      <c r="R825" s="2994">
        <v>1.0099</v>
      </c>
      <c r="S825" s="2994">
        <v>1.0569</v>
      </c>
      <c r="T825" s="2994">
        <v>1.0528999999999999</v>
      </c>
      <c r="U825" s="2994">
        <v>1.0798000000000001</v>
      </c>
      <c r="V825" s="2994">
        <v>1.0322</v>
      </c>
      <c r="W825" s="2994">
        <v>1.268</v>
      </c>
      <c r="X825" s="2994">
        <v>1.1996</v>
      </c>
      <c r="Y825" s="2994">
        <v>1.2156</v>
      </c>
      <c r="Z825" s="2994">
        <v>1.1845000000000001</v>
      </c>
      <c r="AA825" s="2994">
        <v>1.2838000000000001</v>
      </c>
      <c r="AB825" s="2994">
        <v>1.2077</v>
      </c>
      <c r="AC825" s="2994">
        <v>1.3196000000000001</v>
      </c>
      <c r="AD825" s="2994">
        <v>1.2302</v>
      </c>
      <c r="AE825" s="2994">
        <v>1.2088000000000001</v>
      </c>
      <c r="AF825" s="2994">
        <v>1.1978</v>
      </c>
      <c r="AG825" s="2994">
        <v>1.4156</v>
      </c>
      <c r="AH825" s="2994">
        <v>1.1402000000000001</v>
      </c>
      <c r="AI825" s="2994">
        <v>1.5524</v>
      </c>
      <c r="AJ825" s="2994">
        <v>1.2602</v>
      </c>
      <c r="AK825" s="2994">
        <v>1.1188</v>
      </c>
      <c r="AL825" s="2994">
        <v>1.3825000000000001</v>
      </c>
      <c r="AM825" s="2994">
        <v>1.3644000000000001</v>
      </c>
      <c r="AN825" s="2994">
        <v>1.393</v>
      </c>
      <c r="AO825" s="2994">
        <v>1.4976</v>
      </c>
      <c r="AP825" s="2994">
        <v>1.3801000000000001</v>
      </c>
      <c r="AQ825" s="2994">
        <v>1.4685999999999999</v>
      </c>
      <c r="AR825" s="2994">
        <v>1.4074</v>
      </c>
      <c r="AS825" s="2994">
        <v>1.3537999999999999</v>
      </c>
      <c r="AT825" s="2994">
        <v>1.3147</v>
      </c>
      <c r="AU825" s="2994">
        <v>1.4893000000000001</v>
      </c>
      <c r="AV825" s="2994">
        <v>1.5677000000000001</v>
      </c>
      <c r="AW825" s="2994">
        <v>1.4737</v>
      </c>
      <c r="AX825" s="2994">
        <v>1.4797</v>
      </c>
      <c r="AY825" s="2994">
        <v>1.5176000000000001</v>
      </c>
      <c r="AZ825" s="2994">
        <v>1.4135</v>
      </c>
      <c r="BA825" s="2994">
        <v>1.5590999999999999</v>
      </c>
      <c r="BB825" s="2994">
        <v>1.4877</v>
      </c>
      <c r="BC825" s="2994">
        <v>1.3415999999999999</v>
      </c>
      <c r="BD825" s="3471">
        <v>1.5730999999999999</v>
      </c>
      <c r="BE825" s="3471">
        <v>1.4859</v>
      </c>
      <c r="BF825" s="3471">
        <v>1.5139</v>
      </c>
    </row>
    <row r="826" spans="1:58">
      <c r="A826" s="1817" t="str">
        <f t="shared" si="25"/>
        <v>Eastern AsiaRoots and Tubers,Total + (Total)</v>
      </c>
      <c r="B826" s="1818" t="s">
        <v>1328</v>
      </c>
      <c r="C826" s="1818" t="s">
        <v>7234</v>
      </c>
      <c r="D826" s="3463" t="str">
        <f>VLOOKUP(B826,List_Yield!$G$4:$J$14,4,FALSE)</f>
        <v>Asia (Continental)</v>
      </c>
      <c r="E826" s="3463" t="str">
        <f t="shared" si="24"/>
        <v>Asia (Continental)Roots and Tubers,Total + (Total)</v>
      </c>
      <c r="F826" s="2994">
        <v>8.0303000000000004</v>
      </c>
      <c r="G826" s="2994">
        <v>8.3740000000000006</v>
      </c>
      <c r="H826" s="2994">
        <v>8.7970000000000006</v>
      </c>
      <c r="I826" s="2994">
        <v>8.0310000000000006</v>
      </c>
      <c r="J826" s="2994">
        <v>9.9503000000000004</v>
      </c>
      <c r="K826" s="2994">
        <v>10.254899999999999</v>
      </c>
      <c r="L826" s="2994">
        <v>10.9392</v>
      </c>
      <c r="M826" s="2994">
        <v>11.309100000000001</v>
      </c>
      <c r="N826" s="2994">
        <v>11.937099999999999</v>
      </c>
      <c r="O826" s="2994">
        <v>12.7646</v>
      </c>
      <c r="P826" s="2994">
        <v>12.392300000000001</v>
      </c>
      <c r="Q826" s="2994">
        <v>11.2166</v>
      </c>
      <c r="R826" s="2994">
        <v>14.120799999999999</v>
      </c>
      <c r="S826" s="2994">
        <v>12.9671</v>
      </c>
      <c r="T826" s="2994">
        <v>13.2554</v>
      </c>
      <c r="U826" s="2994">
        <v>13.1477</v>
      </c>
      <c r="V826" s="2994">
        <v>13.4658</v>
      </c>
      <c r="W826" s="2994">
        <v>13.6595</v>
      </c>
      <c r="X826" s="2994">
        <v>13.2912</v>
      </c>
      <c r="Y826" s="2994">
        <v>14.372199999999999</v>
      </c>
      <c r="Z826" s="2994">
        <v>13.7751</v>
      </c>
      <c r="AA826" s="2994">
        <v>14.6988</v>
      </c>
      <c r="AB826" s="2994">
        <v>15.740500000000001</v>
      </c>
      <c r="AC826" s="2994">
        <v>16.013300000000001</v>
      </c>
      <c r="AD826" s="2994">
        <v>15.4095</v>
      </c>
      <c r="AE826" s="2994">
        <v>14.9186</v>
      </c>
      <c r="AF826" s="2994">
        <v>16.092300000000002</v>
      </c>
      <c r="AG826" s="2994">
        <v>15.1035</v>
      </c>
      <c r="AH826" s="2994">
        <v>15.245699999999999</v>
      </c>
      <c r="AI826" s="2994">
        <v>15.191000000000001</v>
      </c>
      <c r="AJ826" s="2994">
        <v>15.1754</v>
      </c>
      <c r="AK826" s="2994">
        <v>15.5716</v>
      </c>
      <c r="AL826" s="2994">
        <v>17.1462</v>
      </c>
      <c r="AM826" s="2994">
        <v>16.458500000000001</v>
      </c>
      <c r="AN826" s="2994">
        <v>17.258400000000002</v>
      </c>
      <c r="AO826" s="2994">
        <v>18.042200000000001</v>
      </c>
      <c r="AP826" s="2994">
        <v>16.436</v>
      </c>
      <c r="AQ826" s="2994">
        <v>17.965299999999999</v>
      </c>
      <c r="AR826" s="2994">
        <v>17.5108</v>
      </c>
      <c r="AS826" s="2994">
        <v>17.4712</v>
      </c>
      <c r="AT826" s="2994">
        <v>17.466799999999999</v>
      </c>
      <c r="AU826" s="2994">
        <v>18.483699999999999</v>
      </c>
      <c r="AV826" s="2994">
        <v>18.060500000000001</v>
      </c>
      <c r="AW826" s="2994">
        <v>18.707699999999999</v>
      </c>
      <c r="AX826" s="2994">
        <v>18.177499999999998</v>
      </c>
      <c r="AY826" s="2994">
        <v>17.198699999999999</v>
      </c>
      <c r="AZ826" s="2994">
        <v>17.412099999999999</v>
      </c>
      <c r="BA826" s="2994">
        <v>17.634599999999999</v>
      </c>
      <c r="BB826" s="2994">
        <v>17.389600000000002</v>
      </c>
      <c r="BC826" s="2994">
        <v>17.7896</v>
      </c>
      <c r="BD826" s="3471">
        <v>18.327100000000002</v>
      </c>
      <c r="BE826" s="3471">
        <v>18.5367</v>
      </c>
      <c r="BF826" s="3471">
        <v>18.083200000000001</v>
      </c>
    </row>
    <row r="827" spans="1:58">
      <c r="A827" s="1817" t="str">
        <f t="shared" si="25"/>
        <v>Southern AsiaAgave fibres nes</v>
      </c>
      <c r="B827" s="1818" t="s">
        <v>1326</v>
      </c>
      <c r="C827" s="1818" t="s">
        <v>7282</v>
      </c>
      <c r="D827" s="3463" t="str">
        <f>VLOOKUP(B827,List_Yield!$G$4:$J$14,4,FALSE)</f>
        <v>Asia (Indian Subcontinent)</v>
      </c>
      <c r="E827" s="3463" t="str">
        <f t="shared" si="24"/>
        <v>Asia (Indian Subcontinent)Agave fibres nes</v>
      </c>
      <c r="F827" s="2994">
        <v>0</v>
      </c>
      <c r="G827" s="2994">
        <v>0</v>
      </c>
      <c r="H827" s="2994">
        <v>0</v>
      </c>
      <c r="I827" s="2994">
        <v>0</v>
      </c>
      <c r="J827" s="2994">
        <v>0</v>
      </c>
      <c r="K827" s="2994">
        <v>0</v>
      </c>
      <c r="L827" s="2994">
        <v>0</v>
      </c>
      <c r="M827" s="2994">
        <v>0</v>
      </c>
      <c r="N827" s="2994">
        <v>0</v>
      </c>
      <c r="O827" s="2994">
        <v>0</v>
      </c>
      <c r="P827" s="2994">
        <v>0</v>
      </c>
      <c r="Q827" s="2994">
        <v>0</v>
      </c>
      <c r="R827" s="2994">
        <v>0</v>
      </c>
      <c r="S827" s="2994">
        <v>0</v>
      </c>
      <c r="T827" s="2994">
        <v>0</v>
      </c>
      <c r="U827" s="2994">
        <v>0</v>
      </c>
      <c r="V827" s="2994">
        <v>0</v>
      </c>
      <c r="W827" s="2994">
        <v>0</v>
      </c>
      <c r="X827" s="2994">
        <v>0</v>
      </c>
      <c r="Y827" s="2994">
        <v>0</v>
      </c>
      <c r="Z827" s="2994">
        <v>0</v>
      </c>
      <c r="AA827" s="2994">
        <v>0</v>
      </c>
      <c r="AB827" s="2994">
        <v>0</v>
      </c>
      <c r="AC827" s="2994">
        <v>0</v>
      </c>
      <c r="AD827" s="2994">
        <v>0</v>
      </c>
      <c r="AE827" s="2994">
        <v>0</v>
      </c>
      <c r="AF827" s="2994">
        <v>0</v>
      </c>
      <c r="AG827" s="2994">
        <v>0</v>
      </c>
      <c r="AH827" s="2994">
        <v>0</v>
      </c>
      <c r="AI827" s="2994">
        <v>0</v>
      </c>
      <c r="AJ827" s="2994">
        <v>0</v>
      </c>
      <c r="AK827" s="2994">
        <v>0</v>
      </c>
      <c r="AL827" s="2994">
        <v>0</v>
      </c>
      <c r="AM827" s="2994">
        <v>0</v>
      </c>
      <c r="AN827" s="2994">
        <v>0</v>
      </c>
      <c r="AO827" s="2994">
        <v>0</v>
      </c>
      <c r="AP827" s="2994">
        <v>0</v>
      </c>
      <c r="AQ827" s="2994">
        <v>0</v>
      </c>
      <c r="AR827" s="2994">
        <v>0</v>
      </c>
      <c r="AS827" s="2994">
        <v>0</v>
      </c>
      <c r="AT827" s="2994">
        <v>0</v>
      </c>
      <c r="AU827" s="2994">
        <v>0</v>
      </c>
      <c r="AV827" s="2994">
        <v>0</v>
      </c>
      <c r="AW827" s="2994">
        <v>0</v>
      </c>
      <c r="AX827" s="2994">
        <v>0</v>
      </c>
      <c r="AY827" s="2994">
        <v>0</v>
      </c>
      <c r="AZ827" s="2994">
        <v>0</v>
      </c>
      <c r="BA827" s="2994">
        <v>0</v>
      </c>
      <c r="BB827" s="2994">
        <v>0</v>
      </c>
      <c r="BC827" s="2994">
        <v>0</v>
      </c>
      <c r="BD827" s="3471">
        <v>0</v>
      </c>
      <c r="BE827" s="3471">
        <v>0</v>
      </c>
      <c r="BF827" s="3471">
        <v>0</v>
      </c>
    </row>
    <row r="828" spans="1:58">
      <c r="A828" s="1817" t="str">
        <f t="shared" si="25"/>
        <v>Southern AsiaAlmonds, with shell</v>
      </c>
      <c r="B828" s="1818" t="s">
        <v>1326</v>
      </c>
      <c r="C828" s="1818" t="s">
        <v>7283</v>
      </c>
      <c r="D828" s="3463" t="str">
        <f>VLOOKUP(B828,List_Yield!$G$4:$J$14,4,FALSE)</f>
        <v>Asia (Indian Subcontinent)</v>
      </c>
      <c r="E828" s="3463" t="str">
        <f t="shared" si="24"/>
        <v>Asia (Indian Subcontinent)Almonds, with shell</v>
      </c>
      <c r="F828" s="2994">
        <v>1.8131999999999999</v>
      </c>
      <c r="G828" s="2994">
        <v>2.1467000000000001</v>
      </c>
      <c r="H828" s="2994">
        <v>1.8071999999999999</v>
      </c>
      <c r="I828" s="2994">
        <v>1.8154999999999999</v>
      </c>
      <c r="J828" s="2994">
        <v>2</v>
      </c>
      <c r="K828" s="2994">
        <v>1.3359000000000001</v>
      </c>
      <c r="L828" s="2994">
        <v>1.6667000000000001</v>
      </c>
      <c r="M828" s="2994">
        <v>1.9056999999999999</v>
      </c>
      <c r="N828" s="2994">
        <v>1.7073</v>
      </c>
      <c r="O828" s="2994">
        <v>1.5726</v>
      </c>
      <c r="P828" s="2994">
        <v>1.7714000000000001</v>
      </c>
      <c r="Q828" s="2994">
        <v>2.0568</v>
      </c>
      <c r="R828" s="2994">
        <v>1.9209000000000001</v>
      </c>
      <c r="S828" s="2994">
        <v>2.0419</v>
      </c>
      <c r="T828" s="2994">
        <v>1.8133999999999999</v>
      </c>
      <c r="U828" s="2994">
        <v>1.9523999999999999</v>
      </c>
      <c r="V828" s="2994">
        <v>1.8531</v>
      </c>
      <c r="W828" s="2994">
        <v>2.1111</v>
      </c>
      <c r="X828" s="2994">
        <v>1.9267000000000001</v>
      </c>
      <c r="Y828" s="2994">
        <v>1.9786999999999999</v>
      </c>
      <c r="Z828" s="2994">
        <v>1.6910000000000001</v>
      </c>
      <c r="AA828" s="2994">
        <v>2.2515999999999998</v>
      </c>
      <c r="AB828" s="2994">
        <v>2.1675</v>
      </c>
      <c r="AC828" s="2994">
        <v>2.3182</v>
      </c>
      <c r="AD828" s="2994">
        <v>2.1212</v>
      </c>
      <c r="AE828" s="2994">
        <v>2.3451</v>
      </c>
      <c r="AF828" s="2994">
        <v>2.0649999999999999</v>
      </c>
      <c r="AG828" s="2994">
        <v>2.0628000000000002</v>
      </c>
      <c r="AH828" s="2994">
        <v>2.0638000000000001</v>
      </c>
      <c r="AI828" s="2994">
        <v>1.931</v>
      </c>
      <c r="AJ828" s="2994">
        <v>1.9602999999999999</v>
      </c>
      <c r="AK828" s="2994">
        <v>2.0192999999999999</v>
      </c>
      <c r="AL828" s="2994">
        <v>1.9544999999999999</v>
      </c>
      <c r="AM828" s="2994">
        <v>2.1193</v>
      </c>
      <c r="AN828" s="2994">
        <v>1.2410000000000001</v>
      </c>
      <c r="AO828" s="2994">
        <v>1.7454000000000001</v>
      </c>
      <c r="AP828" s="2994">
        <v>1.4231</v>
      </c>
      <c r="AQ828" s="2994">
        <v>1.6518999999999999</v>
      </c>
      <c r="AR828" s="2994">
        <v>1.4891000000000001</v>
      </c>
      <c r="AS828" s="2994">
        <v>1.1731</v>
      </c>
      <c r="AT828" s="2994">
        <v>1.1626000000000001</v>
      </c>
      <c r="AU828" s="2994">
        <v>1.1708000000000001</v>
      </c>
      <c r="AV828" s="2994">
        <v>0.78539999999999999</v>
      </c>
      <c r="AW828" s="2994">
        <v>0.59050000000000002</v>
      </c>
      <c r="AX828" s="2994">
        <v>0.75409999999999999</v>
      </c>
      <c r="AY828" s="2994">
        <v>0.97360000000000002</v>
      </c>
      <c r="AZ828" s="2994">
        <v>1.383</v>
      </c>
      <c r="BA828" s="2994">
        <v>2.0335000000000001</v>
      </c>
      <c r="BB828" s="2994">
        <v>2.3959000000000001</v>
      </c>
      <c r="BC828" s="2994">
        <v>2.4807000000000001</v>
      </c>
      <c r="BD828" s="3471">
        <v>1.8855</v>
      </c>
      <c r="BE828" s="3471">
        <v>1.9363999999999999</v>
      </c>
      <c r="BF828" s="3471">
        <v>0</v>
      </c>
    </row>
    <row r="829" spans="1:58">
      <c r="A829" s="1817" t="str">
        <f t="shared" si="25"/>
        <v>Southern AsiaAnise, badian, fennel, coriander</v>
      </c>
      <c r="B829" s="1818" t="s">
        <v>1326</v>
      </c>
      <c r="C829" s="1818" t="s">
        <v>7284</v>
      </c>
      <c r="D829" s="3463" t="str">
        <f>VLOOKUP(B829,List_Yield!$G$4:$J$14,4,FALSE)</f>
        <v>Asia (Indian Subcontinent)</v>
      </c>
      <c r="E829" s="3463" t="str">
        <f t="shared" ref="E829:E892" si="26">CONCATENATE(D829,C829)</f>
        <v>Asia (Indian Subcontinent)Anise, badian, fennel, coriander</v>
      </c>
      <c r="F829" s="2994">
        <v>0.52100000000000002</v>
      </c>
      <c r="G829" s="2994">
        <v>0.51759999999999995</v>
      </c>
      <c r="H829" s="2994">
        <v>0.51639999999999997</v>
      </c>
      <c r="I829" s="2994">
        <v>0.51639999999999997</v>
      </c>
      <c r="J829" s="2994">
        <v>0.50990000000000002</v>
      </c>
      <c r="K829" s="2994">
        <v>0.51600000000000001</v>
      </c>
      <c r="L829" s="2994">
        <v>0.51639999999999997</v>
      </c>
      <c r="M829" s="2994">
        <v>0.52739999999999998</v>
      </c>
      <c r="N829" s="2994">
        <v>0.50039999999999996</v>
      </c>
      <c r="O829" s="2994">
        <v>0.47960000000000003</v>
      </c>
      <c r="P829" s="2994">
        <v>0.47249999999999998</v>
      </c>
      <c r="Q829" s="2994">
        <v>0.46870000000000001</v>
      </c>
      <c r="R829" s="2994">
        <v>0.45329999999999998</v>
      </c>
      <c r="S829" s="2994">
        <v>0.46339999999999998</v>
      </c>
      <c r="T829" s="2994">
        <v>0.4592</v>
      </c>
      <c r="U829" s="2994">
        <v>0.48499999999999999</v>
      </c>
      <c r="V829" s="2994">
        <v>0.62080000000000002</v>
      </c>
      <c r="W829" s="2994">
        <v>0.51429999999999998</v>
      </c>
      <c r="X829" s="2994">
        <v>0.51400000000000001</v>
      </c>
      <c r="Y829" s="2994">
        <v>0.57250000000000001</v>
      </c>
      <c r="Z829" s="2994">
        <v>0.59640000000000004</v>
      </c>
      <c r="AA829" s="2994">
        <v>0.50209999999999999</v>
      </c>
      <c r="AB829" s="2994">
        <v>0.63970000000000005</v>
      </c>
      <c r="AC829" s="2994">
        <v>0.60519999999999996</v>
      </c>
      <c r="AD829" s="2994">
        <v>0.53110000000000002</v>
      </c>
      <c r="AE829" s="2994">
        <v>0.55769999999999997</v>
      </c>
      <c r="AF829" s="2994">
        <v>0.49509999999999998</v>
      </c>
      <c r="AG829" s="2994">
        <v>0.55210000000000004</v>
      </c>
      <c r="AH829" s="2994">
        <v>0.45950000000000002</v>
      </c>
      <c r="AI829" s="2994">
        <v>0.62119999999999997</v>
      </c>
      <c r="AJ829" s="2994">
        <v>0.5141</v>
      </c>
      <c r="AK829" s="2994">
        <v>0.4955</v>
      </c>
      <c r="AL829" s="2994">
        <v>0.42599999999999999</v>
      </c>
      <c r="AM829" s="2994">
        <v>0.41959999999999997</v>
      </c>
      <c r="AN829" s="2994">
        <v>0.38140000000000002</v>
      </c>
      <c r="AO829" s="2994">
        <v>0.4622</v>
      </c>
      <c r="AP829" s="2994">
        <v>0.41389999999999999</v>
      </c>
      <c r="AQ829" s="2994">
        <v>0.4909</v>
      </c>
      <c r="AR829" s="2994">
        <v>0.46439999999999998</v>
      </c>
      <c r="AS829" s="2994">
        <v>0.52039999999999997</v>
      </c>
      <c r="AT829" s="2994">
        <v>0.44640000000000002</v>
      </c>
      <c r="AU829" s="2994">
        <v>0.32750000000000001</v>
      </c>
      <c r="AV829" s="2994">
        <v>0.56040000000000001</v>
      </c>
      <c r="AW829" s="2994">
        <v>0.55359999999999998</v>
      </c>
      <c r="AX829" s="2994">
        <v>0.59399999999999997</v>
      </c>
      <c r="AY829" s="2994">
        <v>0.58909999999999996</v>
      </c>
      <c r="AZ829" s="2994">
        <v>0.70679999999999998</v>
      </c>
      <c r="BA829" s="2994">
        <v>0.66930000000000001</v>
      </c>
      <c r="BB829" s="2994">
        <v>0.70030000000000003</v>
      </c>
      <c r="BC829" s="2994">
        <v>0.7409</v>
      </c>
      <c r="BD829" s="3471">
        <v>0.78180000000000005</v>
      </c>
      <c r="BE829" s="3471">
        <v>0.78369999999999995</v>
      </c>
      <c r="BF829" s="3471">
        <v>0</v>
      </c>
    </row>
    <row r="830" spans="1:58">
      <c r="A830" s="1817" t="str">
        <f t="shared" si="25"/>
        <v>Southern AsiaApples</v>
      </c>
      <c r="B830" s="1818" t="s">
        <v>1326</v>
      </c>
      <c r="C830" s="1818" t="s">
        <v>7285</v>
      </c>
      <c r="D830" s="3463" t="str">
        <f>VLOOKUP(B830,List_Yield!$G$4:$J$14,4,FALSE)</f>
        <v>Asia (Indian Subcontinent)</v>
      </c>
      <c r="E830" s="3463" t="str">
        <f t="shared" si="26"/>
        <v>Asia (Indian Subcontinent)Apples</v>
      </c>
      <c r="F830" s="2994">
        <v>4.0898000000000003</v>
      </c>
      <c r="G830" s="2994">
        <v>3.9923000000000002</v>
      </c>
      <c r="H830" s="2994">
        <v>4.0728999999999997</v>
      </c>
      <c r="I830" s="2994">
        <v>3.9302000000000001</v>
      </c>
      <c r="J830" s="2994">
        <v>4.0331999999999999</v>
      </c>
      <c r="K830" s="2994">
        <v>4.2698999999999998</v>
      </c>
      <c r="L830" s="2994">
        <v>4.2864000000000004</v>
      </c>
      <c r="M830" s="2994">
        <v>4.2995000000000001</v>
      </c>
      <c r="N830" s="2994">
        <v>4.4241000000000001</v>
      </c>
      <c r="O830" s="2994">
        <v>4.3628999999999998</v>
      </c>
      <c r="P830" s="2994">
        <v>4.3137999999999996</v>
      </c>
      <c r="Q830" s="2994">
        <v>4.7245999999999997</v>
      </c>
      <c r="R830" s="2994">
        <v>5.0526999999999997</v>
      </c>
      <c r="S830" s="2994">
        <v>5.1994999999999996</v>
      </c>
      <c r="T830" s="2994">
        <v>4.5136000000000003</v>
      </c>
      <c r="U830" s="2994">
        <v>4.8254999999999999</v>
      </c>
      <c r="V830" s="2994">
        <v>5.0217999999999998</v>
      </c>
      <c r="W830" s="2994">
        <v>4.8342999999999998</v>
      </c>
      <c r="X830" s="2994">
        <v>5.5483000000000002</v>
      </c>
      <c r="Y830" s="2994">
        <v>5.4569999999999999</v>
      </c>
      <c r="Z830" s="2994">
        <v>6.3247</v>
      </c>
      <c r="AA830" s="2994">
        <v>7.5346000000000002</v>
      </c>
      <c r="AB830" s="2994">
        <v>7.4574999999999996</v>
      </c>
      <c r="AC830" s="2994">
        <v>7.0766999999999998</v>
      </c>
      <c r="AD830" s="2994">
        <v>7.4272</v>
      </c>
      <c r="AE830" s="2994">
        <v>8.4671000000000003</v>
      </c>
      <c r="AF830" s="2994">
        <v>7.1135000000000002</v>
      </c>
      <c r="AG830" s="2994">
        <v>7.5023999999999997</v>
      </c>
      <c r="AH830" s="2994">
        <v>7.5229999999999997</v>
      </c>
      <c r="AI830" s="2994">
        <v>8.1329999999999991</v>
      </c>
      <c r="AJ830" s="2994">
        <v>7.7704000000000004</v>
      </c>
      <c r="AK830" s="2994">
        <v>8.1127000000000002</v>
      </c>
      <c r="AL830" s="2994">
        <v>8.6499000000000006</v>
      </c>
      <c r="AM830" s="2994">
        <v>9.9291</v>
      </c>
      <c r="AN830" s="2994">
        <v>9.3848000000000003</v>
      </c>
      <c r="AO830" s="2994">
        <v>9.1615000000000002</v>
      </c>
      <c r="AP830" s="2994">
        <v>9.4418000000000006</v>
      </c>
      <c r="AQ830" s="2994">
        <v>8.8889999999999993</v>
      </c>
      <c r="AR830" s="2994">
        <v>9.09</v>
      </c>
      <c r="AS830" s="2994">
        <v>8.3097999999999992</v>
      </c>
      <c r="AT830" s="2994">
        <v>9.0108999999999995</v>
      </c>
      <c r="AU830" s="2994">
        <v>8.7085000000000008</v>
      </c>
      <c r="AV830" s="2994">
        <v>9.2837999999999994</v>
      </c>
      <c r="AW830" s="2994">
        <v>9.1666000000000007</v>
      </c>
      <c r="AX830" s="2994">
        <v>9.8025000000000002</v>
      </c>
      <c r="AY830" s="2994">
        <v>9.9503000000000004</v>
      </c>
      <c r="AZ830" s="2994">
        <v>9.3107000000000006</v>
      </c>
      <c r="BA830" s="2994">
        <v>10.4381</v>
      </c>
      <c r="BB830" s="2994">
        <v>8.1971000000000007</v>
      </c>
      <c r="BC830" s="2994">
        <v>7.5791000000000004</v>
      </c>
      <c r="BD830" s="3471">
        <v>9.6387999999999998</v>
      </c>
      <c r="BE830" s="3471">
        <v>7.9363000000000001</v>
      </c>
      <c r="BF830" s="3471">
        <v>0</v>
      </c>
    </row>
    <row r="831" spans="1:58">
      <c r="A831" s="1817" t="str">
        <f t="shared" si="25"/>
        <v>Southern AsiaApricots</v>
      </c>
      <c r="B831" s="1818" t="s">
        <v>1326</v>
      </c>
      <c r="C831" s="1818" t="s">
        <v>7286</v>
      </c>
      <c r="D831" s="3463" t="str">
        <f>VLOOKUP(B831,List_Yield!$G$4:$J$14,4,FALSE)</f>
        <v>Asia (Indian Subcontinent)</v>
      </c>
      <c r="E831" s="3463" t="str">
        <f t="shared" si="26"/>
        <v>Asia (Indian Subcontinent)Apricots</v>
      </c>
      <c r="F831" s="2994">
        <v>4.8829000000000002</v>
      </c>
      <c r="G831" s="2994">
        <v>5.0711000000000004</v>
      </c>
      <c r="H831" s="2994">
        <v>4.4687999999999999</v>
      </c>
      <c r="I831" s="2994">
        <v>4.9059999999999997</v>
      </c>
      <c r="J831" s="2994">
        <v>5.1660000000000004</v>
      </c>
      <c r="K831" s="2994">
        <v>5.3476999999999997</v>
      </c>
      <c r="L831" s="2994">
        <v>5.5423</v>
      </c>
      <c r="M831" s="2994">
        <v>5.5316000000000001</v>
      </c>
      <c r="N831" s="2994">
        <v>5.9874999999999998</v>
      </c>
      <c r="O831" s="2994">
        <v>5.8968999999999996</v>
      </c>
      <c r="P831" s="2994">
        <v>5.2805999999999997</v>
      </c>
      <c r="Q831" s="2994">
        <v>5.3752000000000004</v>
      </c>
      <c r="R831" s="2994">
        <v>5.9135999999999997</v>
      </c>
      <c r="S831" s="2994">
        <v>5.8891</v>
      </c>
      <c r="T831" s="2994">
        <v>5.9828000000000001</v>
      </c>
      <c r="U831" s="2994">
        <v>6.0298999999999996</v>
      </c>
      <c r="V831" s="2994">
        <v>5.3859000000000004</v>
      </c>
      <c r="W831" s="2994">
        <v>5.2213000000000003</v>
      </c>
      <c r="X831" s="2994">
        <v>5.4009999999999998</v>
      </c>
      <c r="Y831" s="2994">
        <v>5.5598999999999998</v>
      </c>
      <c r="Z831" s="2994">
        <v>5.5453999999999999</v>
      </c>
      <c r="AA831" s="2994">
        <v>6.2508999999999997</v>
      </c>
      <c r="AB831" s="2994">
        <v>6.4809000000000001</v>
      </c>
      <c r="AC831" s="2994">
        <v>6.8453999999999997</v>
      </c>
      <c r="AD831" s="2994">
        <v>6.9598000000000004</v>
      </c>
      <c r="AE831" s="2994">
        <v>6.9908000000000001</v>
      </c>
      <c r="AF831" s="2994">
        <v>6.9332000000000003</v>
      </c>
      <c r="AG831" s="2994">
        <v>7.4073000000000002</v>
      </c>
      <c r="AH831" s="2994">
        <v>8.0547000000000004</v>
      </c>
      <c r="AI831" s="2994">
        <v>8.2012999999999998</v>
      </c>
      <c r="AJ831" s="2994">
        <v>9.0115999999999996</v>
      </c>
      <c r="AK831" s="2994">
        <v>8.4812999999999992</v>
      </c>
      <c r="AL831" s="2994">
        <v>8.9289000000000005</v>
      </c>
      <c r="AM831" s="2994">
        <v>9.5145999999999997</v>
      </c>
      <c r="AN831" s="2994">
        <v>9.0746000000000002</v>
      </c>
      <c r="AO831" s="2994">
        <v>9.6351999999999993</v>
      </c>
      <c r="AP831" s="2994">
        <v>9.7476000000000003</v>
      </c>
      <c r="AQ831" s="2994">
        <v>10.0367</v>
      </c>
      <c r="AR831" s="2994">
        <v>8.2866999999999997</v>
      </c>
      <c r="AS831" s="2994">
        <v>8.6135000000000002</v>
      </c>
      <c r="AT831" s="2994">
        <v>8.7728999999999999</v>
      </c>
      <c r="AU831" s="2994">
        <v>8.5121000000000002</v>
      </c>
      <c r="AV831" s="2994">
        <v>7.7192999999999996</v>
      </c>
      <c r="AW831" s="2994">
        <v>5.2104999999999997</v>
      </c>
      <c r="AX831" s="2994">
        <v>6.0968999999999998</v>
      </c>
      <c r="AY831" s="2994">
        <v>6.4127000000000001</v>
      </c>
      <c r="AZ831" s="2994">
        <v>7.6121999999999996</v>
      </c>
      <c r="BA831" s="2994">
        <v>7.6284999999999998</v>
      </c>
      <c r="BB831" s="2994">
        <v>7.1093999999999999</v>
      </c>
      <c r="BC831" s="2994">
        <v>6.9431000000000003</v>
      </c>
      <c r="BD831" s="3471">
        <v>5.2553999999999998</v>
      </c>
      <c r="BE831" s="3471">
        <v>7.9873000000000003</v>
      </c>
      <c r="BF831" s="3471">
        <v>0</v>
      </c>
    </row>
    <row r="832" spans="1:58">
      <c r="A832" s="1817" t="str">
        <f t="shared" si="25"/>
        <v>Southern AsiaAreca nuts</v>
      </c>
      <c r="B832" s="1818" t="s">
        <v>1326</v>
      </c>
      <c r="C832" s="1818" t="s">
        <v>7287</v>
      </c>
      <c r="D832" s="3463" t="str">
        <f>VLOOKUP(B832,List_Yield!$G$4:$J$14,4,FALSE)</f>
        <v>Asia (Indian Subcontinent)</v>
      </c>
      <c r="E832" s="3463" t="str">
        <f t="shared" si="26"/>
        <v>Asia (Indian Subcontinent)Areca nuts</v>
      </c>
      <c r="F832" s="2994">
        <v>0.84099999999999997</v>
      </c>
      <c r="G832" s="2994">
        <v>0.80830000000000002</v>
      </c>
      <c r="H832" s="2994">
        <v>0.82379999999999998</v>
      </c>
      <c r="I832" s="2994">
        <v>0.82389999999999997</v>
      </c>
      <c r="J832" s="2994">
        <v>0.79</v>
      </c>
      <c r="K832" s="2994">
        <v>0.7883</v>
      </c>
      <c r="L832" s="2994">
        <v>0.86750000000000005</v>
      </c>
      <c r="M832" s="2994">
        <v>0.88349999999999995</v>
      </c>
      <c r="N832" s="2994">
        <v>0.84079999999999999</v>
      </c>
      <c r="O832" s="2994">
        <v>0.81710000000000005</v>
      </c>
      <c r="P832" s="2994">
        <v>0.79249999999999998</v>
      </c>
      <c r="Q832" s="2994">
        <v>0.81110000000000004</v>
      </c>
      <c r="R832" s="2994">
        <v>0.78439999999999999</v>
      </c>
      <c r="S832" s="2994">
        <v>0.85199999999999998</v>
      </c>
      <c r="T832" s="2994">
        <v>0.82599999999999996</v>
      </c>
      <c r="U832" s="2994">
        <v>0.85650000000000004</v>
      </c>
      <c r="V832" s="2994">
        <v>0.87749999999999995</v>
      </c>
      <c r="W832" s="2994">
        <v>0.96689999999999998</v>
      </c>
      <c r="X832" s="2994">
        <v>0.96519999999999995</v>
      </c>
      <c r="Y832" s="2994">
        <v>0.94620000000000004</v>
      </c>
      <c r="Z832" s="2994">
        <v>0.99690000000000001</v>
      </c>
      <c r="AA832" s="2994">
        <v>1.0038</v>
      </c>
      <c r="AB832" s="2994">
        <v>1.024</v>
      </c>
      <c r="AC832" s="2994">
        <v>0.9657</v>
      </c>
      <c r="AD832" s="2994">
        <v>1.0969</v>
      </c>
      <c r="AE832" s="2994">
        <v>1.0898000000000001</v>
      </c>
      <c r="AF832" s="2994">
        <v>1.0511999999999999</v>
      </c>
      <c r="AG832" s="2994">
        <v>1.0626</v>
      </c>
      <c r="AH832" s="2994">
        <v>1.1375999999999999</v>
      </c>
      <c r="AI832" s="2994">
        <v>1.1294999999999999</v>
      </c>
      <c r="AJ832" s="2994">
        <v>1.0471999999999999</v>
      </c>
      <c r="AK832" s="2994">
        <v>1.0464</v>
      </c>
      <c r="AL832" s="2994">
        <v>1.0758000000000001</v>
      </c>
      <c r="AM832" s="2994">
        <v>1.1041000000000001</v>
      </c>
      <c r="AN832" s="2994">
        <v>1.1363000000000001</v>
      </c>
      <c r="AO832" s="2994">
        <v>1.1180000000000001</v>
      </c>
      <c r="AP832" s="2994">
        <v>1.1383000000000001</v>
      </c>
      <c r="AQ832" s="2994">
        <v>1.1976</v>
      </c>
      <c r="AR832" s="2994">
        <v>1.0058</v>
      </c>
      <c r="AS832" s="2994">
        <v>1.0328999999999999</v>
      </c>
      <c r="AT832" s="2994">
        <v>1.0417000000000001</v>
      </c>
      <c r="AU832" s="2994">
        <v>1.2398</v>
      </c>
      <c r="AV832" s="2994">
        <v>1.1106</v>
      </c>
      <c r="AW832" s="2994">
        <v>1.1440999999999999</v>
      </c>
      <c r="AX832" s="2994">
        <v>1.0559000000000001</v>
      </c>
      <c r="AY832" s="2994">
        <v>1.0807</v>
      </c>
      <c r="AZ832" s="2994">
        <v>1.0926</v>
      </c>
      <c r="BA832" s="2994">
        <v>1.0495000000000001</v>
      </c>
      <c r="BB832" s="2994">
        <v>1.0662</v>
      </c>
      <c r="BC832" s="2994">
        <v>1.0128999999999999</v>
      </c>
      <c r="BD832" s="3471">
        <v>1.0367</v>
      </c>
      <c r="BE832" s="3471">
        <v>1.0468999999999999</v>
      </c>
      <c r="BF832" s="3471">
        <v>0</v>
      </c>
    </row>
    <row r="833" spans="1:58">
      <c r="A833" s="1817" t="str">
        <f t="shared" si="25"/>
        <v>Southern AsiaArtichokes</v>
      </c>
      <c r="B833" s="1818" t="s">
        <v>1326</v>
      </c>
      <c r="C833" s="1818" t="s">
        <v>7288</v>
      </c>
      <c r="D833" s="3463" t="str">
        <f>VLOOKUP(B833,List_Yield!$G$4:$J$14,4,FALSE)</f>
        <v>Asia (Indian Subcontinent)</v>
      </c>
      <c r="E833" s="3463" t="str">
        <f t="shared" si="26"/>
        <v>Asia (Indian Subcontinent)Artichokes</v>
      </c>
      <c r="F833" s="2994">
        <v>0</v>
      </c>
      <c r="G833" s="2994">
        <v>0</v>
      </c>
      <c r="H833" s="2994">
        <v>0</v>
      </c>
      <c r="I833" s="2994">
        <v>0</v>
      </c>
      <c r="J833" s="2994">
        <v>0</v>
      </c>
      <c r="K833" s="2994">
        <v>0</v>
      </c>
      <c r="L833" s="2994">
        <v>0</v>
      </c>
      <c r="M833" s="2994">
        <v>0</v>
      </c>
      <c r="N833" s="2994">
        <v>0</v>
      </c>
      <c r="O833" s="2994">
        <v>0</v>
      </c>
      <c r="P833" s="2994">
        <v>0</v>
      </c>
      <c r="Q833" s="2994">
        <v>0</v>
      </c>
      <c r="R833" s="2994">
        <v>0</v>
      </c>
      <c r="S833" s="2994">
        <v>0</v>
      </c>
      <c r="T833" s="2994">
        <v>0</v>
      </c>
      <c r="U833" s="2994">
        <v>0</v>
      </c>
      <c r="V833" s="2994">
        <v>0</v>
      </c>
      <c r="W833" s="2994">
        <v>0</v>
      </c>
      <c r="X833" s="2994">
        <v>0</v>
      </c>
      <c r="Y833" s="2994">
        <v>0</v>
      </c>
      <c r="Z833" s="2994">
        <v>0</v>
      </c>
      <c r="AA833" s="2994">
        <v>0</v>
      </c>
      <c r="AB833" s="2994">
        <v>0</v>
      </c>
      <c r="AC833" s="2994">
        <v>0</v>
      </c>
      <c r="AD833" s="2994">
        <v>0</v>
      </c>
      <c r="AE833" s="2994">
        <v>0</v>
      </c>
      <c r="AF833" s="2994">
        <v>0</v>
      </c>
      <c r="AG833" s="2994">
        <v>0</v>
      </c>
      <c r="AH833" s="2994">
        <v>0</v>
      </c>
      <c r="AI833" s="2994">
        <v>12.5</v>
      </c>
      <c r="AJ833" s="2994">
        <v>9.7810000000000006</v>
      </c>
      <c r="AK833" s="2994">
        <v>11.0945</v>
      </c>
      <c r="AL833" s="2994">
        <v>10.394299999999999</v>
      </c>
      <c r="AM833" s="2994">
        <v>12.064500000000001</v>
      </c>
      <c r="AN833" s="2994">
        <v>12.047499999999999</v>
      </c>
      <c r="AO833" s="2994">
        <v>12.8813</v>
      </c>
      <c r="AP833" s="2994">
        <v>12.802899999999999</v>
      </c>
      <c r="AQ833" s="2994">
        <v>12.977600000000001</v>
      </c>
      <c r="AR833" s="2994">
        <v>14.0375</v>
      </c>
      <c r="AS833" s="2994">
        <v>14.0259</v>
      </c>
      <c r="AT833" s="2994">
        <v>14.0174</v>
      </c>
      <c r="AU833" s="2994">
        <v>15.8721</v>
      </c>
      <c r="AV833" s="2994">
        <v>14.852499999999999</v>
      </c>
      <c r="AW833" s="2994">
        <v>16.080500000000001</v>
      </c>
      <c r="AX833" s="2994">
        <v>16.049399999999999</v>
      </c>
      <c r="AY833" s="2994">
        <v>17.412400000000002</v>
      </c>
      <c r="AZ833" s="2994">
        <v>17.6829</v>
      </c>
      <c r="BA833" s="2994">
        <v>18.0121</v>
      </c>
      <c r="BB833" s="2994">
        <v>17.125</v>
      </c>
      <c r="BC833" s="2994">
        <v>18.0444</v>
      </c>
      <c r="BD833" s="3471">
        <v>17.8947</v>
      </c>
      <c r="BE833" s="3471">
        <v>18</v>
      </c>
      <c r="BF833" s="3471">
        <v>0</v>
      </c>
    </row>
    <row r="834" spans="1:58">
      <c r="A834" s="1817" t="str">
        <f t="shared" ref="A834:A897" si="27">CONCATENATE(B834,C834)</f>
        <v>Southern AsiaAsparagus</v>
      </c>
      <c r="B834" s="1818" t="s">
        <v>1326</v>
      </c>
      <c r="C834" s="1818" t="s">
        <v>7289</v>
      </c>
      <c r="D834" s="3463" t="str">
        <f>VLOOKUP(B834,List_Yield!$G$4:$J$14,4,FALSE)</f>
        <v>Asia (Indian Subcontinent)</v>
      </c>
      <c r="E834" s="3463" t="str">
        <f t="shared" si="26"/>
        <v>Asia (Indian Subcontinent)Asparagus</v>
      </c>
      <c r="F834" s="2994">
        <v>0</v>
      </c>
      <c r="G834" s="2994">
        <v>0</v>
      </c>
      <c r="H834" s="2994">
        <v>0</v>
      </c>
      <c r="I834" s="2994">
        <v>0</v>
      </c>
      <c r="J834" s="2994">
        <v>0</v>
      </c>
      <c r="K834" s="2994">
        <v>0</v>
      </c>
      <c r="L834" s="2994">
        <v>0</v>
      </c>
      <c r="M834" s="2994">
        <v>0</v>
      </c>
      <c r="N834" s="2994">
        <v>0</v>
      </c>
      <c r="O834" s="2994">
        <v>0</v>
      </c>
      <c r="P834" s="2994">
        <v>0</v>
      </c>
      <c r="Q834" s="2994">
        <v>0</v>
      </c>
      <c r="R834" s="2994">
        <v>0</v>
      </c>
      <c r="S834" s="2994">
        <v>0</v>
      </c>
      <c r="T834" s="2994">
        <v>0</v>
      </c>
      <c r="U834" s="2994">
        <v>0</v>
      </c>
      <c r="V834" s="2994">
        <v>0</v>
      </c>
      <c r="W834" s="2994">
        <v>0</v>
      </c>
      <c r="X834" s="2994">
        <v>0</v>
      </c>
      <c r="Y834" s="2994">
        <v>0</v>
      </c>
      <c r="Z834" s="2994">
        <v>0</v>
      </c>
      <c r="AA834" s="2994">
        <v>0</v>
      </c>
      <c r="AB834" s="2994">
        <v>0</v>
      </c>
      <c r="AC834" s="2994">
        <v>0</v>
      </c>
      <c r="AD834" s="2994">
        <v>0</v>
      </c>
      <c r="AE834" s="2994">
        <v>0</v>
      </c>
      <c r="AF834" s="2994">
        <v>0</v>
      </c>
      <c r="AG834" s="2994">
        <v>0</v>
      </c>
      <c r="AH834" s="2994">
        <v>0</v>
      </c>
      <c r="AI834" s="2994">
        <v>14.2857</v>
      </c>
      <c r="AJ834" s="2994">
        <v>11.185600000000001</v>
      </c>
      <c r="AK834" s="2994">
        <v>14.2857</v>
      </c>
      <c r="AL834" s="2994">
        <v>11.886100000000001</v>
      </c>
      <c r="AM834" s="2994">
        <v>13.7951</v>
      </c>
      <c r="AN834" s="2994">
        <v>13.7752</v>
      </c>
      <c r="AO834" s="2994">
        <v>14.7097</v>
      </c>
      <c r="AP834" s="2994">
        <v>14.619899999999999</v>
      </c>
      <c r="AQ834" s="2994">
        <v>14.821</v>
      </c>
      <c r="AR834" s="2994">
        <v>16.025099999999998</v>
      </c>
      <c r="AS834" s="2994">
        <v>16.009899999999998</v>
      </c>
      <c r="AT834" s="2994">
        <v>14.2857</v>
      </c>
      <c r="AU834" s="2994">
        <v>18.1431</v>
      </c>
      <c r="AV834" s="2994">
        <v>14.2857</v>
      </c>
      <c r="AW834" s="2994">
        <v>18.398199999999999</v>
      </c>
      <c r="AX834" s="2994">
        <v>17.1692</v>
      </c>
      <c r="AY834" s="2994">
        <v>19.926500000000001</v>
      </c>
      <c r="AZ834" s="2994">
        <v>19.627600000000001</v>
      </c>
      <c r="BA834" s="2994">
        <v>20.608899999999998</v>
      </c>
      <c r="BB834" s="2994">
        <v>20.615400000000001</v>
      </c>
      <c r="BC834" s="2994">
        <v>21.741399999999999</v>
      </c>
      <c r="BD834" s="3471">
        <v>22.5627</v>
      </c>
      <c r="BE834" s="3471">
        <v>22.941199999999998</v>
      </c>
      <c r="BF834" s="3471">
        <v>0</v>
      </c>
    </row>
    <row r="835" spans="1:58">
      <c r="A835" s="1817" t="str">
        <f t="shared" si="27"/>
        <v>Southern AsiaAvocados</v>
      </c>
      <c r="B835" s="1818" t="s">
        <v>1326</v>
      </c>
      <c r="C835" s="1818" t="s">
        <v>7290</v>
      </c>
      <c r="D835" s="3463" t="str">
        <f>VLOOKUP(B835,List_Yield!$G$4:$J$14,4,FALSE)</f>
        <v>Asia (Indian Subcontinent)</v>
      </c>
      <c r="E835" s="3463" t="str">
        <f t="shared" si="26"/>
        <v>Asia (Indian Subcontinent)Avocados</v>
      </c>
      <c r="F835" s="2994">
        <v>0</v>
      </c>
      <c r="G835" s="2994">
        <v>0</v>
      </c>
      <c r="H835" s="2994">
        <v>0</v>
      </c>
      <c r="I835" s="2994">
        <v>0</v>
      </c>
      <c r="J835" s="2994">
        <v>0</v>
      </c>
      <c r="K835" s="2994">
        <v>0</v>
      </c>
      <c r="L835" s="2994">
        <v>0</v>
      </c>
      <c r="M835" s="2994">
        <v>0</v>
      </c>
      <c r="N835" s="2994">
        <v>0</v>
      </c>
      <c r="O835" s="2994">
        <v>0</v>
      </c>
      <c r="P835" s="2994">
        <v>0</v>
      </c>
      <c r="Q835" s="2994">
        <v>0</v>
      </c>
      <c r="R835" s="2994">
        <v>0</v>
      </c>
      <c r="S835" s="2994">
        <v>0</v>
      </c>
      <c r="T835" s="2994">
        <v>0</v>
      </c>
      <c r="U835" s="2994">
        <v>0</v>
      </c>
      <c r="V835" s="2994">
        <v>0</v>
      </c>
      <c r="W835" s="2994">
        <v>0</v>
      </c>
      <c r="X835" s="2994">
        <v>0</v>
      </c>
      <c r="Y835" s="2994">
        <v>0</v>
      </c>
      <c r="Z835" s="2994">
        <v>0</v>
      </c>
      <c r="AA835" s="2994">
        <v>0</v>
      </c>
      <c r="AB835" s="2994">
        <v>0</v>
      </c>
      <c r="AC835" s="2994">
        <v>0</v>
      </c>
      <c r="AD835" s="2994">
        <v>0</v>
      </c>
      <c r="AE835" s="2994">
        <v>0</v>
      </c>
      <c r="AF835" s="2994">
        <v>0</v>
      </c>
      <c r="AG835" s="2994">
        <v>0</v>
      </c>
      <c r="AH835" s="2994">
        <v>0</v>
      </c>
      <c r="AI835" s="2994">
        <v>0</v>
      </c>
      <c r="AJ835" s="2994">
        <v>0</v>
      </c>
      <c r="AK835" s="2994">
        <v>0</v>
      </c>
      <c r="AL835" s="2994">
        <v>0</v>
      </c>
      <c r="AM835" s="2994">
        <v>0</v>
      </c>
      <c r="AN835" s="2994">
        <v>0</v>
      </c>
      <c r="AO835" s="2994">
        <v>0</v>
      </c>
      <c r="AP835" s="2994">
        <v>0</v>
      </c>
      <c r="AQ835" s="2994">
        <v>0</v>
      </c>
      <c r="AR835" s="2994">
        <v>0</v>
      </c>
      <c r="AS835" s="2994">
        <v>0</v>
      </c>
      <c r="AT835" s="2994">
        <v>0</v>
      </c>
      <c r="AU835" s="2994">
        <v>0</v>
      </c>
      <c r="AV835" s="2994">
        <v>0</v>
      </c>
      <c r="AW835" s="2994">
        <v>0</v>
      </c>
      <c r="AX835" s="2994">
        <v>0</v>
      </c>
      <c r="AY835" s="2994">
        <v>0</v>
      </c>
      <c r="AZ835" s="2994">
        <v>0</v>
      </c>
      <c r="BA835" s="2994">
        <v>0</v>
      </c>
      <c r="BB835" s="2994">
        <v>0</v>
      </c>
      <c r="BC835" s="2994">
        <v>0</v>
      </c>
      <c r="BD835" s="3471">
        <v>0</v>
      </c>
      <c r="BE835" s="3471">
        <v>0</v>
      </c>
      <c r="BF835" s="3471">
        <v>0</v>
      </c>
    </row>
    <row r="836" spans="1:58">
      <c r="A836" s="1817" t="str">
        <f t="shared" si="27"/>
        <v>Southern AsiaBambara beans</v>
      </c>
      <c r="B836" s="1818" t="s">
        <v>1326</v>
      </c>
      <c r="C836" s="1818" t="s">
        <v>7291</v>
      </c>
      <c r="D836" s="3463" t="str">
        <f>VLOOKUP(B836,List_Yield!$G$4:$J$14,4,FALSE)</f>
        <v>Asia (Indian Subcontinent)</v>
      </c>
      <c r="E836" s="3463" t="str">
        <f t="shared" si="26"/>
        <v>Asia (Indian Subcontinent)Bambara beans</v>
      </c>
      <c r="F836" s="2994">
        <v>0</v>
      </c>
      <c r="G836" s="2994">
        <v>0</v>
      </c>
      <c r="H836" s="2994">
        <v>0</v>
      </c>
      <c r="I836" s="2994">
        <v>0</v>
      </c>
      <c r="J836" s="2994">
        <v>0</v>
      </c>
      <c r="K836" s="2994">
        <v>0</v>
      </c>
      <c r="L836" s="2994">
        <v>0</v>
      </c>
      <c r="M836" s="2994">
        <v>0</v>
      </c>
      <c r="N836" s="2994">
        <v>0</v>
      </c>
      <c r="O836" s="2994">
        <v>0</v>
      </c>
      <c r="P836" s="2994">
        <v>0</v>
      </c>
      <c r="Q836" s="2994">
        <v>0</v>
      </c>
      <c r="R836" s="2994">
        <v>0</v>
      </c>
      <c r="S836" s="2994">
        <v>0</v>
      </c>
      <c r="T836" s="2994">
        <v>0</v>
      </c>
      <c r="U836" s="2994">
        <v>0</v>
      </c>
      <c r="V836" s="2994">
        <v>0</v>
      </c>
      <c r="W836" s="2994">
        <v>0</v>
      </c>
      <c r="X836" s="2994">
        <v>0</v>
      </c>
      <c r="Y836" s="2994">
        <v>0</v>
      </c>
      <c r="Z836" s="2994">
        <v>0</v>
      </c>
      <c r="AA836" s="2994">
        <v>0</v>
      </c>
      <c r="AB836" s="2994">
        <v>0</v>
      </c>
      <c r="AC836" s="2994">
        <v>0</v>
      </c>
      <c r="AD836" s="2994">
        <v>0</v>
      </c>
      <c r="AE836" s="2994">
        <v>0</v>
      </c>
      <c r="AF836" s="2994">
        <v>0</v>
      </c>
      <c r="AG836" s="2994">
        <v>0</v>
      </c>
      <c r="AH836" s="2994">
        <v>0</v>
      </c>
      <c r="AI836" s="2994">
        <v>0</v>
      </c>
      <c r="AJ836" s="2994">
        <v>0</v>
      </c>
      <c r="AK836" s="2994">
        <v>0</v>
      </c>
      <c r="AL836" s="2994">
        <v>0</v>
      </c>
      <c r="AM836" s="2994">
        <v>0</v>
      </c>
      <c r="AN836" s="2994">
        <v>0</v>
      </c>
      <c r="AO836" s="2994">
        <v>0</v>
      </c>
      <c r="AP836" s="2994">
        <v>0</v>
      </c>
      <c r="AQ836" s="2994">
        <v>0</v>
      </c>
      <c r="AR836" s="2994">
        <v>0</v>
      </c>
      <c r="AS836" s="2994">
        <v>0</v>
      </c>
      <c r="AT836" s="2994">
        <v>0</v>
      </c>
      <c r="AU836" s="2994">
        <v>0</v>
      </c>
      <c r="AV836" s="2994">
        <v>0</v>
      </c>
      <c r="AW836" s="2994">
        <v>0</v>
      </c>
      <c r="AX836" s="2994">
        <v>0</v>
      </c>
      <c r="AY836" s="2994">
        <v>0</v>
      </c>
      <c r="AZ836" s="2994">
        <v>0</v>
      </c>
      <c r="BA836" s="2994">
        <v>0</v>
      </c>
      <c r="BB836" s="2994">
        <v>0</v>
      </c>
      <c r="BC836" s="2994">
        <v>0</v>
      </c>
      <c r="BD836" s="3471">
        <v>0</v>
      </c>
      <c r="BE836" s="3471">
        <v>0</v>
      </c>
      <c r="BF836" s="3471">
        <v>0</v>
      </c>
    </row>
    <row r="837" spans="1:58">
      <c r="A837" s="1817" t="str">
        <f t="shared" si="27"/>
        <v>Southern AsiaBananas</v>
      </c>
      <c r="B837" s="1818" t="s">
        <v>1326</v>
      </c>
      <c r="C837" s="1818" t="s">
        <v>1336</v>
      </c>
      <c r="D837" s="3463" t="str">
        <f>VLOOKUP(B837,List_Yield!$G$4:$J$14,4,FALSE)</f>
        <v>Asia (Indian Subcontinent)</v>
      </c>
      <c r="E837" s="3463" t="str">
        <f t="shared" si="26"/>
        <v>Asia (Indian Subcontinent)Bananas</v>
      </c>
      <c r="F837" s="2994">
        <v>13.5853</v>
      </c>
      <c r="G837" s="2994">
        <v>13.4772</v>
      </c>
      <c r="H837" s="2994">
        <v>13.449400000000001</v>
      </c>
      <c r="I837" s="2994">
        <v>13.8468</v>
      </c>
      <c r="J837" s="2994">
        <v>15.367100000000001</v>
      </c>
      <c r="K837" s="2994">
        <v>16.391500000000001</v>
      </c>
      <c r="L837" s="2994">
        <v>15.492000000000001</v>
      </c>
      <c r="M837" s="2994">
        <v>14.5891</v>
      </c>
      <c r="N837" s="2994">
        <v>14.1808</v>
      </c>
      <c r="O837" s="2994">
        <v>13.116199999999999</v>
      </c>
      <c r="P837" s="2994">
        <v>14.9329</v>
      </c>
      <c r="Q837" s="2994">
        <v>14.4876</v>
      </c>
      <c r="R837" s="2994">
        <v>14.173299999999999</v>
      </c>
      <c r="S837" s="2994">
        <v>13.9016</v>
      </c>
      <c r="T837" s="2994">
        <v>14.549799999999999</v>
      </c>
      <c r="U837" s="2994">
        <v>15.0801</v>
      </c>
      <c r="V837" s="2994">
        <v>15.4383</v>
      </c>
      <c r="W837" s="2994">
        <v>16.428100000000001</v>
      </c>
      <c r="X837" s="2994">
        <v>15.303800000000001</v>
      </c>
      <c r="Y837" s="2994">
        <v>14.8285</v>
      </c>
      <c r="Z837" s="2994">
        <v>15.4777</v>
      </c>
      <c r="AA837" s="2994">
        <v>14.7402</v>
      </c>
      <c r="AB837" s="2994">
        <v>16.0366</v>
      </c>
      <c r="AC837" s="2994">
        <v>16.964300000000001</v>
      </c>
      <c r="AD837" s="2994">
        <v>17.2254</v>
      </c>
      <c r="AE837" s="2994">
        <v>18.344999999999999</v>
      </c>
      <c r="AF837" s="2994">
        <v>18.344200000000001</v>
      </c>
      <c r="AG837" s="2994">
        <v>12.1174</v>
      </c>
      <c r="AH837" s="2994">
        <v>18.341799999999999</v>
      </c>
      <c r="AI837" s="2994">
        <v>18.669699999999999</v>
      </c>
      <c r="AJ837" s="2994">
        <v>19.834199999999999</v>
      </c>
      <c r="AK837" s="2994">
        <v>19.3</v>
      </c>
      <c r="AL837" s="2994">
        <v>21.903099999999998</v>
      </c>
      <c r="AM837" s="2994">
        <v>22.606400000000001</v>
      </c>
      <c r="AN837" s="2994">
        <v>22.13</v>
      </c>
      <c r="AO837" s="2994">
        <v>21.8782</v>
      </c>
      <c r="AP837" s="2994">
        <v>27.364899999999999</v>
      </c>
      <c r="AQ837" s="2994">
        <v>29.985399999999998</v>
      </c>
      <c r="AR837" s="2994">
        <v>31.310300000000002</v>
      </c>
      <c r="AS837" s="2994">
        <v>27.4221</v>
      </c>
      <c r="AT837" s="2994">
        <v>27.636399999999998</v>
      </c>
      <c r="AU837" s="2994">
        <v>25.591799999999999</v>
      </c>
      <c r="AV837" s="2994">
        <v>25.367100000000001</v>
      </c>
      <c r="AW837" s="2994">
        <v>26.111799999999999</v>
      </c>
      <c r="AX837" s="2994">
        <v>30.284500000000001</v>
      </c>
      <c r="AY837" s="2994">
        <v>31.619900000000001</v>
      </c>
      <c r="AZ837" s="2994">
        <v>33.085500000000003</v>
      </c>
      <c r="BA837" s="2994">
        <v>33.994399999999999</v>
      </c>
      <c r="BB837" s="2994">
        <v>31.854299999999999</v>
      </c>
      <c r="BC837" s="2994">
        <v>33.517499999999998</v>
      </c>
      <c r="BD837" s="3471">
        <v>33.496499999999997</v>
      </c>
      <c r="BE837" s="3471">
        <v>32.063000000000002</v>
      </c>
      <c r="BF837" s="3471">
        <v>0</v>
      </c>
    </row>
    <row r="838" spans="1:58">
      <c r="A838" s="1817" t="str">
        <f t="shared" si="27"/>
        <v>Southern AsiaBarley</v>
      </c>
      <c r="B838" s="1818" t="s">
        <v>1326</v>
      </c>
      <c r="C838" s="1818" t="s">
        <v>1337</v>
      </c>
      <c r="D838" s="3463" t="str">
        <f>VLOOKUP(B838,List_Yield!$G$4:$J$14,4,FALSE)</f>
        <v>Asia (Indian Subcontinent)</v>
      </c>
      <c r="E838" s="3463" t="str">
        <f t="shared" si="26"/>
        <v>Asia (Indian Subcontinent)Barley</v>
      </c>
      <c r="F838" s="2994">
        <v>0.84119999999999995</v>
      </c>
      <c r="G838" s="2994">
        <v>0.88919999999999999</v>
      </c>
      <c r="H838" s="2994">
        <v>0.79420000000000002</v>
      </c>
      <c r="I838" s="2994">
        <v>0.75580000000000003</v>
      </c>
      <c r="J838" s="2994">
        <v>0.87519999999999998</v>
      </c>
      <c r="K838" s="2994">
        <v>0.84019999999999995</v>
      </c>
      <c r="L838" s="2994">
        <v>0.79810000000000003</v>
      </c>
      <c r="M838" s="2994">
        <v>0.93200000000000005</v>
      </c>
      <c r="N838" s="2994">
        <v>0.83240000000000003</v>
      </c>
      <c r="O838" s="2994">
        <v>0.89270000000000005</v>
      </c>
      <c r="P838" s="2994">
        <v>0.9254</v>
      </c>
      <c r="Q838" s="2994">
        <v>0.90669999999999995</v>
      </c>
      <c r="R838" s="2994">
        <v>0.88749999999999996</v>
      </c>
      <c r="S838" s="2994">
        <v>0.8377</v>
      </c>
      <c r="T838" s="2994">
        <v>1.0306</v>
      </c>
      <c r="U838" s="2994">
        <v>1.1277999999999999</v>
      </c>
      <c r="V838" s="2994">
        <v>0.99539999999999995</v>
      </c>
      <c r="W838" s="2994">
        <v>1.0831999999999999</v>
      </c>
      <c r="X838" s="2994">
        <v>1.1016999999999999</v>
      </c>
      <c r="Y838" s="2994">
        <v>0.89459999999999995</v>
      </c>
      <c r="Z838" s="2994">
        <v>1.0071000000000001</v>
      </c>
      <c r="AA838" s="2994">
        <v>1.0670999999999999</v>
      </c>
      <c r="AB838" s="2994">
        <v>1.0869</v>
      </c>
      <c r="AC838" s="2994">
        <v>1.1323000000000001</v>
      </c>
      <c r="AD838" s="2994">
        <v>1.1217999999999999</v>
      </c>
      <c r="AE838" s="2994">
        <v>1.2827999999999999</v>
      </c>
      <c r="AF838" s="2994">
        <v>1.2271000000000001</v>
      </c>
      <c r="AG838" s="2994">
        <v>1.3667</v>
      </c>
      <c r="AH838" s="2994">
        <v>1.1953</v>
      </c>
      <c r="AI838" s="2994">
        <v>1.3458000000000001</v>
      </c>
      <c r="AJ838" s="2994">
        <v>1.3631</v>
      </c>
      <c r="AK838" s="2994">
        <v>1.4240999999999999</v>
      </c>
      <c r="AL838" s="2994">
        <v>1.4450000000000001</v>
      </c>
      <c r="AM838" s="2994">
        <v>1.5931999999999999</v>
      </c>
      <c r="AN838" s="2994">
        <v>1.5074000000000001</v>
      </c>
      <c r="AO838" s="2994">
        <v>1.5947</v>
      </c>
      <c r="AP838" s="2994">
        <v>1.6577</v>
      </c>
      <c r="AQ838" s="2994">
        <v>1.7575000000000001</v>
      </c>
      <c r="AR838" s="2994">
        <v>1.5369999999999999</v>
      </c>
      <c r="AS838" s="2994">
        <v>1.526</v>
      </c>
      <c r="AT838" s="2994">
        <v>1.6301000000000001</v>
      </c>
      <c r="AU838" s="2994">
        <v>1.8415999999999999</v>
      </c>
      <c r="AV838" s="2994">
        <v>1.7899</v>
      </c>
      <c r="AW838" s="2994">
        <v>1.7228000000000001</v>
      </c>
      <c r="AX838" s="2994">
        <v>1.7149000000000001</v>
      </c>
      <c r="AY838" s="2994">
        <v>1.8251999999999999</v>
      </c>
      <c r="AZ838" s="2994">
        <v>1.8612</v>
      </c>
      <c r="BA838" s="2994">
        <v>1.5771999999999999</v>
      </c>
      <c r="BB838" s="2994">
        <v>2.0737000000000001</v>
      </c>
      <c r="BC838" s="2994">
        <v>2.1608999999999998</v>
      </c>
      <c r="BD838" s="3471">
        <v>1.9020999999999999</v>
      </c>
      <c r="BE838" s="3471">
        <v>1.9887999999999999</v>
      </c>
      <c r="BF838" s="3471">
        <v>2.0081000000000002</v>
      </c>
    </row>
    <row r="839" spans="1:58">
      <c r="A839" s="1817" t="str">
        <f t="shared" si="27"/>
        <v>Southern AsiaBastfibres, other</v>
      </c>
      <c r="B839" s="1818" t="s">
        <v>1326</v>
      </c>
      <c r="C839" s="1818" t="s">
        <v>7292</v>
      </c>
      <c r="D839" s="3463" t="str">
        <f>VLOOKUP(B839,List_Yield!$G$4:$J$14,4,FALSE)</f>
        <v>Asia (Indian Subcontinent)</v>
      </c>
      <c r="E839" s="3463" t="str">
        <f t="shared" si="26"/>
        <v>Asia (Indian Subcontinent)Bastfibres, other</v>
      </c>
      <c r="F839" s="2994">
        <v>0.68430000000000002</v>
      </c>
      <c r="G839" s="2994">
        <v>0.66610000000000003</v>
      </c>
      <c r="H839" s="2994">
        <v>0.63119999999999998</v>
      </c>
      <c r="I839" s="2994">
        <v>0.68659999999999999</v>
      </c>
      <c r="J839" s="2994">
        <v>0.6</v>
      </c>
      <c r="K839" s="2994">
        <v>0.58020000000000005</v>
      </c>
      <c r="L839" s="2994">
        <v>0.65590000000000004</v>
      </c>
      <c r="M839" s="2994">
        <v>0.54900000000000004</v>
      </c>
      <c r="N839" s="2994">
        <v>0.60070000000000001</v>
      </c>
      <c r="O839" s="2994">
        <v>0.61560000000000004</v>
      </c>
      <c r="P839" s="2994">
        <v>0.6169</v>
      </c>
      <c r="Q839" s="2994">
        <v>0.61509999999999998</v>
      </c>
      <c r="R839" s="2994">
        <v>0.64019999999999999</v>
      </c>
      <c r="S839" s="2994">
        <v>0.66300000000000003</v>
      </c>
      <c r="T839" s="2994">
        <v>0.6976</v>
      </c>
      <c r="U839" s="2994">
        <v>0.76659999999999995</v>
      </c>
      <c r="V839" s="2994">
        <v>0.7823</v>
      </c>
      <c r="W839" s="2994">
        <v>0.78039999999999998</v>
      </c>
      <c r="X839" s="2994">
        <v>0.75349999999999995</v>
      </c>
      <c r="Y839" s="2994">
        <v>0.72250000000000003</v>
      </c>
      <c r="Z839" s="2994">
        <v>0.75260000000000005</v>
      </c>
      <c r="AA839" s="2994">
        <v>0.67149999999999999</v>
      </c>
      <c r="AB839" s="2994">
        <v>0.75739999999999996</v>
      </c>
      <c r="AC839" s="2994">
        <v>0.71660000000000001</v>
      </c>
      <c r="AD839" s="2994">
        <v>0.83009999999999995</v>
      </c>
      <c r="AE839" s="2994">
        <v>0.77939999999999998</v>
      </c>
      <c r="AF839" s="2994">
        <v>0.65380000000000005</v>
      </c>
      <c r="AG839" s="2994">
        <v>0.81130000000000002</v>
      </c>
      <c r="AH839" s="2994">
        <v>0.84670000000000001</v>
      </c>
      <c r="AI839" s="2994">
        <v>0.87570000000000003</v>
      </c>
      <c r="AJ839" s="2994">
        <v>0.94640000000000002</v>
      </c>
      <c r="AK839" s="2994">
        <v>0.87309999999999999</v>
      </c>
      <c r="AL839" s="2994">
        <v>0.90149999999999997</v>
      </c>
      <c r="AM839" s="2994">
        <v>0.92969999999999997</v>
      </c>
      <c r="AN839" s="2994">
        <v>0.93969999999999998</v>
      </c>
      <c r="AO839" s="2994">
        <v>1.3784000000000001</v>
      </c>
      <c r="AP839" s="2994">
        <v>0.99880000000000002</v>
      </c>
      <c r="AQ839" s="2994">
        <v>0.99099999999999999</v>
      </c>
      <c r="AR839" s="2994">
        <v>1.0743</v>
      </c>
      <c r="AS839" s="2994">
        <v>1.075</v>
      </c>
      <c r="AT839" s="2994">
        <v>1.1707000000000001</v>
      </c>
      <c r="AU839" s="2994">
        <v>1.1288</v>
      </c>
      <c r="AV839" s="2994">
        <v>1.0556000000000001</v>
      </c>
      <c r="AW839" s="2994">
        <v>1.0859000000000001</v>
      </c>
      <c r="AX839" s="2994">
        <v>1.1134999999999999</v>
      </c>
      <c r="AY839" s="2994">
        <v>1.1415999999999999</v>
      </c>
      <c r="AZ839" s="2994">
        <v>1.1941999999999999</v>
      </c>
      <c r="BA839" s="2994">
        <v>1.3178000000000001</v>
      </c>
      <c r="BB839" s="2994">
        <v>1.0920000000000001</v>
      </c>
      <c r="BC839" s="2994">
        <v>1.2017</v>
      </c>
      <c r="BD839" s="3471">
        <v>1.2484</v>
      </c>
      <c r="BE839" s="3471">
        <v>1.2562</v>
      </c>
      <c r="BF839" s="3471">
        <v>0</v>
      </c>
    </row>
    <row r="840" spans="1:58">
      <c r="A840" s="1817" t="str">
        <f t="shared" si="27"/>
        <v>Southern AsiaBeans, dry</v>
      </c>
      <c r="B840" s="1818" t="s">
        <v>1326</v>
      </c>
      <c r="C840" s="1818" t="s">
        <v>1338</v>
      </c>
      <c r="D840" s="3463" t="str">
        <f>VLOOKUP(B840,List_Yield!$G$4:$J$14,4,FALSE)</f>
        <v>Asia (Indian Subcontinent)</v>
      </c>
      <c r="E840" s="3463" t="str">
        <f t="shared" si="26"/>
        <v>Asia (Indian Subcontinent)Beans, dry</v>
      </c>
      <c r="F840" s="2994">
        <v>0.27010000000000001</v>
      </c>
      <c r="G840" s="2994">
        <v>0.2797</v>
      </c>
      <c r="H840" s="2994">
        <v>0.27110000000000001</v>
      </c>
      <c r="I840" s="2994">
        <v>0.2923</v>
      </c>
      <c r="J840" s="2994">
        <v>0.25290000000000001</v>
      </c>
      <c r="K840" s="2994">
        <v>0.24729999999999999</v>
      </c>
      <c r="L840" s="2994">
        <v>0.2792</v>
      </c>
      <c r="M840" s="2994">
        <v>0.26490000000000002</v>
      </c>
      <c r="N840" s="2994">
        <v>0.28289999999999998</v>
      </c>
      <c r="O840" s="2994">
        <v>0.32129999999999997</v>
      </c>
      <c r="P840" s="2994">
        <v>0.28420000000000001</v>
      </c>
      <c r="Q840" s="2994">
        <v>0.24840000000000001</v>
      </c>
      <c r="R840" s="2994">
        <v>0.3216</v>
      </c>
      <c r="S840" s="2994">
        <v>0.27550000000000002</v>
      </c>
      <c r="T840" s="2994">
        <v>0.33079999999999998</v>
      </c>
      <c r="U840" s="2994">
        <v>0.31580000000000003</v>
      </c>
      <c r="V840" s="2994">
        <v>0.34420000000000001</v>
      </c>
      <c r="W840" s="2994">
        <v>0.31929999999999997</v>
      </c>
      <c r="X840" s="2994">
        <v>0.2631</v>
      </c>
      <c r="Y840" s="2994">
        <v>0.3105</v>
      </c>
      <c r="Z840" s="2994">
        <v>0.34039999999999998</v>
      </c>
      <c r="AA840" s="2994">
        <v>0.3463</v>
      </c>
      <c r="AB840" s="2994">
        <v>0.39600000000000002</v>
      </c>
      <c r="AC840" s="2994">
        <v>0.3569</v>
      </c>
      <c r="AD840" s="2994">
        <v>0.34520000000000001</v>
      </c>
      <c r="AE840" s="2994">
        <v>0.34439999999999998</v>
      </c>
      <c r="AF840" s="2994">
        <v>0.38569999999999999</v>
      </c>
      <c r="AG840" s="2994">
        <v>0.436</v>
      </c>
      <c r="AH840" s="2994">
        <v>0.40960000000000002</v>
      </c>
      <c r="AI840" s="2994">
        <v>0.432</v>
      </c>
      <c r="AJ840" s="2994">
        <v>0.38490000000000002</v>
      </c>
      <c r="AK840" s="2994">
        <v>0.4582</v>
      </c>
      <c r="AL840" s="2994">
        <v>0.40250000000000002</v>
      </c>
      <c r="AM840" s="2994">
        <v>0.38369999999999999</v>
      </c>
      <c r="AN840" s="2994">
        <v>0.45600000000000002</v>
      </c>
      <c r="AO840" s="2994">
        <v>0.43759999999999999</v>
      </c>
      <c r="AP840" s="2994">
        <v>0.37209999999999999</v>
      </c>
      <c r="AQ840" s="2994">
        <v>0.37340000000000001</v>
      </c>
      <c r="AR840" s="2994">
        <v>0.50439999999999996</v>
      </c>
      <c r="AS840" s="2994">
        <v>0.51170000000000004</v>
      </c>
      <c r="AT840" s="2994">
        <v>0.56279999999999997</v>
      </c>
      <c r="AU840" s="2994">
        <v>0.36720000000000003</v>
      </c>
      <c r="AV840" s="2994">
        <v>0.47910000000000003</v>
      </c>
      <c r="AW840" s="2994">
        <v>0.36</v>
      </c>
      <c r="AX840" s="2994">
        <v>0.35930000000000001</v>
      </c>
      <c r="AY840" s="2994">
        <v>0.41249999999999998</v>
      </c>
      <c r="AZ840" s="2994">
        <v>0.42249999999999999</v>
      </c>
      <c r="BA840" s="2994">
        <v>0.40799999999999997</v>
      </c>
      <c r="BB840" s="2994">
        <v>0.44169999999999998</v>
      </c>
      <c r="BC840" s="2994">
        <v>0.46960000000000002</v>
      </c>
      <c r="BD840" s="3471">
        <v>0.41959999999999997</v>
      </c>
      <c r="BE840" s="3471">
        <v>0.43919999999999998</v>
      </c>
      <c r="BF840" s="3471">
        <v>0.43159999999999998</v>
      </c>
    </row>
    <row r="841" spans="1:58">
      <c r="A841" s="1817" t="str">
        <f t="shared" si="27"/>
        <v>Southern AsiaBeans, green</v>
      </c>
      <c r="B841" s="1818" t="s">
        <v>1326</v>
      </c>
      <c r="C841" s="1818" t="s">
        <v>1339</v>
      </c>
      <c r="D841" s="3463" t="str">
        <f>VLOOKUP(B841,List_Yield!$G$4:$J$14,4,FALSE)</f>
        <v>Asia (Indian Subcontinent)</v>
      </c>
      <c r="E841" s="3463" t="str">
        <f t="shared" si="26"/>
        <v>Asia (Indian Subcontinent)Beans, green</v>
      </c>
      <c r="F841" s="2994">
        <v>2.4106000000000001</v>
      </c>
      <c r="G841" s="2994">
        <v>2.3292000000000002</v>
      </c>
      <c r="H841" s="2994">
        <v>2.3517000000000001</v>
      </c>
      <c r="I841" s="2994">
        <v>2.4224999999999999</v>
      </c>
      <c r="J841" s="2994">
        <v>2.4150999999999998</v>
      </c>
      <c r="K841" s="2994">
        <v>2.4134000000000002</v>
      </c>
      <c r="L841" s="2994">
        <v>2.4133</v>
      </c>
      <c r="M841" s="2994">
        <v>2.4523000000000001</v>
      </c>
      <c r="N841" s="2994">
        <v>2.5021</v>
      </c>
      <c r="O841" s="2994">
        <v>2.5301999999999998</v>
      </c>
      <c r="P841" s="2994">
        <v>2.4881000000000002</v>
      </c>
      <c r="Q841" s="2994">
        <v>2.5427</v>
      </c>
      <c r="R841" s="2994">
        <v>2.5709</v>
      </c>
      <c r="S841" s="2994">
        <v>2.5609999999999999</v>
      </c>
      <c r="T841" s="2994">
        <v>2.6006</v>
      </c>
      <c r="U841" s="2994">
        <v>2.5767000000000002</v>
      </c>
      <c r="V841" s="2994">
        <v>2.5487000000000002</v>
      </c>
      <c r="W841" s="2994">
        <v>2.6158000000000001</v>
      </c>
      <c r="X841" s="2994">
        <v>2.6821999999999999</v>
      </c>
      <c r="Y841" s="2994">
        <v>2.7294999999999998</v>
      </c>
      <c r="Z841" s="2994">
        <v>2.7671000000000001</v>
      </c>
      <c r="AA841" s="2994">
        <v>2.802</v>
      </c>
      <c r="AB841" s="2994">
        <v>2.9504999999999999</v>
      </c>
      <c r="AC841" s="2994">
        <v>2.9807999999999999</v>
      </c>
      <c r="AD841" s="2994">
        <v>2.9910000000000001</v>
      </c>
      <c r="AE841" s="2994">
        <v>3.0118</v>
      </c>
      <c r="AF841" s="2994">
        <v>3.0628000000000002</v>
      </c>
      <c r="AG841" s="2994">
        <v>3.093</v>
      </c>
      <c r="AH841" s="2994">
        <v>2.9786999999999999</v>
      </c>
      <c r="AI841" s="2994">
        <v>3.2787999999999999</v>
      </c>
      <c r="AJ841" s="2994">
        <v>2.98</v>
      </c>
      <c r="AK841" s="2994">
        <v>3.1057999999999999</v>
      </c>
      <c r="AL841" s="2994">
        <v>2.9417</v>
      </c>
      <c r="AM841" s="2994">
        <v>2.9373999999999998</v>
      </c>
      <c r="AN841" s="2994">
        <v>2.3323</v>
      </c>
      <c r="AO841" s="2994">
        <v>3.0005999999999999</v>
      </c>
      <c r="AP841" s="2994">
        <v>2.7145999999999999</v>
      </c>
      <c r="AQ841" s="2994">
        <v>3.0655000000000001</v>
      </c>
      <c r="AR841" s="2994">
        <v>3.2458999999999998</v>
      </c>
      <c r="AS841" s="2994">
        <v>3.0125999999999999</v>
      </c>
      <c r="AT841" s="2994">
        <v>2.9510000000000001</v>
      </c>
      <c r="AU841" s="2994">
        <v>2.7174</v>
      </c>
      <c r="AV841" s="2994">
        <v>2.4561999999999999</v>
      </c>
      <c r="AW841" s="2994">
        <v>2.8431000000000002</v>
      </c>
      <c r="AX841" s="2994">
        <v>2.9491000000000001</v>
      </c>
      <c r="AY841" s="2994">
        <v>3.0659999999999998</v>
      </c>
      <c r="AZ841" s="2994">
        <v>3.1522000000000001</v>
      </c>
      <c r="BA841" s="2994">
        <v>3.1048</v>
      </c>
      <c r="BB841" s="2994">
        <v>3.1381000000000001</v>
      </c>
      <c r="BC841" s="2994">
        <v>3.2025999999999999</v>
      </c>
      <c r="BD841" s="3471">
        <v>3.2576999999999998</v>
      </c>
      <c r="BE841" s="3471">
        <v>3.2770000000000001</v>
      </c>
      <c r="BF841" s="3471">
        <v>0</v>
      </c>
    </row>
    <row r="842" spans="1:58">
      <c r="A842" s="1817" t="str">
        <f t="shared" si="27"/>
        <v>Southern AsiaBerries nes</v>
      </c>
      <c r="B842" s="1818" t="s">
        <v>1326</v>
      </c>
      <c r="C842" s="1818" t="s">
        <v>7293</v>
      </c>
      <c r="D842" s="3463" t="str">
        <f>VLOOKUP(B842,List_Yield!$G$4:$J$14,4,FALSE)</f>
        <v>Asia (Indian Subcontinent)</v>
      </c>
      <c r="E842" s="3463" t="str">
        <f t="shared" si="26"/>
        <v>Asia (Indian Subcontinent)Berries nes</v>
      </c>
      <c r="F842" s="2994">
        <v>7.2538999999999998</v>
      </c>
      <c r="G842" s="2994">
        <v>7.2820999999999998</v>
      </c>
      <c r="H842" s="2994">
        <v>7.2958999999999996</v>
      </c>
      <c r="I842" s="2994">
        <v>7.2958999999999996</v>
      </c>
      <c r="J842" s="2994">
        <v>7.2727000000000004</v>
      </c>
      <c r="K842" s="2994">
        <v>7.1980000000000004</v>
      </c>
      <c r="L842" s="2994">
        <v>7.1429</v>
      </c>
      <c r="M842" s="2994">
        <v>7.2</v>
      </c>
      <c r="N842" s="2994">
        <v>7.1626000000000003</v>
      </c>
      <c r="O842" s="2994">
        <v>6.8586</v>
      </c>
      <c r="P842" s="2994">
        <v>5.0953999999999997</v>
      </c>
      <c r="Q842" s="2994">
        <v>7.0605000000000002</v>
      </c>
      <c r="R842" s="2994">
        <v>7.0636000000000001</v>
      </c>
      <c r="S842" s="2994">
        <v>7.0214999999999996</v>
      </c>
      <c r="T842" s="2994">
        <v>7.1352000000000002</v>
      </c>
      <c r="U842" s="2994">
        <v>6.6933999999999996</v>
      </c>
      <c r="V842" s="2994">
        <v>5.2717999999999998</v>
      </c>
      <c r="W842" s="2994">
        <v>6.9539999999999997</v>
      </c>
      <c r="X842" s="2994">
        <v>6.9349999999999996</v>
      </c>
      <c r="Y842" s="2994">
        <v>6.8526999999999996</v>
      </c>
      <c r="Z842" s="2994">
        <v>6.8421000000000003</v>
      </c>
      <c r="AA842" s="2994">
        <v>6.6807999999999996</v>
      </c>
      <c r="AB842" s="2994">
        <v>7.3685999999999998</v>
      </c>
      <c r="AC842" s="2994">
        <v>5.2458999999999998</v>
      </c>
      <c r="AD842" s="2994">
        <v>5.9531999999999998</v>
      </c>
      <c r="AE842" s="2994">
        <v>6.0101000000000004</v>
      </c>
      <c r="AF842" s="2994">
        <v>5.8098999999999998</v>
      </c>
      <c r="AG842" s="2994">
        <v>6.4020999999999999</v>
      </c>
      <c r="AH842" s="2994">
        <v>6.3678999999999997</v>
      </c>
      <c r="AI842" s="2994">
        <v>6.5377999999999998</v>
      </c>
      <c r="AJ842" s="2994">
        <v>6.0972</v>
      </c>
      <c r="AK842" s="2994">
        <v>6.0327000000000002</v>
      </c>
      <c r="AL842" s="2994">
        <v>5.9638</v>
      </c>
      <c r="AM842" s="2994">
        <v>4.2687999999999997</v>
      </c>
      <c r="AN842" s="2994">
        <v>4.1806000000000001</v>
      </c>
      <c r="AO842" s="2994">
        <v>4.7275999999999998</v>
      </c>
      <c r="AP842" s="2994">
        <v>6.9413</v>
      </c>
      <c r="AQ842" s="2994">
        <v>3.6433</v>
      </c>
      <c r="AR842" s="2994">
        <v>8.5797000000000008</v>
      </c>
      <c r="AS842" s="2994">
        <v>7.851</v>
      </c>
      <c r="AT842" s="2994">
        <v>7.7447999999999997</v>
      </c>
      <c r="AU842" s="2994">
        <v>7.2968999999999999</v>
      </c>
      <c r="AV842" s="2994">
        <v>7.6148999999999996</v>
      </c>
      <c r="AW842" s="2994">
        <v>7.3853</v>
      </c>
      <c r="AX842" s="2994">
        <v>7.9756999999999998</v>
      </c>
      <c r="AY842" s="2994">
        <v>6.6298000000000004</v>
      </c>
      <c r="AZ842" s="2994">
        <v>7.51</v>
      </c>
      <c r="BA842" s="2994">
        <v>7.5289000000000001</v>
      </c>
      <c r="BB842" s="2994">
        <v>9.5283999999999995</v>
      </c>
      <c r="BC842" s="2994">
        <v>8.7395999999999994</v>
      </c>
      <c r="BD842" s="3471">
        <v>8.7003000000000004</v>
      </c>
      <c r="BE842" s="3471">
        <v>8.5843000000000007</v>
      </c>
      <c r="BF842" s="3471">
        <v>0</v>
      </c>
    </row>
    <row r="843" spans="1:58">
      <c r="A843" s="1817" t="str">
        <f t="shared" si="27"/>
        <v>Southern AsiaBlueberries</v>
      </c>
      <c r="B843" s="1818" t="s">
        <v>1326</v>
      </c>
      <c r="C843" s="1818" t="s">
        <v>7294</v>
      </c>
      <c r="D843" s="3463" t="str">
        <f>VLOOKUP(B843,List_Yield!$G$4:$J$14,4,FALSE)</f>
        <v>Asia (Indian Subcontinent)</v>
      </c>
      <c r="E843" s="3463" t="str">
        <f t="shared" si="26"/>
        <v>Asia (Indian Subcontinent)Blueberries</v>
      </c>
      <c r="F843" s="2994">
        <v>0</v>
      </c>
      <c r="G843" s="2994">
        <v>0</v>
      </c>
      <c r="H843" s="2994">
        <v>0</v>
      </c>
      <c r="I843" s="2994">
        <v>0</v>
      </c>
      <c r="J843" s="2994">
        <v>0</v>
      </c>
      <c r="K843" s="2994">
        <v>0</v>
      </c>
      <c r="L843" s="2994">
        <v>0</v>
      </c>
      <c r="M843" s="2994">
        <v>0</v>
      </c>
      <c r="N843" s="2994">
        <v>0</v>
      </c>
      <c r="O843" s="2994">
        <v>0</v>
      </c>
      <c r="P843" s="2994">
        <v>0</v>
      </c>
      <c r="Q843" s="2994">
        <v>0</v>
      </c>
      <c r="R843" s="2994">
        <v>0</v>
      </c>
      <c r="S843" s="2994">
        <v>0</v>
      </c>
      <c r="T843" s="2994">
        <v>0</v>
      </c>
      <c r="U843" s="2994">
        <v>0</v>
      </c>
      <c r="V843" s="2994">
        <v>0</v>
      </c>
      <c r="W843" s="2994">
        <v>0</v>
      </c>
      <c r="X843" s="2994">
        <v>0</v>
      </c>
      <c r="Y843" s="2994">
        <v>0</v>
      </c>
      <c r="Z843" s="2994">
        <v>0</v>
      </c>
      <c r="AA843" s="2994">
        <v>0</v>
      </c>
      <c r="AB843" s="2994">
        <v>0</v>
      </c>
      <c r="AC843" s="2994">
        <v>0</v>
      </c>
      <c r="AD843" s="2994">
        <v>0</v>
      </c>
      <c r="AE843" s="2994">
        <v>0</v>
      </c>
      <c r="AF843" s="2994">
        <v>0</v>
      </c>
      <c r="AG843" s="2994">
        <v>0</v>
      </c>
      <c r="AH843" s="2994">
        <v>0</v>
      </c>
      <c r="AI843" s="2994">
        <v>0</v>
      </c>
      <c r="AJ843" s="2994">
        <v>0</v>
      </c>
      <c r="AK843" s="2994">
        <v>0</v>
      </c>
      <c r="AL843" s="2994">
        <v>0</v>
      </c>
      <c r="AM843" s="2994">
        <v>0</v>
      </c>
      <c r="AN843" s="2994">
        <v>0</v>
      </c>
      <c r="AO843" s="2994">
        <v>0</v>
      </c>
      <c r="AP843" s="2994">
        <v>0</v>
      </c>
      <c r="AQ843" s="2994">
        <v>0</v>
      </c>
      <c r="AR843" s="2994">
        <v>0</v>
      </c>
      <c r="AS843" s="2994">
        <v>0</v>
      </c>
      <c r="AT843" s="2994">
        <v>0</v>
      </c>
      <c r="AU843" s="2994">
        <v>0</v>
      </c>
      <c r="AV843" s="2994">
        <v>0</v>
      </c>
      <c r="AW843" s="2994">
        <v>0</v>
      </c>
      <c r="AX843" s="2994">
        <v>0</v>
      </c>
      <c r="AY843" s="2994">
        <v>0</v>
      </c>
      <c r="AZ843" s="2994">
        <v>0</v>
      </c>
      <c r="BA843" s="2994">
        <v>0</v>
      </c>
      <c r="BB843" s="2994">
        <v>0</v>
      </c>
      <c r="BC843" s="2994">
        <v>0</v>
      </c>
      <c r="BD843" s="3471">
        <v>0</v>
      </c>
      <c r="BE843" s="3471">
        <v>0</v>
      </c>
      <c r="BF843" s="3471">
        <v>0</v>
      </c>
    </row>
    <row r="844" spans="1:58">
      <c r="A844" s="1817" t="str">
        <f t="shared" si="27"/>
        <v>Southern AsiaBrazil nuts, with shell</v>
      </c>
      <c r="B844" s="1818" t="s">
        <v>1326</v>
      </c>
      <c r="C844" s="1818" t="s">
        <v>7295</v>
      </c>
      <c r="D844" s="3463" t="str">
        <f>VLOOKUP(B844,List_Yield!$G$4:$J$14,4,FALSE)</f>
        <v>Asia (Indian Subcontinent)</v>
      </c>
      <c r="E844" s="3463" t="str">
        <f t="shared" si="26"/>
        <v>Asia (Indian Subcontinent)Brazil nuts, with shell</v>
      </c>
      <c r="F844" s="2994">
        <v>0</v>
      </c>
      <c r="G844" s="2994">
        <v>0</v>
      </c>
      <c r="H844" s="2994">
        <v>0</v>
      </c>
      <c r="I844" s="2994">
        <v>0</v>
      </c>
      <c r="J844" s="2994">
        <v>0</v>
      </c>
      <c r="K844" s="2994">
        <v>0</v>
      </c>
      <c r="L844" s="2994">
        <v>0</v>
      </c>
      <c r="M844" s="2994">
        <v>0</v>
      </c>
      <c r="N844" s="2994">
        <v>0</v>
      </c>
      <c r="O844" s="2994">
        <v>0</v>
      </c>
      <c r="P844" s="2994">
        <v>0</v>
      </c>
      <c r="Q844" s="2994">
        <v>0</v>
      </c>
      <c r="R844" s="2994">
        <v>0</v>
      </c>
      <c r="S844" s="2994">
        <v>0</v>
      </c>
      <c r="T844" s="2994">
        <v>0</v>
      </c>
      <c r="U844" s="2994">
        <v>0</v>
      </c>
      <c r="V844" s="2994">
        <v>0</v>
      </c>
      <c r="W844" s="2994">
        <v>0</v>
      </c>
      <c r="X844" s="2994">
        <v>0</v>
      </c>
      <c r="Y844" s="2994">
        <v>0</v>
      </c>
      <c r="Z844" s="2994">
        <v>0</v>
      </c>
      <c r="AA844" s="2994">
        <v>0</v>
      </c>
      <c r="AB844" s="2994">
        <v>0</v>
      </c>
      <c r="AC844" s="2994">
        <v>0</v>
      </c>
      <c r="AD844" s="2994">
        <v>0</v>
      </c>
      <c r="AE844" s="2994">
        <v>0</v>
      </c>
      <c r="AF844" s="2994">
        <v>0</v>
      </c>
      <c r="AG844" s="2994">
        <v>0</v>
      </c>
      <c r="AH844" s="2994">
        <v>0</v>
      </c>
      <c r="AI844" s="2994">
        <v>0</v>
      </c>
      <c r="AJ844" s="2994">
        <v>0</v>
      </c>
      <c r="AK844" s="2994">
        <v>0</v>
      </c>
      <c r="AL844" s="2994">
        <v>0</v>
      </c>
      <c r="AM844" s="2994">
        <v>0</v>
      </c>
      <c r="AN844" s="2994">
        <v>0</v>
      </c>
      <c r="AO844" s="2994">
        <v>0</v>
      </c>
      <c r="AP844" s="2994">
        <v>0</v>
      </c>
      <c r="AQ844" s="2994">
        <v>0</v>
      </c>
      <c r="AR844" s="2994">
        <v>0</v>
      </c>
      <c r="AS844" s="2994">
        <v>0</v>
      </c>
      <c r="AT844" s="2994">
        <v>0</v>
      </c>
      <c r="AU844" s="2994">
        <v>0</v>
      </c>
      <c r="AV844" s="2994">
        <v>0</v>
      </c>
      <c r="AW844" s="2994">
        <v>0</v>
      </c>
      <c r="AX844" s="2994">
        <v>0</v>
      </c>
      <c r="AY844" s="2994">
        <v>0</v>
      </c>
      <c r="AZ844" s="2994">
        <v>0</v>
      </c>
      <c r="BA844" s="2994">
        <v>0</v>
      </c>
      <c r="BB844" s="2994">
        <v>0</v>
      </c>
      <c r="BC844" s="2994">
        <v>0</v>
      </c>
      <c r="BD844" s="3471">
        <v>0</v>
      </c>
      <c r="BE844" s="3471">
        <v>0</v>
      </c>
      <c r="BF844" s="3471">
        <v>0</v>
      </c>
    </row>
    <row r="845" spans="1:58">
      <c r="A845" s="1817" t="str">
        <f t="shared" si="27"/>
        <v>Southern AsiaBroad beans, horse beans, dry</v>
      </c>
      <c r="B845" s="1818" t="s">
        <v>1326</v>
      </c>
      <c r="C845" s="1818" t="s">
        <v>7296</v>
      </c>
      <c r="D845" s="3463" t="str">
        <f>VLOOKUP(B845,List_Yield!$G$4:$J$14,4,FALSE)</f>
        <v>Asia (Indian Subcontinent)</v>
      </c>
      <c r="E845" s="3463" t="str">
        <f t="shared" si="26"/>
        <v>Asia (Indian Subcontinent)Broad beans, horse beans, dry</v>
      </c>
      <c r="F845" s="2994">
        <v>0</v>
      </c>
      <c r="G845" s="2994">
        <v>0</v>
      </c>
      <c r="H845" s="2994">
        <v>0</v>
      </c>
      <c r="I845" s="2994">
        <v>0</v>
      </c>
      <c r="J845" s="2994">
        <v>0</v>
      </c>
      <c r="K845" s="2994">
        <v>0</v>
      </c>
      <c r="L845" s="2994">
        <v>0</v>
      </c>
      <c r="M845" s="2994">
        <v>0</v>
      </c>
      <c r="N845" s="2994">
        <v>0</v>
      </c>
      <c r="O845" s="2994">
        <v>0</v>
      </c>
      <c r="P845" s="2994">
        <v>0</v>
      </c>
      <c r="Q845" s="2994">
        <v>0</v>
      </c>
      <c r="R845" s="2994">
        <v>0</v>
      </c>
      <c r="S845" s="2994">
        <v>0</v>
      </c>
      <c r="T845" s="2994">
        <v>0</v>
      </c>
      <c r="U845" s="2994">
        <v>0</v>
      </c>
      <c r="V845" s="2994">
        <v>0</v>
      </c>
      <c r="W845" s="2994">
        <v>0</v>
      </c>
      <c r="X845" s="2994">
        <v>0</v>
      </c>
      <c r="Y845" s="2994">
        <v>0</v>
      </c>
      <c r="Z845" s="2994">
        <v>0</v>
      </c>
      <c r="AA845" s="2994">
        <v>0</v>
      </c>
      <c r="AB845" s="2994">
        <v>0</v>
      </c>
      <c r="AC845" s="2994">
        <v>0</v>
      </c>
      <c r="AD845" s="2994">
        <v>0</v>
      </c>
      <c r="AE845" s="2994">
        <v>0</v>
      </c>
      <c r="AF845" s="2994">
        <v>0</v>
      </c>
      <c r="AG845" s="2994">
        <v>0</v>
      </c>
      <c r="AH845" s="2994">
        <v>0</v>
      </c>
      <c r="AI845" s="2994">
        <v>0</v>
      </c>
      <c r="AJ845" s="2994">
        <v>0</v>
      </c>
      <c r="AK845" s="2994">
        <v>0</v>
      </c>
      <c r="AL845" s="2994">
        <v>0</v>
      </c>
      <c r="AM845" s="2994">
        <v>0.48559999999999998</v>
      </c>
      <c r="AN845" s="2994">
        <v>0.52959999999999996</v>
      </c>
      <c r="AO845" s="2994">
        <v>0.48199999999999998</v>
      </c>
      <c r="AP845" s="2994">
        <v>0.5403</v>
      </c>
      <c r="AQ845" s="2994">
        <v>0.54569999999999996</v>
      </c>
      <c r="AR845" s="2994">
        <v>0.62180000000000002</v>
      </c>
      <c r="AS845" s="2994">
        <v>0.62290000000000001</v>
      </c>
      <c r="AT845" s="2994">
        <v>0.62050000000000005</v>
      </c>
      <c r="AU845" s="2994">
        <v>0.70009999999999994</v>
      </c>
      <c r="AV845" s="2994">
        <v>0.71109999999999995</v>
      </c>
      <c r="AW845" s="2994">
        <v>0.71419999999999995</v>
      </c>
      <c r="AX845" s="2994">
        <v>0.72489999999999999</v>
      </c>
      <c r="AY845" s="2994">
        <v>0.72809999999999997</v>
      </c>
      <c r="AZ845" s="2994">
        <v>0.73960000000000004</v>
      </c>
      <c r="BA845" s="2994">
        <v>0.6865</v>
      </c>
      <c r="BB845" s="2994">
        <v>0.68640000000000001</v>
      </c>
      <c r="BC845" s="2994">
        <v>0.6915</v>
      </c>
      <c r="BD845" s="3471">
        <v>0.73509999999999998</v>
      </c>
      <c r="BE845" s="3471">
        <v>0.74419999999999997</v>
      </c>
      <c r="BF845" s="3471">
        <v>0.85589999999999999</v>
      </c>
    </row>
    <row r="846" spans="1:58">
      <c r="A846" s="1817" t="str">
        <f t="shared" si="27"/>
        <v>Southern AsiaBuckwheat</v>
      </c>
      <c r="B846" s="1818" t="s">
        <v>1326</v>
      </c>
      <c r="C846" s="1818" t="s">
        <v>7297</v>
      </c>
      <c r="D846" s="3463" t="str">
        <f>VLOOKUP(B846,List_Yield!$G$4:$J$14,4,FALSE)</f>
        <v>Asia (Indian Subcontinent)</v>
      </c>
      <c r="E846" s="3463" t="str">
        <f t="shared" si="26"/>
        <v>Asia (Indian Subcontinent)Buckwheat</v>
      </c>
      <c r="F846" s="2994">
        <v>0.69769999999999999</v>
      </c>
      <c r="G846" s="2994">
        <v>0.70450000000000002</v>
      </c>
      <c r="H846" s="2994">
        <v>0.69569999999999999</v>
      </c>
      <c r="I846" s="2994">
        <v>0.70209999999999995</v>
      </c>
      <c r="J846" s="2994">
        <v>0.70099999999999996</v>
      </c>
      <c r="K846" s="2994">
        <v>0.7</v>
      </c>
      <c r="L846" s="2994">
        <v>0.69899999999999995</v>
      </c>
      <c r="M846" s="2994">
        <v>0.69810000000000005</v>
      </c>
      <c r="N846" s="2994">
        <v>0.71699999999999997</v>
      </c>
      <c r="O846" s="2994">
        <v>0.72219999999999995</v>
      </c>
      <c r="P846" s="2994">
        <v>0.72729999999999995</v>
      </c>
      <c r="Q846" s="2994">
        <v>0.74550000000000005</v>
      </c>
      <c r="R846" s="2994">
        <v>0.75</v>
      </c>
      <c r="S846" s="2994">
        <v>0.76790000000000003</v>
      </c>
      <c r="T846" s="2994">
        <v>0.75209999999999999</v>
      </c>
      <c r="U846" s="2994">
        <v>0.75409999999999999</v>
      </c>
      <c r="V846" s="2994">
        <v>0.78690000000000004</v>
      </c>
      <c r="W846" s="2994">
        <v>0.79369999999999996</v>
      </c>
      <c r="X846" s="2994">
        <v>0.79139999999999999</v>
      </c>
      <c r="Y846" s="2994">
        <v>0.78910000000000002</v>
      </c>
      <c r="Z846" s="2994">
        <v>0.79579999999999995</v>
      </c>
      <c r="AA846" s="2994">
        <v>0.78979999999999995</v>
      </c>
      <c r="AB846" s="2994">
        <v>0.79269999999999996</v>
      </c>
      <c r="AC846" s="2994">
        <v>0.84340000000000004</v>
      </c>
      <c r="AD846" s="2994">
        <v>0.79779999999999995</v>
      </c>
      <c r="AE846" s="2994">
        <v>0.8357</v>
      </c>
      <c r="AF846" s="2994">
        <v>0.84060000000000001</v>
      </c>
      <c r="AG846" s="2994">
        <v>0.83450000000000002</v>
      </c>
      <c r="AH846" s="2994">
        <v>0.84719999999999995</v>
      </c>
      <c r="AI846" s="2994">
        <v>1.0969</v>
      </c>
      <c r="AJ846" s="2994">
        <v>1.1177999999999999</v>
      </c>
      <c r="AK846" s="2994">
        <v>1.1654</v>
      </c>
      <c r="AL846" s="2994">
        <v>0.85709999999999997</v>
      </c>
      <c r="AM846" s="2994">
        <v>0.86199999999999999</v>
      </c>
      <c r="AN846" s="2994">
        <v>0.87609999999999999</v>
      </c>
      <c r="AO846" s="2994">
        <v>0.83330000000000004</v>
      </c>
      <c r="AP846" s="2994">
        <v>0.84819999999999995</v>
      </c>
      <c r="AQ846" s="2994">
        <v>0.87229999999999996</v>
      </c>
      <c r="AR846" s="2994">
        <v>0.85109999999999997</v>
      </c>
      <c r="AS846" s="2994">
        <v>0.85709999999999997</v>
      </c>
      <c r="AT846" s="2994">
        <v>0.85109999999999997</v>
      </c>
      <c r="AU846" s="2994">
        <v>0.76959999999999995</v>
      </c>
      <c r="AV846" s="2994">
        <v>0.58140000000000003</v>
      </c>
      <c r="AW846" s="2994">
        <v>0.98619999999999997</v>
      </c>
      <c r="AX846" s="2994">
        <v>1.0690999999999999</v>
      </c>
      <c r="AY846" s="2994">
        <v>1.0831999999999999</v>
      </c>
      <c r="AZ846" s="2994">
        <v>0.92810000000000004</v>
      </c>
      <c r="BA846" s="2994">
        <v>1.496</v>
      </c>
      <c r="BB846" s="2994">
        <v>1.0093000000000001</v>
      </c>
      <c r="BC846" s="2994">
        <v>1.3007</v>
      </c>
      <c r="BD846" s="3471">
        <v>1.1788000000000001</v>
      </c>
      <c r="BE846" s="3471">
        <v>1.0924</v>
      </c>
      <c r="BF846" s="3471">
        <v>1.0640000000000001</v>
      </c>
    </row>
    <row r="847" spans="1:58">
      <c r="A847" s="1817" t="str">
        <f t="shared" si="27"/>
        <v>Southern AsiaCabbages and other brassicas</v>
      </c>
      <c r="B847" s="1818" t="s">
        <v>1326</v>
      </c>
      <c r="C847" s="1818" t="s">
        <v>7298</v>
      </c>
      <c r="D847" s="3463" t="str">
        <f>VLOOKUP(B847,List_Yield!$G$4:$J$14,4,FALSE)</f>
        <v>Asia (Indian Subcontinent)</v>
      </c>
      <c r="E847" s="3463" t="str">
        <f t="shared" si="26"/>
        <v>Asia (Indian Subcontinent)Cabbages and other brassicas</v>
      </c>
      <c r="F847" s="2994">
        <v>11.7606</v>
      </c>
      <c r="G847" s="2994">
        <v>11.145799999999999</v>
      </c>
      <c r="H847" s="2994">
        <v>11.5329</v>
      </c>
      <c r="I847" s="2994">
        <v>11.216100000000001</v>
      </c>
      <c r="J847" s="2994">
        <v>10.656000000000001</v>
      </c>
      <c r="K847" s="2994">
        <v>11.223800000000001</v>
      </c>
      <c r="L847" s="2994">
        <v>11.702400000000001</v>
      </c>
      <c r="M847" s="2994">
        <v>12.2364</v>
      </c>
      <c r="N847" s="2994">
        <v>12.526300000000001</v>
      </c>
      <c r="O847" s="2994">
        <v>12.9955</v>
      </c>
      <c r="P847" s="2994">
        <v>13.0205</v>
      </c>
      <c r="Q847" s="2994">
        <v>13.191800000000001</v>
      </c>
      <c r="R847" s="2994">
        <v>13.2911</v>
      </c>
      <c r="S847" s="2994">
        <v>13.3383</v>
      </c>
      <c r="T847" s="2994">
        <v>13.3027</v>
      </c>
      <c r="U847" s="2994">
        <v>13.476900000000001</v>
      </c>
      <c r="V847" s="2994">
        <v>13.477499999999999</v>
      </c>
      <c r="W847" s="2994">
        <v>13.549300000000001</v>
      </c>
      <c r="X847" s="2994">
        <v>13.753399999999999</v>
      </c>
      <c r="Y847" s="2994">
        <v>13.892899999999999</v>
      </c>
      <c r="Z847" s="2994">
        <v>13.7943</v>
      </c>
      <c r="AA847" s="2994">
        <v>13.897</v>
      </c>
      <c r="AB847" s="2994">
        <v>13.9206</v>
      </c>
      <c r="AC847" s="2994">
        <v>14.0185</v>
      </c>
      <c r="AD847" s="2994">
        <v>14.038500000000001</v>
      </c>
      <c r="AE847" s="2994">
        <v>14.0418</v>
      </c>
      <c r="AF847" s="2994">
        <v>14.001799999999999</v>
      </c>
      <c r="AG847" s="2994">
        <v>14.2484</v>
      </c>
      <c r="AH847" s="2994">
        <v>13.941000000000001</v>
      </c>
      <c r="AI847" s="2994">
        <v>14.177199999999999</v>
      </c>
      <c r="AJ847" s="2994">
        <v>15.398</v>
      </c>
      <c r="AK847" s="2994">
        <v>19.581700000000001</v>
      </c>
      <c r="AL847" s="2994">
        <v>15.3453</v>
      </c>
      <c r="AM847" s="2994">
        <v>17.372499999999999</v>
      </c>
      <c r="AN847" s="2994">
        <v>18.645700000000001</v>
      </c>
      <c r="AO847" s="2994">
        <v>19.925999999999998</v>
      </c>
      <c r="AP847" s="2994">
        <v>21.1173</v>
      </c>
      <c r="AQ847" s="2994">
        <v>22.250399999999999</v>
      </c>
      <c r="AR847" s="2994">
        <v>22.570699999999999</v>
      </c>
      <c r="AS847" s="2994">
        <v>22.252099999999999</v>
      </c>
      <c r="AT847" s="2994">
        <v>21.741299999999999</v>
      </c>
      <c r="AU847" s="2994">
        <v>21.5611</v>
      </c>
      <c r="AV847" s="2994">
        <v>22.318100000000001</v>
      </c>
      <c r="AW847" s="2994">
        <v>21.407499999999999</v>
      </c>
      <c r="AX847" s="2994">
        <v>20.788699999999999</v>
      </c>
      <c r="AY847" s="2994">
        <v>21.726400000000002</v>
      </c>
      <c r="AZ847" s="2994">
        <v>21.901299999999999</v>
      </c>
      <c r="BA847" s="2994">
        <v>21.799700000000001</v>
      </c>
      <c r="BB847" s="2994">
        <v>21.7135</v>
      </c>
      <c r="BC847" s="2994">
        <v>23.694500000000001</v>
      </c>
      <c r="BD847" s="3471">
        <v>21.510100000000001</v>
      </c>
      <c r="BE847" s="3471">
        <v>22.513400000000001</v>
      </c>
      <c r="BF847" s="3471">
        <v>0</v>
      </c>
    </row>
    <row r="848" spans="1:58">
      <c r="A848" s="1817" t="str">
        <f t="shared" si="27"/>
        <v>Southern AsiaCanary seed</v>
      </c>
      <c r="B848" s="1818" t="s">
        <v>1326</v>
      </c>
      <c r="C848" s="1818" t="s">
        <v>7299</v>
      </c>
      <c r="D848" s="3463" t="str">
        <f>VLOOKUP(B848,List_Yield!$G$4:$J$14,4,FALSE)</f>
        <v>Asia (Indian Subcontinent)</v>
      </c>
      <c r="E848" s="3463" t="str">
        <f t="shared" si="26"/>
        <v>Asia (Indian Subcontinent)Canary seed</v>
      </c>
      <c r="F848" s="2994">
        <v>0</v>
      </c>
      <c r="G848" s="2994">
        <v>0</v>
      </c>
      <c r="H848" s="2994">
        <v>0</v>
      </c>
      <c r="I848" s="2994">
        <v>0</v>
      </c>
      <c r="J848" s="2994">
        <v>0</v>
      </c>
      <c r="K848" s="2994">
        <v>0</v>
      </c>
      <c r="L848" s="2994">
        <v>0</v>
      </c>
      <c r="M848" s="2994">
        <v>0</v>
      </c>
      <c r="N848" s="2994">
        <v>0</v>
      </c>
      <c r="O848" s="2994">
        <v>0</v>
      </c>
      <c r="P848" s="2994">
        <v>0</v>
      </c>
      <c r="Q848" s="2994">
        <v>0</v>
      </c>
      <c r="R848" s="2994">
        <v>0</v>
      </c>
      <c r="S848" s="2994">
        <v>0</v>
      </c>
      <c r="T848" s="2994">
        <v>0</v>
      </c>
      <c r="U848" s="2994">
        <v>0</v>
      </c>
      <c r="V848" s="2994">
        <v>0</v>
      </c>
      <c r="W848" s="2994">
        <v>0</v>
      </c>
      <c r="X848" s="2994">
        <v>0</v>
      </c>
      <c r="Y848" s="2994">
        <v>0</v>
      </c>
      <c r="Z848" s="2994">
        <v>0</v>
      </c>
      <c r="AA848" s="2994">
        <v>0</v>
      </c>
      <c r="AB848" s="2994">
        <v>0</v>
      </c>
      <c r="AC848" s="2994">
        <v>0</v>
      </c>
      <c r="AD848" s="2994">
        <v>0</v>
      </c>
      <c r="AE848" s="2994">
        <v>0</v>
      </c>
      <c r="AF848" s="2994">
        <v>0</v>
      </c>
      <c r="AG848" s="2994">
        <v>0</v>
      </c>
      <c r="AH848" s="2994">
        <v>0</v>
      </c>
      <c r="AI848" s="2994">
        <v>0</v>
      </c>
      <c r="AJ848" s="2994">
        <v>0</v>
      </c>
      <c r="AK848" s="2994">
        <v>0</v>
      </c>
      <c r="AL848" s="2994">
        <v>0</v>
      </c>
      <c r="AM848" s="2994">
        <v>0</v>
      </c>
      <c r="AN848" s="2994">
        <v>0</v>
      </c>
      <c r="AO848" s="2994">
        <v>0</v>
      </c>
      <c r="AP848" s="2994">
        <v>0</v>
      </c>
      <c r="AQ848" s="2994">
        <v>0</v>
      </c>
      <c r="AR848" s="2994">
        <v>0</v>
      </c>
      <c r="AS848" s="2994">
        <v>0</v>
      </c>
      <c r="AT848" s="2994">
        <v>0</v>
      </c>
      <c r="AU848" s="2994">
        <v>0</v>
      </c>
      <c r="AV848" s="2994">
        <v>0</v>
      </c>
      <c r="AW848" s="2994">
        <v>0</v>
      </c>
      <c r="AX848" s="2994">
        <v>0</v>
      </c>
      <c r="AY848" s="2994">
        <v>0</v>
      </c>
      <c r="AZ848" s="2994">
        <v>0</v>
      </c>
      <c r="BA848" s="2994">
        <v>0</v>
      </c>
      <c r="BB848" s="2994">
        <v>0</v>
      </c>
      <c r="BC848" s="2994">
        <v>0</v>
      </c>
      <c r="BD848" s="3471">
        <v>0</v>
      </c>
      <c r="BE848" s="3471">
        <v>0</v>
      </c>
      <c r="BF848" s="3471">
        <v>0</v>
      </c>
    </row>
    <row r="849" spans="1:58">
      <c r="A849" s="1817" t="str">
        <f t="shared" si="27"/>
        <v>Southern AsiaCarobs</v>
      </c>
      <c r="B849" s="1818" t="s">
        <v>1326</v>
      </c>
      <c r="C849" s="1818" t="s">
        <v>7300</v>
      </c>
      <c r="D849" s="3463" t="str">
        <f>VLOOKUP(B849,List_Yield!$G$4:$J$14,4,FALSE)</f>
        <v>Asia (Indian Subcontinent)</v>
      </c>
      <c r="E849" s="3463" t="str">
        <f t="shared" si="26"/>
        <v>Asia (Indian Subcontinent)Carobs</v>
      </c>
      <c r="F849" s="2994">
        <v>0</v>
      </c>
      <c r="G849" s="2994">
        <v>0</v>
      </c>
      <c r="H849" s="2994">
        <v>0</v>
      </c>
      <c r="I849" s="2994">
        <v>0</v>
      </c>
      <c r="J849" s="2994">
        <v>0</v>
      </c>
      <c r="K849" s="2994">
        <v>0</v>
      </c>
      <c r="L849" s="2994">
        <v>0</v>
      </c>
      <c r="M849" s="2994">
        <v>0</v>
      </c>
      <c r="N849" s="2994">
        <v>0</v>
      </c>
      <c r="O849" s="2994">
        <v>0</v>
      </c>
      <c r="P849" s="2994">
        <v>0</v>
      </c>
      <c r="Q849" s="2994">
        <v>0</v>
      </c>
      <c r="R849" s="2994">
        <v>0</v>
      </c>
      <c r="S849" s="2994">
        <v>0</v>
      </c>
      <c r="T849" s="2994">
        <v>0</v>
      </c>
      <c r="U849" s="2994">
        <v>0</v>
      </c>
      <c r="V849" s="2994">
        <v>0</v>
      </c>
      <c r="W849" s="2994">
        <v>0</v>
      </c>
      <c r="X849" s="2994">
        <v>0</v>
      </c>
      <c r="Y849" s="2994">
        <v>0</v>
      </c>
      <c r="Z849" s="2994">
        <v>0</v>
      </c>
      <c r="AA849" s="2994">
        <v>0</v>
      </c>
      <c r="AB849" s="2994">
        <v>0</v>
      </c>
      <c r="AC849" s="2994">
        <v>0</v>
      </c>
      <c r="AD849" s="2994">
        <v>0</v>
      </c>
      <c r="AE849" s="2994">
        <v>0</v>
      </c>
      <c r="AF849" s="2994">
        <v>0</v>
      </c>
      <c r="AG849" s="2994">
        <v>0</v>
      </c>
      <c r="AH849" s="2994">
        <v>0</v>
      </c>
      <c r="AI849" s="2994">
        <v>0</v>
      </c>
      <c r="AJ849" s="2994">
        <v>0</v>
      </c>
      <c r="AK849" s="2994">
        <v>0</v>
      </c>
      <c r="AL849" s="2994">
        <v>0</v>
      </c>
      <c r="AM849" s="2994">
        <v>0</v>
      </c>
      <c r="AN849" s="2994">
        <v>0</v>
      </c>
      <c r="AO849" s="2994">
        <v>0</v>
      </c>
      <c r="AP849" s="2994">
        <v>0</v>
      </c>
      <c r="AQ849" s="2994">
        <v>0</v>
      </c>
      <c r="AR849" s="2994">
        <v>0</v>
      </c>
      <c r="AS849" s="2994">
        <v>0</v>
      </c>
      <c r="AT849" s="2994">
        <v>0</v>
      </c>
      <c r="AU849" s="2994">
        <v>0</v>
      </c>
      <c r="AV849" s="2994">
        <v>0</v>
      </c>
      <c r="AW849" s="2994">
        <v>0</v>
      </c>
      <c r="AX849" s="2994">
        <v>0</v>
      </c>
      <c r="AY849" s="2994">
        <v>0</v>
      </c>
      <c r="AZ849" s="2994">
        <v>0</v>
      </c>
      <c r="BA849" s="2994">
        <v>0</v>
      </c>
      <c r="BB849" s="2994">
        <v>0</v>
      </c>
      <c r="BC849" s="2994">
        <v>0</v>
      </c>
      <c r="BD849" s="3471">
        <v>0</v>
      </c>
      <c r="BE849" s="3471">
        <v>0</v>
      </c>
      <c r="BF849" s="3471">
        <v>0</v>
      </c>
    </row>
    <row r="850" spans="1:58">
      <c r="A850" s="1817" t="str">
        <f t="shared" si="27"/>
        <v>Southern AsiaCarrots and turnips</v>
      </c>
      <c r="B850" s="1818" t="s">
        <v>1326</v>
      </c>
      <c r="C850" s="1818" t="s">
        <v>1340</v>
      </c>
      <c r="D850" s="3463" t="str">
        <f>VLOOKUP(B850,List_Yield!$G$4:$J$14,4,FALSE)</f>
        <v>Asia (Indian Subcontinent)</v>
      </c>
      <c r="E850" s="3463" t="str">
        <f t="shared" si="26"/>
        <v>Asia (Indian Subcontinent)Carrots and turnips</v>
      </c>
      <c r="F850" s="2994">
        <v>7.8845999999999998</v>
      </c>
      <c r="G850" s="2994">
        <v>7.9778000000000002</v>
      </c>
      <c r="H850" s="2994">
        <v>8.4818999999999996</v>
      </c>
      <c r="I850" s="2994">
        <v>8.3076000000000008</v>
      </c>
      <c r="J850" s="2994">
        <v>8.1996000000000002</v>
      </c>
      <c r="K850" s="2994">
        <v>8.5466999999999995</v>
      </c>
      <c r="L850" s="2994">
        <v>8.6167999999999996</v>
      </c>
      <c r="M850" s="2994">
        <v>8.6762999999999995</v>
      </c>
      <c r="N850" s="2994">
        <v>9.0990000000000002</v>
      </c>
      <c r="O850" s="2994">
        <v>9.1462000000000003</v>
      </c>
      <c r="P850" s="2994">
        <v>9.4789999999999992</v>
      </c>
      <c r="Q850" s="2994">
        <v>9.5045000000000002</v>
      </c>
      <c r="R850" s="2994">
        <v>9.4664999999999999</v>
      </c>
      <c r="S850" s="2994">
        <v>9.7538999999999998</v>
      </c>
      <c r="T850" s="2994">
        <v>9.6897000000000002</v>
      </c>
      <c r="U850" s="2994">
        <v>10.671200000000001</v>
      </c>
      <c r="V850" s="2994">
        <v>10.65</v>
      </c>
      <c r="W850" s="2994">
        <v>10.5665</v>
      </c>
      <c r="X850" s="2994">
        <v>11.331799999999999</v>
      </c>
      <c r="Y850" s="2994">
        <v>12.271800000000001</v>
      </c>
      <c r="Z850" s="2994">
        <v>12.2041</v>
      </c>
      <c r="AA850" s="2994">
        <v>12.3629</v>
      </c>
      <c r="AB850" s="2994">
        <v>12.776899999999999</v>
      </c>
      <c r="AC850" s="2994">
        <v>13.560600000000001</v>
      </c>
      <c r="AD850" s="2994">
        <v>13.688599999999999</v>
      </c>
      <c r="AE850" s="2994">
        <v>14.33</v>
      </c>
      <c r="AF850" s="2994">
        <v>14.174799999999999</v>
      </c>
      <c r="AG850" s="2994">
        <v>14.347200000000001</v>
      </c>
      <c r="AH850" s="2994">
        <v>14.577199999999999</v>
      </c>
      <c r="AI850" s="2994">
        <v>15.3049</v>
      </c>
      <c r="AJ850" s="2994">
        <v>15.023099999999999</v>
      </c>
      <c r="AK850" s="2994">
        <v>15.527799999999999</v>
      </c>
      <c r="AL850" s="2994">
        <v>15.413500000000001</v>
      </c>
      <c r="AM850" s="2994">
        <v>15.0877</v>
      </c>
      <c r="AN850" s="2994">
        <v>15.7264</v>
      </c>
      <c r="AO850" s="2994">
        <v>15.9177</v>
      </c>
      <c r="AP850" s="2994">
        <v>15.647399999999999</v>
      </c>
      <c r="AQ850" s="2994">
        <v>14.128399999999999</v>
      </c>
      <c r="AR850" s="2994">
        <v>13.5801</v>
      </c>
      <c r="AS850" s="2994">
        <v>16.835999999999999</v>
      </c>
      <c r="AT850" s="2994">
        <v>16.8032</v>
      </c>
      <c r="AU850" s="2994">
        <v>16.5031</v>
      </c>
      <c r="AV850" s="2994">
        <v>15.940200000000001</v>
      </c>
      <c r="AW850" s="2994">
        <v>13.352399999999999</v>
      </c>
      <c r="AX850" s="2994">
        <v>17.351700000000001</v>
      </c>
      <c r="AY850" s="2994">
        <v>18.501000000000001</v>
      </c>
      <c r="AZ850" s="2994">
        <v>19.016999999999999</v>
      </c>
      <c r="BA850" s="2994">
        <v>18.238700000000001</v>
      </c>
      <c r="BB850" s="2994">
        <v>17.869199999999999</v>
      </c>
      <c r="BC850" s="2994">
        <v>18.198699999999999</v>
      </c>
      <c r="BD850" s="3471">
        <v>18.985600000000002</v>
      </c>
      <c r="BE850" s="3471">
        <v>19.378900000000002</v>
      </c>
      <c r="BF850" s="3471">
        <v>0</v>
      </c>
    </row>
    <row r="851" spans="1:58">
      <c r="A851" s="1817" t="str">
        <f t="shared" si="27"/>
        <v>Southern AsiaCashew nuts, with shell</v>
      </c>
      <c r="B851" s="1818" t="s">
        <v>1326</v>
      </c>
      <c r="C851" s="1818" t="s">
        <v>1341</v>
      </c>
      <c r="D851" s="3463" t="str">
        <f>VLOOKUP(B851,List_Yield!$G$4:$J$14,4,FALSE)</f>
        <v>Asia (Indian Subcontinent)</v>
      </c>
      <c r="E851" s="3463" t="str">
        <f t="shared" si="26"/>
        <v>Asia (Indian Subcontinent)Cashew nuts, with shell</v>
      </c>
      <c r="F851" s="2994">
        <v>0.44619999999999999</v>
      </c>
      <c r="G851" s="2994">
        <v>0.45760000000000001</v>
      </c>
      <c r="H851" s="2994">
        <v>0.433</v>
      </c>
      <c r="I851" s="2994">
        <v>0.45450000000000002</v>
      </c>
      <c r="J851" s="2994">
        <v>0.47299999999999998</v>
      </c>
      <c r="K851" s="2994">
        <v>0.4577</v>
      </c>
      <c r="L851" s="2994">
        <v>0.48080000000000001</v>
      </c>
      <c r="M851" s="2994">
        <v>0.48199999999999998</v>
      </c>
      <c r="N851" s="2994">
        <v>0.46210000000000001</v>
      </c>
      <c r="O851" s="2994">
        <v>0.44840000000000002</v>
      </c>
      <c r="P851" s="2994">
        <v>0.43049999999999999</v>
      </c>
      <c r="Q851" s="2994">
        <v>0.41489999999999999</v>
      </c>
      <c r="R851" s="2994">
        <v>0.41099999999999998</v>
      </c>
      <c r="S851" s="2994">
        <v>0.4002</v>
      </c>
      <c r="T851" s="2994">
        <v>0.41110000000000002</v>
      </c>
      <c r="U851" s="2994">
        <v>0.44440000000000002</v>
      </c>
      <c r="V851" s="2994">
        <v>0.44690000000000002</v>
      </c>
      <c r="W851" s="2994">
        <v>0.44919999999999999</v>
      </c>
      <c r="X851" s="2994">
        <v>0.43049999999999999</v>
      </c>
      <c r="Y851" s="2994">
        <v>0.39829999999999999</v>
      </c>
      <c r="Z851" s="2994">
        <v>0.39500000000000002</v>
      </c>
      <c r="AA851" s="2994">
        <v>0.40279999999999999</v>
      </c>
      <c r="AB851" s="2994">
        <v>0.40110000000000001</v>
      </c>
      <c r="AC851" s="2994">
        <v>0.41189999999999999</v>
      </c>
      <c r="AD851" s="2994">
        <v>0.43</v>
      </c>
      <c r="AE851" s="2994">
        <v>0.44719999999999999</v>
      </c>
      <c r="AF851" s="2994">
        <v>0.4632</v>
      </c>
      <c r="AG851" s="2994">
        <v>0.4869</v>
      </c>
      <c r="AH851" s="2994">
        <v>0.50980000000000003</v>
      </c>
      <c r="AI851" s="2994">
        <v>0.52900000000000003</v>
      </c>
      <c r="AJ851" s="2994">
        <v>0.54430000000000001</v>
      </c>
      <c r="AK851" s="2994">
        <v>0.56189999999999996</v>
      </c>
      <c r="AL851" s="2994">
        <v>0.6109</v>
      </c>
      <c r="AM851" s="2994">
        <v>0.60680000000000001</v>
      </c>
      <c r="AN851" s="2994">
        <v>0.54769999999999996</v>
      </c>
      <c r="AO851" s="2994">
        <v>0.64539999999999997</v>
      </c>
      <c r="AP851" s="2994">
        <v>0.63929999999999998</v>
      </c>
      <c r="AQ851" s="2994">
        <v>0.52759999999999996</v>
      </c>
      <c r="AR851" s="2994">
        <v>0.63970000000000005</v>
      </c>
      <c r="AS851" s="2994">
        <v>0.7399</v>
      </c>
      <c r="AT851" s="2994">
        <v>0.62919999999999998</v>
      </c>
      <c r="AU851" s="2994">
        <v>0.61429999999999996</v>
      </c>
      <c r="AV851" s="2994">
        <v>0.63790000000000002</v>
      </c>
      <c r="AW851" s="2994">
        <v>0.67420000000000002</v>
      </c>
      <c r="AX851" s="2994">
        <v>0.65280000000000005</v>
      </c>
      <c r="AY851" s="2994">
        <v>0.67659999999999998</v>
      </c>
      <c r="AZ851" s="2994">
        <v>0.71589999999999998</v>
      </c>
      <c r="BA851" s="2994">
        <v>0.75480000000000003</v>
      </c>
      <c r="BB851" s="2994">
        <v>0.7671</v>
      </c>
      <c r="BC851" s="2994">
        <v>0.65559999999999996</v>
      </c>
      <c r="BD851" s="3471">
        <v>0.69799999999999995</v>
      </c>
      <c r="BE851" s="3471">
        <v>0.69499999999999995</v>
      </c>
      <c r="BF851" s="3471">
        <v>0</v>
      </c>
    </row>
    <row r="852" spans="1:58">
      <c r="A852" s="1817" t="str">
        <f t="shared" si="27"/>
        <v>Southern AsiaCashewapple</v>
      </c>
      <c r="B852" s="1818" t="s">
        <v>1326</v>
      </c>
      <c r="C852" s="1818" t="s">
        <v>7301</v>
      </c>
      <c r="D852" s="3463" t="str">
        <f>VLOOKUP(B852,List_Yield!$G$4:$J$14,4,FALSE)</f>
        <v>Asia (Indian Subcontinent)</v>
      </c>
      <c r="E852" s="3463" t="str">
        <f t="shared" si="26"/>
        <v>Asia (Indian Subcontinent)Cashewapple</v>
      </c>
      <c r="F852" s="2994">
        <v>0</v>
      </c>
      <c r="G852" s="2994">
        <v>0</v>
      </c>
      <c r="H852" s="2994">
        <v>0</v>
      </c>
      <c r="I852" s="2994">
        <v>0</v>
      </c>
      <c r="J852" s="2994">
        <v>0</v>
      </c>
      <c r="K852" s="2994">
        <v>0</v>
      </c>
      <c r="L852" s="2994">
        <v>0</v>
      </c>
      <c r="M852" s="2994">
        <v>0</v>
      </c>
      <c r="N852" s="2994">
        <v>0</v>
      </c>
      <c r="O852" s="2994">
        <v>0</v>
      </c>
      <c r="P852" s="2994">
        <v>0</v>
      </c>
      <c r="Q852" s="2994">
        <v>0</v>
      </c>
      <c r="R852" s="2994">
        <v>0</v>
      </c>
      <c r="S852" s="2994">
        <v>0</v>
      </c>
      <c r="T852" s="2994">
        <v>0</v>
      </c>
      <c r="U852" s="2994">
        <v>0</v>
      </c>
      <c r="V852" s="2994">
        <v>0</v>
      </c>
      <c r="W852" s="2994">
        <v>0</v>
      </c>
      <c r="X852" s="2994">
        <v>0</v>
      </c>
      <c r="Y852" s="2994">
        <v>0</v>
      </c>
      <c r="Z852" s="2994">
        <v>0</v>
      </c>
      <c r="AA852" s="2994">
        <v>0</v>
      </c>
      <c r="AB852" s="2994">
        <v>0</v>
      </c>
      <c r="AC852" s="2994">
        <v>0</v>
      </c>
      <c r="AD852" s="2994">
        <v>0</v>
      </c>
      <c r="AE852" s="2994">
        <v>0</v>
      </c>
      <c r="AF852" s="2994">
        <v>0</v>
      </c>
      <c r="AG852" s="2994">
        <v>0</v>
      </c>
      <c r="AH852" s="2994">
        <v>0</v>
      </c>
      <c r="AI852" s="2994">
        <v>0</v>
      </c>
      <c r="AJ852" s="2994">
        <v>0</v>
      </c>
      <c r="AK852" s="2994">
        <v>0</v>
      </c>
      <c r="AL852" s="2994">
        <v>0</v>
      </c>
      <c r="AM852" s="2994">
        <v>0</v>
      </c>
      <c r="AN852" s="2994">
        <v>0</v>
      </c>
      <c r="AO852" s="2994">
        <v>0</v>
      </c>
      <c r="AP852" s="2994">
        <v>0</v>
      </c>
      <c r="AQ852" s="2994">
        <v>0</v>
      </c>
      <c r="AR852" s="2994">
        <v>0</v>
      </c>
      <c r="AS852" s="2994">
        <v>0</v>
      </c>
      <c r="AT852" s="2994">
        <v>0</v>
      </c>
      <c r="AU852" s="2994">
        <v>0</v>
      </c>
      <c r="AV852" s="2994">
        <v>0</v>
      </c>
      <c r="AW852" s="2994">
        <v>0</v>
      </c>
      <c r="AX852" s="2994">
        <v>0</v>
      </c>
      <c r="AY852" s="2994">
        <v>0</v>
      </c>
      <c r="AZ852" s="2994">
        <v>0</v>
      </c>
      <c r="BA852" s="2994">
        <v>0</v>
      </c>
      <c r="BB852" s="2994">
        <v>0</v>
      </c>
      <c r="BC852" s="2994">
        <v>0</v>
      </c>
      <c r="BD852" s="3471">
        <v>0</v>
      </c>
      <c r="BE852" s="3471">
        <v>0</v>
      </c>
      <c r="BF852" s="3471">
        <v>0</v>
      </c>
    </row>
    <row r="853" spans="1:58">
      <c r="A853" s="1817" t="str">
        <f t="shared" si="27"/>
        <v>Southern AsiaCassava</v>
      </c>
      <c r="B853" s="1818" t="s">
        <v>1326</v>
      </c>
      <c r="C853" s="1818" t="s">
        <v>1342</v>
      </c>
      <c r="D853" s="3463" t="str">
        <f>VLOOKUP(B853,List_Yield!$G$4:$J$14,4,FALSE)</f>
        <v>Asia (Indian Subcontinent)</v>
      </c>
      <c r="E853" s="3463" t="str">
        <f t="shared" si="26"/>
        <v>Asia (Indian Subcontinent)Cassava</v>
      </c>
      <c r="F853" s="2994">
        <v>7.2455999999999996</v>
      </c>
      <c r="G853" s="2994">
        <v>7.2614000000000001</v>
      </c>
      <c r="H853" s="2994">
        <v>6.9882</v>
      </c>
      <c r="I853" s="2994">
        <v>11.045199999999999</v>
      </c>
      <c r="J853" s="2994">
        <v>11.4777</v>
      </c>
      <c r="K853" s="2994">
        <v>11.7354</v>
      </c>
      <c r="L853" s="2994">
        <v>11.625999999999999</v>
      </c>
      <c r="M853" s="2994">
        <v>12.0556</v>
      </c>
      <c r="N853" s="2994">
        <v>11.776199999999999</v>
      </c>
      <c r="O853" s="2994">
        <v>13.5107</v>
      </c>
      <c r="P853" s="2994">
        <v>13.3276</v>
      </c>
      <c r="Q853" s="2994">
        <v>15.3558</v>
      </c>
      <c r="R853" s="2994">
        <v>14.603199999999999</v>
      </c>
      <c r="S853" s="2994">
        <v>12.9459</v>
      </c>
      <c r="T853" s="2994">
        <v>12.865</v>
      </c>
      <c r="U853" s="2994">
        <v>13.5974</v>
      </c>
      <c r="V853" s="2994">
        <v>14.3941</v>
      </c>
      <c r="W853" s="2994">
        <v>14.5022</v>
      </c>
      <c r="X853" s="2994">
        <v>15.863</v>
      </c>
      <c r="Y853" s="2994">
        <v>15.746600000000001</v>
      </c>
      <c r="Z853" s="2994">
        <v>16.964200000000002</v>
      </c>
      <c r="AA853" s="2994">
        <v>15.338900000000001</v>
      </c>
      <c r="AB853" s="2994">
        <v>16.984400000000001</v>
      </c>
      <c r="AC853" s="2994">
        <v>17.4618</v>
      </c>
      <c r="AD853" s="2994">
        <v>17.425699999999999</v>
      </c>
      <c r="AE853" s="2994">
        <v>16.524100000000001</v>
      </c>
      <c r="AF853" s="2994">
        <v>16.793900000000001</v>
      </c>
      <c r="AG853" s="2994">
        <v>18.556799999999999</v>
      </c>
      <c r="AH853" s="2994">
        <v>17.8035</v>
      </c>
      <c r="AI853" s="2994">
        <v>18.7532</v>
      </c>
      <c r="AJ853" s="2994">
        <v>20.140999999999998</v>
      </c>
      <c r="AK853" s="2994">
        <v>21.5197</v>
      </c>
      <c r="AL853" s="2994">
        <v>21.299199999999999</v>
      </c>
      <c r="AM853" s="2994">
        <v>22.659400000000002</v>
      </c>
      <c r="AN853" s="2994">
        <v>23.304500000000001</v>
      </c>
      <c r="AO853" s="2994">
        <v>22.050699999999999</v>
      </c>
      <c r="AP853" s="2994">
        <v>20.748699999999999</v>
      </c>
      <c r="AQ853" s="2994">
        <v>23.572600000000001</v>
      </c>
      <c r="AR853" s="2994">
        <v>22.2898</v>
      </c>
      <c r="AS853" s="2994">
        <v>24.750599999999999</v>
      </c>
      <c r="AT853" s="2994">
        <v>24.9344</v>
      </c>
      <c r="AU853" s="2994">
        <v>25.408999999999999</v>
      </c>
      <c r="AV853" s="2994">
        <v>24.240100000000002</v>
      </c>
      <c r="AW853" s="2994">
        <v>25.372699999999998</v>
      </c>
      <c r="AX853" s="2994">
        <v>28.660599999999999</v>
      </c>
      <c r="AY853" s="2994">
        <v>30.133500000000002</v>
      </c>
      <c r="AZ853" s="2994">
        <v>30.396899999999999</v>
      </c>
      <c r="BA853" s="2994">
        <v>31.6279</v>
      </c>
      <c r="BB853" s="2994">
        <v>32.561</v>
      </c>
      <c r="BC853" s="2994">
        <v>32.672199999999997</v>
      </c>
      <c r="BD853" s="3471">
        <v>34.0745</v>
      </c>
      <c r="BE853" s="3471">
        <v>36.0672</v>
      </c>
      <c r="BF853" s="3471">
        <v>32.595500000000001</v>
      </c>
    </row>
    <row r="854" spans="1:58">
      <c r="A854" s="1817" t="str">
        <f t="shared" si="27"/>
        <v>Southern AsiaCassava leaves</v>
      </c>
      <c r="B854" s="1818" t="s">
        <v>1326</v>
      </c>
      <c r="C854" s="1818" t="s">
        <v>7302</v>
      </c>
      <c r="D854" s="3463" t="str">
        <f>VLOOKUP(B854,List_Yield!$G$4:$J$14,4,FALSE)</f>
        <v>Asia (Indian Subcontinent)</v>
      </c>
      <c r="E854" s="3463" t="str">
        <f t="shared" si="26"/>
        <v>Asia (Indian Subcontinent)Cassava leaves</v>
      </c>
      <c r="F854" s="2994">
        <v>0</v>
      </c>
      <c r="G854" s="2994">
        <v>0</v>
      </c>
      <c r="H854" s="2994">
        <v>0</v>
      </c>
      <c r="I854" s="2994">
        <v>0</v>
      </c>
      <c r="J854" s="2994">
        <v>0</v>
      </c>
      <c r="K854" s="2994">
        <v>0</v>
      </c>
      <c r="L854" s="2994">
        <v>0</v>
      </c>
      <c r="M854" s="2994">
        <v>0</v>
      </c>
      <c r="N854" s="2994">
        <v>0</v>
      </c>
      <c r="O854" s="2994">
        <v>0</v>
      </c>
      <c r="P854" s="2994">
        <v>0</v>
      </c>
      <c r="Q854" s="2994">
        <v>0</v>
      </c>
      <c r="R854" s="2994">
        <v>0</v>
      </c>
      <c r="S854" s="2994">
        <v>0</v>
      </c>
      <c r="T854" s="2994">
        <v>0</v>
      </c>
      <c r="U854" s="2994">
        <v>0</v>
      </c>
      <c r="V854" s="2994">
        <v>0</v>
      </c>
      <c r="W854" s="2994">
        <v>0</v>
      </c>
      <c r="X854" s="2994">
        <v>0</v>
      </c>
      <c r="Y854" s="2994">
        <v>0</v>
      </c>
      <c r="Z854" s="2994">
        <v>0</v>
      </c>
      <c r="AA854" s="2994">
        <v>0</v>
      </c>
      <c r="AB854" s="2994">
        <v>0</v>
      </c>
      <c r="AC854" s="2994">
        <v>0</v>
      </c>
      <c r="AD854" s="2994">
        <v>0</v>
      </c>
      <c r="AE854" s="2994">
        <v>0</v>
      </c>
      <c r="AF854" s="2994">
        <v>0</v>
      </c>
      <c r="AG854" s="2994">
        <v>0</v>
      </c>
      <c r="AH854" s="2994">
        <v>0</v>
      </c>
      <c r="AI854" s="2994">
        <v>0</v>
      </c>
      <c r="AJ854" s="2994">
        <v>0</v>
      </c>
      <c r="AK854" s="2994">
        <v>0</v>
      </c>
      <c r="AL854" s="2994">
        <v>0</v>
      </c>
      <c r="AM854" s="2994">
        <v>0</v>
      </c>
      <c r="AN854" s="2994">
        <v>0</v>
      </c>
      <c r="AO854" s="2994">
        <v>0</v>
      </c>
      <c r="AP854" s="2994">
        <v>0</v>
      </c>
      <c r="AQ854" s="2994">
        <v>0</v>
      </c>
      <c r="AR854" s="2994">
        <v>0</v>
      </c>
      <c r="AS854" s="2994">
        <v>0</v>
      </c>
      <c r="AT854" s="2994">
        <v>0</v>
      </c>
      <c r="AU854" s="2994">
        <v>0</v>
      </c>
      <c r="AV854" s="2994">
        <v>0</v>
      </c>
      <c r="AW854" s="2994">
        <v>0</v>
      </c>
      <c r="AX854" s="2994">
        <v>0</v>
      </c>
      <c r="AY854" s="2994">
        <v>0</v>
      </c>
      <c r="AZ854" s="2994">
        <v>0</v>
      </c>
      <c r="BA854" s="2994">
        <v>0</v>
      </c>
      <c r="BB854" s="2994">
        <v>0</v>
      </c>
      <c r="BC854" s="2994">
        <v>0</v>
      </c>
      <c r="BD854" s="3471">
        <v>0</v>
      </c>
      <c r="BE854" s="3471">
        <v>0</v>
      </c>
      <c r="BF854" s="3471">
        <v>0</v>
      </c>
    </row>
    <row r="855" spans="1:58">
      <c r="A855" s="1817" t="str">
        <f t="shared" si="27"/>
        <v>Southern AsiaCastor oil seed</v>
      </c>
      <c r="B855" s="1818" t="s">
        <v>1326</v>
      </c>
      <c r="C855" s="1818" t="s">
        <v>7303</v>
      </c>
      <c r="D855" s="3463" t="str">
        <f>VLOOKUP(B855,List_Yield!$G$4:$J$14,4,FALSE)</f>
        <v>Asia (Indian Subcontinent)</v>
      </c>
      <c r="E855" s="3463" t="str">
        <f t="shared" si="26"/>
        <v>Asia (Indian Subcontinent)Castor oil seed</v>
      </c>
      <c r="F855" s="2994">
        <v>0.24279999999999999</v>
      </c>
      <c r="G855" s="2994">
        <v>0.2346</v>
      </c>
      <c r="H855" s="2994">
        <v>0.23419999999999999</v>
      </c>
      <c r="I855" s="2994">
        <v>0.26850000000000002</v>
      </c>
      <c r="J855" s="2994">
        <v>0.22839999999999999</v>
      </c>
      <c r="K855" s="2994">
        <v>0.30559999999999998</v>
      </c>
      <c r="L855" s="2994">
        <v>0.30270000000000002</v>
      </c>
      <c r="M855" s="2994">
        <v>0.3206</v>
      </c>
      <c r="N855" s="2994">
        <v>0.33139999999999997</v>
      </c>
      <c r="O855" s="2994">
        <v>0.33479999999999999</v>
      </c>
      <c r="P855" s="2994">
        <v>0.3614</v>
      </c>
      <c r="Q855" s="2994">
        <v>0.36159999999999998</v>
      </c>
      <c r="R855" s="2994">
        <v>0.43049999999999999</v>
      </c>
      <c r="S855" s="2994">
        <v>0.36990000000000001</v>
      </c>
      <c r="T855" s="2994">
        <v>0.39510000000000001</v>
      </c>
      <c r="U855" s="2994">
        <v>0.375</v>
      </c>
      <c r="V855" s="2994">
        <v>0.57889999999999997</v>
      </c>
      <c r="W855" s="2994">
        <v>0.53759999999999997</v>
      </c>
      <c r="X855" s="2994">
        <v>0.52929999999999999</v>
      </c>
      <c r="Y855" s="2994">
        <v>0.42799999999999999</v>
      </c>
      <c r="Z855" s="2994">
        <v>0.56420000000000003</v>
      </c>
      <c r="AA855" s="2994">
        <v>0.60440000000000005</v>
      </c>
      <c r="AB855" s="2994">
        <v>0.65580000000000005</v>
      </c>
      <c r="AC855" s="2994">
        <v>0.70469999999999999</v>
      </c>
      <c r="AD855" s="2994">
        <v>0.49819999999999998</v>
      </c>
      <c r="AE855" s="2994">
        <v>0.40689999999999998</v>
      </c>
      <c r="AF855" s="2994">
        <v>0.40749999999999997</v>
      </c>
      <c r="AG855" s="2994">
        <v>0.65769999999999995</v>
      </c>
      <c r="AH855" s="2994">
        <v>0.73460000000000003</v>
      </c>
      <c r="AI855" s="2994">
        <v>0.87990000000000002</v>
      </c>
      <c r="AJ855" s="2994">
        <v>0.81</v>
      </c>
      <c r="AK855" s="2994">
        <v>0.94179999999999997</v>
      </c>
      <c r="AL855" s="2994">
        <v>0.92600000000000005</v>
      </c>
      <c r="AM855" s="2994">
        <v>1.0803</v>
      </c>
      <c r="AN855" s="2994">
        <v>0.98519999999999996</v>
      </c>
      <c r="AO855" s="2994">
        <v>1.2148000000000001</v>
      </c>
      <c r="AP855" s="2994">
        <v>1.2864</v>
      </c>
      <c r="AQ855" s="2994">
        <v>1.2255</v>
      </c>
      <c r="AR855" s="2994">
        <v>0.97689999999999999</v>
      </c>
      <c r="AS855" s="2994">
        <v>0.81699999999999995</v>
      </c>
      <c r="AT855" s="2994">
        <v>0.90949999999999998</v>
      </c>
      <c r="AU855" s="2994">
        <v>0.73360000000000003</v>
      </c>
      <c r="AV855" s="2994">
        <v>1.1081000000000001</v>
      </c>
      <c r="AW855" s="2994">
        <v>1.0656000000000001</v>
      </c>
      <c r="AX855" s="2994">
        <v>1.1457999999999999</v>
      </c>
      <c r="AY855" s="2994">
        <v>1.1872</v>
      </c>
      <c r="AZ855" s="2994">
        <v>1.3344</v>
      </c>
      <c r="BA855" s="2994">
        <v>1.3435999999999999</v>
      </c>
      <c r="BB855" s="2994">
        <v>1.3713</v>
      </c>
      <c r="BC855" s="2994">
        <v>1.5237000000000001</v>
      </c>
      <c r="BD855" s="3471">
        <v>1.5588</v>
      </c>
      <c r="BE855" s="3471">
        <v>1.7072000000000001</v>
      </c>
      <c r="BF855" s="3471">
        <v>1.5011000000000001</v>
      </c>
    </row>
    <row r="856" spans="1:58">
      <c r="A856" s="1817" t="str">
        <f t="shared" si="27"/>
        <v>Southern AsiaCauliflowers and broccoli</v>
      </c>
      <c r="B856" s="1818" t="s">
        <v>1326</v>
      </c>
      <c r="C856" s="1818" t="s">
        <v>1343</v>
      </c>
      <c r="D856" s="3463" t="str">
        <f>VLOOKUP(B856,List_Yield!$G$4:$J$14,4,FALSE)</f>
        <v>Asia (Indian Subcontinent)</v>
      </c>
      <c r="E856" s="3463" t="str">
        <f t="shared" si="26"/>
        <v>Asia (Indian Subcontinent)Cauliflowers and broccoli</v>
      </c>
      <c r="F856" s="2994">
        <v>9.4867000000000008</v>
      </c>
      <c r="G856" s="2994">
        <v>9.4664000000000001</v>
      </c>
      <c r="H856" s="2994">
        <v>9.6149000000000004</v>
      </c>
      <c r="I856" s="2994">
        <v>9.5245999999999995</v>
      </c>
      <c r="J856" s="2994">
        <v>9.9440000000000008</v>
      </c>
      <c r="K856" s="2994">
        <v>9.6654</v>
      </c>
      <c r="L856" s="2994">
        <v>10.447900000000001</v>
      </c>
      <c r="M856" s="2994">
        <v>10.4564</v>
      </c>
      <c r="N856" s="2994">
        <v>10.993600000000001</v>
      </c>
      <c r="O856" s="2994">
        <v>10.368600000000001</v>
      </c>
      <c r="P856" s="2994">
        <v>10.886799999999999</v>
      </c>
      <c r="Q856" s="2994">
        <v>10.813499999999999</v>
      </c>
      <c r="R856" s="2994">
        <v>10.7988</v>
      </c>
      <c r="S856" s="2994">
        <v>11.5975</v>
      </c>
      <c r="T856" s="2994">
        <v>11.591200000000001</v>
      </c>
      <c r="U856" s="2994">
        <v>11.453900000000001</v>
      </c>
      <c r="V856" s="2994">
        <v>11.3386</v>
      </c>
      <c r="W856" s="2994">
        <v>11.2509</v>
      </c>
      <c r="X856" s="2994">
        <v>11.812099999999999</v>
      </c>
      <c r="Y856" s="2994">
        <v>11.8178</v>
      </c>
      <c r="Z856" s="2994">
        <v>11.7224</v>
      </c>
      <c r="AA856" s="2994">
        <v>12.132300000000001</v>
      </c>
      <c r="AB856" s="2994">
        <v>12.025499999999999</v>
      </c>
      <c r="AC856" s="2994">
        <v>12.5573</v>
      </c>
      <c r="AD856" s="2994">
        <v>12.876099999999999</v>
      </c>
      <c r="AE856" s="2994">
        <v>13.421900000000001</v>
      </c>
      <c r="AF856" s="2994">
        <v>13.6854</v>
      </c>
      <c r="AG856" s="2994">
        <v>13.5411</v>
      </c>
      <c r="AH856" s="2994">
        <v>13.789899999999999</v>
      </c>
      <c r="AI856" s="2994">
        <v>14.117599999999999</v>
      </c>
      <c r="AJ856" s="2994">
        <v>14.599500000000001</v>
      </c>
      <c r="AK856" s="2994">
        <v>18.505800000000001</v>
      </c>
      <c r="AL856" s="2994">
        <v>14.8805</v>
      </c>
      <c r="AM856" s="2994">
        <v>16.1873</v>
      </c>
      <c r="AN856" s="2994">
        <v>16.777100000000001</v>
      </c>
      <c r="AO856" s="2994">
        <v>15.904199999999999</v>
      </c>
      <c r="AP856" s="2994">
        <v>16.974699999999999</v>
      </c>
      <c r="AQ856" s="2994">
        <v>17.538799999999998</v>
      </c>
      <c r="AR856" s="2994">
        <v>18.348500000000001</v>
      </c>
      <c r="AS856" s="2994">
        <v>18.458100000000002</v>
      </c>
      <c r="AT856" s="2994">
        <v>17.6556</v>
      </c>
      <c r="AU856" s="2994">
        <v>17.7559</v>
      </c>
      <c r="AV856" s="2994">
        <v>16.852599999999999</v>
      </c>
      <c r="AW856" s="2994">
        <v>18.0213</v>
      </c>
      <c r="AX856" s="2994">
        <v>18.401700000000002</v>
      </c>
      <c r="AY856" s="2994">
        <v>18.0642</v>
      </c>
      <c r="AZ856" s="2994">
        <v>17.993099999999998</v>
      </c>
      <c r="BA856" s="2994">
        <v>18.129100000000001</v>
      </c>
      <c r="BB856" s="2994">
        <v>18.3629</v>
      </c>
      <c r="BC856" s="2994">
        <v>18.447299999999998</v>
      </c>
      <c r="BD856" s="3471">
        <v>17.9712</v>
      </c>
      <c r="BE856" s="3471">
        <v>18.0946</v>
      </c>
      <c r="BF856" s="3471">
        <v>0</v>
      </c>
    </row>
    <row r="857" spans="1:58">
      <c r="A857" s="1817" t="str">
        <f t="shared" si="27"/>
        <v>Southern AsiaCereals, nes</v>
      </c>
      <c r="B857" s="1818" t="s">
        <v>1326</v>
      </c>
      <c r="C857" s="1818" t="s">
        <v>1344</v>
      </c>
      <c r="D857" s="3463" t="str">
        <f>VLOOKUP(B857,List_Yield!$G$4:$J$14,4,FALSE)</f>
        <v>Asia (Indian Subcontinent)</v>
      </c>
      <c r="E857" s="3463" t="str">
        <f t="shared" si="26"/>
        <v>Asia (Indian Subcontinent)Cereals, nes</v>
      </c>
      <c r="F857" s="2994">
        <v>0</v>
      </c>
      <c r="G857" s="2994">
        <v>0</v>
      </c>
      <c r="H857" s="2994">
        <v>0</v>
      </c>
      <c r="I857" s="2994">
        <v>0</v>
      </c>
      <c r="J857" s="2994">
        <v>0</v>
      </c>
      <c r="K857" s="2994">
        <v>0</v>
      </c>
      <c r="L857" s="2994">
        <v>0</v>
      </c>
      <c r="M857" s="2994">
        <v>0</v>
      </c>
      <c r="N857" s="2994">
        <v>0</v>
      </c>
      <c r="O857" s="2994">
        <v>0</v>
      </c>
      <c r="P857" s="2994">
        <v>0</v>
      </c>
      <c r="Q857" s="2994">
        <v>0</v>
      </c>
      <c r="R857" s="2994">
        <v>0</v>
      </c>
      <c r="S857" s="2994">
        <v>0</v>
      </c>
      <c r="T857" s="2994">
        <v>0</v>
      </c>
      <c r="U857" s="2994">
        <v>0</v>
      </c>
      <c r="V857" s="2994">
        <v>0</v>
      </c>
      <c r="W857" s="2994">
        <v>0</v>
      </c>
      <c r="X857" s="2994">
        <v>0</v>
      </c>
      <c r="Y857" s="2994">
        <v>0</v>
      </c>
      <c r="Z857" s="2994">
        <v>0</v>
      </c>
      <c r="AA857" s="2994">
        <v>0</v>
      </c>
      <c r="AB857" s="2994">
        <v>0</v>
      </c>
      <c r="AC857" s="2994">
        <v>0</v>
      </c>
      <c r="AD857" s="2994">
        <v>0</v>
      </c>
      <c r="AE857" s="2994">
        <v>0</v>
      </c>
      <c r="AF857" s="2994">
        <v>0</v>
      </c>
      <c r="AG857" s="2994">
        <v>0.72989999999999999</v>
      </c>
      <c r="AH857" s="2994">
        <v>0.72989999999999999</v>
      </c>
      <c r="AI857" s="2994">
        <v>0.72989999999999999</v>
      </c>
      <c r="AJ857" s="2994">
        <v>0.72989999999999999</v>
      </c>
      <c r="AK857" s="2994">
        <v>0.72989999999999999</v>
      </c>
      <c r="AL857" s="2994">
        <v>0.72989999999999999</v>
      </c>
      <c r="AM857" s="2994">
        <v>0.72989999999999999</v>
      </c>
      <c r="AN857" s="2994">
        <v>0.72989999999999999</v>
      </c>
      <c r="AO857" s="2994">
        <v>0.72989999999999999</v>
      </c>
      <c r="AP857" s="2994">
        <v>0.72989999999999999</v>
      </c>
      <c r="AQ857" s="2994">
        <v>0.72989999999999999</v>
      </c>
      <c r="AR857" s="2994">
        <v>0.72989999999999999</v>
      </c>
      <c r="AS857" s="2994">
        <v>0.72989999999999999</v>
      </c>
      <c r="AT857" s="2994">
        <v>0.72989999999999999</v>
      </c>
      <c r="AU857" s="2994">
        <v>0.90910000000000002</v>
      </c>
      <c r="AV857" s="2994">
        <v>0.90910000000000002</v>
      </c>
      <c r="AW857" s="2994">
        <v>0.86980000000000002</v>
      </c>
      <c r="AX857" s="2994">
        <v>0.90910000000000002</v>
      </c>
      <c r="AY857" s="2994">
        <v>0.90910000000000002</v>
      </c>
      <c r="AZ857" s="2994">
        <v>0.90910000000000002</v>
      </c>
      <c r="BA857" s="2994">
        <v>0.90910000000000002</v>
      </c>
      <c r="BB857" s="2994">
        <v>0.90910000000000002</v>
      </c>
      <c r="BC857" s="2994">
        <v>0.90910000000000002</v>
      </c>
      <c r="BD857" s="3471">
        <v>0.90910000000000002</v>
      </c>
      <c r="BE857" s="3471">
        <v>0.91669999999999996</v>
      </c>
      <c r="BF857" s="3471">
        <v>0.96</v>
      </c>
    </row>
    <row r="858" spans="1:58">
      <c r="A858" s="1817" t="str">
        <f t="shared" si="27"/>
        <v>Southern AsiaCherries</v>
      </c>
      <c r="B858" s="1818" t="s">
        <v>1326</v>
      </c>
      <c r="C858" s="1818" t="s">
        <v>7304</v>
      </c>
      <c r="D858" s="3463" t="str">
        <f>VLOOKUP(B858,List_Yield!$G$4:$J$14,4,FALSE)</f>
        <v>Asia (Indian Subcontinent)</v>
      </c>
      <c r="E858" s="3463" t="str">
        <f t="shared" si="26"/>
        <v>Asia (Indian Subcontinent)Cherries</v>
      </c>
      <c r="F858" s="2994">
        <v>4.5833000000000004</v>
      </c>
      <c r="G858" s="2994">
        <v>4.6711999999999998</v>
      </c>
      <c r="H858" s="2994">
        <v>4.7248000000000001</v>
      </c>
      <c r="I858" s="2994">
        <v>4.7763</v>
      </c>
      <c r="J858" s="2994">
        <v>4.9535999999999998</v>
      </c>
      <c r="K858" s="2994">
        <v>5.0658000000000003</v>
      </c>
      <c r="L858" s="2994">
        <v>5.1429</v>
      </c>
      <c r="M858" s="2994">
        <v>5.1847000000000003</v>
      </c>
      <c r="N858" s="2994">
        <v>5.2249999999999996</v>
      </c>
      <c r="O858" s="2994">
        <v>5.2962999999999996</v>
      </c>
      <c r="P858" s="2994">
        <v>5.3011999999999997</v>
      </c>
      <c r="Q858" s="2994">
        <v>5.3571</v>
      </c>
      <c r="R858" s="2994">
        <v>5.4118000000000004</v>
      </c>
      <c r="S858" s="2994">
        <v>5.4023000000000003</v>
      </c>
      <c r="T858" s="2994">
        <v>5.5682</v>
      </c>
      <c r="U858" s="2994">
        <v>5.7302999999999997</v>
      </c>
      <c r="V858" s="2994">
        <v>5.8888999999999996</v>
      </c>
      <c r="W858" s="2994">
        <v>6.1798000000000002</v>
      </c>
      <c r="X858" s="2994">
        <v>6.0465</v>
      </c>
      <c r="Y858" s="2994">
        <v>6.2045000000000003</v>
      </c>
      <c r="Z858" s="2994">
        <v>6.6147999999999998</v>
      </c>
      <c r="AA858" s="2994">
        <v>6.7609000000000004</v>
      </c>
      <c r="AB858" s="2994">
        <v>6.7225999999999999</v>
      </c>
      <c r="AC858" s="2994">
        <v>6.9333</v>
      </c>
      <c r="AD858" s="2994">
        <v>7.2584999999999997</v>
      </c>
      <c r="AE858" s="2994">
        <v>7.1661999999999999</v>
      </c>
      <c r="AF858" s="2994">
        <v>7.4546999999999999</v>
      </c>
      <c r="AG858" s="2994">
        <v>7.5888</v>
      </c>
      <c r="AH858" s="2994">
        <v>8.2748000000000008</v>
      </c>
      <c r="AI858" s="2994">
        <v>8.343</v>
      </c>
      <c r="AJ858" s="2994">
        <v>7.9283000000000001</v>
      </c>
      <c r="AK858" s="2994">
        <v>7.2853000000000003</v>
      </c>
      <c r="AL858" s="2994">
        <v>8.1141000000000005</v>
      </c>
      <c r="AM858" s="2994">
        <v>7.9688999999999997</v>
      </c>
      <c r="AN858" s="2994">
        <v>8.5073000000000008</v>
      </c>
      <c r="AO858" s="2994">
        <v>7.9367999999999999</v>
      </c>
      <c r="AP858" s="2994">
        <v>9.0082000000000004</v>
      </c>
      <c r="AQ858" s="2994">
        <v>8.8409999999999993</v>
      </c>
      <c r="AR858" s="2994">
        <v>8.7249999999999996</v>
      </c>
      <c r="AS858" s="2994">
        <v>8.0000999999999998</v>
      </c>
      <c r="AT858" s="2994">
        <v>8.0732999999999997</v>
      </c>
      <c r="AU858" s="2994">
        <v>8.0540000000000003</v>
      </c>
      <c r="AV858" s="2994">
        <v>7.7657999999999996</v>
      </c>
      <c r="AW858" s="2994">
        <v>5.3022</v>
      </c>
      <c r="AX858" s="2994">
        <v>6.3783000000000003</v>
      </c>
      <c r="AY858" s="2994">
        <v>6.3609999999999998</v>
      </c>
      <c r="AZ858" s="2994">
        <v>6.2945000000000002</v>
      </c>
      <c r="BA858" s="2994">
        <v>6.6208999999999998</v>
      </c>
      <c r="BB858" s="2994">
        <v>7.3601999999999999</v>
      </c>
      <c r="BC858" s="2994">
        <v>7.9835000000000003</v>
      </c>
      <c r="BD858" s="3471">
        <v>5.056</v>
      </c>
      <c r="BE858" s="3471">
        <v>6.4714999999999998</v>
      </c>
      <c r="BF858" s="3471">
        <v>0</v>
      </c>
    </row>
    <row r="859" spans="1:58">
      <c r="A859" s="1817" t="str">
        <f t="shared" si="27"/>
        <v>Southern AsiaCherries, sour</v>
      </c>
      <c r="B859" s="1818" t="s">
        <v>1326</v>
      </c>
      <c r="C859" s="1818" t="s">
        <v>7305</v>
      </c>
      <c r="D859" s="3463" t="str">
        <f>VLOOKUP(B859,List_Yield!$G$4:$J$14,4,FALSE)</f>
        <v>Asia (Indian Subcontinent)</v>
      </c>
      <c r="E859" s="3463" t="str">
        <f t="shared" si="26"/>
        <v>Asia (Indian Subcontinent)Cherries, sour</v>
      </c>
      <c r="F859" s="2994">
        <v>5</v>
      </c>
      <c r="G859" s="2994">
        <v>5</v>
      </c>
      <c r="H859" s="2994">
        <v>5</v>
      </c>
      <c r="I859" s="2994">
        <v>5</v>
      </c>
      <c r="J859" s="2994">
        <v>5</v>
      </c>
      <c r="K859" s="2994">
        <v>5.25</v>
      </c>
      <c r="L859" s="2994">
        <v>5</v>
      </c>
      <c r="M859" s="2994">
        <v>5</v>
      </c>
      <c r="N859" s="2994">
        <v>4.9474</v>
      </c>
      <c r="O859" s="2994">
        <v>5.2632000000000003</v>
      </c>
      <c r="P859" s="2994">
        <v>5.5</v>
      </c>
      <c r="Q859" s="2994">
        <v>6</v>
      </c>
      <c r="R859" s="2994">
        <v>5.7272999999999996</v>
      </c>
      <c r="S859" s="2994">
        <v>6</v>
      </c>
      <c r="T859" s="2994">
        <v>5.8333000000000004</v>
      </c>
      <c r="U859" s="2994">
        <v>6.25</v>
      </c>
      <c r="V859" s="2994">
        <v>6.1538000000000004</v>
      </c>
      <c r="W859" s="2994">
        <v>5.3845999999999998</v>
      </c>
      <c r="X859" s="2994">
        <v>5.7142999999999997</v>
      </c>
      <c r="Y859" s="2994">
        <v>6.4286000000000003</v>
      </c>
      <c r="Z859" s="2994">
        <v>6.6666999999999996</v>
      </c>
      <c r="AA859" s="2994">
        <v>7.3333000000000004</v>
      </c>
      <c r="AB859" s="2994">
        <v>7.5</v>
      </c>
      <c r="AC859" s="2994">
        <v>8.125</v>
      </c>
      <c r="AD859" s="2994">
        <v>8.2353000000000005</v>
      </c>
      <c r="AE859" s="2994">
        <v>8.8234999999999992</v>
      </c>
      <c r="AF859" s="2994">
        <v>8.8234999999999992</v>
      </c>
      <c r="AG859" s="2994">
        <v>8.8234999999999992</v>
      </c>
      <c r="AH859" s="2994">
        <v>9.2806999999999995</v>
      </c>
      <c r="AI859" s="2994">
        <v>6.2858999999999998</v>
      </c>
      <c r="AJ859" s="2994">
        <v>8.2887000000000004</v>
      </c>
      <c r="AK859" s="2994">
        <v>6.1574999999999998</v>
      </c>
      <c r="AL859" s="2994">
        <v>6.0654000000000003</v>
      </c>
      <c r="AM859" s="2994">
        <v>5.7691999999999997</v>
      </c>
      <c r="AN859" s="2994">
        <v>5.8182</v>
      </c>
      <c r="AO859" s="2994">
        <v>5.6322000000000001</v>
      </c>
      <c r="AP859" s="2994">
        <v>5.9204999999999997</v>
      </c>
      <c r="AQ859" s="2994">
        <v>5.3968999999999996</v>
      </c>
      <c r="AR859" s="2994">
        <v>5.3127000000000004</v>
      </c>
      <c r="AS859" s="2994">
        <v>6.2066999999999997</v>
      </c>
      <c r="AT859" s="2994">
        <v>5.7885</v>
      </c>
      <c r="AU859" s="2994">
        <v>5.75</v>
      </c>
      <c r="AV859" s="2994">
        <v>5</v>
      </c>
      <c r="AW859" s="2994">
        <v>3.3155999999999999</v>
      </c>
      <c r="AX859" s="2994">
        <v>4.2112999999999996</v>
      </c>
      <c r="AY859" s="2994">
        <v>4.25</v>
      </c>
      <c r="AZ859" s="2994">
        <v>5.1176000000000004</v>
      </c>
      <c r="BA859" s="2994">
        <v>7.9745999999999997</v>
      </c>
      <c r="BB859" s="2994">
        <v>7.9401000000000002</v>
      </c>
      <c r="BC859" s="2994">
        <v>7.7327000000000004</v>
      </c>
      <c r="BD859" s="3471">
        <v>7.6045999999999996</v>
      </c>
      <c r="BE859" s="3471">
        <v>8.0769000000000002</v>
      </c>
      <c r="BF859" s="3471">
        <v>0</v>
      </c>
    </row>
    <row r="860" spans="1:58">
      <c r="A860" s="1817" t="str">
        <f t="shared" si="27"/>
        <v>Southern AsiaChestnut</v>
      </c>
      <c r="B860" s="1818" t="s">
        <v>1326</v>
      </c>
      <c r="C860" s="1818" t="s">
        <v>7306</v>
      </c>
      <c r="D860" s="3463" t="str">
        <f>VLOOKUP(B860,List_Yield!$G$4:$J$14,4,FALSE)</f>
        <v>Asia (Indian Subcontinent)</v>
      </c>
      <c r="E860" s="3463" t="str">
        <f t="shared" si="26"/>
        <v>Asia (Indian Subcontinent)Chestnut</v>
      </c>
      <c r="F860" s="2994">
        <v>0</v>
      </c>
      <c r="G860" s="2994">
        <v>0</v>
      </c>
      <c r="H860" s="2994">
        <v>0</v>
      </c>
      <c r="I860" s="2994">
        <v>0</v>
      </c>
      <c r="J860" s="2994">
        <v>0</v>
      </c>
      <c r="K860" s="2994">
        <v>0</v>
      </c>
      <c r="L860" s="2994">
        <v>0</v>
      </c>
      <c r="M860" s="2994">
        <v>0</v>
      </c>
      <c r="N860" s="2994">
        <v>0</v>
      </c>
      <c r="O860" s="2994">
        <v>0</v>
      </c>
      <c r="P860" s="2994">
        <v>0</v>
      </c>
      <c r="Q860" s="2994">
        <v>0</v>
      </c>
      <c r="R860" s="2994">
        <v>0</v>
      </c>
      <c r="S860" s="2994">
        <v>0</v>
      </c>
      <c r="T860" s="2994">
        <v>0</v>
      </c>
      <c r="U860" s="2994">
        <v>0</v>
      </c>
      <c r="V860" s="2994">
        <v>0</v>
      </c>
      <c r="W860" s="2994">
        <v>0</v>
      </c>
      <c r="X860" s="2994">
        <v>0</v>
      </c>
      <c r="Y860" s="2994">
        <v>0</v>
      </c>
      <c r="Z860" s="2994">
        <v>0</v>
      </c>
      <c r="AA860" s="2994">
        <v>0</v>
      </c>
      <c r="AB860" s="2994">
        <v>0</v>
      </c>
      <c r="AC860" s="2994">
        <v>0</v>
      </c>
      <c r="AD860" s="2994">
        <v>0</v>
      </c>
      <c r="AE860" s="2994">
        <v>0</v>
      </c>
      <c r="AF860" s="2994">
        <v>0</v>
      </c>
      <c r="AG860" s="2994">
        <v>0</v>
      </c>
      <c r="AH860" s="2994">
        <v>0</v>
      </c>
      <c r="AI860" s="2994">
        <v>0</v>
      </c>
      <c r="AJ860" s="2994">
        <v>0</v>
      </c>
      <c r="AK860" s="2994">
        <v>0</v>
      </c>
      <c r="AL860" s="2994">
        <v>0</v>
      </c>
      <c r="AM860" s="2994">
        <v>0</v>
      </c>
      <c r="AN860" s="2994">
        <v>0</v>
      </c>
      <c r="AO860" s="2994">
        <v>0</v>
      </c>
      <c r="AP860" s="2994">
        <v>0</v>
      </c>
      <c r="AQ860" s="2994">
        <v>0</v>
      </c>
      <c r="AR860" s="2994">
        <v>0</v>
      </c>
      <c r="AS860" s="2994">
        <v>0</v>
      </c>
      <c r="AT860" s="2994">
        <v>0</v>
      </c>
      <c r="AU860" s="2994">
        <v>0</v>
      </c>
      <c r="AV860" s="2994">
        <v>0</v>
      </c>
      <c r="AW860" s="2994">
        <v>0</v>
      </c>
      <c r="AX860" s="2994">
        <v>0</v>
      </c>
      <c r="AY860" s="2994">
        <v>0</v>
      </c>
      <c r="AZ860" s="2994">
        <v>0</v>
      </c>
      <c r="BA860" s="2994">
        <v>0</v>
      </c>
      <c r="BB860" s="2994">
        <v>0</v>
      </c>
      <c r="BC860" s="2994">
        <v>0</v>
      </c>
      <c r="BD860" s="3471">
        <v>0</v>
      </c>
      <c r="BE860" s="3471">
        <v>0</v>
      </c>
      <c r="BF860" s="3471">
        <v>0</v>
      </c>
    </row>
    <row r="861" spans="1:58">
      <c r="A861" s="1817" t="str">
        <f t="shared" si="27"/>
        <v>Southern AsiaChick peas</v>
      </c>
      <c r="B861" s="1818" t="s">
        <v>1326</v>
      </c>
      <c r="C861" s="1818" t="s">
        <v>7307</v>
      </c>
      <c r="D861" s="3463" t="str">
        <f>VLOOKUP(B861,List_Yield!$G$4:$J$14,4,FALSE)</f>
        <v>Asia (Indian Subcontinent)</v>
      </c>
      <c r="E861" s="3463" t="str">
        <f t="shared" si="26"/>
        <v>Asia (Indian Subcontinent)Chick peas</v>
      </c>
      <c r="F861" s="2994">
        <v>0.65839999999999999</v>
      </c>
      <c r="G861" s="2994">
        <v>0.59470000000000001</v>
      </c>
      <c r="H861" s="2994">
        <v>0.57940000000000003</v>
      </c>
      <c r="I861" s="2994">
        <v>0.48949999999999999</v>
      </c>
      <c r="J861" s="2994">
        <v>0.63839999999999997</v>
      </c>
      <c r="K861" s="2994">
        <v>0.52600000000000002</v>
      </c>
      <c r="L861" s="2994">
        <v>0.46389999999999998</v>
      </c>
      <c r="M861" s="2994">
        <v>0.68630000000000002</v>
      </c>
      <c r="N861" s="2994">
        <v>0.60060000000000002</v>
      </c>
      <c r="O861" s="2994">
        <v>0.69589999999999996</v>
      </c>
      <c r="P861" s="2994">
        <v>0.65059999999999996</v>
      </c>
      <c r="Q861" s="2994">
        <v>0.629</v>
      </c>
      <c r="R861" s="2994">
        <v>0.63649999999999995</v>
      </c>
      <c r="S861" s="2994">
        <v>0.53420000000000001</v>
      </c>
      <c r="T861" s="2994">
        <v>0.57150000000000001</v>
      </c>
      <c r="U861" s="2994">
        <v>0.69010000000000005</v>
      </c>
      <c r="V861" s="2994">
        <v>0.66779999999999995</v>
      </c>
      <c r="W861" s="2994">
        <v>0.6643</v>
      </c>
      <c r="X861" s="2994">
        <v>0.70320000000000005</v>
      </c>
      <c r="Y861" s="2994">
        <v>0.45939999999999998</v>
      </c>
      <c r="Z861" s="2994">
        <v>0.62780000000000002</v>
      </c>
      <c r="AA861" s="2994">
        <v>0.56730000000000003</v>
      </c>
      <c r="AB861" s="2994">
        <v>0.69110000000000005</v>
      </c>
      <c r="AC861" s="2994">
        <v>0.64800000000000002</v>
      </c>
      <c r="AD861" s="2994">
        <v>0.63480000000000003</v>
      </c>
      <c r="AE861" s="2994">
        <v>0.71660000000000001</v>
      </c>
      <c r="AF861" s="2994">
        <v>0.62219999999999998</v>
      </c>
      <c r="AG861" s="2994">
        <v>0.59850000000000003</v>
      </c>
      <c r="AH861" s="2994">
        <v>0.7036</v>
      </c>
      <c r="AI861" s="2994">
        <v>0.6321</v>
      </c>
      <c r="AJ861" s="2994">
        <v>0.6663</v>
      </c>
      <c r="AK861" s="2994">
        <v>0.68189999999999995</v>
      </c>
      <c r="AL861" s="2994">
        <v>0.62419999999999998</v>
      </c>
      <c r="AM861" s="2994">
        <v>0.71250000000000002</v>
      </c>
      <c r="AN861" s="2994">
        <v>0.78710000000000002</v>
      </c>
      <c r="AO861" s="2994">
        <v>0.65810000000000002</v>
      </c>
      <c r="AP861" s="2994">
        <v>0.74450000000000005</v>
      </c>
      <c r="AQ861" s="2994">
        <v>0.77139999999999997</v>
      </c>
      <c r="AR861" s="2994">
        <v>0.75739999999999996</v>
      </c>
      <c r="AS861" s="2994">
        <v>0.76329999999999998</v>
      </c>
      <c r="AT861" s="2994">
        <v>0.66159999999999997</v>
      </c>
      <c r="AU861" s="2994">
        <v>0.76119999999999999</v>
      </c>
      <c r="AV861" s="2994">
        <v>0.69279999999999997</v>
      </c>
      <c r="AW861" s="2994">
        <v>0.76900000000000002</v>
      </c>
      <c r="AX861" s="2994">
        <v>0.79120000000000001</v>
      </c>
      <c r="AY861" s="2994">
        <v>0.74819999999999998</v>
      </c>
      <c r="AZ861" s="2994">
        <v>0.82040000000000002</v>
      </c>
      <c r="BA861" s="2994">
        <v>0.69830000000000003</v>
      </c>
      <c r="BB861" s="2994">
        <v>0.84030000000000005</v>
      </c>
      <c r="BC861" s="2994">
        <v>0.85260000000000002</v>
      </c>
      <c r="BD861" s="3471">
        <v>0.83350000000000002</v>
      </c>
      <c r="BE861" s="3471">
        <v>0.8357</v>
      </c>
      <c r="BF861" s="3471">
        <v>0.88670000000000004</v>
      </c>
    </row>
    <row r="862" spans="1:58">
      <c r="A862" s="1817" t="str">
        <f t="shared" si="27"/>
        <v>Southern AsiaChicory roots</v>
      </c>
      <c r="B862" s="1818" t="s">
        <v>1326</v>
      </c>
      <c r="C862" s="1818" t="s">
        <v>7308</v>
      </c>
      <c r="D862" s="3463" t="str">
        <f>VLOOKUP(B862,List_Yield!$G$4:$J$14,4,FALSE)</f>
        <v>Asia (Indian Subcontinent)</v>
      </c>
      <c r="E862" s="3463" t="str">
        <f t="shared" si="26"/>
        <v>Asia (Indian Subcontinent)Chicory roots</v>
      </c>
      <c r="F862" s="2994">
        <v>0</v>
      </c>
      <c r="G862" s="2994">
        <v>0</v>
      </c>
      <c r="H862" s="2994">
        <v>0</v>
      </c>
      <c r="I862" s="2994">
        <v>0</v>
      </c>
      <c r="J862" s="2994">
        <v>0</v>
      </c>
      <c r="K862" s="2994">
        <v>0</v>
      </c>
      <c r="L862" s="2994">
        <v>0</v>
      </c>
      <c r="M862" s="2994">
        <v>0</v>
      </c>
      <c r="N862" s="2994">
        <v>0</v>
      </c>
      <c r="O862" s="2994">
        <v>0</v>
      </c>
      <c r="P862" s="2994">
        <v>0</v>
      </c>
      <c r="Q862" s="2994">
        <v>0</v>
      </c>
      <c r="R862" s="2994">
        <v>0</v>
      </c>
      <c r="S862" s="2994">
        <v>0</v>
      </c>
      <c r="T862" s="2994">
        <v>0</v>
      </c>
      <c r="U862" s="2994">
        <v>0</v>
      </c>
      <c r="V862" s="2994">
        <v>0</v>
      </c>
      <c r="W862" s="2994">
        <v>0</v>
      </c>
      <c r="X862" s="2994">
        <v>0</v>
      </c>
      <c r="Y862" s="2994">
        <v>0</v>
      </c>
      <c r="Z862" s="2994">
        <v>0</v>
      </c>
      <c r="AA862" s="2994">
        <v>0</v>
      </c>
      <c r="AB862" s="2994">
        <v>0</v>
      </c>
      <c r="AC862" s="2994">
        <v>0</v>
      </c>
      <c r="AD862" s="2994">
        <v>0</v>
      </c>
      <c r="AE862" s="2994">
        <v>0</v>
      </c>
      <c r="AF862" s="2994">
        <v>0</v>
      </c>
      <c r="AG862" s="2994">
        <v>0</v>
      </c>
      <c r="AH862" s="2994">
        <v>0</v>
      </c>
      <c r="AI862" s="2994">
        <v>0</v>
      </c>
      <c r="AJ862" s="2994">
        <v>0</v>
      </c>
      <c r="AK862" s="2994">
        <v>0</v>
      </c>
      <c r="AL862" s="2994">
        <v>0</v>
      </c>
      <c r="AM862" s="2994">
        <v>0</v>
      </c>
      <c r="AN862" s="2994">
        <v>0</v>
      </c>
      <c r="AO862" s="2994">
        <v>0</v>
      </c>
      <c r="AP862" s="2994">
        <v>0</v>
      </c>
      <c r="AQ862" s="2994">
        <v>0</v>
      </c>
      <c r="AR862" s="2994">
        <v>0</v>
      </c>
      <c r="AS862" s="2994">
        <v>0</v>
      </c>
      <c r="AT862" s="2994">
        <v>0</v>
      </c>
      <c r="AU862" s="2994">
        <v>0</v>
      </c>
      <c r="AV862" s="2994">
        <v>0</v>
      </c>
      <c r="AW862" s="2994">
        <v>0</v>
      </c>
      <c r="AX862" s="2994">
        <v>0</v>
      </c>
      <c r="AY862" s="2994">
        <v>0</v>
      </c>
      <c r="AZ862" s="2994">
        <v>0</v>
      </c>
      <c r="BA862" s="2994">
        <v>0</v>
      </c>
      <c r="BB862" s="2994">
        <v>0</v>
      </c>
      <c r="BC862" s="2994">
        <v>0</v>
      </c>
      <c r="BD862" s="3471">
        <v>0</v>
      </c>
      <c r="BE862" s="3471">
        <v>0</v>
      </c>
      <c r="BF862" s="3471">
        <v>0</v>
      </c>
    </row>
    <row r="863" spans="1:58">
      <c r="A863" s="1817" t="str">
        <f t="shared" si="27"/>
        <v>Southern AsiaChillies and peppers, dry</v>
      </c>
      <c r="B863" s="1818" t="s">
        <v>1326</v>
      </c>
      <c r="C863" s="1818" t="s">
        <v>7309</v>
      </c>
      <c r="D863" s="3463" t="str">
        <f>VLOOKUP(B863,List_Yield!$G$4:$J$14,4,FALSE)</f>
        <v>Asia (Indian Subcontinent)</v>
      </c>
      <c r="E863" s="3463" t="str">
        <f t="shared" si="26"/>
        <v>Asia (Indian Subcontinent)Chillies and peppers, dry</v>
      </c>
      <c r="F863" s="2994">
        <v>0.66749999999999998</v>
      </c>
      <c r="G863" s="2994">
        <v>0.70169999999999999</v>
      </c>
      <c r="H863" s="2994">
        <v>0.68010000000000004</v>
      </c>
      <c r="I863" s="2994">
        <v>0.69</v>
      </c>
      <c r="J863" s="2994">
        <v>0.6139</v>
      </c>
      <c r="K863" s="2994">
        <v>0.61599999999999999</v>
      </c>
      <c r="L863" s="2994">
        <v>0.66410000000000002</v>
      </c>
      <c r="M863" s="2994">
        <v>0.64629999999999999</v>
      </c>
      <c r="N863" s="2994">
        <v>0.63119999999999998</v>
      </c>
      <c r="O863" s="2994">
        <v>0.70589999999999997</v>
      </c>
      <c r="P863" s="2994">
        <v>0.69710000000000005</v>
      </c>
      <c r="Q863" s="2994">
        <v>0.67130000000000001</v>
      </c>
      <c r="R863" s="2994">
        <v>0.71879999999999999</v>
      </c>
      <c r="S863" s="2994">
        <v>0.69689999999999996</v>
      </c>
      <c r="T863" s="2994">
        <v>0.76580000000000004</v>
      </c>
      <c r="U863" s="2994">
        <v>0.61639999999999995</v>
      </c>
      <c r="V863" s="2994">
        <v>0.74039999999999995</v>
      </c>
      <c r="W863" s="2994">
        <v>0.74750000000000005</v>
      </c>
      <c r="X863" s="2994">
        <v>0.67879999999999996</v>
      </c>
      <c r="Y863" s="2994">
        <v>0.69079999999999997</v>
      </c>
      <c r="Z863" s="2994">
        <v>0.71009999999999995</v>
      </c>
      <c r="AA863" s="2994">
        <v>0.73060000000000003</v>
      </c>
      <c r="AB863" s="2994">
        <v>0.75790000000000002</v>
      </c>
      <c r="AC863" s="2994">
        <v>0.83799999999999997</v>
      </c>
      <c r="AD863" s="2994">
        <v>0.97409999999999997</v>
      </c>
      <c r="AE863" s="2994">
        <v>0.79100000000000004</v>
      </c>
      <c r="AF863" s="2994">
        <v>0.81179999999999997</v>
      </c>
      <c r="AG863" s="2994">
        <v>0.85870000000000002</v>
      </c>
      <c r="AH863" s="2994">
        <v>0.92879999999999996</v>
      </c>
      <c r="AI863" s="2994">
        <v>0.91910000000000003</v>
      </c>
      <c r="AJ863" s="2994">
        <v>0.81220000000000003</v>
      </c>
      <c r="AK863" s="2994">
        <v>0.92059999999999997</v>
      </c>
      <c r="AL863" s="2994">
        <v>0.92079999999999995</v>
      </c>
      <c r="AM863" s="2994">
        <v>0.96</v>
      </c>
      <c r="AN863" s="2994">
        <v>0.96389999999999998</v>
      </c>
      <c r="AO863" s="2994">
        <v>1.1466000000000001</v>
      </c>
      <c r="AP863" s="2994">
        <v>1.0656000000000001</v>
      </c>
      <c r="AQ863" s="2994">
        <v>1.1748000000000001</v>
      </c>
      <c r="AR863" s="2994">
        <v>1.0707</v>
      </c>
      <c r="AS863" s="2994">
        <v>1.1825000000000001</v>
      </c>
      <c r="AT863" s="2994">
        <v>1.1763999999999999</v>
      </c>
      <c r="AU863" s="2994">
        <v>1.0698000000000001</v>
      </c>
      <c r="AV863" s="2994">
        <v>1.4608000000000001</v>
      </c>
      <c r="AW863" s="2994">
        <v>1.4824999999999999</v>
      </c>
      <c r="AX863" s="2994">
        <v>1.5077</v>
      </c>
      <c r="AY863" s="2994">
        <v>1.5389999999999999</v>
      </c>
      <c r="AZ863" s="2994">
        <v>1.5355000000000001</v>
      </c>
      <c r="BA863" s="2994">
        <v>1.6518999999999999</v>
      </c>
      <c r="BB863" s="2994">
        <v>1.5964</v>
      </c>
      <c r="BC863" s="2994">
        <v>1.5831</v>
      </c>
      <c r="BD863" s="3471">
        <v>1.621</v>
      </c>
      <c r="BE863" s="3471">
        <v>1.6777</v>
      </c>
      <c r="BF863" s="3471">
        <v>0</v>
      </c>
    </row>
    <row r="864" spans="1:58">
      <c r="A864" s="1817" t="str">
        <f t="shared" si="27"/>
        <v>Southern AsiaChillies and peppers, green</v>
      </c>
      <c r="B864" s="1818" t="s">
        <v>1326</v>
      </c>
      <c r="C864" s="1818" t="s">
        <v>7310</v>
      </c>
      <c r="D864" s="3463" t="str">
        <f>VLOOKUP(B864,List_Yield!$G$4:$J$14,4,FALSE)</f>
        <v>Asia (Indian Subcontinent)</v>
      </c>
      <c r="E864" s="3463" t="str">
        <f t="shared" si="26"/>
        <v>Asia (Indian Subcontinent)Chillies and peppers, green</v>
      </c>
      <c r="F864" s="2994">
        <v>2.0215999999999998</v>
      </c>
      <c r="G864" s="2994">
        <v>1.9636</v>
      </c>
      <c r="H864" s="2994">
        <v>1.9068000000000001</v>
      </c>
      <c r="I864" s="2994">
        <v>2.0135999999999998</v>
      </c>
      <c r="J864" s="2994">
        <v>1.7242</v>
      </c>
      <c r="K864" s="2994">
        <v>1.7501</v>
      </c>
      <c r="L864" s="2994">
        <v>1.8080000000000001</v>
      </c>
      <c r="M864" s="2994">
        <v>1.571</v>
      </c>
      <c r="N864" s="2994">
        <v>1.6029</v>
      </c>
      <c r="O864" s="2994">
        <v>2.2576999999999998</v>
      </c>
      <c r="P864" s="2994">
        <v>1.9131</v>
      </c>
      <c r="Q864" s="2994">
        <v>1.4087000000000001</v>
      </c>
      <c r="R864" s="2994">
        <v>1.3003</v>
      </c>
      <c r="S864" s="2994">
        <v>1.1971000000000001</v>
      </c>
      <c r="T864" s="2994">
        <v>1.1621999999999999</v>
      </c>
      <c r="U864" s="2994">
        <v>1.1655</v>
      </c>
      <c r="V864" s="2994">
        <v>1.2356</v>
      </c>
      <c r="W864" s="2994">
        <v>1.1911</v>
      </c>
      <c r="X864" s="2994">
        <v>1.8507</v>
      </c>
      <c r="Y864" s="2994">
        <v>1.8826000000000001</v>
      </c>
      <c r="Z864" s="2994">
        <v>1.5982000000000001</v>
      </c>
      <c r="AA864" s="2994">
        <v>1.7097</v>
      </c>
      <c r="AB864" s="2994">
        <v>1.9063000000000001</v>
      </c>
      <c r="AC864" s="2994">
        <v>3.2323</v>
      </c>
      <c r="AD864" s="2994">
        <v>3.8159000000000001</v>
      </c>
      <c r="AE864" s="2994">
        <v>3.6133999999999999</v>
      </c>
      <c r="AF864" s="2994">
        <v>3.8397000000000001</v>
      </c>
      <c r="AG864" s="2994">
        <v>3.8751000000000002</v>
      </c>
      <c r="AH864" s="2994">
        <v>3.7463000000000002</v>
      </c>
      <c r="AI864" s="2994">
        <v>4.5976999999999997</v>
      </c>
      <c r="AJ864" s="2994">
        <v>4.4744999999999999</v>
      </c>
      <c r="AK864" s="2994">
        <v>3.9470000000000001</v>
      </c>
      <c r="AL864" s="2994">
        <v>3.9268999999999998</v>
      </c>
      <c r="AM864" s="2994">
        <v>3.7444000000000002</v>
      </c>
      <c r="AN864" s="2994">
        <v>3.9714</v>
      </c>
      <c r="AO864" s="2994">
        <v>4.3109999999999999</v>
      </c>
      <c r="AP864" s="2994">
        <v>4.4960000000000004</v>
      </c>
      <c r="AQ864" s="2994">
        <v>4.3247</v>
      </c>
      <c r="AR864" s="2994">
        <v>4.3556999999999997</v>
      </c>
      <c r="AS864" s="2994">
        <v>4.5415999999999999</v>
      </c>
      <c r="AT864" s="2994">
        <v>4.4920999999999998</v>
      </c>
      <c r="AU864" s="2994">
        <v>4.3547000000000002</v>
      </c>
      <c r="AV864" s="2994">
        <v>4.5644999999999998</v>
      </c>
      <c r="AW864" s="2994">
        <v>4.2835999999999999</v>
      </c>
      <c r="AX864" s="2994">
        <v>5.1409000000000002</v>
      </c>
      <c r="AY864" s="2994">
        <v>5.181</v>
      </c>
      <c r="AZ864" s="2994">
        <v>5.8886000000000003</v>
      </c>
      <c r="BA864" s="2994">
        <v>5.1334999999999997</v>
      </c>
      <c r="BB864" s="2994">
        <v>5.3681000000000001</v>
      </c>
      <c r="BC864" s="2994">
        <v>5.5652999999999997</v>
      </c>
      <c r="BD864" s="3471">
        <v>5.4749999999999996</v>
      </c>
      <c r="BE864" s="3471">
        <v>5.7885999999999997</v>
      </c>
      <c r="BF864" s="3471">
        <v>0</v>
      </c>
    </row>
    <row r="865" spans="1:58">
      <c r="A865" s="1817" t="str">
        <f t="shared" si="27"/>
        <v>Southern AsiaCinnamon (canella)</v>
      </c>
      <c r="B865" s="1818" t="s">
        <v>1326</v>
      </c>
      <c r="C865" s="1818" t="s">
        <v>7311</v>
      </c>
      <c r="D865" s="3463" t="str">
        <f>VLOOKUP(B865,List_Yield!$G$4:$J$14,4,FALSE)</f>
        <v>Asia (Indian Subcontinent)</v>
      </c>
      <c r="E865" s="3463" t="str">
        <f t="shared" si="26"/>
        <v>Asia (Indian Subcontinent)Cinnamon (canella)</v>
      </c>
      <c r="F865" s="2994">
        <v>0.47270000000000001</v>
      </c>
      <c r="G865" s="2994">
        <v>0.47270000000000001</v>
      </c>
      <c r="H865" s="2994">
        <v>0.47270000000000001</v>
      </c>
      <c r="I865" s="2994">
        <v>0.4773</v>
      </c>
      <c r="J865" s="2994">
        <v>0.47810000000000002</v>
      </c>
      <c r="K865" s="2994">
        <v>0.47599999999999998</v>
      </c>
      <c r="L865" s="2994">
        <v>0.4768</v>
      </c>
      <c r="M865" s="2994">
        <v>0.47799999999999998</v>
      </c>
      <c r="N865" s="2994">
        <v>0.47689999999999999</v>
      </c>
      <c r="O865" s="2994">
        <v>0.47849999999999998</v>
      </c>
      <c r="P865" s="2994">
        <v>0.47770000000000001</v>
      </c>
      <c r="Q865" s="2994">
        <v>0.47749999999999998</v>
      </c>
      <c r="R865" s="2994">
        <v>0.47760000000000002</v>
      </c>
      <c r="S865" s="2994">
        <v>0.4778</v>
      </c>
      <c r="T865" s="2994">
        <v>0.47720000000000001</v>
      </c>
      <c r="U865" s="2994">
        <v>0.47670000000000001</v>
      </c>
      <c r="V865" s="2994">
        <v>0.4773</v>
      </c>
      <c r="W865" s="2994">
        <v>0.47699999999999998</v>
      </c>
      <c r="X865" s="2994">
        <v>0.47670000000000001</v>
      </c>
      <c r="Y865" s="2994">
        <v>0.47770000000000001</v>
      </c>
      <c r="Z865" s="2994">
        <v>0.47799999999999998</v>
      </c>
      <c r="AA865" s="2994">
        <v>0.47770000000000001</v>
      </c>
      <c r="AB865" s="2994">
        <v>0.47760000000000002</v>
      </c>
      <c r="AC865" s="2994">
        <v>0.46460000000000001</v>
      </c>
      <c r="AD865" s="2994">
        <v>0.4652</v>
      </c>
      <c r="AE865" s="2994">
        <v>0.4506</v>
      </c>
      <c r="AF865" s="2994">
        <v>0.44490000000000002</v>
      </c>
      <c r="AG865" s="2994">
        <v>0.4743</v>
      </c>
      <c r="AH865" s="2994">
        <v>0.50119999999999998</v>
      </c>
      <c r="AI865" s="2994">
        <v>0.51749999999999996</v>
      </c>
      <c r="AJ865" s="2994">
        <v>0.48620000000000002</v>
      </c>
      <c r="AK865" s="2994">
        <v>0.52110000000000001</v>
      </c>
      <c r="AL865" s="2994">
        <v>0.50449999999999995</v>
      </c>
      <c r="AM865" s="2994">
        <v>0.4924</v>
      </c>
      <c r="AN865" s="2994">
        <v>0.49480000000000002</v>
      </c>
      <c r="AO865" s="2994">
        <v>0.49259999999999998</v>
      </c>
      <c r="AP865" s="2994">
        <v>0.49959999999999999</v>
      </c>
      <c r="AQ865" s="2994">
        <v>0.47899999999999998</v>
      </c>
      <c r="AR865" s="2994">
        <v>0.49740000000000001</v>
      </c>
      <c r="AS865" s="2994">
        <v>0.49940000000000001</v>
      </c>
      <c r="AT865" s="2994">
        <v>0.51359999999999995</v>
      </c>
      <c r="AU865" s="2994">
        <v>0.5252</v>
      </c>
      <c r="AV865" s="2994">
        <v>0.49869999999999998</v>
      </c>
      <c r="AW865" s="2994">
        <v>0.51060000000000005</v>
      </c>
      <c r="AX865" s="2994">
        <v>0.51259999999999994</v>
      </c>
      <c r="AY865" s="2994">
        <v>0.50700000000000001</v>
      </c>
      <c r="AZ865" s="2994">
        <v>0.51859999999999995</v>
      </c>
      <c r="BA865" s="2994">
        <v>0.50170000000000003</v>
      </c>
      <c r="BB865" s="2994">
        <v>0.51980000000000004</v>
      </c>
      <c r="BC865" s="2994">
        <v>0.54710000000000003</v>
      </c>
      <c r="BD865" s="3471">
        <v>0.54659999999999997</v>
      </c>
      <c r="BE865" s="3471">
        <v>0.52880000000000005</v>
      </c>
      <c r="BF865" s="3471">
        <v>0</v>
      </c>
    </row>
    <row r="866" spans="1:58">
      <c r="A866" s="1817" t="str">
        <f t="shared" si="27"/>
        <v>Southern AsiaCloves</v>
      </c>
      <c r="B866" s="1818" t="s">
        <v>1326</v>
      </c>
      <c r="C866" s="1818" t="s">
        <v>7312</v>
      </c>
      <c r="D866" s="3463" t="str">
        <f>VLOOKUP(B866,List_Yield!$G$4:$J$14,4,FALSE)</f>
        <v>Asia (Indian Subcontinent)</v>
      </c>
      <c r="E866" s="3463" t="str">
        <f t="shared" si="26"/>
        <v>Asia (Indian Subcontinent)Cloves</v>
      </c>
      <c r="F866" s="2994">
        <v>0.25</v>
      </c>
      <c r="G866" s="2994">
        <v>0.33329999999999999</v>
      </c>
      <c r="H866" s="2994">
        <v>0.33329999999999999</v>
      </c>
      <c r="I866" s="2994">
        <v>0.33329999999999999</v>
      </c>
      <c r="J866" s="2994">
        <v>0.33329999999999999</v>
      </c>
      <c r="K866" s="2994">
        <v>0.33329999999999999</v>
      </c>
      <c r="L866" s="2994">
        <v>0.33329999999999999</v>
      </c>
      <c r="M866" s="2994">
        <v>0.33329999999999999</v>
      </c>
      <c r="N866" s="2994">
        <v>0.42859999999999998</v>
      </c>
      <c r="O866" s="2994">
        <v>0.42859999999999998</v>
      </c>
      <c r="P866" s="2994">
        <v>0.28570000000000001</v>
      </c>
      <c r="Q866" s="2994">
        <v>0.28570000000000001</v>
      </c>
      <c r="R866" s="2994">
        <v>0.46429999999999999</v>
      </c>
      <c r="S866" s="2994">
        <v>0.4</v>
      </c>
      <c r="T866" s="2994">
        <v>0.26669999999999999</v>
      </c>
      <c r="U866" s="2994">
        <v>0.3125</v>
      </c>
      <c r="V866" s="2994">
        <v>0.5</v>
      </c>
      <c r="W866" s="2994">
        <v>0.37040000000000001</v>
      </c>
      <c r="X866" s="2994">
        <v>0.35709999999999997</v>
      </c>
      <c r="Y866" s="2994">
        <v>0.44829999999999998</v>
      </c>
      <c r="Z866" s="2994">
        <v>0.4667</v>
      </c>
      <c r="AA866" s="2994">
        <v>0.3871</v>
      </c>
      <c r="AB866" s="2994">
        <v>0.5625</v>
      </c>
      <c r="AC866" s="2994">
        <v>0.48570000000000002</v>
      </c>
      <c r="AD866" s="2994">
        <v>0.18559999999999999</v>
      </c>
      <c r="AE866" s="2994">
        <v>0.1434</v>
      </c>
      <c r="AF866" s="2994">
        <v>0.11269999999999999</v>
      </c>
      <c r="AG866" s="2994">
        <v>0.1784</v>
      </c>
      <c r="AH866" s="2994">
        <v>0.19489999999999999</v>
      </c>
      <c r="AI866" s="2994">
        <v>0.2253</v>
      </c>
      <c r="AJ866" s="2994">
        <v>0.23039999999999999</v>
      </c>
      <c r="AK866" s="2994">
        <v>0.29270000000000002</v>
      </c>
      <c r="AL866" s="2994">
        <v>0.25</v>
      </c>
      <c r="AM866" s="2994">
        <v>0.2414</v>
      </c>
      <c r="AN866" s="2994">
        <v>0.25119999999999998</v>
      </c>
      <c r="AO866" s="2994">
        <v>0.25940000000000002</v>
      </c>
      <c r="AP866" s="2994">
        <v>0.3125</v>
      </c>
      <c r="AQ866" s="2994">
        <v>0.30280000000000001</v>
      </c>
      <c r="AR866" s="2994">
        <v>0.35</v>
      </c>
      <c r="AS866" s="2994">
        <v>0.3</v>
      </c>
      <c r="AT866" s="2994">
        <v>0.30299999999999999</v>
      </c>
      <c r="AU866" s="2994">
        <v>0.37269999999999998</v>
      </c>
      <c r="AV866" s="2994">
        <v>0.40949999999999998</v>
      </c>
      <c r="AW866" s="2994">
        <v>0.40570000000000001</v>
      </c>
      <c r="AX866" s="2994">
        <v>0.40899999999999997</v>
      </c>
      <c r="AY866" s="2994">
        <v>0.40570000000000001</v>
      </c>
      <c r="AZ866" s="2994">
        <v>0.4234</v>
      </c>
      <c r="BA866" s="2994">
        <v>0.53769999999999996</v>
      </c>
      <c r="BB866" s="2994">
        <v>0.51629999999999998</v>
      </c>
      <c r="BC866" s="2994">
        <v>0.51639999999999997</v>
      </c>
      <c r="BD866" s="3471">
        <v>0.5181</v>
      </c>
      <c r="BE866" s="3471">
        <v>0.57430000000000003</v>
      </c>
      <c r="BF866" s="3471">
        <v>0</v>
      </c>
    </row>
    <row r="867" spans="1:58">
      <c r="A867" s="1817" t="str">
        <f t="shared" si="27"/>
        <v>Southern AsiaCocoa, beans</v>
      </c>
      <c r="B867" s="1818" t="s">
        <v>1326</v>
      </c>
      <c r="C867" s="1818" t="s">
        <v>7313</v>
      </c>
      <c r="D867" s="3463" t="str">
        <f>VLOOKUP(B867,List_Yield!$G$4:$J$14,4,FALSE)</f>
        <v>Asia (Indian Subcontinent)</v>
      </c>
      <c r="E867" s="3463" t="str">
        <f t="shared" si="26"/>
        <v>Asia (Indian Subcontinent)Cocoa, beans</v>
      </c>
      <c r="F867" s="2994">
        <v>0.24179999999999999</v>
      </c>
      <c r="G867" s="2994">
        <v>0.2656</v>
      </c>
      <c r="H867" s="2994">
        <v>0.30580000000000002</v>
      </c>
      <c r="I867" s="2994">
        <v>0.2712</v>
      </c>
      <c r="J867" s="2994">
        <v>0.20399999999999999</v>
      </c>
      <c r="K867" s="2994">
        <v>0.21920000000000001</v>
      </c>
      <c r="L867" s="2994">
        <v>0.24510000000000001</v>
      </c>
      <c r="M867" s="2994">
        <v>0.2356</v>
      </c>
      <c r="N867" s="2994">
        <v>0.18029999999999999</v>
      </c>
      <c r="O867" s="2994">
        <v>0.20430000000000001</v>
      </c>
      <c r="P867" s="2994">
        <v>0.22370000000000001</v>
      </c>
      <c r="Q867" s="2994">
        <v>0.1013</v>
      </c>
      <c r="R867" s="2994">
        <v>0.1346</v>
      </c>
      <c r="S867" s="2994">
        <v>0.2228</v>
      </c>
      <c r="T867" s="2994">
        <v>0.23580000000000001</v>
      </c>
      <c r="U867" s="2994">
        <v>0.1663</v>
      </c>
      <c r="V867" s="2994">
        <v>0.22439999999999999</v>
      </c>
      <c r="W867" s="2994">
        <v>0.27200000000000002</v>
      </c>
      <c r="X867" s="2994">
        <v>0.3211</v>
      </c>
      <c r="Y867" s="2994">
        <v>0.29520000000000002</v>
      </c>
      <c r="Z867" s="2994">
        <v>0.30470000000000003</v>
      </c>
      <c r="AA867" s="2994">
        <v>0.31559999999999999</v>
      </c>
      <c r="AB867" s="2994">
        <v>0.2984</v>
      </c>
      <c r="AC867" s="2994">
        <v>0.3034</v>
      </c>
      <c r="AD867" s="2994">
        <v>0.30399999999999999</v>
      </c>
      <c r="AE867" s="2994">
        <v>0.29980000000000001</v>
      </c>
      <c r="AF867" s="2994">
        <v>0.33189999999999997</v>
      </c>
      <c r="AG867" s="2994">
        <v>0.33389999999999997</v>
      </c>
      <c r="AH867" s="2994">
        <v>0.34560000000000002</v>
      </c>
      <c r="AI867" s="2994">
        <v>0.35630000000000001</v>
      </c>
      <c r="AJ867" s="2994">
        <v>0.37130000000000002</v>
      </c>
      <c r="AK867" s="2994">
        <v>0.4113</v>
      </c>
      <c r="AL867" s="2994">
        <v>0.3679</v>
      </c>
      <c r="AM867" s="2994">
        <v>0.57410000000000005</v>
      </c>
      <c r="AN867" s="2994">
        <v>0.56879999999999997</v>
      </c>
      <c r="AO867" s="2994">
        <v>0.56459999999999999</v>
      </c>
      <c r="AP867" s="2994">
        <v>0.51549999999999996</v>
      </c>
      <c r="AQ867" s="2994">
        <v>0.50800000000000001</v>
      </c>
      <c r="AR867" s="2994">
        <v>0.49430000000000002</v>
      </c>
      <c r="AS867" s="2994">
        <v>0.46550000000000002</v>
      </c>
      <c r="AT867" s="2994">
        <v>0.47910000000000003</v>
      </c>
      <c r="AU867" s="2994">
        <v>0.46229999999999999</v>
      </c>
      <c r="AV867" s="2994">
        <v>0.41920000000000002</v>
      </c>
      <c r="AW867" s="2994">
        <v>0.39900000000000002</v>
      </c>
      <c r="AX867" s="2994">
        <v>0.36280000000000001</v>
      </c>
      <c r="AY867" s="2994">
        <v>0.36799999999999999</v>
      </c>
      <c r="AZ867" s="2994">
        <v>0.35549999999999998</v>
      </c>
      <c r="BA867" s="2994">
        <v>0.35520000000000002</v>
      </c>
      <c r="BB867" s="2994">
        <v>0.36890000000000001</v>
      </c>
      <c r="BC867" s="2994">
        <v>0.2984</v>
      </c>
      <c r="BD867" s="3471">
        <v>0.27150000000000002</v>
      </c>
      <c r="BE867" s="3471">
        <v>0.255</v>
      </c>
      <c r="BF867" s="3471">
        <v>0</v>
      </c>
    </row>
    <row r="868" spans="1:58">
      <c r="A868" s="1817" t="str">
        <f t="shared" si="27"/>
        <v>Southern AsiaCoconuts</v>
      </c>
      <c r="B868" s="1818" t="s">
        <v>1326</v>
      </c>
      <c r="C868" s="1818" t="s">
        <v>7314</v>
      </c>
      <c r="D868" s="3463" t="str">
        <f>VLOOKUP(B868,List_Yield!$G$4:$J$14,4,FALSE)</f>
        <v>Asia (Indian Subcontinent)</v>
      </c>
      <c r="E868" s="3463" t="str">
        <f t="shared" si="26"/>
        <v>Asia (Indian Subcontinent)Coconuts</v>
      </c>
      <c r="F868" s="2994">
        <v>4.5380000000000003</v>
      </c>
      <c r="G868" s="2994">
        <v>4.6467999999999998</v>
      </c>
      <c r="H868" s="2994">
        <v>4.4092000000000002</v>
      </c>
      <c r="I868" s="2994">
        <v>4.5073999999999996</v>
      </c>
      <c r="J868" s="2994">
        <v>4.2628000000000004</v>
      </c>
      <c r="K868" s="2994">
        <v>4.0533000000000001</v>
      </c>
      <c r="L868" s="2994">
        <v>4.1237000000000004</v>
      </c>
      <c r="M868" s="2994">
        <v>4.1776</v>
      </c>
      <c r="N868" s="2994">
        <v>4.1703999999999999</v>
      </c>
      <c r="O868" s="2994">
        <v>4.2309000000000001</v>
      </c>
      <c r="P868" s="2994">
        <v>4.2085999999999997</v>
      </c>
      <c r="Q868" s="2994">
        <v>4.2111999999999998</v>
      </c>
      <c r="R868" s="2994">
        <v>3.7322000000000002</v>
      </c>
      <c r="S868" s="2994">
        <v>3.8226</v>
      </c>
      <c r="T868" s="2994">
        <v>4.1102999999999996</v>
      </c>
      <c r="U868" s="2994">
        <v>3.9424000000000001</v>
      </c>
      <c r="V868" s="2994">
        <v>3.5687000000000002</v>
      </c>
      <c r="W868" s="2994">
        <v>3.9119999999999999</v>
      </c>
      <c r="X868" s="2994">
        <v>3.9066999999999998</v>
      </c>
      <c r="Y868" s="2994">
        <v>3.7532000000000001</v>
      </c>
      <c r="Z868" s="2994">
        <v>3.8599000000000001</v>
      </c>
      <c r="AA868" s="2994">
        <v>4.2320000000000002</v>
      </c>
      <c r="AB868" s="2994">
        <v>3.8161999999999998</v>
      </c>
      <c r="AC868" s="2994">
        <v>4.1054000000000004</v>
      </c>
      <c r="AD868" s="2994">
        <v>4.3085000000000004</v>
      </c>
      <c r="AE868" s="2994">
        <v>4.2462999999999997</v>
      </c>
      <c r="AF868" s="2994">
        <v>4.0266999999999999</v>
      </c>
      <c r="AG868" s="2994">
        <v>4.2138999999999998</v>
      </c>
      <c r="AH868" s="2994">
        <v>4.6451000000000002</v>
      </c>
      <c r="AI868" s="2994">
        <v>4.7991999999999999</v>
      </c>
      <c r="AJ868" s="2994">
        <v>4.6718999999999999</v>
      </c>
      <c r="AK868" s="2994">
        <v>5.1261999999999999</v>
      </c>
      <c r="AL868" s="2994">
        <v>5.0408999999999997</v>
      </c>
      <c r="AM868" s="2994">
        <v>5.4688999999999997</v>
      </c>
      <c r="AN868" s="2994">
        <v>5.1181000000000001</v>
      </c>
      <c r="AO868" s="2994">
        <v>4.9569000000000001</v>
      </c>
      <c r="AP868" s="2994">
        <v>4.7454999999999998</v>
      </c>
      <c r="AQ868" s="2994">
        <v>4.8265000000000002</v>
      </c>
      <c r="AR868" s="2994">
        <v>4.8475999999999999</v>
      </c>
      <c r="AS868" s="2994">
        <v>4.8079000000000001</v>
      </c>
      <c r="AT868" s="2994">
        <v>4.6931000000000003</v>
      </c>
      <c r="AU868" s="2994">
        <v>4.4996</v>
      </c>
      <c r="AV868" s="2994">
        <v>4.4473000000000003</v>
      </c>
      <c r="AW868" s="2994">
        <v>4.4115000000000002</v>
      </c>
      <c r="AX868" s="2994">
        <v>4.4743000000000004</v>
      </c>
      <c r="AY868" s="2994">
        <v>5.2013999999999996</v>
      </c>
      <c r="AZ868" s="2994">
        <v>5.5407999999999999</v>
      </c>
      <c r="BA868" s="2994">
        <v>5.3201999999999998</v>
      </c>
      <c r="BB868" s="2994">
        <v>5.6014999999999997</v>
      </c>
      <c r="BC868" s="2994">
        <v>5.5326000000000004</v>
      </c>
      <c r="BD868" s="3471">
        <v>4.9500999999999999</v>
      </c>
      <c r="BE868" s="3471">
        <v>4.9546999999999999</v>
      </c>
      <c r="BF868" s="3471">
        <v>5.4202000000000004</v>
      </c>
    </row>
    <row r="869" spans="1:58">
      <c r="A869" s="1817" t="str">
        <f t="shared" si="27"/>
        <v>Southern AsiaCoffee, green</v>
      </c>
      <c r="B869" s="1818" t="s">
        <v>1326</v>
      </c>
      <c r="C869" s="1818" t="s">
        <v>1347</v>
      </c>
      <c r="D869" s="3463" t="str">
        <f>VLOOKUP(B869,List_Yield!$G$4:$J$14,4,FALSE)</f>
        <v>Asia (Indian Subcontinent)</v>
      </c>
      <c r="E869" s="3463" t="str">
        <f t="shared" si="26"/>
        <v>Asia (Indian Subcontinent)Coffee, green</v>
      </c>
      <c r="F869" s="2994">
        <v>0.47470000000000001</v>
      </c>
      <c r="G869" s="2994">
        <v>0.42009999999999997</v>
      </c>
      <c r="H869" s="2994">
        <v>0.50749999999999995</v>
      </c>
      <c r="I869" s="2994">
        <v>0.628</v>
      </c>
      <c r="J869" s="2994">
        <v>0.5393</v>
      </c>
      <c r="K869" s="2994">
        <v>0.54700000000000004</v>
      </c>
      <c r="L869" s="2994">
        <v>0.68979999999999997</v>
      </c>
      <c r="M869" s="2994">
        <v>0.50860000000000005</v>
      </c>
      <c r="N869" s="2994">
        <v>0.63729999999999998</v>
      </c>
      <c r="O869" s="2994">
        <v>0.53669999999999995</v>
      </c>
      <c r="P869" s="2994">
        <v>0.89610000000000001</v>
      </c>
      <c r="Q869" s="2994">
        <v>0.5655</v>
      </c>
      <c r="R869" s="2994">
        <v>0.72789999999999999</v>
      </c>
      <c r="S869" s="2994">
        <v>0.69950000000000001</v>
      </c>
      <c r="T869" s="2994">
        <v>0.66930000000000001</v>
      </c>
      <c r="U869" s="2994">
        <v>0.59319999999999995</v>
      </c>
      <c r="V869" s="2994">
        <v>0.67510000000000003</v>
      </c>
      <c r="W869" s="2994">
        <v>0.77510000000000001</v>
      </c>
      <c r="X869" s="2994">
        <v>0.6462</v>
      </c>
      <c r="Y869" s="2994">
        <v>0.83819999999999995</v>
      </c>
      <c r="Z869" s="2994">
        <v>0.66169999999999995</v>
      </c>
      <c r="AA869" s="2994">
        <v>0.8165</v>
      </c>
      <c r="AB869" s="2994">
        <v>0.69899999999999995</v>
      </c>
      <c r="AC869" s="2994">
        <v>0.53169999999999995</v>
      </c>
      <c r="AD869" s="2994">
        <v>0.92820000000000003</v>
      </c>
      <c r="AE869" s="2994">
        <v>0.56310000000000004</v>
      </c>
      <c r="AF869" s="2994">
        <v>0.86429999999999996</v>
      </c>
      <c r="AG869" s="2994">
        <v>0.55389999999999995</v>
      </c>
      <c r="AH869" s="2994">
        <v>0.94140000000000001</v>
      </c>
      <c r="AI869" s="2994">
        <v>0.53620000000000001</v>
      </c>
      <c r="AJ869" s="2994">
        <v>0.75119999999999998</v>
      </c>
      <c r="AK869" s="2994">
        <v>0.79749999999999999</v>
      </c>
      <c r="AL869" s="2994">
        <v>0.71830000000000005</v>
      </c>
      <c r="AM869" s="2994">
        <v>0.90159999999999996</v>
      </c>
      <c r="AN869" s="2994">
        <v>0.78059999999999996</v>
      </c>
      <c r="AO869" s="2994">
        <v>0.90739999999999998</v>
      </c>
      <c r="AP869" s="2994">
        <v>0.80740000000000001</v>
      </c>
      <c r="AQ869" s="2994">
        <v>0.78939999999999999</v>
      </c>
      <c r="AR869" s="2994">
        <v>0.86460000000000004</v>
      </c>
      <c r="AS869" s="2994">
        <v>0.93069999999999997</v>
      </c>
      <c r="AT869" s="2994">
        <v>0.94479999999999997</v>
      </c>
      <c r="AU869" s="2994">
        <v>0.92490000000000006</v>
      </c>
      <c r="AV869" s="2994">
        <v>0.85409999999999997</v>
      </c>
      <c r="AW869" s="2994">
        <v>0.82389999999999997</v>
      </c>
      <c r="AX869" s="2994">
        <v>0.81859999999999999</v>
      </c>
      <c r="AY869" s="2994">
        <v>0.79479999999999995</v>
      </c>
      <c r="AZ869" s="2994">
        <v>0.83050000000000002</v>
      </c>
      <c r="BA869" s="2994">
        <v>0.75519999999999998</v>
      </c>
      <c r="BB869" s="2994">
        <v>0.74280000000000002</v>
      </c>
      <c r="BC869" s="2994">
        <v>0.80710000000000004</v>
      </c>
      <c r="BD869" s="3471">
        <v>0.8296</v>
      </c>
      <c r="BE869" s="3471">
        <v>0.84450000000000003</v>
      </c>
      <c r="BF869" s="3471">
        <v>0</v>
      </c>
    </row>
    <row r="870" spans="1:58">
      <c r="A870" s="1817" t="str">
        <f t="shared" si="27"/>
        <v>Southern AsiaCoir</v>
      </c>
      <c r="B870" s="1818" t="s">
        <v>1326</v>
      </c>
      <c r="C870" s="1818" t="s">
        <v>7315</v>
      </c>
      <c r="D870" s="3463" t="str">
        <f>VLOOKUP(B870,List_Yield!$G$4:$J$14,4,FALSE)</f>
        <v>Asia (Indian Subcontinent)</v>
      </c>
      <c r="E870" s="3463" t="str">
        <f t="shared" si="26"/>
        <v>Asia (Indian Subcontinent)Coir</v>
      </c>
      <c r="F870" s="2994">
        <v>0</v>
      </c>
      <c r="G870" s="2994">
        <v>0</v>
      </c>
      <c r="H870" s="2994">
        <v>0</v>
      </c>
      <c r="I870" s="2994">
        <v>0</v>
      </c>
      <c r="J870" s="2994">
        <v>0</v>
      </c>
      <c r="K870" s="2994">
        <v>0</v>
      </c>
      <c r="L870" s="2994">
        <v>0</v>
      </c>
      <c r="M870" s="2994">
        <v>0</v>
      </c>
      <c r="N870" s="2994">
        <v>0</v>
      </c>
      <c r="O870" s="2994">
        <v>0</v>
      </c>
      <c r="P870" s="2994">
        <v>0</v>
      </c>
      <c r="Q870" s="2994">
        <v>0</v>
      </c>
      <c r="R870" s="2994">
        <v>0</v>
      </c>
      <c r="S870" s="2994">
        <v>0</v>
      </c>
      <c r="T870" s="2994">
        <v>0</v>
      </c>
      <c r="U870" s="2994">
        <v>0</v>
      </c>
      <c r="V870" s="2994">
        <v>0</v>
      </c>
      <c r="W870" s="2994">
        <v>0</v>
      </c>
      <c r="X870" s="2994">
        <v>0</v>
      </c>
      <c r="Y870" s="2994">
        <v>0</v>
      </c>
      <c r="Z870" s="2994">
        <v>0</v>
      </c>
      <c r="AA870" s="2994">
        <v>0</v>
      </c>
      <c r="AB870" s="2994">
        <v>0</v>
      </c>
      <c r="AC870" s="2994">
        <v>0</v>
      </c>
      <c r="AD870" s="2994">
        <v>0</v>
      </c>
      <c r="AE870" s="2994">
        <v>0</v>
      </c>
      <c r="AF870" s="2994">
        <v>0</v>
      </c>
      <c r="AG870" s="2994">
        <v>0</v>
      </c>
      <c r="AH870" s="2994">
        <v>0</v>
      </c>
      <c r="AI870" s="2994">
        <v>0</v>
      </c>
      <c r="AJ870" s="2994">
        <v>0</v>
      </c>
      <c r="AK870" s="2994">
        <v>0</v>
      </c>
      <c r="AL870" s="2994">
        <v>0</v>
      </c>
      <c r="AM870" s="2994">
        <v>0</v>
      </c>
      <c r="AN870" s="2994">
        <v>0</v>
      </c>
      <c r="AO870" s="2994">
        <v>0</v>
      </c>
      <c r="AP870" s="2994">
        <v>0</v>
      </c>
      <c r="AQ870" s="2994">
        <v>0</v>
      </c>
      <c r="AR870" s="2994">
        <v>0</v>
      </c>
      <c r="AS870" s="2994">
        <v>0</v>
      </c>
      <c r="AT870" s="2994">
        <v>0</v>
      </c>
      <c r="AU870" s="2994">
        <v>0</v>
      </c>
      <c r="AV870" s="2994">
        <v>0</v>
      </c>
      <c r="AW870" s="2994">
        <v>0</v>
      </c>
      <c r="AX870" s="2994">
        <v>0</v>
      </c>
      <c r="AY870" s="2994">
        <v>0</v>
      </c>
      <c r="AZ870" s="2994">
        <v>0</v>
      </c>
      <c r="BA870" s="2994">
        <v>0</v>
      </c>
      <c r="BB870" s="2994">
        <v>0</v>
      </c>
      <c r="BC870" s="2994">
        <v>0</v>
      </c>
      <c r="BD870" s="3471">
        <v>0</v>
      </c>
      <c r="BE870" s="3471">
        <v>0</v>
      </c>
      <c r="BF870" s="3471">
        <v>0</v>
      </c>
    </row>
    <row r="871" spans="1:58">
      <c r="A871" s="1817" t="str">
        <f t="shared" si="27"/>
        <v>Southern AsiaCow peas, dry</v>
      </c>
      <c r="B871" s="1818" t="s">
        <v>1326</v>
      </c>
      <c r="C871" s="1818" t="s">
        <v>1329</v>
      </c>
      <c r="D871" s="3463" t="str">
        <f>VLOOKUP(B871,List_Yield!$G$4:$J$14,4,FALSE)</f>
        <v>Asia (Indian Subcontinent)</v>
      </c>
      <c r="E871" s="3463" t="str">
        <f t="shared" si="26"/>
        <v>Asia (Indian Subcontinent)Cow peas, dry</v>
      </c>
      <c r="F871" s="2994">
        <v>0.42549999999999999</v>
      </c>
      <c r="G871" s="2994">
        <v>0.69899999999999995</v>
      </c>
      <c r="H871" s="2994">
        <v>0.54930000000000001</v>
      </c>
      <c r="I871" s="2994">
        <v>0.61509999999999998</v>
      </c>
      <c r="J871" s="2994">
        <v>0.63800000000000001</v>
      </c>
      <c r="K871" s="2994">
        <v>0.61970000000000003</v>
      </c>
      <c r="L871" s="2994">
        <v>0.49399999999999999</v>
      </c>
      <c r="M871" s="2994">
        <v>0.60619999999999996</v>
      </c>
      <c r="N871" s="2994">
        <v>0.61890000000000001</v>
      </c>
      <c r="O871" s="2994">
        <v>0.76929999999999998</v>
      </c>
      <c r="P871" s="2994">
        <v>0.88419999999999999</v>
      </c>
      <c r="Q871" s="2994">
        <v>0.99399999999999999</v>
      </c>
      <c r="R871" s="2994">
        <v>0.99550000000000005</v>
      </c>
      <c r="S871" s="2994">
        <v>0.67359999999999998</v>
      </c>
      <c r="T871" s="2994">
        <v>0.86580000000000001</v>
      </c>
      <c r="U871" s="2994">
        <v>0.61870000000000003</v>
      </c>
      <c r="V871" s="2994">
        <v>0.70020000000000004</v>
      </c>
      <c r="W871" s="2994">
        <v>0.8196</v>
      </c>
      <c r="X871" s="2994">
        <v>0.62219999999999998</v>
      </c>
      <c r="Y871" s="2994">
        <v>0.9204</v>
      </c>
      <c r="Z871" s="2994">
        <v>1.0304</v>
      </c>
      <c r="AA871" s="2994">
        <v>0.99690000000000001</v>
      </c>
      <c r="AB871" s="2994">
        <v>0.56999999999999995</v>
      </c>
      <c r="AC871" s="2994">
        <v>0.71689999999999998</v>
      </c>
      <c r="AD871" s="2994">
        <v>0.75970000000000004</v>
      </c>
      <c r="AE871" s="2994">
        <v>0.88670000000000004</v>
      </c>
      <c r="AF871" s="2994">
        <v>0.8054</v>
      </c>
      <c r="AG871" s="2994">
        <v>0.82230000000000003</v>
      </c>
      <c r="AH871" s="2994">
        <v>0.66210000000000002</v>
      </c>
      <c r="AI871" s="2994">
        <v>0.86960000000000004</v>
      </c>
      <c r="AJ871" s="2994">
        <v>0.87070000000000003</v>
      </c>
      <c r="AK871" s="2994">
        <v>0.82579999999999998</v>
      </c>
      <c r="AL871" s="2994">
        <v>0.88380000000000003</v>
      </c>
      <c r="AM871" s="2994">
        <v>0.88780000000000003</v>
      </c>
      <c r="AN871" s="2994">
        <v>0.89019999999999999</v>
      </c>
      <c r="AO871" s="2994">
        <v>0.8992</v>
      </c>
      <c r="AP871" s="2994">
        <v>0.86150000000000004</v>
      </c>
      <c r="AQ871" s="2994">
        <v>0.90380000000000005</v>
      </c>
      <c r="AR871" s="2994">
        <v>0.92020000000000002</v>
      </c>
      <c r="AS871" s="2994">
        <v>0.93589999999999995</v>
      </c>
      <c r="AT871" s="2994">
        <v>0.91200000000000003</v>
      </c>
      <c r="AU871" s="2994">
        <v>0.88619999999999999</v>
      </c>
      <c r="AV871" s="2994">
        <v>0.93210000000000004</v>
      </c>
      <c r="AW871" s="2994">
        <v>0.94820000000000004</v>
      </c>
      <c r="AX871" s="2994">
        <v>0.98419999999999996</v>
      </c>
      <c r="AY871" s="2994">
        <v>0.95020000000000004</v>
      </c>
      <c r="AZ871" s="2994">
        <v>1.0206999999999999</v>
      </c>
      <c r="BA871" s="2994">
        <v>0.98270000000000002</v>
      </c>
      <c r="BB871" s="2994">
        <v>1.1782999999999999</v>
      </c>
      <c r="BC871" s="2994">
        <v>1.0681</v>
      </c>
      <c r="BD871" s="3471">
        <v>1.1273</v>
      </c>
      <c r="BE871" s="3471">
        <v>1.3169999999999999</v>
      </c>
      <c r="BF871" s="3471">
        <v>1.3152999999999999</v>
      </c>
    </row>
    <row r="872" spans="1:58">
      <c r="A872" s="1817" t="str">
        <f t="shared" si="27"/>
        <v>Southern AsiaCranberries</v>
      </c>
      <c r="B872" s="1818" t="s">
        <v>1326</v>
      </c>
      <c r="C872" s="1818" t="s">
        <v>7316</v>
      </c>
      <c r="D872" s="3463" t="str">
        <f>VLOOKUP(B872,List_Yield!$G$4:$J$14,4,FALSE)</f>
        <v>Asia (Indian Subcontinent)</v>
      </c>
      <c r="E872" s="3463" t="str">
        <f t="shared" si="26"/>
        <v>Asia (Indian Subcontinent)Cranberries</v>
      </c>
      <c r="F872" s="2994">
        <v>0</v>
      </c>
      <c r="G872" s="2994">
        <v>0</v>
      </c>
      <c r="H872" s="2994">
        <v>0</v>
      </c>
      <c r="I872" s="2994">
        <v>0</v>
      </c>
      <c r="J872" s="2994">
        <v>0</v>
      </c>
      <c r="K872" s="2994">
        <v>0</v>
      </c>
      <c r="L872" s="2994">
        <v>0</v>
      </c>
      <c r="M872" s="2994">
        <v>0</v>
      </c>
      <c r="N872" s="2994">
        <v>0</v>
      </c>
      <c r="O872" s="2994">
        <v>0</v>
      </c>
      <c r="P872" s="2994">
        <v>0</v>
      </c>
      <c r="Q872" s="2994">
        <v>0</v>
      </c>
      <c r="R872" s="2994">
        <v>0</v>
      </c>
      <c r="S872" s="2994">
        <v>0</v>
      </c>
      <c r="T872" s="2994">
        <v>0</v>
      </c>
      <c r="U872" s="2994">
        <v>0</v>
      </c>
      <c r="V872" s="2994">
        <v>0</v>
      </c>
      <c r="W872" s="2994">
        <v>0</v>
      </c>
      <c r="X872" s="2994">
        <v>0</v>
      </c>
      <c r="Y872" s="2994">
        <v>0</v>
      </c>
      <c r="Z872" s="2994">
        <v>0</v>
      </c>
      <c r="AA872" s="2994">
        <v>0</v>
      </c>
      <c r="AB872" s="2994">
        <v>0</v>
      </c>
      <c r="AC872" s="2994">
        <v>0</v>
      </c>
      <c r="AD872" s="2994">
        <v>0</v>
      </c>
      <c r="AE872" s="2994">
        <v>0</v>
      </c>
      <c r="AF872" s="2994">
        <v>0</v>
      </c>
      <c r="AG872" s="2994">
        <v>0</v>
      </c>
      <c r="AH872" s="2994">
        <v>0</v>
      </c>
      <c r="AI872" s="2994">
        <v>0</v>
      </c>
      <c r="AJ872" s="2994">
        <v>0</v>
      </c>
      <c r="AK872" s="2994">
        <v>0</v>
      </c>
      <c r="AL872" s="2994">
        <v>0</v>
      </c>
      <c r="AM872" s="2994">
        <v>0</v>
      </c>
      <c r="AN872" s="2994">
        <v>0</v>
      </c>
      <c r="AO872" s="2994">
        <v>0</v>
      </c>
      <c r="AP872" s="2994">
        <v>0</v>
      </c>
      <c r="AQ872" s="2994">
        <v>0</v>
      </c>
      <c r="AR872" s="2994">
        <v>0</v>
      </c>
      <c r="AS872" s="2994">
        <v>0</v>
      </c>
      <c r="AT872" s="2994">
        <v>0</v>
      </c>
      <c r="AU872" s="2994">
        <v>0</v>
      </c>
      <c r="AV872" s="2994">
        <v>0</v>
      </c>
      <c r="AW872" s="2994">
        <v>0</v>
      </c>
      <c r="AX872" s="2994">
        <v>0</v>
      </c>
      <c r="AY872" s="2994">
        <v>0</v>
      </c>
      <c r="AZ872" s="2994">
        <v>0</v>
      </c>
      <c r="BA872" s="2994">
        <v>0</v>
      </c>
      <c r="BB872" s="2994">
        <v>0</v>
      </c>
      <c r="BC872" s="2994">
        <v>0</v>
      </c>
      <c r="BD872" s="3471">
        <v>0</v>
      </c>
      <c r="BE872" s="3471">
        <v>0</v>
      </c>
      <c r="BF872" s="3471">
        <v>0</v>
      </c>
    </row>
    <row r="873" spans="1:58">
      <c r="A873" s="1817" t="str">
        <f t="shared" si="27"/>
        <v>Southern AsiaCucumbers and gherkins</v>
      </c>
      <c r="B873" s="1818" t="s">
        <v>1326</v>
      </c>
      <c r="C873" s="1818" t="s">
        <v>7317</v>
      </c>
      <c r="D873" s="3463" t="str">
        <f>VLOOKUP(B873,List_Yield!$G$4:$J$14,4,FALSE)</f>
        <v>Asia (Indian Subcontinent)</v>
      </c>
      <c r="E873" s="3463" t="str">
        <f t="shared" si="26"/>
        <v>Asia (Indian Subcontinent)Cucumbers and gherkins</v>
      </c>
      <c r="F873" s="2994">
        <v>6.5456000000000003</v>
      </c>
      <c r="G873" s="2994">
        <v>6.8220999999999998</v>
      </c>
      <c r="H873" s="2994">
        <v>6.6439000000000004</v>
      </c>
      <c r="I873" s="2994">
        <v>7.0873999999999997</v>
      </c>
      <c r="J873" s="2994">
        <v>7.0921000000000003</v>
      </c>
      <c r="K873" s="2994">
        <v>7.1719999999999997</v>
      </c>
      <c r="L873" s="2994">
        <v>7.2405999999999997</v>
      </c>
      <c r="M873" s="2994">
        <v>7.2336</v>
      </c>
      <c r="N873" s="2994">
        <v>7.5620000000000003</v>
      </c>
      <c r="O873" s="2994">
        <v>7.7384000000000004</v>
      </c>
      <c r="P873" s="2994">
        <v>7.9040999999999997</v>
      </c>
      <c r="Q873" s="2994">
        <v>8.1693999999999996</v>
      </c>
      <c r="R873" s="2994">
        <v>8.4029000000000007</v>
      </c>
      <c r="S873" s="2994">
        <v>8.6509</v>
      </c>
      <c r="T873" s="2994">
        <v>8.8940999999999999</v>
      </c>
      <c r="U873" s="2994">
        <v>9.0167000000000002</v>
      </c>
      <c r="V873" s="2994">
        <v>9.4816000000000003</v>
      </c>
      <c r="W873" s="2994">
        <v>9.9273000000000007</v>
      </c>
      <c r="X873" s="2994">
        <v>9.6933000000000007</v>
      </c>
      <c r="Y873" s="2994">
        <v>10.7925</v>
      </c>
      <c r="Z873" s="2994">
        <v>12.0244</v>
      </c>
      <c r="AA873" s="2994">
        <v>15.020899999999999</v>
      </c>
      <c r="AB873" s="2994">
        <v>14.069000000000001</v>
      </c>
      <c r="AC873" s="2994">
        <v>13.7943</v>
      </c>
      <c r="AD873" s="2994">
        <v>13.707800000000001</v>
      </c>
      <c r="AE873" s="2994">
        <v>12.7468</v>
      </c>
      <c r="AF873" s="2994">
        <v>12.5402</v>
      </c>
      <c r="AG873" s="2994">
        <v>10.3858</v>
      </c>
      <c r="AH873" s="2994">
        <v>12.0307</v>
      </c>
      <c r="AI873" s="2994">
        <v>14.2279</v>
      </c>
      <c r="AJ873" s="2994">
        <v>11.2103</v>
      </c>
      <c r="AK873" s="2994">
        <v>13.9404</v>
      </c>
      <c r="AL873" s="2994">
        <v>13.5542</v>
      </c>
      <c r="AM873" s="2994">
        <v>14.553699999999999</v>
      </c>
      <c r="AN873" s="2994">
        <v>15.547000000000001</v>
      </c>
      <c r="AO873" s="2994">
        <v>13.0298</v>
      </c>
      <c r="AP873" s="2994">
        <v>13.041499999999999</v>
      </c>
      <c r="AQ873" s="2994">
        <v>14.6471</v>
      </c>
      <c r="AR873" s="2994">
        <v>14.5299</v>
      </c>
      <c r="AS873" s="2994">
        <v>14.521599999999999</v>
      </c>
      <c r="AT873" s="2994">
        <v>13.612</v>
      </c>
      <c r="AU873" s="2994">
        <v>15.1921</v>
      </c>
      <c r="AV873" s="2994">
        <v>15.638</v>
      </c>
      <c r="AW873" s="2994">
        <v>17.751899999999999</v>
      </c>
      <c r="AX873" s="2994">
        <v>18.0303</v>
      </c>
      <c r="AY873" s="2994">
        <v>18.655899999999999</v>
      </c>
      <c r="AZ873" s="2994">
        <v>17.004999999999999</v>
      </c>
      <c r="BA873" s="2994">
        <v>16.527200000000001</v>
      </c>
      <c r="BB873" s="2994">
        <v>15.6655</v>
      </c>
      <c r="BC873" s="2994">
        <v>18.505400000000002</v>
      </c>
      <c r="BD873" s="3471">
        <v>17.684999999999999</v>
      </c>
      <c r="BE873" s="3471">
        <v>17.133900000000001</v>
      </c>
      <c r="BF873" s="3471">
        <v>0</v>
      </c>
    </row>
    <row r="874" spans="1:58">
      <c r="A874" s="1817" t="str">
        <f t="shared" si="27"/>
        <v>Southern AsiaCurrants</v>
      </c>
      <c r="B874" s="1818" t="s">
        <v>1326</v>
      </c>
      <c r="C874" s="1818" t="s">
        <v>7318</v>
      </c>
      <c r="D874" s="3463" t="str">
        <f>VLOOKUP(B874,List_Yield!$G$4:$J$14,4,FALSE)</f>
        <v>Asia (Indian Subcontinent)</v>
      </c>
      <c r="E874" s="3463" t="str">
        <f t="shared" si="26"/>
        <v>Asia (Indian Subcontinent)Currants</v>
      </c>
      <c r="F874" s="2994">
        <v>0</v>
      </c>
      <c r="G874" s="2994">
        <v>0</v>
      </c>
      <c r="H874" s="2994">
        <v>0</v>
      </c>
      <c r="I874" s="2994">
        <v>0</v>
      </c>
      <c r="J874" s="2994">
        <v>0</v>
      </c>
      <c r="K874" s="2994">
        <v>0</v>
      </c>
      <c r="L874" s="2994">
        <v>0</v>
      </c>
      <c r="M874" s="2994">
        <v>0</v>
      </c>
      <c r="N874" s="2994">
        <v>0</v>
      </c>
      <c r="O874" s="2994">
        <v>0</v>
      </c>
      <c r="P874" s="2994">
        <v>0</v>
      </c>
      <c r="Q874" s="2994">
        <v>0</v>
      </c>
      <c r="R874" s="2994">
        <v>0</v>
      </c>
      <c r="S874" s="2994">
        <v>0</v>
      </c>
      <c r="T874" s="2994">
        <v>0</v>
      </c>
      <c r="U874" s="2994">
        <v>0</v>
      </c>
      <c r="V874" s="2994">
        <v>0</v>
      </c>
      <c r="W874" s="2994">
        <v>0</v>
      </c>
      <c r="X874" s="2994">
        <v>0</v>
      </c>
      <c r="Y874" s="2994">
        <v>0</v>
      </c>
      <c r="Z874" s="2994">
        <v>0</v>
      </c>
      <c r="AA874" s="2994">
        <v>0</v>
      </c>
      <c r="AB874" s="2994">
        <v>0</v>
      </c>
      <c r="AC874" s="2994">
        <v>0</v>
      </c>
      <c r="AD874" s="2994">
        <v>0</v>
      </c>
      <c r="AE874" s="2994">
        <v>0</v>
      </c>
      <c r="AF874" s="2994">
        <v>0</v>
      </c>
      <c r="AG874" s="2994">
        <v>0</v>
      </c>
      <c r="AH874" s="2994">
        <v>0</v>
      </c>
      <c r="AI874" s="2994">
        <v>0</v>
      </c>
      <c r="AJ874" s="2994">
        <v>0</v>
      </c>
      <c r="AK874" s="2994">
        <v>0</v>
      </c>
      <c r="AL874" s="2994">
        <v>0</v>
      </c>
      <c r="AM874" s="2994">
        <v>0</v>
      </c>
      <c r="AN874" s="2994">
        <v>0</v>
      </c>
      <c r="AO874" s="2994">
        <v>0</v>
      </c>
      <c r="AP874" s="2994">
        <v>0</v>
      </c>
      <c r="AQ874" s="2994">
        <v>0</v>
      </c>
      <c r="AR874" s="2994">
        <v>0</v>
      </c>
      <c r="AS874" s="2994">
        <v>0</v>
      </c>
      <c r="AT874" s="2994">
        <v>0</v>
      </c>
      <c r="AU874" s="2994">
        <v>0</v>
      </c>
      <c r="AV874" s="2994">
        <v>0</v>
      </c>
      <c r="AW874" s="2994">
        <v>0</v>
      </c>
      <c r="AX874" s="2994">
        <v>0</v>
      </c>
      <c r="AY874" s="2994">
        <v>0</v>
      </c>
      <c r="AZ874" s="2994">
        <v>0</v>
      </c>
      <c r="BA874" s="2994">
        <v>0</v>
      </c>
      <c r="BB874" s="2994">
        <v>0</v>
      </c>
      <c r="BC874" s="2994">
        <v>0</v>
      </c>
      <c r="BD874" s="3471">
        <v>0</v>
      </c>
      <c r="BE874" s="3471">
        <v>0</v>
      </c>
      <c r="BF874" s="3471">
        <v>0</v>
      </c>
    </row>
    <row r="875" spans="1:58">
      <c r="A875" s="1817" t="str">
        <f t="shared" si="27"/>
        <v>Southern AsiaDates</v>
      </c>
      <c r="B875" s="1818" t="s">
        <v>1326</v>
      </c>
      <c r="C875" s="1818" t="s">
        <v>1348</v>
      </c>
      <c r="D875" s="3463" t="str">
        <f>VLOOKUP(B875,List_Yield!$G$4:$J$14,4,FALSE)</f>
        <v>Asia (Indian Subcontinent)</v>
      </c>
      <c r="E875" s="3463" t="str">
        <f t="shared" si="26"/>
        <v>Asia (Indian Subcontinent)Dates</v>
      </c>
      <c r="F875" s="2994">
        <v>4.2991999999999999</v>
      </c>
      <c r="G875" s="2994">
        <v>4.2907999999999999</v>
      </c>
      <c r="H875" s="2994">
        <v>4.391</v>
      </c>
      <c r="I875" s="2994">
        <v>4.3377999999999997</v>
      </c>
      <c r="J875" s="2994">
        <v>4.6970000000000001</v>
      </c>
      <c r="K875" s="2994">
        <v>4.4633000000000003</v>
      </c>
      <c r="L875" s="2994">
        <v>4.3730000000000002</v>
      </c>
      <c r="M875" s="2994">
        <v>4.3426999999999998</v>
      </c>
      <c r="N875" s="2994">
        <v>4.3983999999999996</v>
      </c>
      <c r="O875" s="2994">
        <v>4.7442000000000002</v>
      </c>
      <c r="P875" s="2994">
        <v>4.4572000000000003</v>
      </c>
      <c r="Q875" s="2994">
        <v>4.9073000000000002</v>
      </c>
      <c r="R875" s="2994">
        <v>4.5366999999999997</v>
      </c>
      <c r="S875" s="2994">
        <v>4.6974</v>
      </c>
      <c r="T875" s="2994">
        <v>4.4470999999999998</v>
      </c>
      <c r="U875" s="2994">
        <v>4.7659000000000002</v>
      </c>
      <c r="V875" s="2994">
        <v>4.7911000000000001</v>
      </c>
      <c r="W875" s="2994">
        <v>4.7069000000000001</v>
      </c>
      <c r="X875" s="2994">
        <v>4.7877000000000001</v>
      </c>
      <c r="Y875" s="2994">
        <v>4.1847000000000003</v>
      </c>
      <c r="Z875" s="2994">
        <v>4.0591999999999997</v>
      </c>
      <c r="AA875" s="2994">
        <v>4.0274999999999999</v>
      </c>
      <c r="AB875" s="2994">
        <v>5.0157999999999996</v>
      </c>
      <c r="AC875" s="2994">
        <v>5.0354999999999999</v>
      </c>
      <c r="AD875" s="2994">
        <v>4.6970000000000001</v>
      </c>
      <c r="AE875" s="2994">
        <v>4.6855000000000002</v>
      </c>
      <c r="AF875" s="2994">
        <v>4.8941999999999997</v>
      </c>
      <c r="AG875" s="2994">
        <v>4.9897999999999998</v>
      </c>
      <c r="AH875" s="2994">
        <v>5.056</v>
      </c>
      <c r="AI875" s="2994">
        <v>4.9912000000000001</v>
      </c>
      <c r="AJ875" s="2994">
        <v>5.0488999999999997</v>
      </c>
      <c r="AK875" s="2994">
        <v>4.8036000000000003</v>
      </c>
      <c r="AL875" s="2994">
        <v>6.1032000000000002</v>
      </c>
      <c r="AM875" s="2994">
        <v>6.0336999999999996</v>
      </c>
      <c r="AN875" s="2994">
        <v>5.8339999999999996</v>
      </c>
      <c r="AO875" s="2994">
        <v>5.7747000000000002</v>
      </c>
      <c r="AP875" s="2994">
        <v>5.2888999999999999</v>
      </c>
      <c r="AQ875" s="2994">
        <v>5.5914000000000001</v>
      </c>
      <c r="AR875" s="2994">
        <v>5.8552</v>
      </c>
      <c r="AS875" s="2994">
        <v>5.6284000000000001</v>
      </c>
      <c r="AT875" s="2994">
        <v>5.7510000000000003</v>
      </c>
      <c r="AU875" s="2994">
        <v>5.7434000000000003</v>
      </c>
      <c r="AV875" s="2994">
        <v>4.9067999999999996</v>
      </c>
      <c r="AW875" s="2994">
        <v>5.1222000000000003</v>
      </c>
      <c r="AX875" s="2994">
        <v>4.6543000000000001</v>
      </c>
      <c r="AY875" s="2994">
        <v>4.3926999999999996</v>
      </c>
      <c r="AZ875" s="2994">
        <v>5.3983999999999996</v>
      </c>
      <c r="BA875" s="2994">
        <v>6.4271000000000003</v>
      </c>
      <c r="BB875" s="2994">
        <v>6.2876000000000003</v>
      </c>
      <c r="BC875" s="2994">
        <v>6.2704000000000004</v>
      </c>
      <c r="BD875" s="3471">
        <v>6.5391000000000004</v>
      </c>
      <c r="BE875" s="3471">
        <v>6.6375000000000002</v>
      </c>
      <c r="BF875" s="3471">
        <v>0</v>
      </c>
    </row>
    <row r="876" spans="1:58">
      <c r="A876" s="1817" t="str">
        <f t="shared" si="27"/>
        <v>Southern AsiaEggplants (aubergines)</v>
      </c>
      <c r="B876" s="1818" t="s">
        <v>1326</v>
      </c>
      <c r="C876" s="1818" t="s">
        <v>1349</v>
      </c>
      <c r="D876" s="3463" t="str">
        <f>VLOOKUP(B876,List_Yield!$G$4:$J$14,4,FALSE)</f>
        <v>Asia (Indian Subcontinent)</v>
      </c>
      <c r="E876" s="3463" t="str">
        <f t="shared" si="26"/>
        <v>Asia (Indian Subcontinent)Eggplants (aubergines)</v>
      </c>
      <c r="F876" s="2994">
        <v>6.6086</v>
      </c>
      <c r="G876" s="2994">
        <v>6.7488000000000001</v>
      </c>
      <c r="H876" s="2994">
        <v>6.7964000000000002</v>
      </c>
      <c r="I876" s="2994">
        <v>6.7995000000000001</v>
      </c>
      <c r="J876" s="2994">
        <v>6.8722000000000003</v>
      </c>
      <c r="K876" s="2994">
        <v>6.8548999999999998</v>
      </c>
      <c r="L876" s="2994">
        <v>6.8476999999999997</v>
      </c>
      <c r="M876" s="2994">
        <v>7.0094000000000003</v>
      </c>
      <c r="N876" s="2994">
        <v>6.9972000000000003</v>
      </c>
      <c r="O876" s="2994">
        <v>7.2138</v>
      </c>
      <c r="P876" s="2994">
        <v>7.4035000000000002</v>
      </c>
      <c r="Q876" s="2994">
        <v>7.5544000000000002</v>
      </c>
      <c r="R876" s="2994">
        <v>7.6096000000000004</v>
      </c>
      <c r="S876" s="2994">
        <v>7.5499000000000001</v>
      </c>
      <c r="T876" s="2994">
        <v>7.5848000000000004</v>
      </c>
      <c r="U876" s="2994">
        <v>7.6677999999999997</v>
      </c>
      <c r="V876" s="2994">
        <v>7.8186</v>
      </c>
      <c r="W876" s="2994">
        <v>7.8354999999999997</v>
      </c>
      <c r="X876" s="2994">
        <v>7.9234999999999998</v>
      </c>
      <c r="Y876" s="2994">
        <v>8.0883000000000003</v>
      </c>
      <c r="Z876" s="2994">
        <v>8.6565999999999992</v>
      </c>
      <c r="AA876" s="2994">
        <v>8.9476999999999993</v>
      </c>
      <c r="AB876" s="2994">
        <v>9.0416000000000007</v>
      </c>
      <c r="AC876" s="2994">
        <v>9.2018000000000004</v>
      </c>
      <c r="AD876" s="2994">
        <v>9.2950999999999997</v>
      </c>
      <c r="AE876" s="2994">
        <v>9.5175000000000001</v>
      </c>
      <c r="AF876" s="2994">
        <v>9.7990999999999993</v>
      </c>
      <c r="AG876" s="2994">
        <v>9.9748999999999999</v>
      </c>
      <c r="AH876" s="2994">
        <v>10.173999999999999</v>
      </c>
      <c r="AI876" s="2994">
        <v>10.415100000000001</v>
      </c>
      <c r="AJ876" s="2994">
        <v>10.492800000000001</v>
      </c>
      <c r="AK876" s="2994">
        <v>14.037599999999999</v>
      </c>
      <c r="AL876" s="2994">
        <v>19.241399999999999</v>
      </c>
      <c r="AM876" s="2994">
        <v>15.508900000000001</v>
      </c>
      <c r="AN876" s="2994">
        <v>14.6921</v>
      </c>
      <c r="AO876" s="2994">
        <v>14.1623</v>
      </c>
      <c r="AP876" s="2994">
        <v>14.0312</v>
      </c>
      <c r="AQ876" s="2994">
        <v>15.936999999999999</v>
      </c>
      <c r="AR876" s="2994">
        <v>16.017299999999999</v>
      </c>
      <c r="AS876" s="2994">
        <v>16.2056</v>
      </c>
      <c r="AT876" s="2994">
        <v>16.365600000000001</v>
      </c>
      <c r="AU876" s="2994">
        <v>16.710100000000001</v>
      </c>
      <c r="AV876" s="2994">
        <v>15.770200000000001</v>
      </c>
      <c r="AW876" s="2994">
        <v>16.5242</v>
      </c>
      <c r="AX876" s="2994">
        <v>16.762899999999998</v>
      </c>
      <c r="AY876" s="2994">
        <v>16.767700000000001</v>
      </c>
      <c r="AZ876" s="2994">
        <v>16.767800000000001</v>
      </c>
      <c r="BA876" s="2994">
        <v>17.261900000000001</v>
      </c>
      <c r="BB876" s="2994">
        <v>17.5959</v>
      </c>
      <c r="BC876" s="2994">
        <v>17.629300000000001</v>
      </c>
      <c r="BD876" s="3471">
        <v>18.024000000000001</v>
      </c>
      <c r="BE876" s="3471">
        <v>18.039100000000001</v>
      </c>
      <c r="BF876" s="3471">
        <v>0</v>
      </c>
    </row>
    <row r="877" spans="1:58">
      <c r="A877" s="1817" t="str">
        <f t="shared" si="27"/>
        <v>Southern AsiaFibre crops nes</v>
      </c>
      <c r="B877" s="1818" t="s">
        <v>1326</v>
      </c>
      <c r="C877" s="1818" t="s">
        <v>7319</v>
      </c>
      <c r="D877" s="3463" t="str">
        <f>VLOOKUP(B877,List_Yield!$G$4:$J$14,4,FALSE)</f>
        <v>Asia (Indian Subcontinent)</v>
      </c>
      <c r="E877" s="3463" t="str">
        <f t="shared" si="26"/>
        <v>Asia (Indian Subcontinent)Fibre crops nes</v>
      </c>
      <c r="F877" s="2994">
        <v>0.91669999999999996</v>
      </c>
      <c r="G877" s="2994">
        <v>0.9</v>
      </c>
      <c r="H877" s="2994">
        <v>0.90910000000000002</v>
      </c>
      <c r="I877" s="2994">
        <v>0.92310000000000003</v>
      </c>
      <c r="J877" s="2994">
        <v>0.90910000000000002</v>
      </c>
      <c r="K877" s="2994">
        <v>0.94440000000000002</v>
      </c>
      <c r="L877" s="2994">
        <v>1</v>
      </c>
      <c r="M877" s="2994">
        <v>0.90239999999999998</v>
      </c>
      <c r="N877" s="2994">
        <v>0.76060000000000005</v>
      </c>
      <c r="O877" s="2994">
        <v>0.75290000000000001</v>
      </c>
      <c r="P877" s="2994">
        <v>0.76229999999999998</v>
      </c>
      <c r="Q877" s="2994">
        <v>0.54630000000000001</v>
      </c>
      <c r="R877" s="2994">
        <v>0.5796</v>
      </c>
      <c r="S877" s="2994">
        <v>0.6</v>
      </c>
      <c r="T877" s="2994">
        <v>0.6129</v>
      </c>
      <c r="U877" s="2994">
        <v>0.64319999999999999</v>
      </c>
      <c r="V877" s="2994">
        <v>0.61580000000000001</v>
      </c>
      <c r="W877" s="2994">
        <v>0.60409999999999997</v>
      </c>
      <c r="X877" s="2994">
        <v>0.62649999999999995</v>
      </c>
      <c r="Y877" s="2994">
        <v>0.62839999999999996</v>
      </c>
      <c r="Z877" s="2994">
        <v>0.60860000000000003</v>
      </c>
      <c r="AA877" s="2994">
        <v>0.64929999999999999</v>
      </c>
      <c r="AB877" s="2994">
        <v>0.62190000000000001</v>
      </c>
      <c r="AC877" s="2994">
        <v>0.64059999999999995</v>
      </c>
      <c r="AD877" s="2994">
        <v>0.63329999999999997</v>
      </c>
      <c r="AE877" s="2994">
        <v>0.63200000000000001</v>
      </c>
      <c r="AF877" s="2994">
        <v>0.63670000000000004</v>
      </c>
      <c r="AG877" s="2994">
        <v>0.67659999999999998</v>
      </c>
      <c r="AH877" s="2994">
        <v>0.7198</v>
      </c>
      <c r="AI877" s="2994">
        <v>0.71679999999999999</v>
      </c>
      <c r="AJ877" s="2994">
        <v>0.64570000000000005</v>
      </c>
      <c r="AK877" s="2994">
        <v>0.65639999999999998</v>
      </c>
      <c r="AL877" s="2994">
        <v>0.64180000000000004</v>
      </c>
      <c r="AM877" s="2994">
        <v>0.24629999999999999</v>
      </c>
      <c r="AN877" s="2994">
        <v>0.25609999999999999</v>
      </c>
      <c r="AO877" s="2994">
        <v>0.25890000000000002</v>
      </c>
      <c r="AP877" s="2994">
        <v>0.24660000000000001</v>
      </c>
      <c r="AQ877" s="2994">
        <v>0.24729999999999999</v>
      </c>
      <c r="AR877" s="2994">
        <v>0.23810000000000001</v>
      </c>
      <c r="AS877" s="2994">
        <v>0.24959999999999999</v>
      </c>
      <c r="AT877" s="2994">
        <v>0.25650000000000001</v>
      </c>
      <c r="AU877" s="2994">
        <v>0.24909999999999999</v>
      </c>
      <c r="AV877" s="2994">
        <v>0.26519999999999999</v>
      </c>
      <c r="AW877" s="2994">
        <v>0.25519999999999998</v>
      </c>
      <c r="AX877" s="2994">
        <v>0.28270000000000001</v>
      </c>
      <c r="AY877" s="2994">
        <v>0.28660000000000002</v>
      </c>
      <c r="AZ877" s="2994">
        <v>0.2576</v>
      </c>
      <c r="BA877" s="2994">
        <v>0.27450000000000002</v>
      </c>
      <c r="BB877" s="2994">
        <v>0.30869999999999997</v>
      </c>
      <c r="BC877" s="2994">
        <v>0.28420000000000001</v>
      </c>
      <c r="BD877" s="3471">
        <v>0.24260000000000001</v>
      </c>
      <c r="BE877" s="3471">
        <v>0.2361</v>
      </c>
      <c r="BF877" s="3471">
        <v>0</v>
      </c>
    </row>
    <row r="878" spans="1:58">
      <c r="A878" s="1817" t="str">
        <f t="shared" si="27"/>
        <v>Southern AsiaFigs</v>
      </c>
      <c r="B878" s="1818" t="s">
        <v>1326</v>
      </c>
      <c r="C878" s="1818" t="s">
        <v>7320</v>
      </c>
      <c r="D878" s="3463" t="str">
        <f>VLOOKUP(B878,List_Yield!$G$4:$J$14,4,FALSE)</f>
        <v>Asia (Indian Subcontinent)</v>
      </c>
      <c r="E878" s="3463" t="str">
        <f t="shared" si="26"/>
        <v>Asia (Indian Subcontinent)Figs</v>
      </c>
      <c r="F878" s="2994">
        <v>2.0832999999999999</v>
      </c>
      <c r="G878" s="2994">
        <v>2.0832999999999999</v>
      </c>
      <c r="H878" s="2994">
        <v>2.0832999999999999</v>
      </c>
      <c r="I878" s="2994">
        <v>2.2187999999999999</v>
      </c>
      <c r="J878" s="2994">
        <v>2.2869000000000002</v>
      </c>
      <c r="K878" s="2994">
        <v>2.2804000000000002</v>
      </c>
      <c r="L878" s="2994">
        <v>2.4064999999999999</v>
      </c>
      <c r="M878" s="2994">
        <v>2.4344000000000001</v>
      </c>
      <c r="N878" s="2994">
        <v>2.4367999999999999</v>
      </c>
      <c r="O878" s="2994">
        <v>2.3902000000000001</v>
      </c>
      <c r="P878" s="2994">
        <v>2.1353</v>
      </c>
      <c r="Q878" s="2994">
        <v>2.31</v>
      </c>
      <c r="R878" s="2994">
        <v>2.339</v>
      </c>
      <c r="S878" s="2994">
        <v>2.3325999999999998</v>
      </c>
      <c r="T878" s="2994">
        <v>2.3382000000000001</v>
      </c>
      <c r="U878" s="2994">
        <v>2.2664</v>
      </c>
      <c r="V878" s="2994">
        <v>1.8543000000000001</v>
      </c>
      <c r="W878" s="2994">
        <v>2.1402000000000001</v>
      </c>
      <c r="X878" s="2994">
        <v>2.121</v>
      </c>
      <c r="Y878" s="2994">
        <v>2.1682000000000001</v>
      </c>
      <c r="Z878" s="2994">
        <v>2.2810000000000001</v>
      </c>
      <c r="AA878" s="2994">
        <v>2.4108000000000001</v>
      </c>
      <c r="AB878" s="2994">
        <v>2.1219000000000001</v>
      </c>
      <c r="AC878" s="2994">
        <v>2.2019000000000002</v>
      </c>
      <c r="AD878" s="2994">
        <v>2.0756999999999999</v>
      </c>
      <c r="AE878" s="2994">
        <v>3.0085999999999999</v>
      </c>
      <c r="AF878" s="2994">
        <v>2.3801000000000001</v>
      </c>
      <c r="AG878" s="2994">
        <v>2.0221</v>
      </c>
      <c r="AH878" s="2994">
        <v>2.0680000000000001</v>
      </c>
      <c r="AI878" s="2994">
        <v>2.7804000000000002</v>
      </c>
      <c r="AJ878" s="2994">
        <v>2.3182</v>
      </c>
      <c r="AK878" s="2994">
        <v>1.9764999999999999</v>
      </c>
      <c r="AL878" s="2994">
        <v>2.1739999999999999</v>
      </c>
      <c r="AM878" s="2994">
        <v>2.0937000000000001</v>
      </c>
      <c r="AN878" s="2994">
        <v>2.2199</v>
      </c>
      <c r="AO878" s="2994">
        <v>2.1739000000000002</v>
      </c>
      <c r="AP878" s="2994">
        <v>2.0669</v>
      </c>
      <c r="AQ878" s="2994">
        <v>2.1623000000000001</v>
      </c>
      <c r="AR878" s="2994">
        <v>2</v>
      </c>
      <c r="AS878" s="2994">
        <v>2.2947000000000002</v>
      </c>
      <c r="AT878" s="2994">
        <v>2.0718000000000001</v>
      </c>
      <c r="AU878" s="2994">
        <v>2.2038000000000002</v>
      </c>
      <c r="AV878" s="2994">
        <v>2.3307000000000002</v>
      </c>
      <c r="AW878" s="2994">
        <v>2.1059999999999999</v>
      </c>
      <c r="AX878" s="2994">
        <v>2.0754000000000001</v>
      </c>
      <c r="AY878" s="2994">
        <v>2.0097999999999998</v>
      </c>
      <c r="AZ878" s="2994">
        <v>2.2919999999999998</v>
      </c>
      <c r="BA878" s="2994">
        <v>3.7877000000000001</v>
      </c>
      <c r="BB878" s="2994">
        <v>3.9996</v>
      </c>
      <c r="BC878" s="2994">
        <v>3.9186999999999999</v>
      </c>
      <c r="BD878" s="3471">
        <v>3.0127999999999999</v>
      </c>
      <c r="BE878" s="3471">
        <v>3.9649000000000001</v>
      </c>
      <c r="BF878" s="3471">
        <v>0</v>
      </c>
    </row>
    <row r="879" spans="1:58">
      <c r="A879" s="1817" t="str">
        <f t="shared" si="27"/>
        <v>Southern AsiaFlax fibre and tow</v>
      </c>
      <c r="B879" s="1818" t="s">
        <v>1326</v>
      </c>
      <c r="C879" s="1818" t="s">
        <v>7321</v>
      </c>
      <c r="D879" s="3463" t="str">
        <f>VLOOKUP(B879,List_Yield!$G$4:$J$14,4,FALSE)</f>
        <v>Asia (Indian Subcontinent)</v>
      </c>
      <c r="E879" s="3463" t="str">
        <f t="shared" si="26"/>
        <v>Asia (Indian Subcontinent)Flax fibre and tow</v>
      </c>
      <c r="F879" s="2994">
        <v>0</v>
      </c>
      <c r="G879" s="2994">
        <v>0</v>
      </c>
      <c r="H879" s="2994">
        <v>0</v>
      </c>
      <c r="I879" s="2994">
        <v>0</v>
      </c>
      <c r="J879" s="2994">
        <v>0</v>
      </c>
      <c r="K879" s="2994">
        <v>0</v>
      </c>
      <c r="L879" s="2994">
        <v>0</v>
      </c>
      <c r="M879" s="2994">
        <v>0</v>
      </c>
      <c r="N879" s="2994">
        <v>0</v>
      </c>
      <c r="O879" s="2994">
        <v>0</v>
      </c>
      <c r="P879" s="2994">
        <v>0</v>
      </c>
      <c r="Q879" s="2994">
        <v>0</v>
      </c>
      <c r="R879" s="2994">
        <v>0</v>
      </c>
      <c r="S879" s="2994">
        <v>0</v>
      </c>
      <c r="T879" s="2994">
        <v>0</v>
      </c>
      <c r="U879" s="2994">
        <v>0</v>
      </c>
      <c r="V879" s="2994">
        <v>0</v>
      </c>
      <c r="W879" s="2994">
        <v>0</v>
      </c>
      <c r="X879" s="2994">
        <v>0</v>
      </c>
      <c r="Y879" s="2994">
        <v>0</v>
      </c>
      <c r="Z879" s="2994">
        <v>0</v>
      </c>
      <c r="AA879" s="2994">
        <v>0</v>
      </c>
      <c r="AB879" s="2994">
        <v>0</v>
      </c>
      <c r="AC879" s="2994">
        <v>0</v>
      </c>
      <c r="AD879" s="2994">
        <v>0</v>
      </c>
      <c r="AE879" s="2994">
        <v>0</v>
      </c>
      <c r="AF879" s="2994">
        <v>0</v>
      </c>
      <c r="AG879" s="2994">
        <v>0</v>
      </c>
      <c r="AH879" s="2994">
        <v>0</v>
      </c>
      <c r="AI879" s="2994">
        <v>0</v>
      </c>
      <c r="AJ879" s="2994">
        <v>0</v>
      </c>
      <c r="AK879" s="2994">
        <v>0</v>
      </c>
      <c r="AL879" s="2994">
        <v>0</v>
      </c>
      <c r="AM879" s="2994">
        <v>0</v>
      </c>
      <c r="AN879" s="2994">
        <v>0</v>
      </c>
      <c r="AO879" s="2994">
        <v>0</v>
      </c>
      <c r="AP879" s="2994">
        <v>0</v>
      </c>
      <c r="AQ879" s="2994">
        <v>0</v>
      </c>
      <c r="AR879" s="2994">
        <v>0</v>
      </c>
      <c r="AS879" s="2994">
        <v>0</v>
      </c>
      <c r="AT879" s="2994">
        <v>0</v>
      </c>
      <c r="AU879" s="2994">
        <v>0</v>
      </c>
      <c r="AV879" s="2994">
        <v>0</v>
      </c>
      <c r="AW879" s="2994">
        <v>0</v>
      </c>
      <c r="AX879" s="2994">
        <v>0</v>
      </c>
      <c r="AY879" s="2994">
        <v>0</v>
      </c>
      <c r="AZ879" s="2994">
        <v>0</v>
      </c>
      <c r="BA879" s="2994">
        <v>0</v>
      </c>
      <c r="BB879" s="2994">
        <v>0</v>
      </c>
      <c r="BC879" s="2994">
        <v>0</v>
      </c>
      <c r="BD879" s="3471">
        <v>0</v>
      </c>
      <c r="BE879" s="3471">
        <v>0</v>
      </c>
      <c r="BF879" s="3471">
        <v>0</v>
      </c>
    </row>
    <row r="880" spans="1:58">
      <c r="A880" s="1817" t="str">
        <f t="shared" si="27"/>
        <v>Southern AsiaFonio</v>
      </c>
      <c r="B880" s="1818" t="s">
        <v>1326</v>
      </c>
      <c r="C880" s="1818" t="s">
        <v>7322</v>
      </c>
      <c r="D880" s="3463" t="str">
        <f>VLOOKUP(B880,List_Yield!$G$4:$J$14,4,FALSE)</f>
        <v>Asia (Indian Subcontinent)</v>
      </c>
      <c r="E880" s="3463" t="str">
        <f t="shared" si="26"/>
        <v>Asia (Indian Subcontinent)Fonio</v>
      </c>
      <c r="F880" s="2994">
        <v>0</v>
      </c>
      <c r="G880" s="2994">
        <v>0</v>
      </c>
      <c r="H880" s="2994">
        <v>0</v>
      </c>
      <c r="I880" s="2994">
        <v>0</v>
      </c>
      <c r="J880" s="2994">
        <v>0</v>
      </c>
      <c r="K880" s="2994">
        <v>0</v>
      </c>
      <c r="L880" s="2994">
        <v>0</v>
      </c>
      <c r="M880" s="2994">
        <v>0</v>
      </c>
      <c r="N880" s="2994">
        <v>0</v>
      </c>
      <c r="O880" s="2994">
        <v>0</v>
      </c>
      <c r="P880" s="2994">
        <v>0</v>
      </c>
      <c r="Q880" s="2994">
        <v>0</v>
      </c>
      <c r="R880" s="2994">
        <v>0</v>
      </c>
      <c r="S880" s="2994">
        <v>0</v>
      </c>
      <c r="T880" s="2994">
        <v>0</v>
      </c>
      <c r="U880" s="2994">
        <v>0</v>
      </c>
      <c r="V880" s="2994">
        <v>0</v>
      </c>
      <c r="W880" s="2994">
        <v>0</v>
      </c>
      <c r="X880" s="2994">
        <v>0</v>
      </c>
      <c r="Y880" s="2994">
        <v>0</v>
      </c>
      <c r="Z880" s="2994">
        <v>0</v>
      </c>
      <c r="AA880" s="2994">
        <v>0</v>
      </c>
      <c r="AB880" s="2994">
        <v>0</v>
      </c>
      <c r="AC880" s="2994">
        <v>0</v>
      </c>
      <c r="AD880" s="2994">
        <v>0</v>
      </c>
      <c r="AE880" s="2994">
        <v>0</v>
      </c>
      <c r="AF880" s="2994">
        <v>0</v>
      </c>
      <c r="AG880" s="2994">
        <v>0</v>
      </c>
      <c r="AH880" s="2994">
        <v>0</v>
      </c>
      <c r="AI880" s="2994">
        <v>0</v>
      </c>
      <c r="AJ880" s="2994">
        <v>0</v>
      </c>
      <c r="AK880" s="2994">
        <v>0</v>
      </c>
      <c r="AL880" s="2994">
        <v>0</v>
      </c>
      <c r="AM880" s="2994">
        <v>0</v>
      </c>
      <c r="AN880" s="2994">
        <v>0</v>
      </c>
      <c r="AO880" s="2994">
        <v>0</v>
      </c>
      <c r="AP880" s="2994">
        <v>0</v>
      </c>
      <c r="AQ880" s="2994">
        <v>0</v>
      </c>
      <c r="AR880" s="2994">
        <v>0</v>
      </c>
      <c r="AS880" s="2994">
        <v>0</v>
      </c>
      <c r="AT880" s="2994">
        <v>0</v>
      </c>
      <c r="AU880" s="2994">
        <v>0</v>
      </c>
      <c r="AV880" s="2994">
        <v>0</v>
      </c>
      <c r="AW880" s="2994">
        <v>0</v>
      </c>
      <c r="AX880" s="2994">
        <v>0</v>
      </c>
      <c r="AY880" s="2994">
        <v>0</v>
      </c>
      <c r="AZ880" s="2994">
        <v>0</v>
      </c>
      <c r="BA880" s="2994">
        <v>0</v>
      </c>
      <c r="BB880" s="2994">
        <v>0</v>
      </c>
      <c r="BC880" s="2994">
        <v>0</v>
      </c>
      <c r="BD880" s="3471">
        <v>0</v>
      </c>
      <c r="BE880" s="3471">
        <v>0</v>
      </c>
      <c r="BF880" s="3471">
        <v>0</v>
      </c>
    </row>
    <row r="881" spans="1:58">
      <c r="A881" s="1817" t="str">
        <f t="shared" si="27"/>
        <v>Southern AsiaFruit, citrus nes</v>
      </c>
      <c r="B881" s="1818" t="s">
        <v>1326</v>
      </c>
      <c r="C881" s="1818" t="s">
        <v>7323</v>
      </c>
      <c r="D881" s="3463" t="str">
        <f>VLOOKUP(B881,List_Yield!$G$4:$J$14,4,FALSE)</f>
        <v>Asia (Indian Subcontinent)</v>
      </c>
      <c r="E881" s="3463" t="str">
        <f t="shared" si="26"/>
        <v>Asia (Indian Subcontinent)Fruit, citrus nes</v>
      </c>
      <c r="F881" s="2994">
        <v>9.7449999999999992</v>
      </c>
      <c r="G881" s="2994">
        <v>8.4803999999999995</v>
      </c>
      <c r="H881" s="2994">
        <v>8.4504000000000001</v>
      </c>
      <c r="I881" s="2994">
        <v>8.8651999999999997</v>
      </c>
      <c r="J881" s="2994">
        <v>8.9582999999999995</v>
      </c>
      <c r="K881" s="2994">
        <v>8.8542000000000005</v>
      </c>
      <c r="L881" s="2994">
        <v>9.0584000000000007</v>
      </c>
      <c r="M881" s="2994">
        <v>9.4330999999999996</v>
      </c>
      <c r="N881" s="2994">
        <v>8.407</v>
      </c>
      <c r="O881" s="2994">
        <v>8.9671000000000003</v>
      </c>
      <c r="P881" s="2994">
        <v>8.7235999999999994</v>
      </c>
      <c r="Q881" s="2994">
        <v>8.7757000000000005</v>
      </c>
      <c r="R881" s="2994">
        <v>7.8554000000000004</v>
      </c>
      <c r="S881" s="2994">
        <v>8.4662000000000006</v>
      </c>
      <c r="T881" s="2994">
        <v>8.3583999999999996</v>
      </c>
      <c r="U881" s="2994">
        <v>8.1188000000000002</v>
      </c>
      <c r="V881" s="2994">
        <v>7.3792</v>
      </c>
      <c r="W881" s="2994">
        <v>7.3476999999999997</v>
      </c>
      <c r="X881" s="2994">
        <v>7.8057999999999996</v>
      </c>
      <c r="Y881" s="2994">
        <v>8.1893999999999991</v>
      </c>
      <c r="Z881" s="2994">
        <v>8.4495000000000005</v>
      </c>
      <c r="AA881" s="2994">
        <v>8.6957000000000004</v>
      </c>
      <c r="AB881" s="2994">
        <v>8.7135999999999996</v>
      </c>
      <c r="AC881" s="2994">
        <v>8.9194999999999993</v>
      </c>
      <c r="AD881" s="2994">
        <v>9.2908000000000008</v>
      </c>
      <c r="AE881" s="2994">
        <v>9.9861000000000004</v>
      </c>
      <c r="AF881" s="2994">
        <v>10.0063</v>
      </c>
      <c r="AG881" s="2994">
        <v>9.4595000000000002</v>
      </c>
      <c r="AH881" s="2994">
        <v>10.381399999999999</v>
      </c>
      <c r="AI881" s="2994">
        <v>10.3614</v>
      </c>
      <c r="AJ881" s="2994">
        <v>10.448700000000001</v>
      </c>
      <c r="AK881" s="2994">
        <v>9.2990999999999993</v>
      </c>
      <c r="AL881" s="2994">
        <v>9.2692999999999994</v>
      </c>
      <c r="AM881" s="2994">
        <v>11.2247</v>
      </c>
      <c r="AN881" s="2994">
        <v>13.269500000000001</v>
      </c>
      <c r="AO881" s="2994">
        <v>12.894600000000001</v>
      </c>
      <c r="AP881" s="2994">
        <v>13.531000000000001</v>
      </c>
      <c r="AQ881" s="2994">
        <v>13.276400000000001</v>
      </c>
      <c r="AR881" s="2994">
        <v>14.416600000000001</v>
      </c>
      <c r="AS881" s="2994">
        <v>12.6013</v>
      </c>
      <c r="AT881" s="2994">
        <v>10.7921</v>
      </c>
      <c r="AU881" s="2994">
        <v>11.408799999999999</v>
      </c>
      <c r="AV881" s="2994">
        <v>11.548299999999999</v>
      </c>
      <c r="AW881" s="2994">
        <v>11.874700000000001</v>
      </c>
      <c r="AX881" s="2994">
        <v>11.867800000000001</v>
      </c>
      <c r="AY881" s="2994">
        <v>11.690300000000001</v>
      </c>
      <c r="AZ881" s="2994">
        <v>12.513199999999999</v>
      </c>
      <c r="BA881" s="2994">
        <v>12.5154</v>
      </c>
      <c r="BB881" s="2994">
        <v>12.378299999999999</v>
      </c>
      <c r="BC881" s="2994">
        <v>12.6267</v>
      </c>
      <c r="BD881" s="3471">
        <v>12.336399999999999</v>
      </c>
      <c r="BE881" s="3471">
        <v>12.343</v>
      </c>
      <c r="BF881" s="3471">
        <v>0</v>
      </c>
    </row>
    <row r="882" spans="1:58">
      <c r="A882" s="1817" t="str">
        <f t="shared" si="27"/>
        <v>Southern AsiaFruit, fresh nes</v>
      </c>
      <c r="B882" s="1818" t="s">
        <v>1326</v>
      </c>
      <c r="C882" s="1818" t="s">
        <v>7324</v>
      </c>
      <c r="D882" s="3463" t="str">
        <f>VLOOKUP(B882,List_Yield!$G$4:$J$14,4,FALSE)</f>
        <v>Asia (Indian Subcontinent)</v>
      </c>
      <c r="E882" s="3463" t="str">
        <f t="shared" si="26"/>
        <v>Asia (Indian Subcontinent)Fruit, fresh nes</v>
      </c>
      <c r="F882" s="2994">
        <v>7.4626000000000001</v>
      </c>
      <c r="G882" s="2994">
        <v>7.5088999999999997</v>
      </c>
      <c r="H882" s="2994">
        <v>7.2617000000000003</v>
      </c>
      <c r="I882" s="2994">
        <v>7.883</v>
      </c>
      <c r="J882" s="2994">
        <v>7.6093999999999999</v>
      </c>
      <c r="K882" s="2994">
        <v>8.0754999999999999</v>
      </c>
      <c r="L882" s="2994">
        <v>8.2186000000000003</v>
      </c>
      <c r="M882" s="2994">
        <v>8.0960999999999999</v>
      </c>
      <c r="N882" s="2994">
        <v>8.4613999999999994</v>
      </c>
      <c r="O882" s="2994">
        <v>8.3554999999999993</v>
      </c>
      <c r="P882" s="2994">
        <v>7.9119999999999999</v>
      </c>
      <c r="Q882" s="2994">
        <v>7.9023000000000003</v>
      </c>
      <c r="R882" s="2994">
        <v>8.4183000000000003</v>
      </c>
      <c r="S882" s="2994">
        <v>8.5089000000000006</v>
      </c>
      <c r="T882" s="2994">
        <v>8.6513000000000009</v>
      </c>
      <c r="U882" s="2994">
        <v>8.6417999999999999</v>
      </c>
      <c r="V882" s="2994">
        <v>8.5493000000000006</v>
      </c>
      <c r="W882" s="2994">
        <v>8.6858000000000004</v>
      </c>
      <c r="X882" s="2994">
        <v>7.3070000000000004</v>
      </c>
      <c r="Y882" s="2994">
        <v>7.4271000000000003</v>
      </c>
      <c r="Z882" s="2994">
        <v>7.5381</v>
      </c>
      <c r="AA882" s="2994">
        <v>7.9234999999999998</v>
      </c>
      <c r="AB882" s="2994">
        <v>8.4957999999999991</v>
      </c>
      <c r="AC882" s="2994">
        <v>8.5391999999999992</v>
      </c>
      <c r="AD882" s="2994">
        <v>7.3357000000000001</v>
      </c>
      <c r="AE882" s="2994">
        <v>7.6471</v>
      </c>
      <c r="AF882" s="2994">
        <v>7.7077999999999998</v>
      </c>
      <c r="AG882" s="2994">
        <v>7.5496999999999996</v>
      </c>
      <c r="AH882" s="2994">
        <v>7.609</v>
      </c>
      <c r="AI882" s="2994">
        <v>7.0361000000000002</v>
      </c>
      <c r="AJ882" s="2994">
        <v>7.7525000000000004</v>
      </c>
      <c r="AK882" s="2994">
        <v>8.2296999999999993</v>
      </c>
      <c r="AL882" s="2994">
        <v>8.1971000000000007</v>
      </c>
      <c r="AM882" s="2994">
        <v>8.6435999999999993</v>
      </c>
      <c r="AN882" s="2994">
        <v>8.7676999999999996</v>
      </c>
      <c r="AO882" s="2994">
        <v>9.4350000000000005</v>
      </c>
      <c r="AP882" s="2994">
        <v>9.2495999999999992</v>
      </c>
      <c r="AQ882" s="2994">
        <v>10.3705</v>
      </c>
      <c r="AR882" s="2994">
        <v>9.1998999999999995</v>
      </c>
      <c r="AS882" s="2994">
        <v>9.2512000000000008</v>
      </c>
      <c r="AT882" s="2994">
        <v>9.6821999999999999</v>
      </c>
      <c r="AU882" s="2994">
        <v>10.5375</v>
      </c>
      <c r="AV882" s="2994">
        <v>13.154</v>
      </c>
      <c r="AW882" s="2994">
        <v>7.2785000000000002</v>
      </c>
      <c r="AX882" s="2994">
        <v>7.3407</v>
      </c>
      <c r="AY882" s="2994">
        <v>7.5396999999999998</v>
      </c>
      <c r="AZ882" s="2994">
        <v>6.9112999999999998</v>
      </c>
      <c r="BA882" s="2994">
        <v>7.3178000000000001</v>
      </c>
      <c r="BB882" s="2994">
        <v>7.5462999999999996</v>
      </c>
      <c r="BC882" s="2994">
        <v>7.3967999999999998</v>
      </c>
      <c r="BD882" s="3471">
        <v>6.8495999999999997</v>
      </c>
      <c r="BE882" s="3471">
        <v>6.8422000000000001</v>
      </c>
      <c r="BF882" s="3471">
        <v>0</v>
      </c>
    </row>
    <row r="883" spans="1:58">
      <c r="A883" s="1817" t="str">
        <f t="shared" si="27"/>
        <v>Southern AsiaFruit, pome nes</v>
      </c>
      <c r="B883" s="1818" t="s">
        <v>1326</v>
      </c>
      <c r="C883" s="1818" t="s">
        <v>7325</v>
      </c>
      <c r="D883" s="3463" t="str">
        <f>VLOOKUP(B883,List_Yield!$G$4:$J$14,4,FALSE)</f>
        <v>Asia (Indian Subcontinent)</v>
      </c>
      <c r="E883" s="3463" t="str">
        <f t="shared" si="26"/>
        <v>Asia (Indian Subcontinent)Fruit, pome nes</v>
      </c>
      <c r="F883" s="2994">
        <v>0</v>
      </c>
      <c r="G883" s="2994">
        <v>0</v>
      </c>
      <c r="H883" s="2994">
        <v>0</v>
      </c>
      <c r="I883" s="2994">
        <v>0</v>
      </c>
      <c r="J883" s="2994">
        <v>0</v>
      </c>
      <c r="K883" s="2994">
        <v>0</v>
      </c>
      <c r="L883" s="2994">
        <v>0</v>
      </c>
      <c r="M883" s="2994">
        <v>0</v>
      </c>
      <c r="N883" s="2994">
        <v>0</v>
      </c>
      <c r="O883" s="2994">
        <v>0</v>
      </c>
      <c r="P883" s="2994">
        <v>0</v>
      </c>
      <c r="Q883" s="2994">
        <v>0</v>
      </c>
      <c r="R883" s="2994">
        <v>0</v>
      </c>
      <c r="S883" s="2994">
        <v>0</v>
      </c>
      <c r="T883" s="2994">
        <v>0</v>
      </c>
      <c r="U883" s="2994">
        <v>0</v>
      </c>
      <c r="V883" s="2994">
        <v>0</v>
      </c>
      <c r="W883" s="2994">
        <v>0</v>
      </c>
      <c r="X883" s="2994">
        <v>0</v>
      </c>
      <c r="Y883" s="2994">
        <v>0</v>
      </c>
      <c r="Z883" s="2994">
        <v>0</v>
      </c>
      <c r="AA883" s="2994">
        <v>0</v>
      </c>
      <c r="AB883" s="2994">
        <v>0</v>
      </c>
      <c r="AC883" s="2994">
        <v>0</v>
      </c>
      <c r="AD883" s="2994">
        <v>0</v>
      </c>
      <c r="AE883" s="2994">
        <v>0</v>
      </c>
      <c r="AF883" s="2994">
        <v>0</v>
      </c>
      <c r="AG883" s="2994">
        <v>0</v>
      </c>
      <c r="AH883" s="2994">
        <v>0</v>
      </c>
      <c r="AI883" s="2994">
        <v>0</v>
      </c>
      <c r="AJ883" s="2994">
        <v>0</v>
      </c>
      <c r="AK883" s="2994">
        <v>0</v>
      </c>
      <c r="AL883" s="2994">
        <v>0</v>
      </c>
      <c r="AM883" s="2994">
        <v>0</v>
      </c>
      <c r="AN883" s="2994">
        <v>0</v>
      </c>
      <c r="AO883" s="2994">
        <v>0</v>
      </c>
      <c r="AP883" s="2994">
        <v>0</v>
      </c>
      <c r="AQ883" s="2994">
        <v>0</v>
      </c>
      <c r="AR883" s="2994">
        <v>0</v>
      </c>
      <c r="AS883" s="2994">
        <v>0</v>
      </c>
      <c r="AT883" s="2994">
        <v>0</v>
      </c>
      <c r="AU883" s="2994">
        <v>0</v>
      </c>
      <c r="AV883" s="2994">
        <v>0</v>
      </c>
      <c r="AW883" s="2994">
        <v>0</v>
      </c>
      <c r="AX883" s="2994">
        <v>0</v>
      </c>
      <c r="AY883" s="2994">
        <v>0</v>
      </c>
      <c r="AZ883" s="2994">
        <v>0</v>
      </c>
      <c r="BA883" s="2994">
        <v>0</v>
      </c>
      <c r="BB883" s="2994">
        <v>0</v>
      </c>
      <c r="BC883" s="2994">
        <v>0</v>
      </c>
      <c r="BD883" s="3471">
        <v>0</v>
      </c>
      <c r="BE883" s="3471">
        <v>0</v>
      </c>
      <c r="BF883" s="3471">
        <v>0</v>
      </c>
    </row>
    <row r="884" spans="1:58">
      <c r="A884" s="1817" t="str">
        <f t="shared" si="27"/>
        <v>Southern AsiaFruit, stone nes</v>
      </c>
      <c r="B884" s="1818" t="s">
        <v>1326</v>
      </c>
      <c r="C884" s="1818" t="s">
        <v>7326</v>
      </c>
      <c r="D884" s="3463" t="str">
        <f>VLOOKUP(B884,List_Yield!$G$4:$J$14,4,FALSE)</f>
        <v>Asia (Indian Subcontinent)</v>
      </c>
      <c r="E884" s="3463" t="str">
        <f t="shared" si="26"/>
        <v>Asia (Indian Subcontinent)Fruit, stone nes</v>
      </c>
      <c r="F884" s="2994">
        <v>4.9340000000000002</v>
      </c>
      <c r="G884" s="2994">
        <v>4.9340000000000002</v>
      </c>
      <c r="H884" s="2994">
        <v>5.0345000000000004</v>
      </c>
      <c r="I884" s="2994">
        <v>5.3802000000000003</v>
      </c>
      <c r="J884" s="2994">
        <v>5.5738000000000003</v>
      </c>
      <c r="K884" s="2994">
        <v>5.6559999999999997</v>
      </c>
      <c r="L884" s="2994">
        <v>5.9736000000000002</v>
      </c>
      <c r="M884" s="2994">
        <v>6.0507</v>
      </c>
      <c r="N884" s="2994">
        <v>5.9535</v>
      </c>
      <c r="O884" s="2994">
        <v>5.8049999999999997</v>
      </c>
      <c r="P884" s="2994">
        <v>5.2122000000000002</v>
      </c>
      <c r="Q884" s="2994">
        <v>5.5820999999999996</v>
      </c>
      <c r="R884" s="2994">
        <v>5.6981000000000002</v>
      </c>
      <c r="S884" s="2994">
        <v>5.6131000000000002</v>
      </c>
      <c r="T884" s="2994">
        <v>5.6287000000000003</v>
      </c>
      <c r="U884" s="2994">
        <v>5.6468999999999996</v>
      </c>
      <c r="V884" s="2994">
        <v>4.9259000000000004</v>
      </c>
      <c r="W884" s="2994">
        <v>5.5349000000000004</v>
      </c>
      <c r="X884" s="2994">
        <v>5.3766999999999996</v>
      </c>
      <c r="Y884" s="2994">
        <v>5.4924999999999997</v>
      </c>
      <c r="Z884" s="2994">
        <v>5.7020999999999997</v>
      </c>
      <c r="AA884" s="2994">
        <v>5.8810000000000002</v>
      </c>
      <c r="AB884" s="2994">
        <v>6.07</v>
      </c>
      <c r="AC884" s="2994">
        <v>6.2343000000000002</v>
      </c>
      <c r="AD884" s="2994">
        <v>6.4310999999999998</v>
      </c>
      <c r="AE884" s="2994">
        <v>6.1029</v>
      </c>
      <c r="AF884" s="2994">
        <v>7.0450999999999997</v>
      </c>
      <c r="AG884" s="2994">
        <v>6.431</v>
      </c>
      <c r="AH884" s="2994">
        <v>4.8608000000000002</v>
      </c>
      <c r="AI884" s="2994">
        <v>5.2891000000000004</v>
      </c>
      <c r="AJ884" s="2994">
        <v>5.4249000000000001</v>
      </c>
      <c r="AK884" s="2994">
        <v>5.8475999999999999</v>
      </c>
      <c r="AL884" s="2994">
        <v>5.7915999999999999</v>
      </c>
      <c r="AM884" s="2994">
        <v>5.7594000000000003</v>
      </c>
      <c r="AN884" s="2994">
        <v>5.7125000000000004</v>
      </c>
      <c r="AO884" s="2994">
        <v>5.6890999999999998</v>
      </c>
      <c r="AP884" s="2994">
        <v>5.7427999999999999</v>
      </c>
      <c r="AQ884" s="2994">
        <v>5.4245999999999999</v>
      </c>
      <c r="AR884" s="2994">
        <v>4.8070000000000004</v>
      </c>
      <c r="AS884" s="2994">
        <v>4.4532999999999996</v>
      </c>
      <c r="AT884" s="2994">
        <v>4.3094000000000001</v>
      </c>
      <c r="AU884" s="2994">
        <v>4.3746</v>
      </c>
      <c r="AV884" s="2994">
        <v>4.7649999999999997</v>
      </c>
      <c r="AW884" s="2994">
        <v>5.0693000000000001</v>
      </c>
      <c r="AX884" s="2994">
        <v>5.3741000000000003</v>
      </c>
      <c r="AY884" s="2994">
        <v>4.4137000000000004</v>
      </c>
      <c r="AZ884" s="2994">
        <v>4.4802</v>
      </c>
      <c r="BA884" s="2994">
        <v>4.6955999999999998</v>
      </c>
      <c r="BB884" s="2994">
        <v>4.4759000000000002</v>
      </c>
      <c r="BC884" s="2994">
        <v>4.8296000000000001</v>
      </c>
      <c r="BD884" s="3471">
        <v>4.8719000000000001</v>
      </c>
      <c r="BE884" s="3471">
        <v>4.8661000000000003</v>
      </c>
      <c r="BF884" s="3471">
        <v>0</v>
      </c>
    </row>
    <row r="885" spans="1:58">
      <c r="A885" s="1817" t="str">
        <f t="shared" si="27"/>
        <v>Southern AsiaFruit, tropical fresh nes</v>
      </c>
      <c r="B885" s="1818" t="s">
        <v>1326</v>
      </c>
      <c r="C885" s="1818" t="s">
        <v>7327</v>
      </c>
      <c r="D885" s="3463" t="str">
        <f>VLOOKUP(B885,List_Yield!$G$4:$J$14,4,FALSE)</f>
        <v>Asia (Indian Subcontinent)</v>
      </c>
      <c r="E885" s="3463" t="str">
        <f t="shared" si="26"/>
        <v>Asia (Indian Subcontinent)Fruit, tropical fresh nes</v>
      </c>
      <c r="F885" s="2994">
        <v>6.7302</v>
      </c>
      <c r="G885" s="2994">
        <v>6.8018000000000001</v>
      </c>
      <c r="H885" s="2994">
        <v>6.8075000000000001</v>
      </c>
      <c r="I885" s="2994">
        <v>6.8339999999999996</v>
      </c>
      <c r="J885" s="2994">
        <v>6.8502000000000001</v>
      </c>
      <c r="K885" s="2994">
        <v>6.8872</v>
      </c>
      <c r="L885" s="2994">
        <v>7.1555999999999997</v>
      </c>
      <c r="M885" s="2994">
        <v>7.2217000000000002</v>
      </c>
      <c r="N885" s="2994">
        <v>7.1210000000000004</v>
      </c>
      <c r="O885" s="2994">
        <v>7.1436999999999999</v>
      </c>
      <c r="P885" s="2994">
        <v>7.1943999999999999</v>
      </c>
      <c r="Q885" s="2994">
        <v>7.1113999999999997</v>
      </c>
      <c r="R885" s="2994">
        <v>7.1558999999999999</v>
      </c>
      <c r="S885" s="2994">
        <v>7.2473999999999998</v>
      </c>
      <c r="T885" s="2994">
        <v>7.3045999999999998</v>
      </c>
      <c r="U885" s="2994">
        <v>7.2271999999999998</v>
      </c>
      <c r="V885" s="2994">
        <v>7.2449000000000003</v>
      </c>
      <c r="W885" s="2994">
        <v>7.2535999999999996</v>
      </c>
      <c r="X885" s="2994">
        <v>7.1506999999999996</v>
      </c>
      <c r="Y885" s="2994">
        <v>7.2782</v>
      </c>
      <c r="Z885" s="2994">
        <v>7.3937999999999997</v>
      </c>
      <c r="AA885" s="2994">
        <v>7.4721000000000002</v>
      </c>
      <c r="AB885" s="2994">
        <v>7.5746000000000002</v>
      </c>
      <c r="AC885" s="2994">
        <v>8.0767000000000007</v>
      </c>
      <c r="AD885" s="2994">
        <v>8.0264000000000006</v>
      </c>
      <c r="AE885" s="2994">
        <v>8.3331</v>
      </c>
      <c r="AF885" s="2994">
        <v>7.9408000000000003</v>
      </c>
      <c r="AG885" s="2994">
        <v>7.7541000000000002</v>
      </c>
      <c r="AH885" s="2994">
        <v>7.9044999999999996</v>
      </c>
      <c r="AI885" s="2994">
        <v>8.2063000000000006</v>
      </c>
      <c r="AJ885" s="2994">
        <v>7.5025000000000004</v>
      </c>
      <c r="AK885" s="2994">
        <v>7.9744999999999999</v>
      </c>
      <c r="AL885" s="2994">
        <v>8.0442</v>
      </c>
      <c r="AM885" s="2994">
        <v>8.3811999999999998</v>
      </c>
      <c r="AN885" s="2994">
        <v>7.5616000000000003</v>
      </c>
      <c r="AO885" s="2994">
        <v>9.0033999999999992</v>
      </c>
      <c r="AP885" s="2994">
        <v>8.5874000000000006</v>
      </c>
      <c r="AQ885" s="2994">
        <v>9.9438999999999993</v>
      </c>
      <c r="AR885" s="2994">
        <v>10.8904</v>
      </c>
      <c r="AS885" s="2994">
        <v>10.2011</v>
      </c>
      <c r="AT885" s="2994">
        <v>9.9034999999999993</v>
      </c>
      <c r="AU885" s="2994">
        <v>10.0745</v>
      </c>
      <c r="AV885" s="2994">
        <v>8.7578999999999994</v>
      </c>
      <c r="AW885" s="2994">
        <v>9.4514999999999993</v>
      </c>
      <c r="AX885" s="2994">
        <v>8.8979999999999997</v>
      </c>
      <c r="AY885" s="2994">
        <v>8.6929999999999996</v>
      </c>
      <c r="AZ885" s="2994">
        <v>8.8948</v>
      </c>
      <c r="BA885" s="2994">
        <v>9.5739999999999998</v>
      </c>
      <c r="BB885" s="2994">
        <v>9.2527000000000008</v>
      </c>
      <c r="BC885" s="2994">
        <v>9.5124999999999993</v>
      </c>
      <c r="BD885" s="3471">
        <v>9.7077000000000009</v>
      </c>
      <c r="BE885" s="3471">
        <v>9.6959999999999997</v>
      </c>
      <c r="BF885" s="3471">
        <v>0</v>
      </c>
    </row>
    <row r="886" spans="1:58">
      <c r="A886" s="1817" t="str">
        <f t="shared" si="27"/>
        <v>Southern AsiaGarlic</v>
      </c>
      <c r="B886" s="1818" t="s">
        <v>1326</v>
      </c>
      <c r="C886" s="1818" t="s">
        <v>7328</v>
      </c>
      <c r="D886" s="3463" t="str">
        <f>VLOOKUP(B886,List_Yield!$G$4:$J$14,4,FALSE)</f>
        <v>Asia (Indian Subcontinent)</v>
      </c>
      <c r="E886" s="3463" t="str">
        <f t="shared" si="26"/>
        <v>Asia (Indian Subcontinent)Garlic</v>
      </c>
      <c r="F886" s="2994">
        <v>3.6551999999999998</v>
      </c>
      <c r="G886" s="2994">
        <v>3.5821999999999998</v>
      </c>
      <c r="H886" s="2994">
        <v>3.5028000000000001</v>
      </c>
      <c r="I886" s="2994">
        <v>3.569</v>
      </c>
      <c r="J886" s="2994">
        <v>3.5958000000000001</v>
      </c>
      <c r="K886" s="2994">
        <v>3.7360000000000002</v>
      </c>
      <c r="L886" s="2994">
        <v>3.9954000000000001</v>
      </c>
      <c r="M886" s="2994">
        <v>4.0412999999999997</v>
      </c>
      <c r="N886" s="2994">
        <v>4.0664999999999996</v>
      </c>
      <c r="O886" s="2994">
        <v>4.0590999999999999</v>
      </c>
      <c r="P886" s="2994">
        <v>3.9138999999999999</v>
      </c>
      <c r="Q886" s="2994">
        <v>3.9681000000000002</v>
      </c>
      <c r="R886" s="2994">
        <v>3.9114</v>
      </c>
      <c r="S886" s="2994">
        <v>3.5125999999999999</v>
      </c>
      <c r="T886" s="2994">
        <v>3.7959999999999998</v>
      </c>
      <c r="U886" s="2994">
        <v>3.7216</v>
      </c>
      <c r="V886" s="2994">
        <v>3.4163000000000001</v>
      </c>
      <c r="W886" s="2994">
        <v>3.6341000000000001</v>
      </c>
      <c r="X886" s="2994">
        <v>3.6863000000000001</v>
      </c>
      <c r="Y886" s="2994">
        <v>3.8060999999999998</v>
      </c>
      <c r="Z886" s="2994">
        <v>3.9346000000000001</v>
      </c>
      <c r="AA886" s="2994">
        <v>4.0147000000000004</v>
      </c>
      <c r="AB886" s="2994">
        <v>4.0450999999999997</v>
      </c>
      <c r="AC886" s="2994">
        <v>3.9409999999999998</v>
      </c>
      <c r="AD886" s="2994">
        <v>3.6743999999999999</v>
      </c>
      <c r="AE886" s="2994">
        <v>3.8018999999999998</v>
      </c>
      <c r="AF886" s="2994">
        <v>3.6419999999999999</v>
      </c>
      <c r="AG886" s="2994">
        <v>3.9192999999999998</v>
      </c>
      <c r="AH886" s="2994">
        <v>4.1012000000000004</v>
      </c>
      <c r="AI886" s="2994">
        <v>4.1412000000000004</v>
      </c>
      <c r="AJ886" s="2994">
        <v>4.1294000000000004</v>
      </c>
      <c r="AK886" s="2994">
        <v>4.4198000000000004</v>
      </c>
      <c r="AL886" s="2994">
        <v>4.3300999999999998</v>
      </c>
      <c r="AM886" s="2994">
        <v>4.3924000000000003</v>
      </c>
      <c r="AN886" s="2994">
        <v>4.5180999999999996</v>
      </c>
      <c r="AO886" s="2994">
        <v>4.7769000000000004</v>
      </c>
      <c r="AP886" s="2994">
        <v>4.6771000000000003</v>
      </c>
      <c r="AQ886" s="2994">
        <v>4.8338999999999999</v>
      </c>
      <c r="AR886" s="2994">
        <v>4.4804000000000004</v>
      </c>
      <c r="AS886" s="2994">
        <v>4.4775999999999998</v>
      </c>
      <c r="AT886" s="2994">
        <v>4.3868999999999998</v>
      </c>
      <c r="AU886" s="2994">
        <v>4.5895999999999999</v>
      </c>
      <c r="AV886" s="2994">
        <v>4.4153000000000002</v>
      </c>
      <c r="AW886" s="2994">
        <v>5.1360000000000001</v>
      </c>
      <c r="AX886" s="2994">
        <v>3.3833000000000002</v>
      </c>
      <c r="AY886" s="2994">
        <v>4.7594000000000003</v>
      </c>
      <c r="AZ886" s="2994">
        <v>5.0975000000000001</v>
      </c>
      <c r="BA886" s="2994">
        <v>5.2723000000000004</v>
      </c>
      <c r="BB886" s="2994">
        <v>5.1909000000000001</v>
      </c>
      <c r="BC886" s="2994">
        <v>5.2439999999999998</v>
      </c>
      <c r="BD886" s="3471">
        <v>5.4897</v>
      </c>
      <c r="BE886" s="3471">
        <v>5.8422000000000001</v>
      </c>
      <c r="BF886" s="3471">
        <v>0</v>
      </c>
    </row>
    <row r="887" spans="1:58">
      <c r="A887" s="1817" t="str">
        <f t="shared" si="27"/>
        <v>Southern AsiaGinger</v>
      </c>
      <c r="B887" s="1818" t="s">
        <v>1326</v>
      </c>
      <c r="C887" s="1818" t="s">
        <v>7329</v>
      </c>
      <c r="D887" s="3463" t="str">
        <f>VLOOKUP(B887,List_Yield!$G$4:$J$14,4,FALSE)</f>
        <v>Asia (Indian Subcontinent)</v>
      </c>
      <c r="E887" s="3463" t="str">
        <f t="shared" si="26"/>
        <v>Asia (Indian Subcontinent)Ginger</v>
      </c>
      <c r="F887" s="2994">
        <v>1.6453</v>
      </c>
      <c r="G887" s="2994">
        <v>1.7276</v>
      </c>
      <c r="H887" s="2994">
        <v>1.6923999999999999</v>
      </c>
      <c r="I887" s="2994">
        <v>1.7584</v>
      </c>
      <c r="J887" s="2994">
        <v>1.8825000000000001</v>
      </c>
      <c r="K887" s="2994">
        <v>1.909</v>
      </c>
      <c r="L887" s="2994">
        <v>2.0528</v>
      </c>
      <c r="M887" s="2994">
        <v>2.0213999999999999</v>
      </c>
      <c r="N887" s="2994">
        <v>2.1911999999999998</v>
      </c>
      <c r="O887" s="2994">
        <v>2.4346999999999999</v>
      </c>
      <c r="P887" s="2994">
        <v>2.2883</v>
      </c>
      <c r="Q887" s="2994">
        <v>2.3849999999999998</v>
      </c>
      <c r="R887" s="2994">
        <v>2.4024000000000001</v>
      </c>
      <c r="S887" s="2994">
        <v>2.3881000000000001</v>
      </c>
      <c r="T887" s="2994">
        <v>2.3569</v>
      </c>
      <c r="U887" s="2994">
        <v>2.3957999999999999</v>
      </c>
      <c r="V887" s="2994">
        <v>2.4691999999999998</v>
      </c>
      <c r="W887" s="2994">
        <v>2.4982000000000002</v>
      </c>
      <c r="X887" s="2994">
        <v>2.3658999999999999</v>
      </c>
      <c r="Y887" s="2994">
        <v>2.6212</v>
      </c>
      <c r="Z887" s="2994">
        <v>2.6991000000000001</v>
      </c>
      <c r="AA887" s="2994">
        <v>2.7685</v>
      </c>
      <c r="AB887" s="2994">
        <v>3.0781999999999998</v>
      </c>
      <c r="AC887" s="2994">
        <v>2.9517000000000002</v>
      </c>
      <c r="AD887" s="2994">
        <v>3.2494999999999998</v>
      </c>
      <c r="AE887" s="2994">
        <v>3.3492000000000002</v>
      </c>
      <c r="AF887" s="2994">
        <v>3.2866</v>
      </c>
      <c r="AG887" s="2994">
        <v>3.5447000000000002</v>
      </c>
      <c r="AH887" s="2994">
        <v>3.5642999999999998</v>
      </c>
      <c r="AI887" s="2994">
        <v>3.5964</v>
      </c>
      <c r="AJ887" s="2994">
        <v>3.7806000000000002</v>
      </c>
      <c r="AK887" s="2994">
        <v>4.0426000000000002</v>
      </c>
      <c r="AL887" s="2994">
        <v>3.8443000000000001</v>
      </c>
      <c r="AM887" s="2994">
        <v>2.6419000000000001</v>
      </c>
      <c r="AN887" s="2994">
        <v>2.6177000000000001</v>
      </c>
      <c r="AO887" s="2994">
        <v>3.9508000000000001</v>
      </c>
      <c r="AP887" s="2994">
        <v>3.9723999999999999</v>
      </c>
      <c r="AQ887" s="2994">
        <v>4.0812999999999997</v>
      </c>
      <c r="AR887" s="2994">
        <v>4.1250999999999998</v>
      </c>
      <c r="AS887" s="2994">
        <v>4.1074000000000002</v>
      </c>
      <c r="AT887" s="2994">
        <v>3.9361999999999999</v>
      </c>
      <c r="AU887" s="2994">
        <v>4.0208000000000004</v>
      </c>
      <c r="AV887" s="2994">
        <v>4.4025999999999996</v>
      </c>
      <c r="AW887" s="2994">
        <v>4.7785000000000002</v>
      </c>
      <c r="AX887" s="2994">
        <v>4.9059999999999997</v>
      </c>
      <c r="AY887" s="2994">
        <v>4.5713999999999997</v>
      </c>
      <c r="AZ887" s="2994">
        <v>4.8318000000000003</v>
      </c>
      <c r="BA887" s="2994">
        <v>4.9058999999999999</v>
      </c>
      <c r="BB887" s="2994">
        <v>4.7286999999999999</v>
      </c>
      <c r="BC887" s="2994">
        <v>4.9854000000000003</v>
      </c>
      <c r="BD887" s="3471">
        <v>5.5824999999999996</v>
      </c>
      <c r="BE887" s="3471">
        <v>5.7375999999999996</v>
      </c>
      <c r="BF887" s="3471">
        <v>0</v>
      </c>
    </row>
    <row r="888" spans="1:58">
      <c r="A888" s="1817" t="str">
        <f t="shared" si="27"/>
        <v>Southern AsiaGooseberries</v>
      </c>
      <c r="B888" s="1818" t="s">
        <v>1326</v>
      </c>
      <c r="C888" s="1818" t="s">
        <v>7330</v>
      </c>
      <c r="D888" s="3463" t="str">
        <f>VLOOKUP(B888,List_Yield!$G$4:$J$14,4,FALSE)</f>
        <v>Asia (Indian Subcontinent)</v>
      </c>
      <c r="E888" s="3463" t="str">
        <f t="shared" si="26"/>
        <v>Asia (Indian Subcontinent)Gooseberries</v>
      </c>
      <c r="F888" s="2994">
        <v>0</v>
      </c>
      <c r="G888" s="2994">
        <v>0</v>
      </c>
      <c r="H888" s="2994">
        <v>0</v>
      </c>
      <c r="I888" s="2994">
        <v>0</v>
      </c>
      <c r="J888" s="2994">
        <v>0</v>
      </c>
      <c r="K888" s="2994">
        <v>0</v>
      </c>
      <c r="L888" s="2994">
        <v>0</v>
      </c>
      <c r="M888" s="2994">
        <v>0</v>
      </c>
      <c r="N888" s="2994">
        <v>0</v>
      </c>
      <c r="O888" s="2994">
        <v>0</v>
      </c>
      <c r="P888" s="2994">
        <v>0</v>
      </c>
      <c r="Q888" s="2994">
        <v>0</v>
      </c>
      <c r="R888" s="2994">
        <v>0</v>
      </c>
      <c r="S888" s="2994">
        <v>0</v>
      </c>
      <c r="T888" s="2994">
        <v>0</v>
      </c>
      <c r="U888" s="2994">
        <v>0</v>
      </c>
      <c r="V888" s="2994">
        <v>0</v>
      </c>
      <c r="W888" s="2994">
        <v>0</v>
      </c>
      <c r="X888" s="2994">
        <v>0</v>
      </c>
      <c r="Y888" s="2994">
        <v>0</v>
      </c>
      <c r="Z888" s="2994">
        <v>0</v>
      </c>
      <c r="AA888" s="2994">
        <v>0</v>
      </c>
      <c r="AB888" s="2994">
        <v>0</v>
      </c>
      <c r="AC888" s="2994">
        <v>0</v>
      </c>
      <c r="AD888" s="2994">
        <v>0</v>
      </c>
      <c r="AE888" s="2994">
        <v>0</v>
      </c>
      <c r="AF888" s="2994">
        <v>0</v>
      </c>
      <c r="AG888" s="2994">
        <v>0</v>
      </c>
      <c r="AH888" s="2994">
        <v>0</v>
      </c>
      <c r="AI888" s="2994">
        <v>0</v>
      </c>
      <c r="AJ888" s="2994">
        <v>0</v>
      </c>
      <c r="AK888" s="2994">
        <v>0</v>
      </c>
      <c r="AL888" s="2994">
        <v>0</v>
      </c>
      <c r="AM888" s="2994">
        <v>0</v>
      </c>
      <c r="AN888" s="2994">
        <v>0</v>
      </c>
      <c r="AO888" s="2994">
        <v>0</v>
      </c>
      <c r="AP888" s="2994">
        <v>0</v>
      </c>
      <c r="AQ888" s="2994">
        <v>0</v>
      </c>
      <c r="AR888" s="2994">
        <v>0</v>
      </c>
      <c r="AS888" s="2994">
        <v>0</v>
      </c>
      <c r="AT888" s="2994">
        <v>0</v>
      </c>
      <c r="AU888" s="2994">
        <v>0</v>
      </c>
      <c r="AV888" s="2994">
        <v>0</v>
      </c>
      <c r="AW888" s="2994">
        <v>0</v>
      </c>
      <c r="AX888" s="2994">
        <v>0</v>
      </c>
      <c r="AY888" s="2994">
        <v>0</v>
      </c>
      <c r="AZ888" s="2994">
        <v>0</v>
      </c>
      <c r="BA888" s="2994">
        <v>0</v>
      </c>
      <c r="BB888" s="2994">
        <v>0</v>
      </c>
      <c r="BC888" s="2994">
        <v>0</v>
      </c>
      <c r="BD888" s="3471">
        <v>0</v>
      </c>
      <c r="BE888" s="3471">
        <v>0</v>
      </c>
      <c r="BF888" s="3471">
        <v>0</v>
      </c>
    </row>
    <row r="889" spans="1:58">
      <c r="A889" s="1817" t="str">
        <f t="shared" si="27"/>
        <v>Southern AsiaGrain, mixed</v>
      </c>
      <c r="B889" s="1818" t="s">
        <v>1326</v>
      </c>
      <c r="C889" s="1818" t="s">
        <v>7331</v>
      </c>
      <c r="D889" s="3463" t="str">
        <f>VLOOKUP(B889,List_Yield!$G$4:$J$14,4,FALSE)</f>
        <v>Asia (Indian Subcontinent)</v>
      </c>
      <c r="E889" s="3463" t="str">
        <f t="shared" si="26"/>
        <v>Asia (Indian Subcontinent)Grain, mixed</v>
      </c>
      <c r="F889" s="2994">
        <v>0</v>
      </c>
      <c r="G889" s="2994">
        <v>0</v>
      </c>
      <c r="H889" s="2994">
        <v>0</v>
      </c>
      <c r="I889" s="2994">
        <v>0</v>
      </c>
      <c r="J889" s="2994">
        <v>0</v>
      </c>
      <c r="K889" s="2994">
        <v>0</v>
      </c>
      <c r="L889" s="2994">
        <v>0</v>
      </c>
      <c r="M889" s="2994">
        <v>0</v>
      </c>
      <c r="N889" s="2994">
        <v>0</v>
      </c>
      <c r="O889" s="2994">
        <v>0</v>
      </c>
      <c r="P889" s="2994">
        <v>0</v>
      </c>
      <c r="Q889" s="2994">
        <v>0</v>
      </c>
      <c r="R889" s="2994">
        <v>0</v>
      </c>
      <c r="S889" s="2994">
        <v>0</v>
      </c>
      <c r="T889" s="2994">
        <v>0</v>
      </c>
      <c r="U889" s="2994">
        <v>0</v>
      </c>
      <c r="V889" s="2994">
        <v>0</v>
      </c>
      <c r="W889" s="2994">
        <v>0</v>
      </c>
      <c r="X889" s="2994">
        <v>0</v>
      </c>
      <c r="Y889" s="2994">
        <v>0</v>
      </c>
      <c r="Z889" s="2994">
        <v>0</v>
      </c>
      <c r="AA889" s="2994">
        <v>0</v>
      </c>
      <c r="AB889" s="2994">
        <v>0</v>
      </c>
      <c r="AC889" s="2994">
        <v>0</v>
      </c>
      <c r="AD889" s="2994">
        <v>0</v>
      </c>
      <c r="AE889" s="2994">
        <v>0</v>
      </c>
      <c r="AF889" s="2994">
        <v>0</v>
      </c>
      <c r="AG889" s="2994">
        <v>0</v>
      </c>
      <c r="AH889" s="2994">
        <v>0</v>
      </c>
      <c r="AI889" s="2994">
        <v>0</v>
      </c>
      <c r="AJ889" s="2994">
        <v>0</v>
      </c>
      <c r="AK889" s="2994">
        <v>0</v>
      </c>
      <c r="AL889" s="2994">
        <v>0</v>
      </c>
      <c r="AM889" s="2994">
        <v>0</v>
      </c>
      <c r="AN889" s="2994">
        <v>0</v>
      </c>
      <c r="AO889" s="2994">
        <v>0</v>
      </c>
      <c r="AP889" s="2994">
        <v>0</v>
      </c>
      <c r="AQ889" s="2994">
        <v>0</v>
      </c>
      <c r="AR889" s="2994">
        <v>0</v>
      </c>
      <c r="AS889" s="2994">
        <v>0</v>
      </c>
      <c r="AT889" s="2994">
        <v>0</v>
      </c>
      <c r="AU889" s="2994">
        <v>0</v>
      </c>
      <c r="AV889" s="2994">
        <v>0</v>
      </c>
      <c r="AW889" s="2994">
        <v>0</v>
      </c>
      <c r="AX889" s="2994">
        <v>0</v>
      </c>
      <c r="AY889" s="2994">
        <v>0</v>
      </c>
      <c r="AZ889" s="2994">
        <v>0</v>
      </c>
      <c r="BA889" s="2994">
        <v>0</v>
      </c>
      <c r="BB889" s="2994">
        <v>0</v>
      </c>
      <c r="BC889" s="2994">
        <v>0</v>
      </c>
      <c r="BD889" s="3471">
        <v>0</v>
      </c>
      <c r="BE889" s="3471">
        <v>0</v>
      </c>
      <c r="BF889" s="3471">
        <v>0</v>
      </c>
    </row>
    <row r="890" spans="1:58">
      <c r="A890" s="1817" t="str">
        <f t="shared" si="27"/>
        <v>Southern AsiaGrapefruit (inc. pomelos)</v>
      </c>
      <c r="B890" s="1818" t="s">
        <v>1326</v>
      </c>
      <c r="C890" s="1818" t="s">
        <v>1351</v>
      </c>
      <c r="D890" s="3463" t="str">
        <f>VLOOKUP(B890,List_Yield!$G$4:$J$14,4,FALSE)</f>
        <v>Asia (Indian Subcontinent)</v>
      </c>
      <c r="E890" s="3463" t="str">
        <f t="shared" si="26"/>
        <v>Asia (Indian Subcontinent)Grapefruit (inc. pomelos)</v>
      </c>
      <c r="F890" s="2994">
        <v>9.75</v>
      </c>
      <c r="G890" s="2994">
        <v>9</v>
      </c>
      <c r="H890" s="2994">
        <v>8.8888999999999996</v>
      </c>
      <c r="I890" s="2994">
        <v>8.6071000000000009</v>
      </c>
      <c r="J890" s="2994">
        <v>8.6428999999999991</v>
      </c>
      <c r="K890" s="2994">
        <v>8.7585999999999995</v>
      </c>
      <c r="L890" s="2994">
        <v>8.7667000000000002</v>
      </c>
      <c r="M890" s="2994">
        <v>9.7368000000000006</v>
      </c>
      <c r="N890" s="2994">
        <v>8.5526</v>
      </c>
      <c r="O890" s="2994">
        <v>9.6667000000000005</v>
      </c>
      <c r="P890" s="2994">
        <v>11.0769</v>
      </c>
      <c r="Q890" s="2994">
        <v>10.75</v>
      </c>
      <c r="R890" s="2994">
        <v>9.4170999999999996</v>
      </c>
      <c r="S890" s="2994">
        <v>9.1774000000000004</v>
      </c>
      <c r="T890" s="2994">
        <v>10.5349</v>
      </c>
      <c r="U890" s="2994">
        <v>8.1233000000000004</v>
      </c>
      <c r="V890" s="2994">
        <v>8.2753999999999994</v>
      </c>
      <c r="W890" s="2994">
        <v>8.1321999999999992</v>
      </c>
      <c r="X890" s="2994">
        <v>8.1919000000000004</v>
      </c>
      <c r="Y890" s="2994">
        <v>8.1941000000000006</v>
      </c>
      <c r="Z890" s="2994">
        <v>8.3805999999999994</v>
      </c>
      <c r="AA890" s="2994">
        <v>8.2780000000000005</v>
      </c>
      <c r="AB890" s="2994">
        <v>9.4504999999999999</v>
      </c>
      <c r="AC890" s="2994">
        <v>9.3125999999999998</v>
      </c>
      <c r="AD890" s="2994">
        <v>8.8081999999999994</v>
      </c>
      <c r="AE890" s="2994">
        <v>11.515000000000001</v>
      </c>
      <c r="AF890" s="2994">
        <v>12.1858</v>
      </c>
      <c r="AG890" s="2994">
        <v>11.3248</v>
      </c>
      <c r="AH890" s="2994">
        <v>11.879099999999999</v>
      </c>
      <c r="AI890" s="2994">
        <v>11.167199999999999</v>
      </c>
      <c r="AJ890" s="2994">
        <v>12.3085</v>
      </c>
      <c r="AK890" s="2994">
        <v>11.6914</v>
      </c>
      <c r="AL890" s="2994">
        <v>14.575100000000001</v>
      </c>
      <c r="AM890" s="2994">
        <v>12.669</v>
      </c>
      <c r="AN890" s="2994">
        <v>14.4695</v>
      </c>
      <c r="AO890" s="2994">
        <v>13.142099999999999</v>
      </c>
      <c r="AP890" s="2994">
        <v>12.726000000000001</v>
      </c>
      <c r="AQ890" s="2994">
        <v>12.330399999999999</v>
      </c>
      <c r="AR890" s="2994">
        <v>14.4482</v>
      </c>
      <c r="AS890" s="2994">
        <v>14.174799999999999</v>
      </c>
      <c r="AT890" s="2994">
        <v>13.1678</v>
      </c>
      <c r="AU890" s="2994">
        <v>13.531499999999999</v>
      </c>
      <c r="AV890" s="2994">
        <v>13.395899999999999</v>
      </c>
      <c r="AW890" s="2994">
        <v>14.4391</v>
      </c>
      <c r="AX890" s="2994">
        <v>12.6539</v>
      </c>
      <c r="AY890" s="2994">
        <v>14.9543</v>
      </c>
      <c r="AZ890" s="2994">
        <v>17.283899999999999</v>
      </c>
      <c r="BA890" s="2994">
        <v>19.414899999999999</v>
      </c>
      <c r="BB890" s="2994">
        <v>17.821000000000002</v>
      </c>
      <c r="BC890" s="2994">
        <v>18.555499999999999</v>
      </c>
      <c r="BD890" s="3471">
        <v>16.351700000000001</v>
      </c>
      <c r="BE890" s="3471">
        <v>16.139399999999998</v>
      </c>
      <c r="BF890" s="3471">
        <v>0</v>
      </c>
    </row>
    <row r="891" spans="1:58">
      <c r="A891" s="1817" t="str">
        <f t="shared" si="27"/>
        <v>Southern AsiaGrapes</v>
      </c>
      <c r="B891" s="1818" t="s">
        <v>1326</v>
      </c>
      <c r="C891" s="1818" t="s">
        <v>1352</v>
      </c>
      <c r="D891" s="3463" t="str">
        <f>VLOOKUP(B891,List_Yield!$G$4:$J$14,4,FALSE)</f>
        <v>Asia (Indian Subcontinent)</v>
      </c>
      <c r="E891" s="3463" t="str">
        <f t="shared" si="26"/>
        <v>Asia (Indian Subcontinent)Grapes</v>
      </c>
      <c r="F891" s="2994">
        <v>4.6521999999999997</v>
      </c>
      <c r="G891" s="2994">
        <v>4.7412000000000001</v>
      </c>
      <c r="H891" s="2994">
        <v>4.8296000000000001</v>
      </c>
      <c r="I891" s="2994">
        <v>5.0872000000000002</v>
      </c>
      <c r="J891" s="2994">
        <v>5.2198000000000002</v>
      </c>
      <c r="K891" s="2994">
        <v>5.2385999999999999</v>
      </c>
      <c r="L891" s="2994">
        <v>5.55</v>
      </c>
      <c r="M891" s="2994">
        <v>5.4702000000000002</v>
      </c>
      <c r="N891" s="2994">
        <v>5.7069000000000001</v>
      </c>
      <c r="O891" s="2994">
        <v>5.7319000000000004</v>
      </c>
      <c r="P891" s="2994">
        <v>5.2420999999999998</v>
      </c>
      <c r="Q891" s="2994">
        <v>5.7253999999999996</v>
      </c>
      <c r="R891" s="2994">
        <v>5.6273</v>
      </c>
      <c r="S891" s="2994">
        <v>5.5622999999999996</v>
      </c>
      <c r="T891" s="2994">
        <v>5.6307</v>
      </c>
      <c r="U891" s="2994">
        <v>5.8474000000000004</v>
      </c>
      <c r="V891" s="2994">
        <v>5.8086000000000002</v>
      </c>
      <c r="W891" s="2994">
        <v>5.9283999999999999</v>
      </c>
      <c r="X891" s="2994">
        <v>6.0670999999999999</v>
      </c>
      <c r="Y891" s="2994">
        <v>6.83</v>
      </c>
      <c r="Z891" s="2994">
        <v>7.9231999999999996</v>
      </c>
      <c r="AA891" s="2994">
        <v>8.1579999999999995</v>
      </c>
      <c r="AB891" s="2994">
        <v>7.8944000000000001</v>
      </c>
      <c r="AC891" s="2994">
        <v>7.7786</v>
      </c>
      <c r="AD891" s="2994">
        <v>8.1228999999999996</v>
      </c>
      <c r="AE891" s="2994">
        <v>8.1062999999999992</v>
      </c>
      <c r="AF891" s="2994">
        <v>7.8930999999999996</v>
      </c>
      <c r="AG891" s="2994">
        <v>8.3369999999999997</v>
      </c>
      <c r="AH891" s="2994">
        <v>6.9683999999999999</v>
      </c>
      <c r="AI891" s="2994">
        <v>7.3221999999999996</v>
      </c>
      <c r="AJ891" s="2994">
        <v>7.8201999999999998</v>
      </c>
      <c r="AK891" s="2994">
        <v>7.9497999999999998</v>
      </c>
      <c r="AL891" s="2994">
        <v>8.9117999999999995</v>
      </c>
      <c r="AM891" s="2994">
        <v>8.6052999999999997</v>
      </c>
      <c r="AN891" s="2994">
        <v>8.7306000000000008</v>
      </c>
      <c r="AO891" s="2994">
        <v>9.0861000000000001</v>
      </c>
      <c r="AP891" s="2994">
        <v>9.3680000000000003</v>
      </c>
      <c r="AQ891" s="2994">
        <v>9.6313999999999993</v>
      </c>
      <c r="AR891" s="2994">
        <v>10.301600000000001</v>
      </c>
      <c r="AS891" s="2994">
        <v>10.9092</v>
      </c>
      <c r="AT891" s="2994">
        <v>10.3965</v>
      </c>
      <c r="AU891" s="2994">
        <v>11.2043</v>
      </c>
      <c r="AV891" s="2994">
        <v>10.7585</v>
      </c>
      <c r="AW891" s="2994">
        <v>10.7553</v>
      </c>
      <c r="AX891" s="2994">
        <v>11.234999999999999</v>
      </c>
      <c r="AY891" s="2994">
        <v>10.173400000000001</v>
      </c>
      <c r="AZ891" s="2994">
        <v>9.4657999999999998</v>
      </c>
      <c r="BA891" s="2994">
        <v>12.246700000000001</v>
      </c>
      <c r="BB891" s="2994">
        <v>11.8261</v>
      </c>
      <c r="BC891" s="2994">
        <v>8.9132999999999996</v>
      </c>
      <c r="BD891" s="3471">
        <v>9.7548999999999992</v>
      </c>
      <c r="BE891" s="3471">
        <v>10.0016</v>
      </c>
      <c r="BF891" s="3471">
        <v>0</v>
      </c>
    </row>
    <row r="892" spans="1:58">
      <c r="A892" s="1817" t="str">
        <f t="shared" si="27"/>
        <v>Southern AsiaGroundnuts, with shell</v>
      </c>
      <c r="B892" s="1818" t="s">
        <v>1326</v>
      </c>
      <c r="C892" s="1818" t="s">
        <v>1353</v>
      </c>
      <c r="D892" s="3463" t="str">
        <f>VLOOKUP(B892,List_Yield!$G$4:$J$14,4,FALSE)</f>
        <v>Asia (Indian Subcontinent)</v>
      </c>
      <c r="E892" s="3463" t="str">
        <f t="shared" si="26"/>
        <v>Asia (Indian Subcontinent)Groundnuts, with shell</v>
      </c>
      <c r="F892" s="2994">
        <v>0.72670000000000001</v>
      </c>
      <c r="G892" s="2994">
        <v>0.69720000000000004</v>
      </c>
      <c r="H892" s="2994">
        <v>0.77129999999999999</v>
      </c>
      <c r="I892" s="2994">
        <v>0.81589999999999996</v>
      </c>
      <c r="J892" s="2994">
        <v>0.55720000000000003</v>
      </c>
      <c r="K892" s="2994">
        <v>0.61</v>
      </c>
      <c r="L892" s="2994">
        <v>0.76639999999999997</v>
      </c>
      <c r="M892" s="2994">
        <v>0.66220000000000001</v>
      </c>
      <c r="N892" s="2994">
        <v>0.72870000000000001</v>
      </c>
      <c r="O892" s="2994">
        <v>0.83989999999999998</v>
      </c>
      <c r="P892" s="2994">
        <v>0.82799999999999996</v>
      </c>
      <c r="Q892" s="2994">
        <v>0.59299999999999997</v>
      </c>
      <c r="R892" s="2994">
        <v>0.85089999999999999</v>
      </c>
      <c r="S892" s="2994">
        <v>0.71899999999999997</v>
      </c>
      <c r="T892" s="2994">
        <v>0.94089999999999996</v>
      </c>
      <c r="U892" s="2994">
        <v>0.75449999999999995</v>
      </c>
      <c r="V892" s="2994">
        <v>0.87129999999999996</v>
      </c>
      <c r="W892" s="2994">
        <v>0.83789999999999998</v>
      </c>
      <c r="X892" s="2994">
        <v>0.8085</v>
      </c>
      <c r="Y892" s="2994">
        <v>0.7409</v>
      </c>
      <c r="Z892" s="2994">
        <v>0.97370000000000001</v>
      </c>
      <c r="AA892" s="2994">
        <v>0.73740000000000006</v>
      </c>
      <c r="AB892" s="2994">
        <v>0.94220000000000004</v>
      </c>
      <c r="AC892" s="2994">
        <v>0.90059999999999996</v>
      </c>
      <c r="AD892" s="2994">
        <v>0.72399999999999998</v>
      </c>
      <c r="AE892" s="2994">
        <v>0.84619999999999995</v>
      </c>
      <c r="AF892" s="2994">
        <v>0.85609999999999997</v>
      </c>
      <c r="AG892" s="2994">
        <v>1.1327</v>
      </c>
      <c r="AH892" s="2994">
        <v>0.93189999999999995</v>
      </c>
      <c r="AI892" s="2994">
        <v>0.90700000000000003</v>
      </c>
      <c r="AJ892" s="2994">
        <v>0.82169999999999999</v>
      </c>
      <c r="AK892" s="2994">
        <v>1.0488999999999999</v>
      </c>
      <c r="AL892" s="2994">
        <v>0.94240000000000002</v>
      </c>
      <c r="AM892" s="2994">
        <v>1.0279</v>
      </c>
      <c r="AN892" s="2994">
        <v>1.0088999999999999</v>
      </c>
      <c r="AO892" s="2994">
        <v>1.1372</v>
      </c>
      <c r="AP892" s="2994">
        <v>1.0397000000000001</v>
      </c>
      <c r="AQ892" s="2994">
        <v>1.2115</v>
      </c>
      <c r="AR892" s="2994">
        <v>0.77210000000000001</v>
      </c>
      <c r="AS892" s="2994">
        <v>0.99</v>
      </c>
      <c r="AT892" s="2994">
        <v>1.1241000000000001</v>
      </c>
      <c r="AU892" s="2994">
        <v>0.70209999999999995</v>
      </c>
      <c r="AV892" s="2994">
        <v>1.3521000000000001</v>
      </c>
      <c r="AW892" s="2994">
        <v>1.0165999999999999</v>
      </c>
      <c r="AX892" s="2994">
        <v>1.1808000000000001</v>
      </c>
      <c r="AY892" s="2994">
        <v>0.86750000000000005</v>
      </c>
      <c r="AZ892" s="2994">
        <v>1.4498</v>
      </c>
      <c r="BA892" s="2994">
        <v>1.1605000000000001</v>
      </c>
      <c r="BB892" s="2994">
        <v>0.9889</v>
      </c>
      <c r="BC892" s="2994">
        <v>1.4036999999999999</v>
      </c>
      <c r="BD892" s="3471">
        <v>1.3080000000000001</v>
      </c>
      <c r="BE892" s="3471">
        <v>0.98719999999999997</v>
      </c>
      <c r="BF892" s="3471">
        <v>1.7870999999999999</v>
      </c>
    </row>
    <row r="893" spans="1:58">
      <c r="A893" s="1817" t="str">
        <f t="shared" si="27"/>
        <v>Southern AsiaHazelnuts, with shell</v>
      </c>
      <c r="B893" s="1818" t="s">
        <v>1326</v>
      </c>
      <c r="C893" s="1818" t="s">
        <v>7332</v>
      </c>
      <c r="D893" s="3463" t="str">
        <f>VLOOKUP(B893,List_Yield!$G$4:$J$14,4,FALSE)</f>
        <v>Asia (Indian Subcontinent)</v>
      </c>
      <c r="E893" s="3463" t="str">
        <f t="shared" ref="E893:E956" si="28">CONCATENATE(D893,C893)</f>
        <v>Asia (Indian Subcontinent)Hazelnuts, with shell</v>
      </c>
      <c r="F893" s="2994">
        <v>2</v>
      </c>
      <c r="G893" s="2994">
        <v>2</v>
      </c>
      <c r="H893" s="2994">
        <v>1.7142999999999999</v>
      </c>
      <c r="I893" s="2994">
        <v>1.8571</v>
      </c>
      <c r="J893" s="2994">
        <v>1.8571</v>
      </c>
      <c r="K893" s="2994">
        <v>1.8571</v>
      </c>
      <c r="L893" s="2994">
        <v>1.8571</v>
      </c>
      <c r="M893" s="2994">
        <v>1.8571</v>
      </c>
      <c r="N893" s="2994">
        <v>1.7142999999999999</v>
      </c>
      <c r="O893" s="2994">
        <v>1.7142999999999999</v>
      </c>
      <c r="P893" s="2994">
        <v>1.8125</v>
      </c>
      <c r="Q893" s="2994">
        <v>1.875</v>
      </c>
      <c r="R893" s="2994">
        <v>1.5</v>
      </c>
      <c r="S893" s="2994">
        <v>1.5</v>
      </c>
      <c r="T893" s="2994">
        <v>1.625</v>
      </c>
      <c r="U893" s="2994">
        <v>1.75</v>
      </c>
      <c r="V893" s="2994">
        <v>1.875</v>
      </c>
      <c r="W893" s="2994">
        <v>1.875</v>
      </c>
      <c r="X893" s="2994">
        <v>1.4</v>
      </c>
      <c r="Y893" s="2994">
        <v>1.2</v>
      </c>
      <c r="Z893" s="2994">
        <v>1.25</v>
      </c>
      <c r="AA893" s="2994">
        <v>1.5321</v>
      </c>
      <c r="AB893" s="2994">
        <v>2.7805</v>
      </c>
      <c r="AC893" s="2994">
        <v>1.8108</v>
      </c>
      <c r="AD893" s="2994">
        <v>1.8754</v>
      </c>
      <c r="AE893" s="2994">
        <v>1.5175000000000001</v>
      </c>
      <c r="AF893" s="2994">
        <v>1.4645999999999999</v>
      </c>
      <c r="AG893" s="2994">
        <v>1.2806</v>
      </c>
      <c r="AH893" s="2994">
        <v>1.1717</v>
      </c>
      <c r="AI893" s="2994">
        <v>1.2765</v>
      </c>
      <c r="AJ893" s="2994">
        <v>1.3971</v>
      </c>
      <c r="AK893" s="2994">
        <v>1.5174000000000001</v>
      </c>
      <c r="AL893" s="2994">
        <v>1.458</v>
      </c>
      <c r="AM893" s="2994">
        <v>1.4443999999999999</v>
      </c>
      <c r="AN893" s="2994">
        <v>1.3332999999999999</v>
      </c>
      <c r="AO893" s="2994">
        <v>1.2262</v>
      </c>
      <c r="AP893" s="2994">
        <v>1.2307999999999999</v>
      </c>
      <c r="AQ893" s="2994">
        <v>1.2929999999999999</v>
      </c>
      <c r="AR893" s="2994">
        <v>1.1251</v>
      </c>
      <c r="AS893" s="2994">
        <v>1.1007</v>
      </c>
      <c r="AT893" s="2994">
        <v>1.1132</v>
      </c>
      <c r="AU893" s="2994">
        <v>1.1321000000000001</v>
      </c>
      <c r="AV893" s="2994">
        <v>0.74639999999999995</v>
      </c>
      <c r="AW893" s="2994">
        <v>0.84719999999999995</v>
      </c>
      <c r="AX893" s="2994">
        <v>0.91839999999999999</v>
      </c>
      <c r="AY893" s="2994">
        <v>0.92310000000000003</v>
      </c>
      <c r="AZ893" s="2994">
        <v>1.1511</v>
      </c>
      <c r="BA893" s="2994">
        <v>1.0101</v>
      </c>
      <c r="BB893" s="2994">
        <v>1.05</v>
      </c>
      <c r="BC893" s="2994">
        <v>0.98970000000000002</v>
      </c>
      <c r="BD893" s="3471">
        <v>1.0199</v>
      </c>
      <c r="BE893" s="3471">
        <v>1.0199</v>
      </c>
      <c r="BF893" s="3471">
        <v>0</v>
      </c>
    </row>
    <row r="894" spans="1:58">
      <c r="A894" s="1817" t="str">
        <f t="shared" si="27"/>
        <v>Southern AsiaHemp tow waste</v>
      </c>
      <c r="B894" s="1818" t="s">
        <v>1326</v>
      </c>
      <c r="C894" s="1818" t="s">
        <v>7333</v>
      </c>
      <c r="D894" s="3463" t="str">
        <f>VLOOKUP(B894,List_Yield!$G$4:$J$14,4,FALSE)</f>
        <v>Asia (Indian Subcontinent)</v>
      </c>
      <c r="E894" s="3463" t="str">
        <f t="shared" si="28"/>
        <v>Asia (Indian Subcontinent)Hemp tow waste</v>
      </c>
      <c r="F894" s="2994">
        <v>0</v>
      </c>
      <c r="G894" s="2994">
        <v>0</v>
      </c>
      <c r="H894" s="2994">
        <v>0</v>
      </c>
      <c r="I894" s="2994">
        <v>0</v>
      </c>
      <c r="J894" s="2994">
        <v>0</v>
      </c>
      <c r="K894" s="2994">
        <v>0</v>
      </c>
      <c r="L894" s="2994">
        <v>0</v>
      </c>
      <c r="M894" s="2994">
        <v>0</v>
      </c>
      <c r="N894" s="2994">
        <v>0</v>
      </c>
      <c r="O894" s="2994">
        <v>0</v>
      </c>
      <c r="P894" s="2994">
        <v>0</v>
      </c>
      <c r="Q894" s="2994">
        <v>0</v>
      </c>
      <c r="R894" s="2994">
        <v>0</v>
      </c>
      <c r="S894" s="2994">
        <v>0</v>
      </c>
      <c r="T894" s="2994">
        <v>0</v>
      </c>
      <c r="U894" s="2994">
        <v>0</v>
      </c>
      <c r="V894" s="2994">
        <v>0</v>
      </c>
      <c r="W894" s="2994">
        <v>0</v>
      </c>
      <c r="X894" s="2994">
        <v>0</v>
      </c>
      <c r="Y894" s="2994">
        <v>0</v>
      </c>
      <c r="Z894" s="2994">
        <v>0</v>
      </c>
      <c r="AA894" s="2994">
        <v>0</v>
      </c>
      <c r="AB894" s="2994">
        <v>0</v>
      </c>
      <c r="AC894" s="2994">
        <v>0</v>
      </c>
      <c r="AD894" s="2994">
        <v>0</v>
      </c>
      <c r="AE894" s="2994">
        <v>0</v>
      </c>
      <c r="AF894" s="2994">
        <v>0</v>
      </c>
      <c r="AG894" s="2994">
        <v>0</v>
      </c>
      <c r="AH894" s="2994">
        <v>0</v>
      </c>
      <c r="AI894" s="2994">
        <v>0</v>
      </c>
      <c r="AJ894" s="2994">
        <v>0</v>
      </c>
      <c r="AK894" s="2994">
        <v>0</v>
      </c>
      <c r="AL894" s="2994">
        <v>0</v>
      </c>
      <c r="AM894" s="2994">
        <v>0</v>
      </c>
      <c r="AN894" s="2994">
        <v>0</v>
      </c>
      <c r="AO894" s="2994">
        <v>0</v>
      </c>
      <c r="AP894" s="2994">
        <v>0</v>
      </c>
      <c r="AQ894" s="2994">
        <v>0</v>
      </c>
      <c r="AR894" s="2994">
        <v>0</v>
      </c>
      <c r="AS894" s="2994">
        <v>0</v>
      </c>
      <c r="AT894" s="2994">
        <v>0</v>
      </c>
      <c r="AU894" s="2994">
        <v>0</v>
      </c>
      <c r="AV894" s="2994">
        <v>0</v>
      </c>
      <c r="AW894" s="2994">
        <v>0</v>
      </c>
      <c r="AX894" s="2994">
        <v>0</v>
      </c>
      <c r="AY894" s="2994">
        <v>0</v>
      </c>
      <c r="AZ894" s="2994">
        <v>0</v>
      </c>
      <c r="BA894" s="2994">
        <v>0</v>
      </c>
      <c r="BB894" s="2994">
        <v>0</v>
      </c>
      <c r="BC894" s="2994">
        <v>0</v>
      </c>
      <c r="BD894" s="3471">
        <v>0</v>
      </c>
      <c r="BE894" s="3471">
        <v>0</v>
      </c>
      <c r="BF894" s="3471">
        <v>0</v>
      </c>
    </row>
    <row r="895" spans="1:58">
      <c r="A895" s="1817" t="str">
        <f t="shared" si="27"/>
        <v>Southern AsiaHempseed</v>
      </c>
      <c r="B895" s="1818" t="s">
        <v>1326</v>
      </c>
      <c r="C895" s="1818" t="s">
        <v>7334</v>
      </c>
      <c r="D895" s="3463" t="str">
        <f>VLOOKUP(B895,List_Yield!$G$4:$J$14,4,FALSE)</f>
        <v>Asia (Indian Subcontinent)</v>
      </c>
      <c r="E895" s="3463" t="str">
        <f t="shared" si="28"/>
        <v>Asia (Indian Subcontinent)Hempseed</v>
      </c>
      <c r="F895" s="2994">
        <v>0</v>
      </c>
      <c r="G895" s="2994">
        <v>0</v>
      </c>
      <c r="H895" s="2994">
        <v>0</v>
      </c>
      <c r="I895" s="2994">
        <v>0</v>
      </c>
      <c r="J895" s="2994">
        <v>0</v>
      </c>
      <c r="K895" s="2994">
        <v>0</v>
      </c>
      <c r="L895" s="2994">
        <v>0</v>
      </c>
      <c r="M895" s="2994">
        <v>0</v>
      </c>
      <c r="N895" s="2994">
        <v>0</v>
      </c>
      <c r="O895" s="2994">
        <v>0</v>
      </c>
      <c r="P895" s="2994">
        <v>0</v>
      </c>
      <c r="Q895" s="2994">
        <v>0</v>
      </c>
      <c r="R895" s="2994">
        <v>0</v>
      </c>
      <c r="S895" s="2994">
        <v>0</v>
      </c>
      <c r="T895" s="2994">
        <v>0</v>
      </c>
      <c r="U895" s="2994">
        <v>0</v>
      </c>
      <c r="V895" s="2994">
        <v>0</v>
      </c>
      <c r="W895" s="2994">
        <v>0</v>
      </c>
      <c r="X895" s="2994">
        <v>0</v>
      </c>
      <c r="Y895" s="2994">
        <v>0</v>
      </c>
      <c r="Z895" s="2994">
        <v>0</v>
      </c>
      <c r="AA895" s="2994">
        <v>0</v>
      </c>
      <c r="AB895" s="2994">
        <v>0</v>
      </c>
      <c r="AC895" s="2994">
        <v>0</v>
      </c>
      <c r="AD895" s="2994">
        <v>0</v>
      </c>
      <c r="AE895" s="2994">
        <v>0</v>
      </c>
      <c r="AF895" s="2994">
        <v>0</v>
      </c>
      <c r="AG895" s="2994">
        <v>0</v>
      </c>
      <c r="AH895" s="2994">
        <v>0</v>
      </c>
      <c r="AI895" s="2994">
        <v>0</v>
      </c>
      <c r="AJ895" s="2994">
        <v>0</v>
      </c>
      <c r="AK895" s="2994">
        <v>0</v>
      </c>
      <c r="AL895" s="2994">
        <v>0</v>
      </c>
      <c r="AM895" s="2994">
        <v>0</v>
      </c>
      <c r="AN895" s="2994">
        <v>0</v>
      </c>
      <c r="AO895" s="2994">
        <v>0</v>
      </c>
      <c r="AP895" s="2994">
        <v>0</v>
      </c>
      <c r="AQ895" s="2994">
        <v>0</v>
      </c>
      <c r="AR895" s="2994">
        <v>0</v>
      </c>
      <c r="AS895" s="2994">
        <v>0</v>
      </c>
      <c r="AT895" s="2994">
        <v>0</v>
      </c>
      <c r="AU895" s="2994">
        <v>0</v>
      </c>
      <c r="AV895" s="2994">
        <v>0</v>
      </c>
      <c r="AW895" s="2994">
        <v>0</v>
      </c>
      <c r="AX895" s="2994">
        <v>0</v>
      </c>
      <c r="AY895" s="2994">
        <v>0</v>
      </c>
      <c r="AZ895" s="2994">
        <v>0</v>
      </c>
      <c r="BA895" s="2994">
        <v>0</v>
      </c>
      <c r="BB895" s="2994">
        <v>0</v>
      </c>
      <c r="BC895" s="2994">
        <v>0</v>
      </c>
      <c r="BD895" s="3471">
        <v>0</v>
      </c>
      <c r="BE895" s="3471">
        <v>0</v>
      </c>
      <c r="BF895" s="3471">
        <v>0</v>
      </c>
    </row>
    <row r="896" spans="1:58">
      <c r="A896" s="1817" t="str">
        <f t="shared" si="27"/>
        <v>Southern AsiaHops</v>
      </c>
      <c r="B896" s="1818" t="s">
        <v>1326</v>
      </c>
      <c r="C896" s="1818" t="s">
        <v>7335</v>
      </c>
      <c r="D896" s="3463" t="str">
        <f>VLOOKUP(B896,List_Yield!$G$4:$J$14,4,FALSE)</f>
        <v>Asia (Indian Subcontinent)</v>
      </c>
      <c r="E896" s="3463" t="str">
        <f t="shared" si="28"/>
        <v>Asia (Indian Subcontinent)Hops</v>
      </c>
      <c r="F896" s="2994">
        <v>0</v>
      </c>
      <c r="G896" s="2994">
        <v>0</v>
      </c>
      <c r="H896" s="2994">
        <v>0</v>
      </c>
      <c r="I896" s="2994">
        <v>0</v>
      </c>
      <c r="J896" s="2994">
        <v>0</v>
      </c>
      <c r="K896" s="2994">
        <v>0</v>
      </c>
      <c r="L896" s="2994">
        <v>0</v>
      </c>
      <c r="M896" s="2994">
        <v>0</v>
      </c>
      <c r="N896" s="2994">
        <v>0</v>
      </c>
      <c r="O896" s="2994">
        <v>0</v>
      </c>
      <c r="P896" s="2994">
        <v>0</v>
      </c>
      <c r="Q896" s="2994">
        <v>0</v>
      </c>
      <c r="R896" s="2994">
        <v>0</v>
      </c>
      <c r="S896" s="2994">
        <v>0</v>
      </c>
      <c r="T896" s="2994">
        <v>0</v>
      </c>
      <c r="U896" s="2994">
        <v>0</v>
      </c>
      <c r="V896" s="2994">
        <v>0</v>
      </c>
      <c r="W896" s="2994">
        <v>0</v>
      </c>
      <c r="X896" s="2994">
        <v>0</v>
      </c>
      <c r="Y896" s="2994">
        <v>0</v>
      </c>
      <c r="Z896" s="2994">
        <v>0</v>
      </c>
      <c r="AA896" s="2994">
        <v>0</v>
      </c>
      <c r="AB896" s="2994">
        <v>0</v>
      </c>
      <c r="AC896" s="2994">
        <v>0</v>
      </c>
      <c r="AD896" s="2994">
        <v>0</v>
      </c>
      <c r="AE896" s="2994">
        <v>0</v>
      </c>
      <c r="AF896" s="2994">
        <v>0</v>
      </c>
      <c r="AG896" s="2994">
        <v>0</v>
      </c>
      <c r="AH896" s="2994">
        <v>0</v>
      </c>
      <c r="AI896" s="2994">
        <v>0</v>
      </c>
      <c r="AJ896" s="2994">
        <v>0</v>
      </c>
      <c r="AK896" s="2994">
        <v>0</v>
      </c>
      <c r="AL896" s="2994">
        <v>0</v>
      </c>
      <c r="AM896" s="2994">
        <v>0</v>
      </c>
      <c r="AN896" s="2994">
        <v>0</v>
      </c>
      <c r="AO896" s="2994">
        <v>0</v>
      </c>
      <c r="AP896" s="2994">
        <v>0</v>
      </c>
      <c r="AQ896" s="2994">
        <v>0</v>
      </c>
      <c r="AR896" s="2994">
        <v>0</v>
      </c>
      <c r="AS896" s="2994">
        <v>0</v>
      </c>
      <c r="AT896" s="2994">
        <v>0</v>
      </c>
      <c r="AU896" s="2994">
        <v>0</v>
      </c>
      <c r="AV896" s="2994">
        <v>0</v>
      </c>
      <c r="AW896" s="2994">
        <v>0</v>
      </c>
      <c r="AX896" s="2994">
        <v>0</v>
      </c>
      <c r="AY896" s="2994">
        <v>0</v>
      </c>
      <c r="AZ896" s="2994">
        <v>0</v>
      </c>
      <c r="BA896" s="2994">
        <v>0</v>
      </c>
      <c r="BB896" s="2994">
        <v>0</v>
      </c>
      <c r="BC896" s="2994">
        <v>0</v>
      </c>
      <c r="BD896" s="3471">
        <v>0</v>
      </c>
      <c r="BE896" s="3471">
        <v>0</v>
      </c>
      <c r="BF896" s="3471">
        <v>0</v>
      </c>
    </row>
    <row r="897" spans="1:58">
      <c r="A897" s="1817" t="str">
        <f t="shared" si="27"/>
        <v>Southern AsiaJojoba seed</v>
      </c>
      <c r="B897" s="1818" t="s">
        <v>1326</v>
      </c>
      <c r="C897" s="1818" t="s">
        <v>7336</v>
      </c>
      <c r="D897" s="3463" t="str">
        <f>VLOOKUP(B897,List_Yield!$G$4:$J$14,4,FALSE)</f>
        <v>Asia (Indian Subcontinent)</v>
      </c>
      <c r="E897" s="3463" t="str">
        <f t="shared" si="28"/>
        <v>Asia (Indian Subcontinent)Jojoba seed</v>
      </c>
      <c r="F897" s="2994">
        <v>0</v>
      </c>
      <c r="G897" s="2994">
        <v>0</v>
      </c>
      <c r="H897" s="2994">
        <v>0</v>
      </c>
      <c r="I897" s="2994">
        <v>0</v>
      </c>
      <c r="J897" s="2994">
        <v>0</v>
      </c>
      <c r="K897" s="2994">
        <v>0</v>
      </c>
      <c r="L897" s="2994">
        <v>0</v>
      </c>
      <c r="M897" s="2994">
        <v>0</v>
      </c>
      <c r="N897" s="2994">
        <v>0</v>
      </c>
      <c r="O897" s="2994">
        <v>0</v>
      </c>
      <c r="P897" s="2994">
        <v>0</v>
      </c>
      <c r="Q897" s="2994">
        <v>0</v>
      </c>
      <c r="R897" s="2994">
        <v>0</v>
      </c>
      <c r="S897" s="2994">
        <v>0</v>
      </c>
      <c r="T897" s="2994">
        <v>0</v>
      </c>
      <c r="U897" s="2994">
        <v>0</v>
      </c>
      <c r="V897" s="2994">
        <v>0</v>
      </c>
      <c r="W897" s="2994">
        <v>0</v>
      </c>
      <c r="X897" s="2994">
        <v>0</v>
      </c>
      <c r="Y897" s="2994">
        <v>0</v>
      </c>
      <c r="Z897" s="2994">
        <v>0</v>
      </c>
      <c r="AA897" s="2994">
        <v>0</v>
      </c>
      <c r="AB897" s="2994">
        <v>0</v>
      </c>
      <c r="AC897" s="2994">
        <v>0</v>
      </c>
      <c r="AD897" s="2994">
        <v>0</v>
      </c>
      <c r="AE897" s="2994">
        <v>0</v>
      </c>
      <c r="AF897" s="2994">
        <v>0</v>
      </c>
      <c r="AG897" s="2994">
        <v>0</v>
      </c>
      <c r="AH897" s="2994">
        <v>0</v>
      </c>
      <c r="AI897" s="2994">
        <v>0</v>
      </c>
      <c r="AJ897" s="2994">
        <v>0</v>
      </c>
      <c r="AK897" s="2994">
        <v>0</v>
      </c>
      <c r="AL897" s="2994">
        <v>0</v>
      </c>
      <c r="AM897" s="2994">
        <v>0</v>
      </c>
      <c r="AN897" s="2994">
        <v>0</v>
      </c>
      <c r="AO897" s="2994">
        <v>0</v>
      </c>
      <c r="AP897" s="2994">
        <v>0</v>
      </c>
      <c r="AQ897" s="2994">
        <v>0</v>
      </c>
      <c r="AR897" s="2994">
        <v>0</v>
      </c>
      <c r="AS897" s="2994">
        <v>0</v>
      </c>
      <c r="AT897" s="2994">
        <v>0</v>
      </c>
      <c r="AU897" s="2994">
        <v>0</v>
      </c>
      <c r="AV897" s="2994">
        <v>0</v>
      </c>
      <c r="AW897" s="2994">
        <v>0</v>
      </c>
      <c r="AX897" s="2994">
        <v>0</v>
      </c>
      <c r="AY897" s="2994">
        <v>0</v>
      </c>
      <c r="AZ897" s="2994">
        <v>0</v>
      </c>
      <c r="BA897" s="2994">
        <v>0</v>
      </c>
      <c r="BB897" s="2994">
        <v>0</v>
      </c>
      <c r="BC897" s="2994">
        <v>0</v>
      </c>
      <c r="BD897" s="3471">
        <v>0</v>
      </c>
      <c r="BE897" s="3471">
        <v>0</v>
      </c>
      <c r="BF897" s="3471">
        <v>0</v>
      </c>
    </row>
    <row r="898" spans="1:58">
      <c r="A898" s="1817" t="str">
        <f t="shared" ref="A898:A961" si="29">CONCATENATE(B898,C898)</f>
        <v>Southern AsiaJute</v>
      </c>
      <c r="B898" s="1818" t="s">
        <v>1326</v>
      </c>
      <c r="C898" s="1818" t="s">
        <v>7337</v>
      </c>
      <c r="D898" s="3463" t="str">
        <f>VLOOKUP(B898,List_Yield!$G$4:$J$14,4,FALSE)</f>
        <v>Asia (Indian Subcontinent)</v>
      </c>
      <c r="E898" s="3463" t="str">
        <f t="shared" si="28"/>
        <v>Asia (Indian Subcontinent)Jute</v>
      </c>
      <c r="F898" s="2994">
        <v>1.3935999999999999</v>
      </c>
      <c r="G898" s="2994">
        <v>1.3960999999999999</v>
      </c>
      <c r="H898" s="2994">
        <v>1.4049</v>
      </c>
      <c r="I898" s="2994">
        <v>1.3607</v>
      </c>
      <c r="J898" s="2994">
        <v>1.2878000000000001</v>
      </c>
      <c r="K898" s="2994">
        <v>1.32</v>
      </c>
      <c r="L898" s="2994">
        <v>1.294</v>
      </c>
      <c r="M898" s="2994">
        <v>1.105</v>
      </c>
      <c r="N898" s="2994">
        <v>1.3391999999999999</v>
      </c>
      <c r="O898" s="2994">
        <v>1.2616000000000001</v>
      </c>
      <c r="P898" s="2994">
        <v>1.1845000000000001</v>
      </c>
      <c r="Q898" s="2994">
        <v>1.3017000000000001</v>
      </c>
      <c r="R898" s="2994">
        <v>1.3176000000000001</v>
      </c>
      <c r="S898" s="2994">
        <v>1.2244999999999999</v>
      </c>
      <c r="T898" s="2994">
        <v>1.4411</v>
      </c>
      <c r="U898" s="2994">
        <v>1.3188</v>
      </c>
      <c r="V898" s="2994">
        <v>1.2648999999999999</v>
      </c>
      <c r="W898" s="2994">
        <v>1.3574999999999999</v>
      </c>
      <c r="X898" s="2994">
        <v>1.3627</v>
      </c>
      <c r="Y898" s="2994">
        <v>1.3067</v>
      </c>
      <c r="Z898" s="2994">
        <v>1.4658</v>
      </c>
      <c r="AA898" s="2994">
        <v>1.4853000000000001</v>
      </c>
      <c r="AB898" s="2994">
        <v>1.548</v>
      </c>
      <c r="AC898" s="2994">
        <v>1.3884000000000001</v>
      </c>
      <c r="AD898" s="2994">
        <v>1.6072</v>
      </c>
      <c r="AE898" s="2994">
        <v>1.5490999999999999</v>
      </c>
      <c r="AF898" s="2994">
        <v>1.5383</v>
      </c>
      <c r="AG898" s="2994">
        <v>1.7252000000000001</v>
      </c>
      <c r="AH898" s="2994">
        <v>1.7161999999999999</v>
      </c>
      <c r="AI898" s="2994">
        <v>1.7133</v>
      </c>
      <c r="AJ898" s="2994">
        <v>1.7561</v>
      </c>
      <c r="AK898" s="2994">
        <v>1.7485999999999999</v>
      </c>
      <c r="AL898" s="2994">
        <v>1.8129999999999999</v>
      </c>
      <c r="AM898" s="2994">
        <v>1.8469</v>
      </c>
      <c r="AN898" s="2994">
        <v>1.7703</v>
      </c>
      <c r="AO898" s="2994">
        <v>1.9013</v>
      </c>
      <c r="AP898" s="2994">
        <v>1.9165000000000001</v>
      </c>
      <c r="AQ898" s="2994">
        <v>1.8067</v>
      </c>
      <c r="AR898" s="2994">
        <v>1.9123000000000001</v>
      </c>
      <c r="AS898" s="2994">
        <v>1.9472</v>
      </c>
      <c r="AT898" s="2994">
        <v>2.0733000000000001</v>
      </c>
      <c r="AU898" s="2994">
        <v>2.0345</v>
      </c>
      <c r="AV898" s="2994">
        <v>2.0935000000000001</v>
      </c>
      <c r="AW898" s="2994">
        <v>2.0735999999999999</v>
      </c>
      <c r="AX898" s="2994">
        <v>2.2563</v>
      </c>
      <c r="AY898" s="2994">
        <v>2.2572000000000001</v>
      </c>
      <c r="AZ898" s="2994">
        <v>2.1255999999999999</v>
      </c>
      <c r="BA898" s="2994">
        <v>2.1351</v>
      </c>
      <c r="BB898" s="2994">
        <v>2.3915000000000002</v>
      </c>
      <c r="BC898" s="2994">
        <v>2.2919999999999998</v>
      </c>
      <c r="BD898" s="3471">
        <v>2.3025000000000002</v>
      </c>
      <c r="BE898" s="3471">
        <v>2.1505999999999998</v>
      </c>
      <c r="BF898" s="3471">
        <v>0</v>
      </c>
    </row>
    <row r="899" spans="1:58">
      <c r="A899" s="1817" t="str">
        <f t="shared" si="29"/>
        <v>Southern AsiaKapok fruit</v>
      </c>
      <c r="B899" s="1818" t="s">
        <v>1326</v>
      </c>
      <c r="C899" s="1818" t="s">
        <v>7338</v>
      </c>
      <c r="D899" s="3463" t="str">
        <f>VLOOKUP(B899,List_Yield!$G$4:$J$14,4,FALSE)</f>
        <v>Asia (Indian Subcontinent)</v>
      </c>
      <c r="E899" s="3463" t="str">
        <f t="shared" si="28"/>
        <v>Asia (Indian Subcontinent)Kapok fruit</v>
      </c>
      <c r="F899" s="2994">
        <v>0</v>
      </c>
      <c r="G899" s="2994">
        <v>0</v>
      </c>
      <c r="H899" s="2994">
        <v>0</v>
      </c>
      <c r="I899" s="2994">
        <v>0</v>
      </c>
      <c r="J899" s="2994">
        <v>0</v>
      </c>
      <c r="K899" s="2994">
        <v>0</v>
      </c>
      <c r="L899" s="2994">
        <v>0</v>
      </c>
      <c r="M899" s="2994">
        <v>0</v>
      </c>
      <c r="N899" s="2994">
        <v>0</v>
      </c>
      <c r="O899" s="2994">
        <v>0</v>
      </c>
      <c r="P899" s="2994">
        <v>0</v>
      </c>
      <c r="Q899" s="2994">
        <v>0</v>
      </c>
      <c r="R899" s="2994">
        <v>0</v>
      </c>
      <c r="S899" s="2994">
        <v>0</v>
      </c>
      <c r="T899" s="2994">
        <v>0</v>
      </c>
      <c r="U899" s="2994">
        <v>0</v>
      </c>
      <c r="V899" s="2994">
        <v>0</v>
      </c>
      <c r="W899" s="2994">
        <v>0</v>
      </c>
      <c r="X899" s="2994">
        <v>0</v>
      </c>
      <c r="Y899" s="2994">
        <v>0</v>
      </c>
      <c r="Z899" s="2994">
        <v>0</v>
      </c>
      <c r="AA899" s="2994">
        <v>0</v>
      </c>
      <c r="AB899" s="2994">
        <v>0</v>
      </c>
      <c r="AC899" s="2994">
        <v>0</v>
      </c>
      <c r="AD899" s="2994">
        <v>0</v>
      </c>
      <c r="AE899" s="2994">
        <v>0</v>
      </c>
      <c r="AF899" s="2994">
        <v>0</v>
      </c>
      <c r="AG899" s="2994">
        <v>0</v>
      </c>
      <c r="AH899" s="2994">
        <v>0</v>
      </c>
      <c r="AI899" s="2994">
        <v>0</v>
      </c>
      <c r="AJ899" s="2994">
        <v>0</v>
      </c>
      <c r="AK899" s="2994">
        <v>0</v>
      </c>
      <c r="AL899" s="2994">
        <v>0</v>
      </c>
      <c r="AM899" s="2994">
        <v>0</v>
      </c>
      <c r="AN899" s="2994">
        <v>0</v>
      </c>
      <c r="AO899" s="2994">
        <v>0</v>
      </c>
      <c r="AP899" s="2994">
        <v>0</v>
      </c>
      <c r="AQ899" s="2994">
        <v>0</v>
      </c>
      <c r="AR899" s="2994">
        <v>0</v>
      </c>
      <c r="AS899" s="2994">
        <v>0</v>
      </c>
      <c r="AT899" s="2994">
        <v>0</v>
      </c>
      <c r="AU899" s="2994">
        <v>0</v>
      </c>
      <c r="AV899" s="2994">
        <v>0</v>
      </c>
      <c r="AW899" s="2994">
        <v>0</v>
      </c>
      <c r="AX899" s="2994">
        <v>0</v>
      </c>
      <c r="AY899" s="2994">
        <v>0</v>
      </c>
      <c r="AZ899" s="2994">
        <v>0</v>
      </c>
      <c r="BA899" s="2994">
        <v>0</v>
      </c>
      <c r="BB899" s="2994">
        <v>0</v>
      </c>
      <c r="BC899" s="2994">
        <v>0</v>
      </c>
      <c r="BD899" s="3471">
        <v>0</v>
      </c>
      <c r="BE899" s="3471">
        <v>0</v>
      </c>
      <c r="BF899" s="3471">
        <v>0</v>
      </c>
    </row>
    <row r="900" spans="1:58">
      <c r="A900" s="1817" t="str">
        <f t="shared" si="29"/>
        <v>Southern AsiaKarite nuts (sheanuts)</v>
      </c>
      <c r="B900" s="1818" t="s">
        <v>1326</v>
      </c>
      <c r="C900" s="1818" t="s">
        <v>7339</v>
      </c>
      <c r="D900" s="3463" t="str">
        <f>VLOOKUP(B900,List_Yield!$G$4:$J$14,4,FALSE)</f>
        <v>Asia (Indian Subcontinent)</v>
      </c>
      <c r="E900" s="3463" t="str">
        <f t="shared" si="28"/>
        <v>Asia (Indian Subcontinent)Karite nuts (sheanuts)</v>
      </c>
      <c r="F900" s="2994">
        <v>0</v>
      </c>
      <c r="G900" s="2994">
        <v>0</v>
      </c>
      <c r="H900" s="2994">
        <v>0</v>
      </c>
      <c r="I900" s="2994">
        <v>0</v>
      </c>
      <c r="J900" s="2994">
        <v>0</v>
      </c>
      <c r="K900" s="2994">
        <v>0</v>
      </c>
      <c r="L900" s="2994">
        <v>0</v>
      </c>
      <c r="M900" s="2994">
        <v>0</v>
      </c>
      <c r="N900" s="2994">
        <v>0</v>
      </c>
      <c r="O900" s="2994">
        <v>0</v>
      </c>
      <c r="P900" s="2994">
        <v>0</v>
      </c>
      <c r="Q900" s="2994">
        <v>0</v>
      </c>
      <c r="R900" s="2994">
        <v>0</v>
      </c>
      <c r="S900" s="2994">
        <v>0</v>
      </c>
      <c r="T900" s="2994">
        <v>0</v>
      </c>
      <c r="U900" s="2994">
        <v>0</v>
      </c>
      <c r="V900" s="2994">
        <v>0</v>
      </c>
      <c r="W900" s="2994">
        <v>0</v>
      </c>
      <c r="X900" s="2994">
        <v>0</v>
      </c>
      <c r="Y900" s="2994">
        <v>0</v>
      </c>
      <c r="Z900" s="2994">
        <v>0</v>
      </c>
      <c r="AA900" s="2994">
        <v>0</v>
      </c>
      <c r="AB900" s="2994">
        <v>0</v>
      </c>
      <c r="AC900" s="2994">
        <v>0</v>
      </c>
      <c r="AD900" s="2994">
        <v>0</v>
      </c>
      <c r="AE900" s="2994">
        <v>0</v>
      </c>
      <c r="AF900" s="2994">
        <v>0</v>
      </c>
      <c r="AG900" s="2994">
        <v>0</v>
      </c>
      <c r="AH900" s="2994">
        <v>0</v>
      </c>
      <c r="AI900" s="2994">
        <v>0</v>
      </c>
      <c r="AJ900" s="2994">
        <v>0</v>
      </c>
      <c r="AK900" s="2994">
        <v>0</v>
      </c>
      <c r="AL900" s="2994">
        <v>0</v>
      </c>
      <c r="AM900" s="2994">
        <v>0</v>
      </c>
      <c r="AN900" s="2994">
        <v>0</v>
      </c>
      <c r="AO900" s="2994">
        <v>0</v>
      </c>
      <c r="AP900" s="2994">
        <v>0</v>
      </c>
      <c r="AQ900" s="2994">
        <v>0</v>
      </c>
      <c r="AR900" s="2994">
        <v>0</v>
      </c>
      <c r="AS900" s="2994">
        <v>0</v>
      </c>
      <c r="AT900" s="2994">
        <v>0</v>
      </c>
      <c r="AU900" s="2994">
        <v>0</v>
      </c>
      <c r="AV900" s="2994">
        <v>0</v>
      </c>
      <c r="AW900" s="2994">
        <v>0</v>
      </c>
      <c r="AX900" s="2994">
        <v>0</v>
      </c>
      <c r="AY900" s="2994">
        <v>0</v>
      </c>
      <c r="AZ900" s="2994">
        <v>0</v>
      </c>
      <c r="BA900" s="2994">
        <v>0</v>
      </c>
      <c r="BB900" s="2994">
        <v>0</v>
      </c>
      <c r="BC900" s="2994">
        <v>0</v>
      </c>
      <c r="BD900" s="3471">
        <v>0</v>
      </c>
      <c r="BE900" s="3471">
        <v>0</v>
      </c>
      <c r="BF900" s="3471">
        <v>0</v>
      </c>
    </row>
    <row r="901" spans="1:58">
      <c r="A901" s="1817" t="str">
        <f t="shared" si="29"/>
        <v>Southern AsiaKiwi fruit</v>
      </c>
      <c r="B901" s="1818" t="s">
        <v>1326</v>
      </c>
      <c r="C901" s="1818" t="s">
        <v>7340</v>
      </c>
      <c r="D901" s="3463" t="str">
        <f>VLOOKUP(B901,List_Yield!$G$4:$J$14,4,FALSE)</f>
        <v>Asia (Indian Subcontinent)</v>
      </c>
      <c r="E901" s="3463" t="str">
        <f t="shared" si="28"/>
        <v>Asia (Indian Subcontinent)Kiwi fruit</v>
      </c>
      <c r="F901" s="2994">
        <v>0</v>
      </c>
      <c r="G901" s="2994">
        <v>0</v>
      </c>
      <c r="H901" s="2994">
        <v>0</v>
      </c>
      <c r="I901" s="2994">
        <v>0</v>
      </c>
      <c r="J901" s="2994">
        <v>0</v>
      </c>
      <c r="K901" s="2994">
        <v>0</v>
      </c>
      <c r="L901" s="2994">
        <v>0</v>
      </c>
      <c r="M901" s="2994">
        <v>0</v>
      </c>
      <c r="N901" s="2994">
        <v>0</v>
      </c>
      <c r="O901" s="2994">
        <v>0</v>
      </c>
      <c r="P901" s="2994">
        <v>0</v>
      </c>
      <c r="Q901" s="2994">
        <v>0</v>
      </c>
      <c r="R901" s="2994">
        <v>0</v>
      </c>
      <c r="S901" s="2994">
        <v>0</v>
      </c>
      <c r="T901" s="2994">
        <v>0</v>
      </c>
      <c r="U901" s="2994">
        <v>0</v>
      </c>
      <c r="V901" s="2994">
        <v>0</v>
      </c>
      <c r="W901" s="2994">
        <v>0</v>
      </c>
      <c r="X901" s="2994">
        <v>0</v>
      </c>
      <c r="Y901" s="2994">
        <v>0</v>
      </c>
      <c r="Z901" s="2994">
        <v>0</v>
      </c>
      <c r="AA901" s="2994">
        <v>0</v>
      </c>
      <c r="AB901" s="2994">
        <v>0</v>
      </c>
      <c r="AC901" s="2994">
        <v>0</v>
      </c>
      <c r="AD901" s="2994">
        <v>0</v>
      </c>
      <c r="AE901" s="2994">
        <v>0</v>
      </c>
      <c r="AF901" s="2994">
        <v>0</v>
      </c>
      <c r="AG901" s="2994">
        <v>0</v>
      </c>
      <c r="AH901" s="2994">
        <v>0</v>
      </c>
      <c r="AI901" s="2994">
        <v>0.5</v>
      </c>
      <c r="AJ901" s="2994">
        <v>0.8</v>
      </c>
      <c r="AK901" s="2994">
        <v>2.5</v>
      </c>
      <c r="AL901" s="2994">
        <v>10</v>
      </c>
      <c r="AM901" s="2994">
        <v>20</v>
      </c>
      <c r="AN901" s="2994">
        <v>15</v>
      </c>
      <c r="AO901" s="2994">
        <v>13.333299999999999</v>
      </c>
      <c r="AP901" s="2994">
        <v>12.5</v>
      </c>
      <c r="AQ901" s="2994">
        <v>12.5</v>
      </c>
      <c r="AR901" s="2994">
        <v>13.333299999999999</v>
      </c>
      <c r="AS901" s="2994">
        <v>13.257300000000001</v>
      </c>
      <c r="AT901" s="2994">
        <v>13.529299999999999</v>
      </c>
      <c r="AU901" s="2994">
        <v>13.125</v>
      </c>
      <c r="AV901" s="2994">
        <v>13.8889</v>
      </c>
      <c r="AW901" s="2994">
        <v>13.461499999999999</v>
      </c>
      <c r="AX901" s="2994">
        <v>13.0435</v>
      </c>
      <c r="AY901" s="2994">
        <v>10.303699999999999</v>
      </c>
      <c r="AZ901" s="2994">
        <v>10.4565</v>
      </c>
      <c r="BA901" s="2994">
        <v>10.961</v>
      </c>
      <c r="BB901" s="2994">
        <v>10.5951</v>
      </c>
      <c r="BC901" s="2994">
        <v>11.1151</v>
      </c>
      <c r="BD901" s="3471">
        <v>11.213100000000001</v>
      </c>
      <c r="BE901" s="3471">
        <v>11.0345</v>
      </c>
      <c r="BF901" s="3471">
        <v>0</v>
      </c>
    </row>
    <row r="902" spans="1:58">
      <c r="A902" s="1817" t="str">
        <f t="shared" si="29"/>
        <v>Southern AsiaKola nuts</v>
      </c>
      <c r="B902" s="1818" t="s">
        <v>1326</v>
      </c>
      <c r="C902" s="1818" t="s">
        <v>7341</v>
      </c>
      <c r="D902" s="3463" t="str">
        <f>VLOOKUP(B902,List_Yield!$G$4:$J$14,4,FALSE)</f>
        <v>Asia (Indian Subcontinent)</v>
      </c>
      <c r="E902" s="3463" t="str">
        <f t="shared" si="28"/>
        <v>Asia (Indian Subcontinent)Kola nuts</v>
      </c>
      <c r="F902" s="2994">
        <v>0</v>
      </c>
      <c r="G902" s="2994">
        <v>0</v>
      </c>
      <c r="H902" s="2994">
        <v>0</v>
      </c>
      <c r="I902" s="2994">
        <v>0</v>
      </c>
      <c r="J902" s="2994">
        <v>0</v>
      </c>
      <c r="K902" s="2994">
        <v>0</v>
      </c>
      <c r="L902" s="2994">
        <v>0</v>
      </c>
      <c r="M902" s="2994">
        <v>0</v>
      </c>
      <c r="N902" s="2994">
        <v>0</v>
      </c>
      <c r="O902" s="2994">
        <v>0</v>
      </c>
      <c r="P902" s="2994">
        <v>0</v>
      </c>
      <c r="Q902" s="2994">
        <v>0</v>
      </c>
      <c r="R902" s="2994">
        <v>0</v>
      </c>
      <c r="S902" s="2994">
        <v>0</v>
      </c>
      <c r="T902" s="2994">
        <v>0</v>
      </c>
      <c r="U902" s="2994">
        <v>0</v>
      </c>
      <c r="V902" s="2994">
        <v>0</v>
      </c>
      <c r="W902" s="2994">
        <v>0</v>
      </c>
      <c r="X902" s="2994">
        <v>0</v>
      </c>
      <c r="Y902" s="2994">
        <v>0</v>
      </c>
      <c r="Z902" s="2994">
        <v>0</v>
      </c>
      <c r="AA902" s="2994">
        <v>0</v>
      </c>
      <c r="AB902" s="2994">
        <v>0</v>
      </c>
      <c r="AC902" s="2994">
        <v>0</v>
      </c>
      <c r="AD902" s="2994">
        <v>0</v>
      </c>
      <c r="AE902" s="2994">
        <v>0</v>
      </c>
      <c r="AF902" s="2994">
        <v>0</v>
      </c>
      <c r="AG902" s="2994">
        <v>0</v>
      </c>
      <c r="AH902" s="2994">
        <v>0</v>
      </c>
      <c r="AI902" s="2994">
        <v>0</v>
      </c>
      <c r="AJ902" s="2994">
        <v>0</v>
      </c>
      <c r="AK902" s="2994">
        <v>0</v>
      </c>
      <c r="AL902" s="2994">
        <v>0</v>
      </c>
      <c r="AM902" s="2994">
        <v>0</v>
      </c>
      <c r="AN902" s="2994">
        <v>0</v>
      </c>
      <c r="AO902" s="2994">
        <v>0</v>
      </c>
      <c r="AP902" s="2994">
        <v>0</v>
      </c>
      <c r="AQ902" s="2994">
        <v>0</v>
      </c>
      <c r="AR902" s="2994">
        <v>0</v>
      </c>
      <c r="AS902" s="2994">
        <v>0</v>
      </c>
      <c r="AT902" s="2994">
        <v>0</v>
      </c>
      <c r="AU902" s="2994">
        <v>0</v>
      </c>
      <c r="AV902" s="2994">
        <v>0</v>
      </c>
      <c r="AW902" s="2994">
        <v>0</v>
      </c>
      <c r="AX902" s="2994">
        <v>0</v>
      </c>
      <c r="AY902" s="2994">
        <v>0</v>
      </c>
      <c r="AZ902" s="2994">
        <v>0</v>
      </c>
      <c r="BA902" s="2994">
        <v>0</v>
      </c>
      <c r="BB902" s="2994">
        <v>0</v>
      </c>
      <c r="BC902" s="2994">
        <v>0</v>
      </c>
      <c r="BD902" s="3471">
        <v>0</v>
      </c>
      <c r="BE902" s="3471">
        <v>0</v>
      </c>
      <c r="BF902" s="3471">
        <v>0</v>
      </c>
    </row>
    <row r="903" spans="1:58">
      <c r="A903" s="1817" t="str">
        <f t="shared" si="29"/>
        <v>Southern AsiaLeeks, other alliaceous vegetables</v>
      </c>
      <c r="B903" s="1818" t="s">
        <v>1326</v>
      </c>
      <c r="C903" s="1818" t="s">
        <v>7342</v>
      </c>
      <c r="D903" s="3463" t="str">
        <f>VLOOKUP(B903,List_Yield!$G$4:$J$14,4,FALSE)</f>
        <v>Asia (Indian Subcontinent)</v>
      </c>
      <c r="E903" s="3463" t="str">
        <f t="shared" si="28"/>
        <v>Asia (Indian Subcontinent)Leeks, other alliaceous vegetables</v>
      </c>
      <c r="F903" s="2994">
        <v>5.0125000000000002</v>
      </c>
      <c r="G903" s="2994">
        <v>4.9313000000000002</v>
      </c>
      <c r="H903" s="2994">
        <v>4.9527999999999999</v>
      </c>
      <c r="I903" s="2994">
        <v>4.9476000000000004</v>
      </c>
      <c r="J903" s="2994">
        <v>4.9409000000000001</v>
      </c>
      <c r="K903" s="2994">
        <v>4.9923000000000002</v>
      </c>
      <c r="L903" s="2994">
        <v>5.0472000000000001</v>
      </c>
      <c r="M903" s="2994">
        <v>4.8593999999999999</v>
      </c>
      <c r="N903" s="2994">
        <v>4.9805000000000001</v>
      </c>
      <c r="O903" s="2994">
        <v>8.4440000000000008</v>
      </c>
      <c r="P903" s="2994">
        <v>10.084</v>
      </c>
      <c r="Q903" s="2994">
        <v>9.3467000000000002</v>
      </c>
      <c r="R903" s="2994">
        <v>9.9381000000000004</v>
      </c>
      <c r="S903" s="2994">
        <v>9.8856999999999999</v>
      </c>
      <c r="T903" s="2994">
        <v>9.6211000000000002</v>
      </c>
      <c r="U903" s="2994">
        <v>9.1456</v>
      </c>
      <c r="V903" s="2994">
        <v>9.0578000000000003</v>
      </c>
      <c r="W903" s="2994">
        <v>9.5132999999999992</v>
      </c>
      <c r="X903" s="2994">
        <v>10.369199999999999</v>
      </c>
      <c r="Y903" s="2994">
        <v>10.4062</v>
      </c>
      <c r="Z903" s="2994">
        <v>9.4015000000000004</v>
      </c>
      <c r="AA903" s="2994">
        <v>8.5723000000000003</v>
      </c>
      <c r="AB903" s="2994">
        <v>10.417899999999999</v>
      </c>
      <c r="AC903" s="2994">
        <v>10.107100000000001</v>
      </c>
      <c r="AD903" s="2994">
        <v>10.5817</v>
      </c>
      <c r="AE903" s="2994">
        <v>9.5449999999999999</v>
      </c>
      <c r="AF903" s="2994">
        <v>9.7782</v>
      </c>
      <c r="AG903" s="2994">
        <v>10.244</v>
      </c>
      <c r="AH903" s="2994">
        <v>9.8588000000000005</v>
      </c>
      <c r="AI903" s="2994">
        <v>12.971</v>
      </c>
      <c r="AJ903" s="2994">
        <v>11.5931</v>
      </c>
      <c r="AK903" s="2994">
        <v>12.502700000000001</v>
      </c>
      <c r="AL903" s="2994">
        <v>11.608000000000001</v>
      </c>
      <c r="AM903" s="2994">
        <v>11.795</v>
      </c>
      <c r="AN903" s="2994">
        <v>12.525700000000001</v>
      </c>
      <c r="AO903" s="2994">
        <v>11.233000000000001</v>
      </c>
      <c r="AP903" s="2994">
        <v>11.5108</v>
      </c>
      <c r="AQ903" s="2994">
        <v>12.482799999999999</v>
      </c>
      <c r="AR903" s="2994">
        <v>13.2135</v>
      </c>
      <c r="AS903" s="2994">
        <v>13.017799999999999</v>
      </c>
      <c r="AT903" s="2994">
        <v>14.018000000000001</v>
      </c>
      <c r="AU903" s="2994">
        <v>15.3363</v>
      </c>
      <c r="AV903" s="2994">
        <v>14.755800000000001</v>
      </c>
      <c r="AW903" s="2994">
        <v>16.6007</v>
      </c>
      <c r="AX903" s="2994">
        <v>16.2193</v>
      </c>
      <c r="AY903" s="2994">
        <v>17.678100000000001</v>
      </c>
      <c r="AZ903" s="2994">
        <v>18.095700000000001</v>
      </c>
      <c r="BA903" s="2994">
        <v>18.8813</v>
      </c>
      <c r="BB903" s="2994">
        <v>18.797499999999999</v>
      </c>
      <c r="BC903" s="2994">
        <v>19.254200000000001</v>
      </c>
      <c r="BD903" s="3471">
        <v>19.811499999999999</v>
      </c>
      <c r="BE903" s="3471">
        <v>20.048400000000001</v>
      </c>
      <c r="BF903" s="3471">
        <v>0</v>
      </c>
    </row>
    <row r="904" spans="1:58">
      <c r="A904" s="1817" t="str">
        <f t="shared" si="29"/>
        <v>Southern AsiaLemons and limes</v>
      </c>
      <c r="B904" s="1818" t="s">
        <v>1326</v>
      </c>
      <c r="C904" s="1818" t="s">
        <v>7343</v>
      </c>
      <c r="D904" s="3463" t="str">
        <f>VLOOKUP(B904,List_Yield!$G$4:$J$14,4,FALSE)</f>
        <v>Asia (Indian Subcontinent)</v>
      </c>
      <c r="E904" s="3463" t="str">
        <f t="shared" si="28"/>
        <v>Asia (Indian Subcontinent)Lemons and limes</v>
      </c>
      <c r="F904" s="2994">
        <v>8.1170000000000009</v>
      </c>
      <c r="G904" s="2994">
        <v>7.4493999999999998</v>
      </c>
      <c r="H904" s="2994">
        <v>6.6501000000000001</v>
      </c>
      <c r="I904" s="2994">
        <v>6.8853999999999997</v>
      </c>
      <c r="J904" s="2994">
        <v>6.7868000000000004</v>
      </c>
      <c r="K904" s="2994">
        <v>8.6983999999999995</v>
      </c>
      <c r="L904" s="2994">
        <v>8.3381000000000007</v>
      </c>
      <c r="M904" s="2994">
        <v>8.0195000000000007</v>
      </c>
      <c r="N904" s="2994">
        <v>8.6179000000000006</v>
      </c>
      <c r="O904" s="2994">
        <v>8.7501999999999995</v>
      </c>
      <c r="P904" s="2994">
        <v>8.8109999999999999</v>
      </c>
      <c r="Q904" s="2994">
        <v>8.7286000000000001</v>
      </c>
      <c r="R904" s="2994">
        <v>8.9158000000000008</v>
      </c>
      <c r="S904" s="2994">
        <v>9.2339000000000002</v>
      </c>
      <c r="T904" s="2994">
        <v>9.5702999999999996</v>
      </c>
      <c r="U904" s="2994">
        <v>10.821400000000001</v>
      </c>
      <c r="V904" s="2994">
        <v>9.0023</v>
      </c>
      <c r="W904" s="2994">
        <v>10.0642</v>
      </c>
      <c r="X904" s="2994">
        <v>9.6212</v>
      </c>
      <c r="Y904" s="2994">
        <v>9.7347999999999999</v>
      </c>
      <c r="Z904" s="2994">
        <v>9.8035999999999994</v>
      </c>
      <c r="AA904" s="2994">
        <v>9.5315999999999992</v>
      </c>
      <c r="AB904" s="2994">
        <v>10.140700000000001</v>
      </c>
      <c r="AC904" s="2994">
        <v>10.163500000000001</v>
      </c>
      <c r="AD904" s="2994">
        <v>10.001099999999999</v>
      </c>
      <c r="AE904" s="2994">
        <v>11.763299999999999</v>
      </c>
      <c r="AF904" s="2994">
        <v>11.505699999999999</v>
      </c>
      <c r="AG904" s="2994">
        <v>10.7492</v>
      </c>
      <c r="AH904" s="2994">
        <v>11.8215</v>
      </c>
      <c r="AI904" s="2994">
        <v>11.027799999999999</v>
      </c>
      <c r="AJ904" s="2994">
        <v>12.0078</v>
      </c>
      <c r="AK904" s="2994">
        <v>10.2601</v>
      </c>
      <c r="AL904" s="2994">
        <v>12.0474</v>
      </c>
      <c r="AM904" s="2994">
        <v>11.037000000000001</v>
      </c>
      <c r="AN904" s="2994">
        <v>11.4018</v>
      </c>
      <c r="AO904" s="2994">
        <v>10.465199999999999</v>
      </c>
      <c r="AP904" s="2994">
        <v>10.991099999999999</v>
      </c>
      <c r="AQ904" s="2994">
        <v>10.362</v>
      </c>
      <c r="AR904" s="2994">
        <v>11.181800000000001</v>
      </c>
      <c r="AS904" s="2994">
        <v>10.792299999999999</v>
      </c>
      <c r="AT904" s="2994">
        <v>10.6205</v>
      </c>
      <c r="AU904" s="2994">
        <v>10.500400000000001</v>
      </c>
      <c r="AV904" s="2994">
        <v>10.766999999999999</v>
      </c>
      <c r="AW904" s="2994">
        <v>9.2814999999999994</v>
      </c>
      <c r="AX904" s="2994">
        <v>11.9582</v>
      </c>
      <c r="AY904" s="2994">
        <v>8.6119000000000003</v>
      </c>
      <c r="AZ904" s="2994">
        <v>8.3438999999999997</v>
      </c>
      <c r="BA904" s="2994">
        <v>8.7393000000000001</v>
      </c>
      <c r="BB904" s="2994">
        <v>8.4921000000000006</v>
      </c>
      <c r="BC904" s="2994">
        <v>9.1258999999999997</v>
      </c>
      <c r="BD904" s="3471">
        <v>9.5310000000000006</v>
      </c>
      <c r="BE904" s="3471">
        <v>9.9324999999999992</v>
      </c>
      <c r="BF904" s="3471">
        <v>0</v>
      </c>
    </row>
    <row r="905" spans="1:58">
      <c r="A905" s="1817" t="str">
        <f t="shared" si="29"/>
        <v>Southern AsiaLentils</v>
      </c>
      <c r="B905" s="1818" t="s">
        <v>1326</v>
      </c>
      <c r="C905" s="1818" t="s">
        <v>7344</v>
      </c>
      <c r="D905" s="3463" t="str">
        <f>VLOOKUP(B905,List_Yield!$G$4:$J$14,4,FALSE)</f>
        <v>Asia (Indian Subcontinent)</v>
      </c>
      <c r="E905" s="3463" t="str">
        <f t="shared" si="28"/>
        <v>Asia (Indian Subcontinent)Lentils</v>
      </c>
      <c r="F905" s="2994">
        <v>0.47420000000000001</v>
      </c>
      <c r="G905" s="2994">
        <v>0.47020000000000001</v>
      </c>
      <c r="H905" s="2994">
        <v>0.47649999999999998</v>
      </c>
      <c r="I905" s="2994">
        <v>0.41570000000000001</v>
      </c>
      <c r="J905" s="2994">
        <v>0.495</v>
      </c>
      <c r="K905" s="2994">
        <v>0.46189999999999998</v>
      </c>
      <c r="L905" s="2994">
        <v>0.3962</v>
      </c>
      <c r="M905" s="2994">
        <v>0.51539999999999997</v>
      </c>
      <c r="N905" s="2994">
        <v>0.52300000000000002</v>
      </c>
      <c r="O905" s="2994">
        <v>0.51739999999999997</v>
      </c>
      <c r="P905" s="2994">
        <v>0.51819999999999999</v>
      </c>
      <c r="Q905" s="2994">
        <v>0.53310000000000002</v>
      </c>
      <c r="R905" s="2994">
        <v>0.48530000000000001</v>
      </c>
      <c r="S905" s="2994">
        <v>0.48130000000000001</v>
      </c>
      <c r="T905" s="2994">
        <v>0.51549999999999996</v>
      </c>
      <c r="U905" s="2994">
        <v>0.53349999999999997</v>
      </c>
      <c r="V905" s="2994">
        <v>0.49409999999999998</v>
      </c>
      <c r="W905" s="2994">
        <v>0.47970000000000002</v>
      </c>
      <c r="X905" s="2994">
        <v>0.48070000000000002</v>
      </c>
      <c r="Y905" s="2994">
        <v>0.4471</v>
      </c>
      <c r="Z905" s="2994">
        <v>0.52190000000000003</v>
      </c>
      <c r="AA905" s="2994">
        <v>0.5534</v>
      </c>
      <c r="AB905" s="2994">
        <v>0.51349999999999996</v>
      </c>
      <c r="AC905" s="2994">
        <v>0.58120000000000005</v>
      </c>
      <c r="AD905" s="2994">
        <v>0.59109999999999996</v>
      </c>
      <c r="AE905" s="2994">
        <v>0.62770000000000004</v>
      </c>
      <c r="AF905" s="2994">
        <v>0.6139</v>
      </c>
      <c r="AG905" s="2994">
        <v>0.62890000000000001</v>
      </c>
      <c r="AH905" s="2994">
        <v>0.64859999999999995</v>
      </c>
      <c r="AI905" s="2994">
        <v>0.6331</v>
      </c>
      <c r="AJ905" s="2994">
        <v>0.68120000000000003</v>
      </c>
      <c r="AK905" s="2994">
        <v>0.6552</v>
      </c>
      <c r="AL905" s="2994">
        <v>0.65480000000000005</v>
      </c>
      <c r="AM905" s="2994">
        <v>0.65459999999999996</v>
      </c>
      <c r="AN905" s="2994">
        <v>0.66930000000000001</v>
      </c>
      <c r="AO905" s="2994">
        <v>0.59099999999999997</v>
      </c>
      <c r="AP905" s="2994">
        <v>0.68969999999999998</v>
      </c>
      <c r="AQ905" s="2994">
        <v>0.62929999999999997</v>
      </c>
      <c r="AR905" s="2994">
        <v>0.6552</v>
      </c>
      <c r="AS905" s="2994">
        <v>0.70440000000000003</v>
      </c>
      <c r="AT905" s="2994">
        <v>0.61809999999999998</v>
      </c>
      <c r="AU905" s="2994">
        <v>0.66100000000000003</v>
      </c>
      <c r="AV905" s="2994">
        <v>0.6462</v>
      </c>
      <c r="AW905" s="2994">
        <v>0.72709999999999997</v>
      </c>
      <c r="AX905" s="2994">
        <v>0.67979999999999996</v>
      </c>
      <c r="AY905" s="2994">
        <v>0.6462</v>
      </c>
      <c r="AZ905" s="2994">
        <v>0.64349999999999996</v>
      </c>
      <c r="BA905" s="2994">
        <v>0.63419999999999999</v>
      </c>
      <c r="BB905" s="2994">
        <v>0.68059999999999998</v>
      </c>
      <c r="BC905" s="2994">
        <v>0.70750000000000002</v>
      </c>
      <c r="BD905" s="3471">
        <v>0.64790000000000003</v>
      </c>
      <c r="BE905" s="3471">
        <v>0.65100000000000002</v>
      </c>
      <c r="BF905" s="3471">
        <v>0.66069999999999995</v>
      </c>
    </row>
    <row r="906" spans="1:58">
      <c r="A906" s="1817" t="str">
        <f t="shared" si="29"/>
        <v>Southern AsiaLettuce and chicory</v>
      </c>
      <c r="B906" s="1818" t="s">
        <v>1326</v>
      </c>
      <c r="C906" s="1818" t="s">
        <v>7345</v>
      </c>
      <c r="D906" s="3463" t="str">
        <f>VLOOKUP(B906,List_Yield!$G$4:$J$14,4,FALSE)</f>
        <v>Asia (Indian Subcontinent)</v>
      </c>
      <c r="E906" s="3463" t="str">
        <f t="shared" si="28"/>
        <v>Asia (Indian Subcontinent)Lettuce and chicory</v>
      </c>
      <c r="F906" s="2994">
        <v>4.6928999999999998</v>
      </c>
      <c r="G906" s="2994">
        <v>4.7164000000000001</v>
      </c>
      <c r="H906" s="2994">
        <v>4.7445000000000004</v>
      </c>
      <c r="I906" s="2994">
        <v>4.7465000000000002</v>
      </c>
      <c r="J906" s="2994">
        <v>4.8966000000000003</v>
      </c>
      <c r="K906" s="2994">
        <v>4.9066999999999998</v>
      </c>
      <c r="L906" s="2994">
        <v>4.9280999999999997</v>
      </c>
      <c r="M906" s="2994">
        <v>4.9241000000000001</v>
      </c>
      <c r="N906" s="2994">
        <v>5.0917000000000003</v>
      </c>
      <c r="O906" s="2994">
        <v>5.0869999999999997</v>
      </c>
      <c r="P906" s="2994">
        <v>5.0815999999999999</v>
      </c>
      <c r="Q906" s="2994">
        <v>5.1700999999999997</v>
      </c>
      <c r="R906" s="2994">
        <v>5.1378000000000004</v>
      </c>
      <c r="S906" s="2994">
        <v>5.1323999999999996</v>
      </c>
      <c r="T906" s="2994">
        <v>5.1260000000000003</v>
      </c>
      <c r="U906" s="2994">
        <v>5.4034000000000004</v>
      </c>
      <c r="V906" s="2994">
        <v>5.4184999999999999</v>
      </c>
      <c r="W906" s="2994">
        <v>5.4598000000000004</v>
      </c>
      <c r="X906" s="2994">
        <v>5.6364999999999998</v>
      </c>
      <c r="Y906" s="2994">
        <v>5.62</v>
      </c>
      <c r="Z906" s="2994">
        <v>5.6471</v>
      </c>
      <c r="AA906" s="2994">
        <v>5.9279000000000002</v>
      </c>
      <c r="AB906" s="2994">
        <v>5.9260000000000002</v>
      </c>
      <c r="AC906" s="2994">
        <v>5.9325000000000001</v>
      </c>
      <c r="AD906" s="2994">
        <v>6.1036000000000001</v>
      </c>
      <c r="AE906" s="2994">
        <v>6.1859999999999999</v>
      </c>
      <c r="AF906" s="2994">
        <v>6.2596999999999996</v>
      </c>
      <c r="AG906" s="2994">
        <v>6.3404999999999996</v>
      </c>
      <c r="AH906" s="2994">
        <v>6.3582000000000001</v>
      </c>
      <c r="AI906" s="2994">
        <v>6.516</v>
      </c>
      <c r="AJ906" s="2994">
        <v>6.5223000000000004</v>
      </c>
      <c r="AK906" s="2994">
        <v>6.5651000000000002</v>
      </c>
      <c r="AL906" s="2994">
        <v>6.5186999999999999</v>
      </c>
      <c r="AM906" s="2994">
        <v>6.5595999999999997</v>
      </c>
      <c r="AN906" s="2994">
        <v>5.1139000000000001</v>
      </c>
      <c r="AO906" s="2994">
        <v>6.6158999999999999</v>
      </c>
      <c r="AP906" s="2994">
        <v>5.7488000000000001</v>
      </c>
      <c r="AQ906" s="2994">
        <v>6.6109999999999998</v>
      </c>
      <c r="AR906" s="2994">
        <v>6.6696999999999997</v>
      </c>
      <c r="AS906" s="2994">
        <v>6.8188000000000004</v>
      </c>
      <c r="AT906" s="2994">
        <v>6.3036000000000003</v>
      </c>
      <c r="AU906" s="2994">
        <v>6.2191999999999998</v>
      </c>
      <c r="AV906" s="2994">
        <v>5.7834000000000003</v>
      </c>
      <c r="AW906" s="2994">
        <v>7.6458000000000004</v>
      </c>
      <c r="AX906" s="2994">
        <v>6.8651999999999997</v>
      </c>
      <c r="AY906" s="2994">
        <v>7.5971000000000002</v>
      </c>
      <c r="AZ906" s="2994">
        <v>7.2809999999999997</v>
      </c>
      <c r="BA906" s="2994">
        <v>7.1271000000000004</v>
      </c>
      <c r="BB906" s="2994">
        <v>7.8433000000000002</v>
      </c>
      <c r="BC906" s="2994">
        <v>8.0667000000000009</v>
      </c>
      <c r="BD906" s="3471">
        <v>8.5761000000000003</v>
      </c>
      <c r="BE906" s="3471">
        <v>8.6137999999999995</v>
      </c>
      <c r="BF906" s="3471">
        <v>0</v>
      </c>
    </row>
    <row r="907" spans="1:58">
      <c r="A907" s="1817" t="str">
        <f t="shared" si="29"/>
        <v>Southern AsiaLinseed</v>
      </c>
      <c r="B907" s="1818" t="s">
        <v>1326</v>
      </c>
      <c r="C907" s="1818" t="s">
        <v>1355</v>
      </c>
      <c r="D907" s="3463" t="str">
        <f>VLOOKUP(B907,List_Yield!$G$4:$J$14,4,FALSE)</f>
        <v>Asia (Indian Subcontinent)</v>
      </c>
      <c r="E907" s="3463" t="str">
        <f t="shared" si="28"/>
        <v>Asia (Indian Subcontinent)Linseed</v>
      </c>
      <c r="F907" s="2994">
        <v>0.23430000000000001</v>
      </c>
      <c r="G907" s="2994">
        <v>0.2445</v>
      </c>
      <c r="H907" s="2994">
        <v>0.23799999999999999</v>
      </c>
      <c r="I907" s="2994">
        <v>0.2019</v>
      </c>
      <c r="J907" s="2994">
        <v>0.25219999999999998</v>
      </c>
      <c r="K907" s="2994">
        <v>0.2072</v>
      </c>
      <c r="L907" s="2994">
        <v>0.19139999999999999</v>
      </c>
      <c r="M907" s="2994">
        <v>0.25829999999999997</v>
      </c>
      <c r="N907" s="2994">
        <v>0.20949999999999999</v>
      </c>
      <c r="O907" s="2994">
        <v>0.27129999999999999</v>
      </c>
      <c r="P907" s="2994">
        <v>0.25819999999999999</v>
      </c>
      <c r="Q907" s="2994">
        <v>0.26569999999999999</v>
      </c>
      <c r="R907" s="2994">
        <v>0.26190000000000002</v>
      </c>
      <c r="S907" s="2994">
        <v>0.26019999999999999</v>
      </c>
      <c r="T907" s="2994">
        <v>0.28349999999999997</v>
      </c>
      <c r="U907" s="2994">
        <v>0.29249999999999998</v>
      </c>
      <c r="V907" s="2994">
        <v>0.23760000000000001</v>
      </c>
      <c r="W907" s="2994">
        <v>0.27510000000000001</v>
      </c>
      <c r="X907" s="2994">
        <v>0.26879999999999998</v>
      </c>
      <c r="Y907" s="2994">
        <v>0.191</v>
      </c>
      <c r="Z907" s="2994">
        <v>0.26910000000000001</v>
      </c>
      <c r="AA907" s="2994">
        <v>0.27960000000000002</v>
      </c>
      <c r="AB907" s="2994">
        <v>0.28960000000000002</v>
      </c>
      <c r="AC907" s="2994">
        <v>0.31759999999999999</v>
      </c>
      <c r="AD907" s="2994">
        <v>0.29899999999999999</v>
      </c>
      <c r="AE907" s="2994">
        <v>0.28749999999999998</v>
      </c>
      <c r="AF907" s="2994">
        <v>0.30220000000000002</v>
      </c>
      <c r="AG907" s="2994">
        <v>0.36130000000000001</v>
      </c>
      <c r="AH907" s="2994">
        <v>0.32729999999999998</v>
      </c>
      <c r="AI907" s="2994">
        <v>0.31740000000000002</v>
      </c>
      <c r="AJ907" s="2994">
        <v>0.33329999999999999</v>
      </c>
      <c r="AK907" s="2994">
        <v>0.36109999999999998</v>
      </c>
      <c r="AL907" s="2994">
        <v>0.34110000000000001</v>
      </c>
      <c r="AM907" s="2994">
        <v>0.37009999999999998</v>
      </c>
      <c r="AN907" s="2994">
        <v>0.3654</v>
      </c>
      <c r="AO907" s="2994">
        <v>0.37259999999999999</v>
      </c>
      <c r="AP907" s="2994">
        <v>0.40079999999999999</v>
      </c>
      <c r="AQ907" s="2994">
        <v>0.32990000000000003</v>
      </c>
      <c r="AR907" s="2994">
        <v>0.38650000000000001</v>
      </c>
      <c r="AS907" s="2994">
        <v>0.41389999999999999</v>
      </c>
      <c r="AT907" s="2994">
        <v>0.3624</v>
      </c>
      <c r="AU907" s="2994">
        <v>0.40079999999999999</v>
      </c>
      <c r="AV907" s="2994">
        <v>0.40789999999999998</v>
      </c>
      <c r="AW907" s="2994">
        <v>0.42409999999999998</v>
      </c>
      <c r="AX907" s="2994">
        <v>0.39350000000000002</v>
      </c>
      <c r="AY907" s="2994">
        <v>0.40660000000000002</v>
      </c>
      <c r="AZ907" s="2994">
        <v>0.40749999999999997</v>
      </c>
      <c r="BA907" s="2994">
        <v>0.36570000000000003</v>
      </c>
      <c r="BB907" s="2994">
        <v>0.42620000000000002</v>
      </c>
      <c r="BC907" s="2994">
        <v>0.46100000000000002</v>
      </c>
      <c r="BD907" s="3471">
        <v>0.44950000000000001</v>
      </c>
      <c r="BE907" s="3471">
        <v>0.36959999999999998</v>
      </c>
      <c r="BF907" s="3471">
        <v>0.4501</v>
      </c>
    </row>
    <row r="908" spans="1:58">
      <c r="A908" s="1817" t="str">
        <f t="shared" si="29"/>
        <v>Southern AsiaLupins</v>
      </c>
      <c r="B908" s="1818" t="s">
        <v>1326</v>
      </c>
      <c r="C908" s="1818" t="s">
        <v>7346</v>
      </c>
      <c r="D908" s="3463" t="str">
        <f>VLOOKUP(B908,List_Yield!$G$4:$J$14,4,FALSE)</f>
        <v>Asia (Indian Subcontinent)</v>
      </c>
      <c r="E908" s="3463" t="str">
        <f t="shared" si="28"/>
        <v>Asia (Indian Subcontinent)Lupins</v>
      </c>
      <c r="F908" s="2994">
        <v>0</v>
      </c>
      <c r="G908" s="2994">
        <v>0</v>
      </c>
      <c r="H908" s="2994">
        <v>0</v>
      </c>
      <c r="I908" s="2994">
        <v>0</v>
      </c>
      <c r="J908" s="2994">
        <v>0</v>
      </c>
      <c r="K908" s="2994">
        <v>0</v>
      </c>
      <c r="L908" s="2994">
        <v>0</v>
      </c>
      <c r="M908" s="2994">
        <v>0</v>
      </c>
      <c r="N908" s="2994">
        <v>0</v>
      </c>
      <c r="O908" s="2994">
        <v>0</v>
      </c>
      <c r="P908" s="2994">
        <v>0</v>
      </c>
      <c r="Q908" s="2994">
        <v>0</v>
      </c>
      <c r="R908" s="2994">
        <v>0</v>
      </c>
      <c r="S908" s="2994">
        <v>0</v>
      </c>
      <c r="T908" s="2994">
        <v>0</v>
      </c>
      <c r="U908" s="2994">
        <v>0</v>
      </c>
      <c r="V908" s="2994">
        <v>0</v>
      </c>
      <c r="W908" s="2994">
        <v>0</v>
      </c>
      <c r="X908" s="2994">
        <v>0</v>
      </c>
      <c r="Y908" s="2994">
        <v>0</v>
      </c>
      <c r="Z908" s="2994">
        <v>0</v>
      </c>
      <c r="AA908" s="2994">
        <v>0</v>
      </c>
      <c r="AB908" s="2994">
        <v>0</v>
      </c>
      <c r="AC908" s="2994">
        <v>0</v>
      </c>
      <c r="AD908" s="2994">
        <v>0</v>
      </c>
      <c r="AE908" s="2994">
        <v>0</v>
      </c>
      <c r="AF908" s="2994">
        <v>0</v>
      </c>
      <c r="AG908" s="2994">
        <v>0</v>
      </c>
      <c r="AH908" s="2994">
        <v>0</v>
      </c>
      <c r="AI908" s="2994">
        <v>0</v>
      </c>
      <c r="AJ908" s="2994">
        <v>0</v>
      </c>
      <c r="AK908" s="2994">
        <v>0</v>
      </c>
      <c r="AL908" s="2994">
        <v>0</v>
      </c>
      <c r="AM908" s="2994">
        <v>0</v>
      </c>
      <c r="AN908" s="2994">
        <v>0</v>
      </c>
      <c r="AO908" s="2994">
        <v>0</v>
      </c>
      <c r="AP908" s="2994">
        <v>0</v>
      </c>
      <c r="AQ908" s="2994">
        <v>0</v>
      </c>
      <c r="AR908" s="2994">
        <v>0</v>
      </c>
      <c r="AS908" s="2994">
        <v>0</v>
      </c>
      <c r="AT908" s="2994">
        <v>0</v>
      </c>
      <c r="AU908" s="2994">
        <v>0</v>
      </c>
      <c r="AV908" s="2994">
        <v>0</v>
      </c>
      <c r="AW908" s="2994">
        <v>0</v>
      </c>
      <c r="AX908" s="2994">
        <v>0</v>
      </c>
      <c r="AY908" s="2994">
        <v>0</v>
      </c>
      <c r="AZ908" s="2994">
        <v>0</v>
      </c>
      <c r="BA908" s="2994">
        <v>0</v>
      </c>
      <c r="BB908" s="2994">
        <v>0</v>
      </c>
      <c r="BC908" s="2994">
        <v>0</v>
      </c>
      <c r="BD908" s="3471">
        <v>0</v>
      </c>
      <c r="BE908" s="3471">
        <v>0</v>
      </c>
      <c r="BF908" s="3471">
        <v>0</v>
      </c>
    </row>
    <row r="909" spans="1:58">
      <c r="A909" s="1817" t="str">
        <f t="shared" si="29"/>
        <v>Southern AsiaMaize</v>
      </c>
      <c r="B909" s="1818" t="s">
        <v>1326</v>
      </c>
      <c r="C909" s="1818" t="s">
        <v>1356</v>
      </c>
      <c r="D909" s="3463" t="str">
        <f>VLOOKUP(B909,List_Yield!$G$4:$J$14,4,FALSE)</f>
        <v>Asia (Indian Subcontinent)</v>
      </c>
      <c r="E909" s="3463" t="str">
        <f t="shared" si="28"/>
        <v>Asia (Indian Subcontinent)Maize</v>
      </c>
      <c r="F909" s="2994">
        <v>1.073</v>
      </c>
      <c r="G909" s="2994">
        <v>1.0995999999999999</v>
      </c>
      <c r="H909" s="2994">
        <v>1.1051</v>
      </c>
      <c r="I909" s="2994">
        <v>1.1196999999999999</v>
      </c>
      <c r="J909" s="2994">
        <v>1.1034999999999999</v>
      </c>
      <c r="K909" s="2994">
        <v>1.0692999999999999</v>
      </c>
      <c r="L909" s="2994">
        <v>1.2008000000000001</v>
      </c>
      <c r="M909" s="2994">
        <v>1.0932999999999999</v>
      </c>
      <c r="N909" s="2994">
        <v>1.0729</v>
      </c>
      <c r="O909" s="2994">
        <v>1.3122</v>
      </c>
      <c r="P909" s="2994">
        <v>1.0024</v>
      </c>
      <c r="Q909" s="2994">
        <v>1.1696</v>
      </c>
      <c r="R909" s="2994">
        <v>1.0782</v>
      </c>
      <c r="S909" s="2994">
        <v>1.071</v>
      </c>
      <c r="T909" s="2994">
        <v>1.2646999999999999</v>
      </c>
      <c r="U909" s="2994">
        <v>1.1588000000000001</v>
      </c>
      <c r="V909" s="2994">
        <v>1.1431</v>
      </c>
      <c r="W909" s="2994">
        <v>1.1614</v>
      </c>
      <c r="X909" s="2994">
        <v>1.0706</v>
      </c>
      <c r="Y909" s="2994">
        <v>1.2284999999999999</v>
      </c>
      <c r="Z909" s="2994">
        <v>1.2282999999999999</v>
      </c>
      <c r="AA909" s="2994">
        <v>1.2060999999999999</v>
      </c>
      <c r="AB909" s="2994">
        <v>1.3726</v>
      </c>
      <c r="AC909" s="2994">
        <v>1.4432</v>
      </c>
      <c r="AD909" s="2994">
        <v>1.2040999999999999</v>
      </c>
      <c r="AE909" s="2994">
        <v>1.3196000000000001</v>
      </c>
      <c r="AF909" s="2994">
        <v>1.1214</v>
      </c>
      <c r="AG909" s="2994">
        <v>1.4096</v>
      </c>
      <c r="AH909" s="2994">
        <v>1.597</v>
      </c>
      <c r="AI909" s="2994">
        <v>1.5299</v>
      </c>
      <c r="AJ909" s="2994">
        <v>1.4253</v>
      </c>
      <c r="AK909" s="2994">
        <v>1.6459999999999999</v>
      </c>
      <c r="AL909" s="2994">
        <v>1.5896999999999999</v>
      </c>
      <c r="AM909" s="2994">
        <v>1.5236000000000001</v>
      </c>
      <c r="AN909" s="2994">
        <v>1.6423000000000001</v>
      </c>
      <c r="AO909" s="2994">
        <v>1.7446999999999999</v>
      </c>
      <c r="AP909" s="2994">
        <v>1.7706999999999999</v>
      </c>
      <c r="AQ909" s="2994">
        <v>1.8529</v>
      </c>
      <c r="AR909" s="2994">
        <v>1.8593999999999999</v>
      </c>
      <c r="AS909" s="2994">
        <v>1.8844000000000001</v>
      </c>
      <c r="AT909" s="2994">
        <v>2.0366</v>
      </c>
      <c r="AU909" s="2994">
        <v>1.8589</v>
      </c>
      <c r="AV909" s="2994">
        <v>2.1133000000000002</v>
      </c>
      <c r="AW909" s="2994">
        <v>2.1537999999999999</v>
      </c>
      <c r="AX909" s="2994">
        <v>2.2021999999999999</v>
      </c>
      <c r="AY909" s="2994">
        <v>2.2309999999999999</v>
      </c>
      <c r="AZ909" s="2994">
        <v>2.6284999999999998</v>
      </c>
      <c r="BA909" s="2994">
        <v>2.6802999999999999</v>
      </c>
      <c r="BB909" s="2994">
        <v>2.3271999999999999</v>
      </c>
      <c r="BC909" s="2994">
        <v>2.7883</v>
      </c>
      <c r="BD909" s="3471">
        <v>2.7509000000000001</v>
      </c>
      <c r="BE909" s="3471">
        <v>2.8992</v>
      </c>
      <c r="BF909" s="3471">
        <v>2.8288000000000002</v>
      </c>
    </row>
    <row r="910" spans="1:58">
      <c r="A910" s="1817" t="str">
        <f t="shared" si="29"/>
        <v>Southern AsiaMaize, green</v>
      </c>
      <c r="B910" s="1818" t="s">
        <v>1326</v>
      </c>
      <c r="C910" s="1818" t="s">
        <v>1357</v>
      </c>
      <c r="D910" s="3463" t="str">
        <f>VLOOKUP(B910,List_Yield!$G$4:$J$14,4,FALSE)</f>
        <v>Asia (Indian Subcontinent)</v>
      </c>
      <c r="E910" s="3463" t="str">
        <f t="shared" si="28"/>
        <v>Asia (Indian Subcontinent)Maize, green</v>
      </c>
      <c r="F910" s="2994">
        <v>0</v>
      </c>
      <c r="G910" s="2994">
        <v>0</v>
      </c>
      <c r="H910" s="2994">
        <v>0</v>
      </c>
      <c r="I910" s="2994">
        <v>0</v>
      </c>
      <c r="J910" s="2994">
        <v>0</v>
      </c>
      <c r="K910" s="2994">
        <v>0</v>
      </c>
      <c r="L910" s="2994">
        <v>0</v>
      </c>
      <c r="M910" s="2994">
        <v>0</v>
      </c>
      <c r="N910" s="2994">
        <v>0</v>
      </c>
      <c r="O910" s="2994">
        <v>0</v>
      </c>
      <c r="P910" s="2994">
        <v>0</v>
      </c>
      <c r="Q910" s="2994">
        <v>0</v>
      </c>
      <c r="R910" s="2994">
        <v>0</v>
      </c>
      <c r="S910" s="2994">
        <v>0</v>
      </c>
      <c r="T910" s="2994">
        <v>0</v>
      </c>
      <c r="U910" s="2994">
        <v>0</v>
      </c>
      <c r="V910" s="2994">
        <v>0</v>
      </c>
      <c r="W910" s="2994">
        <v>0</v>
      </c>
      <c r="X910" s="2994">
        <v>0</v>
      </c>
      <c r="Y910" s="2994">
        <v>0</v>
      </c>
      <c r="Z910" s="2994">
        <v>0</v>
      </c>
      <c r="AA910" s="2994">
        <v>0</v>
      </c>
      <c r="AB910" s="2994">
        <v>0</v>
      </c>
      <c r="AC910" s="2994">
        <v>0</v>
      </c>
      <c r="AD910" s="2994">
        <v>0</v>
      </c>
      <c r="AE910" s="2994">
        <v>0</v>
      </c>
      <c r="AF910" s="2994">
        <v>0</v>
      </c>
      <c r="AG910" s="2994">
        <v>0</v>
      </c>
      <c r="AH910" s="2994">
        <v>0</v>
      </c>
      <c r="AI910" s="2994">
        <v>0</v>
      </c>
      <c r="AJ910" s="2994">
        <v>0</v>
      </c>
      <c r="AK910" s="2994">
        <v>0</v>
      </c>
      <c r="AL910" s="2994">
        <v>0</v>
      </c>
      <c r="AM910" s="2994">
        <v>0</v>
      </c>
      <c r="AN910" s="2994">
        <v>0</v>
      </c>
      <c r="AO910" s="2994">
        <v>0</v>
      </c>
      <c r="AP910" s="2994">
        <v>0</v>
      </c>
      <c r="AQ910" s="2994">
        <v>0</v>
      </c>
      <c r="AR910" s="2994">
        <v>0</v>
      </c>
      <c r="AS910" s="2994">
        <v>0</v>
      </c>
      <c r="AT910" s="2994">
        <v>0</v>
      </c>
      <c r="AU910" s="2994">
        <v>0</v>
      </c>
      <c r="AV910" s="2994">
        <v>0</v>
      </c>
      <c r="AW910" s="2994">
        <v>0</v>
      </c>
      <c r="AX910" s="2994">
        <v>0</v>
      </c>
      <c r="AY910" s="2994">
        <v>0</v>
      </c>
      <c r="AZ910" s="2994">
        <v>0</v>
      </c>
      <c r="BA910" s="2994">
        <v>0</v>
      </c>
      <c r="BB910" s="2994">
        <v>0</v>
      </c>
      <c r="BC910" s="2994">
        <v>0</v>
      </c>
      <c r="BD910" s="3471">
        <v>0</v>
      </c>
      <c r="BE910" s="3471">
        <v>0</v>
      </c>
      <c r="BF910" s="3471">
        <v>0</v>
      </c>
    </row>
    <row r="911" spans="1:58">
      <c r="A911" s="1817" t="str">
        <f t="shared" si="29"/>
        <v>Southern AsiaMangoes, mangosteens, guavas</v>
      </c>
      <c r="B911" s="1818" t="s">
        <v>1326</v>
      </c>
      <c r="C911" s="1818" t="s">
        <v>1358</v>
      </c>
      <c r="D911" s="3463" t="str">
        <f>VLOOKUP(B911,List_Yield!$G$4:$J$14,4,FALSE)</f>
        <v>Asia (Indian Subcontinent)</v>
      </c>
      <c r="E911" s="3463" t="str">
        <f t="shared" si="28"/>
        <v>Asia (Indian Subcontinent)Mangoes, mangosteens, guavas</v>
      </c>
      <c r="F911" s="2994">
        <v>8.3571000000000009</v>
      </c>
      <c r="G911" s="2994">
        <v>8.5358000000000001</v>
      </c>
      <c r="H911" s="2994">
        <v>8.3157999999999994</v>
      </c>
      <c r="I911" s="2994">
        <v>8.3468</v>
      </c>
      <c r="J911" s="2994">
        <v>8.3251000000000008</v>
      </c>
      <c r="K911" s="2994">
        <v>8.3622999999999994</v>
      </c>
      <c r="L911" s="2994">
        <v>8.6488999999999994</v>
      </c>
      <c r="M911" s="2994">
        <v>8.6720000000000006</v>
      </c>
      <c r="N911" s="2994">
        <v>8.3797999999999995</v>
      </c>
      <c r="O911" s="2994">
        <v>8.3399000000000001</v>
      </c>
      <c r="P911" s="2994">
        <v>8.3804999999999996</v>
      </c>
      <c r="Q911" s="2994">
        <v>8.3437999999999999</v>
      </c>
      <c r="R911" s="2994">
        <v>8.3348999999999993</v>
      </c>
      <c r="S911" s="2994">
        <v>8.3155999999999999</v>
      </c>
      <c r="T911" s="2994">
        <v>8.3206000000000007</v>
      </c>
      <c r="U911" s="2994">
        <v>8.3225999999999996</v>
      </c>
      <c r="V911" s="2994">
        <v>8.2623999999999995</v>
      </c>
      <c r="W911" s="2994">
        <v>8.0959000000000003</v>
      </c>
      <c r="X911" s="2994">
        <v>8.5805000000000007</v>
      </c>
      <c r="Y911" s="2994">
        <v>8.4875000000000007</v>
      </c>
      <c r="Z911" s="2994">
        <v>8.4511000000000003</v>
      </c>
      <c r="AA911" s="2994">
        <v>8.3348999999999993</v>
      </c>
      <c r="AB911" s="2994">
        <v>8.3485999999999994</v>
      </c>
      <c r="AC911" s="2994">
        <v>8.3351000000000006</v>
      </c>
      <c r="AD911" s="2994">
        <v>10.66</v>
      </c>
      <c r="AE911" s="2994">
        <v>11.0137</v>
      </c>
      <c r="AF911" s="2994">
        <v>10.9353</v>
      </c>
      <c r="AG911" s="2994">
        <v>8.5365000000000002</v>
      </c>
      <c r="AH911" s="2994">
        <v>9.0391999999999992</v>
      </c>
      <c r="AI911" s="2994">
        <v>9.7388999999999992</v>
      </c>
      <c r="AJ911" s="2994">
        <v>7.9824999999999999</v>
      </c>
      <c r="AK911" s="2994">
        <v>7.9744000000000002</v>
      </c>
      <c r="AL911" s="2994">
        <v>8.1003000000000007</v>
      </c>
      <c r="AM911" s="2994">
        <v>8.7132000000000005</v>
      </c>
      <c r="AN911" s="2994">
        <v>8.4345999999999997</v>
      </c>
      <c r="AO911" s="2994">
        <v>8.9215</v>
      </c>
      <c r="AP911" s="2994">
        <v>8.9092000000000002</v>
      </c>
      <c r="AQ911" s="2994">
        <v>7.2942999999999998</v>
      </c>
      <c r="AR911" s="2994">
        <v>6.9970999999999997</v>
      </c>
      <c r="AS911" s="2994">
        <v>7.0784000000000002</v>
      </c>
      <c r="AT911" s="2994">
        <v>6.7104999999999997</v>
      </c>
      <c r="AU911" s="2994">
        <v>6.4874000000000001</v>
      </c>
      <c r="AV911" s="2994">
        <v>7.8226000000000004</v>
      </c>
      <c r="AW911" s="2994">
        <v>6.1894</v>
      </c>
      <c r="AX911" s="2994">
        <v>6.2680999999999996</v>
      </c>
      <c r="AY911" s="2994">
        <v>6.3464999999999998</v>
      </c>
      <c r="AZ911" s="2994">
        <v>6.5431999999999997</v>
      </c>
      <c r="BA911" s="2994">
        <v>6.6121999999999996</v>
      </c>
      <c r="BB911" s="2994">
        <v>5.8623000000000003</v>
      </c>
      <c r="BC911" s="2994">
        <v>6.8201999999999998</v>
      </c>
      <c r="BD911" s="3471">
        <v>6.9364999999999997</v>
      </c>
      <c r="BE911" s="3471">
        <v>6.9546000000000001</v>
      </c>
      <c r="BF911" s="3471">
        <v>0</v>
      </c>
    </row>
    <row r="912" spans="1:58">
      <c r="A912" s="1817" t="str">
        <f t="shared" si="29"/>
        <v>Southern AsiaManila fibre (abaca)</v>
      </c>
      <c r="B912" s="1818" t="s">
        <v>1326</v>
      </c>
      <c r="C912" s="1818" t="s">
        <v>7347</v>
      </c>
      <c r="D912" s="3463" t="str">
        <f>VLOOKUP(B912,List_Yield!$G$4:$J$14,4,FALSE)</f>
        <v>Asia (Indian Subcontinent)</v>
      </c>
      <c r="E912" s="3463" t="str">
        <f t="shared" si="28"/>
        <v>Asia (Indian Subcontinent)Manila fibre (abaca)</v>
      </c>
      <c r="F912" s="2994">
        <v>0</v>
      </c>
      <c r="G912" s="2994">
        <v>0</v>
      </c>
      <c r="H912" s="2994">
        <v>0</v>
      </c>
      <c r="I912" s="2994">
        <v>0</v>
      </c>
      <c r="J912" s="2994">
        <v>0</v>
      </c>
      <c r="K912" s="2994">
        <v>0</v>
      </c>
      <c r="L912" s="2994">
        <v>0</v>
      </c>
      <c r="M912" s="2994">
        <v>0</v>
      </c>
      <c r="N912" s="2994">
        <v>0</v>
      </c>
      <c r="O912" s="2994">
        <v>0</v>
      </c>
      <c r="P912" s="2994">
        <v>0</v>
      </c>
      <c r="Q912" s="2994">
        <v>0</v>
      </c>
      <c r="R912" s="2994">
        <v>0</v>
      </c>
      <c r="S912" s="2994">
        <v>0</v>
      </c>
      <c r="T912" s="2994">
        <v>0</v>
      </c>
      <c r="U912" s="2994">
        <v>0</v>
      </c>
      <c r="V912" s="2994">
        <v>0</v>
      </c>
      <c r="W912" s="2994">
        <v>0</v>
      </c>
      <c r="X912" s="2994">
        <v>0</v>
      </c>
      <c r="Y912" s="2994">
        <v>0</v>
      </c>
      <c r="Z912" s="2994">
        <v>0</v>
      </c>
      <c r="AA912" s="2994">
        <v>0</v>
      </c>
      <c r="AB912" s="2994">
        <v>0</v>
      </c>
      <c r="AC912" s="2994">
        <v>0</v>
      </c>
      <c r="AD912" s="2994">
        <v>0</v>
      </c>
      <c r="AE912" s="2994">
        <v>0</v>
      </c>
      <c r="AF912" s="2994">
        <v>0</v>
      </c>
      <c r="AG912" s="2994">
        <v>0</v>
      </c>
      <c r="AH912" s="2994">
        <v>0</v>
      </c>
      <c r="AI912" s="2994">
        <v>0</v>
      </c>
      <c r="AJ912" s="2994">
        <v>0</v>
      </c>
      <c r="AK912" s="2994">
        <v>0</v>
      </c>
      <c r="AL912" s="2994">
        <v>0</v>
      </c>
      <c r="AM912" s="2994">
        <v>0</v>
      </c>
      <c r="AN912" s="2994">
        <v>0</v>
      </c>
      <c r="AO912" s="2994">
        <v>0</v>
      </c>
      <c r="AP912" s="2994">
        <v>0</v>
      </c>
      <c r="AQ912" s="2994">
        <v>0</v>
      </c>
      <c r="AR912" s="2994">
        <v>0</v>
      </c>
      <c r="AS912" s="2994">
        <v>0</v>
      </c>
      <c r="AT912" s="2994">
        <v>0</v>
      </c>
      <c r="AU912" s="2994">
        <v>0</v>
      </c>
      <c r="AV912" s="2994">
        <v>0</v>
      </c>
      <c r="AW912" s="2994">
        <v>0</v>
      </c>
      <c r="AX912" s="2994">
        <v>0</v>
      </c>
      <c r="AY912" s="2994">
        <v>0</v>
      </c>
      <c r="AZ912" s="2994">
        <v>0</v>
      </c>
      <c r="BA912" s="2994">
        <v>0</v>
      </c>
      <c r="BB912" s="2994">
        <v>0</v>
      </c>
      <c r="BC912" s="2994">
        <v>0</v>
      </c>
      <c r="BD912" s="3471">
        <v>0</v>
      </c>
      <c r="BE912" s="3471">
        <v>0</v>
      </c>
      <c r="BF912" s="3471">
        <v>0</v>
      </c>
    </row>
    <row r="913" spans="1:58">
      <c r="A913" s="1817" t="str">
        <f t="shared" si="29"/>
        <v>Southern AsiaMaté</v>
      </c>
      <c r="B913" s="1818" t="s">
        <v>1326</v>
      </c>
      <c r="C913" s="1818" t="s">
        <v>2268</v>
      </c>
      <c r="D913" s="3463" t="str">
        <f>VLOOKUP(B913,List_Yield!$G$4:$J$14,4,FALSE)</f>
        <v>Asia (Indian Subcontinent)</v>
      </c>
      <c r="E913" s="3463" t="str">
        <f t="shared" si="28"/>
        <v>Asia (Indian Subcontinent)Maté</v>
      </c>
      <c r="F913" s="2994">
        <v>0</v>
      </c>
      <c r="G913" s="2994">
        <v>0</v>
      </c>
      <c r="H913" s="2994">
        <v>0</v>
      </c>
      <c r="I913" s="2994">
        <v>0</v>
      </c>
      <c r="J913" s="2994">
        <v>0</v>
      </c>
      <c r="K913" s="2994">
        <v>0</v>
      </c>
      <c r="L913" s="2994">
        <v>0</v>
      </c>
      <c r="M913" s="2994">
        <v>0</v>
      </c>
      <c r="N913" s="2994">
        <v>0</v>
      </c>
      <c r="O913" s="2994">
        <v>0</v>
      </c>
      <c r="P913" s="2994">
        <v>0</v>
      </c>
      <c r="Q913" s="2994">
        <v>0</v>
      </c>
      <c r="R913" s="2994">
        <v>0</v>
      </c>
      <c r="S913" s="2994">
        <v>0</v>
      </c>
      <c r="T913" s="2994">
        <v>0</v>
      </c>
      <c r="U913" s="2994">
        <v>0</v>
      </c>
      <c r="V913" s="2994">
        <v>0</v>
      </c>
      <c r="W913" s="2994">
        <v>0</v>
      </c>
      <c r="X913" s="2994">
        <v>0</v>
      </c>
      <c r="Y913" s="2994">
        <v>0</v>
      </c>
      <c r="Z913" s="2994">
        <v>0</v>
      </c>
      <c r="AA913" s="2994">
        <v>0</v>
      </c>
      <c r="AB913" s="2994">
        <v>0</v>
      </c>
      <c r="AC913" s="2994">
        <v>0</v>
      </c>
      <c r="AD913" s="2994">
        <v>0</v>
      </c>
      <c r="AE913" s="2994">
        <v>0</v>
      </c>
      <c r="AF913" s="2994">
        <v>0</v>
      </c>
      <c r="AG913" s="2994">
        <v>0</v>
      </c>
      <c r="AH913" s="2994">
        <v>0</v>
      </c>
      <c r="AI913" s="2994">
        <v>0</v>
      </c>
      <c r="AJ913" s="2994">
        <v>0</v>
      </c>
      <c r="AK913" s="2994">
        <v>0</v>
      </c>
      <c r="AL913" s="2994">
        <v>0</v>
      </c>
      <c r="AM913" s="2994">
        <v>0</v>
      </c>
      <c r="AN913" s="2994">
        <v>0</v>
      </c>
      <c r="AO913" s="2994">
        <v>0</v>
      </c>
      <c r="AP913" s="2994">
        <v>0</v>
      </c>
      <c r="AQ913" s="2994">
        <v>0</v>
      </c>
      <c r="AR913" s="2994">
        <v>0</v>
      </c>
      <c r="AS913" s="2994">
        <v>0</v>
      </c>
      <c r="AT913" s="2994">
        <v>0</v>
      </c>
      <c r="AU913" s="2994">
        <v>0</v>
      </c>
      <c r="AV913" s="2994">
        <v>0</v>
      </c>
      <c r="AW913" s="2994">
        <v>0</v>
      </c>
      <c r="AX913" s="2994">
        <v>0</v>
      </c>
      <c r="AY913" s="2994">
        <v>0</v>
      </c>
      <c r="AZ913" s="2994">
        <v>0</v>
      </c>
      <c r="BA913" s="2994">
        <v>0</v>
      </c>
      <c r="BB913" s="2994">
        <v>0</v>
      </c>
      <c r="BC913" s="2994">
        <v>0</v>
      </c>
      <c r="BD913" s="3471">
        <v>0</v>
      </c>
      <c r="BE913" s="3471">
        <v>0</v>
      </c>
      <c r="BF913" s="3471">
        <v>0</v>
      </c>
    </row>
    <row r="914" spans="1:58">
      <c r="A914" s="1817" t="str">
        <f t="shared" si="29"/>
        <v>Southern AsiaMelons, other (inc.cantaloupes)</v>
      </c>
      <c r="B914" s="1818" t="s">
        <v>1326</v>
      </c>
      <c r="C914" s="1818" t="s">
        <v>7348</v>
      </c>
      <c r="D914" s="3463" t="str">
        <f>VLOOKUP(B914,List_Yield!$G$4:$J$14,4,FALSE)</f>
        <v>Asia (Indian Subcontinent)</v>
      </c>
      <c r="E914" s="3463" t="str">
        <f t="shared" si="28"/>
        <v>Asia (Indian Subcontinent)Melons, other (inc.cantaloupes)</v>
      </c>
      <c r="F914" s="2994">
        <v>9.3940000000000001</v>
      </c>
      <c r="G914" s="2994">
        <v>9.4678000000000004</v>
      </c>
      <c r="H914" s="2994">
        <v>9.5252999999999997</v>
      </c>
      <c r="I914" s="2994">
        <v>9.6672999999999991</v>
      </c>
      <c r="J914" s="2994">
        <v>9.6616999999999997</v>
      </c>
      <c r="K914" s="2994">
        <v>9.7924000000000007</v>
      </c>
      <c r="L914" s="2994">
        <v>10.069900000000001</v>
      </c>
      <c r="M914" s="2994">
        <v>10.3056</v>
      </c>
      <c r="N914" s="2994">
        <v>10.346399999999999</v>
      </c>
      <c r="O914" s="2994">
        <v>10.343299999999999</v>
      </c>
      <c r="P914" s="2994">
        <v>10.2522</v>
      </c>
      <c r="Q914" s="2994">
        <v>10.3736</v>
      </c>
      <c r="R914" s="2994">
        <v>10.401400000000001</v>
      </c>
      <c r="S914" s="2994">
        <v>10.883100000000001</v>
      </c>
      <c r="T914" s="2994">
        <v>11.523199999999999</v>
      </c>
      <c r="U914" s="2994">
        <v>11.9321</v>
      </c>
      <c r="V914" s="2994">
        <v>12.6904</v>
      </c>
      <c r="W914" s="2994">
        <v>13.0916</v>
      </c>
      <c r="X914" s="2994">
        <v>12.271599999999999</v>
      </c>
      <c r="Y914" s="2994">
        <v>12.676500000000001</v>
      </c>
      <c r="Z914" s="2994">
        <v>13.8354</v>
      </c>
      <c r="AA914" s="2994">
        <v>14.639099999999999</v>
      </c>
      <c r="AB914" s="2994">
        <v>13.621700000000001</v>
      </c>
      <c r="AC914" s="2994">
        <v>14.6333</v>
      </c>
      <c r="AD914" s="2994">
        <v>14.8772</v>
      </c>
      <c r="AE914" s="2994">
        <v>14.9658</v>
      </c>
      <c r="AF914" s="2994">
        <v>17.123200000000001</v>
      </c>
      <c r="AG914" s="2994">
        <v>14.6921</v>
      </c>
      <c r="AH914" s="2994">
        <v>13.7659</v>
      </c>
      <c r="AI914" s="2994">
        <v>13.391999999999999</v>
      </c>
      <c r="AJ914" s="2994">
        <v>14.929500000000001</v>
      </c>
      <c r="AK914" s="2994">
        <v>13.5594</v>
      </c>
      <c r="AL914" s="2994">
        <v>13.4598</v>
      </c>
      <c r="AM914" s="2994">
        <v>14.101100000000001</v>
      </c>
      <c r="AN914" s="2994">
        <v>12.934699999999999</v>
      </c>
      <c r="AO914" s="2994">
        <v>14.656700000000001</v>
      </c>
      <c r="AP914" s="2994">
        <v>13.932499999999999</v>
      </c>
      <c r="AQ914" s="2994">
        <v>14.305199999999999</v>
      </c>
      <c r="AR914" s="2994">
        <v>14.338900000000001</v>
      </c>
      <c r="AS914" s="2994">
        <v>15.7667</v>
      </c>
      <c r="AT914" s="2994">
        <v>15.7514</v>
      </c>
      <c r="AU914" s="2994">
        <v>15.5472</v>
      </c>
      <c r="AV914" s="2994">
        <v>15.214600000000001</v>
      </c>
      <c r="AW914" s="2994">
        <v>15.2705</v>
      </c>
      <c r="AX914" s="2994">
        <v>16.422499999999999</v>
      </c>
      <c r="AY914" s="2994">
        <v>16.5152</v>
      </c>
      <c r="AZ914" s="2994">
        <v>17.2607</v>
      </c>
      <c r="BA914" s="2994">
        <v>17.391100000000002</v>
      </c>
      <c r="BB914" s="2994">
        <v>16.3642</v>
      </c>
      <c r="BC914" s="2994">
        <v>16.5871</v>
      </c>
      <c r="BD914" s="3471">
        <v>17.130199999999999</v>
      </c>
      <c r="BE914" s="3471">
        <v>17.547999999999998</v>
      </c>
      <c r="BF914" s="3471">
        <v>0</v>
      </c>
    </row>
    <row r="915" spans="1:58">
      <c r="A915" s="1817" t="str">
        <f t="shared" si="29"/>
        <v>Southern AsiaMelonseed</v>
      </c>
      <c r="B915" s="1818" t="s">
        <v>1326</v>
      </c>
      <c r="C915" s="1818" t="s">
        <v>7349</v>
      </c>
      <c r="D915" s="3463" t="str">
        <f>VLOOKUP(B915,List_Yield!$G$4:$J$14,4,FALSE)</f>
        <v>Asia (Indian Subcontinent)</v>
      </c>
      <c r="E915" s="3463" t="str">
        <f t="shared" si="28"/>
        <v>Asia (Indian Subcontinent)Melonseed</v>
      </c>
      <c r="F915" s="2994">
        <v>0.4</v>
      </c>
      <c r="G915" s="2994">
        <v>0.4</v>
      </c>
      <c r="H915" s="2994">
        <v>0.4</v>
      </c>
      <c r="I915" s="2994">
        <v>0.4</v>
      </c>
      <c r="J915" s="2994">
        <v>0.4</v>
      </c>
      <c r="K915" s="2994">
        <v>0.40910000000000002</v>
      </c>
      <c r="L915" s="2994">
        <v>0.4</v>
      </c>
      <c r="M915" s="2994">
        <v>0.40739999999999998</v>
      </c>
      <c r="N915" s="2994">
        <v>0.40679999999999999</v>
      </c>
      <c r="O915" s="2994">
        <v>0.40629999999999999</v>
      </c>
      <c r="P915" s="2994">
        <v>0.4118</v>
      </c>
      <c r="Q915" s="2994">
        <v>0.41670000000000001</v>
      </c>
      <c r="R915" s="2994">
        <v>0.42109999999999997</v>
      </c>
      <c r="S915" s="2994">
        <v>0.42499999999999999</v>
      </c>
      <c r="T915" s="2994">
        <v>0.42349999999999999</v>
      </c>
      <c r="U915" s="2994">
        <v>0.42220000000000002</v>
      </c>
      <c r="V915" s="2994">
        <v>0.42549999999999999</v>
      </c>
      <c r="W915" s="2994">
        <v>0.42859999999999998</v>
      </c>
      <c r="X915" s="2994">
        <v>0.40820000000000001</v>
      </c>
      <c r="Y915" s="2994">
        <v>0.40820000000000001</v>
      </c>
      <c r="Z915" s="2994">
        <v>0.42859999999999998</v>
      </c>
      <c r="AA915" s="2994">
        <v>0.43099999999999999</v>
      </c>
      <c r="AB915" s="2994">
        <v>0.43330000000000002</v>
      </c>
      <c r="AC915" s="2994">
        <v>0.439</v>
      </c>
      <c r="AD915" s="2994">
        <v>0.44940000000000002</v>
      </c>
      <c r="AE915" s="2994">
        <v>0.44219999999999998</v>
      </c>
      <c r="AF915" s="2994">
        <v>0.48420000000000002</v>
      </c>
      <c r="AG915" s="2994">
        <v>0.42870000000000003</v>
      </c>
      <c r="AH915" s="2994">
        <v>0.5</v>
      </c>
      <c r="AI915" s="2994">
        <v>0.5</v>
      </c>
      <c r="AJ915" s="2994">
        <v>0.48259999999999997</v>
      </c>
      <c r="AK915" s="2994">
        <v>0.50760000000000005</v>
      </c>
      <c r="AL915" s="2994">
        <v>0.48159999999999997</v>
      </c>
      <c r="AM915" s="2994">
        <v>0.52059999999999995</v>
      </c>
      <c r="AN915" s="2994">
        <v>0.52929999999999999</v>
      </c>
      <c r="AO915" s="2994">
        <v>0.53680000000000005</v>
      </c>
      <c r="AP915" s="2994">
        <v>0.5121</v>
      </c>
      <c r="AQ915" s="2994">
        <v>0.49690000000000001</v>
      </c>
      <c r="AR915" s="2994">
        <v>0.51170000000000004</v>
      </c>
      <c r="AS915" s="2994">
        <v>0.49869999999999998</v>
      </c>
      <c r="AT915" s="2994">
        <v>0.51590000000000003</v>
      </c>
      <c r="AU915" s="2994">
        <v>0.4834</v>
      </c>
      <c r="AV915" s="2994">
        <v>0.58699999999999997</v>
      </c>
      <c r="AW915" s="2994">
        <v>0.58389999999999997</v>
      </c>
      <c r="AX915" s="2994">
        <v>0.60460000000000003</v>
      </c>
      <c r="AY915" s="2994">
        <v>0.62849999999999995</v>
      </c>
      <c r="AZ915" s="2994">
        <v>0.69279999999999997</v>
      </c>
      <c r="BA915" s="2994">
        <v>0.63719999999999999</v>
      </c>
      <c r="BB915" s="2994">
        <v>0.6623</v>
      </c>
      <c r="BC915" s="2994">
        <v>0.66</v>
      </c>
      <c r="BD915" s="3471">
        <v>0.63849999999999996</v>
      </c>
      <c r="BE915" s="3471">
        <v>0.625</v>
      </c>
      <c r="BF915" s="3471">
        <v>0.64670000000000005</v>
      </c>
    </row>
    <row r="916" spans="1:58">
      <c r="A916" s="1817" t="str">
        <f t="shared" si="29"/>
        <v>Southern AsiaMillet</v>
      </c>
      <c r="B916" s="1818" t="s">
        <v>1326</v>
      </c>
      <c r="C916" s="1818" t="s">
        <v>1359</v>
      </c>
      <c r="D916" s="3463" t="str">
        <f>VLOOKUP(B916,List_Yield!$G$4:$J$14,4,FALSE)</f>
        <v>Asia (Indian Subcontinent)</v>
      </c>
      <c r="E916" s="3463" t="str">
        <f t="shared" si="28"/>
        <v>Asia (Indian Subcontinent)Millet</v>
      </c>
      <c r="F916" s="2994">
        <v>0.41930000000000001</v>
      </c>
      <c r="G916" s="2994">
        <v>0.43830000000000002</v>
      </c>
      <c r="H916" s="2994">
        <v>0.44130000000000003</v>
      </c>
      <c r="I916" s="2994">
        <v>0.4556</v>
      </c>
      <c r="J916" s="2994">
        <v>0.35670000000000002</v>
      </c>
      <c r="K916" s="2994">
        <v>0.40500000000000003</v>
      </c>
      <c r="L916" s="2994">
        <v>0.45519999999999999</v>
      </c>
      <c r="M916" s="2994">
        <v>0.39090000000000003</v>
      </c>
      <c r="N916" s="2994">
        <v>0.46529999999999999</v>
      </c>
      <c r="O916" s="2994">
        <v>0.60289999999999999</v>
      </c>
      <c r="P916" s="2994">
        <v>0.49730000000000002</v>
      </c>
      <c r="Q916" s="2994">
        <v>0.41239999999999999</v>
      </c>
      <c r="R916" s="2994">
        <v>0.55620000000000003</v>
      </c>
      <c r="S916" s="2994">
        <v>0.39579999999999999</v>
      </c>
      <c r="T916" s="2994">
        <v>0.55679999999999996</v>
      </c>
      <c r="U916" s="2994">
        <v>0.54179999999999995</v>
      </c>
      <c r="V916" s="2994">
        <v>0.53280000000000005</v>
      </c>
      <c r="W916" s="2994">
        <v>0.57769999999999999</v>
      </c>
      <c r="X916" s="2994">
        <v>0.47699999999999998</v>
      </c>
      <c r="Y916" s="2994">
        <v>0.51949999999999996</v>
      </c>
      <c r="Z916" s="2994">
        <v>0.55930000000000002</v>
      </c>
      <c r="AA916" s="2994">
        <v>0.5151</v>
      </c>
      <c r="AB916" s="2994">
        <v>0.67659999999999998</v>
      </c>
      <c r="AC916" s="2994">
        <v>0.60309999999999997</v>
      </c>
      <c r="AD916" s="2994">
        <v>0.46479999999999999</v>
      </c>
      <c r="AE916" s="2994">
        <v>0.50929999999999997</v>
      </c>
      <c r="AF916" s="2994">
        <v>0.50349999999999995</v>
      </c>
      <c r="AG916" s="2994">
        <v>0.66120000000000001</v>
      </c>
      <c r="AH916" s="2994">
        <v>0.67079999999999995</v>
      </c>
      <c r="AI916" s="2994">
        <v>0.6885</v>
      </c>
      <c r="AJ916" s="2994">
        <v>0.57779999999999998</v>
      </c>
      <c r="AK916" s="2994">
        <v>0.8367</v>
      </c>
      <c r="AL916" s="2994">
        <v>0.64319999999999999</v>
      </c>
      <c r="AM916" s="2994">
        <v>0.74280000000000002</v>
      </c>
      <c r="AN916" s="2994">
        <v>0.67669999999999997</v>
      </c>
      <c r="AO916" s="2994">
        <v>0.81599999999999995</v>
      </c>
      <c r="AP916" s="2994">
        <v>0.80100000000000005</v>
      </c>
      <c r="AQ916" s="2994">
        <v>0.80810000000000004</v>
      </c>
      <c r="AR916" s="2994">
        <v>0.73040000000000005</v>
      </c>
      <c r="AS916" s="2994">
        <v>0.77180000000000004</v>
      </c>
      <c r="AT916" s="2994">
        <v>0.89070000000000005</v>
      </c>
      <c r="AU916" s="2994">
        <v>0.63549999999999995</v>
      </c>
      <c r="AV916" s="2994">
        <v>1.0633999999999999</v>
      </c>
      <c r="AW916" s="2994">
        <v>0.90559999999999996</v>
      </c>
      <c r="AX916" s="2994">
        <v>0.85529999999999995</v>
      </c>
      <c r="AY916" s="2994">
        <v>0.86890000000000001</v>
      </c>
      <c r="AZ916" s="2994">
        <v>1.0613999999999999</v>
      </c>
      <c r="BA916" s="2994">
        <v>1.0142</v>
      </c>
      <c r="BB916" s="2994">
        <v>0.79720000000000002</v>
      </c>
      <c r="BC916" s="2994">
        <v>1.1037999999999999</v>
      </c>
      <c r="BD916" s="3471">
        <v>1.161</v>
      </c>
      <c r="BE916" s="3471">
        <v>1.1536</v>
      </c>
      <c r="BF916" s="3471">
        <v>1.1583000000000001</v>
      </c>
    </row>
    <row r="917" spans="1:58">
      <c r="A917" s="1817" t="str">
        <f t="shared" si="29"/>
        <v>Southern AsiaMushrooms and truffles</v>
      </c>
      <c r="B917" s="1818" t="s">
        <v>1326</v>
      </c>
      <c r="C917" s="1818" t="s">
        <v>7350</v>
      </c>
      <c r="D917" s="3463" t="str">
        <f>VLOOKUP(B917,List_Yield!$G$4:$J$14,4,FALSE)</f>
        <v>Asia (Indian Subcontinent)</v>
      </c>
      <c r="E917" s="3463" t="str">
        <f t="shared" si="28"/>
        <v>Asia (Indian Subcontinent)Mushrooms and truffles</v>
      </c>
      <c r="F917" s="2994">
        <v>0</v>
      </c>
      <c r="G917" s="2994">
        <v>0</v>
      </c>
      <c r="H917" s="2994">
        <v>0</v>
      </c>
      <c r="I917" s="2994">
        <v>0</v>
      </c>
      <c r="J917" s="2994">
        <v>0</v>
      </c>
      <c r="K917" s="2994">
        <v>0</v>
      </c>
      <c r="L917" s="2994">
        <v>0</v>
      </c>
      <c r="M917" s="2994">
        <v>0</v>
      </c>
      <c r="N917" s="2994">
        <v>0</v>
      </c>
      <c r="O917" s="2994">
        <v>0</v>
      </c>
      <c r="P917" s="2994">
        <v>0</v>
      </c>
      <c r="Q917" s="2994">
        <v>0</v>
      </c>
      <c r="R917" s="2994">
        <v>0</v>
      </c>
      <c r="S917" s="2994">
        <v>0</v>
      </c>
      <c r="T917" s="2994">
        <v>0</v>
      </c>
      <c r="U917" s="2994">
        <v>0</v>
      </c>
      <c r="V917" s="2994">
        <v>0</v>
      </c>
      <c r="W917" s="2994">
        <v>0</v>
      </c>
      <c r="X917" s="2994">
        <v>0</v>
      </c>
      <c r="Y917" s="2994">
        <v>0</v>
      </c>
      <c r="Z917" s="2994">
        <v>0</v>
      </c>
      <c r="AA917" s="2994">
        <v>0</v>
      </c>
      <c r="AB917" s="2994">
        <v>0</v>
      </c>
      <c r="AC917" s="2994">
        <v>0</v>
      </c>
      <c r="AD917" s="2994">
        <v>0</v>
      </c>
      <c r="AE917" s="2994">
        <v>0</v>
      </c>
      <c r="AF917" s="2994">
        <v>0</v>
      </c>
      <c r="AG917" s="2994">
        <v>0</v>
      </c>
      <c r="AH917" s="2994">
        <v>0</v>
      </c>
      <c r="AI917" s="2994">
        <v>0</v>
      </c>
      <c r="AJ917" s="2994">
        <v>0</v>
      </c>
      <c r="AK917" s="2994">
        <v>0</v>
      </c>
      <c r="AL917" s="2994">
        <v>0</v>
      </c>
      <c r="AM917" s="2994">
        <v>0</v>
      </c>
      <c r="AN917" s="2994">
        <v>0</v>
      </c>
      <c r="AO917" s="2994">
        <v>0</v>
      </c>
      <c r="AP917" s="2994">
        <v>0</v>
      </c>
      <c r="AQ917" s="2994">
        <v>0</v>
      </c>
      <c r="AR917" s="2994">
        <v>0</v>
      </c>
      <c r="AS917" s="2994">
        <v>0</v>
      </c>
      <c r="AT917" s="2994">
        <v>0</v>
      </c>
      <c r="AU917" s="2994">
        <v>0</v>
      </c>
      <c r="AV917" s="2994">
        <v>0</v>
      </c>
      <c r="AW917" s="2994">
        <v>0</v>
      </c>
      <c r="AX917" s="2994">
        <v>0</v>
      </c>
      <c r="AY917" s="2994">
        <v>0</v>
      </c>
      <c r="AZ917" s="2994">
        <v>0</v>
      </c>
      <c r="BA917" s="2994">
        <v>0</v>
      </c>
      <c r="BB917" s="2994">
        <v>0</v>
      </c>
      <c r="BC917" s="2994">
        <v>0</v>
      </c>
      <c r="BD917" s="3471">
        <v>0</v>
      </c>
      <c r="BE917" s="3471">
        <v>0</v>
      </c>
      <c r="BF917" s="3471">
        <v>0</v>
      </c>
    </row>
    <row r="918" spans="1:58">
      <c r="A918" s="1817" t="str">
        <f t="shared" si="29"/>
        <v>Southern AsiaMustard seed</v>
      </c>
      <c r="B918" s="1818" t="s">
        <v>1326</v>
      </c>
      <c r="C918" s="1818" t="s">
        <v>7351</v>
      </c>
      <c r="D918" s="3463" t="str">
        <f>VLOOKUP(B918,List_Yield!$G$4:$J$14,4,FALSE)</f>
        <v>Asia (Indian Subcontinent)</v>
      </c>
      <c r="E918" s="3463" t="str">
        <f t="shared" si="28"/>
        <v>Asia (Indian Subcontinent)Mustard seed</v>
      </c>
      <c r="F918" s="2994">
        <v>0.59109999999999996</v>
      </c>
      <c r="G918" s="2994">
        <v>0.59089999999999998</v>
      </c>
      <c r="H918" s="2994">
        <v>0.59</v>
      </c>
      <c r="I918" s="2994">
        <v>0.65639999999999998</v>
      </c>
      <c r="J918" s="2994">
        <v>0.4778</v>
      </c>
      <c r="K918" s="2994">
        <v>0.53649999999999998</v>
      </c>
      <c r="L918" s="2994">
        <v>0.57340000000000002</v>
      </c>
      <c r="M918" s="2994">
        <v>0.54349999999999998</v>
      </c>
      <c r="N918" s="2994">
        <v>0.54020000000000001</v>
      </c>
      <c r="O918" s="2994">
        <v>0.55649999999999999</v>
      </c>
      <c r="P918" s="2994">
        <v>0.52759999999999996</v>
      </c>
      <c r="Q918" s="2994">
        <v>0.51949999999999996</v>
      </c>
      <c r="R918" s="2994">
        <v>0.53500000000000003</v>
      </c>
      <c r="S918" s="2994">
        <v>0.56010000000000004</v>
      </c>
      <c r="T918" s="2994">
        <v>0.58489999999999998</v>
      </c>
      <c r="U918" s="2994">
        <v>0.60289999999999999</v>
      </c>
      <c r="V918" s="2994">
        <v>0.57050000000000001</v>
      </c>
      <c r="W918" s="2994">
        <v>0.59370000000000001</v>
      </c>
      <c r="X918" s="2994">
        <v>0.64149999999999996</v>
      </c>
      <c r="Y918" s="2994">
        <v>0.52769999999999995</v>
      </c>
      <c r="Z918" s="2994">
        <v>0.62980000000000003</v>
      </c>
      <c r="AA918" s="2994">
        <v>0.69099999999999995</v>
      </c>
      <c r="AB918" s="2994">
        <v>0.63100000000000001</v>
      </c>
      <c r="AC918" s="2994">
        <v>0.66239999999999999</v>
      </c>
      <c r="AD918" s="2994">
        <v>0.65820000000000001</v>
      </c>
      <c r="AE918" s="2994">
        <v>0.57169999999999999</v>
      </c>
      <c r="AF918" s="2994">
        <v>0.57450000000000001</v>
      </c>
      <c r="AG918" s="2994">
        <v>0.61699999999999999</v>
      </c>
      <c r="AH918" s="2994">
        <v>0.6341</v>
      </c>
      <c r="AI918" s="2994">
        <v>0.62970000000000004</v>
      </c>
      <c r="AJ918" s="2994">
        <v>0.58160000000000001</v>
      </c>
      <c r="AK918" s="2994">
        <v>0.55969999999999998</v>
      </c>
      <c r="AL918" s="2994">
        <v>0.55769999999999997</v>
      </c>
      <c r="AM918" s="2994">
        <v>0.59609999999999996</v>
      </c>
      <c r="AN918" s="2994">
        <v>0.62</v>
      </c>
      <c r="AO918" s="2994">
        <v>0.61660000000000004</v>
      </c>
      <c r="AP918" s="2994">
        <v>0.64410000000000001</v>
      </c>
      <c r="AQ918" s="2994">
        <v>0.60509999999999997</v>
      </c>
      <c r="AR918" s="2994">
        <v>0.61850000000000005</v>
      </c>
      <c r="AS918" s="2994">
        <v>0.63970000000000005</v>
      </c>
      <c r="AT918" s="2994">
        <v>0.69</v>
      </c>
      <c r="AU918" s="2994">
        <v>0.70509999999999995</v>
      </c>
      <c r="AV918" s="2994">
        <v>0.67559999999999998</v>
      </c>
      <c r="AW918" s="2994">
        <v>0.71419999999999995</v>
      </c>
      <c r="AX918" s="2994">
        <v>0.75649999999999995</v>
      </c>
      <c r="AY918" s="2994">
        <v>0.73950000000000005</v>
      </c>
      <c r="AZ918" s="2994">
        <v>0.7319</v>
      </c>
      <c r="BA918" s="2994">
        <v>0.74119999999999997</v>
      </c>
      <c r="BB918" s="2994">
        <v>0.74760000000000004</v>
      </c>
      <c r="BC918" s="2994">
        <v>0.7833</v>
      </c>
      <c r="BD918" s="3471">
        <v>0.83099999999999996</v>
      </c>
      <c r="BE918" s="3471">
        <v>0.85150000000000003</v>
      </c>
      <c r="BF918" s="3471">
        <v>0.85399999999999998</v>
      </c>
    </row>
    <row r="919" spans="1:58">
      <c r="A919" s="1817" t="str">
        <f t="shared" si="29"/>
        <v>Southern AsiaNutmeg, mace and cardamoms</v>
      </c>
      <c r="B919" s="1818" t="s">
        <v>1326</v>
      </c>
      <c r="C919" s="1818" t="s">
        <v>7352</v>
      </c>
      <c r="D919" s="3463" t="str">
        <f>VLOOKUP(B919,List_Yield!$G$4:$J$14,4,FALSE)</f>
        <v>Asia (Indian Subcontinent)</v>
      </c>
      <c r="E919" s="3463" t="str">
        <f t="shared" si="28"/>
        <v>Asia (Indian Subcontinent)Nutmeg, mace and cardamoms</v>
      </c>
      <c r="F919" s="2994">
        <v>9.8599999999999993E-2</v>
      </c>
      <c r="G919" s="2994">
        <v>0.1055</v>
      </c>
      <c r="H919" s="2994">
        <v>0.1048</v>
      </c>
      <c r="I919" s="2994">
        <v>0.1087</v>
      </c>
      <c r="J919" s="2994">
        <v>0.10639999999999999</v>
      </c>
      <c r="K919" s="2994">
        <v>8.43E-2</v>
      </c>
      <c r="L919" s="2994">
        <v>7.51E-2</v>
      </c>
      <c r="M919" s="2994">
        <v>7.3499999999999996E-2</v>
      </c>
      <c r="N919" s="2994">
        <v>7.5499999999999998E-2</v>
      </c>
      <c r="O919" s="2994">
        <v>7.46E-2</v>
      </c>
      <c r="P919" s="2994">
        <v>8.2000000000000003E-2</v>
      </c>
      <c r="Q919" s="2994">
        <v>7.3700000000000002E-2</v>
      </c>
      <c r="R919" s="2994">
        <v>7.9200000000000007E-2</v>
      </c>
      <c r="S919" s="2994">
        <v>8.3900000000000002E-2</v>
      </c>
      <c r="T919" s="2994">
        <v>8.7999999999999995E-2</v>
      </c>
      <c r="U919" s="2994">
        <v>7.8700000000000006E-2</v>
      </c>
      <c r="V919" s="2994">
        <v>8.09E-2</v>
      </c>
      <c r="W919" s="2994">
        <v>9.9900000000000003E-2</v>
      </c>
      <c r="X919" s="2994">
        <v>9.5699999999999993E-2</v>
      </c>
      <c r="Y919" s="2994">
        <v>0.1027</v>
      </c>
      <c r="Z919" s="2994">
        <v>0.12659999999999999</v>
      </c>
      <c r="AA919" s="2994">
        <v>0.1137</v>
      </c>
      <c r="AB919" s="2994">
        <v>0.1123</v>
      </c>
      <c r="AC919" s="2994">
        <v>0.114</v>
      </c>
      <c r="AD919" s="2994">
        <v>0.1138</v>
      </c>
      <c r="AE919" s="2994">
        <v>0.11609999999999999</v>
      </c>
      <c r="AF919" s="2994">
        <v>0.1153</v>
      </c>
      <c r="AG919" s="2994">
        <v>0.11269999999999999</v>
      </c>
      <c r="AH919" s="2994">
        <v>0.12609999999999999</v>
      </c>
      <c r="AI919" s="2994">
        <v>0.1244</v>
      </c>
      <c r="AJ919" s="2994">
        <v>0.13200000000000001</v>
      </c>
      <c r="AK919" s="2994">
        <v>0.1585</v>
      </c>
      <c r="AL919" s="2994">
        <v>0.16619999999999999</v>
      </c>
      <c r="AM919" s="2994">
        <v>0.16700000000000001</v>
      </c>
      <c r="AN919" s="2994">
        <v>0.17369999999999999</v>
      </c>
      <c r="AO919" s="2994">
        <v>0.1817</v>
      </c>
      <c r="AP919" s="2994">
        <v>0.182</v>
      </c>
      <c r="AQ919" s="2994">
        <v>0.1714</v>
      </c>
      <c r="AR919" s="2994">
        <v>0.1827</v>
      </c>
      <c r="AS919" s="2994">
        <v>0.20219999999999999</v>
      </c>
      <c r="AT919" s="2994">
        <v>0.2213</v>
      </c>
      <c r="AU919" s="2994">
        <v>0.2306</v>
      </c>
      <c r="AV919" s="2994">
        <v>0.2286</v>
      </c>
      <c r="AW919" s="2994">
        <v>0.2301</v>
      </c>
      <c r="AX919" s="2994">
        <v>0.24060000000000001</v>
      </c>
      <c r="AY919" s="2994">
        <v>0.22789999999999999</v>
      </c>
      <c r="AZ919" s="2994">
        <v>0.23319999999999999</v>
      </c>
      <c r="BA919" s="2994">
        <v>0.2266</v>
      </c>
      <c r="BB919" s="2994">
        <v>0.23039999999999999</v>
      </c>
      <c r="BC919" s="2994">
        <v>0.22239999999999999</v>
      </c>
      <c r="BD919" s="3471">
        <v>0.21529999999999999</v>
      </c>
      <c r="BE919" s="3471">
        <v>0.22220000000000001</v>
      </c>
      <c r="BF919" s="3471">
        <v>0</v>
      </c>
    </row>
    <row r="920" spans="1:58">
      <c r="A920" s="1817" t="str">
        <f t="shared" si="29"/>
        <v>Southern AsiaNuts, nes</v>
      </c>
      <c r="B920" s="1818" t="s">
        <v>1326</v>
      </c>
      <c r="C920" s="1818" t="s">
        <v>7353</v>
      </c>
      <c r="D920" s="3463" t="str">
        <f>VLOOKUP(B920,List_Yield!$G$4:$J$14,4,FALSE)</f>
        <v>Asia (Indian Subcontinent)</v>
      </c>
      <c r="E920" s="3463" t="str">
        <f t="shared" si="28"/>
        <v>Asia (Indian Subcontinent)Nuts, nes</v>
      </c>
      <c r="F920" s="2994">
        <v>1.4266000000000001</v>
      </c>
      <c r="G920" s="2994">
        <v>1.6115999999999999</v>
      </c>
      <c r="H920" s="2994">
        <v>1.4048</v>
      </c>
      <c r="I920" s="2994">
        <v>1.4339999999999999</v>
      </c>
      <c r="J920" s="2994">
        <v>1.4574</v>
      </c>
      <c r="K920" s="2994">
        <v>1.4137</v>
      </c>
      <c r="L920" s="2994">
        <v>1.3083</v>
      </c>
      <c r="M920" s="2994">
        <v>1.4113</v>
      </c>
      <c r="N920" s="2994">
        <v>1.3673</v>
      </c>
      <c r="O920" s="2994">
        <v>1.3387</v>
      </c>
      <c r="P920" s="2994">
        <v>1.4001999999999999</v>
      </c>
      <c r="Q920" s="2994">
        <v>1.5438000000000001</v>
      </c>
      <c r="R920" s="2994">
        <v>1.4037999999999999</v>
      </c>
      <c r="S920" s="2994">
        <v>1.4413</v>
      </c>
      <c r="T920" s="2994">
        <v>1.3257000000000001</v>
      </c>
      <c r="U920" s="2994">
        <v>1.5818000000000001</v>
      </c>
      <c r="V920" s="2994">
        <v>1.5659000000000001</v>
      </c>
      <c r="W920" s="2994">
        <v>1.6165</v>
      </c>
      <c r="X920" s="2994">
        <v>1.6055999999999999</v>
      </c>
      <c r="Y920" s="2994">
        <v>1.6017999999999999</v>
      </c>
      <c r="Z920" s="2994">
        <v>1.5558000000000001</v>
      </c>
      <c r="AA920" s="2994">
        <v>1.6386000000000001</v>
      </c>
      <c r="AB920" s="2994">
        <v>1.7073</v>
      </c>
      <c r="AC920" s="2994">
        <v>1.8733</v>
      </c>
      <c r="AD920" s="2994">
        <v>1.8492999999999999</v>
      </c>
      <c r="AE920" s="2994">
        <v>1.9013</v>
      </c>
      <c r="AF920" s="2994">
        <v>1.8798999999999999</v>
      </c>
      <c r="AG920" s="2994">
        <v>1.9368000000000001</v>
      </c>
      <c r="AH920" s="2994">
        <v>1.8653999999999999</v>
      </c>
      <c r="AI920" s="2994">
        <v>1.8794999999999999</v>
      </c>
      <c r="AJ920" s="2994">
        <v>1.8839999999999999</v>
      </c>
      <c r="AK920" s="2994">
        <v>1.7734000000000001</v>
      </c>
      <c r="AL920" s="2994">
        <v>1.8214999999999999</v>
      </c>
      <c r="AM920" s="2994">
        <v>1.7434000000000001</v>
      </c>
      <c r="AN920" s="2994">
        <v>1.8431999999999999</v>
      </c>
      <c r="AO920" s="2994">
        <v>1.9004000000000001</v>
      </c>
      <c r="AP920" s="2994">
        <v>1.8379000000000001</v>
      </c>
      <c r="AQ920" s="2994">
        <v>1.7938000000000001</v>
      </c>
      <c r="AR920" s="2994">
        <v>1.7827999999999999</v>
      </c>
      <c r="AS920" s="2994">
        <v>1.5069999999999999</v>
      </c>
      <c r="AT920" s="2994">
        <v>1.5465</v>
      </c>
      <c r="AU920" s="2994">
        <v>1.4327000000000001</v>
      </c>
      <c r="AV920" s="2994">
        <v>1.3547</v>
      </c>
      <c r="AW920" s="2994">
        <v>1.2384999999999999</v>
      </c>
      <c r="AX920" s="2994">
        <v>1.2407999999999999</v>
      </c>
      <c r="AY920" s="2994">
        <v>1.3124</v>
      </c>
      <c r="AZ920" s="2994">
        <v>1.3804000000000001</v>
      </c>
      <c r="BA920" s="2994">
        <v>1.3960999999999999</v>
      </c>
      <c r="BB920" s="2994">
        <v>1.5513999999999999</v>
      </c>
      <c r="BC920" s="2994">
        <v>1.4596</v>
      </c>
      <c r="BD920" s="3471">
        <v>1.4554</v>
      </c>
      <c r="BE920" s="3471">
        <v>1.4554</v>
      </c>
      <c r="BF920" s="3471">
        <v>0</v>
      </c>
    </row>
    <row r="921" spans="1:58">
      <c r="A921" s="1817" t="str">
        <f t="shared" si="29"/>
        <v>Southern AsiaOats</v>
      </c>
      <c r="B921" s="1818" t="s">
        <v>1326</v>
      </c>
      <c r="C921" s="1818" t="s">
        <v>1323</v>
      </c>
      <c r="D921" s="3463" t="str">
        <f>VLOOKUP(B921,List_Yield!$G$4:$J$14,4,FALSE)</f>
        <v>Asia (Indian Subcontinent)</v>
      </c>
      <c r="E921" s="3463" t="str">
        <f t="shared" si="28"/>
        <v>Asia (Indian Subcontinent)Oats</v>
      </c>
      <c r="F921" s="2994">
        <v>0</v>
      </c>
      <c r="G921" s="2994">
        <v>0</v>
      </c>
      <c r="H921" s="2994">
        <v>0</v>
      </c>
      <c r="I921" s="2994">
        <v>0</v>
      </c>
      <c r="J921" s="2994">
        <v>0</v>
      </c>
      <c r="K921" s="2994">
        <v>0</v>
      </c>
      <c r="L921" s="2994">
        <v>0</v>
      </c>
      <c r="M921" s="2994">
        <v>0</v>
      </c>
      <c r="N921" s="2994">
        <v>0</v>
      </c>
      <c r="O921" s="2994">
        <v>0</v>
      </c>
      <c r="P921" s="2994">
        <v>0</v>
      </c>
      <c r="Q921" s="2994">
        <v>0</v>
      </c>
      <c r="R921" s="2994">
        <v>0</v>
      </c>
      <c r="S921" s="2994">
        <v>0</v>
      </c>
      <c r="T921" s="2994">
        <v>0</v>
      </c>
      <c r="U921" s="2994">
        <v>0</v>
      </c>
      <c r="V921" s="2994">
        <v>0</v>
      </c>
      <c r="W921" s="2994">
        <v>0</v>
      </c>
      <c r="X921" s="2994">
        <v>0</v>
      </c>
      <c r="Y921" s="2994">
        <v>0</v>
      </c>
      <c r="Z921" s="2994">
        <v>0</v>
      </c>
      <c r="AA921" s="2994">
        <v>0</v>
      </c>
      <c r="AB921" s="2994">
        <v>0</v>
      </c>
      <c r="AC921" s="2994">
        <v>0</v>
      </c>
      <c r="AD921" s="2994">
        <v>0</v>
      </c>
      <c r="AE921" s="2994">
        <v>0</v>
      </c>
      <c r="AF921" s="2994">
        <v>0</v>
      </c>
      <c r="AG921" s="2994">
        <v>0</v>
      </c>
      <c r="AH921" s="2994">
        <v>0</v>
      </c>
      <c r="AI921" s="2994">
        <v>0</v>
      </c>
      <c r="AJ921" s="2994">
        <v>0</v>
      </c>
      <c r="AK921" s="2994">
        <v>0</v>
      </c>
      <c r="AL921" s="2994">
        <v>0</v>
      </c>
      <c r="AM921" s="2994">
        <v>0</v>
      </c>
      <c r="AN921" s="2994">
        <v>0</v>
      </c>
      <c r="AO921" s="2994">
        <v>0</v>
      </c>
      <c r="AP921" s="2994">
        <v>0</v>
      </c>
      <c r="AQ921" s="2994">
        <v>0</v>
      </c>
      <c r="AR921" s="2994">
        <v>0</v>
      </c>
      <c r="AS921" s="2994">
        <v>0</v>
      </c>
      <c r="AT921" s="2994">
        <v>0</v>
      </c>
      <c r="AU921" s="2994">
        <v>0</v>
      </c>
      <c r="AV921" s="2994">
        <v>0</v>
      </c>
      <c r="AW921" s="2994">
        <v>0</v>
      </c>
      <c r="AX921" s="2994">
        <v>0</v>
      </c>
      <c r="AY921" s="2994">
        <v>0</v>
      </c>
      <c r="AZ921" s="2994">
        <v>0</v>
      </c>
      <c r="BA921" s="2994">
        <v>0</v>
      </c>
      <c r="BB921" s="2994">
        <v>0</v>
      </c>
      <c r="BC921" s="2994">
        <v>0</v>
      </c>
      <c r="BD921" s="3471">
        <v>0</v>
      </c>
      <c r="BE921" s="3471">
        <v>0</v>
      </c>
      <c r="BF921" s="3471">
        <v>0</v>
      </c>
    </row>
    <row r="922" spans="1:58">
      <c r="A922" s="1817" t="str">
        <f t="shared" si="29"/>
        <v>Southern AsiaOil, palm fruit</v>
      </c>
      <c r="B922" s="1818" t="s">
        <v>1326</v>
      </c>
      <c r="C922" s="1818" t="s">
        <v>7354</v>
      </c>
      <c r="D922" s="3463" t="str">
        <f>VLOOKUP(B922,List_Yield!$G$4:$J$14,4,FALSE)</f>
        <v>Asia (Indian Subcontinent)</v>
      </c>
      <c r="E922" s="3463" t="str">
        <f t="shared" si="28"/>
        <v>Asia (Indian Subcontinent)Oil, palm fruit</v>
      </c>
      <c r="F922" s="2994">
        <v>0</v>
      </c>
      <c r="G922" s="2994">
        <v>0</v>
      </c>
      <c r="H922" s="2994">
        <v>0</v>
      </c>
      <c r="I922" s="2994">
        <v>0</v>
      </c>
      <c r="J922" s="2994">
        <v>0</v>
      </c>
      <c r="K922" s="2994">
        <v>0</v>
      </c>
      <c r="L922" s="2994">
        <v>0</v>
      </c>
      <c r="M922" s="2994">
        <v>0</v>
      </c>
      <c r="N922" s="2994">
        <v>0</v>
      </c>
      <c r="O922" s="2994">
        <v>0</v>
      </c>
      <c r="P922" s="2994">
        <v>0</v>
      </c>
      <c r="Q922" s="2994">
        <v>0</v>
      </c>
      <c r="R922" s="2994">
        <v>0</v>
      </c>
      <c r="S922" s="2994">
        <v>0</v>
      </c>
      <c r="T922" s="2994">
        <v>0</v>
      </c>
      <c r="U922" s="2994">
        <v>0</v>
      </c>
      <c r="V922" s="2994">
        <v>0</v>
      </c>
      <c r="W922" s="2994">
        <v>0</v>
      </c>
      <c r="X922" s="2994">
        <v>0</v>
      </c>
      <c r="Y922" s="2994">
        <v>0</v>
      </c>
      <c r="Z922" s="2994">
        <v>0</v>
      </c>
      <c r="AA922" s="2994">
        <v>0</v>
      </c>
      <c r="AB922" s="2994">
        <v>0</v>
      </c>
      <c r="AC922" s="2994">
        <v>0</v>
      </c>
      <c r="AD922" s="2994">
        <v>0</v>
      </c>
      <c r="AE922" s="2994">
        <v>0</v>
      </c>
      <c r="AF922" s="2994">
        <v>0</v>
      </c>
      <c r="AG922" s="2994">
        <v>0</v>
      </c>
      <c r="AH922" s="2994">
        <v>0</v>
      </c>
      <c r="AI922" s="2994">
        <v>0</v>
      </c>
      <c r="AJ922" s="2994">
        <v>0</v>
      </c>
      <c r="AK922" s="2994">
        <v>0</v>
      </c>
      <c r="AL922" s="2994">
        <v>0</v>
      </c>
      <c r="AM922" s="2994">
        <v>0</v>
      </c>
      <c r="AN922" s="2994">
        <v>0</v>
      </c>
      <c r="AO922" s="2994">
        <v>0</v>
      </c>
      <c r="AP922" s="2994">
        <v>0</v>
      </c>
      <c r="AQ922" s="2994">
        <v>0</v>
      </c>
      <c r="AR922" s="2994">
        <v>0</v>
      </c>
      <c r="AS922" s="2994">
        <v>0</v>
      </c>
      <c r="AT922" s="2994">
        <v>0</v>
      </c>
      <c r="AU922" s="2994">
        <v>0</v>
      </c>
      <c r="AV922" s="2994">
        <v>0</v>
      </c>
      <c r="AW922" s="2994">
        <v>0</v>
      </c>
      <c r="AX922" s="2994">
        <v>0</v>
      </c>
      <c r="AY922" s="2994">
        <v>0</v>
      </c>
      <c r="AZ922" s="2994">
        <v>0</v>
      </c>
      <c r="BA922" s="2994">
        <v>0</v>
      </c>
      <c r="BB922" s="2994">
        <v>0</v>
      </c>
      <c r="BC922" s="2994">
        <v>0</v>
      </c>
      <c r="BD922" s="3471">
        <v>0</v>
      </c>
      <c r="BE922" s="3471">
        <v>0</v>
      </c>
      <c r="BF922" s="3471">
        <v>0</v>
      </c>
    </row>
    <row r="923" spans="1:58">
      <c r="A923" s="1817" t="str">
        <f t="shared" si="29"/>
        <v>Southern AsiaOilseeds nes</v>
      </c>
      <c r="B923" s="1818" t="s">
        <v>1326</v>
      </c>
      <c r="C923" s="1818" t="s">
        <v>7355</v>
      </c>
      <c r="D923" s="3463" t="str">
        <f>VLOOKUP(B923,List_Yield!$G$4:$J$14,4,FALSE)</f>
        <v>Asia (Indian Subcontinent)</v>
      </c>
      <c r="E923" s="3463" t="str">
        <f t="shared" si="28"/>
        <v>Asia (Indian Subcontinent)Oilseeds nes</v>
      </c>
      <c r="F923" s="2994">
        <v>0.27079999999999999</v>
      </c>
      <c r="G923" s="2994">
        <v>0.29020000000000001</v>
      </c>
      <c r="H923" s="2994">
        <v>0.24929999999999999</v>
      </c>
      <c r="I923" s="2994">
        <v>0.28060000000000002</v>
      </c>
      <c r="J923" s="2994">
        <v>0.25950000000000001</v>
      </c>
      <c r="K923" s="2994">
        <v>0.2465</v>
      </c>
      <c r="L923" s="2994">
        <v>0.29980000000000001</v>
      </c>
      <c r="M923" s="2994">
        <v>0.28720000000000001</v>
      </c>
      <c r="N923" s="2994">
        <v>0.28610000000000002</v>
      </c>
      <c r="O923" s="2994">
        <v>0.33550000000000002</v>
      </c>
      <c r="P923" s="2994">
        <v>0.31769999999999998</v>
      </c>
      <c r="Q923" s="2994">
        <v>0.30599999999999999</v>
      </c>
      <c r="R923" s="2994">
        <v>0.35759999999999997</v>
      </c>
      <c r="S923" s="2994">
        <v>0.32669999999999999</v>
      </c>
      <c r="T923" s="2994">
        <v>0.37580000000000002</v>
      </c>
      <c r="U923" s="2994">
        <v>0.34179999999999999</v>
      </c>
      <c r="V923" s="2994">
        <v>0.36070000000000002</v>
      </c>
      <c r="W923" s="2994">
        <v>0.33860000000000001</v>
      </c>
      <c r="X923" s="2994">
        <v>0.26679999999999998</v>
      </c>
      <c r="Y923" s="2994">
        <v>0.31109999999999999</v>
      </c>
      <c r="Z923" s="2994">
        <v>0.32369999999999999</v>
      </c>
      <c r="AA923" s="2994">
        <v>0.29680000000000001</v>
      </c>
      <c r="AB923" s="2994">
        <v>0.34460000000000002</v>
      </c>
      <c r="AC923" s="2994">
        <v>0.29370000000000002</v>
      </c>
      <c r="AD923" s="2994">
        <v>0.38869999999999999</v>
      </c>
      <c r="AE923" s="2994">
        <v>0.317</v>
      </c>
      <c r="AF923" s="2994">
        <v>0.36070000000000002</v>
      </c>
      <c r="AG923" s="2994">
        <v>0.38669999999999999</v>
      </c>
      <c r="AH923" s="2994">
        <v>0.39400000000000002</v>
      </c>
      <c r="AI923" s="2994">
        <v>0.40129999999999999</v>
      </c>
      <c r="AJ923" s="2994">
        <v>0.37819999999999998</v>
      </c>
      <c r="AK923" s="2994">
        <v>0.36680000000000001</v>
      </c>
      <c r="AL923" s="2994">
        <v>0.40410000000000001</v>
      </c>
      <c r="AM923" s="2994">
        <v>0.41360000000000002</v>
      </c>
      <c r="AN923" s="2994">
        <v>0.41160000000000002</v>
      </c>
      <c r="AO923" s="2994">
        <v>0.39710000000000001</v>
      </c>
      <c r="AP923" s="2994">
        <v>0.41839999999999999</v>
      </c>
      <c r="AQ923" s="2994">
        <v>0.41139999999999999</v>
      </c>
      <c r="AR923" s="2994">
        <v>0.47649999999999998</v>
      </c>
      <c r="AS923" s="2994">
        <v>0.59799999999999998</v>
      </c>
      <c r="AT923" s="2994">
        <v>0.78139999999999998</v>
      </c>
      <c r="AU923" s="2994">
        <v>0.87870000000000004</v>
      </c>
      <c r="AV923" s="2994">
        <v>0.88090000000000002</v>
      </c>
      <c r="AW923" s="2994">
        <v>0.9738</v>
      </c>
      <c r="AX923" s="2994">
        <v>1.0037</v>
      </c>
      <c r="AY923" s="2994">
        <v>1.0318000000000001</v>
      </c>
      <c r="AZ923" s="2994">
        <v>1.1852</v>
      </c>
      <c r="BA923" s="2994">
        <v>1.3483000000000001</v>
      </c>
      <c r="BB923" s="2994">
        <v>1.2732000000000001</v>
      </c>
      <c r="BC923" s="2994">
        <v>1.2198</v>
      </c>
      <c r="BD923" s="3471">
        <v>1.4206000000000001</v>
      </c>
      <c r="BE923" s="3471">
        <v>1.4266000000000001</v>
      </c>
      <c r="BF923" s="3471">
        <v>1.3978999999999999</v>
      </c>
    </row>
    <row r="924" spans="1:58">
      <c r="A924" s="1817" t="str">
        <f t="shared" si="29"/>
        <v>Southern AsiaOkra</v>
      </c>
      <c r="B924" s="1818" t="s">
        <v>1326</v>
      </c>
      <c r="C924" s="1818" t="s">
        <v>7356</v>
      </c>
      <c r="D924" s="3463" t="str">
        <f>VLOOKUP(B924,List_Yield!$G$4:$J$14,4,FALSE)</f>
        <v>Asia (Indian Subcontinent)</v>
      </c>
      <c r="E924" s="3463" t="str">
        <f t="shared" si="28"/>
        <v>Asia (Indian Subcontinent)Okra</v>
      </c>
      <c r="F924" s="2994">
        <v>5.1666999999999996</v>
      </c>
      <c r="G924" s="2994">
        <v>5</v>
      </c>
      <c r="H924" s="2994">
        <v>5</v>
      </c>
      <c r="I924" s="2994">
        <v>4.9706000000000001</v>
      </c>
      <c r="J924" s="2994">
        <v>5</v>
      </c>
      <c r="K924" s="2994">
        <v>5.0811000000000002</v>
      </c>
      <c r="L924" s="2994">
        <v>5.1052999999999997</v>
      </c>
      <c r="M924" s="2994">
        <v>5.0505000000000004</v>
      </c>
      <c r="N924" s="2994">
        <v>5</v>
      </c>
      <c r="O924" s="2994">
        <v>5.2751999999999999</v>
      </c>
      <c r="P924" s="2994">
        <v>5.2888999999999999</v>
      </c>
      <c r="Q924" s="2994">
        <v>5.2991000000000001</v>
      </c>
      <c r="R924" s="2994">
        <v>5.4917999999999996</v>
      </c>
      <c r="S924" s="2994">
        <v>5.5</v>
      </c>
      <c r="T924" s="2994">
        <v>5.5</v>
      </c>
      <c r="U924" s="2994">
        <v>5.5849000000000002</v>
      </c>
      <c r="V924" s="2994">
        <v>5.5636000000000001</v>
      </c>
      <c r="W924" s="2994">
        <v>5.5357000000000003</v>
      </c>
      <c r="X924" s="2994">
        <v>5.6033999999999997</v>
      </c>
      <c r="Y924" s="2994">
        <v>5.7858999999999998</v>
      </c>
      <c r="Z924" s="2994">
        <v>5.8314000000000004</v>
      </c>
      <c r="AA924" s="2994">
        <v>5.8384</v>
      </c>
      <c r="AB924" s="2994">
        <v>5.9135</v>
      </c>
      <c r="AC924" s="2994">
        <v>5.9885000000000002</v>
      </c>
      <c r="AD924" s="2994">
        <v>5.9581999999999997</v>
      </c>
      <c r="AE924" s="2994">
        <v>6.0885999999999996</v>
      </c>
      <c r="AF924" s="2994">
        <v>6.1425999999999998</v>
      </c>
      <c r="AG924" s="2994">
        <v>6.24</v>
      </c>
      <c r="AH924" s="2994">
        <v>6.2885999999999997</v>
      </c>
      <c r="AI924" s="2994">
        <v>6.2896999999999998</v>
      </c>
      <c r="AJ924" s="2994">
        <v>6.3421000000000003</v>
      </c>
      <c r="AK924" s="2994">
        <v>6.4499000000000004</v>
      </c>
      <c r="AL924" s="2994">
        <v>6.4504000000000001</v>
      </c>
      <c r="AM924" s="2994">
        <v>10.0319</v>
      </c>
      <c r="AN924" s="2994">
        <v>9.2659000000000002</v>
      </c>
      <c r="AO924" s="2994">
        <v>9.9617000000000004</v>
      </c>
      <c r="AP924" s="2994">
        <v>9.9602000000000004</v>
      </c>
      <c r="AQ924" s="2994">
        <v>9.9857999999999993</v>
      </c>
      <c r="AR924" s="2994">
        <v>10.1914</v>
      </c>
      <c r="AS924" s="2994">
        <v>9.6948000000000008</v>
      </c>
      <c r="AT924" s="2994">
        <v>9.4810999999999996</v>
      </c>
      <c r="AU924" s="2994">
        <v>9.4184999999999999</v>
      </c>
      <c r="AV924" s="2994">
        <v>9.4786999999999999</v>
      </c>
      <c r="AW924" s="2994">
        <v>10.1875</v>
      </c>
      <c r="AX924" s="2994">
        <v>9.7439</v>
      </c>
      <c r="AY924" s="2994">
        <v>10.0501</v>
      </c>
      <c r="AZ924" s="2994">
        <v>10.154999999999999</v>
      </c>
      <c r="BA924" s="2994">
        <v>10.172599999999999</v>
      </c>
      <c r="BB924" s="2994">
        <v>10.385300000000001</v>
      </c>
      <c r="BC924" s="2994">
        <v>10.5341</v>
      </c>
      <c r="BD924" s="3471">
        <v>11.499000000000001</v>
      </c>
      <c r="BE924" s="3471">
        <v>11.8833</v>
      </c>
      <c r="BF924" s="3471">
        <v>0</v>
      </c>
    </row>
    <row r="925" spans="1:58">
      <c r="A925" s="1817" t="str">
        <f t="shared" si="29"/>
        <v>Southern AsiaOlives</v>
      </c>
      <c r="B925" s="1818" t="s">
        <v>1326</v>
      </c>
      <c r="C925" s="1818" t="s">
        <v>1361</v>
      </c>
      <c r="D925" s="3463" t="str">
        <f>VLOOKUP(B925,List_Yield!$G$4:$J$14,4,FALSE)</f>
        <v>Asia (Indian Subcontinent)</v>
      </c>
      <c r="E925" s="3463" t="str">
        <f t="shared" si="28"/>
        <v>Asia (Indian Subcontinent)Olives</v>
      </c>
      <c r="F925" s="2994">
        <v>2.8571</v>
      </c>
      <c r="G925" s="2994">
        <v>2.875</v>
      </c>
      <c r="H925" s="2994">
        <v>2.8571</v>
      </c>
      <c r="I925" s="2994">
        <v>2.875</v>
      </c>
      <c r="J925" s="2994">
        <v>2.8571</v>
      </c>
      <c r="K925" s="2994">
        <v>2.875</v>
      </c>
      <c r="L925" s="2994">
        <v>2.8571</v>
      </c>
      <c r="M925" s="2994">
        <v>2.8929</v>
      </c>
      <c r="N925" s="2994">
        <v>2.3214000000000001</v>
      </c>
      <c r="O925" s="2994">
        <v>2.8929</v>
      </c>
      <c r="P925" s="2994">
        <v>1.5192000000000001</v>
      </c>
      <c r="Q925" s="2994">
        <v>2.625</v>
      </c>
      <c r="R925" s="2994">
        <v>2.5</v>
      </c>
      <c r="S925" s="2994">
        <v>3.0893000000000002</v>
      </c>
      <c r="T925" s="2994">
        <v>2.5</v>
      </c>
      <c r="U925" s="2994">
        <v>1.9140999999999999</v>
      </c>
      <c r="V925" s="2994">
        <v>2.2917000000000001</v>
      </c>
      <c r="W925" s="2994">
        <v>2.0142000000000002</v>
      </c>
      <c r="X925" s="2994">
        <v>1.4905999999999999</v>
      </c>
      <c r="Y925" s="2994">
        <v>2.0308999999999999</v>
      </c>
      <c r="Z925" s="2994">
        <v>2.6316000000000002</v>
      </c>
      <c r="AA925" s="2994">
        <v>2.7671999999999999</v>
      </c>
      <c r="AB925" s="2994">
        <v>1.6868000000000001</v>
      </c>
      <c r="AC925" s="2994">
        <v>1.9121999999999999</v>
      </c>
      <c r="AD925" s="2994">
        <v>1.5629999999999999</v>
      </c>
      <c r="AE925" s="2994">
        <v>2.7170000000000001</v>
      </c>
      <c r="AF925" s="2994">
        <v>1.4363999999999999</v>
      </c>
      <c r="AG925" s="2994">
        <v>2.145</v>
      </c>
      <c r="AH925" s="2994">
        <v>1.7565</v>
      </c>
      <c r="AI925" s="2994">
        <v>2.0649999999999999</v>
      </c>
      <c r="AJ925" s="2994">
        <v>1.8706</v>
      </c>
      <c r="AK925" s="2994">
        <v>2.5022000000000002</v>
      </c>
      <c r="AL925" s="2994">
        <v>1.5712999999999999</v>
      </c>
      <c r="AM925" s="2994">
        <v>3.2677</v>
      </c>
      <c r="AN925" s="2994">
        <v>3.2894000000000001</v>
      </c>
      <c r="AO925" s="2994">
        <v>4.0058999999999996</v>
      </c>
      <c r="AP925" s="2994">
        <v>3.5962000000000001</v>
      </c>
      <c r="AQ925" s="2994">
        <v>3.2214999999999998</v>
      </c>
      <c r="AR925" s="2994">
        <v>2.6023000000000001</v>
      </c>
      <c r="AS925" s="2994">
        <v>3.2317</v>
      </c>
      <c r="AT925" s="2994">
        <v>2.899</v>
      </c>
      <c r="AU925" s="2994">
        <v>2.6642999999999999</v>
      </c>
      <c r="AV925" s="2994">
        <v>1.8615999999999999</v>
      </c>
      <c r="AW925" s="2994">
        <v>1.7060999999999999</v>
      </c>
      <c r="AX925" s="2994">
        <v>2.4813000000000001</v>
      </c>
      <c r="AY925" s="2994">
        <v>1.6828000000000001</v>
      </c>
      <c r="AZ925" s="2994">
        <v>1.7843</v>
      </c>
      <c r="BA925" s="2994">
        <v>1.3793</v>
      </c>
      <c r="BB925" s="2994">
        <v>1.5210999999999999</v>
      </c>
      <c r="BC925" s="2994">
        <v>1.4701</v>
      </c>
      <c r="BD925" s="3471">
        <v>1.7447999999999999</v>
      </c>
      <c r="BE925" s="3471">
        <v>1.4936</v>
      </c>
      <c r="BF925" s="3471">
        <v>1.7603</v>
      </c>
    </row>
    <row r="926" spans="1:58">
      <c r="A926" s="1817" t="str">
        <f t="shared" si="29"/>
        <v>Southern AsiaOnions, dry</v>
      </c>
      <c r="B926" s="1818" t="s">
        <v>1326</v>
      </c>
      <c r="C926" s="1818" t="s">
        <v>1362</v>
      </c>
      <c r="D926" s="3463" t="str">
        <f>VLOOKUP(B926,List_Yield!$G$4:$J$14,4,FALSE)</f>
        <v>Asia (Indian Subcontinent)</v>
      </c>
      <c r="E926" s="3463" t="str">
        <f t="shared" si="28"/>
        <v>Asia (Indian Subcontinent)Onions, dry</v>
      </c>
      <c r="F926" s="2994">
        <v>9.1668000000000003</v>
      </c>
      <c r="G926" s="2994">
        <v>9.4804999999999993</v>
      </c>
      <c r="H926" s="2994">
        <v>9.5695999999999994</v>
      </c>
      <c r="I926" s="2994">
        <v>9.7520000000000007</v>
      </c>
      <c r="J926" s="2994">
        <v>9.4511000000000003</v>
      </c>
      <c r="K926" s="2994">
        <v>9.7231000000000005</v>
      </c>
      <c r="L926" s="2994">
        <v>9.8391000000000002</v>
      </c>
      <c r="M926" s="2994">
        <v>10.194699999999999</v>
      </c>
      <c r="N926" s="2994">
        <v>10.2241</v>
      </c>
      <c r="O926" s="2994">
        <v>10.275</v>
      </c>
      <c r="P926" s="2994">
        <v>10.0467</v>
      </c>
      <c r="Q926" s="2994">
        <v>9.7470999999999997</v>
      </c>
      <c r="R926" s="2994">
        <v>9.9839000000000002</v>
      </c>
      <c r="S926" s="2994">
        <v>9.9212000000000007</v>
      </c>
      <c r="T926" s="2994">
        <v>9.9878</v>
      </c>
      <c r="U926" s="2994">
        <v>10.536</v>
      </c>
      <c r="V926" s="2994">
        <v>10.785399999999999</v>
      </c>
      <c r="W926" s="2994">
        <v>10.1845</v>
      </c>
      <c r="X926" s="2994">
        <v>10.006500000000001</v>
      </c>
      <c r="Y926" s="2994">
        <v>10.100899999999999</v>
      </c>
      <c r="Z926" s="2994">
        <v>10.534000000000001</v>
      </c>
      <c r="AA926" s="2994">
        <v>10.785600000000001</v>
      </c>
      <c r="AB926" s="2994">
        <v>10.3468</v>
      </c>
      <c r="AC926" s="2994">
        <v>11.37</v>
      </c>
      <c r="AD926" s="2994">
        <v>10.494400000000001</v>
      </c>
      <c r="AE926" s="2994">
        <v>10.296200000000001</v>
      </c>
      <c r="AF926" s="2994">
        <v>10.7136</v>
      </c>
      <c r="AG926" s="2994">
        <v>10.964</v>
      </c>
      <c r="AH926" s="2994">
        <v>10.9457</v>
      </c>
      <c r="AI926" s="2994">
        <v>11.5563</v>
      </c>
      <c r="AJ926" s="2994">
        <v>11.973000000000001</v>
      </c>
      <c r="AK926" s="2994">
        <v>11.901999999999999</v>
      </c>
      <c r="AL926" s="2994">
        <v>11.662100000000001</v>
      </c>
      <c r="AM926" s="2994">
        <v>11.858599999999999</v>
      </c>
      <c r="AN926" s="2994">
        <v>11.749499999999999</v>
      </c>
      <c r="AO926" s="2994">
        <v>11.7973</v>
      </c>
      <c r="AP926" s="2994">
        <v>10.8423</v>
      </c>
      <c r="AQ926" s="2994">
        <v>12.2262</v>
      </c>
      <c r="AR926" s="2994">
        <v>11.7182</v>
      </c>
      <c r="AS926" s="2994">
        <v>12.256600000000001</v>
      </c>
      <c r="AT926" s="2994">
        <v>12.207599999999999</v>
      </c>
      <c r="AU926" s="2994">
        <v>11.867800000000001</v>
      </c>
      <c r="AV926" s="2994">
        <v>12.603999999999999</v>
      </c>
      <c r="AW926" s="2994">
        <v>13.465299999999999</v>
      </c>
      <c r="AX926" s="2994">
        <v>13.880599999999999</v>
      </c>
      <c r="AY926" s="2994">
        <v>14.3383</v>
      </c>
      <c r="AZ926" s="2994">
        <v>16.285299999999999</v>
      </c>
      <c r="BA926" s="2994">
        <v>15.7263</v>
      </c>
      <c r="BB926" s="2994">
        <v>15.4634</v>
      </c>
      <c r="BC926" s="2994">
        <v>14.388500000000001</v>
      </c>
      <c r="BD926" s="3471">
        <v>15.8894</v>
      </c>
      <c r="BE926" s="3471">
        <v>16.501899999999999</v>
      </c>
      <c r="BF926" s="3471">
        <v>0</v>
      </c>
    </row>
    <row r="927" spans="1:58">
      <c r="A927" s="1817" t="str">
        <f t="shared" si="29"/>
        <v>Southern AsiaOnions, shallots, green</v>
      </c>
      <c r="B927" s="1818" t="s">
        <v>1326</v>
      </c>
      <c r="C927" s="1818" t="s">
        <v>7357</v>
      </c>
      <c r="D927" s="3463" t="str">
        <f>VLOOKUP(B927,List_Yield!$G$4:$J$14,4,FALSE)</f>
        <v>Asia (Indian Subcontinent)</v>
      </c>
      <c r="E927" s="3463" t="str">
        <f t="shared" si="28"/>
        <v>Asia (Indian Subcontinent)Onions, shallots, green</v>
      </c>
      <c r="F927" s="2994">
        <v>0</v>
      </c>
      <c r="G927" s="2994">
        <v>0</v>
      </c>
      <c r="H927" s="2994">
        <v>0</v>
      </c>
      <c r="I927" s="2994">
        <v>0</v>
      </c>
      <c r="J927" s="2994">
        <v>0</v>
      </c>
      <c r="K927" s="2994">
        <v>0</v>
      </c>
      <c r="L927" s="2994">
        <v>0</v>
      </c>
      <c r="M927" s="2994">
        <v>0</v>
      </c>
      <c r="N927" s="2994">
        <v>0</v>
      </c>
      <c r="O927" s="2994">
        <v>0</v>
      </c>
      <c r="P927" s="2994">
        <v>0</v>
      </c>
      <c r="Q927" s="2994">
        <v>0</v>
      </c>
      <c r="R927" s="2994">
        <v>0</v>
      </c>
      <c r="S927" s="2994">
        <v>0</v>
      </c>
      <c r="T927" s="2994">
        <v>0</v>
      </c>
      <c r="U927" s="2994">
        <v>0</v>
      </c>
      <c r="V927" s="2994">
        <v>0</v>
      </c>
      <c r="W927" s="2994">
        <v>0</v>
      </c>
      <c r="X927" s="2994">
        <v>0</v>
      </c>
      <c r="Y927" s="2994">
        <v>0</v>
      </c>
      <c r="Z927" s="2994">
        <v>0</v>
      </c>
      <c r="AA927" s="2994">
        <v>0</v>
      </c>
      <c r="AB927" s="2994">
        <v>0</v>
      </c>
      <c r="AC927" s="2994">
        <v>0</v>
      </c>
      <c r="AD927" s="2994">
        <v>0</v>
      </c>
      <c r="AE927" s="2994">
        <v>0</v>
      </c>
      <c r="AF927" s="2994">
        <v>0</v>
      </c>
      <c r="AG927" s="2994">
        <v>0</v>
      </c>
      <c r="AH927" s="2994">
        <v>0</v>
      </c>
      <c r="AI927" s="2994">
        <v>0</v>
      </c>
      <c r="AJ927" s="2994">
        <v>0</v>
      </c>
      <c r="AK927" s="2994">
        <v>0</v>
      </c>
      <c r="AL927" s="2994">
        <v>0</v>
      </c>
      <c r="AM927" s="2994">
        <v>0</v>
      </c>
      <c r="AN927" s="2994">
        <v>0</v>
      </c>
      <c r="AO927" s="2994">
        <v>0</v>
      </c>
      <c r="AP927" s="2994">
        <v>0</v>
      </c>
      <c r="AQ927" s="2994">
        <v>0</v>
      </c>
      <c r="AR927" s="2994">
        <v>0</v>
      </c>
      <c r="AS927" s="2994">
        <v>0</v>
      </c>
      <c r="AT927" s="2994">
        <v>0</v>
      </c>
      <c r="AU927" s="2994">
        <v>0</v>
      </c>
      <c r="AV927" s="2994">
        <v>0</v>
      </c>
      <c r="AW927" s="2994">
        <v>0</v>
      </c>
      <c r="AX927" s="2994">
        <v>0</v>
      </c>
      <c r="AY927" s="2994">
        <v>0</v>
      </c>
      <c r="AZ927" s="2994">
        <v>0</v>
      </c>
      <c r="BA927" s="2994">
        <v>0</v>
      </c>
      <c r="BB927" s="2994">
        <v>0</v>
      </c>
      <c r="BC927" s="2994">
        <v>0</v>
      </c>
      <c r="BD927" s="3471">
        <v>0</v>
      </c>
      <c r="BE927" s="3471">
        <v>0</v>
      </c>
      <c r="BF927" s="3471">
        <v>0</v>
      </c>
    </row>
    <row r="928" spans="1:58">
      <c r="A928" s="1817" t="str">
        <f t="shared" si="29"/>
        <v>Southern AsiaOranges</v>
      </c>
      <c r="B928" s="1818" t="s">
        <v>1326</v>
      </c>
      <c r="C928" s="1818" t="s">
        <v>1363</v>
      </c>
      <c r="D928" s="3463" t="str">
        <f>VLOOKUP(B928,List_Yield!$G$4:$J$14,4,FALSE)</f>
        <v>Asia (Indian Subcontinent)</v>
      </c>
      <c r="E928" s="3463" t="str">
        <f t="shared" si="28"/>
        <v>Asia (Indian Subcontinent)Oranges</v>
      </c>
      <c r="F928" s="2994">
        <v>3.5762</v>
      </c>
      <c r="G928" s="2994">
        <v>2.6896</v>
      </c>
      <c r="H928" s="2994">
        <v>2.6989000000000001</v>
      </c>
      <c r="I928" s="2994">
        <v>3.0922999999999998</v>
      </c>
      <c r="J928" s="2994">
        <v>3.1989999999999998</v>
      </c>
      <c r="K928" s="2994">
        <v>10.124499999999999</v>
      </c>
      <c r="L928" s="2994">
        <v>10.271100000000001</v>
      </c>
      <c r="M928" s="2994">
        <v>10.210800000000001</v>
      </c>
      <c r="N928" s="2994">
        <v>9.8153000000000006</v>
      </c>
      <c r="O928" s="2994">
        <v>10.101699999999999</v>
      </c>
      <c r="P928" s="2994">
        <v>10.032299999999999</v>
      </c>
      <c r="Q928" s="2994">
        <v>10.2279</v>
      </c>
      <c r="R928" s="2994">
        <v>9.6796000000000006</v>
      </c>
      <c r="S928" s="2994">
        <v>10.103400000000001</v>
      </c>
      <c r="T928" s="2994">
        <v>9.2393999999999998</v>
      </c>
      <c r="U928" s="2994">
        <v>10.0265</v>
      </c>
      <c r="V928" s="2994">
        <v>8.7265999999999995</v>
      </c>
      <c r="W928" s="2994">
        <v>9.4796999999999993</v>
      </c>
      <c r="X928" s="2994">
        <v>9.9521999999999995</v>
      </c>
      <c r="Y928" s="2994">
        <v>10.1778</v>
      </c>
      <c r="Z928" s="2994">
        <v>10.0305</v>
      </c>
      <c r="AA928" s="2994">
        <v>10.291</v>
      </c>
      <c r="AB928" s="2994">
        <v>9.9146000000000001</v>
      </c>
      <c r="AC928" s="2994">
        <v>10.2287</v>
      </c>
      <c r="AD928" s="2994">
        <v>10.7456</v>
      </c>
      <c r="AE928" s="2994">
        <v>11.2323</v>
      </c>
      <c r="AF928" s="2994">
        <v>11.136900000000001</v>
      </c>
      <c r="AG928" s="2994">
        <v>10.8841</v>
      </c>
      <c r="AH928" s="2994">
        <v>12.0168</v>
      </c>
      <c r="AI928" s="2994">
        <v>12.4137</v>
      </c>
      <c r="AJ928" s="2994">
        <v>12.0587</v>
      </c>
      <c r="AK928" s="2994">
        <v>12.616300000000001</v>
      </c>
      <c r="AL928" s="2994">
        <v>12.7729</v>
      </c>
      <c r="AM928" s="2994">
        <v>11.1287</v>
      </c>
      <c r="AN928" s="2994">
        <v>9.8960000000000008</v>
      </c>
      <c r="AO928" s="2994">
        <v>10.874000000000001</v>
      </c>
      <c r="AP928" s="2994">
        <v>11.712999999999999</v>
      </c>
      <c r="AQ928" s="2994">
        <v>10.714499999999999</v>
      </c>
      <c r="AR928" s="2994">
        <v>11.562799999999999</v>
      </c>
      <c r="AS928" s="2994">
        <v>10.850899999999999</v>
      </c>
      <c r="AT928" s="2994">
        <v>11.229100000000001</v>
      </c>
      <c r="AU928" s="2994">
        <v>10.2493</v>
      </c>
      <c r="AV928" s="2994">
        <v>9.2662999999999993</v>
      </c>
      <c r="AW928" s="2994">
        <v>10.262499999999999</v>
      </c>
      <c r="AX928" s="2994">
        <v>10.886900000000001</v>
      </c>
      <c r="AY928" s="2994">
        <v>10.2818</v>
      </c>
      <c r="AZ928" s="2994">
        <v>10.1806</v>
      </c>
      <c r="BA928" s="2994">
        <v>11.1083</v>
      </c>
      <c r="BB928" s="2994">
        <v>10.4655</v>
      </c>
      <c r="BC928" s="2994">
        <v>10.043100000000001</v>
      </c>
      <c r="BD928" s="3471">
        <v>10.7286</v>
      </c>
      <c r="BE928" s="3471">
        <v>10.6325</v>
      </c>
      <c r="BF928" s="3471">
        <v>0</v>
      </c>
    </row>
    <row r="929" spans="1:58">
      <c r="A929" s="1817" t="str">
        <f t="shared" si="29"/>
        <v>Southern AsiaPapayas</v>
      </c>
      <c r="B929" s="1818" t="s">
        <v>1326</v>
      </c>
      <c r="C929" s="1818" t="s">
        <v>7358</v>
      </c>
      <c r="D929" s="3463" t="str">
        <f>VLOOKUP(B929,List_Yield!$G$4:$J$14,4,FALSE)</f>
        <v>Asia (Indian Subcontinent)</v>
      </c>
      <c r="E929" s="3463" t="str">
        <f t="shared" si="28"/>
        <v>Asia (Indian Subcontinent)Papayas</v>
      </c>
      <c r="F929" s="2994">
        <v>31.558399999999999</v>
      </c>
      <c r="G929" s="2994">
        <v>28.181799999999999</v>
      </c>
      <c r="H929" s="2994">
        <v>28.427</v>
      </c>
      <c r="I929" s="2994">
        <v>21.125</v>
      </c>
      <c r="J929" s="2994">
        <v>24.1463</v>
      </c>
      <c r="K929" s="2994">
        <v>21.409300000000002</v>
      </c>
      <c r="L929" s="2994">
        <v>22.7102</v>
      </c>
      <c r="M929" s="2994">
        <v>19.916</v>
      </c>
      <c r="N929" s="2994">
        <v>21.253499999999999</v>
      </c>
      <c r="O929" s="2994">
        <v>17.696200000000001</v>
      </c>
      <c r="P929" s="2994">
        <v>20.072299999999998</v>
      </c>
      <c r="Q929" s="2994">
        <v>16.960799999999999</v>
      </c>
      <c r="R929" s="2994">
        <v>19.353400000000001</v>
      </c>
      <c r="S929" s="2994">
        <v>19.1066</v>
      </c>
      <c r="T929" s="2994">
        <v>18.184699999999999</v>
      </c>
      <c r="U929" s="2994">
        <v>17.105399999999999</v>
      </c>
      <c r="V929" s="2994">
        <v>18.187100000000001</v>
      </c>
      <c r="W929" s="2994">
        <v>15.142899999999999</v>
      </c>
      <c r="X929" s="2994">
        <v>15.428000000000001</v>
      </c>
      <c r="Y929" s="2994">
        <v>14.996600000000001</v>
      </c>
      <c r="Z929" s="2994">
        <v>9.0627999999999993</v>
      </c>
      <c r="AA929" s="2994">
        <v>12.5816</v>
      </c>
      <c r="AB929" s="2994">
        <v>11.572800000000001</v>
      </c>
      <c r="AC929" s="2994">
        <v>7.9466999999999999</v>
      </c>
      <c r="AD929" s="2994">
        <v>7.7942999999999998</v>
      </c>
      <c r="AE929" s="2994">
        <v>8.4176000000000002</v>
      </c>
      <c r="AF929" s="2994">
        <v>8.3397000000000006</v>
      </c>
      <c r="AG929" s="2994">
        <v>10.730600000000001</v>
      </c>
      <c r="AH929" s="2994">
        <v>9.6771999999999991</v>
      </c>
      <c r="AI929" s="2994">
        <v>11.951499999999999</v>
      </c>
      <c r="AJ929" s="2994">
        <v>16.775300000000001</v>
      </c>
      <c r="AK929" s="2994">
        <v>15.9764</v>
      </c>
      <c r="AL929" s="2994">
        <v>21.1083</v>
      </c>
      <c r="AM929" s="2994">
        <v>21.134799999999998</v>
      </c>
      <c r="AN929" s="2994">
        <v>20.446400000000001</v>
      </c>
      <c r="AO929" s="2994">
        <v>19.136199999999999</v>
      </c>
      <c r="AP929" s="2994">
        <v>21.758900000000001</v>
      </c>
      <c r="AQ929" s="2994">
        <v>21.666</v>
      </c>
      <c r="AR929" s="2994">
        <v>24.9648</v>
      </c>
      <c r="AS929" s="2994">
        <v>23.3917</v>
      </c>
      <c r="AT929" s="2994">
        <v>31.700199999999999</v>
      </c>
      <c r="AU929" s="2994">
        <v>28.365300000000001</v>
      </c>
      <c r="AV929" s="2994">
        <v>25.772500000000001</v>
      </c>
      <c r="AW929" s="2994">
        <v>30.6279</v>
      </c>
      <c r="AX929" s="2994">
        <v>23.196400000000001</v>
      </c>
      <c r="AY929" s="2994">
        <v>29.0093</v>
      </c>
      <c r="AZ929" s="2994">
        <v>30.428899999999999</v>
      </c>
      <c r="BA929" s="2994">
        <v>30.938300000000002</v>
      </c>
      <c r="BB929" s="2994">
        <v>33.289200000000001</v>
      </c>
      <c r="BC929" s="2994">
        <v>33.435600000000001</v>
      </c>
      <c r="BD929" s="3471">
        <v>32.28</v>
      </c>
      <c r="BE929" s="3471">
        <v>34.575899999999997</v>
      </c>
      <c r="BF929" s="3471">
        <v>0</v>
      </c>
    </row>
    <row r="930" spans="1:58">
      <c r="A930" s="1817" t="str">
        <f t="shared" si="29"/>
        <v>Southern AsiaPeaches and nectarines</v>
      </c>
      <c r="B930" s="1818" t="s">
        <v>1326</v>
      </c>
      <c r="C930" s="1818" t="s">
        <v>1364</v>
      </c>
      <c r="D930" s="3463" t="str">
        <f>VLOOKUP(B930,List_Yield!$G$4:$J$14,4,FALSE)</f>
        <v>Asia (Indian Subcontinent)</v>
      </c>
      <c r="E930" s="3463" t="str">
        <f t="shared" si="28"/>
        <v>Asia (Indian Subcontinent)Peaches and nectarines</v>
      </c>
      <c r="F930" s="2994">
        <v>3.7955000000000001</v>
      </c>
      <c r="G930" s="2994">
        <v>4.5511999999999997</v>
      </c>
      <c r="H930" s="2994">
        <v>4.6898999999999997</v>
      </c>
      <c r="I930" s="2994">
        <v>4.8845000000000001</v>
      </c>
      <c r="J930" s="2994">
        <v>5.2015000000000002</v>
      </c>
      <c r="K930" s="2994">
        <v>4.83</v>
      </c>
      <c r="L930" s="2994">
        <v>4.9645999999999999</v>
      </c>
      <c r="M930" s="2994">
        <v>4.9104000000000001</v>
      </c>
      <c r="N930" s="2994">
        <v>4.9835000000000003</v>
      </c>
      <c r="O930" s="2994">
        <v>5.0598000000000001</v>
      </c>
      <c r="P930" s="2994">
        <v>4.84</v>
      </c>
      <c r="Q930" s="2994">
        <v>5.0065999999999997</v>
      </c>
      <c r="R930" s="2994">
        <v>5.0442999999999998</v>
      </c>
      <c r="S930" s="2994">
        <v>5.2824</v>
      </c>
      <c r="T930" s="2994">
        <v>5.0727000000000002</v>
      </c>
      <c r="U930" s="2994">
        <v>5.3696999999999999</v>
      </c>
      <c r="V930" s="2994">
        <v>5.0705</v>
      </c>
      <c r="W930" s="2994">
        <v>5.0392000000000001</v>
      </c>
      <c r="X930" s="2994">
        <v>5.5316999999999998</v>
      </c>
      <c r="Y930" s="2994">
        <v>5.5308999999999999</v>
      </c>
      <c r="Z930" s="2994">
        <v>5.6829000000000001</v>
      </c>
      <c r="AA930" s="2994">
        <v>5.5685000000000002</v>
      </c>
      <c r="AB930" s="2994">
        <v>5.2521000000000004</v>
      </c>
      <c r="AC930" s="2994">
        <v>5.6284999999999998</v>
      </c>
      <c r="AD930" s="2994">
        <v>5.5674000000000001</v>
      </c>
      <c r="AE930" s="2994">
        <v>5.5014000000000003</v>
      </c>
      <c r="AF930" s="2994">
        <v>7.3606999999999996</v>
      </c>
      <c r="AG930" s="2994">
        <v>5.9189999999999996</v>
      </c>
      <c r="AH930" s="2994">
        <v>5.9381000000000004</v>
      </c>
      <c r="AI930" s="2994">
        <v>5.9987000000000004</v>
      </c>
      <c r="AJ930" s="2994">
        <v>6.5900999999999996</v>
      </c>
      <c r="AK930" s="2994">
        <v>6.8918999999999997</v>
      </c>
      <c r="AL930" s="2994">
        <v>7.5903999999999998</v>
      </c>
      <c r="AM930" s="2994">
        <v>7.2991000000000001</v>
      </c>
      <c r="AN930" s="2994">
        <v>7.8357000000000001</v>
      </c>
      <c r="AO930" s="2994">
        <v>8.5044000000000004</v>
      </c>
      <c r="AP930" s="2994">
        <v>8.3367000000000004</v>
      </c>
      <c r="AQ930" s="2994">
        <v>8.7527000000000008</v>
      </c>
      <c r="AR930" s="2994">
        <v>9.1184999999999992</v>
      </c>
      <c r="AS930" s="2994">
        <v>9.4985999999999997</v>
      </c>
      <c r="AT930" s="2994">
        <v>10.4719</v>
      </c>
      <c r="AU930" s="2994">
        <v>10.4194</v>
      </c>
      <c r="AV930" s="2994">
        <v>9.7026000000000003</v>
      </c>
      <c r="AW930" s="2994">
        <v>9.0632999999999999</v>
      </c>
      <c r="AX930" s="2994">
        <v>9.4803999999999995</v>
      </c>
      <c r="AY930" s="2994">
        <v>8.5039999999999996</v>
      </c>
      <c r="AZ930" s="2994">
        <v>9.2325999999999997</v>
      </c>
      <c r="BA930" s="2994">
        <v>8.8153000000000006</v>
      </c>
      <c r="BB930" s="2994">
        <v>9.5685000000000002</v>
      </c>
      <c r="BC930" s="2994">
        <v>10.570499999999999</v>
      </c>
      <c r="BD930" s="3471">
        <v>10.880699999999999</v>
      </c>
      <c r="BE930" s="3471">
        <v>10.712300000000001</v>
      </c>
      <c r="BF930" s="3471">
        <v>0</v>
      </c>
    </row>
    <row r="931" spans="1:58">
      <c r="A931" s="1817" t="str">
        <f t="shared" si="29"/>
        <v>Southern AsiaPears</v>
      </c>
      <c r="B931" s="1818" t="s">
        <v>1326</v>
      </c>
      <c r="C931" s="1818" t="s">
        <v>7359</v>
      </c>
      <c r="D931" s="3463" t="str">
        <f>VLOOKUP(B931,List_Yield!$G$4:$J$14,4,FALSE)</f>
        <v>Asia (Indian Subcontinent)</v>
      </c>
      <c r="E931" s="3463" t="str">
        <f t="shared" si="28"/>
        <v>Asia (Indian Subcontinent)Pears</v>
      </c>
      <c r="F931" s="2994">
        <v>4.9261999999999997</v>
      </c>
      <c r="G931" s="2994">
        <v>6.5511999999999997</v>
      </c>
      <c r="H931" s="2994">
        <v>6.7388000000000003</v>
      </c>
      <c r="I931" s="2994">
        <v>6.7579000000000002</v>
      </c>
      <c r="J931" s="2994">
        <v>6.9497999999999998</v>
      </c>
      <c r="K931" s="2994">
        <v>5.8034999999999997</v>
      </c>
      <c r="L931" s="2994">
        <v>5.7990000000000004</v>
      </c>
      <c r="M931" s="2994">
        <v>5.4489000000000001</v>
      </c>
      <c r="N931" s="2994">
        <v>5.7683999999999997</v>
      </c>
      <c r="O931" s="2994">
        <v>5.7374999999999998</v>
      </c>
      <c r="P931" s="2994">
        <v>5.4019000000000004</v>
      </c>
      <c r="Q931" s="2994">
        <v>6.6810999999999998</v>
      </c>
      <c r="R931" s="2994">
        <v>6.7763999999999998</v>
      </c>
      <c r="S931" s="2994">
        <v>6.4095000000000004</v>
      </c>
      <c r="T931" s="2994">
        <v>6.3491</v>
      </c>
      <c r="U931" s="2994">
        <v>6.3162000000000003</v>
      </c>
      <c r="V931" s="2994">
        <v>6.1904000000000003</v>
      </c>
      <c r="W931" s="2994">
        <v>6.1344000000000003</v>
      </c>
      <c r="X931" s="2994">
        <v>5.8849999999999998</v>
      </c>
      <c r="Y931" s="2994">
        <v>6.0336999999999996</v>
      </c>
      <c r="Z931" s="2994">
        <v>5.9880000000000004</v>
      </c>
      <c r="AA931" s="2994">
        <v>6.8590999999999998</v>
      </c>
      <c r="AB931" s="2994">
        <v>6.8395000000000001</v>
      </c>
      <c r="AC931" s="2994">
        <v>7.1458000000000004</v>
      </c>
      <c r="AD931" s="2994">
        <v>7.2234999999999996</v>
      </c>
      <c r="AE931" s="2994">
        <v>7.3045</v>
      </c>
      <c r="AF931" s="2994">
        <v>5.6066000000000003</v>
      </c>
      <c r="AG931" s="2994">
        <v>5.9974999999999996</v>
      </c>
      <c r="AH931" s="2994">
        <v>6.7084999999999999</v>
      </c>
      <c r="AI931" s="2994">
        <v>6.9558</v>
      </c>
      <c r="AJ931" s="2994">
        <v>7.9154999999999998</v>
      </c>
      <c r="AK931" s="2994">
        <v>7.9302000000000001</v>
      </c>
      <c r="AL931" s="2994">
        <v>7.8783000000000003</v>
      </c>
      <c r="AM931" s="2994">
        <v>8.2429000000000006</v>
      </c>
      <c r="AN931" s="2994">
        <v>8.2667999999999999</v>
      </c>
      <c r="AO931" s="2994">
        <v>8.7788000000000004</v>
      </c>
      <c r="AP931" s="2994">
        <v>8.8632000000000009</v>
      </c>
      <c r="AQ931" s="2994">
        <v>8.4087999999999994</v>
      </c>
      <c r="AR931" s="2994">
        <v>8.9718999999999998</v>
      </c>
      <c r="AS931" s="2994">
        <v>9.6973000000000003</v>
      </c>
      <c r="AT931" s="2994">
        <v>10.0222</v>
      </c>
      <c r="AU931" s="2994">
        <v>9.6887000000000008</v>
      </c>
      <c r="AV931" s="2994">
        <v>10.071300000000001</v>
      </c>
      <c r="AW931" s="2994">
        <v>8.5228000000000002</v>
      </c>
      <c r="AX931" s="2994">
        <v>8.6494</v>
      </c>
      <c r="AY931" s="2994">
        <v>8.8931000000000004</v>
      </c>
      <c r="AZ931" s="2994">
        <v>8.8916000000000004</v>
      </c>
      <c r="BA931" s="2994">
        <v>9.1255000000000006</v>
      </c>
      <c r="BB931" s="2994">
        <v>9.0173000000000005</v>
      </c>
      <c r="BC931" s="2994">
        <v>9.4437999999999995</v>
      </c>
      <c r="BD931" s="3471">
        <v>8.7472999999999992</v>
      </c>
      <c r="BE931" s="3471">
        <v>9.0980000000000008</v>
      </c>
      <c r="BF931" s="3471">
        <v>0</v>
      </c>
    </row>
    <row r="932" spans="1:58">
      <c r="A932" s="1817" t="str">
        <f t="shared" si="29"/>
        <v>Southern AsiaPeas, dry</v>
      </c>
      <c r="B932" s="1818" t="s">
        <v>1326</v>
      </c>
      <c r="C932" s="1818" t="s">
        <v>1365</v>
      </c>
      <c r="D932" s="3463" t="str">
        <f>VLOOKUP(B932,List_Yield!$G$4:$J$14,4,FALSE)</f>
        <v>Asia (Indian Subcontinent)</v>
      </c>
      <c r="E932" s="3463" t="str">
        <f t="shared" si="28"/>
        <v>Asia (Indian Subcontinent)Peas, dry</v>
      </c>
      <c r="F932" s="2994">
        <v>0.81830000000000003</v>
      </c>
      <c r="G932" s="2994">
        <v>0.81</v>
      </c>
      <c r="H932" s="2994">
        <v>0.73060000000000003</v>
      </c>
      <c r="I932" s="2994">
        <v>0.51080000000000003</v>
      </c>
      <c r="J932" s="2994">
        <v>0.76280000000000003</v>
      </c>
      <c r="K932" s="2994">
        <v>0.67910000000000004</v>
      </c>
      <c r="L932" s="2994">
        <v>0.58050000000000002</v>
      </c>
      <c r="M932" s="2994">
        <v>0.83189999999999997</v>
      </c>
      <c r="N932" s="2994">
        <v>0.83550000000000002</v>
      </c>
      <c r="O932" s="2994">
        <v>0.72130000000000005</v>
      </c>
      <c r="P932" s="2994">
        <v>0.77559999999999996</v>
      </c>
      <c r="Q932" s="2994">
        <v>0.69550000000000001</v>
      </c>
      <c r="R932" s="2994">
        <v>0.55920000000000003</v>
      </c>
      <c r="S932" s="2994">
        <v>0.50180000000000002</v>
      </c>
      <c r="T932" s="2994">
        <v>0.64870000000000005</v>
      </c>
      <c r="U932" s="2994">
        <v>0.70069999999999999</v>
      </c>
      <c r="V932" s="2994">
        <v>0.60289999999999999</v>
      </c>
      <c r="W932" s="2994">
        <v>0.56999999999999995</v>
      </c>
      <c r="X932" s="2994">
        <v>0.55910000000000004</v>
      </c>
      <c r="Y932" s="2994">
        <v>0.49340000000000001</v>
      </c>
      <c r="Z932" s="2994">
        <v>0.62629999999999997</v>
      </c>
      <c r="AA932" s="2994">
        <v>0.62490000000000001</v>
      </c>
      <c r="AB932" s="2994">
        <v>0.67059999999999997</v>
      </c>
      <c r="AC932" s="2994">
        <v>0.72640000000000005</v>
      </c>
      <c r="AD932" s="2994">
        <v>0.67559999999999998</v>
      </c>
      <c r="AE932" s="2994">
        <v>0.76419999999999999</v>
      </c>
      <c r="AF932" s="2994">
        <v>0.73099999999999998</v>
      </c>
      <c r="AG932" s="2994">
        <v>0.77300000000000002</v>
      </c>
      <c r="AH932" s="2994">
        <v>0.81810000000000005</v>
      </c>
      <c r="AI932" s="2994">
        <v>0.80830000000000002</v>
      </c>
      <c r="AJ932" s="2994">
        <v>0.95379999999999998</v>
      </c>
      <c r="AK932" s="2994">
        <v>0.85640000000000005</v>
      </c>
      <c r="AL932" s="2994">
        <v>0.82010000000000005</v>
      </c>
      <c r="AM932" s="2994">
        <v>0.85119999999999996</v>
      </c>
      <c r="AN932" s="2994">
        <v>0.81920000000000004</v>
      </c>
      <c r="AO932" s="2994">
        <v>0.78510000000000002</v>
      </c>
      <c r="AP932" s="2994">
        <v>0.90249999999999997</v>
      </c>
      <c r="AQ932" s="2994">
        <v>0.83299999999999996</v>
      </c>
      <c r="AR932" s="2994">
        <v>0.81489999999999996</v>
      </c>
      <c r="AS932" s="2994">
        <v>0.95779999999999998</v>
      </c>
      <c r="AT932" s="2994">
        <v>0.82269999999999999</v>
      </c>
      <c r="AU932" s="2994">
        <v>0.86309999999999998</v>
      </c>
      <c r="AV932" s="2994">
        <v>0.85309999999999997</v>
      </c>
      <c r="AW932" s="2994">
        <v>0.96650000000000003</v>
      </c>
      <c r="AX932" s="2994">
        <v>0.95089999999999997</v>
      </c>
      <c r="AY932" s="2994">
        <v>0.87919999999999998</v>
      </c>
      <c r="AZ932" s="2994">
        <v>0.98829999999999996</v>
      </c>
      <c r="BA932" s="2994">
        <v>1.0333000000000001</v>
      </c>
      <c r="BB932" s="2994">
        <v>0.88229999999999997</v>
      </c>
      <c r="BC932" s="2994">
        <v>0.86219999999999997</v>
      </c>
      <c r="BD932" s="3471">
        <v>0.80600000000000005</v>
      </c>
      <c r="BE932" s="3471">
        <v>0.83950000000000002</v>
      </c>
      <c r="BF932" s="3471">
        <v>0.81599999999999995</v>
      </c>
    </row>
    <row r="933" spans="1:58">
      <c r="A933" s="1817" t="str">
        <f t="shared" si="29"/>
        <v>Southern AsiaPeas, green</v>
      </c>
      <c r="B933" s="1818" t="s">
        <v>1326</v>
      </c>
      <c r="C933" s="1818" t="s">
        <v>1366</v>
      </c>
      <c r="D933" s="3463" t="str">
        <f>VLOOKUP(B933,List_Yield!$G$4:$J$14,4,FALSE)</f>
        <v>Asia (Indian Subcontinent)</v>
      </c>
      <c r="E933" s="3463" t="str">
        <f t="shared" si="28"/>
        <v>Asia (Indian Subcontinent)Peas, green</v>
      </c>
      <c r="F933" s="2994">
        <v>9.1667000000000005</v>
      </c>
      <c r="G933" s="2994">
        <v>8.8710000000000004</v>
      </c>
      <c r="H933" s="2994">
        <v>8.9062999999999999</v>
      </c>
      <c r="I933" s="2994">
        <v>9.2308000000000003</v>
      </c>
      <c r="J933" s="2994">
        <v>9.3284000000000002</v>
      </c>
      <c r="K933" s="2994">
        <v>9.4928000000000008</v>
      </c>
      <c r="L933" s="2994">
        <v>10</v>
      </c>
      <c r="M933" s="2994">
        <v>10</v>
      </c>
      <c r="N933" s="2994">
        <v>10</v>
      </c>
      <c r="O933" s="2994">
        <v>10.129899999999999</v>
      </c>
      <c r="P933" s="2994">
        <v>10.125</v>
      </c>
      <c r="Q933" s="2994">
        <v>10.1205</v>
      </c>
      <c r="R933" s="2994">
        <v>10.2326</v>
      </c>
      <c r="S933" s="2994">
        <v>10.333299999999999</v>
      </c>
      <c r="T933" s="2994">
        <v>10.3226</v>
      </c>
      <c r="U933" s="2994">
        <v>10.526300000000001</v>
      </c>
      <c r="V933" s="2994">
        <v>10.3093</v>
      </c>
      <c r="W933" s="2994">
        <v>10.5</v>
      </c>
      <c r="X933" s="2994">
        <v>10.4902</v>
      </c>
      <c r="Y933" s="2994">
        <v>10.195</v>
      </c>
      <c r="Z933" s="2994">
        <v>10.575100000000001</v>
      </c>
      <c r="AA933" s="2994">
        <v>10.868600000000001</v>
      </c>
      <c r="AB933" s="2994">
        <v>10.615500000000001</v>
      </c>
      <c r="AC933" s="2994">
        <v>10.454599999999999</v>
      </c>
      <c r="AD933" s="2994">
        <v>11.2186</v>
      </c>
      <c r="AE933" s="2994">
        <v>11.167199999999999</v>
      </c>
      <c r="AF933" s="2994">
        <v>12.201000000000001</v>
      </c>
      <c r="AG933" s="2994">
        <v>12.2212</v>
      </c>
      <c r="AH933" s="2994">
        <v>12.488899999999999</v>
      </c>
      <c r="AI933" s="2994">
        <v>12.7654</v>
      </c>
      <c r="AJ933" s="2994">
        <v>13.9216</v>
      </c>
      <c r="AK933" s="2994">
        <v>14.250299999999999</v>
      </c>
      <c r="AL933" s="2994">
        <v>14.105700000000001</v>
      </c>
      <c r="AM933" s="2994">
        <v>13.0199</v>
      </c>
      <c r="AN933" s="2994">
        <v>11.191800000000001</v>
      </c>
      <c r="AO933" s="2994">
        <v>9.8661999999999992</v>
      </c>
      <c r="AP933" s="2994">
        <v>9.8690999999999995</v>
      </c>
      <c r="AQ933" s="2994">
        <v>8.8811999999999998</v>
      </c>
      <c r="AR933" s="2994">
        <v>9.5355000000000008</v>
      </c>
      <c r="AS933" s="2994">
        <v>9.9093999999999998</v>
      </c>
      <c r="AT933" s="2994">
        <v>9.3237000000000005</v>
      </c>
      <c r="AU933" s="2994">
        <v>6.8150000000000004</v>
      </c>
      <c r="AV933" s="2994">
        <v>6.7721999999999998</v>
      </c>
      <c r="AW933" s="2994">
        <v>6.6779999999999999</v>
      </c>
      <c r="AX933" s="2994">
        <v>7.0551000000000004</v>
      </c>
      <c r="AY933" s="2994">
        <v>7.9302000000000001</v>
      </c>
      <c r="AZ933" s="2994">
        <v>8.0463000000000005</v>
      </c>
      <c r="BA933" s="2994">
        <v>7.9028</v>
      </c>
      <c r="BB933" s="2994">
        <v>8.3204999999999991</v>
      </c>
      <c r="BC933" s="2994">
        <v>8.2384000000000004</v>
      </c>
      <c r="BD933" s="3471">
        <v>9.5151000000000003</v>
      </c>
      <c r="BE933" s="3471">
        <v>9.4712999999999994</v>
      </c>
      <c r="BF933" s="3471">
        <v>0</v>
      </c>
    </row>
    <row r="934" spans="1:58">
      <c r="A934" s="1817" t="str">
        <f t="shared" si="29"/>
        <v>Southern AsiaPepper (piper spp.)</v>
      </c>
      <c r="B934" s="1818" t="s">
        <v>1326</v>
      </c>
      <c r="C934" s="1818" t="s">
        <v>7360</v>
      </c>
      <c r="D934" s="3463" t="str">
        <f>VLOOKUP(B934,List_Yield!$G$4:$J$14,4,FALSE)</f>
        <v>Asia (Indian Subcontinent)</v>
      </c>
      <c r="E934" s="3463" t="str">
        <f t="shared" si="28"/>
        <v>Asia (Indian Subcontinent)Pepper (piper spp.)</v>
      </c>
      <c r="F934" s="2994">
        <v>0.28289999999999998</v>
      </c>
      <c r="G934" s="2994">
        <v>0.26700000000000002</v>
      </c>
      <c r="H934" s="2994">
        <v>0.24840000000000001</v>
      </c>
      <c r="I934" s="2994">
        <v>0.24679999999999999</v>
      </c>
      <c r="J934" s="2994">
        <v>0.2407</v>
      </c>
      <c r="K934" s="2994">
        <v>0.2339</v>
      </c>
      <c r="L934" s="2994">
        <v>0.21410000000000001</v>
      </c>
      <c r="M934" s="2994">
        <v>0.22509999999999999</v>
      </c>
      <c r="N934" s="2994">
        <v>0.2248</v>
      </c>
      <c r="O934" s="2994">
        <v>0.23269999999999999</v>
      </c>
      <c r="P934" s="2994">
        <v>0.23330000000000001</v>
      </c>
      <c r="Q934" s="2994">
        <v>0.2319</v>
      </c>
      <c r="R934" s="2994">
        <v>0.24829999999999999</v>
      </c>
      <c r="S934" s="2994">
        <v>0.24379999999999999</v>
      </c>
      <c r="T934" s="2994">
        <v>0.24349999999999999</v>
      </c>
      <c r="U934" s="2994">
        <v>0.28889999999999999</v>
      </c>
      <c r="V934" s="2994">
        <v>0.24529999999999999</v>
      </c>
      <c r="W934" s="2994">
        <v>0.27439999999999998</v>
      </c>
      <c r="X934" s="2994">
        <v>0.26679999999999998</v>
      </c>
      <c r="Y934" s="2994">
        <v>0.28799999999999998</v>
      </c>
      <c r="Z934" s="2994">
        <v>0.28460000000000002</v>
      </c>
      <c r="AA934" s="2994">
        <v>0.28260000000000002</v>
      </c>
      <c r="AB934" s="2994">
        <v>0.26290000000000002</v>
      </c>
      <c r="AC934" s="2994">
        <v>0.23799999999999999</v>
      </c>
      <c r="AD934" s="2994">
        <v>0.19869999999999999</v>
      </c>
      <c r="AE934" s="2994">
        <v>0.2853</v>
      </c>
      <c r="AF934" s="2994">
        <v>0.25519999999999998</v>
      </c>
      <c r="AG934" s="2994">
        <v>0.33169999999999999</v>
      </c>
      <c r="AH934" s="2994">
        <v>0.2979</v>
      </c>
      <c r="AI934" s="2994">
        <v>0.3417</v>
      </c>
      <c r="AJ934" s="2994">
        <v>0.30449999999999999</v>
      </c>
      <c r="AK934" s="2994">
        <v>0.31230000000000002</v>
      </c>
      <c r="AL934" s="2994">
        <v>0.30259999999999998</v>
      </c>
      <c r="AM934" s="2994">
        <v>0.30480000000000002</v>
      </c>
      <c r="AN934" s="2994">
        <v>0.34820000000000001</v>
      </c>
      <c r="AO934" s="2994">
        <v>0.3488</v>
      </c>
      <c r="AP934" s="2994">
        <v>0.35389999999999999</v>
      </c>
      <c r="AQ934" s="2994">
        <v>0.35620000000000002</v>
      </c>
      <c r="AR934" s="2994">
        <v>0.34770000000000001</v>
      </c>
      <c r="AS934" s="2994">
        <v>0.33800000000000002</v>
      </c>
      <c r="AT934" s="2994">
        <v>0.33439999999999998</v>
      </c>
      <c r="AU934" s="2994">
        <v>0.32200000000000001</v>
      </c>
      <c r="AV934" s="2994">
        <v>0.3327</v>
      </c>
      <c r="AW934" s="2994">
        <v>0.34660000000000002</v>
      </c>
      <c r="AX934" s="2994">
        <v>0.35189999999999999</v>
      </c>
      <c r="AY934" s="2994">
        <v>0.3836</v>
      </c>
      <c r="AZ934" s="2994">
        <v>0.31969999999999998</v>
      </c>
      <c r="BA934" s="2994">
        <v>0.30199999999999999</v>
      </c>
      <c r="BB934" s="2994">
        <v>0.26450000000000001</v>
      </c>
      <c r="BC934" s="2994">
        <v>0.33279999999999998</v>
      </c>
      <c r="BD934" s="3471">
        <v>0.3528</v>
      </c>
      <c r="BE934" s="3471">
        <v>0.3533</v>
      </c>
      <c r="BF934" s="3471">
        <v>0</v>
      </c>
    </row>
    <row r="935" spans="1:58">
      <c r="A935" s="1817" t="str">
        <f t="shared" si="29"/>
        <v>Southern AsiaPeppermint</v>
      </c>
      <c r="B935" s="1818" t="s">
        <v>1326</v>
      </c>
      <c r="C935" s="1818" t="s">
        <v>7361</v>
      </c>
      <c r="D935" s="3463" t="str">
        <f>VLOOKUP(B935,List_Yield!$G$4:$J$14,4,FALSE)</f>
        <v>Asia (Indian Subcontinent)</v>
      </c>
      <c r="E935" s="3463" t="str">
        <f t="shared" si="28"/>
        <v>Asia (Indian Subcontinent)Peppermint</v>
      </c>
      <c r="F935" s="2994">
        <v>0</v>
      </c>
      <c r="G935" s="2994">
        <v>0</v>
      </c>
      <c r="H935" s="2994">
        <v>0</v>
      </c>
      <c r="I935" s="2994">
        <v>0</v>
      </c>
      <c r="J935" s="2994">
        <v>0</v>
      </c>
      <c r="K935" s="2994">
        <v>0</v>
      </c>
      <c r="L935" s="2994">
        <v>0</v>
      </c>
      <c r="M935" s="2994">
        <v>0</v>
      </c>
      <c r="N935" s="2994">
        <v>0</v>
      </c>
      <c r="O935" s="2994">
        <v>0</v>
      </c>
      <c r="P935" s="2994">
        <v>0</v>
      </c>
      <c r="Q935" s="2994">
        <v>0</v>
      </c>
      <c r="R935" s="2994">
        <v>0</v>
      </c>
      <c r="S935" s="2994">
        <v>0</v>
      </c>
      <c r="T935" s="2994">
        <v>0</v>
      </c>
      <c r="U935" s="2994">
        <v>0</v>
      </c>
      <c r="V935" s="2994">
        <v>0</v>
      </c>
      <c r="W935" s="2994">
        <v>0</v>
      </c>
      <c r="X935" s="2994">
        <v>0</v>
      </c>
      <c r="Y935" s="2994">
        <v>0</v>
      </c>
      <c r="Z935" s="2994">
        <v>0</v>
      </c>
      <c r="AA935" s="2994">
        <v>0</v>
      </c>
      <c r="AB935" s="2994">
        <v>0</v>
      </c>
      <c r="AC935" s="2994">
        <v>0</v>
      </c>
      <c r="AD935" s="2994">
        <v>0</v>
      </c>
      <c r="AE935" s="2994">
        <v>0</v>
      </c>
      <c r="AF935" s="2994">
        <v>0</v>
      </c>
      <c r="AG935" s="2994">
        <v>0</v>
      </c>
      <c r="AH935" s="2994">
        <v>0</v>
      </c>
      <c r="AI935" s="2994">
        <v>0</v>
      </c>
      <c r="AJ935" s="2994">
        <v>0</v>
      </c>
      <c r="AK935" s="2994">
        <v>0</v>
      </c>
      <c r="AL935" s="2994">
        <v>0</v>
      </c>
      <c r="AM935" s="2994">
        <v>0</v>
      </c>
      <c r="AN935" s="2994">
        <v>0</v>
      </c>
      <c r="AO935" s="2994">
        <v>0</v>
      </c>
      <c r="AP935" s="2994">
        <v>0</v>
      </c>
      <c r="AQ935" s="2994">
        <v>0</v>
      </c>
      <c r="AR935" s="2994">
        <v>0</v>
      </c>
      <c r="AS935" s="2994">
        <v>0</v>
      </c>
      <c r="AT935" s="2994">
        <v>0</v>
      </c>
      <c r="AU935" s="2994">
        <v>0</v>
      </c>
      <c r="AV935" s="2994">
        <v>0</v>
      </c>
      <c r="AW935" s="2994">
        <v>0</v>
      </c>
      <c r="AX935" s="2994">
        <v>0</v>
      </c>
      <c r="AY935" s="2994">
        <v>0</v>
      </c>
      <c r="AZ935" s="2994">
        <v>0</v>
      </c>
      <c r="BA935" s="2994">
        <v>0</v>
      </c>
      <c r="BB935" s="2994">
        <v>0</v>
      </c>
      <c r="BC935" s="2994">
        <v>0</v>
      </c>
      <c r="BD935" s="3471">
        <v>0</v>
      </c>
      <c r="BE935" s="3471">
        <v>0</v>
      </c>
      <c r="BF935" s="3471">
        <v>0</v>
      </c>
    </row>
    <row r="936" spans="1:58">
      <c r="A936" s="1817" t="str">
        <f t="shared" si="29"/>
        <v>Southern AsiaPersimmons</v>
      </c>
      <c r="B936" s="1818" t="s">
        <v>1326</v>
      </c>
      <c r="C936" s="1818" t="s">
        <v>7362</v>
      </c>
      <c r="D936" s="3463" t="str">
        <f>VLOOKUP(B936,List_Yield!$G$4:$J$14,4,FALSE)</f>
        <v>Asia (Indian Subcontinent)</v>
      </c>
      <c r="E936" s="3463" t="str">
        <f t="shared" si="28"/>
        <v>Asia (Indian Subcontinent)Persimmons</v>
      </c>
      <c r="F936" s="2994">
        <v>4</v>
      </c>
      <c r="G936" s="2994">
        <v>4</v>
      </c>
      <c r="H936" s="2994">
        <v>4</v>
      </c>
      <c r="I936" s="2994">
        <v>4</v>
      </c>
      <c r="J936" s="2994">
        <v>4</v>
      </c>
      <c r="K936" s="2994">
        <v>4</v>
      </c>
      <c r="L936" s="2994">
        <v>4</v>
      </c>
      <c r="M936" s="2994">
        <v>5</v>
      </c>
      <c r="N936" s="2994">
        <v>5</v>
      </c>
      <c r="O936" s="2994">
        <v>5</v>
      </c>
      <c r="P936" s="2994">
        <v>6</v>
      </c>
      <c r="Q936" s="2994">
        <v>6</v>
      </c>
      <c r="R936" s="2994">
        <v>6</v>
      </c>
      <c r="S936" s="2994">
        <v>6</v>
      </c>
      <c r="T936" s="2994">
        <v>8.5714000000000006</v>
      </c>
      <c r="U936" s="2994">
        <v>8.5714000000000006</v>
      </c>
      <c r="V936" s="2994">
        <v>8.5714000000000006</v>
      </c>
      <c r="W936" s="2994">
        <v>8.5714000000000006</v>
      </c>
      <c r="X936" s="2994">
        <v>9.2857000000000003</v>
      </c>
      <c r="Y936" s="2994">
        <v>9.2857000000000003</v>
      </c>
      <c r="Z936" s="2994">
        <v>9</v>
      </c>
      <c r="AA936" s="2994">
        <v>18</v>
      </c>
      <c r="AB936" s="2994">
        <v>10.7143</v>
      </c>
      <c r="AC936" s="2994">
        <v>7.6923000000000004</v>
      </c>
      <c r="AD936" s="2994">
        <v>5</v>
      </c>
      <c r="AE936" s="2994">
        <v>4.2727000000000004</v>
      </c>
      <c r="AF936" s="2994">
        <v>5</v>
      </c>
      <c r="AG936" s="2994">
        <v>5</v>
      </c>
      <c r="AH936" s="2994">
        <v>10</v>
      </c>
      <c r="AI936" s="2994">
        <v>9.1196999999999999</v>
      </c>
      <c r="AJ936" s="2994">
        <v>7.8026</v>
      </c>
      <c r="AK936" s="2994">
        <v>9.4313000000000002</v>
      </c>
      <c r="AL936" s="2994">
        <v>8.875</v>
      </c>
      <c r="AM936" s="2994">
        <v>9.3216000000000001</v>
      </c>
      <c r="AN936" s="2994">
        <v>9.1931999999999992</v>
      </c>
      <c r="AO936" s="2994">
        <v>9.3161000000000005</v>
      </c>
      <c r="AP936" s="2994">
        <v>9.6728000000000005</v>
      </c>
      <c r="AQ936" s="2994">
        <v>9.1542999999999992</v>
      </c>
      <c r="AR936" s="2994">
        <v>9.9582999999999995</v>
      </c>
      <c r="AS936" s="2994">
        <v>9.9471000000000007</v>
      </c>
      <c r="AT936" s="2994">
        <v>10.185</v>
      </c>
      <c r="AU936" s="2994">
        <v>10.4057</v>
      </c>
      <c r="AV936" s="2994">
        <v>10.7377</v>
      </c>
      <c r="AW936" s="2994">
        <v>10.0299</v>
      </c>
      <c r="AX936" s="2994">
        <v>10.5337</v>
      </c>
      <c r="AY936" s="2994">
        <v>8.7053999999999991</v>
      </c>
      <c r="AZ936" s="2994">
        <v>8.7087000000000003</v>
      </c>
      <c r="BA936" s="2994">
        <v>8.7238000000000007</v>
      </c>
      <c r="BB936" s="2994">
        <v>7.5490000000000004</v>
      </c>
      <c r="BC936" s="2994">
        <v>7.3048999999999999</v>
      </c>
      <c r="BD936" s="3471">
        <v>7.7750000000000004</v>
      </c>
      <c r="BE936" s="3471">
        <v>8.2614000000000001</v>
      </c>
      <c r="BF936" s="3471">
        <v>0</v>
      </c>
    </row>
    <row r="937" spans="1:58">
      <c r="A937" s="1817" t="str">
        <f t="shared" si="29"/>
        <v>Southern AsiaPigeon peas</v>
      </c>
      <c r="B937" s="1818" t="s">
        <v>1326</v>
      </c>
      <c r="C937" s="1818" t="s">
        <v>7363</v>
      </c>
      <c r="D937" s="3463" t="str">
        <f>VLOOKUP(B937,List_Yield!$G$4:$J$14,4,FALSE)</f>
        <v>Asia (Indian Subcontinent)</v>
      </c>
      <c r="E937" s="3463" t="str">
        <f t="shared" si="28"/>
        <v>Asia (Indian Subcontinent)Pigeon peas</v>
      </c>
      <c r="F937" s="2994">
        <v>0.84789999999999999</v>
      </c>
      <c r="G937" s="2994">
        <v>0.55910000000000004</v>
      </c>
      <c r="H937" s="2994">
        <v>0.64500000000000002</v>
      </c>
      <c r="I937" s="2994">
        <v>0.54859999999999998</v>
      </c>
      <c r="J937" s="2994">
        <v>0.73240000000000005</v>
      </c>
      <c r="K937" s="2994">
        <v>0.67759999999999998</v>
      </c>
      <c r="L937" s="2994">
        <v>0.4496</v>
      </c>
      <c r="M937" s="2994">
        <v>0.65329999999999999</v>
      </c>
      <c r="N937" s="2994">
        <v>0.71740000000000004</v>
      </c>
      <c r="O937" s="2994">
        <v>0.69</v>
      </c>
      <c r="P937" s="2994">
        <v>0.70889999999999997</v>
      </c>
      <c r="Q937" s="2994">
        <v>0.71689999999999998</v>
      </c>
      <c r="R937" s="2994">
        <v>0.79400000000000004</v>
      </c>
      <c r="S937" s="2994">
        <v>0.53300000000000003</v>
      </c>
      <c r="T937" s="2994">
        <v>0.72460000000000002</v>
      </c>
      <c r="U937" s="2994">
        <v>0.78510000000000002</v>
      </c>
      <c r="V937" s="2994">
        <v>0.67230000000000001</v>
      </c>
      <c r="W937" s="2994">
        <v>0.73419999999999996</v>
      </c>
      <c r="X937" s="2994">
        <v>0.71579999999999999</v>
      </c>
      <c r="Y937" s="2994">
        <v>0.64349999999999996</v>
      </c>
      <c r="Z937" s="2994">
        <v>0.6885</v>
      </c>
      <c r="AA937" s="2994">
        <v>0.74360000000000004</v>
      </c>
      <c r="AB937" s="2994">
        <v>0.67949999999999999</v>
      </c>
      <c r="AC937" s="2994">
        <v>0.79930000000000001</v>
      </c>
      <c r="AD937" s="2994">
        <v>0.81889999999999996</v>
      </c>
      <c r="AE937" s="2994">
        <v>0.76649999999999996</v>
      </c>
      <c r="AF937" s="2994">
        <v>0.72189999999999999</v>
      </c>
      <c r="AG937" s="2994">
        <v>0.68369999999999997</v>
      </c>
      <c r="AH937" s="2994">
        <v>0.7782</v>
      </c>
      <c r="AI937" s="2994">
        <v>0.76239999999999997</v>
      </c>
      <c r="AJ937" s="2994">
        <v>0.6724</v>
      </c>
      <c r="AK937" s="2994">
        <v>0.58819999999999995</v>
      </c>
      <c r="AL937" s="2994">
        <v>0.65200000000000002</v>
      </c>
      <c r="AM937" s="2994">
        <v>0.76149999999999995</v>
      </c>
      <c r="AN937" s="2994">
        <v>0.64739999999999998</v>
      </c>
      <c r="AO937" s="2994">
        <v>0.67020000000000002</v>
      </c>
      <c r="AP937" s="2994">
        <v>0.75560000000000005</v>
      </c>
      <c r="AQ937" s="2994">
        <v>0.55189999999999995</v>
      </c>
      <c r="AR937" s="2994">
        <v>0.78720000000000001</v>
      </c>
      <c r="AS937" s="2994">
        <v>0.78710000000000002</v>
      </c>
      <c r="AT937" s="2994">
        <v>0.62</v>
      </c>
      <c r="AU937" s="2994">
        <v>0.68059999999999998</v>
      </c>
      <c r="AV937" s="2994">
        <v>0.65249999999999997</v>
      </c>
      <c r="AW937" s="2994">
        <v>0.66859999999999997</v>
      </c>
      <c r="AX937" s="2994">
        <v>0.66830000000000001</v>
      </c>
      <c r="AY937" s="2994">
        <v>0.76549999999999996</v>
      </c>
      <c r="AZ937" s="2994">
        <v>0.65139999999999998</v>
      </c>
      <c r="BA937" s="2994">
        <v>0.82530000000000003</v>
      </c>
      <c r="BB937" s="2994">
        <v>0.67290000000000005</v>
      </c>
      <c r="BC937" s="2994">
        <v>0.71</v>
      </c>
      <c r="BD937" s="3471">
        <v>0.64770000000000005</v>
      </c>
      <c r="BE937" s="3471">
        <v>0.65659999999999996</v>
      </c>
      <c r="BF937" s="3471">
        <v>0.6512</v>
      </c>
    </row>
    <row r="938" spans="1:58">
      <c r="A938" s="1817" t="str">
        <f t="shared" si="29"/>
        <v>Southern AsiaPineapples</v>
      </c>
      <c r="B938" s="1818" t="s">
        <v>1326</v>
      </c>
      <c r="C938" s="1818" t="s">
        <v>1325</v>
      </c>
      <c r="D938" s="3463" t="str">
        <f>VLOOKUP(B938,List_Yield!$G$4:$J$14,4,FALSE)</f>
        <v>Asia (Indian Subcontinent)</v>
      </c>
      <c r="E938" s="3463" t="str">
        <f t="shared" si="28"/>
        <v>Asia (Indian Subcontinent)Pineapples</v>
      </c>
      <c r="F938" s="2994">
        <v>8.0427</v>
      </c>
      <c r="G938" s="2994">
        <v>8.0219000000000005</v>
      </c>
      <c r="H938" s="2994">
        <v>9.298</v>
      </c>
      <c r="I938" s="2994">
        <v>9.5917999999999992</v>
      </c>
      <c r="J938" s="2994">
        <v>9.7148000000000003</v>
      </c>
      <c r="K938" s="2994">
        <v>10.0054</v>
      </c>
      <c r="L938" s="2994">
        <v>9.9171999999999993</v>
      </c>
      <c r="M938" s="2994">
        <v>9.8367000000000004</v>
      </c>
      <c r="N938" s="2994">
        <v>10.1159</v>
      </c>
      <c r="O938" s="2994">
        <v>10.075799999999999</v>
      </c>
      <c r="P938" s="2994">
        <v>10.428000000000001</v>
      </c>
      <c r="Q938" s="2994">
        <v>10.5716</v>
      </c>
      <c r="R938" s="2994">
        <v>10.6372</v>
      </c>
      <c r="S938" s="2994">
        <v>10.7997</v>
      </c>
      <c r="T938" s="2994">
        <v>10.642099999999999</v>
      </c>
      <c r="U938" s="2994">
        <v>10.9001</v>
      </c>
      <c r="V938" s="2994">
        <v>10.7462</v>
      </c>
      <c r="W938" s="2994">
        <v>11.3734</v>
      </c>
      <c r="X938" s="2994">
        <v>11.7867</v>
      </c>
      <c r="Y938" s="2994">
        <v>11.7567</v>
      </c>
      <c r="Z938" s="2994">
        <v>11.8558</v>
      </c>
      <c r="AA938" s="2994">
        <v>8.2040000000000006</v>
      </c>
      <c r="AB938" s="2994">
        <v>8.6037999999999997</v>
      </c>
      <c r="AC938" s="2994">
        <v>12.9893</v>
      </c>
      <c r="AD938" s="2994">
        <v>12.928100000000001</v>
      </c>
      <c r="AE938" s="2994">
        <v>12.197100000000001</v>
      </c>
      <c r="AF938" s="2994">
        <v>12.069900000000001</v>
      </c>
      <c r="AG938" s="2994">
        <v>14.5238</v>
      </c>
      <c r="AH938" s="2994">
        <v>13.7203</v>
      </c>
      <c r="AI938" s="2994">
        <v>14.940300000000001</v>
      </c>
      <c r="AJ938" s="2994">
        <v>11.746600000000001</v>
      </c>
      <c r="AK938" s="2994">
        <v>14.0419</v>
      </c>
      <c r="AL938" s="2994">
        <v>15.3771</v>
      </c>
      <c r="AM938" s="2994">
        <v>13.773300000000001</v>
      </c>
      <c r="AN938" s="2994">
        <v>13.023400000000001</v>
      </c>
      <c r="AO938" s="2994">
        <v>14.0283</v>
      </c>
      <c r="AP938" s="2994">
        <v>13.979900000000001</v>
      </c>
      <c r="AQ938" s="2994">
        <v>12.828200000000001</v>
      </c>
      <c r="AR938" s="2994">
        <v>12.869899999999999</v>
      </c>
      <c r="AS938" s="2994">
        <v>13.6419</v>
      </c>
      <c r="AT938" s="2994">
        <v>14.3917</v>
      </c>
      <c r="AU938" s="2994">
        <v>13.997199999999999</v>
      </c>
      <c r="AV938" s="2994">
        <v>13.8926</v>
      </c>
      <c r="AW938" s="2994">
        <v>14.618499999999999</v>
      </c>
      <c r="AX938" s="2994">
        <v>14.7515</v>
      </c>
      <c r="AY938" s="2994">
        <v>15.0586</v>
      </c>
      <c r="AZ938" s="2994">
        <v>15.1999</v>
      </c>
      <c r="BA938" s="2994">
        <v>14.935600000000001</v>
      </c>
      <c r="BB938" s="2994">
        <v>15.481299999999999</v>
      </c>
      <c r="BC938" s="2994">
        <v>14.8293</v>
      </c>
      <c r="BD938" s="3471">
        <v>15.274900000000001</v>
      </c>
      <c r="BE938" s="3471">
        <v>15.3178</v>
      </c>
      <c r="BF938" s="3471">
        <v>0</v>
      </c>
    </row>
    <row r="939" spans="1:58">
      <c r="A939" s="1817" t="str">
        <f t="shared" si="29"/>
        <v>Southern AsiaPistachios</v>
      </c>
      <c r="B939" s="1818" t="s">
        <v>1326</v>
      </c>
      <c r="C939" s="1818" t="s">
        <v>7364</v>
      </c>
      <c r="D939" s="3463" t="str">
        <f>VLOOKUP(B939,List_Yield!$G$4:$J$14,4,FALSE)</f>
        <v>Asia (Indian Subcontinent)</v>
      </c>
      <c r="E939" s="3463" t="str">
        <f t="shared" si="28"/>
        <v>Asia (Indian Subcontinent)Pistachios</v>
      </c>
      <c r="F939" s="2994">
        <v>0.4</v>
      </c>
      <c r="G939" s="2994">
        <v>0.4667</v>
      </c>
      <c r="H939" s="2994">
        <v>0.33329999999999999</v>
      </c>
      <c r="I939" s="2994">
        <v>0.5333</v>
      </c>
      <c r="J939" s="2994">
        <v>0.35</v>
      </c>
      <c r="K939" s="2994">
        <v>0.5</v>
      </c>
      <c r="L939" s="2994">
        <v>0.2</v>
      </c>
      <c r="M939" s="2994">
        <v>0.54410000000000003</v>
      </c>
      <c r="N939" s="2994">
        <v>0.51470000000000005</v>
      </c>
      <c r="O939" s="2994">
        <v>0.48</v>
      </c>
      <c r="P939" s="2994">
        <v>0.77439999999999998</v>
      </c>
      <c r="Q939" s="2994">
        <v>0.69620000000000004</v>
      </c>
      <c r="R939" s="2994">
        <v>0.68889999999999996</v>
      </c>
      <c r="S939" s="2994">
        <v>0.91300000000000003</v>
      </c>
      <c r="T939" s="2994">
        <v>0.56520000000000004</v>
      </c>
      <c r="U939" s="2994">
        <v>0.79959999999999998</v>
      </c>
      <c r="V939" s="2994">
        <v>0.57450000000000001</v>
      </c>
      <c r="W939" s="2994">
        <v>0.82069999999999999</v>
      </c>
      <c r="X939" s="2994">
        <v>0.10970000000000001</v>
      </c>
      <c r="Y939" s="2994">
        <v>0.22550000000000001</v>
      </c>
      <c r="Z939" s="2994">
        <v>1.0539000000000001</v>
      </c>
      <c r="AA939" s="2994">
        <v>1.0318000000000001</v>
      </c>
      <c r="AB939" s="2994">
        <v>1.1555</v>
      </c>
      <c r="AC939" s="2994">
        <v>0.92490000000000006</v>
      </c>
      <c r="AD939" s="2994">
        <v>0.96340000000000003</v>
      </c>
      <c r="AE939" s="2994">
        <v>0.89180000000000004</v>
      </c>
      <c r="AF939" s="2994">
        <v>0.98199999999999998</v>
      </c>
      <c r="AG939" s="2994">
        <v>1.0048999999999999</v>
      </c>
      <c r="AH939" s="2994">
        <v>0.98709999999999998</v>
      </c>
      <c r="AI939" s="2994">
        <v>1.0510999999999999</v>
      </c>
      <c r="AJ939" s="2994">
        <v>1.1243000000000001</v>
      </c>
      <c r="AK939" s="2994">
        <v>1.1696</v>
      </c>
      <c r="AL939" s="2994">
        <v>1.1322000000000001</v>
      </c>
      <c r="AM939" s="2994">
        <v>0.94589999999999996</v>
      </c>
      <c r="AN939" s="2994">
        <v>1.0931999999999999</v>
      </c>
      <c r="AO939" s="2994">
        <v>1.1194999999999999</v>
      </c>
      <c r="AP939" s="2994">
        <v>1.2677</v>
      </c>
      <c r="AQ939" s="2994">
        <v>0.51039999999999996</v>
      </c>
      <c r="AR939" s="2994">
        <v>1.1840999999999999</v>
      </c>
      <c r="AS939" s="2994">
        <v>0.41439999999999999</v>
      </c>
      <c r="AT939" s="2994">
        <v>0.88939999999999997</v>
      </c>
      <c r="AU939" s="2994">
        <v>0.84609999999999996</v>
      </c>
      <c r="AV939" s="2994">
        <v>1.0208999999999999</v>
      </c>
      <c r="AW939" s="2994">
        <v>0.43909999999999999</v>
      </c>
      <c r="AX939" s="2994">
        <v>0.52600000000000002</v>
      </c>
      <c r="AY939" s="2994">
        <v>0.56689999999999996</v>
      </c>
      <c r="AZ939" s="2994">
        <v>0.7046</v>
      </c>
      <c r="BA939" s="2994">
        <v>1.7706</v>
      </c>
      <c r="BB939" s="2994">
        <v>1.7726</v>
      </c>
      <c r="BC939" s="2994">
        <v>1.7726999999999999</v>
      </c>
      <c r="BD939" s="3471">
        <v>1.8265</v>
      </c>
      <c r="BE939" s="3471">
        <v>1.8265</v>
      </c>
      <c r="BF939" s="3471">
        <v>0</v>
      </c>
    </row>
    <row r="940" spans="1:58">
      <c r="A940" s="1817" t="str">
        <f t="shared" si="29"/>
        <v>Southern AsiaPlantains</v>
      </c>
      <c r="B940" s="1818" t="s">
        <v>1326</v>
      </c>
      <c r="C940" s="1818" t="s">
        <v>1367</v>
      </c>
      <c r="D940" s="3463" t="str">
        <f>VLOOKUP(B940,List_Yield!$G$4:$J$14,4,FALSE)</f>
        <v>Asia (Indian Subcontinent)</v>
      </c>
      <c r="E940" s="3463" t="str">
        <f t="shared" si="28"/>
        <v>Asia (Indian Subcontinent)Plantains</v>
      </c>
      <c r="F940" s="2994">
        <v>8.4552999999999994</v>
      </c>
      <c r="G940" s="2994">
        <v>8.2071000000000005</v>
      </c>
      <c r="H940" s="2994">
        <v>8.8204999999999991</v>
      </c>
      <c r="I940" s="2994">
        <v>9.0475999999999992</v>
      </c>
      <c r="J940" s="2994">
        <v>9.3332999999999995</v>
      </c>
      <c r="K940" s="2994">
        <v>21.818999999999999</v>
      </c>
      <c r="L940" s="2994">
        <v>23.016200000000001</v>
      </c>
      <c r="M940" s="2994">
        <v>7.7409999999999997</v>
      </c>
      <c r="N940" s="2994">
        <v>8.8729999999999993</v>
      </c>
      <c r="O940" s="2994">
        <v>8.4361999999999995</v>
      </c>
      <c r="P940" s="2994">
        <v>9.1667000000000005</v>
      </c>
      <c r="Q940" s="2994">
        <v>8.3423999999999996</v>
      </c>
      <c r="R940" s="2994">
        <v>18.822800000000001</v>
      </c>
      <c r="S940" s="2994">
        <v>18.606300000000001</v>
      </c>
      <c r="T940" s="2994">
        <v>27.474</v>
      </c>
      <c r="U940" s="2994">
        <v>25.620699999999999</v>
      </c>
      <c r="V940" s="2994">
        <v>27.234400000000001</v>
      </c>
      <c r="W940" s="2994">
        <v>26.408799999999999</v>
      </c>
      <c r="X940" s="2994">
        <v>53.323599999999999</v>
      </c>
      <c r="Y940" s="2994">
        <v>57.897599999999997</v>
      </c>
      <c r="Z940" s="2994">
        <v>40.303800000000003</v>
      </c>
      <c r="AA940" s="2994">
        <v>30.821100000000001</v>
      </c>
      <c r="AB940" s="2994">
        <v>31.880199999999999</v>
      </c>
      <c r="AC940" s="2994">
        <v>22.2698</v>
      </c>
      <c r="AD940" s="2994">
        <v>15.525</v>
      </c>
      <c r="AE940" s="2994">
        <v>15.458399999999999</v>
      </c>
      <c r="AF940" s="2994">
        <v>14.232799999999999</v>
      </c>
      <c r="AG940" s="2994">
        <v>14.180999999999999</v>
      </c>
      <c r="AH940" s="2994">
        <v>15.1271</v>
      </c>
      <c r="AI940" s="2994">
        <v>14.0381</v>
      </c>
      <c r="AJ940" s="2994">
        <v>12.9648</v>
      </c>
      <c r="AK940" s="2994">
        <v>13.196300000000001</v>
      </c>
      <c r="AL940" s="2994">
        <v>13.625</v>
      </c>
      <c r="AM940" s="2994">
        <v>13.6905</v>
      </c>
      <c r="AN940" s="2994">
        <v>13.181800000000001</v>
      </c>
      <c r="AO940" s="2994">
        <v>12.888299999999999</v>
      </c>
      <c r="AP940" s="2994">
        <v>10.8035</v>
      </c>
      <c r="AQ940" s="2994">
        <v>11.960800000000001</v>
      </c>
      <c r="AR940" s="2994">
        <v>11.8269</v>
      </c>
      <c r="AS940" s="2994">
        <v>11.960800000000001</v>
      </c>
      <c r="AT940" s="2994">
        <v>13.4011</v>
      </c>
      <c r="AU940" s="2994">
        <v>11.8</v>
      </c>
      <c r="AV940" s="2994">
        <v>11.879099999999999</v>
      </c>
      <c r="AW940" s="2994">
        <v>10.718500000000001</v>
      </c>
      <c r="AX940" s="2994">
        <v>10.660399999999999</v>
      </c>
      <c r="AY940" s="2994">
        <v>10.324999999999999</v>
      </c>
      <c r="AZ940" s="2994">
        <v>10.4962</v>
      </c>
      <c r="BA940" s="2994">
        <v>11.114100000000001</v>
      </c>
      <c r="BB940" s="2994">
        <v>10.6511</v>
      </c>
      <c r="BC940" s="2994">
        <v>10.929399999999999</v>
      </c>
      <c r="BD940" s="3471">
        <v>11.289199999999999</v>
      </c>
      <c r="BE940" s="3471">
        <v>12.047499999999999</v>
      </c>
      <c r="BF940" s="3471">
        <v>0</v>
      </c>
    </row>
    <row r="941" spans="1:58">
      <c r="A941" s="1817" t="str">
        <f t="shared" si="29"/>
        <v>Southern AsiaPlums and sloes</v>
      </c>
      <c r="B941" s="1818" t="s">
        <v>1326</v>
      </c>
      <c r="C941" s="1818" t="s">
        <v>7365</v>
      </c>
      <c r="D941" s="3463" t="str">
        <f>VLOOKUP(B941,List_Yield!$G$4:$J$14,4,FALSE)</f>
        <v>Asia (Indian Subcontinent)</v>
      </c>
      <c r="E941" s="3463" t="str">
        <f t="shared" si="28"/>
        <v>Asia (Indian Subcontinent)Plums and sloes</v>
      </c>
      <c r="F941" s="2994">
        <v>7.0445000000000002</v>
      </c>
      <c r="G941" s="2994">
        <v>6.9978999999999996</v>
      </c>
      <c r="H941" s="2994">
        <v>7.7586000000000004</v>
      </c>
      <c r="I941" s="2994">
        <v>7.8044000000000002</v>
      </c>
      <c r="J941" s="2994">
        <v>7.6478999999999999</v>
      </c>
      <c r="K941" s="2994">
        <v>6.2328000000000001</v>
      </c>
      <c r="L941" s="2994">
        <v>6.7480000000000002</v>
      </c>
      <c r="M941" s="2994">
        <v>6.1439000000000004</v>
      </c>
      <c r="N941" s="2994">
        <v>6.6806000000000001</v>
      </c>
      <c r="O941" s="2994">
        <v>5.9416000000000002</v>
      </c>
      <c r="P941" s="2994">
        <v>6.0534999999999997</v>
      </c>
      <c r="Q941" s="2994">
        <v>6.3529999999999998</v>
      </c>
      <c r="R941" s="2994">
        <v>6.9507000000000003</v>
      </c>
      <c r="S941" s="2994">
        <v>6.1501999999999999</v>
      </c>
      <c r="T941" s="2994">
        <v>6.2057000000000002</v>
      </c>
      <c r="U941" s="2994">
        <v>6.0449999999999999</v>
      </c>
      <c r="V941" s="2994">
        <v>5.2409999999999997</v>
      </c>
      <c r="W941" s="2994">
        <v>6.0848000000000004</v>
      </c>
      <c r="X941" s="2994">
        <v>5.8470000000000004</v>
      </c>
      <c r="Y941" s="2994">
        <v>5.9935</v>
      </c>
      <c r="Z941" s="2994">
        <v>6.1017999999999999</v>
      </c>
      <c r="AA941" s="2994">
        <v>6.2153</v>
      </c>
      <c r="AB941" s="2994">
        <v>6.4471999999999996</v>
      </c>
      <c r="AC941" s="2994">
        <v>6.3513999999999999</v>
      </c>
      <c r="AD941" s="2994">
        <v>6.4489999999999998</v>
      </c>
      <c r="AE941" s="2994">
        <v>6.6440999999999999</v>
      </c>
      <c r="AF941" s="2994">
        <v>5.72</v>
      </c>
      <c r="AG941" s="2994">
        <v>5.6268000000000002</v>
      </c>
      <c r="AH941" s="2994">
        <v>5.9097</v>
      </c>
      <c r="AI941" s="2994">
        <v>6.7916999999999996</v>
      </c>
      <c r="AJ941" s="2994">
        <v>6.6836000000000002</v>
      </c>
      <c r="AK941" s="2994">
        <v>6.5964999999999998</v>
      </c>
      <c r="AL941" s="2994">
        <v>7.2003000000000004</v>
      </c>
      <c r="AM941" s="2994">
        <v>6.9318</v>
      </c>
      <c r="AN941" s="2994">
        <v>7.1528999999999998</v>
      </c>
      <c r="AO941" s="2994">
        <v>7.3643000000000001</v>
      </c>
      <c r="AP941" s="2994">
        <v>7.3403999999999998</v>
      </c>
      <c r="AQ941" s="2994">
        <v>7.2946999999999997</v>
      </c>
      <c r="AR941" s="2994">
        <v>7.1315</v>
      </c>
      <c r="AS941" s="2994">
        <v>7.1319999999999997</v>
      </c>
      <c r="AT941" s="2994">
        <v>7.2561999999999998</v>
      </c>
      <c r="AU941" s="2994">
        <v>7.5018000000000002</v>
      </c>
      <c r="AV941" s="2994">
        <v>8.0790000000000006</v>
      </c>
      <c r="AW941" s="2994">
        <v>8.2566000000000006</v>
      </c>
      <c r="AX941" s="2994">
        <v>8.3899000000000008</v>
      </c>
      <c r="AY941" s="2994">
        <v>7.8719999999999999</v>
      </c>
      <c r="AZ941" s="2994">
        <v>8.5378000000000007</v>
      </c>
      <c r="BA941" s="2994">
        <v>12.3988</v>
      </c>
      <c r="BB941" s="2994">
        <v>12.0007</v>
      </c>
      <c r="BC941" s="2994">
        <v>11.821300000000001</v>
      </c>
      <c r="BD941" s="3471">
        <v>11.658300000000001</v>
      </c>
      <c r="BE941" s="3471">
        <v>11.9002</v>
      </c>
      <c r="BF941" s="3471">
        <v>0</v>
      </c>
    </row>
    <row r="942" spans="1:58">
      <c r="A942" s="1817" t="str">
        <f t="shared" si="29"/>
        <v>Southern AsiaPopcorn</v>
      </c>
      <c r="B942" s="1818" t="s">
        <v>1326</v>
      </c>
      <c r="C942" s="1818" t="s">
        <v>7366</v>
      </c>
      <c r="D942" s="3463" t="str">
        <f>VLOOKUP(B942,List_Yield!$G$4:$J$14,4,FALSE)</f>
        <v>Asia (Indian Subcontinent)</v>
      </c>
      <c r="E942" s="3463" t="str">
        <f t="shared" si="28"/>
        <v>Asia (Indian Subcontinent)Popcorn</v>
      </c>
      <c r="F942" s="2994">
        <v>0</v>
      </c>
      <c r="G942" s="2994">
        <v>0</v>
      </c>
      <c r="H942" s="2994">
        <v>0</v>
      </c>
      <c r="I942" s="2994">
        <v>0</v>
      </c>
      <c r="J942" s="2994">
        <v>0</v>
      </c>
      <c r="K942" s="2994">
        <v>0</v>
      </c>
      <c r="L942" s="2994">
        <v>0</v>
      </c>
      <c r="M942" s="2994">
        <v>0</v>
      </c>
      <c r="N942" s="2994">
        <v>0</v>
      </c>
      <c r="O942" s="2994">
        <v>0</v>
      </c>
      <c r="P942" s="2994">
        <v>0</v>
      </c>
      <c r="Q942" s="2994">
        <v>0</v>
      </c>
      <c r="R942" s="2994">
        <v>0</v>
      </c>
      <c r="S942" s="2994">
        <v>0</v>
      </c>
      <c r="T942" s="2994">
        <v>0</v>
      </c>
      <c r="U942" s="2994">
        <v>0</v>
      </c>
      <c r="V942" s="2994">
        <v>0</v>
      </c>
      <c r="W942" s="2994">
        <v>0</v>
      </c>
      <c r="X942" s="2994">
        <v>0</v>
      </c>
      <c r="Y942" s="2994">
        <v>0</v>
      </c>
      <c r="Z942" s="2994">
        <v>0</v>
      </c>
      <c r="AA942" s="2994">
        <v>0</v>
      </c>
      <c r="AB942" s="2994">
        <v>0</v>
      </c>
      <c r="AC942" s="2994">
        <v>0</v>
      </c>
      <c r="AD942" s="2994">
        <v>0</v>
      </c>
      <c r="AE942" s="2994">
        <v>0</v>
      </c>
      <c r="AF942" s="2994">
        <v>0</v>
      </c>
      <c r="AG942" s="2994">
        <v>0</v>
      </c>
      <c r="AH942" s="2994">
        <v>0</v>
      </c>
      <c r="AI942" s="2994">
        <v>0</v>
      </c>
      <c r="AJ942" s="2994">
        <v>0</v>
      </c>
      <c r="AK942" s="2994">
        <v>0</v>
      </c>
      <c r="AL942" s="2994">
        <v>0</v>
      </c>
      <c r="AM942" s="2994">
        <v>0</v>
      </c>
      <c r="AN942" s="2994">
        <v>0</v>
      </c>
      <c r="AO942" s="2994">
        <v>0</v>
      </c>
      <c r="AP942" s="2994">
        <v>0</v>
      </c>
      <c r="AQ942" s="2994">
        <v>0</v>
      </c>
      <c r="AR942" s="2994">
        <v>0</v>
      </c>
      <c r="AS942" s="2994">
        <v>0</v>
      </c>
      <c r="AT942" s="2994">
        <v>0</v>
      </c>
      <c r="AU942" s="2994">
        <v>0</v>
      </c>
      <c r="AV942" s="2994">
        <v>0</v>
      </c>
      <c r="AW942" s="2994">
        <v>0</v>
      </c>
      <c r="AX942" s="2994">
        <v>0</v>
      </c>
      <c r="AY942" s="2994">
        <v>0</v>
      </c>
      <c r="AZ942" s="2994">
        <v>0</v>
      </c>
      <c r="BA942" s="2994">
        <v>0</v>
      </c>
      <c r="BB942" s="2994">
        <v>0</v>
      </c>
      <c r="BC942" s="2994">
        <v>0</v>
      </c>
      <c r="BD942" s="3471">
        <v>0</v>
      </c>
      <c r="BE942" s="3471">
        <v>0</v>
      </c>
      <c r="BF942" s="3471">
        <v>0</v>
      </c>
    </row>
    <row r="943" spans="1:58">
      <c r="A943" s="1817" t="str">
        <f t="shared" si="29"/>
        <v>Southern AsiaPoppy seed</v>
      </c>
      <c r="B943" s="1818" t="s">
        <v>1326</v>
      </c>
      <c r="C943" s="1818" t="s">
        <v>7367</v>
      </c>
      <c r="D943" s="3463" t="str">
        <f>VLOOKUP(B943,List_Yield!$G$4:$J$14,4,FALSE)</f>
        <v>Asia (Indian Subcontinent)</v>
      </c>
      <c r="E943" s="3463" t="str">
        <f t="shared" si="28"/>
        <v>Asia (Indian Subcontinent)Poppy seed</v>
      </c>
      <c r="F943" s="2994">
        <v>0</v>
      </c>
      <c r="G943" s="2994">
        <v>0</v>
      </c>
      <c r="H943" s="2994">
        <v>0</v>
      </c>
      <c r="I943" s="2994">
        <v>0</v>
      </c>
      <c r="J943" s="2994">
        <v>0</v>
      </c>
      <c r="K943" s="2994">
        <v>0</v>
      </c>
      <c r="L943" s="2994">
        <v>0</v>
      </c>
      <c r="M943" s="2994">
        <v>0</v>
      </c>
      <c r="N943" s="2994">
        <v>0</v>
      </c>
      <c r="O943" s="2994">
        <v>0</v>
      </c>
      <c r="P943" s="2994">
        <v>0</v>
      </c>
      <c r="Q943" s="2994">
        <v>0</v>
      </c>
      <c r="R943" s="2994">
        <v>0</v>
      </c>
      <c r="S943" s="2994">
        <v>0</v>
      </c>
      <c r="T943" s="2994">
        <v>0</v>
      </c>
      <c r="U943" s="2994">
        <v>0</v>
      </c>
      <c r="V943" s="2994">
        <v>0</v>
      </c>
      <c r="W943" s="2994">
        <v>0</v>
      </c>
      <c r="X943" s="2994">
        <v>0</v>
      </c>
      <c r="Y943" s="2994">
        <v>0</v>
      </c>
      <c r="Z943" s="2994">
        <v>0</v>
      </c>
      <c r="AA943" s="2994">
        <v>0</v>
      </c>
      <c r="AB943" s="2994">
        <v>0</v>
      </c>
      <c r="AC943" s="2994">
        <v>0</v>
      </c>
      <c r="AD943" s="2994">
        <v>0</v>
      </c>
      <c r="AE943" s="2994">
        <v>0</v>
      </c>
      <c r="AF943" s="2994">
        <v>0</v>
      </c>
      <c r="AG943" s="2994">
        <v>0</v>
      </c>
      <c r="AH943" s="2994">
        <v>0</v>
      </c>
      <c r="AI943" s="2994">
        <v>0</v>
      </c>
      <c r="AJ943" s="2994">
        <v>0</v>
      </c>
      <c r="AK943" s="2994">
        <v>0</v>
      </c>
      <c r="AL943" s="2994">
        <v>0</v>
      </c>
      <c r="AM943" s="2994">
        <v>0</v>
      </c>
      <c r="AN943" s="2994">
        <v>0</v>
      </c>
      <c r="AO943" s="2994">
        <v>0</v>
      </c>
      <c r="AP943" s="2994">
        <v>0</v>
      </c>
      <c r="AQ943" s="2994">
        <v>0</v>
      </c>
      <c r="AR943" s="2994">
        <v>0</v>
      </c>
      <c r="AS943" s="2994">
        <v>0</v>
      </c>
      <c r="AT943" s="2994">
        <v>0</v>
      </c>
      <c r="AU943" s="2994">
        <v>0</v>
      </c>
      <c r="AV943" s="2994">
        <v>0</v>
      </c>
      <c r="AW943" s="2994">
        <v>0</v>
      </c>
      <c r="AX943" s="2994">
        <v>0</v>
      </c>
      <c r="AY943" s="2994">
        <v>0</v>
      </c>
      <c r="AZ943" s="2994">
        <v>0</v>
      </c>
      <c r="BA943" s="2994">
        <v>0</v>
      </c>
      <c r="BB943" s="2994">
        <v>0</v>
      </c>
      <c r="BC943" s="2994">
        <v>0</v>
      </c>
      <c r="BD943" s="3471">
        <v>0</v>
      </c>
      <c r="BE943" s="3471">
        <v>0</v>
      </c>
      <c r="BF943" s="3471">
        <v>0</v>
      </c>
    </row>
    <row r="944" spans="1:58">
      <c r="A944" s="1817" t="str">
        <f t="shared" si="29"/>
        <v>Southern AsiaPotatoes</v>
      </c>
      <c r="B944" s="1818" t="s">
        <v>1326</v>
      </c>
      <c r="C944" s="1818" t="s">
        <v>1368</v>
      </c>
      <c r="D944" s="3463" t="str">
        <f>VLOOKUP(B944,List_Yield!$G$4:$J$14,4,FALSE)</f>
        <v>Asia (Indian Subcontinent)</v>
      </c>
      <c r="E944" s="3463" t="str">
        <f t="shared" si="28"/>
        <v>Asia (Indian Subcontinent)Potatoes</v>
      </c>
      <c r="F944" s="2994">
        <v>7.202</v>
      </c>
      <c r="G944" s="2994">
        <v>6.8235999999999999</v>
      </c>
      <c r="H944" s="2994">
        <v>7.9641999999999999</v>
      </c>
      <c r="I944" s="2994">
        <v>6.5834999999999999</v>
      </c>
      <c r="J944" s="2994">
        <v>8.3137000000000008</v>
      </c>
      <c r="K944" s="2994">
        <v>8.3635000000000002</v>
      </c>
      <c r="L944" s="2994">
        <v>7.8630000000000004</v>
      </c>
      <c r="M944" s="2994">
        <v>8.6045999999999996</v>
      </c>
      <c r="N944" s="2994">
        <v>9.0870999999999995</v>
      </c>
      <c r="O944" s="2994">
        <v>8.2874999999999996</v>
      </c>
      <c r="P944" s="2994">
        <v>9.7315000000000005</v>
      </c>
      <c r="Q944" s="2994">
        <v>9.5967000000000002</v>
      </c>
      <c r="R944" s="2994">
        <v>8.8780000000000001</v>
      </c>
      <c r="S944" s="2994">
        <v>8.9214000000000002</v>
      </c>
      <c r="T944" s="2994">
        <v>10.0945</v>
      </c>
      <c r="U944" s="2994">
        <v>10.9817</v>
      </c>
      <c r="V944" s="2994">
        <v>10.933199999999999</v>
      </c>
      <c r="W944" s="2994">
        <v>11.612299999999999</v>
      </c>
      <c r="X944" s="2994">
        <v>11.8977</v>
      </c>
      <c r="Y944" s="2994">
        <v>11.7157</v>
      </c>
      <c r="Z944" s="2994">
        <v>12.650499999999999</v>
      </c>
      <c r="AA944" s="2994">
        <v>12.5892</v>
      </c>
      <c r="AB944" s="2994">
        <v>12.834099999999999</v>
      </c>
      <c r="AC944" s="2994">
        <v>14.1182</v>
      </c>
      <c r="AD944" s="2994">
        <v>13.7515</v>
      </c>
      <c r="AE944" s="2994">
        <v>12.107699999999999</v>
      </c>
      <c r="AF944" s="2994">
        <v>14.0069</v>
      </c>
      <c r="AG944" s="2994">
        <v>14.2883</v>
      </c>
      <c r="AH944" s="2994">
        <v>14.691700000000001</v>
      </c>
      <c r="AI944" s="2994">
        <v>14.506399999999999</v>
      </c>
      <c r="AJ944" s="2994">
        <v>15.1187</v>
      </c>
      <c r="AK944" s="2994">
        <v>15.004099999999999</v>
      </c>
      <c r="AL944" s="2994">
        <v>14.6654</v>
      </c>
      <c r="AM944" s="2994">
        <v>15.913</v>
      </c>
      <c r="AN944" s="2994">
        <v>15.6889</v>
      </c>
      <c r="AO944" s="2994">
        <v>16.186</v>
      </c>
      <c r="AP944" s="2994">
        <v>17.7803</v>
      </c>
      <c r="AQ944" s="2994">
        <v>14.514699999999999</v>
      </c>
      <c r="AR944" s="2994">
        <v>16.475200000000001</v>
      </c>
      <c r="AS944" s="2994">
        <v>17.414100000000001</v>
      </c>
      <c r="AT944" s="2994">
        <v>17.086600000000001</v>
      </c>
      <c r="AU944" s="2994">
        <v>18.022300000000001</v>
      </c>
      <c r="AV944" s="2994">
        <v>16.981999999999999</v>
      </c>
      <c r="AW944" s="2994">
        <v>18.168099999999999</v>
      </c>
      <c r="AX944" s="2994">
        <v>18.3126</v>
      </c>
      <c r="AY944" s="2994">
        <v>17.762699999999999</v>
      </c>
      <c r="AZ944" s="2994">
        <v>16.733000000000001</v>
      </c>
      <c r="BA944" s="2994">
        <v>18.773700000000002</v>
      </c>
      <c r="BB944" s="2994">
        <v>18.116</v>
      </c>
      <c r="BC944" s="2994">
        <v>19.787700000000001</v>
      </c>
      <c r="BD944" s="3471">
        <v>21.704699999999999</v>
      </c>
      <c r="BE944" s="3471">
        <v>21.005800000000001</v>
      </c>
      <c r="BF944" s="3471">
        <v>21.915099999999999</v>
      </c>
    </row>
    <row r="945" spans="1:58">
      <c r="A945" s="1817" t="str">
        <f t="shared" si="29"/>
        <v>Southern AsiaPulses, nes</v>
      </c>
      <c r="B945" s="1818" t="s">
        <v>1326</v>
      </c>
      <c r="C945" s="1818" t="s">
        <v>1369</v>
      </c>
      <c r="D945" s="3463" t="str">
        <f>VLOOKUP(B945,List_Yield!$G$4:$J$14,4,FALSE)</f>
        <v>Asia (Indian Subcontinent)</v>
      </c>
      <c r="E945" s="3463" t="str">
        <f t="shared" si="28"/>
        <v>Asia (Indian Subcontinent)Pulses, nes</v>
      </c>
      <c r="F945" s="2994">
        <v>0.41959999999999997</v>
      </c>
      <c r="G945" s="2994">
        <v>0.42659999999999998</v>
      </c>
      <c r="H945" s="2994">
        <v>0.41539999999999999</v>
      </c>
      <c r="I945" s="2994">
        <v>0.46839999999999998</v>
      </c>
      <c r="J945" s="2994">
        <v>0.46750000000000003</v>
      </c>
      <c r="K945" s="2994">
        <v>0.41560000000000002</v>
      </c>
      <c r="L945" s="2994">
        <v>0.4209</v>
      </c>
      <c r="M945" s="2994">
        <v>0.4854</v>
      </c>
      <c r="N945" s="2994">
        <v>0.48209999999999997</v>
      </c>
      <c r="O945" s="2994">
        <v>0.51539999999999997</v>
      </c>
      <c r="P945" s="2994">
        <v>0.49990000000000001</v>
      </c>
      <c r="Q945" s="2994">
        <v>0.49209999999999998</v>
      </c>
      <c r="R945" s="2994">
        <v>0.42120000000000002</v>
      </c>
      <c r="S945" s="2994">
        <v>0.44850000000000001</v>
      </c>
      <c r="T945" s="2994">
        <v>0.49930000000000002</v>
      </c>
      <c r="U945" s="2994">
        <v>0.50119999999999998</v>
      </c>
      <c r="V945" s="2994">
        <v>0.41320000000000001</v>
      </c>
      <c r="W945" s="2994">
        <v>0.43030000000000002</v>
      </c>
      <c r="X945" s="2994">
        <v>0.42659999999999998</v>
      </c>
      <c r="Y945" s="2994">
        <v>0.3725</v>
      </c>
      <c r="Z945" s="2994">
        <v>0.4229</v>
      </c>
      <c r="AA945" s="2994">
        <v>0.40720000000000001</v>
      </c>
      <c r="AB945" s="2994">
        <v>0.43990000000000001</v>
      </c>
      <c r="AC945" s="2994">
        <v>0.49659999999999999</v>
      </c>
      <c r="AD945" s="2994">
        <v>0.46789999999999998</v>
      </c>
      <c r="AE945" s="2994">
        <v>0.48520000000000002</v>
      </c>
      <c r="AF945" s="2994">
        <v>0.4985</v>
      </c>
      <c r="AG945" s="2994">
        <v>0.47139999999999999</v>
      </c>
      <c r="AH945" s="2994">
        <v>0.52810000000000001</v>
      </c>
      <c r="AI945" s="2994">
        <v>0.45519999999999999</v>
      </c>
      <c r="AJ945" s="2994">
        <v>0.72409999999999997</v>
      </c>
      <c r="AK945" s="2994">
        <v>0.30570000000000003</v>
      </c>
      <c r="AL945" s="2994">
        <v>0.55179999999999996</v>
      </c>
      <c r="AM945" s="2994">
        <v>0.65190000000000003</v>
      </c>
      <c r="AN945" s="2994">
        <v>0.69630000000000003</v>
      </c>
      <c r="AO945" s="2994">
        <v>0.63870000000000005</v>
      </c>
      <c r="AP945" s="2994">
        <v>0.71340000000000003</v>
      </c>
      <c r="AQ945" s="2994">
        <v>0.61480000000000001</v>
      </c>
      <c r="AR945" s="2994">
        <v>0.6835</v>
      </c>
      <c r="AS945" s="2994">
        <v>0.70320000000000005</v>
      </c>
      <c r="AT945" s="2994">
        <v>0.81579999999999997</v>
      </c>
      <c r="AU945" s="2994">
        <v>0.64339999999999997</v>
      </c>
      <c r="AV945" s="2994">
        <v>0.56989999999999996</v>
      </c>
      <c r="AW945" s="2994">
        <v>0.62280000000000002</v>
      </c>
      <c r="AX945" s="2994">
        <v>0.53100000000000003</v>
      </c>
      <c r="AY945" s="2994">
        <v>0.56679999999999997</v>
      </c>
      <c r="AZ945" s="2994">
        <v>0.54659999999999997</v>
      </c>
      <c r="BA945" s="2994">
        <v>0.49469999999999997</v>
      </c>
      <c r="BB945" s="2994">
        <v>0.49969999999999998</v>
      </c>
      <c r="BC945" s="2994">
        <v>0.52459999999999996</v>
      </c>
      <c r="BD945" s="3471">
        <v>0.51190000000000002</v>
      </c>
      <c r="BE945" s="3471">
        <v>0.53280000000000005</v>
      </c>
      <c r="BF945" s="3471">
        <v>0.59060000000000001</v>
      </c>
    </row>
    <row r="946" spans="1:58">
      <c r="A946" s="1817" t="str">
        <f t="shared" si="29"/>
        <v>Southern AsiaPumpkins, squash and gourds</v>
      </c>
      <c r="B946" s="1818" t="s">
        <v>1326</v>
      </c>
      <c r="C946" s="1818" t="s">
        <v>7368</v>
      </c>
      <c r="D946" s="3463" t="str">
        <f>VLOOKUP(B946,List_Yield!$G$4:$J$14,4,FALSE)</f>
        <v>Asia (Indian Subcontinent)</v>
      </c>
      <c r="E946" s="3463" t="str">
        <f t="shared" si="28"/>
        <v>Asia (Indian Subcontinent)Pumpkins, squash and gourds</v>
      </c>
      <c r="F946" s="2994">
        <v>6.3959999999999999</v>
      </c>
      <c r="G946" s="2994">
        <v>6.4612999999999996</v>
      </c>
      <c r="H946" s="2994">
        <v>6.5376000000000003</v>
      </c>
      <c r="I946" s="2994">
        <v>6.7179000000000002</v>
      </c>
      <c r="J946" s="2994">
        <v>6.8003999999999998</v>
      </c>
      <c r="K946" s="2994">
        <v>6.9820000000000002</v>
      </c>
      <c r="L946" s="2994">
        <v>6.9138999999999999</v>
      </c>
      <c r="M946" s="2994">
        <v>7.0235000000000003</v>
      </c>
      <c r="N946" s="2994">
        <v>7.0138999999999996</v>
      </c>
      <c r="O946" s="2994">
        <v>7.3505000000000003</v>
      </c>
      <c r="P946" s="2994">
        <v>7.4005999999999998</v>
      </c>
      <c r="Q946" s="2994">
        <v>7.3400999999999996</v>
      </c>
      <c r="R946" s="2994">
        <v>7.3209999999999997</v>
      </c>
      <c r="S946" s="2994">
        <v>7.5034000000000001</v>
      </c>
      <c r="T946" s="2994">
        <v>7.6397000000000004</v>
      </c>
      <c r="U946" s="2994">
        <v>7.7354000000000003</v>
      </c>
      <c r="V946" s="2994">
        <v>7.7744999999999997</v>
      </c>
      <c r="W946" s="2994">
        <v>8.0510000000000002</v>
      </c>
      <c r="X946" s="2994">
        <v>8.2634000000000007</v>
      </c>
      <c r="Y946" s="2994">
        <v>8.3767999999999994</v>
      </c>
      <c r="Z946" s="2994">
        <v>8.8133999999999997</v>
      </c>
      <c r="AA946" s="2994">
        <v>8.4550999999999998</v>
      </c>
      <c r="AB946" s="2994">
        <v>8.9608000000000008</v>
      </c>
      <c r="AC946" s="2994">
        <v>9.5213000000000001</v>
      </c>
      <c r="AD946" s="2994">
        <v>9.7281999999999993</v>
      </c>
      <c r="AE946" s="2994">
        <v>9.9440000000000008</v>
      </c>
      <c r="AF946" s="2994">
        <v>9.7224000000000004</v>
      </c>
      <c r="AG946" s="2994">
        <v>9.7965</v>
      </c>
      <c r="AH946" s="2994">
        <v>9.4425000000000008</v>
      </c>
      <c r="AI946" s="2994">
        <v>9.1892999999999994</v>
      </c>
      <c r="AJ946" s="2994">
        <v>9.6793999999999993</v>
      </c>
      <c r="AK946" s="2994">
        <v>9.3011999999999997</v>
      </c>
      <c r="AL946" s="2994">
        <v>10.194000000000001</v>
      </c>
      <c r="AM946" s="2994">
        <v>10.512</v>
      </c>
      <c r="AN946" s="2994">
        <v>9.9123000000000001</v>
      </c>
      <c r="AO946" s="2994">
        <v>9.9061000000000003</v>
      </c>
      <c r="AP946" s="2994">
        <v>9.8800000000000008</v>
      </c>
      <c r="AQ946" s="2994">
        <v>10.0276</v>
      </c>
      <c r="AR946" s="2994">
        <v>10.011699999999999</v>
      </c>
      <c r="AS946" s="2994">
        <v>9.8768999999999991</v>
      </c>
      <c r="AT946" s="2994">
        <v>9.0626999999999995</v>
      </c>
      <c r="AU946" s="2994">
        <v>8.4787999999999997</v>
      </c>
      <c r="AV946" s="2994">
        <v>7.8498000000000001</v>
      </c>
      <c r="AW946" s="2994">
        <v>8.6708999999999996</v>
      </c>
      <c r="AX946" s="2994">
        <v>8.7135999999999996</v>
      </c>
      <c r="AY946" s="2994">
        <v>9.2013999999999996</v>
      </c>
      <c r="AZ946" s="2994">
        <v>9.4825999999999997</v>
      </c>
      <c r="BA946" s="2994">
        <v>9.5015000000000001</v>
      </c>
      <c r="BB946" s="2994">
        <v>9.5122999999999998</v>
      </c>
      <c r="BC946" s="2994">
        <v>9.7879000000000005</v>
      </c>
      <c r="BD946" s="3471">
        <v>10.0221</v>
      </c>
      <c r="BE946" s="3471">
        <v>10.2117</v>
      </c>
      <c r="BF946" s="3471">
        <v>0</v>
      </c>
    </row>
    <row r="947" spans="1:58">
      <c r="A947" s="1817" t="str">
        <f t="shared" si="29"/>
        <v>Southern AsiaPyrethrum, dried</v>
      </c>
      <c r="B947" s="1818" t="s">
        <v>1326</v>
      </c>
      <c r="C947" s="1818" t="s">
        <v>7369</v>
      </c>
      <c r="D947" s="3463" t="str">
        <f>VLOOKUP(B947,List_Yield!$G$4:$J$14,4,FALSE)</f>
        <v>Asia (Indian Subcontinent)</v>
      </c>
      <c r="E947" s="3463" t="str">
        <f t="shared" si="28"/>
        <v>Asia (Indian Subcontinent)Pyrethrum, dried</v>
      </c>
      <c r="F947" s="2994">
        <v>0</v>
      </c>
      <c r="G947" s="2994">
        <v>0</v>
      </c>
      <c r="H947" s="2994">
        <v>0</v>
      </c>
      <c r="I947" s="2994">
        <v>0</v>
      </c>
      <c r="J947" s="2994">
        <v>0</v>
      </c>
      <c r="K947" s="2994">
        <v>0</v>
      </c>
      <c r="L947" s="2994">
        <v>0</v>
      </c>
      <c r="M947" s="2994">
        <v>0</v>
      </c>
      <c r="N947" s="2994">
        <v>0</v>
      </c>
      <c r="O947" s="2994">
        <v>0</v>
      </c>
      <c r="P947" s="2994">
        <v>0</v>
      </c>
      <c r="Q947" s="2994">
        <v>0</v>
      </c>
      <c r="R947" s="2994">
        <v>0</v>
      </c>
      <c r="S947" s="2994">
        <v>0</v>
      </c>
      <c r="T947" s="2994">
        <v>0</v>
      </c>
      <c r="U947" s="2994">
        <v>0</v>
      </c>
      <c r="V947" s="2994">
        <v>0</v>
      </c>
      <c r="W947" s="2994">
        <v>0</v>
      </c>
      <c r="X947" s="2994">
        <v>0</v>
      </c>
      <c r="Y947" s="2994">
        <v>0</v>
      </c>
      <c r="Z947" s="2994">
        <v>0</v>
      </c>
      <c r="AA947" s="2994">
        <v>0</v>
      </c>
      <c r="AB947" s="2994">
        <v>0</v>
      </c>
      <c r="AC947" s="2994">
        <v>0</v>
      </c>
      <c r="AD947" s="2994">
        <v>0</v>
      </c>
      <c r="AE947" s="2994">
        <v>0</v>
      </c>
      <c r="AF947" s="2994">
        <v>0</v>
      </c>
      <c r="AG947" s="2994">
        <v>0</v>
      </c>
      <c r="AH947" s="2994">
        <v>0</v>
      </c>
      <c r="AI947" s="2994">
        <v>0</v>
      </c>
      <c r="AJ947" s="2994">
        <v>0</v>
      </c>
      <c r="AK947" s="2994">
        <v>0</v>
      </c>
      <c r="AL947" s="2994">
        <v>0</v>
      </c>
      <c r="AM947" s="2994">
        <v>0</v>
      </c>
      <c r="AN947" s="2994">
        <v>0</v>
      </c>
      <c r="AO947" s="2994">
        <v>0</v>
      </c>
      <c r="AP947" s="2994">
        <v>0</v>
      </c>
      <c r="AQ947" s="2994">
        <v>0</v>
      </c>
      <c r="AR947" s="2994">
        <v>0</v>
      </c>
      <c r="AS947" s="2994">
        <v>0</v>
      </c>
      <c r="AT947" s="2994">
        <v>0</v>
      </c>
      <c r="AU947" s="2994">
        <v>0</v>
      </c>
      <c r="AV947" s="2994">
        <v>0</v>
      </c>
      <c r="AW947" s="2994">
        <v>0</v>
      </c>
      <c r="AX947" s="2994">
        <v>0</v>
      </c>
      <c r="AY947" s="2994">
        <v>0</v>
      </c>
      <c r="AZ947" s="2994">
        <v>0</v>
      </c>
      <c r="BA947" s="2994">
        <v>0</v>
      </c>
      <c r="BB947" s="2994">
        <v>0</v>
      </c>
      <c r="BC947" s="2994">
        <v>0</v>
      </c>
      <c r="BD947" s="3471">
        <v>0</v>
      </c>
      <c r="BE947" s="3471">
        <v>0</v>
      </c>
      <c r="BF947" s="3471">
        <v>0</v>
      </c>
    </row>
    <row r="948" spans="1:58">
      <c r="A948" s="1817" t="str">
        <f t="shared" si="29"/>
        <v>Southern AsiaQuinces</v>
      </c>
      <c r="B948" s="1818" t="s">
        <v>1326</v>
      </c>
      <c r="C948" s="1818" t="s">
        <v>7370</v>
      </c>
      <c r="D948" s="3463" t="str">
        <f>VLOOKUP(B948,List_Yield!$G$4:$J$14,4,FALSE)</f>
        <v>Asia (Indian Subcontinent)</v>
      </c>
      <c r="E948" s="3463" t="str">
        <f t="shared" si="28"/>
        <v>Asia (Indian Subcontinent)Quinces</v>
      </c>
      <c r="F948" s="2994">
        <v>7.5</v>
      </c>
      <c r="G948" s="2994">
        <v>7.5</v>
      </c>
      <c r="H948" s="2994">
        <v>7.5</v>
      </c>
      <c r="I948" s="2994">
        <v>7.5</v>
      </c>
      <c r="J948" s="2994">
        <v>7.5</v>
      </c>
      <c r="K948" s="2994">
        <v>7.5</v>
      </c>
      <c r="L948" s="2994">
        <v>7.6189999999999998</v>
      </c>
      <c r="M948" s="2994">
        <v>7.6189999999999998</v>
      </c>
      <c r="N948" s="2994">
        <v>7.6189999999999998</v>
      </c>
      <c r="O948" s="2994">
        <v>7.3913000000000002</v>
      </c>
      <c r="P948" s="2994">
        <v>7.3913000000000002</v>
      </c>
      <c r="Q948" s="2994">
        <v>7.3913000000000002</v>
      </c>
      <c r="R948" s="2994">
        <v>7.3468999999999998</v>
      </c>
      <c r="S948" s="2994">
        <v>7.3468999999999998</v>
      </c>
      <c r="T948" s="2994">
        <v>7.4509999999999996</v>
      </c>
      <c r="U948" s="2994">
        <v>7.4509999999999996</v>
      </c>
      <c r="V948" s="2994">
        <v>7.4074</v>
      </c>
      <c r="W948" s="2994">
        <v>7.4074</v>
      </c>
      <c r="X948" s="2994">
        <v>7.4074</v>
      </c>
      <c r="Y948" s="2994">
        <v>7.7778</v>
      </c>
      <c r="Z948" s="2994">
        <v>8.1480999999999995</v>
      </c>
      <c r="AA948" s="2994">
        <v>7.8705999999999996</v>
      </c>
      <c r="AB948" s="2994">
        <v>10.193300000000001</v>
      </c>
      <c r="AC948" s="2994">
        <v>8.4061000000000003</v>
      </c>
      <c r="AD948" s="2994">
        <v>7.8571</v>
      </c>
      <c r="AE948" s="2994">
        <v>8.2840000000000007</v>
      </c>
      <c r="AF948" s="2994">
        <v>7.2085999999999997</v>
      </c>
      <c r="AG948" s="2994">
        <v>6.9306999999999999</v>
      </c>
      <c r="AH948" s="2994">
        <v>4.8799000000000001</v>
      </c>
      <c r="AI948" s="2994">
        <v>5.5572999999999997</v>
      </c>
      <c r="AJ948" s="2994">
        <v>5.9061000000000003</v>
      </c>
      <c r="AK948" s="2994">
        <v>6.5338000000000003</v>
      </c>
      <c r="AL948" s="2994">
        <v>7.0239000000000003</v>
      </c>
      <c r="AM948" s="2994">
        <v>6.6265000000000001</v>
      </c>
      <c r="AN948" s="2994">
        <v>7.7220000000000004</v>
      </c>
      <c r="AO948" s="2994">
        <v>7.4646999999999997</v>
      </c>
      <c r="AP948" s="2994">
        <v>5.9051</v>
      </c>
      <c r="AQ948" s="2994">
        <v>5.5391000000000004</v>
      </c>
      <c r="AR948" s="2994">
        <v>7</v>
      </c>
      <c r="AS948" s="2994">
        <v>6.3522999999999996</v>
      </c>
      <c r="AT948" s="2994">
        <v>6.0458999999999996</v>
      </c>
      <c r="AU948" s="2994">
        <v>6.1791999999999998</v>
      </c>
      <c r="AV948" s="2994">
        <v>6.4870999999999999</v>
      </c>
      <c r="AW948" s="2994">
        <v>6.7732999999999999</v>
      </c>
      <c r="AX948" s="2994">
        <v>6.7723000000000004</v>
      </c>
      <c r="AY948" s="2994">
        <v>6.7272999999999996</v>
      </c>
      <c r="AZ948" s="2994">
        <v>6.7308000000000003</v>
      </c>
      <c r="BA948" s="2994">
        <v>7.0369000000000002</v>
      </c>
      <c r="BB948" s="2994">
        <v>6.7819000000000003</v>
      </c>
      <c r="BC948" s="2994">
        <v>7.1143000000000001</v>
      </c>
      <c r="BD948" s="3471">
        <v>7.1764000000000001</v>
      </c>
      <c r="BE948" s="3471">
        <v>7.3</v>
      </c>
      <c r="BF948" s="3471">
        <v>0</v>
      </c>
    </row>
    <row r="949" spans="1:58">
      <c r="A949" s="1817" t="str">
        <f t="shared" si="29"/>
        <v>Southern AsiaQuinoa</v>
      </c>
      <c r="B949" s="1818" t="s">
        <v>1326</v>
      </c>
      <c r="C949" s="1818" t="s">
        <v>1385</v>
      </c>
      <c r="D949" s="3463" t="str">
        <f>VLOOKUP(B949,List_Yield!$G$4:$J$14,4,FALSE)</f>
        <v>Asia (Indian Subcontinent)</v>
      </c>
      <c r="E949" s="3463" t="str">
        <f t="shared" si="28"/>
        <v>Asia (Indian Subcontinent)Quinoa</v>
      </c>
      <c r="F949" s="2994">
        <v>0</v>
      </c>
      <c r="G949" s="2994">
        <v>0</v>
      </c>
      <c r="H949" s="2994">
        <v>0</v>
      </c>
      <c r="I949" s="2994">
        <v>0</v>
      </c>
      <c r="J949" s="2994">
        <v>0</v>
      </c>
      <c r="K949" s="2994">
        <v>0</v>
      </c>
      <c r="L949" s="2994">
        <v>0</v>
      </c>
      <c r="M949" s="2994">
        <v>0</v>
      </c>
      <c r="N949" s="2994">
        <v>0</v>
      </c>
      <c r="O949" s="2994">
        <v>0</v>
      </c>
      <c r="P949" s="2994">
        <v>0</v>
      </c>
      <c r="Q949" s="2994">
        <v>0</v>
      </c>
      <c r="R949" s="2994">
        <v>0</v>
      </c>
      <c r="S949" s="2994">
        <v>0</v>
      </c>
      <c r="T949" s="2994">
        <v>0</v>
      </c>
      <c r="U949" s="2994">
        <v>0</v>
      </c>
      <c r="V949" s="2994">
        <v>0</v>
      </c>
      <c r="W949" s="2994">
        <v>0</v>
      </c>
      <c r="X949" s="2994">
        <v>0</v>
      </c>
      <c r="Y949" s="2994">
        <v>0</v>
      </c>
      <c r="Z949" s="2994">
        <v>0</v>
      </c>
      <c r="AA949" s="2994">
        <v>0</v>
      </c>
      <c r="AB949" s="2994">
        <v>0</v>
      </c>
      <c r="AC949" s="2994">
        <v>0</v>
      </c>
      <c r="AD949" s="2994">
        <v>0</v>
      </c>
      <c r="AE949" s="2994">
        <v>0</v>
      </c>
      <c r="AF949" s="2994">
        <v>0</v>
      </c>
      <c r="AG949" s="2994">
        <v>0</v>
      </c>
      <c r="AH949" s="2994">
        <v>0</v>
      </c>
      <c r="AI949" s="2994">
        <v>0</v>
      </c>
      <c r="AJ949" s="2994">
        <v>0</v>
      </c>
      <c r="AK949" s="2994">
        <v>0</v>
      </c>
      <c r="AL949" s="2994">
        <v>0</v>
      </c>
      <c r="AM949" s="2994">
        <v>0</v>
      </c>
      <c r="AN949" s="2994">
        <v>0</v>
      </c>
      <c r="AO949" s="2994">
        <v>0</v>
      </c>
      <c r="AP949" s="2994">
        <v>0</v>
      </c>
      <c r="AQ949" s="2994">
        <v>0</v>
      </c>
      <c r="AR949" s="2994">
        <v>0</v>
      </c>
      <c r="AS949" s="2994">
        <v>0</v>
      </c>
      <c r="AT949" s="2994">
        <v>0</v>
      </c>
      <c r="AU949" s="2994">
        <v>0</v>
      </c>
      <c r="AV949" s="2994">
        <v>0</v>
      </c>
      <c r="AW949" s="2994">
        <v>0</v>
      </c>
      <c r="AX949" s="2994">
        <v>0</v>
      </c>
      <c r="AY949" s="2994">
        <v>0</v>
      </c>
      <c r="AZ949" s="2994">
        <v>0</v>
      </c>
      <c r="BA949" s="2994">
        <v>0</v>
      </c>
      <c r="BB949" s="2994">
        <v>0</v>
      </c>
      <c r="BC949" s="2994">
        <v>0</v>
      </c>
      <c r="BD949" s="3471">
        <v>0</v>
      </c>
      <c r="BE949" s="3471">
        <v>0</v>
      </c>
      <c r="BF949" s="3471">
        <v>0</v>
      </c>
    </row>
    <row r="950" spans="1:58">
      <c r="A950" s="1817" t="str">
        <f t="shared" si="29"/>
        <v>Southern AsiaRamie</v>
      </c>
      <c r="B950" s="1818" t="s">
        <v>1326</v>
      </c>
      <c r="C950" s="1818" t="s">
        <v>7371</v>
      </c>
      <c r="D950" s="3463" t="str">
        <f>VLOOKUP(B950,List_Yield!$G$4:$J$14,4,FALSE)</f>
        <v>Asia (Indian Subcontinent)</v>
      </c>
      <c r="E950" s="3463" t="str">
        <f t="shared" si="28"/>
        <v>Asia (Indian Subcontinent)Ramie</v>
      </c>
      <c r="F950" s="2994">
        <v>0</v>
      </c>
      <c r="G950" s="2994">
        <v>0</v>
      </c>
      <c r="H950" s="2994">
        <v>0</v>
      </c>
      <c r="I950" s="2994">
        <v>0</v>
      </c>
      <c r="J950" s="2994">
        <v>0</v>
      </c>
      <c r="K950" s="2994">
        <v>0</v>
      </c>
      <c r="L950" s="2994">
        <v>0</v>
      </c>
      <c r="M950" s="2994">
        <v>0</v>
      </c>
      <c r="N950" s="2994">
        <v>0</v>
      </c>
      <c r="O950" s="2994">
        <v>0</v>
      </c>
      <c r="P950" s="2994">
        <v>0</v>
      </c>
      <c r="Q950" s="2994">
        <v>0</v>
      </c>
      <c r="R950" s="2994">
        <v>0</v>
      </c>
      <c r="S950" s="2994">
        <v>0</v>
      </c>
      <c r="T950" s="2994">
        <v>0</v>
      </c>
      <c r="U950" s="2994">
        <v>0</v>
      </c>
      <c r="V950" s="2994">
        <v>0</v>
      </c>
      <c r="W950" s="2994">
        <v>0</v>
      </c>
      <c r="X950" s="2994">
        <v>0</v>
      </c>
      <c r="Y950" s="2994">
        <v>0</v>
      </c>
      <c r="Z950" s="2994">
        <v>0</v>
      </c>
      <c r="AA950" s="2994">
        <v>0</v>
      </c>
      <c r="AB950" s="2994">
        <v>0</v>
      </c>
      <c r="AC950" s="2994">
        <v>0</v>
      </c>
      <c r="AD950" s="2994">
        <v>0</v>
      </c>
      <c r="AE950" s="2994">
        <v>0</v>
      </c>
      <c r="AF950" s="2994">
        <v>0</v>
      </c>
      <c r="AG950" s="2994">
        <v>0</v>
      </c>
      <c r="AH950" s="2994">
        <v>0</v>
      </c>
      <c r="AI950" s="2994">
        <v>0</v>
      </c>
      <c r="AJ950" s="2994">
        <v>0</v>
      </c>
      <c r="AK950" s="2994">
        <v>0</v>
      </c>
      <c r="AL950" s="2994">
        <v>0</v>
      </c>
      <c r="AM950" s="2994">
        <v>0</v>
      </c>
      <c r="AN950" s="2994">
        <v>0</v>
      </c>
      <c r="AO950" s="2994">
        <v>0</v>
      </c>
      <c r="AP950" s="2994">
        <v>0</v>
      </c>
      <c r="AQ950" s="2994">
        <v>0</v>
      </c>
      <c r="AR950" s="2994">
        <v>0</v>
      </c>
      <c r="AS950" s="2994">
        <v>0</v>
      </c>
      <c r="AT950" s="2994">
        <v>0</v>
      </c>
      <c r="AU950" s="2994">
        <v>0</v>
      </c>
      <c r="AV950" s="2994">
        <v>0</v>
      </c>
      <c r="AW950" s="2994">
        <v>0</v>
      </c>
      <c r="AX950" s="2994">
        <v>0</v>
      </c>
      <c r="AY950" s="2994">
        <v>0</v>
      </c>
      <c r="AZ950" s="2994">
        <v>0</v>
      </c>
      <c r="BA950" s="2994">
        <v>0</v>
      </c>
      <c r="BB950" s="2994">
        <v>0</v>
      </c>
      <c r="BC950" s="2994">
        <v>0</v>
      </c>
      <c r="BD950" s="3471">
        <v>0</v>
      </c>
      <c r="BE950" s="3471">
        <v>0</v>
      </c>
      <c r="BF950" s="3471">
        <v>0</v>
      </c>
    </row>
    <row r="951" spans="1:58">
      <c r="A951" s="1817" t="str">
        <f t="shared" si="29"/>
        <v>Southern AsiaRapeseed</v>
      </c>
      <c r="B951" s="1818" t="s">
        <v>1326</v>
      </c>
      <c r="C951" s="1818" t="s">
        <v>7372</v>
      </c>
      <c r="D951" s="3463" t="str">
        <f>VLOOKUP(B951,List_Yield!$G$4:$J$14,4,FALSE)</f>
        <v>Asia (Indian Subcontinent)</v>
      </c>
      <c r="E951" s="3463" t="str">
        <f t="shared" si="28"/>
        <v>Asia (Indian Subcontinent)Rapeseed</v>
      </c>
      <c r="F951" s="2994">
        <v>0.46010000000000001</v>
      </c>
      <c r="G951" s="2994">
        <v>0.42930000000000001</v>
      </c>
      <c r="H951" s="2994">
        <v>0.43209999999999998</v>
      </c>
      <c r="I951" s="2994">
        <v>0.32679999999999998</v>
      </c>
      <c r="J951" s="2994">
        <v>0.49690000000000001</v>
      </c>
      <c r="K951" s="2994">
        <v>0.44450000000000001</v>
      </c>
      <c r="L951" s="2994">
        <v>0.41899999999999998</v>
      </c>
      <c r="M951" s="2994">
        <v>0.4909</v>
      </c>
      <c r="N951" s="2994">
        <v>0.48209999999999997</v>
      </c>
      <c r="O951" s="2994">
        <v>0.502</v>
      </c>
      <c r="P951" s="2994">
        <v>0.58860000000000001</v>
      </c>
      <c r="Q951" s="2994">
        <v>0.42330000000000001</v>
      </c>
      <c r="R951" s="2994">
        <v>0.54459999999999997</v>
      </c>
      <c r="S951" s="2994">
        <v>0.50290000000000001</v>
      </c>
      <c r="T951" s="2994">
        <v>0.60440000000000005</v>
      </c>
      <c r="U951" s="2994">
        <v>0.57830000000000004</v>
      </c>
      <c r="V951" s="2994">
        <v>0.51049999999999995</v>
      </c>
      <c r="W951" s="2994">
        <v>0.48070000000000002</v>
      </c>
      <c r="X951" s="2994">
        <v>0.53739999999999999</v>
      </c>
      <c r="Y951" s="2994">
        <v>0.45250000000000001</v>
      </c>
      <c r="Z951" s="2994">
        <v>0.56530000000000002</v>
      </c>
      <c r="AA951" s="2994">
        <v>0.55320000000000003</v>
      </c>
      <c r="AB951" s="2994">
        <v>0.58909999999999996</v>
      </c>
      <c r="AC951" s="2994">
        <v>0.67649999999999999</v>
      </c>
      <c r="AD951" s="2994">
        <v>0.76149999999999995</v>
      </c>
      <c r="AE951" s="2994">
        <v>0.67900000000000005</v>
      </c>
      <c r="AF951" s="2994">
        <v>0.69810000000000005</v>
      </c>
      <c r="AG951" s="2994">
        <v>0.74539999999999995</v>
      </c>
      <c r="AH951" s="2994">
        <v>0.87870000000000004</v>
      </c>
      <c r="AI951" s="2994">
        <v>0.81530000000000002</v>
      </c>
      <c r="AJ951" s="2994">
        <v>0.88490000000000002</v>
      </c>
      <c r="AK951" s="2994">
        <v>0.88100000000000001</v>
      </c>
      <c r="AL951" s="2994">
        <v>0.77039999999999997</v>
      </c>
      <c r="AM951" s="2994">
        <v>0.83609999999999995</v>
      </c>
      <c r="AN951" s="2994">
        <v>0.93059999999999998</v>
      </c>
      <c r="AO951" s="2994">
        <v>0.90259999999999996</v>
      </c>
      <c r="AP951" s="2994">
        <v>1.0041</v>
      </c>
      <c r="AQ951" s="2994">
        <v>0.68479999999999996</v>
      </c>
      <c r="AR951" s="2994">
        <v>0.86950000000000005</v>
      </c>
      <c r="AS951" s="2994">
        <v>0.94789999999999996</v>
      </c>
      <c r="AT951" s="2994">
        <v>0.92100000000000004</v>
      </c>
      <c r="AU951" s="2994">
        <v>0.9859</v>
      </c>
      <c r="AV951" s="2994">
        <v>0.86360000000000003</v>
      </c>
      <c r="AW951" s="2994">
        <v>1.149</v>
      </c>
      <c r="AX951" s="2994">
        <v>1.0455000000000001</v>
      </c>
      <c r="AY951" s="2994">
        <v>1.1204000000000001</v>
      </c>
      <c r="AZ951" s="2994">
        <v>1.1042000000000001</v>
      </c>
      <c r="BA951" s="2994">
        <v>1.0288999999999999</v>
      </c>
      <c r="BB951" s="2994">
        <v>1.1479999999999999</v>
      </c>
      <c r="BC951" s="2994">
        <v>1.1876</v>
      </c>
      <c r="BD951" s="3471">
        <v>1.2596000000000001</v>
      </c>
      <c r="BE951" s="3471">
        <v>1.1315</v>
      </c>
      <c r="BF951" s="3471">
        <v>1.2331000000000001</v>
      </c>
    </row>
    <row r="952" spans="1:58">
      <c r="A952" s="1817" t="str">
        <f t="shared" si="29"/>
        <v>Southern AsiaRaspberries</v>
      </c>
      <c r="B952" s="1818" t="s">
        <v>1326</v>
      </c>
      <c r="C952" s="1818" t="s">
        <v>7373</v>
      </c>
      <c r="D952" s="3463" t="str">
        <f>VLOOKUP(B952,List_Yield!$G$4:$J$14,4,FALSE)</f>
        <v>Asia (Indian Subcontinent)</v>
      </c>
      <c r="E952" s="3463" t="str">
        <f t="shared" si="28"/>
        <v>Asia (Indian Subcontinent)Raspberries</v>
      </c>
      <c r="F952" s="2994">
        <v>0</v>
      </c>
      <c r="G952" s="2994">
        <v>0</v>
      </c>
      <c r="H952" s="2994">
        <v>0</v>
      </c>
      <c r="I952" s="2994">
        <v>0</v>
      </c>
      <c r="J952" s="2994">
        <v>0</v>
      </c>
      <c r="K952" s="2994">
        <v>0</v>
      </c>
      <c r="L952" s="2994">
        <v>0</v>
      </c>
      <c r="M952" s="2994">
        <v>0</v>
      </c>
      <c r="N952" s="2994">
        <v>0</v>
      </c>
      <c r="O952" s="2994">
        <v>0</v>
      </c>
      <c r="P952" s="2994">
        <v>0</v>
      </c>
      <c r="Q952" s="2994">
        <v>0</v>
      </c>
      <c r="R952" s="2994">
        <v>0</v>
      </c>
      <c r="S952" s="2994">
        <v>0</v>
      </c>
      <c r="T952" s="2994">
        <v>0</v>
      </c>
      <c r="U952" s="2994">
        <v>0</v>
      </c>
      <c r="V952" s="2994">
        <v>0</v>
      </c>
      <c r="W952" s="2994">
        <v>0</v>
      </c>
      <c r="X952" s="2994">
        <v>0</v>
      </c>
      <c r="Y952" s="2994">
        <v>0</v>
      </c>
      <c r="Z952" s="2994">
        <v>0</v>
      </c>
      <c r="AA952" s="2994">
        <v>0</v>
      </c>
      <c r="AB952" s="2994">
        <v>0</v>
      </c>
      <c r="AC952" s="2994">
        <v>0</v>
      </c>
      <c r="AD952" s="2994">
        <v>0</v>
      </c>
      <c r="AE952" s="2994">
        <v>0</v>
      </c>
      <c r="AF952" s="2994">
        <v>0</v>
      </c>
      <c r="AG952" s="2994">
        <v>0</v>
      </c>
      <c r="AH952" s="2994">
        <v>0</v>
      </c>
      <c r="AI952" s="2994">
        <v>0</v>
      </c>
      <c r="AJ952" s="2994">
        <v>0</v>
      </c>
      <c r="AK952" s="2994">
        <v>0</v>
      </c>
      <c r="AL952" s="2994">
        <v>0</v>
      </c>
      <c r="AM952" s="2994">
        <v>0</v>
      </c>
      <c r="AN952" s="2994">
        <v>0</v>
      </c>
      <c r="AO952" s="2994">
        <v>0</v>
      </c>
      <c r="AP952" s="2994">
        <v>0</v>
      </c>
      <c r="AQ952" s="2994">
        <v>0</v>
      </c>
      <c r="AR952" s="2994">
        <v>0</v>
      </c>
      <c r="AS952" s="2994">
        <v>0</v>
      </c>
      <c r="AT952" s="2994">
        <v>0</v>
      </c>
      <c r="AU952" s="2994">
        <v>0</v>
      </c>
      <c r="AV952" s="2994">
        <v>0</v>
      </c>
      <c r="AW952" s="2994">
        <v>0</v>
      </c>
      <c r="AX952" s="2994">
        <v>0</v>
      </c>
      <c r="AY952" s="2994">
        <v>0</v>
      </c>
      <c r="AZ952" s="2994">
        <v>0</v>
      </c>
      <c r="BA952" s="2994">
        <v>0</v>
      </c>
      <c r="BB952" s="2994">
        <v>0</v>
      </c>
      <c r="BC952" s="2994">
        <v>0</v>
      </c>
      <c r="BD952" s="3471">
        <v>0</v>
      </c>
      <c r="BE952" s="3471">
        <v>0</v>
      </c>
      <c r="BF952" s="3471">
        <v>0</v>
      </c>
    </row>
    <row r="953" spans="1:58">
      <c r="A953" s="1817" t="str">
        <f t="shared" si="29"/>
        <v>Southern AsiaRice, paddy</v>
      </c>
      <c r="B953" s="1818" t="s">
        <v>1326</v>
      </c>
      <c r="C953" s="1818" t="s">
        <v>1370</v>
      </c>
      <c r="D953" s="3463" t="str">
        <f>VLOOKUP(B953,List_Yield!$G$4:$J$14,4,FALSE)</f>
        <v>Asia (Indian Subcontinent)</v>
      </c>
      <c r="E953" s="3463" t="str">
        <f t="shared" si="28"/>
        <v>Asia (Indian Subcontinent)Rice, paddy</v>
      </c>
      <c r="F953" s="2994">
        <v>1.5832999999999999</v>
      </c>
      <c r="G953" s="2994">
        <v>1.4483999999999999</v>
      </c>
      <c r="H953" s="2994">
        <v>1.6079000000000001</v>
      </c>
      <c r="I953" s="2994">
        <v>1.6519999999999999</v>
      </c>
      <c r="J953" s="2994">
        <v>1.4064000000000001</v>
      </c>
      <c r="K953" s="2994">
        <v>1.3849</v>
      </c>
      <c r="L953" s="2994">
        <v>1.6014999999999999</v>
      </c>
      <c r="M953" s="2994">
        <v>1.6739999999999999</v>
      </c>
      <c r="N953" s="2994">
        <v>1.6822999999999999</v>
      </c>
      <c r="O953" s="2994">
        <v>1.7226999999999999</v>
      </c>
      <c r="P953" s="2994">
        <v>1.7278</v>
      </c>
      <c r="Q953" s="2994">
        <v>1.6432</v>
      </c>
      <c r="R953" s="2994">
        <v>1.7830999999999999</v>
      </c>
      <c r="S953" s="2994">
        <v>1.6518999999999999</v>
      </c>
      <c r="T953" s="2994">
        <v>1.8884000000000001</v>
      </c>
      <c r="U953" s="2994">
        <v>1.7175</v>
      </c>
      <c r="V953" s="2994">
        <v>1.98</v>
      </c>
      <c r="W953" s="2994">
        <v>2.0121000000000002</v>
      </c>
      <c r="X953" s="2994">
        <v>1.7161</v>
      </c>
      <c r="Y953" s="2994">
        <v>2.0335000000000001</v>
      </c>
      <c r="Z953" s="2994">
        <v>2.0078999999999998</v>
      </c>
      <c r="AA953" s="2994">
        <v>1.9298999999999999</v>
      </c>
      <c r="AB953" s="2994">
        <v>2.2202999999999999</v>
      </c>
      <c r="AC953" s="2994">
        <v>2.1589</v>
      </c>
      <c r="AD953" s="2994">
        <v>2.3153999999999999</v>
      </c>
      <c r="AE953" s="2994">
        <v>2.2281</v>
      </c>
      <c r="AF953" s="2994">
        <v>2.2370999999999999</v>
      </c>
      <c r="AG953" s="2994">
        <v>2.4946999999999999</v>
      </c>
      <c r="AH953" s="2994">
        <v>2.5975999999999999</v>
      </c>
      <c r="AI953" s="2994">
        <v>2.6027999999999998</v>
      </c>
      <c r="AJ953" s="2994">
        <v>2.6305999999999998</v>
      </c>
      <c r="AK953" s="2994">
        <v>2.62</v>
      </c>
      <c r="AL953" s="2994">
        <v>2.8085</v>
      </c>
      <c r="AM953" s="2994">
        <v>2.7839</v>
      </c>
      <c r="AN953" s="2994">
        <v>2.7023999999999999</v>
      </c>
      <c r="AO953" s="2994">
        <v>2.8216000000000001</v>
      </c>
      <c r="AP953" s="2994">
        <v>2.8300999999999998</v>
      </c>
      <c r="AQ953" s="2994">
        <v>2.9022000000000001</v>
      </c>
      <c r="AR953" s="2994">
        <v>3.0215999999999998</v>
      </c>
      <c r="AS953" s="2994">
        <v>2.9792000000000001</v>
      </c>
      <c r="AT953" s="2994">
        <v>3.153</v>
      </c>
      <c r="AU953" s="2994">
        <v>2.8332000000000002</v>
      </c>
      <c r="AV953" s="2994">
        <v>3.2031999999999998</v>
      </c>
      <c r="AW953" s="2994">
        <v>3.0912999999999999</v>
      </c>
      <c r="AX953" s="2994">
        <v>3.2730999999999999</v>
      </c>
      <c r="AY953" s="2994">
        <v>3.3005</v>
      </c>
      <c r="AZ953" s="2994">
        <v>3.4325999999999999</v>
      </c>
      <c r="BA953" s="2994">
        <v>3.4262000000000001</v>
      </c>
      <c r="BB953" s="2994">
        <v>3.4552999999999998</v>
      </c>
      <c r="BC953" s="2994">
        <v>3.5501999999999998</v>
      </c>
      <c r="BD953" s="3471">
        <v>3.7349999999999999</v>
      </c>
      <c r="BE953" s="3471">
        <v>3.8671000000000002</v>
      </c>
      <c r="BF953" s="3471">
        <v>3.7904</v>
      </c>
    </row>
    <row r="954" spans="1:58">
      <c r="A954" s="1817" t="str">
        <f t="shared" si="29"/>
        <v>Southern AsiaRoots and tubers, nes</v>
      </c>
      <c r="B954" s="1818" t="s">
        <v>1326</v>
      </c>
      <c r="C954" s="1818" t="s">
        <v>7374</v>
      </c>
      <c r="D954" s="3463" t="str">
        <f>VLOOKUP(B954,List_Yield!$G$4:$J$14,4,FALSE)</f>
        <v>Asia (Indian Subcontinent)</v>
      </c>
      <c r="E954" s="3463" t="str">
        <f t="shared" si="28"/>
        <v>Asia (Indian Subcontinent)Roots and tubers, nes</v>
      </c>
      <c r="F954" s="2994">
        <v>5.2091000000000003</v>
      </c>
      <c r="G954" s="2994">
        <v>5.2276999999999996</v>
      </c>
      <c r="H954" s="2994">
        <v>5.2323000000000004</v>
      </c>
      <c r="I954" s="2994">
        <v>5.2093999999999996</v>
      </c>
      <c r="J954" s="2994">
        <v>5.2016</v>
      </c>
      <c r="K954" s="2994">
        <v>5.2221000000000002</v>
      </c>
      <c r="L954" s="2994">
        <v>5.2144000000000004</v>
      </c>
      <c r="M954" s="2994">
        <v>5.2077</v>
      </c>
      <c r="N954" s="2994">
        <v>5.2866999999999997</v>
      </c>
      <c r="O954" s="2994">
        <v>5.2393999999999998</v>
      </c>
      <c r="P954" s="2994">
        <v>5.2782</v>
      </c>
      <c r="Q954" s="2994">
        <v>5.2679999999999998</v>
      </c>
      <c r="R954" s="2994">
        <v>5.3163999999999998</v>
      </c>
      <c r="S954" s="2994">
        <v>5.3148999999999997</v>
      </c>
      <c r="T954" s="2994">
        <v>5.3178000000000001</v>
      </c>
      <c r="U954" s="2994">
        <v>5.2695999999999996</v>
      </c>
      <c r="V954" s="2994">
        <v>5.3251999999999997</v>
      </c>
      <c r="W954" s="2994">
        <v>5.3417000000000003</v>
      </c>
      <c r="X954" s="2994">
        <v>5.3636999999999997</v>
      </c>
      <c r="Y954" s="2994">
        <v>9.5269999999999992</v>
      </c>
      <c r="Z954" s="2994">
        <v>8.6071000000000009</v>
      </c>
      <c r="AA954" s="2994">
        <v>9.4623000000000008</v>
      </c>
      <c r="AB954" s="2994">
        <v>9.7563999999999993</v>
      </c>
      <c r="AC954" s="2994">
        <v>8.7272999999999996</v>
      </c>
      <c r="AD954" s="2994">
        <v>8.5181000000000004</v>
      </c>
      <c r="AE954" s="2994">
        <v>8.1961999999999993</v>
      </c>
      <c r="AF954" s="2994">
        <v>9.0261999999999993</v>
      </c>
      <c r="AG954" s="2994">
        <v>9.1935000000000002</v>
      </c>
      <c r="AH954" s="2994">
        <v>8.9628999999999994</v>
      </c>
      <c r="AI954" s="2994">
        <v>9.0623000000000005</v>
      </c>
      <c r="AJ954" s="2994">
        <v>9.3508999999999993</v>
      </c>
      <c r="AK954" s="2994">
        <v>9.6469000000000005</v>
      </c>
      <c r="AL954" s="2994">
        <v>10.0007</v>
      </c>
      <c r="AM954" s="2994">
        <v>10.224</v>
      </c>
      <c r="AN954" s="2994">
        <v>10.8987</v>
      </c>
      <c r="AO954" s="2994">
        <v>11.317</v>
      </c>
      <c r="AP954" s="2994">
        <v>11.4291</v>
      </c>
      <c r="AQ954" s="2994">
        <v>11.535399999999999</v>
      </c>
      <c r="AR954" s="2994">
        <v>11.41</v>
      </c>
      <c r="AS954" s="2994">
        <v>11.345800000000001</v>
      </c>
      <c r="AT954" s="2994">
        <v>11.1076</v>
      </c>
      <c r="AU954" s="2994">
        <v>10.621600000000001</v>
      </c>
      <c r="AV954" s="2994">
        <v>10.4413</v>
      </c>
      <c r="AW954" s="2994">
        <v>10.89</v>
      </c>
      <c r="AX954" s="2994">
        <v>10.7578</v>
      </c>
      <c r="AY954" s="2994">
        <v>10.707599999999999</v>
      </c>
      <c r="AZ954" s="2994">
        <v>10.6959</v>
      </c>
      <c r="BA954" s="2994">
        <v>10.6066</v>
      </c>
      <c r="BB954" s="2994">
        <v>10.255599999999999</v>
      </c>
      <c r="BC954" s="2994">
        <v>10.0665</v>
      </c>
      <c r="BD954" s="3471">
        <v>10.963699999999999</v>
      </c>
      <c r="BE954" s="3471">
        <v>11.103</v>
      </c>
      <c r="BF954" s="3471">
        <v>11.0761</v>
      </c>
    </row>
    <row r="955" spans="1:58">
      <c r="A955" s="1817" t="str">
        <f t="shared" si="29"/>
        <v>Southern AsiaRubber, natural</v>
      </c>
      <c r="B955" s="1818" t="s">
        <v>1326</v>
      </c>
      <c r="C955" s="1818" t="s">
        <v>7375</v>
      </c>
      <c r="D955" s="3463" t="str">
        <f>VLOOKUP(B955,List_Yield!$G$4:$J$14,4,FALSE)</f>
        <v>Asia (Indian Subcontinent)</v>
      </c>
      <c r="E955" s="3463" t="str">
        <f t="shared" si="28"/>
        <v>Asia (Indian Subcontinent)Rubber, natural</v>
      </c>
      <c r="F955" s="2994">
        <v>0.47899999999999998</v>
      </c>
      <c r="G955" s="2994">
        <v>0.48130000000000001</v>
      </c>
      <c r="H955" s="2994">
        <v>0.48970000000000002</v>
      </c>
      <c r="I955" s="2994">
        <v>0.51200000000000001</v>
      </c>
      <c r="J955" s="2994">
        <v>0.53620000000000001</v>
      </c>
      <c r="K955" s="2994">
        <v>0.57709999999999995</v>
      </c>
      <c r="L955" s="2994">
        <v>0.61650000000000005</v>
      </c>
      <c r="M955" s="2994">
        <v>0.63639999999999997</v>
      </c>
      <c r="N955" s="2994">
        <v>0.65849999999999997</v>
      </c>
      <c r="O955" s="2994">
        <v>0.67669999999999997</v>
      </c>
      <c r="P955" s="2994">
        <v>0.62749999999999995</v>
      </c>
      <c r="Q955" s="2994">
        <v>0.64590000000000003</v>
      </c>
      <c r="R955" s="2994">
        <v>0.69630000000000003</v>
      </c>
      <c r="S955" s="2994">
        <v>0.65280000000000005</v>
      </c>
      <c r="T955" s="2994">
        <v>0.69950000000000001</v>
      </c>
      <c r="U955" s="2994">
        <v>0.71589999999999998</v>
      </c>
      <c r="V955" s="2994">
        <v>0.71709999999999996</v>
      </c>
      <c r="W955" s="2994">
        <v>0.72519999999999996</v>
      </c>
      <c r="X955" s="2994">
        <v>0.69110000000000005</v>
      </c>
      <c r="Y955" s="2994">
        <v>0.67869999999999997</v>
      </c>
      <c r="Z955" s="2994">
        <v>0.65239999999999998</v>
      </c>
      <c r="AA955" s="2994">
        <v>0.69210000000000005</v>
      </c>
      <c r="AB955" s="2994">
        <v>0.75470000000000004</v>
      </c>
      <c r="AC955" s="2994">
        <v>0.77349999999999997</v>
      </c>
      <c r="AD955" s="2994">
        <v>0.77880000000000005</v>
      </c>
      <c r="AE955" s="2994">
        <v>0.78949999999999998</v>
      </c>
      <c r="AF955" s="2994">
        <v>0.77180000000000004</v>
      </c>
      <c r="AG955" s="2994">
        <v>0.79579999999999995</v>
      </c>
      <c r="AH955" s="2994">
        <v>0.79479999999999995</v>
      </c>
      <c r="AI955" s="2994">
        <v>0.82150000000000001</v>
      </c>
      <c r="AJ955" s="2994">
        <v>0.84289999999999998</v>
      </c>
      <c r="AK955" s="2994">
        <v>0.88600000000000001</v>
      </c>
      <c r="AL955" s="2994">
        <v>0.9345</v>
      </c>
      <c r="AM955" s="2994">
        <v>0.9637</v>
      </c>
      <c r="AN955" s="2994">
        <v>1.0623</v>
      </c>
      <c r="AO955" s="2994">
        <v>1.1144000000000001</v>
      </c>
      <c r="AP955" s="2994">
        <v>1.1635</v>
      </c>
      <c r="AQ955" s="2994">
        <v>1.2190000000000001</v>
      </c>
      <c r="AR955" s="2994">
        <v>1.2330000000000001</v>
      </c>
      <c r="AS955" s="2994">
        <v>1.2390000000000001</v>
      </c>
      <c r="AT955" s="2994">
        <v>1.1753</v>
      </c>
      <c r="AU955" s="2994">
        <v>1.2966</v>
      </c>
      <c r="AV955" s="2994">
        <v>1.3555999999999999</v>
      </c>
      <c r="AW955" s="2994">
        <v>1.3940999999999999</v>
      </c>
      <c r="AX955" s="2994">
        <v>1.4821</v>
      </c>
      <c r="AY955" s="2994">
        <v>1.5515000000000001</v>
      </c>
      <c r="AZ955" s="2994">
        <v>1.5065</v>
      </c>
      <c r="BA955" s="2994">
        <v>1.5749</v>
      </c>
      <c r="BB955" s="2994">
        <v>1.4994000000000001</v>
      </c>
      <c r="BC955" s="2994">
        <v>1.5472999999999999</v>
      </c>
      <c r="BD955" s="3471">
        <v>1.5401</v>
      </c>
      <c r="BE955" s="3471">
        <v>1.5246999999999999</v>
      </c>
      <c r="BF955" s="3471">
        <v>0</v>
      </c>
    </row>
    <row r="956" spans="1:58">
      <c r="A956" s="1817" t="str">
        <f t="shared" si="29"/>
        <v>Southern AsiaRye</v>
      </c>
      <c r="B956" s="1818" t="s">
        <v>1326</v>
      </c>
      <c r="C956" s="1818" t="s">
        <v>1327</v>
      </c>
      <c r="D956" s="3463" t="str">
        <f>VLOOKUP(B956,List_Yield!$G$4:$J$14,4,FALSE)</f>
        <v>Asia (Indian Subcontinent)</v>
      </c>
      <c r="E956" s="3463" t="str">
        <f t="shared" si="28"/>
        <v>Asia (Indian Subcontinent)Rye</v>
      </c>
      <c r="F956" s="2994">
        <v>0</v>
      </c>
      <c r="G956" s="2994">
        <v>0</v>
      </c>
      <c r="H956" s="2994">
        <v>0</v>
      </c>
      <c r="I956" s="2994">
        <v>0</v>
      </c>
      <c r="J956" s="2994">
        <v>0</v>
      </c>
      <c r="K956" s="2994">
        <v>0</v>
      </c>
      <c r="L956" s="2994">
        <v>0</v>
      </c>
      <c r="M956" s="2994">
        <v>0</v>
      </c>
      <c r="N956" s="2994">
        <v>0</v>
      </c>
      <c r="O956" s="2994">
        <v>0</v>
      </c>
      <c r="P956" s="2994">
        <v>0</v>
      </c>
      <c r="Q956" s="2994">
        <v>0</v>
      </c>
      <c r="R956" s="2994">
        <v>0</v>
      </c>
      <c r="S956" s="2994">
        <v>0</v>
      </c>
      <c r="T956" s="2994">
        <v>0</v>
      </c>
      <c r="U956" s="2994">
        <v>0</v>
      </c>
      <c r="V956" s="2994">
        <v>0</v>
      </c>
      <c r="W956" s="2994">
        <v>0</v>
      </c>
      <c r="X956" s="2994">
        <v>0</v>
      </c>
      <c r="Y956" s="2994">
        <v>0</v>
      </c>
      <c r="Z956" s="2994">
        <v>0</v>
      </c>
      <c r="AA956" s="2994">
        <v>0</v>
      </c>
      <c r="AB956" s="2994">
        <v>0</v>
      </c>
      <c r="AC956" s="2994">
        <v>0</v>
      </c>
      <c r="AD956" s="2994">
        <v>0</v>
      </c>
      <c r="AE956" s="2994">
        <v>0</v>
      </c>
      <c r="AF956" s="2994">
        <v>0</v>
      </c>
      <c r="AG956" s="2994">
        <v>0.61899999999999999</v>
      </c>
      <c r="AH956" s="2994">
        <v>0</v>
      </c>
      <c r="AI956" s="2994">
        <v>0</v>
      </c>
      <c r="AJ956" s="2994">
        <v>0</v>
      </c>
      <c r="AK956" s="2994">
        <v>0</v>
      </c>
      <c r="AL956" s="2994">
        <v>0</v>
      </c>
      <c r="AM956" s="2994">
        <v>0</v>
      </c>
      <c r="AN956" s="2994">
        <v>0</v>
      </c>
      <c r="AO956" s="2994">
        <v>0</v>
      </c>
      <c r="AP956" s="2994">
        <v>0</v>
      </c>
      <c r="AQ956" s="2994">
        <v>0</v>
      </c>
      <c r="AR956" s="2994">
        <v>0</v>
      </c>
      <c r="AS956" s="2994">
        <v>0</v>
      </c>
      <c r="AT956" s="2994">
        <v>0</v>
      </c>
      <c r="AU956" s="2994">
        <v>0</v>
      </c>
      <c r="AV956" s="2994">
        <v>0</v>
      </c>
      <c r="AW956" s="2994">
        <v>0</v>
      </c>
      <c r="AX956" s="2994">
        <v>0</v>
      </c>
      <c r="AY956" s="2994">
        <v>0</v>
      </c>
      <c r="AZ956" s="2994">
        <v>0</v>
      </c>
      <c r="BA956" s="2994">
        <v>0</v>
      </c>
      <c r="BB956" s="2994">
        <v>0</v>
      </c>
      <c r="BC956" s="2994">
        <v>0</v>
      </c>
      <c r="BD956" s="3471">
        <v>0</v>
      </c>
      <c r="BE956" s="3471">
        <v>0</v>
      </c>
      <c r="BF956" s="3471">
        <v>0</v>
      </c>
    </row>
    <row r="957" spans="1:58">
      <c r="A957" s="1817" t="str">
        <f t="shared" si="29"/>
        <v>Southern AsiaSafflower seed</v>
      </c>
      <c r="B957" s="1818" t="s">
        <v>1326</v>
      </c>
      <c r="C957" s="1818" t="s">
        <v>7376</v>
      </c>
      <c r="D957" s="3463" t="str">
        <f>VLOOKUP(B957,List_Yield!$G$4:$J$14,4,FALSE)</f>
        <v>Asia (Indian Subcontinent)</v>
      </c>
      <c r="E957" s="3463" t="str">
        <f t="shared" ref="E957:E1020" si="30">CONCATENATE(D957,C957)</f>
        <v>Asia (Indian Subcontinent)Safflower seed</v>
      </c>
      <c r="F957" s="2994">
        <v>0.15</v>
      </c>
      <c r="G957" s="2994">
        <v>0.15060000000000001</v>
      </c>
      <c r="H957" s="2994">
        <v>0.15110000000000001</v>
      </c>
      <c r="I957" s="2994">
        <v>0.1363</v>
      </c>
      <c r="J957" s="2994">
        <v>0.15540000000000001</v>
      </c>
      <c r="K957" s="2994">
        <v>0.14940000000000001</v>
      </c>
      <c r="L957" s="2994">
        <v>0.15060000000000001</v>
      </c>
      <c r="M957" s="2994">
        <v>0.1517</v>
      </c>
      <c r="N957" s="2994">
        <v>0.16250000000000001</v>
      </c>
      <c r="O957" s="2994">
        <v>0.2462</v>
      </c>
      <c r="P957" s="2994">
        <v>0.26219999999999999</v>
      </c>
      <c r="Q957" s="2994">
        <v>0.21840000000000001</v>
      </c>
      <c r="R957" s="2994">
        <v>0.1933</v>
      </c>
      <c r="S957" s="2994">
        <v>0.31119999999999998</v>
      </c>
      <c r="T957" s="2994">
        <v>0.32719999999999999</v>
      </c>
      <c r="U957" s="2994">
        <v>0.3538</v>
      </c>
      <c r="V957" s="2994">
        <v>0.3216</v>
      </c>
      <c r="W957" s="2994">
        <v>0.26590000000000003</v>
      </c>
      <c r="X957" s="2994">
        <v>0.29749999999999999</v>
      </c>
      <c r="Y957" s="2994">
        <v>0.38119999999999998</v>
      </c>
      <c r="Z957" s="2994">
        <v>0.46689999999999998</v>
      </c>
      <c r="AA957" s="2994">
        <v>0.56579999999999997</v>
      </c>
      <c r="AB957" s="2994">
        <v>0.50919999999999999</v>
      </c>
      <c r="AC957" s="2994">
        <v>0.60240000000000005</v>
      </c>
      <c r="AD957" s="2994">
        <v>0.56110000000000004</v>
      </c>
      <c r="AE957" s="2994">
        <v>0.38379999999999997</v>
      </c>
      <c r="AF957" s="2994">
        <v>0.39500000000000002</v>
      </c>
      <c r="AG957" s="2994">
        <v>0.43940000000000001</v>
      </c>
      <c r="AH957" s="2994">
        <v>0.54549999999999998</v>
      </c>
      <c r="AI957" s="2994">
        <v>0.5776</v>
      </c>
      <c r="AJ957" s="2994">
        <v>0.38900000000000001</v>
      </c>
      <c r="AK957" s="2994">
        <v>0.40489999999999998</v>
      </c>
      <c r="AL957" s="2994">
        <v>0.47449999999999998</v>
      </c>
      <c r="AM957" s="2994">
        <v>0.65780000000000005</v>
      </c>
      <c r="AN957" s="2994">
        <v>0.53490000000000004</v>
      </c>
      <c r="AO957" s="2994">
        <v>0.56069999999999998</v>
      </c>
      <c r="AP957" s="2994">
        <v>0.61419999999999997</v>
      </c>
      <c r="AQ957" s="2994">
        <v>0.5998</v>
      </c>
      <c r="AR957" s="2994">
        <v>0.55020000000000002</v>
      </c>
      <c r="AS957" s="2994">
        <v>0.59379999999999999</v>
      </c>
      <c r="AT957" s="2994">
        <v>0.47570000000000001</v>
      </c>
      <c r="AU957" s="2994">
        <v>0.56889999999999996</v>
      </c>
      <c r="AV957" s="2994">
        <v>0.48349999999999999</v>
      </c>
      <c r="AW957" s="2994">
        <v>0.37140000000000001</v>
      </c>
      <c r="AX957" s="2994">
        <v>0.4708</v>
      </c>
      <c r="AY957" s="2994">
        <v>0.62719999999999998</v>
      </c>
      <c r="AZ957" s="2994">
        <v>0.68600000000000005</v>
      </c>
      <c r="BA957" s="2994">
        <v>0.64219999999999999</v>
      </c>
      <c r="BB957" s="2994">
        <v>0.64259999999999995</v>
      </c>
      <c r="BC957" s="2994">
        <v>0.62160000000000004</v>
      </c>
      <c r="BD957" s="3471">
        <v>0.65510000000000002</v>
      </c>
      <c r="BE957" s="3471">
        <v>0.81420000000000003</v>
      </c>
      <c r="BF957" s="3471">
        <v>0.72650000000000003</v>
      </c>
    </row>
    <row r="958" spans="1:58">
      <c r="A958" s="1817" t="str">
        <f t="shared" si="29"/>
        <v>Southern AsiaSeed cotton</v>
      </c>
      <c r="B958" s="1818" t="s">
        <v>1326</v>
      </c>
      <c r="C958" s="1818" t="s">
        <v>1371</v>
      </c>
      <c r="D958" s="3463" t="str">
        <f>VLOOKUP(B958,List_Yield!$G$4:$J$14,4,FALSE)</f>
        <v>Asia (Indian Subcontinent)</v>
      </c>
      <c r="E958" s="3463" t="str">
        <f t="shared" si="30"/>
        <v>Asia (Indian Subcontinent)Seed cotton</v>
      </c>
      <c r="F958" s="2994">
        <v>0.43719999999999998</v>
      </c>
      <c r="G958" s="2994">
        <v>0.50019999999999998</v>
      </c>
      <c r="H958" s="2994">
        <v>0.52639999999999998</v>
      </c>
      <c r="I958" s="2994">
        <v>0.48299999999999998</v>
      </c>
      <c r="J958" s="2994">
        <v>0.49559999999999998</v>
      </c>
      <c r="K958" s="2994">
        <v>0.50390000000000001</v>
      </c>
      <c r="L958" s="2994">
        <v>0.54379999999999995</v>
      </c>
      <c r="M958" s="2994">
        <v>0.56369999999999998</v>
      </c>
      <c r="N958" s="2994">
        <v>0.55620000000000003</v>
      </c>
      <c r="O958" s="2994">
        <v>0.53449999999999998</v>
      </c>
      <c r="P958" s="2994">
        <v>0.64980000000000004</v>
      </c>
      <c r="Q958" s="2994">
        <v>0.63519999999999999</v>
      </c>
      <c r="R958" s="2994">
        <v>0.65539999999999998</v>
      </c>
      <c r="S958" s="2994">
        <v>0.67330000000000001</v>
      </c>
      <c r="T958" s="2994">
        <v>0.59770000000000001</v>
      </c>
      <c r="U958" s="2994">
        <v>0.58169999999999999</v>
      </c>
      <c r="V958" s="2994">
        <v>0.6159</v>
      </c>
      <c r="W958" s="2994">
        <v>0.59760000000000002</v>
      </c>
      <c r="X958" s="2994">
        <v>0.64219999999999999</v>
      </c>
      <c r="Y958" s="2994">
        <v>0.63970000000000005</v>
      </c>
      <c r="Z958" s="2994">
        <v>0.64159999999999995</v>
      </c>
      <c r="AA958" s="2994">
        <v>0.6633</v>
      </c>
      <c r="AB958" s="2994">
        <v>0.51449999999999996</v>
      </c>
      <c r="AC958" s="2994">
        <v>0.80489999999999995</v>
      </c>
      <c r="AD958" s="2994">
        <v>0.85319999999999996</v>
      </c>
      <c r="AE958" s="2994">
        <v>0.82920000000000005</v>
      </c>
      <c r="AF958" s="2994">
        <v>0.88400000000000001</v>
      </c>
      <c r="AG958" s="2994">
        <v>0.91849999999999998</v>
      </c>
      <c r="AH958" s="2994">
        <v>1.0293000000000001</v>
      </c>
      <c r="AI958" s="2994">
        <v>1.0274000000000001</v>
      </c>
      <c r="AJ958" s="2994">
        <v>1.1338999999999999</v>
      </c>
      <c r="AK958" s="2994">
        <v>1.0464</v>
      </c>
      <c r="AL958" s="2994">
        <v>0.98740000000000006</v>
      </c>
      <c r="AM958" s="2994">
        <v>1.0410999999999999</v>
      </c>
      <c r="AN958" s="2994">
        <v>1.0379</v>
      </c>
      <c r="AO958" s="2994">
        <v>1.0286999999999999</v>
      </c>
      <c r="AP958" s="2994">
        <v>0.90539999999999998</v>
      </c>
      <c r="AQ958" s="2994">
        <v>0.92120000000000002</v>
      </c>
      <c r="AR958" s="2994">
        <v>1.0357000000000001</v>
      </c>
      <c r="AS958" s="2994">
        <v>0.94769999999999999</v>
      </c>
      <c r="AT958" s="2994">
        <v>0.90049999999999997</v>
      </c>
      <c r="AU958" s="2994">
        <v>0.95860000000000001</v>
      </c>
      <c r="AV958" s="2994">
        <v>1.1929000000000001</v>
      </c>
      <c r="AW958" s="2994">
        <v>1.3534999999999999</v>
      </c>
      <c r="AX958" s="2994">
        <v>1.4116</v>
      </c>
      <c r="AY958" s="2994">
        <v>1.5065</v>
      </c>
      <c r="AZ958" s="2994">
        <v>1.5687</v>
      </c>
      <c r="BA958" s="2994">
        <v>1.4490000000000001</v>
      </c>
      <c r="BB958" s="2994">
        <v>1.4327000000000001</v>
      </c>
      <c r="BC958" s="2994">
        <v>1.6954</v>
      </c>
      <c r="BD958" s="3471">
        <v>1.7191000000000001</v>
      </c>
      <c r="BE958" s="3471">
        <v>1.6491</v>
      </c>
      <c r="BF958" s="3471">
        <v>1.7322</v>
      </c>
    </row>
    <row r="959" spans="1:58">
      <c r="A959" s="1817" t="str">
        <f t="shared" si="29"/>
        <v>Southern AsiaSesame seed</v>
      </c>
      <c r="B959" s="1818" t="s">
        <v>1326</v>
      </c>
      <c r="C959" s="1818" t="s">
        <v>1319</v>
      </c>
      <c r="D959" s="3463" t="str">
        <f>VLOOKUP(B959,List_Yield!$G$4:$J$14,4,FALSE)</f>
        <v>Asia (Indian Subcontinent)</v>
      </c>
      <c r="E959" s="3463" t="str">
        <f t="shared" si="30"/>
        <v>Asia (Indian Subcontinent)Sesame seed</v>
      </c>
      <c r="F959" s="2994">
        <v>0.18279999999999999</v>
      </c>
      <c r="G959" s="2994">
        <v>0.20780000000000001</v>
      </c>
      <c r="H959" s="2994">
        <v>0.1983</v>
      </c>
      <c r="I959" s="2994">
        <v>0.20849999999999999</v>
      </c>
      <c r="J959" s="2994">
        <v>0.18440000000000001</v>
      </c>
      <c r="K959" s="2994">
        <v>0.1653</v>
      </c>
      <c r="L959" s="2994">
        <v>0.18590000000000001</v>
      </c>
      <c r="M959" s="2994">
        <v>0.19470000000000001</v>
      </c>
      <c r="N959" s="2994">
        <v>0.21490000000000001</v>
      </c>
      <c r="O959" s="2994">
        <v>0.24959999999999999</v>
      </c>
      <c r="P959" s="2994">
        <v>0.20599999999999999</v>
      </c>
      <c r="Q959" s="2994">
        <v>0.18679999999999999</v>
      </c>
      <c r="R959" s="2994">
        <v>0.22109999999999999</v>
      </c>
      <c r="S959" s="2994">
        <v>0.19620000000000001</v>
      </c>
      <c r="T959" s="2994">
        <v>0.23930000000000001</v>
      </c>
      <c r="U959" s="2994">
        <v>0.2059</v>
      </c>
      <c r="V959" s="2994">
        <v>0.23599999999999999</v>
      </c>
      <c r="W959" s="2994">
        <v>0.23899999999999999</v>
      </c>
      <c r="X959" s="2994">
        <v>0.1757</v>
      </c>
      <c r="Y959" s="2994">
        <v>0.20649999999999999</v>
      </c>
      <c r="Z959" s="2994">
        <v>0.24990000000000001</v>
      </c>
      <c r="AA959" s="2994">
        <v>0.27429999999999999</v>
      </c>
      <c r="AB959" s="2994">
        <v>0.27989999999999998</v>
      </c>
      <c r="AC959" s="2994">
        <v>0.27060000000000001</v>
      </c>
      <c r="AD959" s="2994">
        <v>0.25480000000000003</v>
      </c>
      <c r="AE959" s="2994">
        <v>0.23680000000000001</v>
      </c>
      <c r="AF959" s="2994">
        <v>0.29499999999999998</v>
      </c>
      <c r="AG959" s="2994">
        <v>0.29870000000000002</v>
      </c>
      <c r="AH959" s="2994">
        <v>0.33210000000000001</v>
      </c>
      <c r="AI959" s="2994">
        <v>0.34910000000000002</v>
      </c>
      <c r="AJ959" s="2994">
        <v>0.28860000000000002</v>
      </c>
      <c r="AK959" s="2994">
        <v>0.37780000000000002</v>
      </c>
      <c r="AL959" s="2994">
        <v>0.2888</v>
      </c>
      <c r="AM959" s="2994">
        <v>0.32829999999999998</v>
      </c>
      <c r="AN959" s="2994">
        <v>0.32240000000000002</v>
      </c>
      <c r="AO959" s="2994">
        <v>0.34520000000000001</v>
      </c>
      <c r="AP959" s="2994">
        <v>0.36870000000000003</v>
      </c>
      <c r="AQ959" s="2994">
        <v>0.35959999999999998</v>
      </c>
      <c r="AR959" s="2994">
        <v>0.33800000000000002</v>
      </c>
      <c r="AS959" s="2994">
        <v>0.33260000000000001</v>
      </c>
      <c r="AT959" s="2994">
        <v>0.4385</v>
      </c>
      <c r="AU959" s="2994">
        <v>0.3271</v>
      </c>
      <c r="AV959" s="2994">
        <v>0.47349999999999998</v>
      </c>
      <c r="AW959" s="2994">
        <v>0.39410000000000001</v>
      </c>
      <c r="AX959" s="2994">
        <v>0.40439999999999998</v>
      </c>
      <c r="AY959" s="2994">
        <v>0.4017</v>
      </c>
      <c r="AZ959" s="2994">
        <v>0.44040000000000001</v>
      </c>
      <c r="BA959" s="2994">
        <v>0.38250000000000001</v>
      </c>
      <c r="BB959" s="2994">
        <v>0.33529999999999999</v>
      </c>
      <c r="BC959" s="2994">
        <v>0.44950000000000001</v>
      </c>
      <c r="BD959" s="3471">
        <v>0.44469999999999998</v>
      </c>
      <c r="BE959" s="3471">
        <v>0.41110000000000002</v>
      </c>
      <c r="BF959" s="3471">
        <v>0.37890000000000001</v>
      </c>
    </row>
    <row r="960" spans="1:58">
      <c r="A960" s="1817" t="str">
        <f t="shared" si="29"/>
        <v>Southern AsiaSisal</v>
      </c>
      <c r="B960" s="1818" t="s">
        <v>1326</v>
      </c>
      <c r="C960" s="1818" t="s">
        <v>1372</v>
      </c>
      <c r="D960" s="3463" t="str">
        <f>VLOOKUP(B960,List_Yield!$G$4:$J$14,4,FALSE)</f>
        <v>Asia (Indian Subcontinent)</v>
      </c>
      <c r="E960" s="3463" t="str">
        <f t="shared" si="30"/>
        <v>Asia (Indian Subcontinent)Sisal</v>
      </c>
      <c r="F960" s="2994">
        <v>0</v>
      </c>
      <c r="G960" s="2994">
        <v>0</v>
      </c>
      <c r="H960" s="2994">
        <v>0</v>
      </c>
      <c r="I960" s="2994">
        <v>0</v>
      </c>
      <c r="J960" s="2994">
        <v>0</v>
      </c>
      <c r="K960" s="2994">
        <v>0</v>
      </c>
      <c r="L960" s="2994">
        <v>0</v>
      </c>
      <c r="M960" s="2994">
        <v>0</v>
      </c>
      <c r="N960" s="2994">
        <v>0</v>
      </c>
      <c r="O960" s="2994">
        <v>0</v>
      </c>
      <c r="P960" s="2994">
        <v>0</v>
      </c>
      <c r="Q960" s="2994">
        <v>0</v>
      </c>
      <c r="R960" s="2994">
        <v>0</v>
      </c>
      <c r="S960" s="2994">
        <v>0</v>
      </c>
      <c r="T960" s="2994">
        <v>0</v>
      </c>
      <c r="U960" s="2994">
        <v>0</v>
      </c>
      <c r="V960" s="2994">
        <v>0</v>
      </c>
      <c r="W960" s="2994">
        <v>0</v>
      </c>
      <c r="X960" s="2994">
        <v>0</v>
      </c>
      <c r="Y960" s="2994">
        <v>0</v>
      </c>
      <c r="Z960" s="2994">
        <v>0</v>
      </c>
      <c r="AA960" s="2994">
        <v>0</v>
      </c>
      <c r="AB960" s="2994">
        <v>0</v>
      </c>
      <c r="AC960" s="2994">
        <v>0</v>
      </c>
      <c r="AD960" s="2994">
        <v>0</v>
      </c>
      <c r="AE960" s="2994">
        <v>0</v>
      </c>
      <c r="AF960" s="2994">
        <v>0</v>
      </c>
      <c r="AG960" s="2994">
        <v>0</v>
      </c>
      <c r="AH960" s="2994">
        <v>0</v>
      </c>
      <c r="AI960" s="2994">
        <v>0</v>
      </c>
      <c r="AJ960" s="2994">
        <v>0</v>
      </c>
      <c r="AK960" s="2994">
        <v>0</v>
      </c>
      <c r="AL960" s="2994">
        <v>0</v>
      </c>
      <c r="AM960" s="2994">
        <v>0</v>
      </c>
      <c r="AN960" s="2994">
        <v>0</v>
      </c>
      <c r="AO960" s="2994">
        <v>0</v>
      </c>
      <c r="AP960" s="2994">
        <v>0</v>
      </c>
      <c r="AQ960" s="2994">
        <v>0</v>
      </c>
      <c r="AR960" s="2994">
        <v>0</v>
      </c>
      <c r="AS960" s="2994">
        <v>0</v>
      </c>
      <c r="AT960" s="2994">
        <v>0</v>
      </c>
      <c r="AU960" s="2994">
        <v>0</v>
      </c>
      <c r="AV960" s="2994">
        <v>0</v>
      </c>
      <c r="AW960" s="2994">
        <v>0</v>
      </c>
      <c r="AX960" s="2994">
        <v>0</v>
      </c>
      <c r="AY960" s="2994">
        <v>0</v>
      </c>
      <c r="AZ960" s="2994">
        <v>0</v>
      </c>
      <c r="BA960" s="2994">
        <v>0</v>
      </c>
      <c r="BB960" s="2994">
        <v>0</v>
      </c>
      <c r="BC960" s="2994">
        <v>0</v>
      </c>
      <c r="BD960" s="3471">
        <v>0</v>
      </c>
      <c r="BE960" s="3471">
        <v>0</v>
      </c>
      <c r="BF960" s="3471">
        <v>0</v>
      </c>
    </row>
    <row r="961" spans="1:58">
      <c r="A961" s="1817" t="str">
        <f t="shared" si="29"/>
        <v>Southern AsiaSorghum</v>
      </c>
      <c r="B961" s="1818" t="s">
        <v>1326</v>
      </c>
      <c r="C961" s="1818" t="s">
        <v>1373</v>
      </c>
      <c r="D961" s="3463" t="str">
        <f>VLOOKUP(B961,List_Yield!$G$4:$J$14,4,FALSE)</f>
        <v>Asia (Indian Subcontinent)</v>
      </c>
      <c r="E961" s="3463" t="str">
        <f t="shared" si="30"/>
        <v>Asia (Indian Subcontinent)Sorghum</v>
      </c>
      <c r="F961" s="2994">
        <v>0.44119999999999998</v>
      </c>
      <c r="G961" s="2994">
        <v>0.52910000000000001</v>
      </c>
      <c r="H961" s="2994">
        <v>0.50080000000000002</v>
      </c>
      <c r="I961" s="2994">
        <v>0.53520000000000001</v>
      </c>
      <c r="J961" s="2994">
        <v>0.4299</v>
      </c>
      <c r="K961" s="2994">
        <v>0.51049999999999995</v>
      </c>
      <c r="L961" s="2994">
        <v>0.54400000000000004</v>
      </c>
      <c r="M961" s="2994">
        <v>0.52410000000000001</v>
      </c>
      <c r="N961" s="2994">
        <v>0.52390000000000003</v>
      </c>
      <c r="O961" s="2994">
        <v>0.47039999999999998</v>
      </c>
      <c r="P961" s="2994">
        <v>0.46479999999999999</v>
      </c>
      <c r="Q961" s="2994">
        <v>0.45400000000000001</v>
      </c>
      <c r="R961" s="2994">
        <v>0.54759999999999998</v>
      </c>
      <c r="S961" s="2994">
        <v>0.6421</v>
      </c>
      <c r="T961" s="2994">
        <v>0.5907</v>
      </c>
      <c r="U961" s="2994">
        <v>0.66510000000000002</v>
      </c>
      <c r="V961" s="2994">
        <v>0.73340000000000005</v>
      </c>
      <c r="W961" s="2994">
        <v>0.70350000000000001</v>
      </c>
      <c r="X961" s="2994">
        <v>0.69589999999999996</v>
      </c>
      <c r="Y961" s="2994">
        <v>0.65800000000000003</v>
      </c>
      <c r="Z961" s="2994">
        <v>0.72309999999999997</v>
      </c>
      <c r="AA961" s="2994">
        <v>0.65459999999999996</v>
      </c>
      <c r="AB961" s="2994">
        <v>0.72170000000000001</v>
      </c>
      <c r="AC961" s="2994">
        <v>0.71220000000000006</v>
      </c>
      <c r="AD961" s="2994">
        <v>0.63239999999999996</v>
      </c>
      <c r="AE961" s="2994">
        <v>0.57630000000000003</v>
      </c>
      <c r="AF961" s="2994">
        <v>0.75839999999999996</v>
      </c>
      <c r="AG961" s="2994">
        <v>0.69320000000000004</v>
      </c>
      <c r="AH961" s="2994">
        <v>0.86140000000000005</v>
      </c>
      <c r="AI961" s="2994">
        <v>0.80679999999999996</v>
      </c>
      <c r="AJ961" s="2994">
        <v>0.6532</v>
      </c>
      <c r="AK961" s="2994">
        <v>0.97019999999999995</v>
      </c>
      <c r="AL961" s="2994">
        <v>0.88929999999999998</v>
      </c>
      <c r="AM961" s="2994">
        <v>0.77210000000000001</v>
      </c>
      <c r="AN961" s="2994">
        <v>0.81589999999999996</v>
      </c>
      <c r="AO961" s="2994">
        <v>0.9476</v>
      </c>
      <c r="AP961" s="2994">
        <v>0.68859999999999999</v>
      </c>
      <c r="AQ961" s="2994">
        <v>0.84930000000000005</v>
      </c>
      <c r="AR961" s="2994">
        <v>0.83950000000000002</v>
      </c>
      <c r="AS961" s="2994">
        <v>0.75890000000000002</v>
      </c>
      <c r="AT961" s="2994">
        <v>0.76619999999999999</v>
      </c>
      <c r="AU961" s="2994">
        <v>0.75460000000000005</v>
      </c>
      <c r="AV961" s="2994">
        <v>0.74809999999999999</v>
      </c>
      <c r="AW961" s="2994">
        <v>0.71260000000000001</v>
      </c>
      <c r="AX961" s="2994">
        <v>0.79139999999999999</v>
      </c>
      <c r="AY961" s="2994">
        <v>0.87170000000000003</v>
      </c>
      <c r="AZ961" s="2994">
        <v>0.83660000000000001</v>
      </c>
      <c r="BA961" s="2994">
        <v>1.008</v>
      </c>
      <c r="BB961" s="2994">
        <v>0.95120000000000005</v>
      </c>
      <c r="BC961" s="2994">
        <v>0.85319999999999996</v>
      </c>
      <c r="BD961" s="3471">
        <v>0.94010000000000005</v>
      </c>
      <c r="BE961" s="3471">
        <v>0.94650000000000001</v>
      </c>
      <c r="BF961" s="3471">
        <v>0.84719999999999995</v>
      </c>
    </row>
    <row r="962" spans="1:58">
      <c r="A962" s="1817" t="str">
        <f t="shared" ref="A962:A1025" si="31">CONCATENATE(B962,C962)</f>
        <v>Southern AsiaSoybeans</v>
      </c>
      <c r="B962" s="1818" t="s">
        <v>1326</v>
      </c>
      <c r="C962" s="1818" t="s">
        <v>1333</v>
      </c>
      <c r="D962" s="3463" t="str">
        <f>VLOOKUP(B962,List_Yield!$G$4:$J$14,4,FALSE)</f>
        <v>Asia (Indian Subcontinent)</v>
      </c>
      <c r="E962" s="3463" t="str">
        <f t="shared" si="30"/>
        <v>Asia (Indian Subcontinent)Soybeans</v>
      </c>
      <c r="F962" s="2994">
        <v>0.49769999999999998</v>
      </c>
      <c r="G962" s="2994">
        <v>0.49769999999999998</v>
      </c>
      <c r="H962" s="2994">
        <v>0.47749999999999998</v>
      </c>
      <c r="I962" s="2994">
        <v>0.47849999999999998</v>
      </c>
      <c r="J962" s="2994">
        <v>0.46560000000000001</v>
      </c>
      <c r="K962" s="2994">
        <v>0.48270000000000002</v>
      </c>
      <c r="L962" s="2994">
        <v>0.48549999999999999</v>
      </c>
      <c r="M962" s="2994">
        <v>0.48549999999999999</v>
      </c>
      <c r="N962" s="2994">
        <v>0.47599999999999998</v>
      </c>
      <c r="O962" s="2994">
        <v>0.48709999999999998</v>
      </c>
      <c r="P962" s="2994">
        <v>0.49459999999999998</v>
      </c>
      <c r="Q962" s="2994">
        <v>0.81399999999999995</v>
      </c>
      <c r="R962" s="2994">
        <v>0.79330000000000001</v>
      </c>
      <c r="S962" s="2994">
        <v>0.85619999999999996</v>
      </c>
      <c r="T962" s="2994">
        <v>1.0601</v>
      </c>
      <c r="U962" s="2994">
        <v>1.1978</v>
      </c>
      <c r="V962" s="2994">
        <v>1.1068</v>
      </c>
      <c r="W962" s="2994">
        <v>1.0854999999999999</v>
      </c>
      <c r="X962" s="2994">
        <v>0.66200000000000003</v>
      </c>
      <c r="Y962" s="2994">
        <v>0.7611</v>
      </c>
      <c r="Z962" s="2994">
        <v>0.78590000000000004</v>
      </c>
      <c r="AA962" s="2994">
        <v>0.71540000000000004</v>
      </c>
      <c r="AB962" s="2994">
        <v>0.83079999999999998</v>
      </c>
      <c r="AC962" s="2994">
        <v>0.80689999999999995</v>
      </c>
      <c r="AD962" s="2994">
        <v>0.7994</v>
      </c>
      <c r="AE962" s="2994">
        <v>0.62119999999999997</v>
      </c>
      <c r="AF962" s="2994">
        <v>0.60829999999999995</v>
      </c>
      <c r="AG962" s="2994">
        <v>0.91579999999999995</v>
      </c>
      <c r="AH962" s="2994">
        <v>0.81640000000000001</v>
      </c>
      <c r="AI962" s="2994">
        <v>1.0179</v>
      </c>
      <c r="AJ962" s="2994">
        <v>0.78700000000000003</v>
      </c>
      <c r="AK962" s="2994">
        <v>0.90449999999999997</v>
      </c>
      <c r="AL962" s="2994">
        <v>1.0938000000000001</v>
      </c>
      <c r="AM962" s="2994">
        <v>0.94010000000000005</v>
      </c>
      <c r="AN962" s="2994">
        <v>1.0142</v>
      </c>
      <c r="AO962" s="2994">
        <v>1.0323</v>
      </c>
      <c r="AP962" s="2994">
        <v>1.0871</v>
      </c>
      <c r="AQ962" s="2994">
        <v>1.1052999999999999</v>
      </c>
      <c r="AR962" s="2994">
        <v>1.1397999999999999</v>
      </c>
      <c r="AS962" s="2994">
        <v>0.83320000000000005</v>
      </c>
      <c r="AT962" s="2994">
        <v>0.94699999999999995</v>
      </c>
      <c r="AU962" s="2994">
        <v>0.78359999999999996</v>
      </c>
      <c r="AV962" s="2994">
        <v>1.206</v>
      </c>
      <c r="AW962" s="2994">
        <v>0.9244</v>
      </c>
      <c r="AX962" s="2994">
        <v>1.0883</v>
      </c>
      <c r="AY962" s="2994">
        <v>1.0762</v>
      </c>
      <c r="AZ962" s="2994">
        <v>1.2448999999999999</v>
      </c>
      <c r="BA962" s="2994">
        <v>1.0545</v>
      </c>
      <c r="BB962" s="2994">
        <v>1.0376000000000001</v>
      </c>
      <c r="BC962" s="2994">
        <v>1.34</v>
      </c>
      <c r="BD962" s="3471">
        <v>1.2091000000000001</v>
      </c>
      <c r="BE962" s="3471">
        <v>1.3593999999999999</v>
      </c>
      <c r="BF962" s="3471">
        <v>0.99109999999999998</v>
      </c>
    </row>
    <row r="963" spans="1:58">
      <c r="A963" s="1817" t="str">
        <f t="shared" si="31"/>
        <v>Southern AsiaSpices, nes</v>
      </c>
      <c r="B963" s="1818" t="s">
        <v>1326</v>
      </c>
      <c r="C963" s="1818" t="s">
        <v>7377</v>
      </c>
      <c r="D963" s="3463" t="str">
        <f>VLOOKUP(B963,List_Yield!$G$4:$J$14,4,FALSE)</f>
        <v>Asia (Indian Subcontinent)</v>
      </c>
      <c r="E963" s="3463" t="str">
        <f t="shared" si="30"/>
        <v>Asia (Indian Subcontinent)Spices, nes</v>
      </c>
      <c r="F963" s="2994">
        <v>7.2554999999999996</v>
      </c>
      <c r="G963" s="2994">
        <v>1.0737000000000001</v>
      </c>
      <c r="H963" s="2994">
        <v>1.0426</v>
      </c>
      <c r="I963" s="2994">
        <v>1.0764</v>
      </c>
      <c r="J963" s="2994">
        <v>0.94240000000000002</v>
      </c>
      <c r="K963" s="2994">
        <v>0.88060000000000005</v>
      </c>
      <c r="L963" s="2994">
        <v>0.88739999999999997</v>
      </c>
      <c r="M963" s="2994">
        <v>0.80789999999999995</v>
      </c>
      <c r="N963" s="2994">
        <v>0.88529999999999998</v>
      </c>
      <c r="O963" s="2994">
        <v>0.86309999999999998</v>
      </c>
      <c r="P963" s="2994">
        <v>0.73129999999999995</v>
      </c>
      <c r="Q963" s="2994">
        <v>0.80349999999999999</v>
      </c>
      <c r="R963" s="2994">
        <v>0.82099999999999995</v>
      </c>
      <c r="S963" s="2994">
        <v>0.9415</v>
      </c>
      <c r="T963" s="2994">
        <v>0.96109999999999995</v>
      </c>
      <c r="U963" s="2994">
        <v>0.83630000000000004</v>
      </c>
      <c r="V963" s="2994">
        <v>0.7046</v>
      </c>
      <c r="W963" s="2994">
        <v>0.81830000000000003</v>
      </c>
      <c r="X963" s="2994">
        <v>1.0061</v>
      </c>
      <c r="Y963" s="2994">
        <v>1.0021</v>
      </c>
      <c r="Z963" s="2994">
        <v>0.89129999999999998</v>
      </c>
      <c r="AA963" s="2994">
        <v>0.88060000000000005</v>
      </c>
      <c r="AB963" s="2994">
        <v>0.81269999999999998</v>
      </c>
      <c r="AC963" s="2994">
        <v>0.88019999999999998</v>
      </c>
      <c r="AD963" s="2994">
        <v>1.0759000000000001</v>
      </c>
      <c r="AE963" s="2994">
        <v>1.0770999999999999</v>
      </c>
      <c r="AF963" s="2994">
        <v>0.92390000000000005</v>
      </c>
      <c r="AG963" s="2994">
        <v>1.1187</v>
      </c>
      <c r="AH963" s="2994">
        <v>1.3401000000000001</v>
      </c>
      <c r="AI963" s="2994">
        <v>1.1771</v>
      </c>
      <c r="AJ963" s="2994">
        <v>1.1888000000000001</v>
      </c>
      <c r="AK963" s="2994">
        <v>1.2372000000000001</v>
      </c>
      <c r="AL963" s="2994">
        <v>1.5016</v>
      </c>
      <c r="AM963" s="2994">
        <v>1.446</v>
      </c>
      <c r="AN963" s="2994">
        <v>1.2685999999999999</v>
      </c>
      <c r="AO963" s="2994">
        <v>1.3731</v>
      </c>
      <c r="AP963" s="2994">
        <v>1.2627999999999999</v>
      </c>
      <c r="AQ963" s="2994">
        <v>1.3308</v>
      </c>
      <c r="AR963" s="2994">
        <v>1.6496</v>
      </c>
      <c r="AS963" s="2994">
        <v>1.7484999999999999</v>
      </c>
      <c r="AT963" s="2994">
        <v>1.5112000000000001</v>
      </c>
      <c r="AU963" s="2994">
        <v>1.8811</v>
      </c>
      <c r="AV963" s="2994">
        <v>1.5528999999999999</v>
      </c>
      <c r="AW963" s="2994">
        <v>1.9360999999999999</v>
      </c>
      <c r="AX963" s="2994">
        <v>2.0933000000000002</v>
      </c>
      <c r="AY963" s="2994">
        <v>2.0727000000000002</v>
      </c>
      <c r="AZ963" s="2994">
        <v>2.0246</v>
      </c>
      <c r="BA963" s="2994">
        <v>1.948</v>
      </c>
      <c r="BB963" s="2994">
        <v>2.0156000000000001</v>
      </c>
      <c r="BC963" s="2994">
        <v>2.0884</v>
      </c>
      <c r="BD963" s="3471">
        <v>2.2286999999999999</v>
      </c>
      <c r="BE963" s="3471">
        <v>2.0806</v>
      </c>
      <c r="BF963" s="3471">
        <v>0</v>
      </c>
    </row>
    <row r="964" spans="1:58">
      <c r="A964" s="1817" t="str">
        <f t="shared" si="31"/>
        <v>Southern AsiaSpinach</v>
      </c>
      <c r="B964" s="1818" t="s">
        <v>1326</v>
      </c>
      <c r="C964" s="1818" t="s">
        <v>7378</v>
      </c>
      <c r="D964" s="3463" t="str">
        <f>VLOOKUP(B964,List_Yield!$G$4:$J$14,4,FALSE)</f>
        <v>Asia (Indian Subcontinent)</v>
      </c>
      <c r="E964" s="3463" t="str">
        <f t="shared" si="30"/>
        <v>Asia (Indian Subcontinent)Spinach</v>
      </c>
      <c r="F964" s="2994">
        <v>4.5926</v>
      </c>
      <c r="G964" s="2994">
        <v>4.6666999999999996</v>
      </c>
      <c r="H964" s="2994">
        <v>4.5713999999999997</v>
      </c>
      <c r="I964" s="2994">
        <v>4.6429</v>
      </c>
      <c r="J964" s="2994">
        <v>4.5517000000000003</v>
      </c>
      <c r="K964" s="2994">
        <v>4.6207000000000003</v>
      </c>
      <c r="L964" s="2994">
        <v>4.5332999999999997</v>
      </c>
      <c r="M964" s="2994">
        <v>4.5332999999999997</v>
      </c>
      <c r="N964" s="2994">
        <v>4.5160999999999998</v>
      </c>
      <c r="O964" s="2994">
        <v>4.4375</v>
      </c>
      <c r="P964" s="2994">
        <v>4.3635999999999999</v>
      </c>
      <c r="Q964" s="2994">
        <v>4.3529</v>
      </c>
      <c r="R964" s="2994">
        <v>4.3925999999999998</v>
      </c>
      <c r="S964" s="2994">
        <v>4.4015000000000004</v>
      </c>
      <c r="T964" s="2994">
        <v>4.4951999999999996</v>
      </c>
      <c r="U964" s="2994">
        <v>4.569</v>
      </c>
      <c r="V964" s="2994">
        <v>4.5366</v>
      </c>
      <c r="W964" s="2994">
        <v>4.6059000000000001</v>
      </c>
      <c r="X964" s="2994">
        <v>4.5660999999999996</v>
      </c>
      <c r="Y964" s="2994">
        <v>5.2857000000000003</v>
      </c>
      <c r="Z964" s="2994">
        <v>5.4869000000000003</v>
      </c>
      <c r="AA964" s="2994">
        <v>5.4165000000000001</v>
      </c>
      <c r="AB964" s="2994">
        <v>6.3894000000000002</v>
      </c>
      <c r="AC964" s="2994">
        <v>6.3125</v>
      </c>
      <c r="AD964" s="2994">
        <v>6.5319000000000003</v>
      </c>
      <c r="AE964" s="2994">
        <v>7.0724</v>
      </c>
      <c r="AF964" s="2994">
        <v>6.4829999999999997</v>
      </c>
      <c r="AG964" s="2994">
        <v>6.5242000000000004</v>
      </c>
      <c r="AH964" s="2994">
        <v>6.7130000000000001</v>
      </c>
      <c r="AI964" s="2994">
        <v>7.7350000000000003</v>
      </c>
      <c r="AJ964" s="2994">
        <v>7.3609999999999998</v>
      </c>
      <c r="AK964" s="2994">
        <v>7.5118999999999998</v>
      </c>
      <c r="AL964" s="2994">
        <v>7.5815999999999999</v>
      </c>
      <c r="AM964" s="2994">
        <v>8.2081999999999997</v>
      </c>
      <c r="AN964" s="2994">
        <v>8.4954999999999998</v>
      </c>
      <c r="AO964" s="2994">
        <v>8.3531999999999993</v>
      </c>
      <c r="AP964" s="2994">
        <v>8.5099</v>
      </c>
      <c r="AQ964" s="2994">
        <v>8.7583000000000002</v>
      </c>
      <c r="AR964" s="2994">
        <v>8.7347999999999999</v>
      </c>
      <c r="AS964" s="2994">
        <v>8.2638999999999996</v>
      </c>
      <c r="AT964" s="2994">
        <v>8.3786000000000005</v>
      </c>
      <c r="AU964" s="2994">
        <v>8.6424000000000003</v>
      </c>
      <c r="AV964" s="2994">
        <v>11.8248</v>
      </c>
      <c r="AW964" s="2994">
        <v>9.6887000000000008</v>
      </c>
      <c r="AX964" s="2994">
        <v>10.874700000000001</v>
      </c>
      <c r="AY964" s="2994">
        <v>10.309900000000001</v>
      </c>
      <c r="AZ964" s="2994">
        <v>9.6860999999999997</v>
      </c>
      <c r="BA964" s="2994">
        <v>11.186500000000001</v>
      </c>
      <c r="BB964" s="2994">
        <v>11</v>
      </c>
      <c r="BC964" s="2994">
        <v>11.067500000000001</v>
      </c>
      <c r="BD964" s="3471">
        <v>11.8482</v>
      </c>
      <c r="BE964" s="3471">
        <v>12.0465</v>
      </c>
      <c r="BF964" s="3471">
        <v>0</v>
      </c>
    </row>
    <row r="965" spans="1:58">
      <c r="A965" s="1817" t="str">
        <f t="shared" si="31"/>
        <v>Southern AsiaStrawberries</v>
      </c>
      <c r="B965" s="1818" t="s">
        <v>1326</v>
      </c>
      <c r="C965" s="1818" t="s">
        <v>1374</v>
      </c>
      <c r="D965" s="3463" t="str">
        <f>VLOOKUP(B965,List_Yield!$G$4:$J$14,4,FALSE)</f>
        <v>Asia (Indian Subcontinent)</v>
      </c>
      <c r="E965" s="3463" t="str">
        <f t="shared" si="30"/>
        <v>Asia (Indian Subcontinent)Strawberries</v>
      </c>
      <c r="F965" s="2994">
        <v>0</v>
      </c>
      <c r="G965" s="2994">
        <v>0</v>
      </c>
      <c r="H965" s="2994">
        <v>0</v>
      </c>
      <c r="I965" s="2994">
        <v>0</v>
      </c>
      <c r="J965" s="2994">
        <v>0</v>
      </c>
      <c r="K965" s="2994">
        <v>0</v>
      </c>
      <c r="L965" s="2994">
        <v>0</v>
      </c>
      <c r="M965" s="2994">
        <v>0</v>
      </c>
      <c r="N965" s="2994">
        <v>0</v>
      </c>
      <c r="O965" s="2994">
        <v>0</v>
      </c>
      <c r="P965" s="2994">
        <v>0</v>
      </c>
      <c r="Q965" s="2994">
        <v>0</v>
      </c>
      <c r="R965" s="2994">
        <v>0</v>
      </c>
      <c r="S965" s="2994">
        <v>0</v>
      </c>
      <c r="T965" s="2994">
        <v>0</v>
      </c>
      <c r="U965" s="2994">
        <v>0</v>
      </c>
      <c r="V965" s="2994">
        <v>0</v>
      </c>
      <c r="W965" s="2994">
        <v>0</v>
      </c>
      <c r="X965" s="2994">
        <v>0</v>
      </c>
      <c r="Y965" s="2994">
        <v>3.3332999999999999</v>
      </c>
      <c r="Z965" s="2994">
        <v>3.3332999999999999</v>
      </c>
      <c r="AA965" s="2994">
        <v>3.1</v>
      </c>
      <c r="AB965" s="2994">
        <v>4.2308000000000003</v>
      </c>
      <c r="AC965" s="2994">
        <v>4.5</v>
      </c>
      <c r="AD965" s="2994">
        <v>4.8090000000000002</v>
      </c>
      <c r="AE965" s="2994">
        <v>2.6185999999999998</v>
      </c>
      <c r="AF965" s="2994">
        <v>3.7490000000000001</v>
      </c>
      <c r="AG965" s="2994">
        <v>4.6677999999999997</v>
      </c>
      <c r="AH965" s="2994">
        <v>6.5518999999999998</v>
      </c>
      <c r="AI965" s="2994">
        <v>5.3589000000000002</v>
      </c>
      <c r="AJ965" s="2994">
        <v>4.8109999999999999</v>
      </c>
      <c r="AK965" s="2994">
        <v>5.2655000000000003</v>
      </c>
      <c r="AL965" s="2994">
        <v>4.4837999999999996</v>
      </c>
      <c r="AM965" s="2994">
        <v>5.9523999999999999</v>
      </c>
      <c r="AN965" s="2994">
        <v>6.1875</v>
      </c>
      <c r="AO965" s="2994">
        <v>7.8503999999999996</v>
      </c>
      <c r="AP965" s="2994">
        <v>6.9097</v>
      </c>
      <c r="AQ965" s="2994">
        <v>8.3703000000000003</v>
      </c>
      <c r="AR965" s="2994">
        <v>7.5857000000000001</v>
      </c>
      <c r="AS965" s="2994">
        <v>8.3069000000000006</v>
      </c>
      <c r="AT965" s="2994">
        <v>7.5376000000000003</v>
      </c>
      <c r="AU965" s="2994">
        <v>10.666700000000001</v>
      </c>
      <c r="AV965" s="2994">
        <v>8.5986999999999991</v>
      </c>
      <c r="AW965" s="2994">
        <v>8.7978000000000005</v>
      </c>
      <c r="AX965" s="2994">
        <v>10.0533</v>
      </c>
      <c r="AY965" s="2994">
        <v>10.131600000000001</v>
      </c>
      <c r="AZ965" s="2994">
        <v>10.2837</v>
      </c>
      <c r="BA965" s="2994">
        <v>12.7492</v>
      </c>
      <c r="BB965" s="2994">
        <v>12.2895</v>
      </c>
      <c r="BC965" s="2994">
        <v>12.8925</v>
      </c>
      <c r="BD965" s="3471">
        <v>13.0075</v>
      </c>
      <c r="BE965" s="3471">
        <v>13.333299999999999</v>
      </c>
      <c r="BF965" s="3471">
        <v>0</v>
      </c>
    </row>
    <row r="966" spans="1:58">
      <c r="A966" s="1817" t="str">
        <f t="shared" si="31"/>
        <v>Southern AsiaString beans</v>
      </c>
      <c r="B966" s="1818" t="s">
        <v>1326</v>
      </c>
      <c r="C966" s="1818" t="s">
        <v>7379</v>
      </c>
      <c r="D966" s="3463" t="str">
        <f>VLOOKUP(B966,List_Yield!$G$4:$J$14,4,FALSE)</f>
        <v>Asia (Indian Subcontinent)</v>
      </c>
      <c r="E966" s="3463" t="str">
        <f t="shared" si="30"/>
        <v>Asia (Indian Subcontinent)String beans</v>
      </c>
      <c r="F966" s="2994">
        <v>0</v>
      </c>
      <c r="G966" s="2994">
        <v>0</v>
      </c>
      <c r="H966" s="2994">
        <v>0</v>
      </c>
      <c r="I966" s="2994">
        <v>0</v>
      </c>
      <c r="J966" s="2994">
        <v>0</v>
      </c>
      <c r="K966" s="2994">
        <v>0</v>
      </c>
      <c r="L966" s="2994">
        <v>0</v>
      </c>
      <c r="M966" s="2994">
        <v>0</v>
      </c>
      <c r="N966" s="2994">
        <v>0</v>
      </c>
      <c r="O966" s="2994">
        <v>0</v>
      </c>
      <c r="P966" s="2994">
        <v>0</v>
      </c>
      <c r="Q966" s="2994">
        <v>0</v>
      </c>
      <c r="R966" s="2994">
        <v>0</v>
      </c>
      <c r="S966" s="2994">
        <v>0</v>
      </c>
      <c r="T966" s="2994">
        <v>0</v>
      </c>
      <c r="U966" s="2994">
        <v>0</v>
      </c>
      <c r="V966" s="2994">
        <v>0</v>
      </c>
      <c r="W966" s="2994">
        <v>0</v>
      </c>
      <c r="X966" s="2994">
        <v>0</v>
      </c>
      <c r="Y966" s="2994">
        <v>0</v>
      </c>
      <c r="Z966" s="2994">
        <v>0</v>
      </c>
      <c r="AA966" s="2994">
        <v>0</v>
      </c>
      <c r="AB966" s="2994">
        <v>0</v>
      </c>
      <c r="AC966" s="2994">
        <v>0</v>
      </c>
      <c r="AD966" s="2994">
        <v>0</v>
      </c>
      <c r="AE966" s="2994">
        <v>0</v>
      </c>
      <c r="AF966" s="2994">
        <v>0</v>
      </c>
      <c r="AG966" s="2994">
        <v>0</v>
      </c>
      <c r="AH966" s="2994">
        <v>0</v>
      </c>
      <c r="AI966" s="2994">
        <v>0</v>
      </c>
      <c r="AJ966" s="2994">
        <v>0</v>
      </c>
      <c r="AK966" s="2994">
        <v>0</v>
      </c>
      <c r="AL966" s="2994">
        <v>0</v>
      </c>
      <c r="AM966" s="2994">
        <v>0</v>
      </c>
      <c r="AN966" s="2994">
        <v>0</v>
      </c>
      <c r="AO966" s="2994">
        <v>0</v>
      </c>
      <c r="AP966" s="2994">
        <v>0</v>
      </c>
      <c r="AQ966" s="2994">
        <v>0</v>
      </c>
      <c r="AR966" s="2994">
        <v>0</v>
      </c>
      <c r="AS966" s="2994">
        <v>0</v>
      </c>
      <c r="AT966" s="2994">
        <v>0</v>
      </c>
      <c r="AU966" s="2994">
        <v>0</v>
      </c>
      <c r="AV966" s="2994">
        <v>0</v>
      </c>
      <c r="AW966" s="2994">
        <v>0</v>
      </c>
      <c r="AX966" s="2994">
        <v>0</v>
      </c>
      <c r="AY966" s="2994">
        <v>0</v>
      </c>
      <c r="AZ966" s="2994">
        <v>0</v>
      </c>
      <c r="BA966" s="2994">
        <v>0</v>
      </c>
      <c r="BB966" s="2994">
        <v>0</v>
      </c>
      <c r="BC966" s="2994">
        <v>0</v>
      </c>
      <c r="BD966" s="3471">
        <v>0</v>
      </c>
      <c r="BE966" s="3471">
        <v>0</v>
      </c>
      <c r="BF966" s="3471">
        <v>0</v>
      </c>
    </row>
    <row r="967" spans="1:58">
      <c r="A967" s="1817" t="str">
        <f t="shared" si="31"/>
        <v>Southern AsiaSugar beet</v>
      </c>
      <c r="B967" s="1818" t="s">
        <v>1326</v>
      </c>
      <c r="C967" s="1818" t="s">
        <v>1332</v>
      </c>
      <c r="D967" s="3463" t="str">
        <f>VLOOKUP(B967,List_Yield!$G$4:$J$14,4,FALSE)</f>
        <v>Asia (Indian Subcontinent)</v>
      </c>
      <c r="E967" s="3463" t="str">
        <f t="shared" si="30"/>
        <v>Asia (Indian Subcontinent)Sugar beet</v>
      </c>
      <c r="F967" s="2994">
        <v>16.203199999999999</v>
      </c>
      <c r="G967" s="2994">
        <v>19.725899999999999</v>
      </c>
      <c r="H967" s="2994">
        <v>20.988199999999999</v>
      </c>
      <c r="I967" s="2994">
        <v>15.4285</v>
      </c>
      <c r="J967" s="2994">
        <v>20.989000000000001</v>
      </c>
      <c r="K967" s="2994">
        <v>21.413799999999998</v>
      </c>
      <c r="L967" s="2994">
        <v>21.148800000000001</v>
      </c>
      <c r="M967" s="2994">
        <v>22.752099999999999</v>
      </c>
      <c r="N967" s="2994">
        <v>21.948699999999999</v>
      </c>
      <c r="O967" s="2994">
        <v>19.769100000000002</v>
      </c>
      <c r="P967" s="2994">
        <v>24.225899999999999</v>
      </c>
      <c r="Q967" s="2994">
        <v>23.755500000000001</v>
      </c>
      <c r="R967" s="2994">
        <v>23.7257</v>
      </c>
      <c r="S967" s="2994">
        <v>22.7821</v>
      </c>
      <c r="T967" s="2994">
        <v>23.7547</v>
      </c>
      <c r="U967" s="2994">
        <v>26.082699999999999</v>
      </c>
      <c r="V967" s="2994">
        <v>25.289400000000001</v>
      </c>
      <c r="W967" s="2994">
        <v>23.9391</v>
      </c>
      <c r="X967" s="2994">
        <v>26.6876</v>
      </c>
      <c r="Y967" s="2994">
        <v>23.779599999999999</v>
      </c>
      <c r="Z967" s="2994">
        <v>21.369399999999999</v>
      </c>
      <c r="AA967" s="2994">
        <v>23.761700000000001</v>
      </c>
      <c r="AB967" s="2994">
        <v>21.752600000000001</v>
      </c>
      <c r="AC967" s="2994">
        <v>25.142199999999999</v>
      </c>
      <c r="AD967" s="2994">
        <v>26.859500000000001</v>
      </c>
      <c r="AE967" s="2994">
        <v>28.303100000000001</v>
      </c>
      <c r="AF967" s="2994">
        <v>26.3353</v>
      </c>
      <c r="AG967" s="2994">
        <v>26.847000000000001</v>
      </c>
      <c r="AH967" s="2994">
        <v>24.113700000000001</v>
      </c>
      <c r="AI967" s="2994">
        <v>24.937100000000001</v>
      </c>
      <c r="AJ967" s="2994">
        <v>28.8947</v>
      </c>
      <c r="AK967" s="2994">
        <v>29.563199999999998</v>
      </c>
      <c r="AL967" s="2994">
        <v>31.740500000000001</v>
      </c>
      <c r="AM967" s="2994">
        <v>26.247</v>
      </c>
      <c r="AN967" s="2994">
        <v>27.159099999999999</v>
      </c>
      <c r="AO967" s="2994">
        <v>24.799900000000001</v>
      </c>
      <c r="AP967" s="2994">
        <v>25.0229</v>
      </c>
      <c r="AQ967" s="2994">
        <v>26.826599999999999</v>
      </c>
      <c r="AR967" s="2994">
        <v>29.715599999999998</v>
      </c>
      <c r="AS967" s="2994">
        <v>26.582799999999999</v>
      </c>
      <c r="AT967" s="2994">
        <v>27.168700000000001</v>
      </c>
      <c r="AU967" s="2994">
        <v>31.9497</v>
      </c>
      <c r="AV967" s="2994">
        <v>28.786999999999999</v>
      </c>
      <c r="AW967" s="2994">
        <v>31.471399999999999</v>
      </c>
      <c r="AX967" s="2994">
        <v>32.078299999999999</v>
      </c>
      <c r="AY967" s="2994">
        <v>35.820300000000003</v>
      </c>
      <c r="AZ967" s="2994">
        <v>33.491199999999999</v>
      </c>
      <c r="BA967" s="2994">
        <v>31.507100000000001</v>
      </c>
      <c r="BB967" s="2994">
        <v>35.610100000000003</v>
      </c>
      <c r="BC967" s="2994">
        <v>40.843000000000004</v>
      </c>
      <c r="BD967" s="3471">
        <v>40.561500000000002</v>
      </c>
      <c r="BE967" s="3471">
        <v>39.087299999999999</v>
      </c>
      <c r="BF967" s="3471">
        <v>38.891800000000003</v>
      </c>
    </row>
    <row r="968" spans="1:58">
      <c r="A968" s="1817" t="str">
        <f t="shared" si="31"/>
        <v>Southern AsiaSugar cane</v>
      </c>
      <c r="B968" s="1818" t="s">
        <v>1326</v>
      </c>
      <c r="C968" s="1818" t="s">
        <v>1375</v>
      </c>
      <c r="D968" s="3463" t="str">
        <f>VLOOKUP(B968,List_Yield!$G$4:$J$14,4,FALSE)</f>
        <v>Asia (Indian Subcontinent)</v>
      </c>
      <c r="E968" s="3463" t="str">
        <f t="shared" si="30"/>
        <v>Asia (Indian Subcontinent)Sugar cane</v>
      </c>
      <c r="F968" s="2994">
        <v>43.015700000000002</v>
      </c>
      <c r="G968" s="2994">
        <v>40.625599999999999</v>
      </c>
      <c r="H968" s="2994">
        <v>39.6111</v>
      </c>
      <c r="I968" s="2994">
        <v>43.772399999999998</v>
      </c>
      <c r="J968" s="2994">
        <v>45.178100000000001</v>
      </c>
      <c r="K968" s="2994">
        <v>42.877200000000002</v>
      </c>
      <c r="L968" s="2994">
        <v>39.491799999999998</v>
      </c>
      <c r="M968" s="2994">
        <v>44.798099999999998</v>
      </c>
      <c r="N968" s="2994">
        <v>47.542099999999998</v>
      </c>
      <c r="O968" s="2994">
        <v>47.744700000000002</v>
      </c>
      <c r="P968" s="2994">
        <v>46.018500000000003</v>
      </c>
      <c r="Q968" s="2994">
        <v>45.197099999999999</v>
      </c>
      <c r="R968" s="2994">
        <v>48.257399999999997</v>
      </c>
      <c r="S968" s="2994">
        <v>48.287300000000002</v>
      </c>
      <c r="T968" s="2994">
        <v>46.3352</v>
      </c>
      <c r="U968" s="2994">
        <v>47.827199999999998</v>
      </c>
      <c r="V968" s="2994">
        <v>49.687100000000001</v>
      </c>
      <c r="W968" s="2994">
        <v>51.659799999999997</v>
      </c>
      <c r="X968" s="2994">
        <v>46.476700000000001</v>
      </c>
      <c r="Y968" s="2994">
        <v>46.733800000000002</v>
      </c>
      <c r="Z968" s="2994">
        <v>52.943899999999999</v>
      </c>
      <c r="AA968" s="2994">
        <v>53.407299999999999</v>
      </c>
      <c r="AB968" s="2994">
        <v>51.601900000000001</v>
      </c>
      <c r="AC968" s="2994">
        <v>51.5871</v>
      </c>
      <c r="AD968" s="2994">
        <v>52.1051</v>
      </c>
      <c r="AE968" s="2994">
        <v>54.117800000000003</v>
      </c>
      <c r="AF968" s="2994">
        <v>58.683500000000002</v>
      </c>
      <c r="AG968" s="2994">
        <v>54.934699999999999</v>
      </c>
      <c r="AH968" s="2994">
        <v>56.0565</v>
      </c>
      <c r="AI968" s="2994">
        <v>59.6449</v>
      </c>
      <c r="AJ968" s="2994">
        <v>59.476799999999997</v>
      </c>
      <c r="AK968" s="2994">
        <v>60.674700000000001</v>
      </c>
      <c r="AL968" s="2994">
        <v>58.709200000000003</v>
      </c>
      <c r="AM968" s="2994">
        <v>61.474899999999998</v>
      </c>
      <c r="AN968" s="2994">
        <v>64.978200000000001</v>
      </c>
      <c r="AO968" s="2994">
        <v>62.835500000000003</v>
      </c>
      <c r="AP968" s="2994">
        <v>61.376399999999997</v>
      </c>
      <c r="AQ968" s="2994">
        <v>65.557500000000005</v>
      </c>
      <c r="AR968" s="2994">
        <v>68.873900000000006</v>
      </c>
      <c r="AS968" s="2994">
        <v>65.072900000000004</v>
      </c>
      <c r="AT968" s="2994">
        <v>63.422699999999999</v>
      </c>
      <c r="AU968" s="2994">
        <v>62.973500000000001</v>
      </c>
      <c r="AV968" s="2994">
        <v>59.9298</v>
      </c>
      <c r="AW968" s="2994">
        <v>57.070099999999996</v>
      </c>
      <c r="AX968" s="2994">
        <v>60.831200000000003</v>
      </c>
      <c r="AY968" s="2994">
        <v>62.817700000000002</v>
      </c>
      <c r="AZ968" s="2994">
        <v>65.633700000000005</v>
      </c>
      <c r="BA968" s="2994">
        <v>64.498500000000007</v>
      </c>
      <c r="BB968" s="2994">
        <v>60.726999999999997</v>
      </c>
      <c r="BC968" s="2994">
        <v>66.039100000000005</v>
      </c>
      <c r="BD968" s="3471">
        <v>66.451700000000002</v>
      </c>
      <c r="BE968" s="3471">
        <v>67.831500000000005</v>
      </c>
      <c r="BF968" s="3471">
        <v>65.008300000000006</v>
      </c>
    </row>
    <row r="969" spans="1:58">
      <c r="A969" s="1817" t="str">
        <f t="shared" si="31"/>
        <v>Southern AsiaSugar crops, nes</v>
      </c>
      <c r="B969" s="1818" t="s">
        <v>1326</v>
      </c>
      <c r="C969" s="1818" t="s">
        <v>7380</v>
      </c>
      <c r="D969" s="3463" t="str">
        <f>VLOOKUP(B969,List_Yield!$G$4:$J$14,4,FALSE)</f>
        <v>Asia (Indian Subcontinent)</v>
      </c>
      <c r="E969" s="3463" t="str">
        <f t="shared" si="30"/>
        <v>Asia (Indian Subcontinent)Sugar crops, nes</v>
      </c>
      <c r="F969" s="2994">
        <v>36.956499999999998</v>
      </c>
      <c r="G969" s="2994">
        <v>36.842100000000002</v>
      </c>
      <c r="H969" s="2994">
        <v>37.113399999999999</v>
      </c>
      <c r="I969" s="2994">
        <v>37</v>
      </c>
      <c r="J969" s="2994">
        <v>37.142899999999997</v>
      </c>
      <c r="K969" s="2994">
        <v>37.168100000000003</v>
      </c>
      <c r="L969" s="2994">
        <v>36.290300000000002</v>
      </c>
      <c r="M969" s="2994">
        <v>36.231900000000003</v>
      </c>
      <c r="N969" s="2994">
        <v>36.747</v>
      </c>
      <c r="O969" s="2994">
        <v>56.9343</v>
      </c>
      <c r="P969" s="2994">
        <v>54.887500000000003</v>
      </c>
      <c r="Q969" s="2994">
        <v>45.592500000000001</v>
      </c>
      <c r="R969" s="2994">
        <v>42.679000000000002</v>
      </c>
      <c r="S969" s="2994">
        <v>42.648400000000002</v>
      </c>
      <c r="T969" s="2994">
        <v>39.502000000000002</v>
      </c>
      <c r="U969" s="2994">
        <v>38.164099999999998</v>
      </c>
      <c r="V969" s="2994">
        <v>36.450699999999998</v>
      </c>
      <c r="W969" s="2994">
        <v>36.832099999999997</v>
      </c>
      <c r="X969" s="2994">
        <v>36.192500000000003</v>
      </c>
      <c r="Y969" s="2994">
        <v>35.715600000000002</v>
      </c>
      <c r="Z969" s="2994">
        <v>35.166600000000003</v>
      </c>
      <c r="AA969" s="2994">
        <v>34.447000000000003</v>
      </c>
      <c r="AB969" s="2994">
        <v>31.110600000000002</v>
      </c>
      <c r="AC969" s="2994">
        <v>31.625299999999999</v>
      </c>
      <c r="AD969" s="2994">
        <v>28.9618</v>
      </c>
      <c r="AE969" s="2994">
        <v>27.933700000000002</v>
      </c>
      <c r="AF969" s="2994">
        <v>26.954699999999999</v>
      </c>
      <c r="AG969" s="2994">
        <v>24.4208</v>
      </c>
      <c r="AH969" s="2994">
        <v>22.736799999999999</v>
      </c>
      <c r="AI969" s="2994">
        <v>22.699100000000001</v>
      </c>
      <c r="AJ969" s="2994">
        <v>22.476500000000001</v>
      </c>
      <c r="AK969" s="2994">
        <v>22.202000000000002</v>
      </c>
      <c r="AL969" s="2994">
        <v>22.293099999999999</v>
      </c>
      <c r="AM969" s="2994">
        <v>22.181799999999999</v>
      </c>
      <c r="AN969" s="2994">
        <v>21.345199999999998</v>
      </c>
      <c r="AO969" s="2994">
        <v>21.619800000000001</v>
      </c>
      <c r="AP969" s="2994">
        <v>21.151299999999999</v>
      </c>
      <c r="AQ969" s="2994">
        <v>21.619800000000001</v>
      </c>
      <c r="AR969" s="2994">
        <v>21.038</v>
      </c>
      <c r="AS969" s="2994">
        <v>18.503299999999999</v>
      </c>
      <c r="AT969" s="2994">
        <v>18.535699999999999</v>
      </c>
      <c r="AU969" s="2994">
        <v>17.160499999999999</v>
      </c>
      <c r="AV969" s="2994">
        <v>17.9605</v>
      </c>
      <c r="AW969" s="2994">
        <v>18.650400000000001</v>
      </c>
      <c r="AX969" s="2994">
        <v>18.779900000000001</v>
      </c>
      <c r="AY969" s="2994">
        <v>19.175599999999999</v>
      </c>
      <c r="AZ969" s="2994">
        <v>15.7536</v>
      </c>
      <c r="BA969" s="2994">
        <v>17.036999999999999</v>
      </c>
      <c r="BB969" s="2994">
        <v>18.337700000000002</v>
      </c>
      <c r="BC969" s="2994">
        <v>26.248000000000001</v>
      </c>
      <c r="BD969" s="3471">
        <v>23.0657</v>
      </c>
      <c r="BE969" s="3471">
        <v>20.469799999999999</v>
      </c>
      <c r="BF969" s="3471">
        <v>20.3947</v>
      </c>
    </row>
    <row r="970" spans="1:58">
      <c r="A970" s="1817" t="str">
        <f t="shared" si="31"/>
        <v>Southern AsiaSunflower seed</v>
      </c>
      <c r="B970" s="1818" t="s">
        <v>1326</v>
      </c>
      <c r="C970" s="1818" t="s">
        <v>1376</v>
      </c>
      <c r="D970" s="3463" t="str">
        <f>VLOOKUP(B970,List_Yield!$G$4:$J$14,4,FALSE)</f>
        <v>Asia (Indian Subcontinent)</v>
      </c>
      <c r="E970" s="3463" t="str">
        <f t="shared" si="30"/>
        <v>Asia (Indian Subcontinent)Sunflower seed</v>
      </c>
      <c r="F970" s="2994">
        <v>1.3942000000000001</v>
      </c>
      <c r="G970" s="2994">
        <v>1.4699</v>
      </c>
      <c r="H970" s="2994">
        <v>1.4571000000000001</v>
      </c>
      <c r="I970" s="2994">
        <v>1.4338</v>
      </c>
      <c r="J970" s="2994">
        <v>1.4482999999999999</v>
      </c>
      <c r="K970" s="2994">
        <v>1.514</v>
      </c>
      <c r="L970" s="2994">
        <v>1.4705999999999999</v>
      </c>
      <c r="M970" s="2994">
        <v>1.2541</v>
      </c>
      <c r="N970" s="2994">
        <v>0.88790000000000002</v>
      </c>
      <c r="O970" s="2994">
        <v>0.74219999999999997</v>
      </c>
      <c r="P970" s="2994">
        <v>0.71230000000000004</v>
      </c>
      <c r="Q970" s="2994">
        <v>0.72370000000000001</v>
      </c>
      <c r="R970" s="2994">
        <v>0.7298</v>
      </c>
      <c r="S970" s="2994">
        <v>0.69469999999999998</v>
      </c>
      <c r="T970" s="2994">
        <v>0.67969999999999997</v>
      </c>
      <c r="U970" s="2994">
        <v>0.55479999999999996</v>
      </c>
      <c r="V970" s="2994">
        <v>0.55010000000000003</v>
      </c>
      <c r="W970" s="2994">
        <v>0.57799999999999996</v>
      </c>
      <c r="X970" s="2994">
        <v>0.61319999999999997</v>
      </c>
      <c r="Y970" s="2994">
        <v>0.63759999999999994</v>
      </c>
      <c r="Z970" s="2994">
        <v>0.6089</v>
      </c>
      <c r="AA970" s="2994">
        <v>0.53069999999999995</v>
      </c>
      <c r="AB970" s="2994">
        <v>0.45910000000000001</v>
      </c>
      <c r="AC970" s="2994">
        <v>0.55149999999999999</v>
      </c>
      <c r="AD970" s="2994">
        <v>0.4264</v>
      </c>
      <c r="AE970" s="2994">
        <v>0.44519999999999998</v>
      </c>
      <c r="AF970" s="2994">
        <v>0.4143</v>
      </c>
      <c r="AG970" s="2994">
        <v>0.38390000000000002</v>
      </c>
      <c r="AH970" s="2994">
        <v>0.55820000000000003</v>
      </c>
      <c r="AI970" s="2994">
        <v>0.55630000000000002</v>
      </c>
      <c r="AJ970" s="2994">
        <v>0.57340000000000002</v>
      </c>
      <c r="AK970" s="2994">
        <v>0.59130000000000005</v>
      </c>
      <c r="AL970" s="2994">
        <v>0.52729999999999999</v>
      </c>
      <c r="AM970" s="2994">
        <v>0.62139999999999995</v>
      </c>
      <c r="AN970" s="2994">
        <v>0.60540000000000005</v>
      </c>
      <c r="AO970" s="2994">
        <v>0.67730000000000001</v>
      </c>
      <c r="AP970" s="2994">
        <v>0.55379999999999996</v>
      </c>
      <c r="AQ970" s="2994">
        <v>0.56730000000000003</v>
      </c>
      <c r="AR970" s="2994">
        <v>0.59430000000000005</v>
      </c>
      <c r="AS970" s="2994">
        <v>0.66759999999999997</v>
      </c>
      <c r="AT970" s="2994">
        <v>0.6351</v>
      </c>
      <c r="AU970" s="2994">
        <v>0.6048</v>
      </c>
      <c r="AV970" s="2994">
        <v>0.50639999999999996</v>
      </c>
      <c r="AW970" s="2994">
        <v>0.63949999999999996</v>
      </c>
      <c r="AX970" s="2994">
        <v>0.67830000000000001</v>
      </c>
      <c r="AY970" s="2994">
        <v>0.63780000000000003</v>
      </c>
      <c r="AZ970" s="2994">
        <v>0.83409999999999995</v>
      </c>
      <c r="BA970" s="2994">
        <v>0.79530000000000001</v>
      </c>
      <c r="BB970" s="2994">
        <v>0.71740000000000004</v>
      </c>
      <c r="BC970" s="2994">
        <v>0.84030000000000005</v>
      </c>
      <c r="BD970" s="3471">
        <v>0.92130000000000001</v>
      </c>
      <c r="BE970" s="3471">
        <v>0.92100000000000004</v>
      </c>
      <c r="BF970" s="3471">
        <v>1.0346</v>
      </c>
    </row>
    <row r="971" spans="1:58">
      <c r="A971" s="1817" t="str">
        <f t="shared" si="31"/>
        <v>Southern AsiaSweet potatoes</v>
      </c>
      <c r="B971" s="1818" t="s">
        <v>1326</v>
      </c>
      <c r="C971" s="1818" t="s">
        <v>1377</v>
      </c>
      <c r="D971" s="3463" t="str">
        <f>VLOOKUP(B971,List_Yield!$G$4:$J$14,4,FALSE)</f>
        <v>Asia (Indian Subcontinent)</v>
      </c>
      <c r="E971" s="3463" t="str">
        <f t="shared" si="30"/>
        <v>Asia (Indian Subcontinent)Sweet potatoes</v>
      </c>
      <c r="F971" s="2994">
        <v>7.8120000000000003</v>
      </c>
      <c r="G971" s="2994">
        <v>6.7092999999999998</v>
      </c>
      <c r="H971" s="2994">
        <v>6.6977000000000002</v>
      </c>
      <c r="I971" s="2994">
        <v>7.0500999999999996</v>
      </c>
      <c r="J971" s="2994">
        <v>7.4062999999999999</v>
      </c>
      <c r="K971" s="2994">
        <v>6.3562000000000003</v>
      </c>
      <c r="L971" s="2994">
        <v>7.4172000000000002</v>
      </c>
      <c r="M971" s="2994">
        <v>8.1144999999999996</v>
      </c>
      <c r="N971" s="2994">
        <v>8.8245000000000005</v>
      </c>
      <c r="O971" s="2994">
        <v>8.3930000000000007</v>
      </c>
      <c r="P971" s="2994">
        <v>8.9331999999999994</v>
      </c>
      <c r="Q971" s="2994">
        <v>8.5646000000000004</v>
      </c>
      <c r="R971" s="2994">
        <v>7.6547999999999998</v>
      </c>
      <c r="S971" s="2994">
        <v>7.3266999999999998</v>
      </c>
      <c r="T971" s="2994">
        <v>7.4554</v>
      </c>
      <c r="U971" s="2994">
        <v>7.5808999999999997</v>
      </c>
      <c r="V971" s="2994">
        <v>7.3436000000000003</v>
      </c>
      <c r="W971" s="2994">
        <v>7.5928000000000004</v>
      </c>
      <c r="X971" s="2994">
        <v>8.3155999999999999</v>
      </c>
      <c r="Y971" s="2994">
        <v>7.6139000000000001</v>
      </c>
      <c r="Z971" s="2994">
        <v>8.0846999999999998</v>
      </c>
      <c r="AA971" s="2994">
        <v>8.2966999999999995</v>
      </c>
      <c r="AB971" s="2994">
        <v>8.1661999999999999</v>
      </c>
      <c r="AC971" s="2994">
        <v>8.2478999999999996</v>
      </c>
      <c r="AD971" s="2994">
        <v>9.0646000000000004</v>
      </c>
      <c r="AE971" s="2994">
        <v>8.6762999999999995</v>
      </c>
      <c r="AF971" s="2994">
        <v>8.7360000000000007</v>
      </c>
      <c r="AG971" s="2994">
        <v>8.4270999999999994</v>
      </c>
      <c r="AH971" s="2994">
        <v>8.5639000000000003</v>
      </c>
      <c r="AI971" s="2994">
        <v>8.3209999999999997</v>
      </c>
      <c r="AJ971" s="2994">
        <v>8.5484000000000009</v>
      </c>
      <c r="AK971" s="2994">
        <v>8.5101999999999993</v>
      </c>
      <c r="AL971" s="2994">
        <v>8.7464999999999993</v>
      </c>
      <c r="AM971" s="2994">
        <v>8.6463999999999999</v>
      </c>
      <c r="AN971" s="2994">
        <v>8.3419000000000008</v>
      </c>
      <c r="AO971" s="2994">
        <v>8.3620000000000001</v>
      </c>
      <c r="AP971" s="2994">
        <v>8.5861000000000001</v>
      </c>
      <c r="AQ971" s="2994">
        <v>8.7703000000000007</v>
      </c>
      <c r="AR971" s="2994">
        <v>8.6327999999999996</v>
      </c>
      <c r="AS971" s="2994">
        <v>9.4478000000000009</v>
      </c>
      <c r="AT971" s="2994">
        <v>8.7698</v>
      </c>
      <c r="AU971" s="2994">
        <v>8.5777000000000001</v>
      </c>
      <c r="AV971" s="2994">
        <v>8.5508000000000006</v>
      </c>
      <c r="AW971" s="2994">
        <v>8.7873999999999999</v>
      </c>
      <c r="AX971" s="2994">
        <v>8.7603000000000009</v>
      </c>
      <c r="AY971" s="2994">
        <v>8.6698000000000004</v>
      </c>
      <c r="AZ971" s="2994">
        <v>8.7372999999999994</v>
      </c>
      <c r="BA971" s="2994">
        <v>9.0353999999999992</v>
      </c>
      <c r="BB971" s="2994">
        <v>9.0955999999999992</v>
      </c>
      <c r="BC971" s="2994">
        <v>9.2932000000000006</v>
      </c>
      <c r="BD971" s="3471">
        <v>9.3137000000000008</v>
      </c>
      <c r="BE971" s="3471">
        <v>9.7454000000000001</v>
      </c>
      <c r="BF971" s="3471">
        <v>10.080299999999999</v>
      </c>
    </row>
    <row r="972" spans="1:58">
      <c r="A972" s="1817" t="str">
        <f t="shared" si="31"/>
        <v>Southern AsiaTallowtree seed</v>
      </c>
      <c r="B972" s="1818" t="s">
        <v>1326</v>
      </c>
      <c r="C972" s="1818" t="s">
        <v>7381</v>
      </c>
      <c r="D972" s="3463" t="str">
        <f>VLOOKUP(B972,List_Yield!$G$4:$J$14,4,FALSE)</f>
        <v>Asia (Indian Subcontinent)</v>
      </c>
      <c r="E972" s="3463" t="str">
        <f t="shared" si="30"/>
        <v>Asia (Indian Subcontinent)Tallowtree seed</v>
      </c>
      <c r="F972" s="2994">
        <v>0</v>
      </c>
      <c r="G972" s="2994">
        <v>0</v>
      </c>
      <c r="H972" s="2994">
        <v>0</v>
      </c>
      <c r="I972" s="2994">
        <v>0</v>
      </c>
      <c r="J972" s="2994">
        <v>0</v>
      </c>
      <c r="K972" s="2994">
        <v>0</v>
      </c>
      <c r="L972" s="2994">
        <v>0</v>
      </c>
      <c r="M972" s="2994">
        <v>0</v>
      </c>
      <c r="N972" s="2994">
        <v>0</v>
      </c>
      <c r="O972" s="2994">
        <v>0</v>
      </c>
      <c r="P972" s="2994">
        <v>0</v>
      </c>
      <c r="Q972" s="2994">
        <v>0</v>
      </c>
      <c r="R972" s="2994">
        <v>0</v>
      </c>
      <c r="S972" s="2994">
        <v>0</v>
      </c>
      <c r="T972" s="2994">
        <v>0</v>
      </c>
      <c r="U972" s="2994">
        <v>0</v>
      </c>
      <c r="V972" s="2994">
        <v>0</v>
      </c>
      <c r="W972" s="2994">
        <v>0</v>
      </c>
      <c r="X972" s="2994">
        <v>0</v>
      </c>
      <c r="Y972" s="2994">
        <v>0</v>
      </c>
      <c r="Z972" s="2994">
        <v>0</v>
      </c>
      <c r="AA972" s="2994">
        <v>0</v>
      </c>
      <c r="AB972" s="2994">
        <v>0</v>
      </c>
      <c r="AC972" s="2994">
        <v>0</v>
      </c>
      <c r="AD972" s="2994">
        <v>0</v>
      </c>
      <c r="AE972" s="2994">
        <v>0</v>
      </c>
      <c r="AF972" s="2994">
        <v>0</v>
      </c>
      <c r="AG972" s="2994">
        <v>0</v>
      </c>
      <c r="AH972" s="2994">
        <v>0</v>
      </c>
      <c r="AI972" s="2994">
        <v>0</v>
      </c>
      <c r="AJ972" s="2994">
        <v>0</v>
      </c>
      <c r="AK972" s="2994">
        <v>0</v>
      </c>
      <c r="AL972" s="2994">
        <v>0</v>
      </c>
      <c r="AM972" s="2994">
        <v>0</v>
      </c>
      <c r="AN972" s="2994">
        <v>0</v>
      </c>
      <c r="AO972" s="2994">
        <v>0</v>
      </c>
      <c r="AP972" s="2994">
        <v>0</v>
      </c>
      <c r="AQ972" s="2994">
        <v>0</v>
      </c>
      <c r="AR972" s="2994">
        <v>0</v>
      </c>
      <c r="AS972" s="2994">
        <v>0</v>
      </c>
      <c r="AT972" s="2994">
        <v>0</v>
      </c>
      <c r="AU972" s="2994">
        <v>0</v>
      </c>
      <c r="AV972" s="2994">
        <v>0</v>
      </c>
      <c r="AW972" s="2994">
        <v>0</v>
      </c>
      <c r="AX972" s="2994">
        <v>0</v>
      </c>
      <c r="AY972" s="2994">
        <v>0</v>
      </c>
      <c r="AZ972" s="2994">
        <v>0</v>
      </c>
      <c r="BA972" s="2994">
        <v>0</v>
      </c>
      <c r="BB972" s="2994">
        <v>0</v>
      </c>
      <c r="BC972" s="2994">
        <v>0</v>
      </c>
      <c r="BD972" s="3471">
        <v>0</v>
      </c>
      <c r="BE972" s="3471">
        <v>0</v>
      </c>
      <c r="BF972" s="3471">
        <v>0</v>
      </c>
    </row>
    <row r="973" spans="1:58">
      <c r="A973" s="1817" t="str">
        <f t="shared" si="31"/>
        <v>Southern AsiaTangerines, mandarins, clementines, satsumas</v>
      </c>
      <c r="B973" s="1818" t="s">
        <v>1326</v>
      </c>
      <c r="C973" s="1818" t="s">
        <v>7382</v>
      </c>
      <c r="D973" s="3463" t="str">
        <f>VLOOKUP(B973,List_Yield!$G$4:$J$14,4,FALSE)</f>
        <v>Asia (Indian Subcontinent)</v>
      </c>
      <c r="E973" s="3463" t="str">
        <f t="shared" si="30"/>
        <v>Asia (Indian Subcontinent)Tangerines, mandarins, clementines, satsumas</v>
      </c>
      <c r="F973" s="2994">
        <v>1.2514000000000001</v>
      </c>
      <c r="G973" s="2994">
        <v>0.81630000000000003</v>
      </c>
      <c r="H973" s="2994">
        <v>1.0448</v>
      </c>
      <c r="I973" s="2994">
        <v>1.3694</v>
      </c>
      <c r="J973" s="2994">
        <v>1.2995000000000001</v>
      </c>
      <c r="K973" s="2994">
        <v>8</v>
      </c>
      <c r="L973" s="2994">
        <v>7.7228000000000003</v>
      </c>
      <c r="M973" s="2994">
        <v>7.6862000000000004</v>
      </c>
      <c r="N973" s="2994">
        <v>7.5004999999999997</v>
      </c>
      <c r="O973" s="2994">
        <v>7.4417</v>
      </c>
      <c r="P973" s="2994">
        <v>7.6041999999999996</v>
      </c>
      <c r="Q973" s="2994">
        <v>7.7146999999999997</v>
      </c>
      <c r="R973" s="2994">
        <v>7.9414999999999996</v>
      </c>
      <c r="S973" s="2994">
        <v>7.5514000000000001</v>
      </c>
      <c r="T973" s="2994">
        <v>8.3277000000000001</v>
      </c>
      <c r="U973" s="2994">
        <v>7.62</v>
      </c>
      <c r="V973" s="2994">
        <v>6.5953999999999997</v>
      </c>
      <c r="W973" s="2994">
        <v>8.2540999999999993</v>
      </c>
      <c r="X973" s="2994">
        <v>8.5365000000000002</v>
      </c>
      <c r="Y973" s="2994">
        <v>8.6384000000000007</v>
      </c>
      <c r="Z973" s="2994">
        <v>9.0914999999999999</v>
      </c>
      <c r="AA973" s="2994">
        <v>9.4625000000000004</v>
      </c>
      <c r="AB973" s="2994">
        <v>9.2443000000000008</v>
      </c>
      <c r="AC973" s="2994">
        <v>9.2797000000000001</v>
      </c>
      <c r="AD973" s="2994">
        <v>9.9265000000000008</v>
      </c>
      <c r="AE973" s="2994">
        <v>10.108599999999999</v>
      </c>
      <c r="AF973" s="2994">
        <v>9.5496999999999996</v>
      </c>
      <c r="AG973" s="2994">
        <v>10.9633</v>
      </c>
      <c r="AH973" s="2994">
        <v>10.4695</v>
      </c>
      <c r="AI973" s="2994">
        <v>10.608700000000001</v>
      </c>
      <c r="AJ973" s="2994">
        <v>10.111800000000001</v>
      </c>
      <c r="AK973" s="2994">
        <v>11.3736</v>
      </c>
      <c r="AL973" s="2994">
        <v>10.872999999999999</v>
      </c>
      <c r="AM973" s="2994">
        <v>12.210699999999999</v>
      </c>
      <c r="AN973" s="2994">
        <v>12.1515</v>
      </c>
      <c r="AO973" s="2994">
        <v>11.985900000000001</v>
      </c>
      <c r="AP973" s="2994">
        <v>12.581</v>
      </c>
      <c r="AQ973" s="2994">
        <v>12.0556</v>
      </c>
      <c r="AR973" s="2994">
        <v>12.6807</v>
      </c>
      <c r="AS973" s="2994">
        <v>11.6892</v>
      </c>
      <c r="AT973" s="2994">
        <v>12.0892</v>
      </c>
      <c r="AU973" s="2994">
        <v>11.9955</v>
      </c>
      <c r="AV973" s="2994">
        <v>12.440300000000001</v>
      </c>
      <c r="AW973" s="2994">
        <v>13.4819</v>
      </c>
      <c r="AX973" s="2994">
        <v>13.8827</v>
      </c>
      <c r="AY973" s="2994">
        <v>14.1149</v>
      </c>
      <c r="AZ973" s="2994">
        <v>11.343999999999999</v>
      </c>
      <c r="BA973" s="2994">
        <v>14.193</v>
      </c>
      <c r="BB973" s="2994">
        <v>14.132999999999999</v>
      </c>
      <c r="BC973" s="2994">
        <v>14.7746</v>
      </c>
      <c r="BD973" s="3471">
        <v>15.548299999999999</v>
      </c>
      <c r="BE973" s="3471">
        <v>15.641400000000001</v>
      </c>
      <c r="BF973" s="3471">
        <v>0</v>
      </c>
    </row>
    <row r="974" spans="1:58">
      <c r="A974" s="1817" t="str">
        <f t="shared" si="31"/>
        <v>Southern AsiaTaro (cocoyam)</v>
      </c>
      <c r="B974" s="1818" t="s">
        <v>1326</v>
      </c>
      <c r="C974" s="1818" t="s">
        <v>7383</v>
      </c>
      <c r="D974" s="3463" t="str">
        <f>VLOOKUP(B974,List_Yield!$G$4:$J$14,4,FALSE)</f>
        <v>Asia (Indian Subcontinent)</v>
      </c>
      <c r="E974" s="3463" t="str">
        <f t="shared" si="30"/>
        <v>Asia (Indian Subcontinent)Taro (cocoyam)</v>
      </c>
      <c r="F974" s="2994">
        <v>10</v>
      </c>
      <c r="G974" s="2994">
        <v>10.178599999999999</v>
      </c>
      <c r="H974" s="2994">
        <v>10.1724</v>
      </c>
      <c r="I974" s="2994">
        <v>10</v>
      </c>
      <c r="J974" s="2994">
        <v>10.199999999999999</v>
      </c>
      <c r="K974" s="2994">
        <v>10.161300000000001</v>
      </c>
      <c r="L974" s="2994">
        <v>10.1563</v>
      </c>
      <c r="M974" s="2994">
        <v>10</v>
      </c>
      <c r="N974" s="2994">
        <v>10.0909</v>
      </c>
      <c r="O974" s="2994">
        <v>10.049200000000001</v>
      </c>
      <c r="P974" s="2994">
        <v>10</v>
      </c>
      <c r="Q974" s="2994">
        <v>10.2105</v>
      </c>
      <c r="R974" s="2994">
        <v>10.142899999999999</v>
      </c>
      <c r="S974" s="2994">
        <v>10.0299</v>
      </c>
      <c r="T974" s="2994">
        <v>10.039999999999999</v>
      </c>
      <c r="U974" s="2994">
        <v>10.0397</v>
      </c>
      <c r="V974" s="2994">
        <v>10.010999999999999</v>
      </c>
      <c r="W974" s="2994">
        <v>10.1081</v>
      </c>
      <c r="X974" s="2994">
        <v>10</v>
      </c>
      <c r="Y974" s="2994">
        <v>10.008599999999999</v>
      </c>
      <c r="Z974" s="2994">
        <v>10</v>
      </c>
      <c r="AA974" s="2994">
        <v>10</v>
      </c>
      <c r="AB974" s="2994">
        <v>10</v>
      </c>
      <c r="AC974" s="2994">
        <v>10.0175</v>
      </c>
      <c r="AD974" s="2994">
        <v>10.0175</v>
      </c>
      <c r="AE974" s="2994">
        <v>10.0175</v>
      </c>
      <c r="AF974" s="2994">
        <v>10.4</v>
      </c>
      <c r="AG974" s="2994">
        <v>10.02</v>
      </c>
      <c r="AH974" s="2994">
        <v>9.8181999999999992</v>
      </c>
      <c r="AI974" s="2994">
        <v>5.75</v>
      </c>
      <c r="AJ974" s="2994">
        <v>5.5556000000000001</v>
      </c>
      <c r="AK974" s="2994">
        <v>5.3333000000000004</v>
      </c>
      <c r="AL974" s="2994">
        <v>5.72</v>
      </c>
      <c r="AM974" s="2994">
        <v>5.625</v>
      </c>
      <c r="AN974" s="2994">
        <v>5.5636000000000001</v>
      </c>
      <c r="AO974" s="2994">
        <v>5.7115</v>
      </c>
      <c r="AP974" s="2994">
        <v>5.8461999999999996</v>
      </c>
      <c r="AQ974" s="2994">
        <v>5.3029999999999999</v>
      </c>
      <c r="AR974" s="2994">
        <v>5.0754999999999999</v>
      </c>
      <c r="AS974" s="2994">
        <v>2.3536999999999999</v>
      </c>
      <c r="AT974" s="2994">
        <v>5.8</v>
      </c>
      <c r="AU974" s="2994">
        <v>5.8333000000000004</v>
      </c>
      <c r="AV974" s="2994">
        <v>5.2</v>
      </c>
      <c r="AW974" s="2994">
        <v>5.9166999999999996</v>
      </c>
      <c r="AX974" s="2994">
        <v>6.6666999999999996</v>
      </c>
      <c r="AY974" s="2994">
        <v>6.2667000000000002</v>
      </c>
      <c r="AZ974" s="2994">
        <v>5.7778</v>
      </c>
      <c r="BA974" s="2994">
        <v>6.1333000000000002</v>
      </c>
      <c r="BB974" s="2994">
        <v>5.7</v>
      </c>
      <c r="BC974" s="2994">
        <v>5.6666999999999996</v>
      </c>
      <c r="BD974" s="3471">
        <v>6.3333000000000004</v>
      </c>
      <c r="BE974" s="3471">
        <v>5.7142999999999997</v>
      </c>
      <c r="BF974" s="3471">
        <v>5.7142999999999997</v>
      </c>
    </row>
    <row r="975" spans="1:58">
      <c r="A975" s="1817" t="str">
        <f t="shared" si="31"/>
        <v>Southern AsiaTea</v>
      </c>
      <c r="B975" s="1818" t="s">
        <v>1326</v>
      </c>
      <c r="C975" s="1818" t="s">
        <v>1379</v>
      </c>
      <c r="D975" s="3463" t="str">
        <f>VLOOKUP(B975,List_Yield!$G$4:$J$14,4,FALSE)</f>
        <v>Asia (Indian Subcontinent)</v>
      </c>
      <c r="E975" s="3463" t="str">
        <f t="shared" si="30"/>
        <v>Asia (Indian Subcontinent)Tea</v>
      </c>
      <c r="F975" s="2994">
        <v>0.96360000000000001</v>
      </c>
      <c r="G975" s="2994">
        <v>0.95069999999999999</v>
      </c>
      <c r="H975" s="2994">
        <v>0.95930000000000004</v>
      </c>
      <c r="I975" s="2994">
        <v>0.98140000000000005</v>
      </c>
      <c r="J975" s="2994">
        <v>0.9768</v>
      </c>
      <c r="K975" s="2994">
        <v>0.97650000000000003</v>
      </c>
      <c r="L975" s="2994">
        <v>0.98370000000000002</v>
      </c>
      <c r="M975" s="2994">
        <v>1.0162</v>
      </c>
      <c r="N975" s="2994">
        <v>0.99509999999999998</v>
      </c>
      <c r="O975" s="2994">
        <v>1.0158</v>
      </c>
      <c r="P975" s="2994">
        <v>1.0226999999999999</v>
      </c>
      <c r="Q975" s="2994">
        <v>1.0577000000000001</v>
      </c>
      <c r="R975" s="2994">
        <v>1.0841000000000001</v>
      </c>
      <c r="S975" s="2994">
        <v>1.1096999999999999</v>
      </c>
      <c r="T975" s="2994">
        <v>1.1184000000000001</v>
      </c>
      <c r="U975" s="2994">
        <v>1.1263000000000001</v>
      </c>
      <c r="V975" s="2994">
        <v>1.2174</v>
      </c>
      <c r="W975" s="2994">
        <v>1.2056</v>
      </c>
      <c r="X975" s="2994">
        <v>1.1847000000000001</v>
      </c>
      <c r="Y975" s="2994">
        <v>1.1871</v>
      </c>
      <c r="Z975" s="2994">
        <v>1.1918</v>
      </c>
      <c r="AA975" s="2994">
        <v>1.1591</v>
      </c>
      <c r="AB975" s="2994">
        <v>1.17</v>
      </c>
      <c r="AC975" s="2994">
        <v>1.3246</v>
      </c>
      <c r="AD975" s="2994">
        <v>1.3379000000000001</v>
      </c>
      <c r="AE975" s="2994">
        <v>1.2743</v>
      </c>
      <c r="AF975" s="2994">
        <v>1.2868999999999999</v>
      </c>
      <c r="AG975" s="2994">
        <v>1.3793</v>
      </c>
      <c r="AH975" s="2994">
        <v>1.3704000000000001</v>
      </c>
      <c r="AI975" s="2994">
        <v>1.3928</v>
      </c>
      <c r="AJ975" s="2994">
        <v>1.4514</v>
      </c>
      <c r="AK975" s="2994">
        <v>1.3878999999999999</v>
      </c>
      <c r="AL975" s="2994">
        <v>1.4387000000000001</v>
      </c>
      <c r="AM975" s="2994">
        <v>1.5891</v>
      </c>
      <c r="AN975" s="2994">
        <v>1.5837000000000001</v>
      </c>
      <c r="AO975" s="2994">
        <v>1.6145</v>
      </c>
      <c r="AP975" s="2994">
        <v>1.6766000000000001</v>
      </c>
      <c r="AQ975" s="2994">
        <v>1.6908000000000001</v>
      </c>
      <c r="AR975" s="2994">
        <v>1.6846000000000001</v>
      </c>
      <c r="AS975" s="2994">
        <v>1.6044</v>
      </c>
      <c r="AT975" s="2994">
        <v>1.5947</v>
      </c>
      <c r="AU975" s="2994">
        <v>1.5871</v>
      </c>
      <c r="AV975" s="2994">
        <v>1.5548</v>
      </c>
      <c r="AW975" s="2994">
        <v>1.5576000000000001</v>
      </c>
      <c r="AX975" s="2994">
        <v>1.617</v>
      </c>
      <c r="AY975" s="2994">
        <v>1.5851</v>
      </c>
      <c r="AZ975" s="2994">
        <v>1.5876999999999999</v>
      </c>
      <c r="BA975" s="2994">
        <v>1.7272000000000001</v>
      </c>
      <c r="BB975" s="2994">
        <v>1.6783999999999999</v>
      </c>
      <c r="BC975" s="2994">
        <v>1.7586999999999999</v>
      </c>
      <c r="BD975" s="3471">
        <v>1.6044</v>
      </c>
      <c r="BE975" s="3471">
        <v>1.6915</v>
      </c>
      <c r="BF975" s="3471">
        <v>0</v>
      </c>
    </row>
    <row r="976" spans="1:58">
      <c r="A976" s="1817" t="str">
        <f t="shared" si="31"/>
        <v>Southern AsiaTobacco, unmanufactured</v>
      </c>
      <c r="B976" s="1818" t="s">
        <v>1326</v>
      </c>
      <c r="C976" s="1818" t="s">
        <v>1321</v>
      </c>
      <c r="D976" s="3463" t="str">
        <f>VLOOKUP(B976,List_Yield!$G$4:$J$14,4,FALSE)</f>
        <v>Asia (Indian Subcontinent)</v>
      </c>
      <c r="E976" s="3463" t="str">
        <f t="shared" si="30"/>
        <v>Asia (Indian Subcontinent)Tobacco, unmanufactured</v>
      </c>
      <c r="F976" s="2994">
        <v>0.80620000000000003</v>
      </c>
      <c r="G976" s="2994">
        <v>0.8508</v>
      </c>
      <c r="H976" s="2994">
        <v>0.88060000000000005</v>
      </c>
      <c r="I976" s="2994">
        <v>0.86399999999999999</v>
      </c>
      <c r="J976" s="2994">
        <v>0.93379999999999996</v>
      </c>
      <c r="K976" s="2994">
        <v>0.90090000000000003</v>
      </c>
      <c r="L976" s="2994">
        <v>0.97789999999999999</v>
      </c>
      <c r="M976" s="2994">
        <v>0.9909</v>
      </c>
      <c r="N976" s="2994">
        <v>0.95450000000000002</v>
      </c>
      <c r="O976" s="2994">
        <v>0.90880000000000005</v>
      </c>
      <c r="P976" s="2994">
        <v>0.94799999999999995</v>
      </c>
      <c r="Q976" s="2994">
        <v>0.9849</v>
      </c>
      <c r="R976" s="2994">
        <v>0.88529999999999998</v>
      </c>
      <c r="S976" s="2994">
        <v>1.0215000000000001</v>
      </c>
      <c r="T976" s="2994">
        <v>0.98909999999999998</v>
      </c>
      <c r="U976" s="2994">
        <v>0.9748</v>
      </c>
      <c r="V976" s="2994">
        <v>1.0016</v>
      </c>
      <c r="W976" s="2994">
        <v>1.002</v>
      </c>
      <c r="X976" s="2994">
        <v>1.1061000000000001</v>
      </c>
      <c r="Y976" s="2994">
        <v>1.0659000000000001</v>
      </c>
      <c r="Z976" s="2994">
        <v>1.0867</v>
      </c>
      <c r="AA976" s="2994">
        <v>1.1714</v>
      </c>
      <c r="AB976" s="2994">
        <v>1.1578999999999999</v>
      </c>
      <c r="AC976" s="2994">
        <v>1.1429</v>
      </c>
      <c r="AD976" s="2994">
        <v>1.1508</v>
      </c>
      <c r="AE976" s="2994">
        <v>1.1367</v>
      </c>
      <c r="AF976" s="2994">
        <v>1.1892</v>
      </c>
      <c r="AG976" s="2994">
        <v>1.1773</v>
      </c>
      <c r="AH976" s="2994">
        <v>1.2828999999999999</v>
      </c>
      <c r="AI976" s="2994">
        <v>1.3029999999999999</v>
      </c>
      <c r="AJ976" s="2994">
        <v>1.3436999999999999</v>
      </c>
      <c r="AK976" s="2994">
        <v>1.3649</v>
      </c>
      <c r="AL976" s="2994">
        <v>1.415</v>
      </c>
      <c r="AM976" s="2994">
        <v>1.4454</v>
      </c>
      <c r="AN976" s="2994">
        <v>1.4537</v>
      </c>
      <c r="AO976" s="2994">
        <v>1.3540000000000001</v>
      </c>
      <c r="AP976" s="2994">
        <v>1.4398</v>
      </c>
      <c r="AQ976" s="2994">
        <v>1.4014</v>
      </c>
      <c r="AR976" s="2994">
        <v>1.4400999999999999</v>
      </c>
      <c r="AS976" s="2994">
        <v>1.2612000000000001</v>
      </c>
      <c r="AT976" s="2994">
        <v>1.3509</v>
      </c>
      <c r="AU976" s="2994">
        <v>1.5666</v>
      </c>
      <c r="AV976" s="2994">
        <v>1.5047999999999999</v>
      </c>
      <c r="AW976" s="2994">
        <v>1.5003</v>
      </c>
      <c r="AX976" s="2994">
        <v>1.536</v>
      </c>
      <c r="AY976" s="2994">
        <v>1.5259</v>
      </c>
      <c r="AZ976" s="2994">
        <v>1.4629000000000001</v>
      </c>
      <c r="BA976" s="2994">
        <v>1.4812000000000001</v>
      </c>
      <c r="BB976" s="2994">
        <v>1.6215999999999999</v>
      </c>
      <c r="BC976" s="2994">
        <v>1.601</v>
      </c>
      <c r="BD976" s="3471">
        <v>1.7107000000000001</v>
      </c>
      <c r="BE976" s="3471">
        <v>1.7848999999999999</v>
      </c>
      <c r="BF976" s="3471">
        <v>0</v>
      </c>
    </row>
    <row r="977" spans="1:58">
      <c r="A977" s="1817" t="str">
        <f t="shared" si="31"/>
        <v>Southern AsiaTomatoes</v>
      </c>
      <c r="B977" s="1818" t="s">
        <v>1326</v>
      </c>
      <c r="C977" s="1818" t="s">
        <v>1380</v>
      </c>
      <c r="D977" s="3463" t="str">
        <f>VLOOKUP(B977,List_Yield!$G$4:$J$14,4,FALSE)</f>
        <v>Asia (Indian Subcontinent)</v>
      </c>
      <c r="E977" s="3463" t="str">
        <f t="shared" si="30"/>
        <v>Asia (Indian Subcontinent)Tomatoes</v>
      </c>
      <c r="F977" s="2994">
        <v>8.1668000000000003</v>
      </c>
      <c r="G977" s="2994">
        <v>8.2691999999999997</v>
      </c>
      <c r="H977" s="2994">
        <v>8.1249000000000002</v>
      </c>
      <c r="I977" s="2994">
        <v>8.1372999999999998</v>
      </c>
      <c r="J977" s="2994">
        <v>8.3215000000000003</v>
      </c>
      <c r="K977" s="2994">
        <v>8.5046999999999997</v>
      </c>
      <c r="L977" s="2994">
        <v>8.4534000000000002</v>
      </c>
      <c r="M977" s="2994">
        <v>8.7002000000000006</v>
      </c>
      <c r="N977" s="2994">
        <v>8.9661000000000008</v>
      </c>
      <c r="O977" s="2994">
        <v>8.9903999999999993</v>
      </c>
      <c r="P977" s="2994">
        <v>9.0443999999999996</v>
      </c>
      <c r="Q977" s="2994">
        <v>8.9379000000000008</v>
      </c>
      <c r="R977" s="2994">
        <v>8.8771000000000004</v>
      </c>
      <c r="S977" s="2994">
        <v>8.2683</v>
      </c>
      <c r="T977" s="2994">
        <v>8.1414000000000009</v>
      </c>
      <c r="U977" s="2994">
        <v>8.7294</v>
      </c>
      <c r="V977" s="2994">
        <v>8.3117999999999999</v>
      </c>
      <c r="W977" s="2994">
        <v>8.9627999999999997</v>
      </c>
      <c r="X977" s="2994">
        <v>8.4048999999999996</v>
      </c>
      <c r="Y977" s="2994">
        <v>9.5023</v>
      </c>
      <c r="Z977" s="2994">
        <v>9.8505000000000003</v>
      </c>
      <c r="AA977" s="2994">
        <v>10.152699999999999</v>
      </c>
      <c r="AB977" s="2994">
        <v>11.4377</v>
      </c>
      <c r="AC977" s="2994">
        <v>10.6602</v>
      </c>
      <c r="AD977" s="2994">
        <v>10.275</v>
      </c>
      <c r="AE977" s="2994">
        <v>11.075900000000001</v>
      </c>
      <c r="AF977" s="2994">
        <v>9.9024999999999999</v>
      </c>
      <c r="AG977" s="2994">
        <v>14.2636</v>
      </c>
      <c r="AH977" s="2994">
        <v>14.301600000000001</v>
      </c>
      <c r="AI977" s="2994">
        <v>16.518799999999999</v>
      </c>
      <c r="AJ977" s="2994">
        <v>15.786799999999999</v>
      </c>
      <c r="AK977" s="2994">
        <v>17.253900000000002</v>
      </c>
      <c r="AL977" s="2994">
        <v>16.8658</v>
      </c>
      <c r="AM977" s="2994">
        <v>15.311299999999999</v>
      </c>
      <c r="AN977" s="2994">
        <v>16.248999999999999</v>
      </c>
      <c r="AO977" s="2994">
        <v>18.222200000000001</v>
      </c>
      <c r="AP977" s="2994">
        <v>18.433299999999999</v>
      </c>
      <c r="AQ977" s="2994">
        <v>17.014700000000001</v>
      </c>
      <c r="AR977" s="2994">
        <v>18.866</v>
      </c>
      <c r="AS977" s="2994">
        <v>17.580400000000001</v>
      </c>
      <c r="AT977" s="2994">
        <v>17.234000000000002</v>
      </c>
      <c r="AU977" s="2994">
        <v>18.844999999999999</v>
      </c>
      <c r="AV977" s="2994">
        <v>18.826499999999999</v>
      </c>
      <c r="AW977" s="2994">
        <v>18.515799999999999</v>
      </c>
      <c r="AX977" s="2994">
        <v>20.027999999999999</v>
      </c>
      <c r="AY977" s="2994">
        <v>20.3078</v>
      </c>
      <c r="AZ977" s="2994">
        <v>19.7685</v>
      </c>
      <c r="BA977" s="2994">
        <v>20.408100000000001</v>
      </c>
      <c r="BB977" s="2994">
        <v>21.124500000000001</v>
      </c>
      <c r="BC977" s="2994">
        <v>21.369299999999999</v>
      </c>
      <c r="BD977" s="3471">
        <v>21.042000000000002</v>
      </c>
      <c r="BE977" s="3471">
        <v>21.810600000000001</v>
      </c>
      <c r="BF977" s="3471">
        <v>0</v>
      </c>
    </row>
    <row r="978" spans="1:58">
      <c r="A978" s="1817" t="str">
        <f t="shared" si="31"/>
        <v>Southern AsiaTriticale</v>
      </c>
      <c r="B978" s="1818" t="s">
        <v>1326</v>
      </c>
      <c r="C978" s="1818" t="s">
        <v>1335</v>
      </c>
      <c r="D978" s="3463" t="str">
        <f>VLOOKUP(B978,List_Yield!$G$4:$J$14,4,FALSE)</f>
        <v>Asia (Indian Subcontinent)</v>
      </c>
      <c r="E978" s="3463" t="str">
        <f t="shared" si="30"/>
        <v>Asia (Indian Subcontinent)Triticale</v>
      </c>
      <c r="F978" s="2994">
        <v>0</v>
      </c>
      <c r="G978" s="2994">
        <v>0</v>
      </c>
      <c r="H978" s="2994">
        <v>0</v>
      </c>
      <c r="I978" s="2994">
        <v>0</v>
      </c>
      <c r="J978" s="2994">
        <v>0</v>
      </c>
      <c r="K978" s="2994">
        <v>0</v>
      </c>
      <c r="L978" s="2994">
        <v>0</v>
      </c>
      <c r="M978" s="2994">
        <v>0</v>
      </c>
      <c r="N978" s="2994">
        <v>0</v>
      </c>
      <c r="O978" s="2994">
        <v>0</v>
      </c>
      <c r="P978" s="2994">
        <v>0</v>
      </c>
      <c r="Q978" s="2994">
        <v>0</v>
      </c>
      <c r="R978" s="2994">
        <v>0</v>
      </c>
      <c r="S978" s="2994">
        <v>0</v>
      </c>
      <c r="T978" s="2994">
        <v>0</v>
      </c>
      <c r="U978" s="2994">
        <v>0</v>
      </c>
      <c r="V978" s="2994">
        <v>0</v>
      </c>
      <c r="W978" s="2994">
        <v>0</v>
      </c>
      <c r="X978" s="2994">
        <v>0</v>
      </c>
      <c r="Y978" s="2994">
        <v>0</v>
      </c>
      <c r="Z978" s="2994">
        <v>0</v>
      </c>
      <c r="AA978" s="2994">
        <v>0</v>
      </c>
      <c r="AB978" s="2994">
        <v>0</v>
      </c>
      <c r="AC978" s="2994">
        <v>0</v>
      </c>
      <c r="AD978" s="2994">
        <v>0</v>
      </c>
      <c r="AE978" s="2994">
        <v>0</v>
      </c>
      <c r="AF978" s="2994">
        <v>0</v>
      </c>
      <c r="AG978" s="2994">
        <v>0</v>
      </c>
      <c r="AH978" s="2994">
        <v>0</v>
      </c>
      <c r="AI978" s="2994">
        <v>0</v>
      </c>
      <c r="AJ978" s="2994">
        <v>0</v>
      </c>
      <c r="AK978" s="2994">
        <v>0</v>
      </c>
      <c r="AL978" s="2994">
        <v>0</v>
      </c>
      <c r="AM978" s="2994">
        <v>0</v>
      </c>
      <c r="AN978" s="2994">
        <v>0</v>
      </c>
      <c r="AO978" s="2994">
        <v>0</v>
      </c>
      <c r="AP978" s="2994">
        <v>0</v>
      </c>
      <c r="AQ978" s="2994">
        <v>0</v>
      </c>
      <c r="AR978" s="2994">
        <v>0</v>
      </c>
      <c r="AS978" s="2994">
        <v>0</v>
      </c>
      <c r="AT978" s="2994">
        <v>0</v>
      </c>
      <c r="AU978" s="2994">
        <v>0</v>
      </c>
      <c r="AV978" s="2994">
        <v>0</v>
      </c>
      <c r="AW978" s="2994">
        <v>0</v>
      </c>
      <c r="AX978" s="2994">
        <v>0</v>
      </c>
      <c r="AY978" s="2994">
        <v>0</v>
      </c>
      <c r="AZ978" s="2994">
        <v>0</v>
      </c>
      <c r="BA978" s="2994">
        <v>0</v>
      </c>
      <c r="BB978" s="2994">
        <v>0</v>
      </c>
      <c r="BC978" s="2994">
        <v>0</v>
      </c>
      <c r="BD978" s="3471">
        <v>0</v>
      </c>
      <c r="BE978" s="3471">
        <v>0</v>
      </c>
      <c r="BF978" s="3471">
        <v>0</v>
      </c>
    </row>
    <row r="979" spans="1:58">
      <c r="A979" s="1817" t="str">
        <f t="shared" si="31"/>
        <v>Southern AsiaTung nuts</v>
      </c>
      <c r="B979" s="1818" t="s">
        <v>1326</v>
      </c>
      <c r="C979" s="1818" t="s">
        <v>7384</v>
      </c>
      <c r="D979" s="3463" t="str">
        <f>VLOOKUP(B979,List_Yield!$G$4:$J$14,4,FALSE)</f>
        <v>Asia (Indian Subcontinent)</v>
      </c>
      <c r="E979" s="3463" t="str">
        <f t="shared" si="30"/>
        <v>Asia (Indian Subcontinent)Tung nuts</v>
      </c>
      <c r="F979" s="2994">
        <v>0</v>
      </c>
      <c r="G979" s="2994">
        <v>0</v>
      </c>
      <c r="H979" s="2994">
        <v>0</v>
      </c>
      <c r="I979" s="2994">
        <v>0</v>
      </c>
      <c r="J979" s="2994">
        <v>0</v>
      </c>
      <c r="K979" s="2994">
        <v>0</v>
      </c>
      <c r="L979" s="2994">
        <v>0</v>
      </c>
      <c r="M979" s="2994">
        <v>0</v>
      </c>
      <c r="N979" s="2994">
        <v>0</v>
      </c>
      <c r="O979" s="2994">
        <v>0</v>
      </c>
      <c r="P979" s="2994">
        <v>0</v>
      </c>
      <c r="Q979" s="2994">
        <v>0</v>
      </c>
      <c r="R979" s="2994">
        <v>0</v>
      </c>
      <c r="S979" s="2994">
        <v>0</v>
      </c>
      <c r="T979" s="2994">
        <v>0</v>
      </c>
      <c r="U979" s="2994">
        <v>0</v>
      </c>
      <c r="V979" s="2994">
        <v>0</v>
      </c>
      <c r="W979" s="2994">
        <v>0</v>
      </c>
      <c r="X979" s="2994">
        <v>0</v>
      </c>
      <c r="Y979" s="2994">
        <v>0</v>
      </c>
      <c r="Z979" s="2994">
        <v>0</v>
      </c>
      <c r="AA979" s="2994">
        <v>0</v>
      </c>
      <c r="AB979" s="2994">
        <v>0</v>
      </c>
      <c r="AC979" s="2994">
        <v>0</v>
      </c>
      <c r="AD979" s="2994">
        <v>0</v>
      </c>
      <c r="AE979" s="2994">
        <v>0</v>
      </c>
      <c r="AF979" s="2994">
        <v>0</v>
      </c>
      <c r="AG979" s="2994">
        <v>0</v>
      </c>
      <c r="AH979" s="2994">
        <v>0</v>
      </c>
      <c r="AI979" s="2994">
        <v>0</v>
      </c>
      <c r="AJ979" s="2994">
        <v>0</v>
      </c>
      <c r="AK979" s="2994">
        <v>0</v>
      </c>
      <c r="AL979" s="2994">
        <v>0</v>
      </c>
      <c r="AM979" s="2994">
        <v>0</v>
      </c>
      <c r="AN979" s="2994">
        <v>0</v>
      </c>
      <c r="AO979" s="2994">
        <v>0</v>
      </c>
      <c r="AP979" s="2994">
        <v>0</v>
      </c>
      <c r="AQ979" s="2994">
        <v>0</v>
      </c>
      <c r="AR979" s="2994">
        <v>0</v>
      </c>
      <c r="AS979" s="2994">
        <v>0</v>
      </c>
      <c r="AT979" s="2994">
        <v>0</v>
      </c>
      <c r="AU979" s="2994">
        <v>0</v>
      </c>
      <c r="AV979" s="2994">
        <v>0</v>
      </c>
      <c r="AW979" s="2994">
        <v>0</v>
      </c>
      <c r="AX979" s="2994">
        <v>0</v>
      </c>
      <c r="AY979" s="2994">
        <v>0</v>
      </c>
      <c r="AZ979" s="2994">
        <v>0</v>
      </c>
      <c r="BA979" s="2994">
        <v>0</v>
      </c>
      <c r="BB979" s="2994">
        <v>0</v>
      </c>
      <c r="BC979" s="2994">
        <v>0</v>
      </c>
      <c r="BD979" s="3471">
        <v>0</v>
      </c>
      <c r="BE979" s="3471">
        <v>0</v>
      </c>
      <c r="BF979" s="3471">
        <v>0</v>
      </c>
    </row>
    <row r="980" spans="1:58">
      <c r="A980" s="1817" t="str">
        <f t="shared" si="31"/>
        <v>Southern AsiaVanilla</v>
      </c>
      <c r="B980" s="1818" t="s">
        <v>1326</v>
      </c>
      <c r="C980" s="1818" t="s">
        <v>7385</v>
      </c>
      <c r="D980" s="3463" t="str">
        <f>VLOOKUP(B980,List_Yield!$G$4:$J$14,4,FALSE)</f>
        <v>Asia (Indian Subcontinent)</v>
      </c>
      <c r="E980" s="3463" t="str">
        <f t="shared" si="30"/>
        <v>Asia (Indian Subcontinent)Vanilla</v>
      </c>
      <c r="F980" s="2994">
        <v>0</v>
      </c>
      <c r="G980" s="2994">
        <v>0</v>
      </c>
      <c r="H980" s="2994">
        <v>0</v>
      </c>
      <c r="I980" s="2994">
        <v>0</v>
      </c>
      <c r="J980" s="2994">
        <v>0</v>
      </c>
      <c r="K980" s="2994">
        <v>0</v>
      </c>
      <c r="L980" s="2994">
        <v>0</v>
      </c>
      <c r="M980" s="2994">
        <v>0</v>
      </c>
      <c r="N980" s="2994">
        <v>0</v>
      </c>
      <c r="O980" s="2994">
        <v>0</v>
      </c>
      <c r="P980" s="2994">
        <v>0</v>
      </c>
      <c r="Q980" s="2994">
        <v>0</v>
      </c>
      <c r="R980" s="2994">
        <v>0</v>
      </c>
      <c r="S980" s="2994">
        <v>0</v>
      </c>
      <c r="T980" s="2994">
        <v>0</v>
      </c>
      <c r="U980" s="2994">
        <v>0</v>
      </c>
      <c r="V980" s="2994">
        <v>0</v>
      </c>
      <c r="W980" s="2994">
        <v>0</v>
      </c>
      <c r="X980" s="2994">
        <v>0</v>
      </c>
      <c r="Y980" s="2994">
        <v>0</v>
      </c>
      <c r="Z980" s="2994">
        <v>0</v>
      </c>
      <c r="AA980" s="2994">
        <v>0</v>
      </c>
      <c r="AB980" s="2994">
        <v>0</v>
      </c>
      <c r="AC980" s="2994">
        <v>0</v>
      </c>
      <c r="AD980" s="2994">
        <v>0</v>
      </c>
      <c r="AE980" s="2994">
        <v>0</v>
      </c>
      <c r="AF980" s="2994">
        <v>0</v>
      </c>
      <c r="AG980" s="2994">
        <v>0</v>
      </c>
      <c r="AH980" s="2994">
        <v>0</v>
      </c>
      <c r="AI980" s="2994">
        <v>0</v>
      </c>
      <c r="AJ980" s="2994">
        <v>0</v>
      </c>
      <c r="AK980" s="2994">
        <v>0</v>
      </c>
      <c r="AL980" s="2994">
        <v>0</v>
      </c>
      <c r="AM980" s="2994">
        <v>0</v>
      </c>
      <c r="AN980" s="2994">
        <v>0</v>
      </c>
      <c r="AO980" s="2994">
        <v>0</v>
      </c>
      <c r="AP980" s="2994">
        <v>0</v>
      </c>
      <c r="AQ980" s="2994">
        <v>0</v>
      </c>
      <c r="AR980" s="2994">
        <v>0</v>
      </c>
      <c r="AS980" s="2994">
        <v>0</v>
      </c>
      <c r="AT980" s="2994">
        <v>0</v>
      </c>
      <c r="AU980" s="2994">
        <v>0</v>
      </c>
      <c r="AV980" s="2994">
        <v>0</v>
      </c>
      <c r="AW980" s="2994">
        <v>0</v>
      </c>
      <c r="AX980" s="2994">
        <v>0</v>
      </c>
      <c r="AY980" s="2994">
        <v>0</v>
      </c>
      <c r="AZ980" s="2994">
        <v>0</v>
      </c>
      <c r="BA980" s="2994">
        <v>0</v>
      </c>
      <c r="BB980" s="2994">
        <v>0</v>
      </c>
      <c r="BC980" s="2994">
        <v>0</v>
      </c>
      <c r="BD980" s="3471">
        <v>0</v>
      </c>
      <c r="BE980" s="3471">
        <v>0</v>
      </c>
      <c r="BF980" s="3471">
        <v>0</v>
      </c>
    </row>
    <row r="981" spans="1:58">
      <c r="A981" s="1817" t="str">
        <f t="shared" si="31"/>
        <v>Southern AsiaVegetables, fresh nes</v>
      </c>
      <c r="B981" s="1818" t="s">
        <v>1326</v>
      </c>
      <c r="C981" s="1818" t="s">
        <v>7386</v>
      </c>
      <c r="D981" s="3463" t="str">
        <f>VLOOKUP(B981,List_Yield!$G$4:$J$14,4,FALSE)</f>
        <v>Asia (Indian Subcontinent)</v>
      </c>
      <c r="E981" s="3463" t="str">
        <f t="shared" si="30"/>
        <v>Asia (Indian Subcontinent)Vegetables, fresh nes</v>
      </c>
      <c r="F981" s="2994">
        <v>6.2888999999999999</v>
      </c>
      <c r="G981" s="2994">
        <v>5.9358000000000004</v>
      </c>
      <c r="H981" s="2994">
        <v>6.3906000000000001</v>
      </c>
      <c r="I981" s="2994">
        <v>6.5065999999999997</v>
      </c>
      <c r="J981" s="2994">
        <v>6.5488999999999997</v>
      </c>
      <c r="K981" s="2994">
        <v>6.7876000000000003</v>
      </c>
      <c r="L981" s="2994">
        <v>6.9795999999999996</v>
      </c>
      <c r="M981" s="2994">
        <v>7.2499000000000002</v>
      </c>
      <c r="N981" s="2994">
        <v>7.3128000000000002</v>
      </c>
      <c r="O981" s="2994">
        <v>7.4085000000000001</v>
      </c>
      <c r="P981" s="2994">
        <v>7.5342000000000002</v>
      </c>
      <c r="Q981" s="2994">
        <v>7.5597000000000003</v>
      </c>
      <c r="R981" s="2994">
        <v>7.6441999999999997</v>
      </c>
      <c r="S981" s="2994">
        <v>7.7664999999999997</v>
      </c>
      <c r="T981" s="2994">
        <v>7.7881</v>
      </c>
      <c r="U981" s="2994">
        <v>7.8357999999999999</v>
      </c>
      <c r="V981" s="2994">
        <v>7.9706000000000001</v>
      </c>
      <c r="W981" s="2994">
        <v>7.9192</v>
      </c>
      <c r="X981" s="2994">
        <v>8.0130999999999997</v>
      </c>
      <c r="Y981" s="2994">
        <v>8.1189999999999998</v>
      </c>
      <c r="Z981" s="2994">
        <v>8.3040000000000003</v>
      </c>
      <c r="AA981" s="2994">
        <v>8.4018999999999995</v>
      </c>
      <c r="AB981" s="2994">
        <v>8.4276999999999997</v>
      </c>
      <c r="AC981" s="2994">
        <v>8.6633999999999993</v>
      </c>
      <c r="AD981" s="2994">
        <v>8.6845999999999997</v>
      </c>
      <c r="AE981" s="2994">
        <v>8.7886000000000006</v>
      </c>
      <c r="AF981" s="2994">
        <v>8.8373000000000008</v>
      </c>
      <c r="AG981" s="2994">
        <v>9.4393999999999991</v>
      </c>
      <c r="AH981" s="2994">
        <v>9.5200999999999993</v>
      </c>
      <c r="AI981" s="2994">
        <v>9.9594000000000005</v>
      </c>
      <c r="AJ981" s="2994">
        <v>9.7902000000000005</v>
      </c>
      <c r="AK981" s="2994">
        <v>10.676299999999999</v>
      </c>
      <c r="AL981" s="2994">
        <v>10.2857</v>
      </c>
      <c r="AM981" s="2994">
        <v>11.870900000000001</v>
      </c>
      <c r="AN981" s="2994">
        <v>8.4265000000000008</v>
      </c>
      <c r="AO981" s="2994">
        <v>10.278700000000001</v>
      </c>
      <c r="AP981" s="2994">
        <v>9.0988000000000007</v>
      </c>
      <c r="AQ981" s="2994">
        <v>11.0366</v>
      </c>
      <c r="AR981" s="2994">
        <v>12.629799999999999</v>
      </c>
      <c r="AS981" s="2994">
        <v>13.3222</v>
      </c>
      <c r="AT981" s="2994">
        <v>13.721</v>
      </c>
      <c r="AU981" s="2994">
        <v>11.6493</v>
      </c>
      <c r="AV981" s="2994">
        <v>10.3698</v>
      </c>
      <c r="AW981" s="2994">
        <v>11.1515</v>
      </c>
      <c r="AX981" s="2994">
        <v>11.0939</v>
      </c>
      <c r="AY981" s="2994">
        <v>12.1038</v>
      </c>
      <c r="AZ981" s="2994">
        <v>12.5793</v>
      </c>
      <c r="BA981" s="2994">
        <v>12.664199999999999</v>
      </c>
      <c r="BB981" s="2994">
        <v>12.209899999999999</v>
      </c>
      <c r="BC981" s="2994">
        <v>13.4216</v>
      </c>
      <c r="BD981" s="3471">
        <v>13.325200000000001</v>
      </c>
      <c r="BE981" s="3471">
        <v>13.4849</v>
      </c>
      <c r="BF981" s="3471">
        <v>0</v>
      </c>
    </row>
    <row r="982" spans="1:58">
      <c r="A982" s="1817" t="str">
        <f t="shared" si="31"/>
        <v>Southern AsiaVegetables, leguminous nes</v>
      </c>
      <c r="B982" s="1818" t="s">
        <v>1326</v>
      </c>
      <c r="C982" s="1818" t="s">
        <v>7387</v>
      </c>
      <c r="D982" s="3463" t="str">
        <f>VLOOKUP(B982,List_Yield!$G$4:$J$14,4,FALSE)</f>
        <v>Asia (Indian Subcontinent)</v>
      </c>
      <c r="E982" s="3463" t="str">
        <f t="shared" si="30"/>
        <v>Asia (Indian Subcontinent)Vegetables, leguminous nes</v>
      </c>
      <c r="F982" s="2994">
        <v>0</v>
      </c>
      <c r="G982" s="2994">
        <v>0</v>
      </c>
      <c r="H982" s="2994">
        <v>0</v>
      </c>
      <c r="I982" s="2994">
        <v>0</v>
      </c>
      <c r="J982" s="2994">
        <v>0</v>
      </c>
      <c r="K982" s="2994">
        <v>0</v>
      </c>
      <c r="L982" s="2994">
        <v>0</v>
      </c>
      <c r="M982" s="2994">
        <v>0</v>
      </c>
      <c r="N982" s="2994">
        <v>0</v>
      </c>
      <c r="O982" s="2994">
        <v>0</v>
      </c>
      <c r="P982" s="2994">
        <v>0</v>
      </c>
      <c r="Q982" s="2994">
        <v>0</v>
      </c>
      <c r="R982" s="2994">
        <v>0</v>
      </c>
      <c r="S982" s="2994">
        <v>0</v>
      </c>
      <c r="T982" s="2994">
        <v>0</v>
      </c>
      <c r="U982" s="2994">
        <v>0</v>
      </c>
      <c r="V982" s="2994">
        <v>0</v>
      </c>
      <c r="W982" s="2994">
        <v>0</v>
      </c>
      <c r="X982" s="2994">
        <v>0</v>
      </c>
      <c r="Y982" s="2994">
        <v>0</v>
      </c>
      <c r="Z982" s="2994">
        <v>0</v>
      </c>
      <c r="AA982" s="2994">
        <v>0</v>
      </c>
      <c r="AB982" s="2994">
        <v>0</v>
      </c>
      <c r="AC982" s="2994">
        <v>0</v>
      </c>
      <c r="AD982" s="2994">
        <v>0</v>
      </c>
      <c r="AE982" s="2994">
        <v>0</v>
      </c>
      <c r="AF982" s="2994">
        <v>0</v>
      </c>
      <c r="AG982" s="2994">
        <v>0</v>
      </c>
      <c r="AH982" s="2994">
        <v>0</v>
      </c>
      <c r="AI982" s="2994">
        <v>12.5</v>
      </c>
      <c r="AJ982" s="2994">
        <v>9.7810000000000006</v>
      </c>
      <c r="AK982" s="2994">
        <v>11.0945</v>
      </c>
      <c r="AL982" s="2994">
        <v>10.394299999999999</v>
      </c>
      <c r="AM982" s="2994">
        <v>12.064500000000001</v>
      </c>
      <c r="AN982" s="2994">
        <v>12.047499999999999</v>
      </c>
      <c r="AO982" s="2994">
        <v>12.8813</v>
      </c>
      <c r="AP982" s="2994">
        <v>12.802899999999999</v>
      </c>
      <c r="AQ982" s="2994">
        <v>12.977600000000001</v>
      </c>
      <c r="AR982" s="2994">
        <v>14.0375</v>
      </c>
      <c r="AS982" s="2994">
        <v>14.0259</v>
      </c>
      <c r="AT982" s="2994">
        <v>14.0174</v>
      </c>
      <c r="AU982" s="2994">
        <v>15.8721</v>
      </c>
      <c r="AV982" s="2994">
        <v>14.852499999999999</v>
      </c>
      <c r="AW982" s="2994">
        <v>16.080500000000001</v>
      </c>
      <c r="AX982" s="2994">
        <v>14.997</v>
      </c>
      <c r="AY982" s="2994">
        <v>17.412400000000002</v>
      </c>
      <c r="AZ982" s="2994">
        <v>17.241399999999999</v>
      </c>
      <c r="BA982" s="2994">
        <v>18.0121</v>
      </c>
      <c r="BB982" s="2994">
        <v>17.604800000000001</v>
      </c>
      <c r="BC982" s="2994">
        <v>16.468</v>
      </c>
      <c r="BD982" s="3471">
        <v>16.559100000000001</v>
      </c>
      <c r="BE982" s="3471">
        <v>16.842099999999999</v>
      </c>
      <c r="BF982" s="3471">
        <v>0</v>
      </c>
    </row>
    <row r="983" spans="1:58">
      <c r="A983" s="1817" t="str">
        <f t="shared" si="31"/>
        <v>Southern AsiaVetches</v>
      </c>
      <c r="B983" s="1818" t="s">
        <v>1326</v>
      </c>
      <c r="C983" s="1818" t="s">
        <v>1382</v>
      </c>
      <c r="D983" s="3463" t="str">
        <f>VLOOKUP(B983,List_Yield!$G$4:$J$14,4,FALSE)</f>
        <v>Asia (Indian Subcontinent)</v>
      </c>
      <c r="E983" s="3463" t="str">
        <f t="shared" si="30"/>
        <v>Asia (Indian Subcontinent)Vetches</v>
      </c>
      <c r="F983" s="2994">
        <v>0</v>
      </c>
      <c r="G983" s="2994">
        <v>0</v>
      </c>
      <c r="H983" s="2994">
        <v>0</v>
      </c>
      <c r="I983" s="2994">
        <v>0</v>
      </c>
      <c r="J983" s="2994">
        <v>0</v>
      </c>
      <c r="K983" s="2994">
        <v>0</v>
      </c>
      <c r="L983" s="2994">
        <v>0</v>
      </c>
      <c r="M983" s="2994">
        <v>0</v>
      </c>
      <c r="N983" s="2994">
        <v>0</v>
      </c>
      <c r="O983" s="2994">
        <v>0</v>
      </c>
      <c r="P983" s="2994">
        <v>0</v>
      </c>
      <c r="Q983" s="2994">
        <v>0</v>
      </c>
      <c r="R983" s="2994">
        <v>0</v>
      </c>
      <c r="S983" s="2994">
        <v>0</v>
      </c>
      <c r="T983" s="2994">
        <v>0</v>
      </c>
      <c r="U983" s="2994">
        <v>0</v>
      </c>
      <c r="V983" s="2994">
        <v>0</v>
      </c>
      <c r="W983" s="2994">
        <v>0</v>
      </c>
      <c r="X983" s="2994">
        <v>0</v>
      </c>
      <c r="Y983" s="2994">
        <v>0</v>
      </c>
      <c r="Z983" s="2994">
        <v>0</v>
      </c>
      <c r="AA983" s="2994">
        <v>0</v>
      </c>
      <c r="AB983" s="2994">
        <v>0</v>
      </c>
      <c r="AC983" s="2994">
        <v>0</v>
      </c>
      <c r="AD983" s="2994">
        <v>0</v>
      </c>
      <c r="AE983" s="2994">
        <v>0</v>
      </c>
      <c r="AF983" s="2994">
        <v>0</v>
      </c>
      <c r="AG983" s="2994">
        <v>0</v>
      </c>
      <c r="AH983" s="2994">
        <v>0</v>
      </c>
      <c r="AI983" s="2994">
        <v>0</v>
      </c>
      <c r="AJ983" s="2994">
        <v>0</v>
      </c>
      <c r="AK983" s="2994">
        <v>0</v>
      </c>
      <c r="AL983" s="2994">
        <v>0</v>
      </c>
      <c r="AM983" s="2994">
        <v>0</v>
      </c>
      <c r="AN983" s="2994">
        <v>0</v>
      </c>
      <c r="AO983" s="2994">
        <v>0</v>
      </c>
      <c r="AP983" s="2994">
        <v>0</v>
      </c>
      <c r="AQ983" s="2994">
        <v>0</v>
      </c>
      <c r="AR983" s="2994">
        <v>0</v>
      </c>
      <c r="AS983" s="2994">
        <v>0</v>
      </c>
      <c r="AT983" s="2994">
        <v>0</v>
      </c>
      <c r="AU983" s="2994">
        <v>0</v>
      </c>
      <c r="AV983" s="2994">
        <v>0</v>
      </c>
      <c r="AW983" s="2994">
        <v>0</v>
      </c>
      <c r="AX983" s="2994">
        <v>0</v>
      </c>
      <c r="AY983" s="2994">
        <v>0</v>
      </c>
      <c r="AZ983" s="2994">
        <v>0</v>
      </c>
      <c r="BA983" s="2994">
        <v>0</v>
      </c>
      <c r="BB983" s="2994">
        <v>0</v>
      </c>
      <c r="BC983" s="2994">
        <v>0</v>
      </c>
      <c r="BD983" s="3471">
        <v>0</v>
      </c>
      <c r="BE983" s="3471">
        <v>0</v>
      </c>
      <c r="BF983" s="3471">
        <v>0</v>
      </c>
    </row>
    <row r="984" spans="1:58">
      <c r="A984" s="1817" t="str">
        <f t="shared" si="31"/>
        <v>Southern AsiaWalnuts, with shell</v>
      </c>
      <c r="B984" s="1818" t="s">
        <v>1326</v>
      </c>
      <c r="C984" s="1818" t="s">
        <v>7388</v>
      </c>
      <c r="D984" s="3463" t="str">
        <f>VLOOKUP(B984,List_Yield!$G$4:$J$14,4,FALSE)</f>
        <v>Asia (Indian Subcontinent)</v>
      </c>
      <c r="E984" s="3463" t="str">
        <f t="shared" si="30"/>
        <v>Asia (Indian Subcontinent)Walnuts, with shell</v>
      </c>
      <c r="F984" s="2994">
        <v>1.3455999999999999</v>
      </c>
      <c r="G984" s="2994">
        <v>1.3684000000000001</v>
      </c>
      <c r="H984" s="2994">
        <v>1.2397</v>
      </c>
      <c r="I984" s="2994">
        <v>1.25</v>
      </c>
      <c r="J984" s="2994">
        <v>1.3247</v>
      </c>
      <c r="K984" s="2994">
        <v>1.2676000000000001</v>
      </c>
      <c r="L984" s="2994">
        <v>1.4826999999999999</v>
      </c>
      <c r="M984" s="2994">
        <v>1.4573</v>
      </c>
      <c r="N984" s="2994">
        <v>1.7057</v>
      </c>
      <c r="O984" s="2994">
        <v>1.4737</v>
      </c>
      <c r="P984" s="2994">
        <v>1.6721999999999999</v>
      </c>
      <c r="Q984" s="2994">
        <v>1.4921</v>
      </c>
      <c r="R984" s="2994">
        <v>1.5686</v>
      </c>
      <c r="S984" s="2994">
        <v>1.7970999999999999</v>
      </c>
      <c r="T984" s="2994">
        <v>1.5494000000000001</v>
      </c>
      <c r="U984" s="2994">
        <v>1.6061000000000001</v>
      </c>
      <c r="V984" s="2994">
        <v>1.7948</v>
      </c>
      <c r="W984" s="2994">
        <v>1.53</v>
      </c>
      <c r="X984" s="2994">
        <v>1.5819000000000001</v>
      </c>
      <c r="Y984" s="2994">
        <v>1.7161</v>
      </c>
      <c r="Z984" s="2994">
        <v>1.782</v>
      </c>
      <c r="AA984" s="2994">
        <v>1.8694</v>
      </c>
      <c r="AB984" s="2994">
        <v>1.9686999999999999</v>
      </c>
      <c r="AC984" s="2994">
        <v>2.1307</v>
      </c>
      <c r="AD984" s="2994">
        <v>2.4041000000000001</v>
      </c>
      <c r="AE984" s="2994">
        <v>2.3239999999999998</v>
      </c>
      <c r="AF984" s="2994">
        <v>2.2584</v>
      </c>
      <c r="AG984" s="2994">
        <v>2.2067999999999999</v>
      </c>
      <c r="AH984" s="2994">
        <v>2.5499000000000001</v>
      </c>
      <c r="AI984" s="2994">
        <v>2.0343</v>
      </c>
      <c r="AJ984" s="2994">
        <v>2.2652000000000001</v>
      </c>
      <c r="AK984" s="2994">
        <v>2.2711000000000001</v>
      </c>
      <c r="AL984" s="2994">
        <v>2.7204999999999999</v>
      </c>
      <c r="AM984" s="2994">
        <v>2.7521</v>
      </c>
      <c r="AN984" s="2994">
        <v>2.5840000000000001</v>
      </c>
      <c r="AO984" s="2994">
        <v>2.4152999999999998</v>
      </c>
      <c r="AP984" s="2994">
        <v>2.2806000000000002</v>
      </c>
      <c r="AQ984" s="2994">
        <v>2.5257000000000001</v>
      </c>
      <c r="AR984" s="2994">
        <v>2.3126000000000002</v>
      </c>
      <c r="AS984" s="2994">
        <v>2.1061999999999999</v>
      </c>
      <c r="AT984" s="2994">
        <v>2.3214999999999999</v>
      </c>
      <c r="AU984" s="2994">
        <v>2.2654999999999998</v>
      </c>
      <c r="AV984" s="2994">
        <v>2.2464</v>
      </c>
      <c r="AW984" s="2994">
        <v>2.2425999999999999</v>
      </c>
      <c r="AX984" s="2994">
        <v>2.8706999999999998</v>
      </c>
      <c r="AY984" s="2994">
        <v>3.4091</v>
      </c>
      <c r="AZ984" s="2994">
        <v>4.2226999999999997</v>
      </c>
      <c r="BA984" s="2994">
        <v>5.1955</v>
      </c>
      <c r="BB984" s="2994">
        <v>5.4893000000000001</v>
      </c>
      <c r="BC984" s="2994">
        <v>5.2065000000000001</v>
      </c>
      <c r="BD984" s="3471">
        <v>4.6349999999999998</v>
      </c>
      <c r="BE984" s="3471">
        <v>5.2050000000000001</v>
      </c>
      <c r="BF984" s="3471">
        <v>0</v>
      </c>
    </row>
    <row r="985" spans="1:58">
      <c r="A985" s="1817" t="str">
        <f t="shared" si="31"/>
        <v>Southern AsiaWatermelons</v>
      </c>
      <c r="B985" s="1818" t="s">
        <v>1326</v>
      </c>
      <c r="C985" s="1818" t="s">
        <v>7389</v>
      </c>
      <c r="D985" s="3463" t="str">
        <f>VLOOKUP(B985,List_Yield!$G$4:$J$14,4,FALSE)</f>
        <v>Asia (Indian Subcontinent)</v>
      </c>
      <c r="E985" s="3463" t="str">
        <f t="shared" si="30"/>
        <v>Asia (Indian Subcontinent)Watermelons</v>
      </c>
      <c r="F985" s="2994">
        <v>8.0256000000000007</v>
      </c>
      <c r="G985" s="2994">
        <v>7.9610000000000003</v>
      </c>
      <c r="H985" s="2994">
        <v>7.7409999999999997</v>
      </c>
      <c r="I985" s="2994">
        <v>7.7126000000000001</v>
      </c>
      <c r="J985" s="2994">
        <v>7.7047999999999996</v>
      </c>
      <c r="K985" s="2994">
        <v>7.9390999999999998</v>
      </c>
      <c r="L985" s="2994">
        <v>8.1839999999999993</v>
      </c>
      <c r="M985" s="2994">
        <v>8.9013000000000009</v>
      </c>
      <c r="N985" s="2994">
        <v>9.1130999999999993</v>
      </c>
      <c r="O985" s="2994">
        <v>9.2248999999999999</v>
      </c>
      <c r="P985" s="2994">
        <v>9.4507999999999992</v>
      </c>
      <c r="Q985" s="2994">
        <v>9.2072000000000003</v>
      </c>
      <c r="R985" s="2994">
        <v>9.4750999999999994</v>
      </c>
      <c r="S985" s="2994">
        <v>9.5307999999999993</v>
      </c>
      <c r="T985" s="2994">
        <v>9.5770999999999997</v>
      </c>
      <c r="U985" s="2994">
        <v>9.6470000000000002</v>
      </c>
      <c r="V985" s="2994">
        <v>10.482900000000001</v>
      </c>
      <c r="W985" s="2994">
        <v>11.468</v>
      </c>
      <c r="X985" s="2994">
        <v>10.6686</v>
      </c>
      <c r="Y985" s="2994">
        <v>11.1548</v>
      </c>
      <c r="Z985" s="2994">
        <v>11.8635</v>
      </c>
      <c r="AA985" s="2994">
        <v>12.663399999999999</v>
      </c>
      <c r="AB985" s="2994">
        <v>11.5731</v>
      </c>
      <c r="AC985" s="2994">
        <v>12.502700000000001</v>
      </c>
      <c r="AD985" s="2994">
        <v>12.874000000000001</v>
      </c>
      <c r="AE985" s="2994">
        <v>12.8789</v>
      </c>
      <c r="AF985" s="2994">
        <v>13.073499999999999</v>
      </c>
      <c r="AG985" s="2994">
        <v>14.4262</v>
      </c>
      <c r="AH985" s="2994">
        <v>10.8803</v>
      </c>
      <c r="AI985" s="2994">
        <v>18.4528</v>
      </c>
      <c r="AJ985" s="2994">
        <v>11.3003</v>
      </c>
      <c r="AK985" s="2994">
        <v>13.388400000000001</v>
      </c>
      <c r="AL985" s="2994">
        <v>13.8119</v>
      </c>
      <c r="AM985" s="2994">
        <v>13.816599999999999</v>
      </c>
      <c r="AN985" s="2994">
        <v>13.6797</v>
      </c>
      <c r="AO985" s="2994">
        <v>16.207000000000001</v>
      </c>
      <c r="AP985" s="2994">
        <v>17.9587</v>
      </c>
      <c r="AQ985" s="2994">
        <v>17.959599999999998</v>
      </c>
      <c r="AR985" s="2994">
        <v>18.563500000000001</v>
      </c>
      <c r="AS985" s="2994">
        <v>18.009499999999999</v>
      </c>
      <c r="AT985" s="2994">
        <v>18.286999999999999</v>
      </c>
      <c r="AU985" s="2994">
        <v>19.706299999999999</v>
      </c>
      <c r="AV985" s="2994">
        <v>12.5382</v>
      </c>
      <c r="AW985" s="2994">
        <v>20.071999999999999</v>
      </c>
      <c r="AX985" s="2994">
        <v>21.288799999999998</v>
      </c>
      <c r="AY985" s="2994">
        <v>19.7485</v>
      </c>
      <c r="AZ985" s="2994">
        <v>19.368099999999998</v>
      </c>
      <c r="BA985" s="2994">
        <v>19.927900000000001</v>
      </c>
      <c r="BB985" s="2994">
        <v>19.429300000000001</v>
      </c>
      <c r="BC985" s="2994">
        <v>20.762</v>
      </c>
      <c r="BD985" s="3471">
        <v>21.469000000000001</v>
      </c>
      <c r="BE985" s="3471">
        <v>21.662600000000001</v>
      </c>
      <c r="BF985" s="3471">
        <v>0</v>
      </c>
    </row>
    <row r="986" spans="1:58">
      <c r="A986" s="1817" t="str">
        <f t="shared" si="31"/>
        <v>Southern AsiaWheat</v>
      </c>
      <c r="B986" s="1818" t="s">
        <v>1326</v>
      </c>
      <c r="C986" s="1818" t="s">
        <v>1383</v>
      </c>
      <c r="D986" s="3463" t="str">
        <f>VLOOKUP(B986,List_Yield!$G$4:$J$14,4,FALSE)</f>
        <v>Asia (Indian Subcontinent)</v>
      </c>
      <c r="E986" s="3463" t="str">
        <f t="shared" si="30"/>
        <v>Asia (Indian Subcontinent)Wheat</v>
      </c>
      <c r="F986" s="2994">
        <v>0.85419999999999996</v>
      </c>
      <c r="G986" s="2994">
        <v>0.8679</v>
      </c>
      <c r="H986" s="2994">
        <v>0.79649999999999999</v>
      </c>
      <c r="I986" s="2994">
        <v>0.76990000000000003</v>
      </c>
      <c r="J986" s="2994">
        <v>0.88429999999999997</v>
      </c>
      <c r="K986" s="2994">
        <v>0.81279999999999997</v>
      </c>
      <c r="L986" s="2994">
        <v>0.87539999999999996</v>
      </c>
      <c r="M986" s="2994">
        <v>1.0412999999999999</v>
      </c>
      <c r="N986" s="2994">
        <v>1.0847</v>
      </c>
      <c r="O986" s="2994">
        <v>1.1106</v>
      </c>
      <c r="P986" s="2994">
        <v>1.1314</v>
      </c>
      <c r="Q986" s="2994">
        <v>1.2069000000000001</v>
      </c>
      <c r="R986" s="2994">
        <v>1.1797</v>
      </c>
      <c r="S986" s="2994">
        <v>1.1206</v>
      </c>
      <c r="T986" s="2994">
        <v>1.2455000000000001</v>
      </c>
      <c r="U986" s="2994">
        <v>1.3404</v>
      </c>
      <c r="V986" s="2994">
        <v>1.3180000000000001</v>
      </c>
      <c r="W986" s="2994">
        <v>1.3646</v>
      </c>
      <c r="X986" s="2994">
        <v>1.4695</v>
      </c>
      <c r="Y986" s="2994">
        <v>1.3817999999999999</v>
      </c>
      <c r="Z986" s="2994">
        <v>1.4923</v>
      </c>
      <c r="AA986" s="2994">
        <v>1.5427</v>
      </c>
      <c r="AB986" s="2994">
        <v>1.6368</v>
      </c>
      <c r="AC986" s="2994">
        <v>1.6432</v>
      </c>
      <c r="AD986" s="2994">
        <v>1.6685000000000001</v>
      </c>
      <c r="AE986" s="2994">
        <v>1.8320000000000001</v>
      </c>
      <c r="AF986" s="2994">
        <v>1.6862999999999999</v>
      </c>
      <c r="AG986" s="2994">
        <v>1.7563</v>
      </c>
      <c r="AH986" s="2994">
        <v>1.9132</v>
      </c>
      <c r="AI986" s="2994">
        <v>1.8708</v>
      </c>
      <c r="AJ986" s="2994">
        <v>1.9762999999999999</v>
      </c>
      <c r="AK986" s="2994">
        <v>2.0831</v>
      </c>
      <c r="AL986" s="2994">
        <v>2.0350000000000001</v>
      </c>
      <c r="AM986" s="2994">
        <v>2.0836999999999999</v>
      </c>
      <c r="AN986" s="2994">
        <v>2.2561</v>
      </c>
      <c r="AO986" s="2994">
        <v>2.1728000000000001</v>
      </c>
      <c r="AP986" s="2994">
        <v>2.3125</v>
      </c>
      <c r="AQ986" s="2994">
        <v>2.2871999999999999</v>
      </c>
      <c r="AR986" s="2994">
        <v>2.3454999999999999</v>
      </c>
      <c r="AS986" s="2994">
        <v>2.4683999999999999</v>
      </c>
      <c r="AT986" s="2994">
        <v>2.4047999999999998</v>
      </c>
      <c r="AU986" s="2994">
        <v>2.4885999999999999</v>
      </c>
      <c r="AV986" s="2994">
        <v>2.4163000000000001</v>
      </c>
      <c r="AW986" s="2994">
        <v>2.4937999999999998</v>
      </c>
      <c r="AX986" s="2994">
        <v>2.4571999999999998</v>
      </c>
      <c r="AY986" s="2994">
        <v>2.4767999999999999</v>
      </c>
      <c r="AZ986" s="2994">
        <v>2.5699000000000001</v>
      </c>
      <c r="BA986" s="2994">
        <v>2.4965000000000002</v>
      </c>
      <c r="BB986" s="2994">
        <v>2.6629</v>
      </c>
      <c r="BC986" s="2994">
        <v>2.5912999999999999</v>
      </c>
      <c r="BD986" s="3471">
        <v>2.7355</v>
      </c>
      <c r="BE986" s="3471">
        <v>2.8485999999999998</v>
      </c>
      <c r="BF986" s="3471">
        <v>2.8481000000000001</v>
      </c>
    </row>
    <row r="987" spans="1:58">
      <c r="A987" s="1817" t="str">
        <f t="shared" si="31"/>
        <v>Southern AsiaYams</v>
      </c>
      <c r="B987" s="1818" t="s">
        <v>1326</v>
      </c>
      <c r="C987" s="1818" t="s">
        <v>7390</v>
      </c>
      <c r="D987" s="3463" t="str">
        <f>VLOOKUP(B987,List_Yield!$G$4:$J$14,4,FALSE)</f>
        <v>Asia (Indian Subcontinent)</v>
      </c>
      <c r="E987" s="3463" t="str">
        <f t="shared" si="30"/>
        <v>Asia (Indian Subcontinent)Yams</v>
      </c>
      <c r="F987" s="2994">
        <v>0</v>
      </c>
      <c r="G987" s="2994">
        <v>0</v>
      </c>
      <c r="H987" s="2994">
        <v>0</v>
      </c>
      <c r="I987" s="2994">
        <v>0</v>
      </c>
      <c r="J987" s="2994">
        <v>0</v>
      </c>
      <c r="K987" s="2994">
        <v>0</v>
      </c>
      <c r="L987" s="2994">
        <v>0</v>
      </c>
      <c r="M987" s="2994">
        <v>0</v>
      </c>
      <c r="N987" s="2994">
        <v>0</v>
      </c>
      <c r="O987" s="2994">
        <v>0</v>
      </c>
      <c r="P987" s="2994">
        <v>0</v>
      </c>
      <c r="Q987" s="2994">
        <v>0</v>
      </c>
      <c r="R987" s="2994">
        <v>0</v>
      </c>
      <c r="S987" s="2994">
        <v>0</v>
      </c>
      <c r="T987" s="2994">
        <v>0</v>
      </c>
      <c r="U987" s="2994">
        <v>0</v>
      </c>
      <c r="V987" s="2994">
        <v>0</v>
      </c>
      <c r="W987" s="2994">
        <v>0</v>
      </c>
      <c r="X987" s="2994">
        <v>0</v>
      </c>
      <c r="Y987" s="2994">
        <v>0</v>
      </c>
      <c r="Z987" s="2994">
        <v>0</v>
      </c>
      <c r="AA987" s="2994">
        <v>0</v>
      </c>
      <c r="AB987" s="2994">
        <v>0</v>
      </c>
      <c r="AC987" s="2994">
        <v>0</v>
      </c>
      <c r="AD987" s="2994">
        <v>0</v>
      </c>
      <c r="AE987" s="2994">
        <v>0</v>
      </c>
      <c r="AF987" s="2994">
        <v>0</v>
      </c>
      <c r="AG987" s="2994">
        <v>0</v>
      </c>
      <c r="AH987" s="2994">
        <v>0</v>
      </c>
      <c r="AI987" s="2994">
        <v>0</v>
      </c>
      <c r="AJ987" s="2994">
        <v>0</v>
      </c>
      <c r="AK987" s="2994">
        <v>0</v>
      </c>
      <c r="AL987" s="2994">
        <v>0</v>
      </c>
      <c r="AM987" s="2994">
        <v>0</v>
      </c>
      <c r="AN987" s="2994">
        <v>0</v>
      </c>
      <c r="AO987" s="2994">
        <v>0</v>
      </c>
      <c r="AP987" s="2994">
        <v>0</v>
      </c>
      <c r="AQ987" s="2994">
        <v>0</v>
      </c>
      <c r="AR987" s="2994">
        <v>0</v>
      </c>
      <c r="AS987" s="2994">
        <v>0</v>
      </c>
      <c r="AT987" s="2994">
        <v>0</v>
      </c>
      <c r="AU987" s="2994">
        <v>0</v>
      </c>
      <c r="AV987" s="2994">
        <v>0</v>
      </c>
      <c r="AW987" s="2994">
        <v>0</v>
      </c>
      <c r="AX987" s="2994">
        <v>0</v>
      </c>
      <c r="AY987" s="2994">
        <v>0</v>
      </c>
      <c r="AZ987" s="2994">
        <v>0</v>
      </c>
      <c r="BA987" s="2994">
        <v>0</v>
      </c>
      <c r="BB987" s="2994">
        <v>0</v>
      </c>
      <c r="BC987" s="2994">
        <v>0</v>
      </c>
      <c r="BD987" s="3471">
        <v>0</v>
      </c>
      <c r="BE987" s="3471">
        <v>0</v>
      </c>
      <c r="BF987" s="3471">
        <v>0</v>
      </c>
    </row>
    <row r="988" spans="1:58">
      <c r="A988" s="1817" t="str">
        <f t="shared" si="31"/>
        <v>Southern AsiaYautia (cocoyam)</v>
      </c>
      <c r="B988" s="1818" t="s">
        <v>1326</v>
      </c>
      <c r="C988" s="1818" t="s">
        <v>7391</v>
      </c>
      <c r="D988" s="3463" t="str">
        <f>VLOOKUP(B988,List_Yield!$G$4:$J$14,4,FALSE)</f>
        <v>Asia (Indian Subcontinent)</v>
      </c>
      <c r="E988" s="3463" t="str">
        <f t="shared" si="30"/>
        <v>Asia (Indian Subcontinent)Yautia (cocoyam)</v>
      </c>
      <c r="F988" s="2994">
        <v>0</v>
      </c>
      <c r="G988" s="2994">
        <v>0</v>
      </c>
      <c r="H988" s="2994">
        <v>0</v>
      </c>
      <c r="I988" s="2994">
        <v>0</v>
      </c>
      <c r="J988" s="2994">
        <v>0</v>
      </c>
      <c r="K988" s="2994">
        <v>0</v>
      </c>
      <c r="L988" s="2994">
        <v>0</v>
      </c>
      <c r="M988" s="2994">
        <v>0</v>
      </c>
      <c r="N988" s="2994">
        <v>0</v>
      </c>
      <c r="O988" s="2994">
        <v>0</v>
      </c>
      <c r="P988" s="2994">
        <v>0</v>
      </c>
      <c r="Q988" s="2994">
        <v>0</v>
      </c>
      <c r="R988" s="2994">
        <v>0</v>
      </c>
      <c r="S988" s="2994">
        <v>0</v>
      </c>
      <c r="T988" s="2994">
        <v>0</v>
      </c>
      <c r="U988" s="2994">
        <v>0</v>
      </c>
      <c r="V988" s="2994">
        <v>0</v>
      </c>
      <c r="W988" s="2994">
        <v>0</v>
      </c>
      <c r="X988" s="2994">
        <v>0</v>
      </c>
      <c r="Y988" s="2994">
        <v>0</v>
      </c>
      <c r="Z988" s="2994">
        <v>0</v>
      </c>
      <c r="AA988" s="2994">
        <v>0</v>
      </c>
      <c r="AB988" s="2994">
        <v>0</v>
      </c>
      <c r="AC988" s="2994">
        <v>0</v>
      </c>
      <c r="AD988" s="2994">
        <v>0</v>
      </c>
      <c r="AE988" s="2994">
        <v>0</v>
      </c>
      <c r="AF988" s="2994">
        <v>0</v>
      </c>
      <c r="AG988" s="2994">
        <v>0</v>
      </c>
      <c r="AH988" s="2994">
        <v>0</v>
      </c>
      <c r="AI988" s="2994">
        <v>0</v>
      </c>
      <c r="AJ988" s="2994">
        <v>0</v>
      </c>
      <c r="AK988" s="2994">
        <v>0</v>
      </c>
      <c r="AL988" s="2994">
        <v>0</v>
      </c>
      <c r="AM988" s="2994">
        <v>0</v>
      </c>
      <c r="AN988" s="2994">
        <v>0</v>
      </c>
      <c r="AO988" s="2994">
        <v>0</v>
      </c>
      <c r="AP988" s="2994">
        <v>0</v>
      </c>
      <c r="AQ988" s="2994">
        <v>0</v>
      </c>
      <c r="AR988" s="2994">
        <v>0</v>
      </c>
      <c r="AS988" s="2994">
        <v>0</v>
      </c>
      <c r="AT988" s="2994">
        <v>0</v>
      </c>
      <c r="AU988" s="2994">
        <v>0</v>
      </c>
      <c r="AV988" s="2994">
        <v>0</v>
      </c>
      <c r="AW988" s="2994">
        <v>0</v>
      </c>
      <c r="AX988" s="2994">
        <v>0</v>
      </c>
      <c r="AY988" s="2994">
        <v>0</v>
      </c>
      <c r="AZ988" s="2994">
        <v>0</v>
      </c>
      <c r="BA988" s="2994">
        <v>0</v>
      </c>
      <c r="BB988" s="2994">
        <v>0</v>
      </c>
      <c r="BC988" s="2994">
        <v>0</v>
      </c>
      <c r="BD988" s="3471">
        <v>0</v>
      </c>
      <c r="BE988" s="3471">
        <v>0</v>
      </c>
      <c r="BF988" s="3471">
        <v>0</v>
      </c>
    </row>
    <row r="989" spans="1:58">
      <c r="A989" s="1817" t="str">
        <f t="shared" si="31"/>
        <v>Southern AsiaCereals,Total + (Total)</v>
      </c>
      <c r="B989" s="1818" t="s">
        <v>1326</v>
      </c>
      <c r="C989" s="1818" t="s">
        <v>7231</v>
      </c>
      <c r="D989" s="3463" t="str">
        <f>VLOOKUP(B989,List_Yield!$G$4:$J$14,4,FALSE)</f>
        <v>Asia (Indian Subcontinent)</v>
      </c>
      <c r="E989" s="3463" t="str">
        <f t="shared" si="30"/>
        <v>Asia (Indian Subcontinent)Cereals,Total + (Total)</v>
      </c>
      <c r="F989" s="2994">
        <v>1.0118</v>
      </c>
      <c r="G989" s="2994">
        <v>0.98750000000000004</v>
      </c>
      <c r="H989" s="2994">
        <v>1.0323</v>
      </c>
      <c r="I989" s="2994">
        <v>1.0530999999999999</v>
      </c>
      <c r="J989" s="2994">
        <v>0.9456</v>
      </c>
      <c r="K989" s="2994">
        <v>0.93740000000000001</v>
      </c>
      <c r="L989" s="2994">
        <v>1.0569999999999999</v>
      </c>
      <c r="M989" s="2994">
        <v>1.1083000000000001</v>
      </c>
      <c r="N989" s="2994">
        <v>1.1297999999999999</v>
      </c>
      <c r="O989" s="2994">
        <v>1.1835</v>
      </c>
      <c r="P989" s="2994">
        <v>1.1657</v>
      </c>
      <c r="Q989" s="2994">
        <v>1.1526000000000001</v>
      </c>
      <c r="R989" s="2994">
        <v>1.2155</v>
      </c>
      <c r="S989" s="2994">
        <v>1.1521999999999999</v>
      </c>
      <c r="T989" s="2994">
        <v>1.3144</v>
      </c>
      <c r="U989" s="2994">
        <v>1.2773000000000001</v>
      </c>
      <c r="V989" s="2994">
        <v>1.3818999999999999</v>
      </c>
      <c r="W989" s="2994">
        <v>1.415</v>
      </c>
      <c r="X989" s="2994">
        <v>1.3097000000000001</v>
      </c>
      <c r="Y989" s="2994">
        <v>1.417</v>
      </c>
      <c r="Z989" s="2994">
        <v>1.4482999999999999</v>
      </c>
      <c r="AA989" s="2994">
        <v>1.4217</v>
      </c>
      <c r="AB989" s="2994">
        <v>1.5995999999999999</v>
      </c>
      <c r="AC989" s="2994">
        <v>1.5893999999999999</v>
      </c>
      <c r="AD989" s="2994">
        <v>1.6197999999999999</v>
      </c>
      <c r="AE989" s="2994">
        <v>1.639</v>
      </c>
      <c r="AF989" s="2994">
        <v>1.6233</v>
      </c>
      <c r="AG989" s="2994">
        <v>1.7714000000000001</v>
      </c>
      <c r="AH989" s="2994">
        <v>1.8920999999999999</v>
      </c>
      <c r="AI989" s="2994">
        <v>1.8938999999999999</v>
      </c>
      <c r="AJ989" s="2994">
        <v>1.9301999999999999</v>
      </c>
      <c r="AK989" s="2994">
        <v>2.0145</v>
      </c>
      <c r="AL989" s="2994">
        <v>2.0672999999999999</v>
      </c>
      <c r="AM989" s="2994">
        <v>2.0771000000000002</v>
      </c>
      <c r="AN989" s="2994">
        <v>2.1131000000000002</v>
      </c>
      <c r="AO989" s="2994">
        <v>2.1682000000000001</v>
      </c>
      <c r="AP989" s="2994">
        <v>2.206</v>
      </c>
      <c r="AQ989" s="2994">
        <v>2.2686999999999999</v>
      </c>
      <c r="AR989" s="2994">
        <v>2.3380999999999998</v>
      </c>
      <c r="AS989" s="2994">
        <v>2.3488000000000002</v>
      </c>
      <c r="AT989" s="2994">
        <v>2.4304000000000001</v>
      </c>
      <c r="AU989" s="2994">
        <v>2.3031000000000001</v>
      </c>
      <c r="AV989" s="2994">
        <v>2.4615</v>
      </c>
      <c r="AW989" s="2994">
        <v>2.4352</v>
      </c>
      <c r="AX989" s="2994">
        <v>2.5150999999999999</v>
      </c>
      <c r="AY989" s="2994">
        <v>2.5543</v>
      </c>
      <c r="AZ989" s="2994">
        <v>2.6856</v>
      </c>
      <c r="BA989" s="2994">
        <v>2.7042999999999999</v>
      </c>
      <c r="BB989" s="2994">
        <v>2.7097000000000002</v>
      </c>
      <c r="BC989" s="2994">
        <v>2.7732999999999999</v>
      </c>
      <c r="BD989" s="3471">
        <v>2.93</v>
      </c>
      <c r="BE989" s="3471">
        <v>3.0608</v>
      </c>
      <c r="BF989" s="3471">
        <v>3.0280999999999998</v>
      </c>
    </row>
    <row r="990" spans="1:58">
      <c r="A990" s="1817" t="str">
        <f t="shared" si="31"/>
        <v>Southern AsiaPulses,Total + (Total)</v>
      </c>
      <c r="B990" s="1818" t="s">
        <v>1326</v>
      </c>
      <c r="C990" s="1818" t="s">
        <v>7228</v>
      </c>
      <c r="D990" s="3463" t="str">
        <f>VLOOKUP(B990,List_Yield!$G$4:$J$14,4,FALSE)</f>
        <v>Asia (Indian Subcontinent)</v>
      </c>
      <c r="E990" s="3463" t="str">
        <f t="shared" si="30"/>
        <v>Asia (Indian Subcontinent)Pulses,Total + (Total)</v>
      </c>
      <c r="F990" s="2994">
        <v>0.53990000000000005</v>
      </c>
      <c r="G990" s="2994">
        <v>0.49280000000000002</v>
      </c>
      <c r="H990" s="2994">
        <v>0.48280000000000001</v>
      </c>
      <c r="I990" s="2994">
        <v>0.4355</v>
      </c>
      <c r="J990" s="2994">
        <v>0.51729999999999998</v>
      </c>
      <c r="K990" s="2994">
        <v>0.45</v>
      </c>
      <c r="L990" s="2994">
        <v>0.40389999999999998</v>
      </c>
      <c r="M990" s="2994">
        <v>0.53239999999999998</v>
      </c>
      <c r="N990" s="2994">
        <v>0.50539999999999996</v>
      </c>
      <c r="O990" s="2994">
        <v>0.54679999999999995</v>
      </c>
      <c r="P990" s="2994">
        <v>0.52339999999999998</v>
      </c>
      <c r="Q990" s="2994">
        <v>0.49940000000000001</v>
      </c>
      <c r="R990" s="2994">
        <v>0.50280000000000002</v>
      </c>
      <c r="S990" s="2994">
        <v>0.43369999999999997</v>
      </c>
      <c r="T990" s="2994">
        <v>0.49180000000000001</v>
      </c>
      <c r="U990" s="2994">
        <v>0.54759999999999998</v>
      </c>
      <c r="V990" s="2994">
        <v>0.5181</v>
      </c>
      <c r="W990" s="2994">
        <v>0.51349999999999996</v>
      </c>
      <c r="X990" s="2994">
        <v>0.50619999999999998</v>
      </c>
      <c r="Y990" s="2994">
        <v>0.41360000000000002</v>
      </c>
      <c r="Z990" s="2994">
        <v>0.49690000000000001</v>
      </c>
      <c r="AA990" s="2994">
        <v>0.49349999999999999</v>
      </c>
      <c r="AB990" s="2994">
        <v>0.54330000000000001</v>
      </c>
      <c r="AC990" s="2994">
        <v>0.54159999999999997</v>
      </c>
      <c r="AD990" s="2994">
        <v>0.52829999999999999</v>
      </c>
      <c r="AE990" s="2994">
        <v>0.56100000000000005</v>
      </c>
      <c r="AF990" s="2994">
        <v>0.53910000000000002</v>
      </c>
      <c r="AG990" s="2994">
        <v>0.53890000000000005</v>
      </c>
      <c r="AH990" s="2994">
        <v>0.58299999999999996</v>
      </c>
      <c r="AI990" s="2994">
        <v>0.55979999999999996</v>
      </c>
      <c r="AJ990" s="2994">
        <v>0.58069999999999999</v>
      </c>
      <c r="AK990" s="2994">
        <v>0.54339999999999999</v>
      </c>
      <c r="AL990" s="2994">
        <v>0.5524</v>
      </c>
      <c r="AM990" s="2994">
        <v>0.60119999999999996</v>
      </c>
      <c r="AN990" s="2994">
        <v>0.64980000000000004</v>
      </c>
      <c r="AO990" s="2994">
        <v>0.5847</v>
      </c>
      <c r="AP990" s="2994">
        <v>0.61939999999999995</v>
      </c>
      <c r="AQ990" s="2994">
        <v>0.59870000000000001</v>
      </c>
      <c r="AR990" s="2994">
        <v>0.68469999999999998</v>
      </c>
      <c r="AS990" s="2994">
        <v>0.69410000000000005</v>
      </c>
      <c r="AT990" s="2994">
        <v>0.64180000000000004</v>
      </c>
      <c r="AU990" s="2994">
        <v>0.60219999999999996</v>
      </c>
      <c r="AV990" s="2994">
        <v>0.59730000000000005</v>
      </c>
      <c r="AW990" s="2994">
        <v>0.60340000000000005</v>
      </c>
      <c r="AX990" s="2994">
        <v>0.60619999999999996</v>
      </c>
      <c r="AY990" s="2994">
        <v>0.61770000000000003</v>
      </c>
      <c r="AZ990" s="2994">
        <v>0.62509999999999999</v>
      </c>
      <c r="BA990" s="2994">
        <v>0.61270000000000002</v>
      </c>
      <c r="BB990" s="2994">
        <v>0.67149999999999999</v>
      </c>
      <c r="BC990" s="2994">
        <v>0.65590000000000004</v>
      </c>
      <c r="BD990" s="3471">
        <v>0.62419999999999998</v>
      </c>
      <c r="BE990" s="3471">
        <v>0.64100000000000001</v>
      </c>
      <c r="BF990" s="3471">
        <v>0.66910000000000003</v>
      </c>
    </row>
    <row r="991" spans="1:58">
      <c r="A991" s="1817" t="str">
        <f t="shared" si="31"/>
        <v>Southern AsiaRoots and Tubers,Total + (Total)</v>
      </c>
      <c r="B991" s="1818" t="s">
        <v>1326</v>
      </c>
      <c r="C991" s="1818" t="s">
        <v>7234</v>
      </c>
      <c r="D991" s="3463" t="str">
        <f>VLOOKUP(B991,List_Yield!$G$4:$J$14,4,FALSE)</f>
        <v>Asia (Indian Subcontinent)</v>
      </c>
      <c r="E991" s="3463" t="str">
        <f t="shared" si="30"/>
        <v>Asia (Indian Subcontinent)Roots and Tubers,Total + (Total)</v>
      </c>
      <c r="F991" s="2994">
        <v>7.3160999999999996</v>
      </c>
      <c r="G991" s="2994">
        <v>6.9138999999999999</v>
      </c>
      <c r="H991" s="2994">
        <v>7.4406999999999996</v>
      </c>
      <c r="I991" s="2994">
        <v>7.8705999999999996</v>
      </c>
      <c r="J991" s="2994">
        <v>8.9327000000000005</v>
      </c>
      <c r="K991" s="2994">
        <v>8.8219999999999992</v>
      </c>
      <c r="L991" s="2994">
        <v>8.7706</v>
      </c>
      <c r="M991" s="2994">
        <v>9.4733999999999998</v>
      </c>
      <c r="N991" s="2994">
        <v>9.7589000000000006</v>
      </c>
      <c r="O991" s="2994">
        <v>9.7798999999999996</v>
      </c>
      <c r="P991" s="2994">
        <v>10.565200000000001</v>
      </c>
      <c r="Q991" s="2994">
        <v>11.0389</v>
      </c>
      <c r="R991" s="2994">
        <v>10.420500000000001</v>
      </c>
      <c r="S991" s="2994">
        <v>9.9125999999999994</v>
      </c>
      <c r="T991" s="2994">
        <v>10.4015</v>
      </c>
      <c r="U991" s="2994">
        <v>11.020799999999999</v>
      </c>
      <c r="V991" s="2994">
        <v>11.1564</v>
      </c>
      <c r="W991" s="2994">
        <v>11.503</v>
      </c>
      <c r="X991" s="2994">
        <v>12.1297</v>
      </c>
      <c r="Y991" s="2994">
        <v>11.919700000000001</v>
      </c>
      <c r="Z991" s="2994">
        <v>12.7453</v>
      </c>
      <c r="AA991" s="2994">
        <v>12.388199999999999</v>
      </c>
      <c r="AB991" s="2994">
        <v>12.8269</v>
      </c>
      <c r="AC991" s="2994">
        <v>13.7217</v>
      </c>
      <c r="AD991" s="2994">
        <v>13.6509</v>
      </c>
      <c r="AE991" s="2994">
        <v>12.3261</v>
      </c>
      <c r="AF991" s="2994">
        <v>13.646800000000001</v>
      </c>
      <c r="AG991" s="2994">
        <v>14.1633</v>
      </c>
      <c r="AH991" s="2994">
        <v>14.301399999999999</v>
      </c>
      <c r="AI991" s="2994">
        <v>14.2781</v>
      </c>
      <c r="AJ991" s="2994">
        <v>14.978400000000001</v>
      </c>
      <c r="AK991" s="2994">
        <v>15.142799999999999</v>
      </c>
      <c r="AL991" s="2994">
        <v>14.8362</v>
      </c>
      <c r="AM991" s="2994">
        <v>15.9863</v>
      </c>
      <c r="AN991" s="2994">
        <v>15.835100000000001</v>
      </c>
      <c r="AO991" s="2994">
        <v>16.062200000000001</v>
      </c>
      <c r="AP991" s="2994">
        <v>17.273900000000001</v>
      </c>
      <c r="AQ991" s="2994">
        <v>15.1927</v>
      </c>
      <c r="AR991" s="2994">
        <v>16.423999999999999</v>
      </c>
      <c r="AS991" s="2994">
        <v>17.510999999999999</v>
      </c>
      <c r="AT991" s="2994">
        <v>17.3185</v>
      </c>
      <c r="AU991" s="2994">
        <v>17.9681</v>
      </c>
      <c r="AV991" s="2994">
        <v>16.919799999999999</v>
      </c>
      <c r="AW991" s="2994">
        <v>18.0519</v>
      </c>
      <c r="AX991" s="2994">
        <v>18.546399999999998</v>
      </c>
      <c r="AY991" s="2994">
        <v>18.248000000000001</v>
      </c>
      <c r="AZ991" s="2994">
        <v>17.431100000000001</v>
      </c>
      <c r="BA991" s="2994">
        <v>19.3139</v>
      </c>
      <c r="BB991" s="2994">
        <v>18.867599999999999</v>
      </c>
      <c r="BC991" s="2994">
        <v>20.114699999999999</v>
      </c>
      <c r="BD991" s="3471">
        <v>21.859100000000002</v>
      </c>
      <c r="BE991" s="3471">
        <v>21.476099999999999</v>
      </c>
      <c r="BF991" s="3471">
        <v>21.948</v>
      </c>
    </row>
    <row r="992" spans="1:58">
      <c r="A992" s="1817" t="str">
        <f t="shared" si="31"/>
        <v>South-Eastern AsiaAgave fibres nes</v>
      </c>
      <c r="B992" s="1818" t="s">
        <v>1394</v>
      </c>
      <c r="C992" s="1818" t="s">
        <v>7282</v>
      </c>
      <c r="D992" s="3463" t="str">
        <f>VLOOKUP(B992,List_Yield!$G$4:$J$14,4,FALSE)</f>
        <v>Asia (Insular)</v>
      </c>
      <c r="E992" s="3463" t="str">
        <f t="shared" si="30"/>
        <v>Asia (Insular)Agave fibres nes</v>
      </c>
      <c r="F992" s="2994">
        <v>0.84619999999999995</v>
      </c>
      <c r="G992" s="2994">
        <v>0.81940000000000002</v>
      </c>
      <c r="H992" s="2994">
        <v>0.82469999999999999</v>
      </c>
      <c r="I992" s="2994">
        <v>0.96189999999999998</v>
      </c>
      <c r="J992" s="2994">
        <v>0.92679999999999996</v>
      </c>
      <c r="K992" s="2994">
        <v>0.88439999999999996</v>
      </c>
      <c r="L992" s="2994">
        <v>0.90390000000000004</v>
      </c>
      <c r="M992" s="2994">
        <v>0.93149999999999999</v>
      </c>
      <c r="N992" s="2994">
        <v>0.87180000000000002</v>
      </c>
      <c r="O992" s="2994">
        <v>0.86309999999999998</v>
      </c>
      <c r="P992" s="2994">
        <v>0.87909999999999999</v>
      </c>
      <c r="Q992" s="2994">
        <v>0.99060000000000004</v>
      </c>
      <c r="R992" s="2994">
        <v>0.98360000000000003</v>
      </c>
      <c r="S992" s="2994">
        <v>1.0385</v>
      </c>
      <c r="T992" s="2994">
        <v>0.71209999999999996</v>
      </c>
      <c r="U992" s="2994">
        <v>0.57140000000000002</v>
      </c>
      <c r="V992" s="2994">
        <v>1.0189999999999999</v>
      </c>
      <c r="W992" s="2994">
        <v>0.93710000000000004</v>
      </c>
      <c r="X992" s="2994">
        <v>1.0263</v>
      </c>
      <c r="Y992" s="2994">
        <v>1.3105</v>
      </c>
      <c r="Z992" s="2994">
        <v>1.1456999999999999</v>
      </c>
      <c r="AA992" s="2994">
        <v>1.0945</v>
      </c>
      <c r="AB992" s="2994">
        <v>1.0526</v>
      </c>
      <c r="AC992" s="2994">
        <v>1.0562</v>
      </c>
      <c r="AD992" s="2994">
        <v>1.0565</v>
      </c>
      <c r="AE992" s="2994">
        <v>1.0575000000000001</v>
      </c>
      <c r="AF992" s="2994">
        <v>1.0619000000000001</v>
      </c>
      <c r="AG992" s="2994">
        <v>1.0606</v>
      </c>
      <c r="AH992" s="2994">
        <v>1.0606</v>
      </c>
      <c r="AI992" s="2994">
        <v>0.99219999999999997</v>
      </c>
      <c r="AJ992" s="2994">
        <v>1.0291999999999999</v>
      </c>
      <c r="AK992" s="2994">
        <v>0.97030000000000005</v>
      </c>
      <c r="AL992" s="2994">
        <v>0.9133</v>
      </c>
      <c r="AM992" s="2994">
        <v>0.95709999999999995</v>
      </c>
      <c r="AN992" s="2994">
        <v>1.0556000000000001</v>
      </c>
      <c r="AO992" s="2994">
        <v>1.0526</v>
      </c>
      <c r="AP992" s="2994">
        <v>1.0301</v>
      </c>
      <c r="AQ992" s="2994">
        <v>1.1507000000000001</v>
      </c>
      <c r="AR992" s="2994">
        <v>1.1206</v>
      </c>
      <c r="AS992" s="2994">
        <v>1.236</v>
      </c>
      <c r="AT992" s="2994">
        <v>1.1604000000000001</v>
      </c>
      <c r="AU992" s="2994">
        <v>0.8901</v>
      </c>
      <c r="AV992" s="2994">
        <v>0.99570000000000003</v>
      </c>
      <c r="AW992" s="2994">
        <v>0.96599999999999997</v>
      </c>
      <c r="AX992" s="2994">
        <v>0.91320000000000001</v>
      </c>
      <c r="AY992" s="2994">
        <v>1.0553999999999999</v>
      </c>
      <c r="AZ992" s="2994">
        <v>1.0759000000000001</v>
      </c>
      <c r="BA992" s="2994">
        <v>1.0347</v>
      </c>
      <c r="BB992" s="2994">
        <v>1.0465</v>
      </c>
      <c r="BC992" s="2994">
        <v>1.0454000000000001</v>
      </c>
      <c r="BD992" s="3471">
        <v>1.0084</v>
      </c>
      <c r="BE992" s="3471">
        <v>1</v>
      </c>
      <c r="BF992" s="3471">
        <v>0</v>
      </c>
    </row>
    <row r="993" spans="1:58">
      <c r="A993" s="1817" t="str">
        <f t="shared" si="31"/>
        <v>South-Eastern AsiaAlmonds, with shell</v>
      </c>
      <c r="B993" s="1818" t="s">
        <v>1394</v>
      </c>
      <c r="C993" s="1818" t="s">
        <v>7283</v>
      </c>
      <c r="D993" s="3463" t="str">
        <f>VLOOKUP(B993,List_Yield!$G$4:$J$14,4,FALSE)</f>
        <v>Asia (Insular)</v>
      </c>
      <c r="E993" s="3463" t="str">
        <f t="shared" si="30"/>
        <v>Asia (Insular)Almonds, with shell</v>
      </c>
      <c r="F993" s="2994">
        <v>0</v>
      </c>
      <c r="G993" s="2994">
        <v>0</v>
      </c>
      <c r="H993" s="2994">
        <v>0</v>
      </c>
      <c r="I993" s="2994">
        <v>0</v>
      </c>
      <c r="J993" s="2994">
        <v>0</v>
      </c>
      <c r="K993" s="2994">
        <v>0</v>
      </c>
      <c r="L993" s="2994">
        <v>0</v>
      </c>
      <c r="M993" s="2994">
        <v>0</v>
      </c>
      <c r="N993" s="2994">
        <v>0</v>
      </c>
      <c r="O993" s="2994">
        <v>0</v>
      </c>
      <c r="P993" s="2994">
        <v>0</v>
      </c>
      <c r="Q993" s="2994">
        <v>0</v>
      </c>
      <c r="R993" s="2994">
        <v>0</v>
      </c>
      <c r="S993" s="2994">
        <v>0</v>
      </c>
      <c r="T993" s="2994">
        <v>0</v>
      </c>
      <c r="U993" s="2994">
        <v>0</v>
      </c>
      <c r="V993" s="2994">
        <v>0</v>
      </c>
      <c r="W993" s="2994">
        <v>0</v>
      </c>
      <c r="X993" s="2994">
        <v>0</v>
      </c>
      <c r="Y993" s="2994">
        <v>0</v>
      </c>
      <c r="Z993" s="2994">
        <v>0</v>
      </c>
      <c r="AA993" s="2994">
        <v>0</v>
      </c>
      <c r="AB993" s="2994">
        <v>0</v>
      </c>
      <c r="AC993" s="2994">
        <v>0</v>
      </c>
      <c r="AD993" s="2994">
        <v>0</v>
      </c>
      <c r="AE993" s="2994">
        <v>0</v>
      </c>
      <c r="AF993" s="2994">
        <v>0</v>
      </c>
      <c r="AG993" s="2994">
        <v>0</v>
      </c>
      <c r="AH993" s="2994">
        <v>0</v>
      </c>
      <c r="AI993" s="2994">
        <v>0</v>
      </c>
      <c r="AJ993" s="2994">
        <v>0</v>
      </c>
      <c r="AK993" s="2994">
        <v>0</v>
      </c>
      <c r="AL993" s="2994">
        <v>0</v>
      </c>
      <c r="AM993" s="2994">
        <v>0</v>
      </c>
      <c r="AN993" s="2994">
        <v>0</v>
      </c>
      <c r="AO993" s="2994">
        <v>0</v>
      </c>
      <c r="AP993" s="2994">
        <v>0</v>
      </c>
      <c r="AQ993" s="2994">
        <v>0</v>
      </c>
      <c r="AR993" s="2994">
        <v>0</v>
      </c>
      <c r="AS993" s="2994">
        <v>0</v>
      </c>
      <c r="AT993" s="2994">
        <v>0</v>
      </c>
      <c r="AU993" s="2994">
        <v>0</v>
      </c>
      <c r="AV993" s="2994">
        <v>0</v>
      </c>
      <c r="AW993" s="2994">
        <v>0</v>
      </c>
      <c r="AX993" s="2994">
        <v>0</v>
      </c>
      <c r="AY993" s="2994">
        <v>0</v>
      </c>
      <c r="AZ993" s="2994">
        <v>0</v>
      </c>
      <c r="BA993" s="2994">
        <v>0</v>
      </c>
      <c r="BB993" s="2994">
        <v>0</v>
      </c>
      <c r="BC993" s="2994">
        <v>0</v>
      </c>
      <c r="BD993" s="3471">
        <v>0</v>
      </c>
      <c r="BE993" s="3471">
        <v>0</v>
      </c>
      <c r="BF993" s="3471">
        <v>0</v>
      </c>
    </row>
    <row r="994" spans="1:58">
      <c r="A994" s="1817" t="str">
        <f t="shared" si="31"/>
        <v>South-Eastern AsiaAnise, badian, fennel, coriander</v>
      </c>
      <c r="B994" s="1818" t="s">
        <v>1394</v>
      </c>
      <c r="C994" s="1818" t="s">
        <v>7284</v>
      </c>
      <c r="D994" s="3463" t="str">
        <f>VLOOKUP(B994,List_Yield!$G$4:$J$14,4,FALSE)</f>
        <v>Asia (Insular)</v>
      </c>
      <c r="E994" s="3463" t="str">
        <f t="shared" si="30"/>
        <v>Asia (Insular)Anise, badian, fennel, coriander</v>
      </c>
      <c r="F994" s="2994">
        <v>0.7</v>
      </c>
      <c r="G994" s="2994">
        <v>0.7</v>
      </c>
      <c r="H994" s="2994">
        <v>0.7</v>
      </c>
      <c r="I994" s="2994">
        <v>0.85</v>
      </c>
      <c r="J994" s="2994">
        <v>0.87</v>
      </c>
      <c r="K994" s="2994">
        <v>0.9</v>
      </c>
      <c r="L994" s="2994">
        <v>0.5</v>
      </c>
      <c r="M994" s="2994">
        <v>0.5</v>
      </c>
      <c r="N994" s="2994">
        <v>0.6</v>
      </c>
      <c r="O994" s="2994">
        <v>0.45</v>
      </c>
      <c r="P994" s="2994">
        <v>1</v>
      </c>
      <c r="Q994" s="2994">
        <v>0.8</v>
      </c>
      <c r="R994" s="2994">
        <v>0.71430000000000005</v>
      </c>
      <c r="S994" s="2994">
        <v>0.78569999999999995</v>
      </c>
      <c r="T994" s="2994">
        <v>0.71430000000000005</v>
      </c>
      <c r="U994" s="2994">
        <v>0.64290000000000003</v>
      </c>
      <c r="V994" s="2994">
        <v>0.64</v>
      </c>
      <c r="W994" s="2994">
        <v>0.6</v>
      </c>
      <c r="X994" s="2994">
        <v>0.66</v>
      </c>
      <c r="Y994" s="2994">
        <v>0.7</v>
      </c>
      <c r="Z994" s="2994">
        <v>0.74</v>
      </c>
      <c r="AA994" s="2994">
        <v>0.57140000000000002</v>
      </c>
      <c r="AB994" s="2994">
        <v>0.64290000000000003</v>
      </c>
      <c r="AC994" s="2994">
        <v>0.6714</v>
      </c>
      <c r="AD994" s="2994">
        <v>0.71430000000000005</v>
      </c>
      <c r="AE994" s="2994">
        <v>0.625</v>
      </c>
      <c r="AF994" s="2994">
        <v>0.84379999999999999</v>
      </c>
      <c r="AG994" s="2994">
        <v>0.76919999999999999</v>
      </c>
      <c r="AH994" s="2994">
        <v>0.8</v>
      </c>
      <c r="AI994" s="2994">
        <v>0.76919999999999999</v>
      </c>
      <c r="AJ994" s="2994">
        <v>0.82120000000000004</v>
      </c>
      <c r="AK994" s="2994">
        <v>0.8</v>
      </c>
      <c r="AL994" s="2994">
        <v>0.8125</v>
      </c>
      <c r="AM994" s="2994">
        <v>0.76919999999999999</v>
      </c>
      <c r="AN994" s="2994">
        <v>0.8</v>
      </c>
      <c r="AO994" s="2994">
        <v>0.8</v>
      </c>
      <c r="AP994" s="2994">
        <v>0.75860000000000005</v>
      </c>
      <c r="AQ994" s="2994">
        <v>0.75</v>
      </c>
      <c r="AR994" s="2994">
        <v>0.84109999999999996</v>
      </c>
      <c r="AS994" s="2994">
        <v>0.74419999999999997</v>
      </c>
      <c r="AT994" s="2994">
        <v>0.71630000000000005</v>
      </c>
      <c r="AU994" s="2994">
        <v>0.68489999999999995</v>
      </c>
      <c r="AV994" s="2994">
        <v>0.75</v>
      </c>
      <c r="AW994" s="2994">
        <v>0.6784</v>
      </c>
      <c r="AX994" s="2994">
        <v>0.68189999999999995</v>
      </c>
      <c r="AY994" s="2994">
        <v>0.65190000000000003</v>
      </c>
      <c r="AZ994" s="2994">
        <v>0.72699999999999998</v>
      </c>
      <c r="BA994" s="2994">
        <v>0.77580000000000005</v>
      </c>
      <c r="BB994" s="2994">
        <v>0.629</v>
      </c>
      <c r="BC994" s="2994">
        <v>0.61250000000000004</v>
      </c>
      <c r="BD994" s="3471">
        <v>0.62450000000000006</v>
      </c>
      <c r="BE994" s="3471">
        <v>0.6462</v>
      </c>
      <c r="BF994" s="3471">
        <v>0</v>
      </c>
    </row>
    <row r="995" spans="1:58">
      <c r="A995" s="1817" t="str">
        <f t="shared" si="31"/>
        <v>South-Eastern AsiaApples</v>
      </c>
      <c r="B995" s="1818" t="s">
        <v>1394</v>
      </c>
      <c r="C995" s="1818" t="s">
        <v>7285</v>
      </c>
      <c r="D995" s="3463" t="str">
        <f>VLOOKUP(B995,List_Yield!$G$4:$J$14,4,FALSE)</f>
        <v>Asia (Insular)</v>
      </c>
      <c r="E995" s="3463" t="str">
        <f t="shared" si="30"/>
        <v>Asia (Insular)Apples</v>
      </c>
      <c r="F995" s="2994">
        <v>0</v>
      </c>
      <c r="G995" s="2994">
        <v>0</v>
      </c>
      <c r="H995" s="2994">
        <v>0</v>
      </c>
      <c r="I995" s="2994">
        <v>0</v>
      </c>
      <c r="J995" s="2994">
        <v>0</v>
      </c>
      <c r="K995" s="2994">
        <v>0</v>
      </c>
      <c r="L995" s="2994">
        <v>0</v>
      </c>
      <c r="M995" s="2994">
        <v>0</v>
      </c>
      <c r="N995" s="2994">
        <v>0</v>
      </c>
      <c r="O995" s="2994">
        <v>0</v>
      </c>
      <c r="P995" s="2994">
        <v>0</v>
      </c>
      <c r="Q995" s="2994">
        <v>0</v>
      </c>
      <c r="R995" s="2994">
        <v>0</v>
      </c>
      <c r="S995" s="2994">
        <v>0</v>
      </c>
      <c r="T995" s="2994">
        <v>0</v>
      </c>
      <c r="U995" s="2994">
        <v>0</v>
      </c>
      <c r="V995" s="2994">
        <v>0</v>
      </c>
      <c r="W995" s="2994">
        <v>0</v>
      </c>
      <c r="X995" s="2994">
        <v>0</v>
      </c>
      <c r="Y995" s="2994">
        <v>0</v>
      </c>
      <c r="Z995" s="2994">
        <v>0</v>
      </c>
      <c r="AA995" s="2994">
        <v>0</v>
      </c>
      <c r="AB995" s="2994">
        <v>0</v>
      </c>
      <c r="AC995" s="2994">
        <v>0</v>
      </c>
      <c r="AD995" s="2994">
        <v>0</v>
      </c>
      <c r="AE995" s="2994">
        <v>0</v>
      </c>
      <c r="AF995" s="2994">
        <v>0</v>
      </c>
      <c r="AG995" s="2994">
        <v>0</v>
      </c>
      <c r="AH995" s="2994">
        <v>0</v>
      </c>
      <c r="AI995" s="2994">
        <v>0</v>
      </c>
      <c r="AJ995" s="2994">
        <v>0</v>
      </c>
      <c r="AK995" s="2994">
        <v>0</v>
      </c>
      <c r="AL995" s="2994">
        <v>0</v>
      </c>
      <c r="AM995" s="2994">
        <v>0</v>
      </c>
      <c r="AN995" s="2994">
        <v>0</v>
      </c>
      <c r="AO995" s="2994">
        <v>0</v>
      </c>
      <c r="AP995" s="2994">
        <v>0</v>
      </c>
      <c r="AQ995" s="2994">
        <v>0</v>
      </c>
      <c r="AR995" s="2994">
        <v>0</v>
      </c>
      <c r="AS995" s="2994">
        <v>0</v>
      </c>
      <c r="AT995" s="2994">
        <v>0</v>
      </c>
      <c r="AU995" s="2994">
        <v>0</v>
      </c>
      <c r="AV995" s="2994">
        <v>0</v>
      </c>
      <c r="AW995" s="2994">
        <v>0</v>
      </c>
      <c r="AX995" s="2994">
        <v>0</v>
      </c>
      <c r="AY995" s="2994">
        <v>0</v>
      </c>
      <c r="AZ995" s="2994">
        <v>0</v>
      </c>
      <c r="BA995" s="2994">
        <v>0</v>
      </c>
      <c r="BB995" s="2994">
        <v>0</v>
      </c>
      <c r="BC995" s="2994">
        <v>0</v>
      </c>
      <c r="BD995" s="3471">
        <v>0</v>
      </c>
      <c r="BE995" s="3471">
        <v>0</v>
      </c>
      <c r="BF995" s="3471">
        <v>0</v>
      </c>
    </row>
    <row r="996" spans="1:58">
      <c r="A996" s="1817" t="str">
        <f t="shared" si="31"/>
        <v>South-Eastern AsiaApricots</v>
      </c>
      <c r="B996" s="1818" t="s">
        <v>1394</v>
      </c>
      <c r="C996" s="1818" t="s">
        <v>7286</v>
      </c>
      <c r="D996" s="3463" t="str">
        <f>VLOOKUP(B996,List_Yield!$G$4:$J$14,4,FALSE)</f>
        <v>Asia (Insular)</v>
      </c>
      <c r="E996" s="3463" t="str">
        <f t="shared" si="30"/>
        <v>Asia (Insular)Apricots</v>
      </c>
      <c r="F996" s="2994">
        <v>0</v>
      </c>
      <c r="G996" s="2994">
        <v>0</v>
      </c>
      <c r="H996" s="2994">
        <v>0</v>
      </c>
      <c r="I996" s="2994">
        <v>0</v>
      </c>
      <c r="J996" s="2994">
        <v>0</v>
      </c>
      <c r="K996" s="2994">
        <v>0</v>
      </c>
      <c r="L996" s="2994">
        <v>0</v>
      </c>
      <c r="M996" s="2994">
        <v>0</v>
      </c>
      <c r="N996" s="2994">
        <v>0</v>
      </c>
      <c r="O996" s="2994">
        <v>0</v>
      </c>
      <c r="P996" s="2994">
        <v>0</v>
      </c>
      <c r="Q996" s="2994">
        <v>0</v>
      </c>
      <c r="R996" s="2994">
        <v>0</v>
      </c>
      <c r="S996" s="2994">
        <v>0</v>
      </c>
      <c r="T996" s="2994">
        <v>0</v>
      </c>
      <c r="U996" s="2994">
        <v>0</v>
      </c>
      <c r="V996" s="2994">
        <v>0</v>
      </c>
      <c r="W996" s="2994">
        <v>0</v>
      </c>
      <c r="X996" s="2994">
        <v>0</v>
      </c>
      <c r="Y996" s="2994">
        <v>0</v>
      </c>
      <c r="Z996" s="2994">
        <v>0</v>
      </c>
      <c r="AA996" s="2994">
        <v>0</v>
      </c>
      <c r="AB996" s="2994">
        <v>0</v>
      </c>
      <c r="AC996" s="2994">
        <v>0</v>
      </c>
      <c r="AD996" s="2994">
        <v>0</v>
      </c>
      <c r="AE996" s="2994">
        <v>0</v>
      </c>
      <c r="AF996" s="2994">
        <v>0</v>
      </c>
      <c r="AG996" s="2994">
        <v>0</v>
      </c>
      <c r="AH996" s="2994">
        <v>0</v>
      </c>
      <c r="AI996" s="2994">
        <v>0</v>
      </c>
      <c r="AJ996" s="2994">
        <v>0</v>
      </c>
      <c r="AK996" s="2994">
        <v>0</v>
      </c>
      <c r="AL996" s="2994">
        <v>0</v>
      </c>
      <c r="AM996" s="2994">
        <v>0</v>
      </c>
      <c r="AN996" s="2994">
        <v>0</v>
      </c>
      <c r="AO996" s="2994">
        <v>0</v>
      </c>
      <c r="AP996" s="2994">
        <v>0</v>
      </c>
      <c r="AQ996" s="2994">
        <v>0</v>
      </c>
      <c r="AR996" s="2994">
        <v>0</v>
      </c>
      <c r="AS996" s="2994">
        <v>0</v>
      </c>
      <c r="AT996" s="2994">
        <v>0</v>
      </c>
      <c r="AU996" s="2994">
        <v>0</v>
      </c>
      <c r="AV996" s="2994">
        <v>0</v>
      </c>
      <c r="AW996" s="2994">
        <v>0</v>
      </c>
      <c r="AX996" s="2994">
        <v>0</v>
      </c>
      <c r="AY996" s="2994">
        <v>0</v>
      </c>
      <c r="AZ996" s="2994">
        <v>0</v>
      </c>
      <c r="BA996" s="2994">
        <v>0</v>
      </c>
      <c r="BB996" s="2994">
        <v>0</v>
      </c>
      <c r="BC996" s="2994">
        <v>0</v>
      </c>
      <c r="BD996" s="3471">
        <v>0</v>
      </c>
      <c r="BE996" s="3471">
        <v>0</v>
      </c>
      <c r="BF996" s="3471">
        <v>0</v>
      </c>
    </row>
    <row r="997" spans="1:58">
      <c r="A997" s="1817" t="str">
        <f t="shared" si="31"/>
        <v>South-Eastern AsiaAreca nuts</v>
      </c>
      <c r="B997" s="1818" t="s">
        <v>1394</v>
      </c>
      <c r="C997" s="1818" t="s">
        <v>7287</v>
      </c>
      <c r="D997" s="3463" t="str">
        <f>VLOOKUP(B997,List_Yield!$G$4:$J$14,4,FALSE)</f>
        <v>Asia (Insular)</v>
      </c>
      <c r="E997" s="3463" t="str">
        <f t="shared" si="30"/>
        <v>Asia (Insular)Areca nuts</v>
      </c>
      <c r="F997" s="2994">
        <v>0.33400000000000002</v>
      </c>
      <c r="G997" s="2994">
        <v>0.31359999999999999</v>
      </c>
      <c r="H997" s="2994">
        <v>0.3251</v>
      </c>
      <c r="I997" s="2994">
        <v>0.33079999999999998</v>
      </c>
      <c r="J997" s="2994">
        <v>0.38119999999999998</v>
      </c>
      <c r="K997" s="2994">
        <v>0.3498</v>
      </c>
      <c r="L997" s="2994">
        <v>0.35759999999999997</v>
      </c>
      <c r="M997" s="2994">
        <v>0.34839999999999999</v>
      </c>
      <c r="N997" s="2994">
        <v>0.33150000000000002</v>
      </c>
      <c r="O997" s="2994">
        <v>0.34470000000000001</v>
      </c>
      <c r="P997" s="2994">
        <v>0.36409999999999998</v>
      </c>
      <c r="Q997" s="2994">
        <v>0.38319999999999999</v>
      </c>
      <c r="R997" s="2994">
        <v>0.38109999999999999</v>
      </c>
      <c r="S997" s="2994">
        <v>0.38400000000000001</v>
      </c>
      <c r="T997" s="2994">
        <v>0.37440000000000001</v>
      </c>
      <c r="U997" s="2994">
        <v>0.3765</v>
      </c>
      <c r="V997" s="2994">
        <v>0.38500000000000001</v>
      </c>
      <c r="W997" s="2994">
        <v>0.38890000000000002</v>
      </c>
      <c r="X997" s="2994">
        <v>0.39560000000000001</v>
      </c>
      <c r="Y997" s="2994">
        <v>0.40439999999999998</v>
      </c>
      <c r="Z997" s="2994">
        <v>0.39319999999999999</v>
      </c>
      <c r="AA997" s="2994">
        <v>0.37990000000000002</v>
      </c>
      <c r="AB997" s="2994">
        <v>0.5645</v>
      </c>
      <c r="AC997" s="2994">
        <v>0.49159999999999998</v>
      </c>
      <c r="AD997" s="2994">
        <v>0.60929999999999995</v>
      </c>
      <c r="AE997" s="2994">
        <v>0.53169999999999995</v>
      </c>
      <c r="AF997" s="2994">
        <v>0.60660000000000003</v>
      </c>
      <c r="AG997" s="2994">
        <v>0.49519999999999997</v>
      </c>
      <c r="AH997" s="2994">
        <v>0.52090000000000003</v>
      </c>
      <c r="AI997" s="2994">
        <v>0.85340000000000005</v>
      </c>
      <c r="AJ997" s="2994">
        <v>0.8458</v>
      </c>
      <c r="AK997" s="2994">
        <v>0.83850000000000002</v>
      </c>
      <c r="AL997" s="2994">
        <v>0.9395</v>
      </c>
      <c r="AM997" s="2994">
        <v>1.1142000000000001</v>
      </c>
      <c r="AN997" s="2994">
        <v>1.2154</v>
      </c>
      <c r="AO997" s="2994">
        <v>1.2205999999999999</v>
      </c>
      <c r="AP997" s="2994">
        <v>1.2146999999999999</v>
      </c>
      <c r="AQ997" s="2994">
        <v>1.2517</v>
      </c>
      <c r="AR997" s="2994">
        <v>1.3572</v>
      </c>
      <c r="AS997" s="2994">
        <v>1.2909999999999999</v>
      </c>
      <c r="AT997" s="2994">
        <v>1.3589</v>
      </c>
      <c r="AU997" s="2994">
        <v>1.2561</v>
      </c>
      <c r="AV997" s="2994">
        <v>1.2626999999999999</v>
      </c>
      <c r="AW997" s="2994">
        <v>1.2979000000000001</v>
      </c>
      <c r="AX997" s="2994">
        <v>1.3174999999999999</v>
      </c>
      <c r="AY997" s="2994">
        <v>1.4205000000000001</v>
      </c>
      <c r="AZ997" s="2994">
        <v>1.5193000000000001</v>
      </c>
      <c r="BA997" s="2994">
        <v>1.5238</v>
      </c>
      <c r="BB997" s="2994">
        <v>1.4966999999999999</v>
      </c>
      <c r="BC997" s="2994">
        <v>1.5270999999999999</v>
      </c>
      <c r="BD997" s="3471">
        <v>1.5042</v>
      </c>
      <c r="BE997" s="3471">
        <v>1.5335000000000001</v>
      </c>
      <c r="BF997" s="3471">
        <v>0</v>
      </c>
    </row>
    <row r="998" spans="1:58">
      <c r="A998" s="1817" t="str">
        <f t="shared" si="31"/>
        <v>South-Eastern AsiaArtichokes</v>
      </c>
      <c r="B998" s="1818" t="s">
        <v>1394</v>
      </c>
      <c r="C998" s="1818" t="s">
        <v>7288</v>
      </c>
      <c r="D998" s="3463" t="str">
        <f>VLOOKUP(B998,List_Yield!$G$4:$J$14,4,FALSE)</f>
        <v>Asia (Insular)</v>
      </c>
      <c r="E998" s="3463" t="str">
        <f t="shared" si="30"/>
        <v>Asia (Insular)Artichokes</v>
      </c>
      <c r="F998" s="2994">
        <v>0</v>
      </c>
      <c r="G998" s="2994">
        <v>0</v>
      </c>
      <c r="H998" s="2994">
        <v>0</v>
      </c>
      <c r="I998" s="2994">
        <v>0</v>
      </c>
      <c r="J998" s="2994">
        <v>0</v>
      </c>
      <c r="K998" s="2994">
        <v>0</v>
      </c>
      <c r="L998" s="2994">
        <v>0</v>
      </c>
      <c r="M998" s="2994">
        <v>0</v>
      </c>
      <c r="N998" s="2994">
        <v>0</v>
      </c>
      <c r="O998" s="2994">
        <v>0</v>
      </c>
      <c r="P998" s="2994">
        <v>0</v>
      </c>
      <c r="Q998" s="2994">
        <v>0</v>
      </c>
      <c r="R998" s="2994">
        <v>0</v>
      </c>
      <c r="S998" s="2994">
        <v>0</v>
      </c>
      <c r="T998" s="2994">
        <v>0</v>
      </c>
      <c r="U998" s="2994">
        <v>0</v>
      </c>
      <c r="V998" s="2994">
        <v>0</v>
      </c>
      <c r="W998" s="2994">
        <v>0</v>
      </c>
      <c r="X998" s="2994">
        <v>0</v>
      </c>
      <c r="Y998" s="2994">
        <v>0</v>
      </c>
      <c r="Z998" s="2994">
        <v>0</v>
      </c>
      <c r="AA998" s="2994">
        <v>0</v>
      </c>
      <c r="AB998" s="2994">
        <v>0</v>
      </c>
      <c r="AC998" s="2994">
        <v>0</v>
      </c>
      <c r="AD998" s="2994">
        <v>0</v>
      </c>
      <c r="AE998" s="2994">
        <v>0</v>
      </c>
      <c r="AF998" s="2994">
        <v>0</v>
      </c>
      <c r="AG998" s="2994">
        <v>0</v>
      </c>
      <c r="AH998" s="2994">
        <v>0</v>
      </c>
      <c r="AI998" s="2994">
        <v>0</v>
      </c>
      <c r="AJ998" s="2994">
        <v>0</v>
      </c>
      <c r="AK998" s="2994">
        <v>0</v>
      </c>
      <c r="AL998" s="2994">
        <v>0</v>
      </c>
      <c r="AM998" s="2994">
        <v>0</v>
      </c>
      <c r="AN998" s="2994">
        <v>0</v>
      </c>
      <c r="AO998" s="2994">
        <v>0</v>
      </c>
      <c r="AP998" s="2994">
        <v>0</v>
      </c>
      <c r="AQ998" s="2994">
        <v>0</v>
      </c>
      <c r="AR998" s="2994">
        <v>0</v>
      </c>
      <c r="AS998" s="2994">
        <v>0</v>
      </c>
      <c r="AT998" s="2994">
        <v>0</v>
      </c>
      <c r="AU998" s="2994">
        <v>0</v>
      </c>
      <c r="AV998" s="2994">
        <v>0</v>
      </c>
      <c r="AW998" s="2994">
        <v>0</v>
      </c>
      <c r="AX998" s="2994">
        <v>0</v>
      </c>
      <c r="AY998" s="2994">
        <v>0</v>
      </c>
      <c r="AZ998" s="2994">
        <v>0</v>
      </c>
      <c r="BA998" s="2994">
        <v>0</v>
      </c>
      <c r="BB998" s="2994">
        <v>0</v>
      </c>
      <c r="BC998" s="2994">
        <v>0</v>
      </c>
      <c r="BD998" s="3471">
        <v>0</v>
      </c>
      <c r="BE998" s="3471">
        <v>0</v>
      </c>
      <c r="BF998" s="3471">
        <v>0</v>
      </c>
    </row>
    <row r="999" spans="1:58">
      <c r="A999" s="1817" t="str">
        <f t="shared" si="31"/>
        <v>South-Eastern AsiaAsparagus</v>
      </c>
      <c r="B999" s="1818" t="s">
        <v>1394</v>
      </c>
      <c r="C999" s="1818" t="s">
        <v>7289</v>
      </c>
      <c r="D999" s="3463" t="str">
        <f>VLOOKUP(B999,List_Yield!$G$4:$J$14,4,FALSE)</f>
        <v>Asia (Insular)</v>
      </c>
      <c r="E999" s="3463" t="str">
        <f t="shared" si="30"/>
        <v>Asia (Insular)Asparagus</v>
      </c>
      <c r="F999" s="2994">
        <v>0</v>
      </c>
      <c r="G999" s="2994">
        <v>0</v>
      </c>
      <c r="H999" s="2994">
        <v>0</v>
      </c>
      <c r="I999" s="2994">
        <v>0</v>
      </c>
      <c r="J999" s="2994">
        <v>0</v>
      </c>
      <c r="K999" s="2994">
        <v>0</v>
      </c>
      <c r="L999" s="2994">
        <v>0</v>
      </c>
      <c r="M999" s="2994">
        <v>0</v>
      </c>
      <c r="N999" s="2994">
        <v>0</v>
      </c>
      <c r="O999" s="2994">
        <v>0</v>
      </c>
      <c r="P999" s="2994">
        <v>0</v>
      </c>
      <c r="Q999" s="2994">
        <v>0</v>
      </c>
      <c r="R999" s="2994">
        <v>0</v>
      </c>
      <c r="S999" s="2994">
        <v>0</v>
      </c>
      <c r="T999" s="2994">
        <v>0</v>
      </c>
      <c r="U999" s="2994">
        <v>0</v>
      </c>
      <c r="V999" s="2994">
        <v>0</v>
      </c>
      <c r="W999" s="2994">
        <v>0</v>
      </c>
      <c r="X999" s="2994">
        <v>0</v>
      </c>
      <c r="Y999" s="2994">
        <v>0</v>
      </c>
      <c r="Z999" s="2994">
        <v>0</v>
      </c>
      <c r="AA999" s="2994">
        <v>0</v>
      </c>
      <c r="AB999" s="2994">
        <v>0</v>
      </c>
      <c r="AC999" s="2994">
        <v>0</v>
      </c>
      <c r="AD999" s="2994">
        <v>0</v>
      </c>
      <c r="AE999" s="2994">
        <v>0</v>
      </c>
      <c r="AF999" s="2994">
        <v>0</v>
      </c>
      <c r="AG999" s="2994">
        <v>5.5</v>
      </c>
      <c r="AH999" s="2994">
        <v>7.4545000000000003</v>
      </c>
      <c r="AI999" s="2994">
        <v>6.9443000000000001</v>
      </c>
      <c r="AJ999" s="2994">
        <v>4.7732999999999999</v>
      </c>
      <c r="AK999" s="2994">
        <v>5.8554000000000004</v>
      </c>
      <c r="AL999" s="2994">
        <v>6.9344000000000001</v>
      </c>
      <c r="AM999" s="2994">
        <v>7.0403000000000002</v>
      </c>
      <c r="AN999" s="2994">
        <v>6.9663000000000004</v>
      </c>
      <c r="AO999" s="2994">
        <v>7.3247</v>
      </c>
      <c r="AP999" s="2994">
        <v>7.2595000000000001</v>
      </c>
      <c r="AQ999" s="2994">
        <v>7.7263000000000002</v>
      </c>
      <c r="AR999" s="2994">
        <v>7.3624000000000001</v>
      </c>
      <c r="AS999" s="2994">
        <v>8.3086000000000002</v>
      </c>
      <c r="AT999" s="2994">
        <v>5.6848999999999998</v>
      </c>
      <c r="AU999" s="2994">
        <v>4.1638000000000002</v>
      </c>
      <c r="AV999" s="2994">
        <v>5.0048000000000004</v>
      </c>
      <c r="AW999" s="2994">
        <v>5.5551000000000004</v>
      </c>
      <c r="AX999" s="2994">
        <v>5.0456000000000003</v>
      </c>
      <c r="AY999" s="2994">
        <v>4.9992999999999999</v>
      </c>
      <c r="AZ999" s="2994">
        <v>4.2363999999999997</v>
      </c>
      <c r="BA999" s="2994">
        <v>4.2702999999999998</v>
      </c>
      <c r="BB999" s="2994">
        <v>3.9878999999999998</v>
      </c>
      <c r="BC999" s="2994">
        <v>3.9056999999999999</v>
      </c>
      <c r="BD999" s="3471">
        <v>3.8229000000000002</v>
      </c>
      <c r="BE999" s="3471">
        <v>4.0088999999999997</v>
      </c>
      <c r="BF999" s="3471">
        <v>0</v>
      </c>
    </row>
    <row r="1000" spans="1:58">
      <c r="A1000" s="1817" t="str">
        <f t="shared" si="31"/>
        <v>South-Eastern AsiaAvocados</v>
      </c>
      <c r="B1000" s="1818" t="s">
        <v>1394</v>
      </c>
      <c r="C1000" s="1818" t="s">
        <v>7290</v>
      </c>
      <c r="D1000" s="3463" t="str">
        <f>VLOOKUP(B1000,List_Yield!$G$4:$J$14,4,FALSE)</f>
        <v>Asia (Insular)</v>
      </c>
      <c r="E1000" s="3463" t="str">
        <f t="shared" si="30"/>
        <v>Asia (Insular)Avocados</v>
      </c>
      <c r="F1000" s="2994">
        <v>4.5599999999999996</v>
      </c>
      <c r="G1000" s="2994">
        <v>4.5263</v>
      </c>
      <c r="H1000" s="2994">
        <v>4.6211000000000002</v>
      </c>
      <c r="I1000" s="2994">
        <v>4.7984</v>
      </c>
      <c r="J1000" s="2994">
        <v>4.9402999999999997</v>
      </c>
      <c r="K1000" s="2994">
        <v>5.9894999999999996</v>
      </c>
      <c r="L1000" s="2994">
        <v>6.0873999999999997</v>
      </c>
      <c r="M1000" s="2994">
        <v>5.8528000000000002</v>
      </c>
      <c r="N1000" s="2994">
        <v>5.2550999999999997</v>
      </c>
      <c r="O1000" s="2994">
        <v>4.6444999999999999</v>
      </c>
      <c r="P1000" s="2994">
        <v>4.7988</v>
      </c>
      <c r="Q1000" s="2994">
        <v>4.9923000000000002</v>
      </c>
      <c r="R1000" s="2994">
        <v>4.5820999999999996</v>
      </c>
      <c r="S1000" s="2994">
        <v>5.7404999999999999</v>
      </c>
      <c r="T1000" s="2994">
        <v>6.0518000000000001</v>
      </c>
      <c r="U1000" s="2994">
        <v>4.3605</v>
      </c>
      <c r="V1000" s="2994">
        <v>4.1782000000000004</v>
      </c>
      <c r="W1000" s="2994">
        <v>3.8460999999999999</v>
      </c>
      <c r="X1000" s="2994">
        <v>4.5571000000000002</v>
      </c>
      <c r="Y1000" s="2994">
        <v>4.5772000000000004</v>
      </c>
      <c r="Z1000" s="2994">
        <v>4.6828000000000003</v>
      </c>
      <c r="AA1000" s="2994">
        <v>3.3771</v>
      </c>
      <c r="AB1000" s="2994">
        <v>3.1815000000000002</v>
      </c>
      <c r="AC1000" s="2994">
        <v>3.6116000000000001</v>
      </c>
      <c r="AD1000" s="2994">
        <v>3.3187000000000002</v>
      </c>
      <c r="AE1000" s="2994">
        <v>4.3026999999999997</v>
      </c>
      <c r="AF1000" s="2994">
        <v>4.0076999999999998</v>
      </c>
      <c r="AG1000" s="2994">
        <v>3.3151999999999999</v>
      </c>
      <c r="AH1000" s="2994">
        <v>3.1938</v>
      </c>
      <c r="AI1000" s="2994">
        <v>3.9073000000000002</v>
      </c>
      <c r="AJ1000" s="2994">
        <v>3.8589000000000002</v>
      </c>
      <c r="AK1000" s="2994">
        <v>3.8931</v>
      </c>
      <c r="AL1000" s="2994">
        <v>5.3822999999999999</v>
      </c>
      <c r="AM1000" s="2994">
        <v>7.0063000000000004</v>
      </c>
      <c r="AN1000" s="2994">
        <v>8.2444000000000006</v>
      </c>
      <c r="AO1000" s="2994">
        <v>7.8902999999999999</v>
      </c>
      <c r="AP1000" s="2994">
        <v>10.703799999999999</v>
      </c>
      <c r="AQ1000" s="2994">
        <v>9.5556999999999999</v>
      </c>
      <c r="AR1000" s="2994">
        <v>9.8493999999999993</v>
      </c>
      <c r="AS1000" s="2994">
        <v>9.9924999999999997</v>
      </c>
      <c r="AT1000" s="2994">
        <v>10.8895</v>
      </c>
      <c r="AU1000" s="2994">
        <v>13.1059</v>
      </c>
      <c r="AV1000" s="2994">
        <v>12.848699999999999</v>
      </c>
      <c r="AW1000" s="2994">
        <v>12.088699999999999</v>
      </c>
      <c r="AX1000" s="2994">
        <v>11.744899999999999</v>
      </c>
      <c r="AY1000" s="2994">
        <v>12.6044</v>
      </c>
      <c r="AZ1000" s="2994">
        <v>10.0275</v>
      </c>
      <c r="BA1000" s="2994">
        <v>10.693300000000001</v>
      </c>
      <c r="BB1000" s="2994">
        <v>11.057499999999999</v>
      </c>
      <c r="BC1000" s="2994">
        <v>9.5322999999999993</v>
      </c>
      <c r="BD1000" s="3471">
        <v>11.015700000000001</v>
      </c>
      <c r="BE1000" s="3471">
        <v>10.9627</v>
      </c>
      <c r="BF1000" s="3471">
        <v>0</v>
      </c>
    </row>
    <row r="1001" spans="1:58">
      <c r="A1001" s="1817" t="str">
        <f t="shared" si="31"/>
        <v>South-Eastern AsiaBambara beans</v>
      </c>
      <c r="B1001" s="1818" t="s">
        <v>1394</v>
      </c>
      <c r="C1001" s="1818" t="s">
        <v>7291</v>
      </c>
      <c r="D1001" s="3463" t="str">
        <f>VLOOKUP(B1001,List_Yield!$G$4:$J$14,4,FALSE)</f>
        <v>Asia (Insular)</v>
      </c>
      <c r="E1001" s="3463" t="str">
        <f t="shared" si="30"/>
        <v>Asia (Insular)Bambara beans</v>
      </c>
      <c r="F1001" s="2994">
        <v>0</v>
      </c>
      <c r="G1001" s="2994">
        <v>0</v>
      </c>
      <c r="H1001" s="2994">
        <v>0</v>
      </c>
      <c r="I1001" s="2994">
        <v>0</v>
      </c>
      <c r="J1001" s="2994">
        <v>0</v>
      </c>
      <c r="K1001" s="2994">
        <v>0</v>
      </c>
      <c r="L1001" s="2994">
        <v>0</v>
      </c>
      <c r="M1001" s="2994">
        <v>0</v>
      </c>
      <c r="N1001" s="2994">
        <v>0</v>
      </c>
      <c r="O1001" s="2994">
        <v>0</v>
      </c>
      <c r="P1001" s="2994">
        <v>0</v>
      </c>
      <c r="Q1001" s="2994">
        <v>0</v>
      </c>
      <c r="R1001" s="2994">
        <v>0</v>
      </c>
      <c r="S1001" s="2994">
        <v>0</v>
      </c>
      <c r="T1001" s="2994">
        <v>0</v>
      </c>
      <c r="U1001" s="2994">
        <v>0</v>
      </c>
      <c r="V1001" s="2994">
        <v>0</v>
      </c>
      <c r="W1001" s="2994">
        <v>0</v>
      </c>
      <c r="X1001" s="2994">
        <v>0</v>
      </c>
      <c r="Y1001" s="2994">
        <v>0</v>
      </c>
      <c r="Z1001" s="2994">
        <v>0</v>
      </c>
      <c r="AA1001" s="2994">
        <v>0</v>
      </c>
      <c r="AB1001" s="2994">
        <v>0</v>
      </c>
      <c r="AC1001" s="2994">
        <v>0</v>
      </c>
      <c r="AD1001" s="2994">
        <v>0</v>
      </c>
      <c r="AE1001" s="2994">
        <v>0</v>
      </c>
      <c r="AF1001" s="2994">
        <v>0</v>
      </c>
      <c r="AG1001" s="2994">
        <v>0</v>
      </c>
      <c r="AH1001" s="2994">
        <v>0</v>
      </c>
      <c r="AI1001" s="2994">
        <v>0</v>
      </c>
      <c r="AJ1001" s="2994">
        <v>0</v>
      </c>
      <c r="AK1001" s="2994">
        <v>0</v>
      </c>
      <c r="AL1001" s="2994">
        <v>0</v>
      </c>
      <c r="AM1001" s="2994">
        <v>0</v>
      </c>
      <c r="AN1001" s="2994">
        <v>0</v>
      </c>
      <c r="AO1001" s="2994">
        <v>0</v>
      </c>
      <c r="AP1001" s="2994">
        <v>0</v>
      </c>
      <c r="AQ1001" s="2994">
        <v>0</v>
      </c>
      <c r="AR1001" s="2994">
        <v>0</v>
      </c>
      <c r="AS1001" s="2994">
        <v>0</v>
      </c>
      <c r="AT1001" s="2994">
        <v>0</v>
      </c>
      <c r="AU1001" s="2994">
        <v>0</v>
      </c>
      <c r="AV1001" s="2994">
        <v>0</v>
      </c>
      <c r="AW1001" s="2994">
        <v>0</v>
      </c>
      <c r="AX1001" s="2994">
        <v>0</v>
      </c>
      <c r="AY1001" s="2994">
        <v>0</v>
      </c>
      <c r="AZ1001" s="2994">
        <v>0</v>
      </c>
      <c r="BA1001" s="2994">
        <v>0</v>
      </c>
      <c r="BB1001" s="2994">
        <v>0</v>
      </c>
      <c r="BC1001" s="2994">
        <v>0</v>
      </c>
      <c r="BD1001" s="3471">
        <v>0</v>
      </c>
      <c r="BE1001" s="3471">
        <v>0</v>
      </c>
      <c r="BF1001" s="3471">
        <v>0</v>
      </c>
    </row>
    <row r="1002" spans="1:58">
      <c r="A1002" s="1817" t="str">
        <f t="shared" si="31"/>
        <v>South-Eastern AsiaBananas</v>
      </c>
      <c r="B1002" s="1818" t="s">
        <v>1394</v>
      </c>
      <c r="C1002" s="1818" t="s">
        <v>1336</v>
      </c>
      <c r="D1002" s="3463" t="str">
        <f>VLOOKUP(B1002,List_Yield!$G$4:$J$14,4,FALSE)</f>
        <v>Asia (Insular)</v>
      </c>
      <c r="E1002" s="3463" t="str">
        <f t="shared" si="30"/>
        <v>Asia (Insular)Bananas</v>
      </c>
      <c r="F1002" s="2994">
        <v>6.4104000000000001</v>
      </c>
      <c r="G1002" s="2994">
        <v>6.4065000000000003</v>
      </c>
      <c r="H1002" s="2994">
        <v>6.8219000000000003</v>
      </c>
      <c r="I1002" s="2994">
        <v>6.3917000000000002</v>
      </c>
      <c r="J1002" s="2994">
        <v>6.5484</v>
      </c>
      <c r="K1002" s="2994">
        <v>6.5682999999999998</v>
      </c>
      <c r="L1002" s="2994">
        <v>6.5385999999999997</v>
      </c>
      <c r="M1002" s="2994">
        <v>6.5086000000000004</v>
      </c>
      <c r="N1002" s="2994">
        <v>6.3369</v>
      </c>
      <c r="O1002" s="2994">
        <v>7.4648000000000003</v>
      </c>
      <c r="P1002" s="2994">
        <v>7.4722</v>
      </c>
      <c r="Q1002" s="2994">
        <v>6.4240000000000004</v>
      </c>
      <c r="R1002" s="2994">
        <v>6.4856999999999996</v>
      </c>
      <c r="S1002" s="2994">
        <v>7.4583000000000004</v>
      </c>
      <c r="T1002" s="2994">
        <v>8.2133000000000003</v>
      </c>
      <c r="U1002" s="2994">
        <v>8.5678000000000001</v>
      </c>
      <c r="V1002" s="2994">
        <v>10.275399999999999</v>
      </c>
      <c r="W1002" s="2994">
        <v>10.6638</v>
      </c>
      <c r="X1002" s="2994">
        <v>11.5527</v>
      </c>
      <c r="Y1002" s="2994">
        <v>12.745900000000001</v>
      </c>
      <c r="Z1002" s="2994">
        <v>12.459099999999999</v>
      </c>
      <c r="AA1002" s="2994">
        <v>11.9558</v>
      </c>
      <c r="AB1002" s="2994">
        <v>11.4489</v>
      </c>
      <c r="AC1002" s="2994">
        <v>11.872299999999999</v>
      </c>
      <c r="AD1002" s="2994">
        <v>12.0815</v>
      </c>
      <c r="AE1002" s="2994">
        <v>13.907500000000001</v>
      </c>
      <c r="AF1002" s="2994">
        <v>13.0625</v>
      </c>
      <c r="AG1002" s="2994">
        <v>12.933199999999999</v>
      </c>
      <c r="AH1002" s="2994">
        <v>12.8226</v>
      </c>
      <c r="AI1002" s="2994">
        <v>13.2637</v>
      </c>
      <c r="AJ1002" s="2994">
        <v>13.2834</v>
      </c>
      <c r="AK1002" s="2994">
        <v>14.4482</v>
      </c>
      <c r="AL1002" s="2994">
        <v>14.2051</v>
      </c>
      <c r="AM1002" s="2994">
        <v>16.1587</v>
      </c>
      <c r="AN1002" s="2994">
        <v>17.507000000000001</v>
      </c>
      <c r="AO1002" s="2994">
        <v>16.083600000000001</v>
      </c>
      <c r="AP1002" s="2994">
        <v>15.630100000000001</v>
      </c>
      <c r="AQ1002" s="2994">
        <v>15.474500000000001</v>
      </c>
      <c r="AR1002" s="2994">
        <v>15.7432</v>
      </c>
      <c r="AS1002" s="2994">
        <v>16.247599999999998</v>
      </c>
      <c r="AT1002" s="2994">
        <v>17.001200000000001</v>
      </c>
      <c r="AU1002" s="2994">
        <v>17.5078</v>
      </c>
      <c r="AV1002" s="2994">
        <v>17.0108</v>
      </c>
      <c r="AW1002" s="2994">
        <v>17.578800000000001</v>
      </c>
      <c r="AX1002" s="2994">
        <v>18.9194</v>
      </c>
      <c r="AY1002" s="2994">
        <v>19.191299999999998</v>
      </c>
      <c r="AZ1002" s="2994">
        <v>20.264500000000002</v>
      </c>
      <c r="BA1002" s="2994">
        <v>21.682700000000001</v>
      </c>
      <c r="BB1002" s="2994">
        <v>21.704799999999999</v>
      </c>
      <c r="BC1002" s="2994">
        <v>21.609400000000001</v>
      </c>
      <c r="BD1002" s="3471">
        <v>22.094000000000001</v>
      </c>
      <c r="BE1002" s="3471">
        <v>22.2013</v>
      </c>
      <c r="BF1002" s="3471">
        <v>0</v>
      </c>
    </row>
    <row r="1003" spans="1:58">
      <c r="A1003" s="1817" t="str">
        <f t="shared" si="31"/>
        <v>South-Eastern AsiaBarley</v>
      </c>
      <c r="B1003" s="1818" t="s">
        <v>1394</v>
      </c>
      <c r="C1003" s="1818" t="s">
        <v>1337</v>
      </c>
      <c r="D1003" s="3463" t="str">
        <f>VLOOKUP(B1003,List_Yield!$G$4:$J$14,4,FALSE)</f>
        <v>Asia (Insular)</v>
      </c>
      <c r="E1003" s="3463" t="str">
        <f t="shared" si="30"/>
        <v>Asia (Insular)Barley</v>
      </c>
      <c r="F1003" s="2994">
        <v>0</v>
      </c>
      <c r="G1003" s="2994">
        <v>0</v>
      </c>
      <c r="H1003" s="2994">
        <v>0</v>
      </c>
      <c r="I1003" s="2994">
        <v>0</v>
      </c>
      <c r="J1003" s="2994">
        <v>0</v>
      </c>
      <c r="K1003" s="2994">
        <v>0</v>
      </c>
      <c r="L1003" s="2994">
        <v>0</v>
      </c>
      <c r="M1003" s="2994">
        <v>0</v>
      </c>
      <c r="N1003" s="2994">
        <v>0</v>
      </c>
      <c r="O1003" s="2994">
        <v>0</v>
      </c>
      <c r="P1003" s="2994">
        <v>0</v>
      </c>
      <c r="Q1003" s="2994">
        <v>0</v>
      </c>
      <c r="R1003" s="2994">
        <v>0</v>
      </c>
      <c r="S1003" s="2994">
        <v>0</v>
      </c>
      <c r="T1003" s="2994">
        <v>0</v>
      </c>
      <c r="U1003" s="2994">
        <v>0</v>
      </c>
      <c r="V1003" s="2994">
        <v>0</v>
      </c>
      <c r="W1003" s="2994">
        <v>0</v>
      </c>
      <c r="X1003" s="2994">
        <v>0</v>
      </c>
      <c r="Y1003" s="2994">
        <v>0</v>
      </c>
      <c r="Z1003" s="2994">
        <v>0</v>
      </c>
      <c r="AA1003" s="2994">
        <v>0</v>
      </c>
      <c r="AB1003" s="2994">
        <v>0</v>
      </c>
      <c r="AC1003" s="2994">
        <v>0</v>
      </c>
      <c r="AD1003" s="2994">
        <v>1.9610000000000001</v>
      </c>
      <c r="AE1003" s="2994">
        <v>1.514</v>
      </c>
      <c r="AF1003" s="2994">
        <v>1.0934999999999999</v>
      </c>
      <c r="AG1003" s="2994">
        <v>1.1067</v>
      </c>
      <c r="AH1003" s="2994">
        <v>1.0138</v>
      </c>
      <c r="AI1003" s="2994">
        <v>1.1831</v>
      </c>
      <c r="AJ1003" s="2994">
        <v>0.71809999999999996</v>
      </c>
      <c r="AK1003" s="2994">
        <v>0.66739999999999999</v>
      </c>
      <c r="AL1003" s="2994">
        <v>1</v>
      </c>
      <c r="AM1003" s="2994">
        <v>1.2987</v>
      </c>
      <c r="AN1003" s="2994">
        <v>1.6</v>
      </c>
      <c r="AO1003" s="2994">
        <v>1.8391999999999999</v>
      </c>
      <c r="AP1003" s="2994">
        <v>4.1852999999999998</v>
      </c>
      <c r="AQ1003" s="2994">
        <v>1.8438000000000001</v>
      </c>
      <c r="AR1003" s="2994">
        <v>1.9838</v>
      </c>
      <c r="AS1003" s="2994">
        <v>1.869</v>
      </c>
      <c r="AT1003" s="2994">
        <v>1.8995</v>
      </c>
      <c r="AU1003" s="2994">
        <v>1.9420999999999999</v>
      </c>
      <c r="AV1003" s="2994">
        <v>1.913</v>
      </c>
      <c r="AW1003" s="2994">
        <v>1.9167000000000001</v>
      </c>
      <c r="AX1003" s="2994">
        <v>1.9286000000000001</v>
      </c>
      <c r="AY1003" s="2994">
        <v>2</v>
      </c>
      <c r="AZ1003" s="2994">
        <v>2.5</v>
      </c>
      <c r="BA1003" s="2994">
        <v>2.9411999999999998</v>
      </c>
      <c r="BB1003" s="2994">
        <v>3.3332999999999999</v>
      </c>
      <c r="BC1003" s="2994">
        <v>3.6842000000000001</v>
      </c>
      <c r="BD1003" s="3471">
        <v>4</v>
      </c>
      <c r="BE1003" s="3471">
        <v>8.85</v>
      </c>
      <c r="BF1003" s="3471">
        <v>9.5</v>
      </c>
    </row>
    <row r="1004" spans="1:58">
      <c r="A1004" s="1817" t="str">
        <f t="shared" si="31"/>
        <v>South-Eastern AsiaBastfibres, other</v>
      </c>
      <c r="B1004" s="1818" t="s">
        <v>1394</v>
      </c>
      <c r="C1004" s="1818" t="s">
        <v>7292</v>
      </c>
      <c r="D1004" s="3463" t="str">
        <f>VLOOKUP(B1004,List_Yield!$G$4:$J$14,4,FALSE)</f>
        <v>Asia (Insular)</v>
      </c>
      <c r="E1004" s="3463" t="str">
        <f t="shared" si="30"/>
        <v>Asia (Insular)Bastfibres, other</v>
      </c>
      <c r="F1004" s="2994">
        <v>1.2615000000000001</v>
      </c>
      <c r="G1004" s="2994">
        <v>1.2022999999999999</v>
      </c>
      <c r="H1004" s="2994">
        <v>1.3906000000000001</v>
      </c>
      <c r="I1004" s="2994">
        <v>1.3784000000000001</v>
      </c>
      <c r="J1004" s="2994">
        <v>1.4120999999999999</v>
      </c>
      <c r="K1004" s="2994">
        <v>1.3321000000000001</v>
      </c>
      <c r="L1004" s="2994">
        <v>1.2417</v>
      </c>
      <c r="M1004" s="2994">
        <v>1.2855000000000001</v>
      </c>
      <c r="N1004" s="2994">
        <v>1.0665</v>
      </c>
      <c r="O1004" s="2994">
        <v>0.99480000000000002</v>
      </c>
      <c r="P1004" s="2994">
        <v>0.94710000000000005</v>
      </c>
      <c r="Q1004" s="2994">
        <v>0.98680000000000001</v>
      </c>
      <c r="R1004" s="2994">
        <v>1.1323000000000001</v>
      </c>
      <c r="S1004" s="2994">
        <v>1.0154000000000001</v>
      </c>
      <c r="T1004" s="2994">
        <v>1.1395</v>
      </c>
      <c r="U1004" s="2994">
        <v>1.3174999999999999</v>
      </c>
      <c r="V1004" s="2994">
        <v>1.0004</v>
      </c>
      <c r="W1004" s="2994">
        <v>1.2161999999999999</v>
      </c>
      <c r="X1004" s="2994">
        <v>1.0509999999999999</v>
      </c>
      <c r="Y1004" s="2994">
        <v>1.2604</v>
      </c>
      <c r="Z1004" s="2994">
        <v>1.0978000000000001</v>
      </c>
      <c r="AA1004" s="2994">
        <v>0.98970000000000002</v>
      </c>
      <c r="AB1004" s="2994">
        <v>1.0981000000000001</v>
      </c>
      <c r="AC1004" s="2994">
        <v>1.1080000000000001</v>
      </c>
      <c r="AD1004" s="2994">
        <v>1.1285000000000001</v>
      </c>
      <c r="AE1004" s="2994">
        <v>1.0876999999999999</v>
      </c>
      <c r="AF1004" s="2994">
        <v>1.0608</v>
      </c>
      <c r="AG1004" s="2994">
        <v>1.1992</v>
      </c>
      <c r="AH1004" s="2994">
        <v>1.232</v>
      </c>
      <c r="AI1004" s="2994">
        <v>1.2670999999999999</v>
      </c>
      <c r="AJ1004" s="2994">
        <v>1.3107</v>
      </c>
      <c r="AK1004" s="2994">
        <v>1.3611</v>
      </c>
      <c r="AL1004" s="2994">
        <v>1.4552</v>
      </c>
      <c r="AM1004" s="2994">
        <v>1.5146999999999999</v>
      </c>
      <c r="AN1004" s="2994">
        <v>1.4603999999999999</v>
      </c>
      <c r="AO1004" s="2994">
        <v>1.4592000000000001</v>
      </c>
      <c r="AP1004" s="2994">
        <v>1.4944999999999999</v>
      </c>
      <c r="AQ1004" s="2994">
        <v>1.7536</v>
      </c>
      <c r="AR1004" s="2994">
        <v>1.9004000000000001</v>
      </c>
      <c r="AS1004" s="2994">
        <v>1.5125999999999999</v>
      </c>
      <c r="AT1004" s="2994">
        <v>1.5036</v>
      </c>
      <c r="AU1004" s="2994">
        <v>1.4462999999999999</v>
      </c>
      <c r="AV1004" s="2994">
        <v>1.1852</v>
      </c>
      <c r="AW1004" s="2994">
        <v>1.1904999999999999</v>
      </c>
      <c r="AX1004" s="2994">
        <v>1.1541999999999999</v>
      </c>
      <c r="AY1004" s="2994">
        <v>1.1526000000000001</v>
      </c>
      <c r="AZ1004" s="2994">
        <v>1.0831999999999999</v>
      </c>
      <c r="BA1004" s="2994">
        <v>1.1412</v>
      </c>
      <c r="BB1004" s="2994">
        <v>1.1505000000000001</v>
      </c>
      <c r="BC1004" s="2994">
        <v>1.1557999999999999</v>
      </c>
      <c r="BD1004" s="3471">
        <v>1.1372</v>
      </c>
      <c r="BE1004" s="3471">
        <v>1.1344000000000001</v>
      </c>
      <c r="BF1004" s="3471">
        <v>0</v>
      </c>
    </row>
    <row r="1005" spans="1:58">
      <c r="A1005" s="1817" t="str">
        <f t="shared" si="31"/>
        <v>South-Eastern AsiaBeans, dry</v>
      </c>
      <c r="B1005" s="1818" t="s">
        <v>1394</v>
      </c>
      <c r="C1005" s="1818" t="s">
        <v>1338</v>
      </c>
      <c r="D1005" s="3463" t="str">
        <f>VLOOKUP(B1005,List_Yield!$G$4:$J$14,4,FALSE)</f>
        <v>Asia (Insular)</v>
      </c>
      <c r="E1005" s="3463" t="str">
        <f t="shared" si="30"/>
        <v>Asia (Insular)Beans, dry</v>
      </c>
      <c r="F1005" s="2994">
        <v>0.73550000000000004</v>
      </c>
      <c r="G1005" s="2994">
        <v>0.77869999999999995</v>
      </c>
      <c r="H1005" s="2994">
        <v>0.73839999999999995</v>
      </c>
      <c r="I1005" s="2994">
        <v>0.7369</v>
      </c>
      <c r="J1005" s="2994">
        <v>0.73199999999999998</v>
      </c>
      <c r="K1005" s="2994">
        <v>0.73380000000000001</v>
      </c>
      <c r="L1005" s="2994">
        <v>0.67710000000000004</v>
      </c>
      <c r="M1005" s="2994">
        <v>0.7228</v>
      </c>
      <c r="N1005" s="2994">
        <v>0.72099999999999997</v>
      </c>
      <c r="O1005" s="2994">
        <v>0.68110000000000004</v>
      </c>
      <c r="P1005" s="2994">
        <v>0.7752</v>
      </c>
      <c r="Q1005" s="2994">
        <v>0.74739999999999995</v>
      </c>
      <c r="R1005" s="2994">
        <v>0.71740000000000004</v>
      </c>
      <c r="S1005" s="2994">
        <v>0.7772</v>
      </c>
      <c r="T1005" s="2994">
        <v>0.69369999999999998</v>
      </c>
      <c r="U1005" s="2994">
        <v>0.62409999999999999</v>
      </c>
      <c r="V1005" s="2994">
        <v>0.6179</v>
      </c>
      <c r="W1005" s="2994">
        <v>0.67610000000000003</v>
      </c>
      <c r="X1005" s="2994">
        <v>0.69179999999999997</v>
      </c>
      <c r="Y1005" s="2994">
        <v>0.75129999999999997</v>
      </c>
      <c r="Z1005" s="2994">
        <v>0.65110000000000001</v>
      </c>
      <c r="AA1005" s="2994">
        <v>0.70789999999999997</v>
      </c>
      <c r="AB1005" s="2994">
        <v>0.92530000000000001</v>
      </c>
      <c r="AC1005" s="2994">
        <v>0.94340000000000002</v>
      </c>
      <c r="AD1005" s="2994">
        <v>0.89339999999999997</v>
      </c>
      <c r="AE1005" s="2994">
        <v>0.90249999999999997</v>
      </c>
      <c r="AF1005" s="2994">
        <v>0.9103</v>
      </c>
      <c r="AG1005" s="2994">
        <v>0.93640000000000001</v>
      </c>
      <c r="AH1005" s="2994">
        <v>0.90749999999999997</v>
      </c>
      <c r="AI1005" s="2994">
        <v>0.87960000000000005</v>
      </c>
      <c r="AJ1005" s="2994">
        <v>0.87170000000000003</v>
      </c>
      <c r="AK1005" s="2994">
        <v>0.93010000000000004</v>
      </c>
      <c r="AL1005" s="2994">
        <v>0.90880000000000005</v>
      </c>
      <c r="AM1005" s="2994">
        <v>0.94489999999999996</v>
      </c>
      <c r="AN1005" s="2994">
        <v>0.79079999999999995</v>
      </c>
      <c r="AO1005" s="2994">
        <v>0.74350000000000005</v>
      </c>
      <c r="AP1005" s="2994">
        <v>0.71</v>
      </c>
      <c r="AQ1005" s="2994">
        <v>0.80330000000000001</v>
      </c>
      <c r="AR1005" s="2994">
        <v>0.76160000000000005</v>
      </c>
      <c r="AS1005" s="2994">
        <v>0.74929999999999997</v>
      </c>
      <c r="AT1005" s="2994">
        <v>0.79810000000000003</v>
      </c>
      <c r="AU1005" s="2994">
        <v>0.79579999999999995</v>
      </c>
      <c r="AV1005" s="2994">
        <v>0.88290000000000002</v>
      </c>
      <c r="AW1005" s="2994">
        <v>0.89200000000000002</v>
      </c>
      <c r="AX1005" s="2994">
        <v>0.96189999999999998</v>
      </c>
      <c r="AY1005" s="2994">
        <v>1.0029999999999999</v>
      </c>
      <c r="AZ1005" s="2994">
        <v>1.0586</v>
      </c>
      <c r="BA1005" s="2994">
        <v>1.1192</v>
      </c>
      <c r="BB1005" s="2994">
        <v>1.1665000000000001</v>
      </c>
      <c r="BC1005" s="2994">
        <v>1.2281</v>
      </c>
      <c r="BD1005" s="3471">
        <v>1.2874000000000001</v>
      </c>
      <c r="BE1005" s="3471">
        <v>1.3214999999999999</v>
      </c>
      <c r="BF1005" s="3471">
        <v>1.3143</v>
      </c>
    </row>
    <row r="1006" spans="1:58">
      <c r="A1006" s="1817" t="str">
        <f t="shared" si="31"/>
        <v>South-Eastern AsiaBeans, green</v>
      </c>
      <c r="B1006" s="1818" t="s">
        <v>1394</v>
      </c>
      <c r="C1006" s="1818" t="s">
        <v>1339</v>
      </c>
      <c r="D1006" s="3463" t="str">
        <f>VLOOKUP(B1006,List_Yield!$G$4:$J$14,4,FALSE)</f>
        <v>Asia (Insular)</v>
      </c>
      <c r="E1006" s="3463" t="str">
        <f t="shared" si="30"/>
        <v>Asia (Insular)Beans, green</v>
      </c>
      <c r="F1006" s="2994">
        <v>2.3094000000000001</v>
      </c>
      <c r="G1006" s="2994">
        <v>2.2418999999999998</v>
      </c>
      <c r="H1006" s="2994">
        <v>2.3334000000000001</v>
      </c>
      <c r="I1006" s="2994">
        <v>2.3765000000000001</v>
      </c>
      <c r="J1006" s="2994">
        <v>2.4062999999999999</v>
      </c>
      <c r="K1006" s="2994">
        <v>2.4203000000000001</v>
      </c>
      <c r="L1006" s="2994">
        <v>2.4882</v>
      </c>
      <c r="M1006" s="2994">
        <v>2.5306000000000002</v>
      </c>
      <c r="N1006" s="2994">
        <v>2.7557999999999998</v>
      </c>
      <c r="O1006" s="2994">
        <v>2.9209000000000001</v>
      </c>
      <c r="P1006" s="2994">
        <v>2.8115999999999999</v>
      </c>
      <c r="Q1006" s="2994">
        <v>2.8643000000000001</v>
      </c>
      <c r="R1006" s="2994">
        <v>3.3214999999999999</v>
      </c>
      <c r="S1006" s="2994">
        <v>3.6294</v>
      </c>
      <c r="T1006" s="2994">
        <v>3.5230000000000001</v>
      </c>
      <c r="U1006" s="2994">
        <v>3.7265999999999999</v>
      </c>
      <c r="V1006" s="2994">
        <v>3.8597000000000001</v>
      </c>
      <c r="W1006" s="2994">
        <v>3.4459</v>
      </c>
      <c r="X1006" s="2994">
        <v>3.5093999999999999</v>
      </c>
      <c r="Y1006" s="2994">
        <v>3.4683999999999999</v>
      </c>
      <c r="Z1006" s="2994">
        <v>3.4876999999999998</v>
      </c>
      <c r="AA1006" s="2994">
        <v>3.1440000000000001</v>
      </c>
      <c r="AB1006" s="2994">
        <v>3.5266000000000002</v>
      </c>
      <c r="AC1006" s="2994">
        <v>3.0878000000000001</v>
      </c>
      <c r="AD1006" s="2994">
        <v>3.6499000000000001</v>
      </c>
      <c r="AE1006" s="2994">
        <v>3.0855000000000001</v>
      </c>
      <c r="AF1006" s="2994">
        <v>2.4464000000000001</v>
      </c>
      <c r="AG1006" s="2994">
        <v>1.7954000000000001</v>
      </c>
      <c r="AH1006" s="2994">
        <v>2.0078999999999998</v>
      </c>
      <c r="AI1006" s="2994">
        <v>1.8525</v>
      </c>
      <c r="AJ1006" s="2994">
        <v>1.8922000000000001</v>
      </c>
      <c r="AK1006" s="2994">
        <v>1.9146000000000001</v>
      </c>
      <c r="AL1006" s="2994">
        <v>1.9032</v>
      </c>
      <c r="AM1006" s="2994">
        <v>1.5447</v>
      </c>
      <c r="AN1006" s="2994">
        <v>2.9973999999999998</v>
      </c>
      <c r="AO1006" s="2994">
        <v>2.5895999999999999</v>
      </c>
      <c r="AP1006" s="2994">
        <v>2.2837999999999998</v>
      </c>
      <c r="AQ1006" s="2994">
        <v>2.5676999999999999</v>
      </c>
      <c r="AR1006" s="2994">
        <v>2.4451999999999998</v>
      </c>
      <c r="AS1006" s="2994">
        <v>2.4950000000000001</v>
      </c>
      <c r="AT1006" s="2994">
        <v>2.3144</v>
      </c>
      <c r="AU1006" s="2994">
        <v>2.3639999999999999</v>
      </c>
      <c r="AV1006" s="2994">
        <v>2.7700999999999998</v>
      </c>
      <c r="AW1006" s="2994">
        <v>3.2326000000000001</v>
      </c>
      <c r="AX1006" s="2994">
        <v>3.617</v>
      </c>
      <c r="AY1006" s="2994">
        <v>3.6217999999999999</v>
      </c>
      <c r="AZ1006" s="2994">
        <v>3.8247</v>
      </c>
      <c r="BA1006" s="2994">
        <v>3.8113000000000001</v>
      </c>
      <c r="BB1006" s="2994">
        <v>4.0125999999999999</v>
      </c>
      <c r="BC1006" s="2994">
        <v>4.0019</v>
      </c>
      <c r="BD1006" s="3471">
        <v>3.9148000000000001</v>
      </c>
      <c r="BE1006" s="3471">
        <v>3.9041000000000001</v>
      </c>
      <c r="BF1006" s="3471">
        <v>0</v>
      </c>
    </row>
    <row r="1007" spans="1:58">
      <c r="A1007" s="1817" t="str">
        <f t="shared" si="31"/>
        <v>South-Eastern AsiaBerries nes</v>
      </c>
      <c r="B1007" s="1818" t="s">
        <v>1394</v>
      </c>
      <c r="C1007" s="1818" t="s">
        <v>7293</v>
      </c>
      <c r="D1007" s="3463" t="str">
        <f>VLOOKUP(B1007,List_Yield!$G$4:$J$14,4,FALSE)</f>
        <v>Asia (Insular)</v>
      </c>
      <c r="E1007" s="3463" t="str">
        <f t="shared" si="30"/>
        <v>Asia (Insular)Berries nes</v>
      </c>
      <c r="F1007" s="2994">
        <v>3.7852999999999999</v>
      </c>
      <c r="G1007" s="2994">
        <v>3.8176000000000001</v>
      </c>
      <c r="H1007" s="2994">
        <v>3.8607</v>
      </c>
      <c r="I1007" s="2994">
        <v>3.8405</v>
      </c>
      <c r="J1007" s="2994">
        <v>3.91</v>
      </c>
      <c r="K1007" s="2994">
        <v>3.8632</v>
      </c>
      <c r="L1007" s="2994">
        <v>3.8591000000000002</v>
      </c>
      <c r="M1007" s="2994">
        <v>1.9633</v>
      </c>
      <c r="N1007" s="2994">
        <v>1.28</v>
      </c>
      <c r="O1007" s="2994">
        <v>0.52500000000000002</v>
      </c>
      <c r="P1007" s="2994">
        <v>0.85709999999999997</v>
      </c>
      <c r="Q1007" s="2994">
        <v>1.25</v>
      </c>
      <c r="R1007" s="2994">
        <v>1.6667000000000001</v>
      </c>
      <c r="S1007" s="2994">
        <v>2</v>
      </c>
      <c r="T1007" s="2994">
        <v>2.2000000000000002</v>
      </c>
      <c r="U1007" s="2994">
        <v>2.7273000000000001</v>
      </c>
      <c r="V1007" s="2994">
        <v>3.3332999999999999</v>
      </c>
      <c r="W1007" s="2994">
        <v>4.6154000000000002</v>
      </c>
      <c r="X1007" s="2994">
        <v>6.1538000000000004</v>
      </c>
      <c r="Y1007" s="2994">
        <v>6.4286000000000003</v>
      </c>
      <c r="Z1007" s="2994">
        <v>9.1667000000000005</v>
      </c>
      <c r="AA1007" s="2994">
        <v>6.6666999999999996</v>
      </c>
      <c r="AB1007" s="2994">
        <v>8.5</v>
      </c>
      <c r="AC1007" s="2994">
        <v>8.0221999999999998</v>
      </c>
      <c r="AD1007" s="2994">
        <v>8.0869999999999997</v>
      </c>
      <c r="AE1007" s="2994">
        <v>8.4924999999999997</v>
      </c>
      <c r="AF1007" s="2994">
        <v>8.0448000000000004</v>
      </c>
      <c r="AG1007" s="2994">
        <v>8.0175000000000001</v>
      </c>
      <c r="AH1007" s="2994">
        <v>8.7538</v>
      </c>
      <c r="AI1007" s="2994">
        <v>9.1090999999999998</v>
      </c>
      <c r="AJ1007" s="2994">
        <v>10.35</v>
      </c>
      <c r="AK1007" s="2994">
        <v>11.9</v>
      </c>
      <c r="AL1007" s="2994">
        <v>10</v>
      </c>
      <c r="AM1007" s="2994">
        <v>9</v>
      </c>
      <c r="AN1007" s="2994">
        <v>9.2857000000000003</v>
      </c>
      <c r="AO1007" s="2994">
        <v>9.2308000000000003</v>
      </c>
      <c r="AP1007" s="2994">
        <v>9.0908999999999995</v>
      </c>
      <c r="AQ1007" s="2994">
        <v>9</v>
      </c>
      <c r="AR1007" s="2994">
        <v>8.5104000000000006</v>
      </c>
      <c r="AS1007" s="2994">
        <v>9.4762000000000004</v>
      </c>
      <c r="AT1007" s="2994">
        <v>9.5039999999999996</v>
      </c>
      <c r="AU1007" s="2994">
        <v>9.5065000000000008</v>
      </c>
      <c r="AV1007" s="2994">
        <v>9.0908999999999995</v>
      </c>
      <c r="AW1007" s="2994">
        <v>9.4614999999999991</v>
      </c>
      <c r="AX1007" s="2994">
        <v>9.6768999999999998</v>
      </c>
      <c r="AY1007" s="2994">
        <v>9.7777999999999992</v>
      </c>
      <c r="AZ1007" s="2994">
        <v>9.6428999999999991</v>
      </c>
      <c r="BA1007" s="2994">
        <v>9.7857000000000003</v>
      </c>
      <c r="BB1007" s="2994">
        <v>9.7182999999999993</v>
      </c>
      <c r="BC1007" s="2994">
        <v>10.1989</v>
      </c>
      <c r="BD1007" s="3471">
        <v>10.4443</v>
      </c>
      <c r="BE1007" s="3471">
        <v>10</v>
      </c>
      <c r="BF1007" s="3471">
        <v>0</v>
      </c>
    </row>
    <row r="1008" spans="1:58">
      <c r="A1008" s="1817" t="str">
        <f t="shared" si="31"/>
        <v>South-Eastern AsiaBlueberries</v>
      </c>
      <c r="B1008" s="1818" t="s">
        <v>1394</v>
      </c>
      <c r="C1008" s="1818" t="s">
        <v>7294</v>
      </c>
      <c r="D1008" s="3463" t="str">
        <f>VLOOKUP(B1008,List_Yield!$G$4:$J$14,4,FALSE)</f>
        <v>Asia (Insular)</v>
      </c>
      <c r="E1008" s="3463" t="str">
        <f t="shared" si="30"/>
        <v>Asia (Insular)Blueberries</v>
      </c>
      <c r="F1008" s="2994">
        <v>0</v>
      </c>
      <c r="G1008" s="2994">
        <v>0</v>
      </c>
      <c r="H1008" s="2994">
        <v>0</v>
      </c>
      <c r="I1008" s="2994">
        <v>0</v>
      </c>
      <c r="J1008" s="2994">
        <v>0</v>
      </c>
      <c r="K1008" s="2994">
        <v>0</v>
      </c>
      <c r="L1008" s="2994">
        <v>0</v>
      </c>
      <c r="M1008" s="2994">
        <v>0</v>
      </c>
      <c r="N1008" s="2994">
        <v>0</v>
      </c>
      <c r="O1008" s="2994">
        <v>0</v>
      </c>
      <c r="P1008" s="2994">
        <v>0</v>
      </c>
      <c r="Q1008" s="2994">
        <v>0</v>
      </c>
      <c r="R1008" s="2994">
        <v>0</v>
      </c>
      <c r="S1008" s="2994">
        <v>0</v>
      </c>
      <c r="T1008" s="2994">
        <v>0</v>
      </c>
      <c r="U1008" s="2994">
        <v>0</v>
      </c>
      <c r="V1008" s="2994">
        <v>0</v>
      </c>
      <c r="W1008" s="2994">
        <v>0</v>
      </c>
      <c r="X1008" s="2994">
        <v>0</v>
      </c>
      <c r="Y1008" s="2994">
        <v>0</v>
      </c>
      <c r="Z1008" s="2994">
        <v>0</v>
      </c>
      <c r="AA1008" s="2994">
        <v>0</v>
      </c>
      <c r="AB1008" s="2994">
        <v>0</v>
      </c>
      <c r="AC1008" s="2994">
        <v>0</v>
      </c>
      <c r="AD1008" s="2994">
        <v>0</v>
      </c>
      <c r="AE1008" s="2994">
        <v>0</v>
      </c>
      <c r="AF1008" s="2994">
        <v>0</v>
      </c>
      <c r="AG1008" s="2994">
        <v>0</v>
      </c>
      <c r="AH1008" s="2994">
        <v>0</v>
      </c>
      <c r="AI1008" s="2994">
        <v>0</v>
      </c>
      <c r="AJ1008" s="2994">
        <v>0</v>
      </c>
      <c r="AK1008" s="2994">
        <v>0</v>
      </c>
      <c r="AL1008" s="2994">
        <v>0</v>
      </c>
      <c r="AM1008" s="2994">
        <v>0</v>
      </c>
      <c r="AN1008" s="2994">
        <v>0</v>
      </c>
      <c r="AO1008" s="2994">
        <v>0</v>
      </c>
      <c r="AP1008" s="2994">
        <v>0</v>
      </c>
      <c r="AQ1008" s="2994">
        <v>0</v>
      </c>
      <c r="AR1008" s="2994">
        <v>0</v>
      </c>
      <c r="AS1008" s="2994">
        <v>0</v>
      </c>
      <c r="AT1008" s="2994">
        <v>0</v>
      </c>
      <c r="AU1008" s="2994">
        <v>0</v>
      </c>
      <c r="AV1008" s="2994">
        <v>0</v>
      </c>
      <c r="AW1008" s="2994">
        <v>0</v>
      </c>
      <c r="AX1008" s="2994">
        <v>0</v>
      </c>
      <c r="AY1008" s="2994">
        <v>0</v>
      </c>
      <c r="AZ1008" s="2994">
        <v>0</v>
      </c>
      <c r="BA1008" s="2994">
        <v>0</v>
      </c>
      <c r="BB1008" s="2994">
        <v>0</v>
      </c>
      <c r="BC1008" s="2994">
        <v>0</v>
      </c>
      <c r="BD1008" s="3471">
        <v>0</v>
      </c>
      <c r="BE1008" s="3471">
        <v>0</v>
      </c>
      <c r="BF1008" s="3471">
        <v>0</v>
      </c>
    </row>
    <row r="1009" spans="1:58">
      <c r="A1009" s="1817" t="str">
        <f t="shared" si="31"/>
        <v>South-Eastern AsiaBrazil nuts, with shell</v>
      </c>
      <c r="B1009" s="1818" t="s">
        <v>1394</v>
      </c>
      <c r="C1009" s="1818" t="s">
        <v>7295</v>
      </c>
      <c r="D1009" s="3463" t="str">
        <f>VLOOKUP(B1009,List_Yield!$G$4:$J$14,4,FALSE)</f>
        <v>Asia (Insular)</v>
      </c>
      <c r="E1009" s="3463" t="str">
        <f t="shared" si="30"/>
        <v>Asia (Insular)Brazil nuts, with shell</v>
      </c>
      <c r="F1009" s="2994">
        <v>0</v>
      </c>
      <c r="G1009" s="2994">
        <v>0</v>
      </c>
      <c r="H1009" s="2994">
        <v>0</v>
      </c>
      <c r="I1009" s="2994">
        <v>0</v>
      </c>
      <c r="J1009" s="2994">
        <v>0</v>
      </c>
      <c r="K1009" s="2994">
        <v>0</v>
      </c>
      <c r="L1009" s="2994">
        <v>0</v>
      </c>
      <c r="M1009" s="2994">
        <v>0</v>
      </c>
      <c r="N1009" s="2994">
        <v>0</v>
      </c>
      <c r="O1009" s="2994">
        <v>0</v>
      </c>
      <c r="P1009" s="2994">
        <v>0</v>
      </c>
      <c r="Q1009" s="2994">
        <v>0</v>
      </c>
      <c r="R1009" s="2994">
        <v>0</v>
      </c>
      <c r="S1009" s="2994">
        <v>0</v>
      </c>
      <c r="T1009" s="2994">
        <v>0</v>
      </c>
      <c r="U1009" s="2994">
        <v>0</v>
      </c>
      <c r="V1009" s="2994">
        <v>0</v>
      </c>
      <c r="W1009" s="2994">
        <v>0</v>
      </c>
      <c r="X1009" s="2994">
        <v>0</v>
      </c>
      <c r="Y1009" s="2994">
        <v>0</v>
      </c>
      <c r="Z1009" s="2994">
        <v>0</v>
      </c>
      <c r="AA1009" s="2994">
        <v>0</v>
      </c>
      <c r="AB1009" s="2994">
        <v>0</v>
      </c>
      <c r="AC1009" s="2994">
        <v>0</v>
      </c>
      <c r="AD1009" s="2994">
        <v>0</v>
      </c>
      <c r="AE1009" s="2994">
        <v>0</v>
      </c>
      <c r="AF1009" s="2994">
        <v>0</v>
      </c>
      <c r="AG1009" s="2994">
        <v>0</v>
      </c>
      <c r="AH1009" s="2994">
        <v>0</v>
      </c>
      <c r="AI1009" s="2994">
        <v>0</v>
      </c>
      <c r="AJ1009" s="2994">
        <v>0</v>
      </c>
      <c r="AK1009" s="2994">
        <v>0</v>
      </c>
      <c r="AL1009" s="2994">
        <v>0</v>
      </c>
      <c r="AM1009" s="2994">
        <v>0</v>
      </c>
      <c r="AN1009" s="2994">
        <v>0</v>
      </c>
      <c r="AO1009" s="2994">
        <v>0</v>
      </c>
      <c r="AP1009" s="2994">
        <v>0</v>
      </c>
      <c r="AQ1009" s="2994">
        <v>0</v>
      </c>
      <c r="AR1009" s="2994">
        <v>0</v>
      </c>
      <c r="AS1009" s="2994">
        <v>0</v>
      </c>
      <c r="AT1009" s="2994">
        <v>0</v>
      </c>
      <c r="AU1009" s="2994">
        <v>0</v>
      </c>
      <c r="AV1009" s="2994">
        <v>0</v>
      </c>
      <c r="AW1009" s="2994">
        <v>0</v>
      </c>
      <c r="AX1009" s="2994">
        <v>0</v>
      </c>
      <c r="AY1009" s="2994">
        <v>0</v>
      </c>
      <c r="AZ1009" s="2994">
        <v>0</v>
      </c>
      <c r="BA1009" s="2994">
        <v>0</v>
      </c>
      <c r="BB1009" s="2994">
        <v>0</v>
      </c>
      <c r="BC1009" s="2994">
        <v>0</v>
      </c>
      <c r="BD1009" s="3471">
        <v>0</v>
      </c>
      <c r="BE1009" s="3471">
        <v>0</v>
      </c>
      <c r="BF1009" s="3471">
        <v>0</v>
      </c>
    </row>
    <row r="1010" spans="1:58">
      <c r="A1010" s="1817" t="str">
        <f t="shared" si="31"/>
        <v>South-Eastern AsiaBroad beans, horse beans, dry</v>
      </c>
      <c r="B1010" s="1818" t="s">
        <v>1394</v>
      </c>
      <c r="C1010" s="1818" t="s">
        <v>7296</v>
      </c>
      <c r="D1010" s="3463" t="str">
        <f>VLOOKUP(B1010,List_Yield!$G$4:$J$14,4,FALSE)</f>
        <v>Asia (Insular)</v>
      </c>
      <c r="E1010" s="3463" t="str">
        <f t="shared" si="30"/>
        <v>Asia (Insular)Broad beans, horse beans, dry</v>
      </c>
      <c r="F1010" s="2994">
        <v>0</v>
      </c>
      <c r="G1010" s="2994">
        <v>0</v>
      </c>
      <c r="H1010" s="2994">
        <v>0</v>
      </c>
      <c r="I1010" s="2994">
        <v>0</v>
      </c>
      <c r="J1010" s="2994">
        <v>0</v>
      </c>
      <c r="K1010" s="2994">
        <v>0</v>
      </c>
      <c r="L1010" s="2994">
        <v>0</v>
      </c>
      <c r="M1010" s="2994">
        <v>0</v>
      </c>
      <c r="N1010" s="2994">
        <v>0</v>
      </c>
      <c r="O1010" s="2994">
        <v>0</v>
      </c>
      <c r="P1010" s="2994">
        <v>0</v>
      </c>
      <c r="Q1010" s="2994">
        <v>0</v>
      </c>
      <c r="R1010" s="2994">
        <v>0</v>
      </c>
      <c r="S1010" s="2994">
        <v>0</v>
      </c>
      <c r="T1010" s="2994">
        <v>0</v>
      </c>
      <c r="U1010" s="2994">
        <v>0</v>
      </c>
      <c r="V1010" s="2994">
        <v>0</v>
      </c>
      <c r="W1010" s="2994">
        <v>0</v>
      </c>
      <c r="X1010" s="2994">
        <v>0</v>
      </c>
      <c r="Y1010" s="2994">
        <v>0</v>
      </c>
      <c r="Z1010" s="2994">
        <v>0</v>
      </c>
      <c r="AA1010" s="2994">
        <v>0</v>
      </c>
      <c r="AB1010" s="2994">
        <v>0</v>
      </c>
      <c r="AC1010" s="2994">
        <v>0</v>
      </c>
      <c r="AD1010" s="2994">
        <v>0</v>
      </c>
      <c r="AE1010" s="2994">
        <v>0</v>
      </c>
      <c r="AF1010" s="2994">
        <v>0</v>
      </c>
      <c r="AG1010" s="2994">
        <v>0</v>
      </c>
      <c r="AH1010" s="2994">
        <v>0</v>
      </c>
      <c r="AI1010" s="2994">
        <v>0</v>
      </c>
      <c r="AJ1010" s="2994">
        <v>0</v>
      </c>
      <c r="AK1010" s="2994">
        <v>0</v>
      </c>
      <c r="AL1010" s="2994">
        <v>0</v>
      </c>
      <c r="AM1010" s="2994">
        <v>0</v>
      </c>
      <c r="AN1010" s="2994">
        <v>0</v>
      </c>
      <c r="AO1010" s="2994">
        <v>0</v>
      </c>
      <c r="AP1010" s="2994">
        <v>0</v>
      </c>
      <c r="AQ1010" s="2994">
        <v>0</v>
      </c>
      <c r="AR1010" s="2994">
        <v>0</v>
      </c>
      <c r="AS1010" s="2994">
        <v>0</v>
      </c>
      <c r="AT1010" s="2994">
        <v>0</v>
      </c>
      <c r="AU1010" s="2994">
        <v>0</v>
      </c>
      <c r="AV1010" s="2994">
        <v>0</v>
      </c>
      <c r="AW1010" s="2994">
        <v>0</v>
      </c>
      <c r="AX1010" s="2994">
        <v>0</v>
      </c>
      <c r="AY1010" s="2994">
        <v>0</v>
      </c>
      <c r="AZ1010" s="2994">
        <v>0</v>
      </c>
      <c r="BA1010" s="2994">
        <v>0</v>
      </c>
      <c r="BB1010" s="2994">
        <v>0</v>
      </c>
      <c r="BC1010" s="2994">
        <v>0</v>
      </c>
      <c r="BD1010" s="3471">
        <v>0</v>
      </c>
      <c r="BE1010" s="3471">
        <v>0</v>
      </c>
      <c r="BF1010" s="3471">
        <v>0</v>
      </c>
    </row>
    <row r="1011" spans="1:58">
      <c r="A1011" s="1817" t="str">
        <f t="shared" si="31"/>
        <v>South-Eastern AsiaBuckwheat</v>
      </c>
      <c r="B1011" s="1818" t="s">
        <v>1394</v>
      </c>
      <c r="C1011" s="1818" t="s">
        <v>7297</v>
      </c>
      <c r="D1011" s="3463" t="str">
        <f>VLOOKUP(B1011,List_Yield!$G$4:$J$14,4,FALSE)</f>
        <v>Asia (Insular)</v>
      </c>
      <c r="E1011" s="3463" t="str">
        <f t="shared" si="30"/>
        <v>Asia (Insular)Buckwheat</v>
      </c>
      <c r="F1011" s="2994">
        <v>0</v>
      </c>
      <c r="G1011" s="2994">
        <v>0</v>
      </c>
      <c r="H1011" s="2994">
        <v>0</v>
      </c>
      <c r="I1011" s="2994">
        <v>0</v>
      </c>
      <c r="J1011" s="2994">
        <v>0</v>
      </c>
      <c r="K1011" s="2994">
        <v>0</v>
      </c>
      <c r="L1011" s="2994">
        <v>0</v>
      </c>
      <c r="M1011" s="2994">
        <v>0</v>
      </c>
      <c r="N1011" s="2994">
        <v>0</v>
      </c>
      <c r="O1011" s="2994">
        <v>0</v>
      </c>
      <c r="P1011" s="2994">
        <v>0</v>
      </c>
      <c r="Q1011" s="2994">
        <v>0</v>
      </c>
      <c r="R1011" s="2994">
        <v>0</v>
      </c>
      <c r="S1011" s="2994">
        <v>0</v>
      </c>
      <c r="T1011" s="2994">
        <v>0</v>
      </c>
      <c r="U1011" s="2994">
        <v>0</v>
      </c>
      <c r="V1011" s="2994">
        <v>0</v>
      </c>
      <c r="W1011" s="2994">
        <v>0</v>
      </c>
      <c r="X1011" s="2994">
        <v>0</v>
      </c>
      <c r="Y1011" s="2994">
        <v>0</v>
      </c>
      <c r="Z1011" s="2994">
        <v>0</v>
      </c>
      <c r="AA1011" s="2994">
        <v>0</v>
      </c>
      <c r="AB1011" s="2994">
        <v>0</v>
      </c>
      <c r="AC1011" s="2994">
        <v>0</v>
      </c>
      <c r="AD1011" s="2994">
        <v>0</v>
      </c>
      <c r="AE1011" s="2994">
        <v>0</v>
      </c>
      <c r="AF1011" s="2994">
        <v>0</v>
      </c>
      <c r="AG1011" s="2994">
        <v>0</v>
      </c>
      <c r="AH1011" s="2994">
        <v>0</v>
      </c>
      <c r="AI1011" s="2994">
        <v>0</v>
      </c>
      <c r="AJ1011" s="2994">
        <v>0</v>
      </c>
      <c r="AK1011" s="2994">
        <v>0</v>
      </c>
      <c r="AL1011" s="2994">
        <v>0</v>
      </c>
      <c r="AM1011" s="2994">
        <v>0</v>
      </c>
      <c r="AN1011" s="2994">
        <v>0</v>
      </c>
      <c r="AO1011" s="2994">
        <v>0</v>
      </c>
      <c r="AP1011" s="2994">
        <v>0</v>
      </c>
      <c r="AQ1011" s="2994">
        <v>0</v>
      </c>
      <c r="AR1011" s="2994">
        <v>0</v>
      </c>
      <c r="AS1011" s="2994">
        <v>0</v>
      </c>
      <c r="AT1011" s="2994">
        <v>0</v>
      </c>
      <c r="AU1011" s="2994">
        <v>0</v>
      </c>
      <c r="AV1011" s="2994">
        <v>0</v>
      </c>
      <c r="AW1011" s="2994">
        <v>0</v>
      </c>
      <c r="AX1011" s="2994">
        <v>0</v>
      </c>
      <c r="AY1011" s="2994">
        <v>0</v>
      </c>
      <c r="AZ1011" s="2994">
        <v>0</v>
      </c>
      <c r="BA1011" s="2994">
        <v>0</v>
      </c>
      <c r="BB1011" s="2994">
        <v>0</v>
      </c>
      <c r="BC1011" s="2994">
        <v>0</v>
      </c>
      <c r="BD1011" s="3471">
        <v>0</v>
      </c>
      <c r="BE1011" s="3471">
        <v>0</v>
      </c>
      <c r="BF1011" s="3471">
        <v>0</v>
      </c>
    </row>
    <row r="1012" spans="1:58">
      <c r="A1012" s="1817" t="str">
        <f t="shared" si="31"/>
        <v>South-Eastern AsiaCabbages and other brassicas</v>
      </c>
      <c r="B1012" s="1818" t="s">
        <v>1394</v>
      </c>
      <c r="C1012" s="1818" t="s">
        <v>7298</v>
      </c>
      <c r="D1012" s="3463" t="str">
        <f>VLOOKUP(B1012,List_Yield!$G$4:$J$14,4,FALSE)</f>
        <v>Asia (Insular)</v>
      </c>
      <c r="E1012" s="3463" t="str">
        <f t="shared" si="30"/>
        <v>Asia (Insular)Cabbages and other brassicas</v>
      </c>
      <c r="F1012" s="2994">
        <v>6.1333000000000002</v>
      </c>
      <c r="G1012" s="2994">
        <v>6.3589000000000002</v>
      </c>
      <c r="H1012" s="2994">
        <v>6.7283999999999997</v>
      </c>
      <c r="I1012" s="2994">
        <v>6.9253999999999998</v>
      </c>
      <c r="J1012" s="2994">
        <v>7.1921999999999997</v>
      </c>
      <c r="K1012" s="2994">
        <v>7.7491000000000003</v>
      </c>
      <c r="L1012" s="2994">
        <v>8.2055000000000007</v>
      </c>
      <c r="M1012" s="2994">
        <v>8.2879000000000005</v>
      </c>
      <c r="N1012" s="2994">
        <v>8.6163000000000007</v>
      </c>
      <c r="O1012" s="2994">
        <v>9.3849999999999998</v>
      </c>
      <c r="P1012" s="2994">
        <v>9.7210999999999999</v>
      </c>
      <c r="Q1012" s="2994">
        <v>9.9240999999999993</v>
      </c>
      <c r="R1012" s="2994">
        <v>10.6538</v>
      </c>
      <c r="S1012" s="2994">
        <v>9.8010999999999999</v>
      </c>
      <c r="T1012" s="2994">
        <v>9.6590000000000007</v>
      </c>
      <c r="U1012" s="2994">
        <v>9.9488000000000003</v>
      </c>
      <c r="V1012" s="2994">
        <v>9.9886999999999997</v>
      </c>
      <c r="W1012" s="2994">
        <v>10.136100000000001</v>
      </c>
      <c r="X1012" s="2994">
        <v>10.0878</v>
      </c>
      <c r="Y1012" s="2994">
        <v>10.744199999999999</v>
      </c>
      <c r="Z1012" s="2994">
        <v>9.3666</v>
      </c>
      <c r="AA1012" s="2994">
        <v>10.5413</v>
      </c>
      <c r="AB1012" s="2994">
        <v>11.0649</v>
      </c>
      <c r="AC1012" s="2994">
        <v>12.809200000000001</v>
      </c>
      <c r="AD1012" s="2994">
        <v>14.5184</v>
      </c>
      <c r="AE1012" s="2994">
        <v>12.040800000000001</v>
      </c>
      <c r="AF1012" s="2994">
        <v>11.2479</v>
      </c>
      <c r="AG1012" s="2994">
        <v>15.831</v>
      </c>
      <c r="AH1012" s="2994">
        <v>17.150500000000001</v>
      </c>
      <c r="AI1012" s="2994">
        <v>17.840800000000002</v>
      </c>
      <c r="AJ1012" s="2994">
        <v>16.992999999999999</v>
      </c>
      <c r="AK1012" s="2994">
        <v>19.632200000000001</v>
      </c>
      <c r="AL1012" s="2994">
        <v>18.432099999999998</v>
      </c>
      <c r="AM1012" s="2994">
        <v>18.406300000000002</v>
      </c>
      <c r="AN1012" s="2994">
        <v>18.8826</v>
      </c>
      <c r="AO1012" s="2994">
        <v>17.520800000000001</v>
      </c>
      <c r="AP1012" s="2994">
        <v>15.794499999999999</v>
      </c>
      <c r="AQ1012" s="2994">
        <v>16.203399999999998</v>
      </c>
      <c r="AR1012" s="2994">
        <v>16.1677</v>
      </c>
      <c r="AS1012" s="2994">
        <v>15.116400000000001</v>
      </c>
      <c r="AT1012" s="2994">
        <v>15.555099999999999</v>
      </c>
      <c r="AU1012" s="2994">
        <v>18.081499999999998</v>
      </c>
      <c r="AV1012" s="2994">
        <v>17.471299999999999</v>
      </c>
      <c r="AW1012" s="2994">
        <v>17.799299999999999</v>
      </c>
      <c r="AX1012" s="2994">
        <v>17.602599999999999</v>
      </c>
      <c r="AY1012" s="2994">
        <v>17.944299999999998</v>
      </c>
      <c r="AZ1012" s="2994">
        <v>17.606100000000001</v>
      </c>
      <c r="BA1012" s="2994">
        <v>18.065899999999999</v>
      </c>
      <c r="BB1012" s="2994">
        <v>17.1294</v>
      </c>
      <c r="BC1012" s="2994">
        <v>17.807300000000001</v>
      </c>
      <c r="BD1012" s="3471">
        <v>18.671900000000001</v>
      </c>
      <c r="BE1012" s="3471">
        <v>19.467400000000001</v>
      </c>
      <c r="BF1012" s="3471">
        <v>0</v>
      </c>
    </row>
    <row r="1013" spans="1:58">
      <c r="A1013" s="1817" t="str">
        <f t="shared" si="31"/>
        <v>South-Eastern AsiaCanary seed</v>
      </c>
      <c r="B1013" s="1818" t="s">
        <v>1394</v>
      </c>
      <c r="C1013" s="1818" t="s">
        <v>7299</v>
      </c>
      <c r="D1013" s="3463" t="str">
        <f>VLOOKUP(B1013,List_Yield!$G$4:$J$14,4,FALSE)</f>
        <v>Asia (Insular)</v>
      </c>
      <c r="E1013" s="3463" t="str">
        <f t="shared" si="30"/>
        <v>Asia (Insular)Canary seed</v>
      </c>
      <c r="F1013" s="2994">
        <v>0.4</v>
      </c>
      <c r="G1013" s="2994">
        <v>0.4</v>
      </c>
      <c r="H1013" s="2994">
        <v>0.4</v>
      </c>
      <c r="I1013" s="2994">
        <v>0.4</v>
      </c>
      <c r="J1013" s="2994">
        <v>0.4</v>
      </c>
      <c r="K1013" s="2994">
        <v>0.4</v>
      </c>
      <c r="L1013" s="2994">
        <v>0.4</v>
      </c>
      <c r="M1013" s="2994">
        <v>0.4</v>
      </c>
      <c r="N1013" s="2994">
        <v>0.4</v>
      </c>
      <c r="O1013" s="2994">
        <v>0.4</v>
      </c>
      <c r="P1013" s="2994">
        <v>0.4</v>
      </c>
      <c r="Q1013" s="2994">
        <v>0.4</v>
      </c>
      <c r="R1013" s="2994">
        <v>0.4</v>
      </c>
      <c r="S1013" s="2994">
        <v>0.4</v>
      </c>
      <c r="T1013" s="2994">
        <v>0.4</v>
      </c>
      <c r="U1013" s="2994">
        <v>0.4</v>
      </c>
      <c r="V1013" s="2994">
        <v>0.4</v>
      </c>
      <c r="W1013" s="2994">
        <v>0.4</v>
      </c>
      <c r="X1013" s="2994">
        <v>0.4</v>
      </c>
      <c r="Y1013" s="2994">
        <v>0.4</v>
      </c>
      <c r="Z1013" s="2994">
        <v>0.4</v>
      </c>
      <c r="AA1013" s="2994">
        <v>0.4</v>
      </c>
      <c r="AB1013" s="2994">
        <v>0.4</v>
      </c>
      <c r="AC1013" s="2994">
        <v>0.4</v>
      </c>
      <c r="AD1013" s="2994">
        <v>0.4</v>
      </c>
      <c r="AE1013" s="2994">
        <v>0.4</v>
      </c>
      <c r="AF1013" s="2994">
        <v>0.4</v>
      </c>
      <c r="AG1013" s="2994">
        <v>0.4</v>
      </c>
      <c r="AH1013" s="2994">
        <v>0.4</v>
      </c>
      <c r="AI1013" s="2994">
        <v>0.4</v>
      </c>
      <c r="AJ1013" s="2994">
        <v>0.4</v>
      </c>
      <c r="AK1013" s="2994">
        <v>0.4</v>
      </c>
      <c r="AL1013" s="2994">
        <v>0.4</v>
      </c>
      <c r="AM1013" s="2994">
        <v>0.4</v>
      </c>
      <c r="AN1013" s="2994">
        <v>0.4</v>
      </c>
      <c r="AO1013" s="2994">
        <v>0.4</v>
      </c>
      <c r="AP1013" s="2994">
        <v>0.4</v>
      </c>
      <c r="AQ1013" s="2994">
        <v>0.4</v>
      </c>
      <c r="AR1013" s="2994">
        <v>0.4</v>
      </c>
      <c r="AS1013" s="2994">
        <v>0.4</v>
      </c>
      <c r="AT1013" s="2994">
        <v>0.4</v>
      </c>
      <c r="AU1013" s="2994">
        <v>0.4</v>
      </c>
      <c r="AV1013" s="2994">
        <v>0.4</v>
      </c>
      <c r="AW1013" s="2994">
        <v>0.4</v>
      </c>
      <c r="AX1013" s="2994">
        <v>0.4</v>
      </c>
      <c r="AY1013" s="2994">
        <v>0.39600000000000002</v>
      </c>
      <c r="AZ1013" s="2994">
        <v>0.40699999999999997</v>
      </c>
      <c r="BA1013" s="2994">
        <v>0.40360000000000001</v>
      </c>
      <c r="BB1013" s="2994">
        <v>0.4</v>
      </c>
      <c r="BC1013" s="2994">
        <v>0.4</v>
      </c>
      <c r="BD1013" s="3471">
        <v>0.4</v>
      </c>
      <c r="BE1013" s="3471">
        <v>0.4</v>
      </c>
      <c r="BF1013" s="3471">
        <v>0.4</v>
      </c>
    </row>
    <row r="1014" spans="1:58">
      <c r="A1014" s="1817" t="str">
        <f t="shared" si="31"/>
        <v>South-Eastern AsiaCarobs</v>
      </c>
      <c r="B1014" s="1818" t="s">
        <v>1394</v>
      </c>
      <c r="C1014" s="1818" t="s">
        <v>7300</v>
      </c>
      <c r="D1014" s="3463" t="str">
        <f>VLOOKUP(B1014,List_Yield!$G$4:$J$14,4,FALSE)</f>
        <v>Asia (Insular)</v>
      </c>
      <c r="E1014" s="3463" t="str">
        <f t="shared" si="30"/>
        <v>Asia (Insular)Carobs</v>
      </c>
      <c r="F1014" s="2994">
        <v>0</v>
      </c>
      <c r="G1014" s="2994">
        <v>0</v>
      </c>
      <c r="H1014" s="2994">
        <v>0</v>
      </c>
      <c r="I1014" s="2994">
        <v>0</v>
      </c>
      <c r="J1014" s="2994">
        <v>0</v>
      </c>
      <c r="K1014" s="2994">
        <v>0</v>
      </c>
      <c r="L1014" s="2994">
        <v>0</v>
      </c>
      <c r="M1014" s="2994">
        <v>0</v>
      </c>
      <c r="N1014" s="2994">
        <v>0</v>
      </c>
      <c r="O1014" s="2994">
        <v>0</v>
      </c>
      <c r="P1014" s="2994">
        <v>0</v>
      </c>
      <c r="Q1014" s="2994">
        <v>0</v>
      </c>
      <c r="R1014" s="2994">
        <v>0</v>
      </c>
      <c r="S1014" s="2994">
        <v>0</v>
      </c>
      <c r="T1014" s="2994">
        <v>0</v>
      </c>
      <c r="U1014" s="2994">
        <v>0</v>
      </c>
      <c r="V1014" s="2994">
        <v>0</v>
      </c>
      <c r="W1014" s="2994">
        <v>0</v>
      </c>
      <c r="X1014" s="2994">
        <v>0</v>
      </c>
      <c r="Y1014" s="2994">
        <v>0</v>
      </c>
      <c r="Z1014" s="2994">
        <v>0</v>
      </c>
      <c r="AA1014" s="2994">
        <v>0</v>
      </c>
      <c r="AB1014" s="2994">
        <v>0</v>
      </c>
      <c r="AC1014" s="2994">
        <v>0</v>
      </c>
      <c r="AD1014" s="2994">
        <v>0</v>
      </c>
      <c r="AE1014" s="2994">
        <v>0</v>
      </c>
      <c r="AF1014" s="2994">
        <v>0</v>
      </c>
      <c r="AG1014" s="2994">
        <v>0</v>
      </c>
      <c r="AH1014" s="2994">
        <v>0</v>
      </c>
      <c r="AI1014" s="2994">
        <v>0</v>
      </c>
      <c r="AJ1014" s="2994">
        <v>0</v>
      </c>
      <c r="AK1014" s="2994">
        <v>0</v>
      </c>
      <c r="AL1014" s="2994">
        <v>0</v>
      </c>
      <c r="AM1014" s="2994">
        <v>0</v>
      </c>
      <c r="AN1014" s="2994">
        <v>0</v>
      </c>
      <c r="AO1014" s="2994">
        <v>0</v>
      </c>
      <c r="AP1014" s="2994">
        <v>0</v>
      </c>
      <c r="AQ1014" s="2994">
        <v>0</v>
      </c>
      <c r="AR1014" s="2994">
        <v>0</v>
      </c>
      <c r="AS1014" s="2994">
        <v>0</v>
      </c>
      <c r="AT1014" s="2994">
        <v>0</v>
      </c>
      <c r="AU1014" s="2994">
        <v>0</v>
      </c>
      <c r="AV1014" s="2994">
        <v>0</v>
      </c>
      <c r="AW1014" s="2994">
        <v>0</v>
      </c>
      <c r="AX1014" s="2994">
        <v>0</v>
      </c>
      <c r="AY1014" s="2994">
        <v>0</v>
      </c>
      <c r="AZ1014" s="2994">
        <v>0</v>
      </c>
      <c r="BA1014" s="2994">
        <v>0</v>
      </c>
      <c r="BB1014" s="2994">
        <v>0</v>
      </c>
      <c r="BC1014" s="2994">
        <v>0</v>
      </c>
      <c r="BD1014" s="3471">
        <v>0</v>
      </c>
      <c r="BE1014" s="3471">
        <v>0</v>
      </c>
      <c r="BF1014" s="3471">
        <v>0</v>
      </c>
    </row>
    <row r="1015" spans="1:58">
      <c r="A1015" s="1817" t="str">
        <f t="shared" si="31"/>
        <v>South-Eastern AsiaCarrots and turnips</v>
      </c>
      <c r="B1015" s="1818" t="s">
        <v>1394</v>
      </c>
      <c r="C1015" s="1818" t="s">
        <v>1340</v>
      </c>
      <c r="D1015" s="3463" t="str">
        <f>VLOOKUP(B1015,List_Yield!$G$4:$J$14,4,FALSE)</f>
        <v>Asia (Insular)</v>
      </c>
      <c r="E1015" s="3463" t="str">
        <f t="shared" si="30"/>
        <v>Asia (Insular)Carrots and turnips</v>
      </c>
      <c r="F1015" s="2994">
        <v>5.8333000000000004</v>
      </c>
      <c r="G1015" s="2994">
        <v>6.1538000000000004</v>
      </c>
      <c r="H1015" s="2994">
        <v>6.1538000000000004</v>
      </c>
      <c r="I1015" s="2994">
        <v>6</v>
      </c>
      <c r="J1015" s="2994">
        <v>6</v>
      </c>
      <c r="K1015" s="2994">
        <v>6.25</v>
      </c>
      <c r="L1015" s="2994">
        <v>6.25</v>
      </c>
      <c r="M1015" s="2994">
        <v>6.2004999999999999</v>
      </c>
      <c r="N1015" s="2994">
        <v>6.5</v>
      </c>
      <c r="O1015" s="2994">
        <v>6.3333000000000004</v>
      </c>
      <c r="P1015" s="2994">
        <v>6.5</v>
      </c>
      <c r="Q1015" s="2994">
        <v>6.4286000000000003</v>
      </c>
      <c r="R1015" s="2994">
        <v>8</v>
      </c>
      <c r="S1015" s="2994">
        <v>6.6551999999999998</v>
      </c>
      <c r="T1015" s="2994">
        <v>9.4193999999999996</v>
      </c>
      <c r="U1015" s="2994">
        <v>9.8949999999999996</v>
      </c>
      <c r="V1015" s="2994">
        <v>3.8</v>
      </c>
      <c r="W1015" s="2994">
        <v>8.2957999999999998</v>
      </c>
      <c r="X1015" s="2994">
        <v>7.4</v>
      </c>
      <c r="Y1015" s="2994">
        <v>9.4267000000000003</v>
      </c>
      <c r="Z1015" s="2994">
        <v>9.1432000000000002</v>
      </c>
      <c r="AA1015" s="2994">
        <v>8.7882999999999996</v>
      </c>
      <c r="AB1015" s="2994">
        <v>9.6396999999999995</v>
      </c>
      <c r="AC1015" s="2994">
        <v>7.9576000000000002</v>
      </c>
      <c r="AD1015" s="2994">
        <v>9.93</v>
      </c>
      <c r="AE1015" s="2994">
        <v>11.6031</v>
      </c>
      <c r="AF1015" s="2994">
        <v>11.311299999999999</v>
      </c>
      <c r="AG1015" s="2994">
        <v>12.535500000000001</v>
      </c>
      <c r="AH1015" s="2994">
        <v>13.5548</v>
      </c>
      <c r="AI1015" s="2994">
        <v>11.756600000000001</v>
      </c>
      <c r="AJ1015" s="2994">
        <v>12.3444</v>
      </c>
      <c r="AK1015" s="2994">
        <v>13.471299999999999</v>
      </c>
      <c r="AL1015" s="2994">
        <v>12.182700000000001</v>
      </c>
      <c r="AM1015" s="2994">
        <v>13.091699999999999</v>
      </c>
      <c r="AN1015" s="2994">
        <v>12.9841</v>
      </c>
      <c r="AO1015" s="2994">
        <v>13.478199999999999</v>
      </c>
      <c r="AP1015" s="2994">
        <v>12.751200000000001</v>
      </c>
      <c r="AQ1015" s="2994">
        <v>15.2111</v>
      </c>
      <c r="AR1015" s="2994">
        <v>15.1196</v>
      </c>
      <c r="AS1015" s="2994">
        <v>15.4915</v>
      </c>
      <c r="AT1015" s="2994">
        <v>15.274800000000001</v>
      </c>
      <c r="AU1015" s="2994">
        <v>13.399900000000001</v>
      </c>
      <c r="AV1015" s="2994">
        <v>15.615</v>
      </c>
      <c r="AW1015" s="2994">
        <v>16.570699999999999</v>
      </c>
      <c r="AX1015" s="2994">
        <v>16.836099999999998</v>
      </c>
      <c r="AY1015" s="2994">
        <v>16.0853</v>
      </c>
      <c r="AZ1015" s="2994">
        <v>14.5558</v>
      </c>
      <c r="BA1015" s="2994">
        <v>15.0382</v>
      </c>
      <c r="BB1015" s="2994">
        <v>14.613300000000001</v>
      </c>
      <c r="BC1015" s="2994">
        <v>14.7508</v>
      </c>
      <c r="BD1015" s="3471">
        <v>15.561999999999999</v>
      </c>
      <c r="BE1015" s="3471">
        <v>15.569100000000001</v>
      </c>
      <c r="BF1015" s="3471">
        <v>0</v>
      </c>
    </row>
    <row r="1016" spans="1:58">
      <c r="A1016" s="1817" t="str">
        <f t="shared" si="31"/>
        <v>South-Eastern AsiaCashew nuts, with shell</v>
      </c>
      <c r="B1016" s="1818" t="s">
        <v>1394</v>
      </c>
      <c r="C1016" s="1818" t="s">
        <v>1341</v>
      </c>
      <c r="D1016" s="3463" t="str">
        <f>VLOOKUP(B1016,List_Yield!$G$4:$J$14,4,FALSE)</f>
        <v>Asia (Insular)</v>
      </c>
      <c r="E1016" s="3463" t="str">
        <f t="shared" si="30"/>
        <v>Asia (Insular)Cashew nuts, with shell</v>
      </c>
      <c r="F1016" s="2994">
        <v>3.5143</v>
      </c>
      <c r="G1016" s="2994">
        <v>1.4221999999999999</v>
      </c>
      <c r="H1016" s="2994">
        <v>1.4074</v>
      </c>
      <c r="I1016" s="2994">
        <v>1.4</v>
      </c>
      <c r="J1016" s="2994">
        <v>1.3914</v>
      </c>
      <c r="K1016" s="2994">
        <v>1.2354000000000001</v>
      </c>
      <c r="L1016" s="2994">
        <v>1.2459</v>
      </c>
      <c r="M1016" s="2994">
        <v>1.2462</v>
      </c>
      <c r="N1016" s="2994">
        <v>1.2411000000000001</v>
      </c>
      <c r="O1016" s="2994">
        <v>1.2627999999999999</v>
      </c>
      <c r="P1016" s="2994">
        <v>1.1376999999999999</v>
      </c>
      <c r="Q1016" s="2994">
        <v>1.1474</v>
      </c>
      <c r="R1016" s="2994">
        <v>1.0698000000000001</v>
      </c>
      <c r="S1016" s="2994">
        <v>1.2311000000000001</v>
      </c>
      <c r="T1016" s="2994">
        <v>0.39410000000000001</v>
      </c>
      <c r="U1016" s="2994">
        <v>0.3417</v>
      </c>
      <c r="V1016" s="2994">
        <v>0.33389999999999997</v>
      </c>
      <c r="W1016" s="2994">
        <v>0.29899999999999999</v>
      </c>
      <c r="X1016" s="2994">
        <v>0.26379999999999998</v>
      </c>
      <c r="Y1016" s="2994">
        <v>0.20630000000000001</v>
      </c>
      <c r="Z1016" s="2994">
        <v>0.18679999999999999</v>
      </c>
      <c r="AA1016" s="2994">
        <v>0.1825</v>
      </c>
      <c r="AB1016" s="2994">
        <v>0.223</v>
      </c>
      <c r="AC1016" s="2994">
        <v>0.30009999999999998</v>
      </c>
      <c r="AD1016" s="2994">
        <v>0.49209999999999998</v>
      </c>
      <c r="AE1016" s="2994">
        <v>0.52939999999999998</v>
      </c>
      <c r="AF1016" s="2994">
        <v>0.59989999999999999</v>
      </c>
      <c r="AG1016" s="2994">
        <v>0.54659999999999997</v>
      </c>
      <c r="AH1016" s="2994">
        <v>0.60640000000000005</v>
      </c>
      <c r="AI1016" s="2994">
        <v>0.94450000000000001</v>
      </c>
      <c r="AJ1016" s="2994">
        <v>0.94489999999999996</v>
      </c>
      <c r="AK1016" s="2994">
        <v>1.1928000000000001</v>
      </c>
      <c r="AL1016" s="2994">
        <v>1.3684000000000001</v>
      </c>
      <c r="AM1016" s="2994">
        <v>1.3340000000000001</v>
      </c>
      <c r="AN1016" s="2994">
        <v>1.3729</v>
      </c>
      <c r="AO1016" s="2994">
        <v>1.0158</v>
      </c>
      <c r="AP1016" s="2994">
        <v>0.80479999999999996</v>
      </c>
      <c r="AQ1016" s="2994">
        <v>0.68879999999999997</v>
      </c>
      <c r="AR1016" s="2994">
        <v>0.52349999999999997</v>
      </c>
      <c r="AS1016" s="2994">
        <v>0.66100000000000003</v>
      </c>
      <c r="AT1016" s="2994">
        <v>0.70709999999999995</v>
      </c>
      <c r="AU1016" s="2994">
        <v>0.97850000000000004</v>
      </c>
      <c r="AV1016" s="2994">
        <v>1.1492</v>
      </c>
      <c r="AW1016" s="2994">
        <v>1.3613999999999999</v>
      </c>
      <c r="AX1016" s="2994">
        <v>1.4884999999999999</v>
      </c>
      <c r="AY1016" s="2994">
        <v>1.5714999999999999</v>
      </c>
      <c r="AZ1016" s="2994">
        <v>1.6755</v>
      </c>
      <c r="BA1016" s="2994">
        <v>1.6305000000000001</v>
      </c>
      <c r="BB1016" s="2994">
        <v>1.5176000000000001</v>
      </c>
      <c r="BC1016" s="2994">
        <v>1.5931999999999999</v>
      </c>
      <c r="BD1016" s="3471">
        <v>1.5936999999999999</v>
      </c>
      <c r="BE1016" s="3471">
        <v>1.5740000000000001</v>
      </c>
      <c r="BF1016" s="3471">
        <v>0</v>
      </c>
    </row>
    <row r="1017" spans="1:58">
      <c r="A1017" s="1817" t="str">
        <f t="shared" si="31"/>
        <v>South-Eastern AsiaCashewapple</v>
      </c>
      <c r="B1017" s="1818" t="s">
        <v>1394</v>
      </c>
      <c r="C1017" s="1818" t="s">
        <v>7301</v>
      </c>
      <c r="D1017" s="3463" t="str">
        <f>VLOOKUP(B1017,List_Yield!$G$4:$J$14,4,FALSE)</f>
        <v>Asia (Insular)</v>
      </c>
      <c r="E1017" s="3463" t="str">
        <f t="shared" si="30"/>
        <v>Asia (Insular)Cashewapple</v>
      </c>
      <c r="F1017" s="2994">
        <v>0</v>
      </c>
      <c r="G1017" s="2994">
        <v>0</v>
      </c>
      <c r="H1017" s="2994">
        <v>0</v>
      </c>
      <c r="I1017" s="2994">
        <v>0</v>
      </c>
      <c r="J1017" s="2994">
        <v>0</v>
      </c>
      <c r="K1017" s="2994">
        <v>0</v>
      </c>
      <c r="L1017" s="2994">
        <v>0</v>
      </c>
      <c r="M1017" s="2994">
        <v>0</v>
      </c>
      <c r="N1017" s="2994">
        <v>0</v>
      </c>
      <c r="O1017" s="2994">
        <v>0</v>
      </c>
      <c r="P1017" s="2994">
        <v>0</v>
      </c>
      <c r="Q1017" s="2994">
        <v>0</v>
      </c>
      <c r="R1017" s="2994">
        <v>0</v>
      </c>
      <c r="S1017" s="2994">
        <v>0</v>
      </c>
      <c r="T1017" s="2994">
        <v>0</v>
      </c>
      <c r="U1017" s="2994">
        <v>0</v>
      </c>
      <c r="V1017" s="2994">
        <v>0</v>
      </c>
      <c r="W1017" s="2994">
        <v>0</v>
      </c>
      <c r="X1017" s="2994">
        <v>0</v>
      </c>
      <c r="Y1017" s="2994">
        <v>0</v>
      </c>
      <c r="Z1017" s="2994">
        <v>0</v>
      </c>
      <c r="AA1017" s="2994">
        <v>0</v>
      </c>
      <c r="AB1017" s="2994">
        <v>0</v>
      </c>
      <c r="AC1017" s="2994">
        <v>0</v>
      </c>
      <c r="AD1017" s="2994">
        <v>0</v>
      </c>
      <c r="AE1017" s="2994">
        <v>0</v>
      </c>
      <c r="AF1017" s="2994">
        <v>0</v>
      </c>
      <c r="AG1017" s="2994">
        <v>0</v>
      </c>
      <c r="AH1017" s="2994">
        <v>0</v>
      </c>
      <c r="AI1017" s="2994">
        <v>0</v>
      </c>
      <c r="AJ1017" s="2994">
        <v>0</v>
      </c>
      <c r="AK1017" s="2994">
        <v>0</v>
      </c>
      <c r="AL1017" s="2994">
        <v>0</v>
      </c>
      <c r="AM1017" s="2994">
        <v>0</v>
      </c>
      <c r="AN1017" s="2994">
        <v>0</v>
      </c>
      <c r="AO1017" s="2994">
        <v>0</v>
      </c>
      <c r="AP1017" s="2994">
        <v>0</v>
      </c>
      <c r="AQ1017" s="2994">
        <v>0</v>
      </c>
      <c r="AR1017" s="2994">
        <v>0</v>
      </c>
      <c r="AS1017" s="2994">
        <v>0</v>
      </c>
      <c r="AT1017" s="2994">
        <v>0</v>
      </c>
      <c r="AU1017" s="2994">
        <v>0</v>
      </c>
      <c r="AV1017" s="2994">
        <v>0</v>
      </c>
      <c r="AW1017" s="2994">
        <v>0</v>
      </c>
      <c r="AX1017" s="2994">
        <v>0</v>
      </c>
      <c r="AY1017" s="2994">
        <v>0</v>
      </c>
      <c r="AZ1017" s="2994">
        <v>0</v>
      </c>
      <c r="BA1017" s="2994">
        <v>0</v>
      </c>
      <c r="BB1017" s="2994">
        <v>0</v>
      </c>
      <c r="BC1017" s="2994">
        <v>0</v>
      </c>
      <c r="BD1017" s="3471">
        <v>0</v>
      </c>
      <c r="BE1017" s="3471">
        <v>0</v>
      </c>
      <c r="BF1017" s="3471">
        <v>0</v>
      </c>
    </row>
    <row r="1018" spans="1:58">
      <c r="A1018" s="1817" t="str">
        <f t="shared" si="31"/>
        <v>South-Eastern AsiaCassava</v>
      </c>
      <c r="B1018" s="1818" t="s">
        <v>1394</v>
      </c>
      <c r="C1018" s="1818" t="s">
        <v>1342</v>
      </c>
      <c r="D1018" s="3463" t="str">
        <f>VLOOKUP(B1018,List_Yield!$G$4:$J$14,4,FALSE)</f>
        <v>Asia (Insular)</v>
      </c>
      <c r="E1018" s="3463" t="str">
        <f t="shared" si="30"/>
        <v>Asia (Insular)Cassava</v>
      </c>
      <c r="F1018" s="2994">
        <v>7.9999000000000002</v>
      </c>
      <c r="G1018" s="2994">
        <v>8.2777999999999992</v>
      </c>
      <c r="H1018" s="2994">
        <v>7.8297999999999996</v>
      </c>
      <c r="I1018" s="2994">
        <v>8.0324000000000009</v>
      </c>
      <c r="J1018" s="2994">
        <v>7.5666000000000002</v>
      </c>
      <c r="K1018" s="2994">
        <v>7.8878000000000004</v>
      </c>
      <c r="L1018" s="2994">
        <v>7.5914000000000001</v>
      </c>
      <c r="M1018" s="2994">
        <v>8.1564999999999994</v>
      </c>
      <c r="N1018" s="2994">
        <v>8.2126000000000001</v>
      </c>
      <c r="O1018" s="2994">
        <v>8.3306000000000004</v>
      </c>
      <c r="P1018" s="2994">
        <v>8.2390000000000008</v>
      </c>
      <c r="Q1018" s="2994">
        <v>7.8696999999999999</v>
      </c>
      <c r="R1018" s="2994">
        <v>8.7994000000000003</v>
      </c>
      <c r="S1018" s="2994">
        <v>9.4220000000000006</v>
      </c>
      <c r="T1018" s="2994">
        <v>10.0556</v>
      </c>
      <c r="U1018" s="2994">
        <v>10.648400000000001</v>
      </c>
      <c r="V1018" s="2994">
        <v>10.528</v>
      </c>
      <c r="W1018" s="2994">
        <v>11.339600000000001</v>
      </c>
      <c r="X1018" s="2994">
        <v>10.4717</v>
      </c>
      <c r="Y1018" s="2994">
        <v>11.1251</v>
      </c>
      <c r="Z1018" s="2994">
        <v>11.069599999999999</v>
      </c>
      <c r="AA1018" s="2994">
        <v>11.754200000000001</v>
      </c>
      <c r="AB1018" s="2994">
        <v>12.670299999999999</v>
      </c>
      <c r="AC1018" s="2994">
        <v>11.9322</v>
      </c>
      <c r="AD1018" s="2994">
        <v>11.7781</v>
      </c>
      <c r="AE1018" s="2994">
        <v>11.391999999999999</v>
      </c>
      <c r="AF1018" s="2994">
        <v>12.335900000000001</v>
      </c>
      <c r="AG1018" s="2994">
        <v>12.4907</v>
      </c>
      <c r="AH1018" s="2994">
        <v>13.020300000000001</v>
      </c>
      <c r="AI1018" s="2994">
        <v>12.357799999999999</v>
      </c>
      <c r="AJ1018" s="2994">
        <v>12.256</v>
      </c>
      <c r="AK1018" s="2994">
        <v>12.4594</v>
      </c>
      <c r="AL1018" s="2994">
        <v>12.484500000000001</v>
      </c>
      <c r="AM1018" s="2994">
        <v>12.015000000000001</v>
      </c>
      <c r="AN1018" s="2994">
        <v>11.575100000000001</v>
      </c>
      <c r="AO1018" s="2994">
        <v>12.125299999999999</v>
      </c>
      <c r="AP1018" s="2994">
        <v>12.643599999999999</v>
      </c>
      <c r="AQ1018" s="2994">
        <v>12.470499999999999</v>
      </c>
      <c r="AR1018" s="2994">
        <v>12.7895</v>
      </c>
      <c r="AS1018" s="2994">
        <v>13.5199</v>
      </c>
      <c r="AT1018" s="2994">
        <v>14.0898</v>
      </c>
      <c r="AU1018" s="2994">
        <v>14.064</v>
      </c>
      <c r="AV1018" s="2994">
        <v>15.785399999999999</v>
      </c>
      <c r="AW1018" s="2994">
        <v>16.525300000000001</v>
      </c>
      <c r="AX1018" s="2994">
        <v>15.7331</v>
      </c>
      <c r="AY1018" s="2994">
        <v>17.554099999999998</v>
      </c>
      <c r="AZ1018" s="2994">
        <v>18.4817</v>
      </c>
      <c r="BA1018" s="2994">
        <v>18.473099999999999</v>
      </c>
      <c r="BB1018" s="2994">
        <v>19.427700000000002</v>
      </c>
      <c r="BC1018" s="2994">
        <v>18.556999999999999</v>
      </c>
      <c r="BD1018" s="3471">
        <v>18.970400000000001</v>
      </c>
      <c r="BE1018" s="3471">
        <v>20.376100000000001</v>
      </c>
      <c r="BF1018" s="3471">
        <v>20.7607</v>
      </c>
    </row>
    <row r="1019" spans="1:58">
      <c r="A1019" s="1817" t="str">
        <f t="shared" si="31"/>
        <v>South-Eastern AsiaCassava leaves</v>
      </c>
      <c r="B1019" s="1818" t="s">
        <v>1394</v>
      </c>
      <c r="C1019" s="1818" t="s">
        <v>7302</v>
      </c>
      <c r="D1019" s="3463" t="str">
        <f>VLOOKUP(B1019,List_Yield!$G$4:$J$14,4,FALSE)</f>
        <v>Asia (Insular)</v>
      </c>
      <c r="E1019" s="3463" t="str">
        <f t="shared" si="30"/>
        <v>Asia (Insular)Cassava leaves</v>
      </c>
      <c r="F1019" s="2994">
        <v>0</v>
      </c>
      <c r="G1019" s="2994">
        <v>0</v>
      </c>
      <c r="H1019" s="2994">
        <v>0</v>
      </c>
      <c r="I1019" s="2994">
        <v>0</v>
      </c>
      <c r="J1019" s="2994">
        <v>0</v>
      </c>
      <c r="K1019" s="2994">
        <v>0</v>
      </c>
      <c r="L1019" s="2994">
        <v>0</v>
      </c>
      <c r="M1019" s="2994">
        <v>0</v>
      </c>
      <c r="N1019" s="2994">
        <v>0</v>
      </c>
      <c r="O1019" s="2994">
        <v>0</v>
      </c>
      <c r="P1019" s="2994">
        <v>0</v>
      </c>
      <c r="Q1019" s="2994">
        <v>0</v>
      </c>
      <c r="R1019" s="2994">
        <v>0</v>
      </c>
      <c r="S1019" s="2994">
        <v>0</v>
      </c>
      <c r="T1019" s="2994">
        <v>0</v>
      </c>
      <c r="U1019" s="2994">
        <v>0</v>
      </c>
      <c r="V1019" s="2994">
        <v>0</v>
      </c>
      <c r="W1019" s="2994">
        <v>0</v>
      </c>
      <c r="X1019" s="2994">
        <v>0</v>
      </c>
      <c r="Y1019" s="2994">
        <v>0</v>
      </c>
      <c r="Z1019" s="2994">
        <v>0</v>
      </c>
      <c r="AA1019" s="2994">
        <v>0</v>
      </c>
      <c r="AB1019" s="2994">
        <v>0</v>
      </c>
      <c r="AC1019" s="2994">
        <v>0</v>
      </c>
      <c r="AD1019" s="2994">
        <v>0</v>
      </c>
      <c r="AE1019" s="2994">
        <v>0</v>
      </c>
      <c r="AF1019" s="2994">
        <v>0</v>
      </c>
      <c r="AG1019" s="2994">
        <v>0</v>
      </c>
      <c r="AH1019" s="2994">
        <v>0</v>
      </c>
      <c r="AI1019" s="2994">
        <v>0</v>
      </c>
      <c r="AJ1019" s="2994">
        <v>0</v>
      </c>
      <c r="AK1019" s="2994">
        <v>0</v>
      </c>
      <c r="AL1019" s="2994">
        <v>0</v>
      </c>
      <c r="AM1019" s="2994">
        <v>0</v>
      </c>
      <c r="AN1019" s="2994">
        <v>0</v>
      </c>
      <c r="AO1019" s="2994">
        <v>0</v>
      </c>
      <c r="AP1019" s="2994">
        <v>0</v>
      </c>
      <c r="AQ1019" s="2994">
        <v>0</v>
      </c>
      <c r="AR1019" s="2994">
        <v>0</v>
      </c>
      <c r="AS1019" s="2994">
        <v>0</v>
      </c>
      <c r="AT1019" s="2994">
        <v>0</v>
      </c>
      <c r="AU1019" s="2994">
        <v>0</v>
      </c>
      <c r="AV1019" s="2994">
        <v>0</v>
      </c>
      <c r="AW1019" s="2994">
        <v>0</v>
      </c>
      <c r="AX1019" s="2994">
        <v>0</v>
      </c>
      <c r="AY1019" s="2994">
        <v>0</v>
      </c>
      <c r="AZ1019" s="2994">
        <v>7</v>
      </c>
      <c r="BA1019" s="2994">
        <v>7</v>
      </c>
      <c r="BB1019" s="2994">
        <v>7</v>
      </c>
      <c r="BC1019" s="2994">
        <v>7</v>
      </c>
      <c r="BD1019" s="3471">
        <v>7</v>
      </c>
      <c r="BE1019" s="3471">
        <v>7</v>
      </c>
      <c r="BF1019" s="3471">
        <v>0</v>
      </c>
    </row>
    <row r="1020" spans="1:58">
      <c r="A1020" s="1817" t="str">
        <f t="shared" si="31"/>
        <v>South-Eastern AsiaCastor oil seed</v>
      </c>
      <c r="B1020" s="1818" t="s">
        <v>1394</v>
      </c>
      <c r="C1020" s="1818" t="s">
        <v>7303</v>
      </c>
      <c r="D1020" s="3463" t="str">
        <f>VLOOKUP(B1020,List_Yield!$G$4:$J$14,4,FALSE)</f>
        <v>Asia (Insular)</v>
      </c>
      <c r="E1020" s="3463" t="str">
        <f t="shared" si="30"/>
        <v>Asia (Insular)Castor oil seed</v>
      </c>
      <c r="F1020" s="2994">
        <v>0.80730000000000002</v>
      </c>
      <c r="G1020" s="2994">
        <v>0.8679</v>
      </c>
      <c r="H1020" s="2994">
        <v>1.0472999999999999</v>
      </c>
      <c r="I1020" s="2994">
        <v>0.90649999999999997</v>
      </c>
      <c r="J1020" s="2994">
        <v>0.83169999999999999</v>
      </c>
      <c r="K1020" s="2994">
        <v>0.89319999999999999</v>
      </c>
      <c r="L1020" s="2994">
        <v>0.74709999999999999</v>
      </c>
      <c r="M1020" s="2994">
        <v>0.91490000000000005</v>
      </c>
      <c r="N1020" s="2994">
        <v>0.87629999999999997</v>
      </c>
      <c r="O1020" s="2994">
        <v>0.81420000000000003</v>
      </c>
      <c r="P1020" s="2994">
        <v>0.8357</v>
      </c>
      <c r="Q1020" s="2994">
        <v>0.74580000000000002</v>
      </c>
      <c r="R1020" s="2994">
        <v>0.71879999999999999</v>
      </c>
      <c r="S1020" s="2994">
        <v>0.78159999999999996</v>
      </c>
      <c r="T1020" s="2994">
        <v>0.83279999999999998</v>
      </c>
      <c r="U1020" s="2994">
        <v>0.88690000000000002</v>
      </c>
      <c r="V1020" s="2994">
        <v>0.86560000000000004</v>
      </c>
      <c r="W1020" s="2994">
        <v>0.81740000000000002</v>
      </c>
      <c r="X1020" s="2994">
        <v>0.72099999999999997</v>
      </c>
      <c r="Y1020" s="2994">
        <v>0.79979999999999996</v>
      </c>
      <c r="Z1020" s="2994">
        <v>0.79979999999999996</v>
      </c>
      <c r="AA1020" s="2994">
        <v>0.7772</v>
      </c>
      <c r="AB1020" s="2994">
        <v>0.79679999999999995</v>
      </c>
      <c r="AC1020" s="2994">
        <v>0.76339999999999997</v>
      </c>
      <c r="AD1020" s="2994">
        <v>0.74870000000000003</v>
      </c>
      <c r="AE1020" s="2994">
        <v>0.79500000000000004</v>
      </c>
      <c r="AF1020" s="2994">
        <v>0.69399999999999995</v>
      </c>
      <c r="AG1020" s="2994">
        <v>0.54210000000000003</v>
      </c>
      <c r="AH1020" s="2994">
        <v>0.62409999999999999</v>
      </c>
      <c r="AI1020" s="2994">
        <v>0.63129999999999997</v>
      </c>
      <c r="AJ1020" s="2994">
        <v>0.62680000000000002</v>
      </c>
      <c r="AK1020" s="2994">
        <v>0.64749999999999996</v>
      </c>
      <c r="AL1020" s="2994">
        <v>0.6704</v>
      </c>
      <c r="AM1020" s="2994">
        <v>0.68069999999999997</v>
      </c>
      <c r="AN1020" s="2994">
        <v>0.63360000000000005</v>
      </c>
      <c r="AO1020" s="2994">
        <v>0.56989999999999996</v>
      </c>
      <c r="AP1020" s="2994">
        <v>0.58350000000000002</v>
      </c>
      <c r="AQ1020" s="2994">
        <v>0.53359999999999996</v>
      </c>
      <c r="AR1020" s="2994">
        <v>0.56789999999999996</v>
      </c>
      <c r="AS1020" s="2994">
        <v>0.61319999999999997</v>
      </c>
      <c r="AT1020" s="2994">
        <v>0.55740000000000001</v>
      </c>
      <c r="AU1020" s="2994">
        <v>0.6956</v>
      </c>
      <c r="AV1020" s="2994">
        <v>0.57920000000000005</v>
      </c>
      <c r="AW1020" s="2994">
        <v>0.62029999999999996</v>
      </c>
      <c r="AX1020" s="2994">
        <v>0.63</v>
      </c>
      <c r="AY1020" s="2994">
        <v>0.62749999999999995</v>
      </c>
      <c r="AZ1020" s="2994">
        <v>0.6653</v>
      </c>
      <c r="BA1020" s="2994">
        <v>0.77500000000000002</v>
      </c>
      <c r="BB1020" s="2994">
        <v>0.76949999999999996</v>
      </c>
      <c r="BC1020" s="2994">
        <v>0.80549999999999999</v>
      </c>
      <c r="BD1020" s="3471">
        <v>0.66120000000000001</v>
      </c>
      <c r="BE1020" s="3471">
        <v>0.71789999999999998</v>
      </c>
      <c r="BF1020" s="3471">
        <v>0.7268</v>
      </c>
    </row>
    <row r="1021" spans="1:58">
      <c r="A1021" s="1817" t="str">
        <f t="shared" si="31"/>
        <v>South-Eastern AsiaCauliflowers and broccoli</v>
      </c>
      <c r="B1021" s="1818" t="s">
        <v>1394</v>
      </c>
      <c r="C1021" s="1818" t="s">
        <v>1343</v>
      </c>
      <c r="D1021" s="3463" t="str">
        <f>VLOOKUP(B1021,List_Yield!$G$4:$J$14,4,FALSE)</f>
        <v>Asia (Insular)</v>
      </c>
      <c r="E1021" s="3463" t="str">
        <f t="shared" ref="E1021:E1084" si="32">CONCATENATE(D1021,C1021)</f>
        <v>Asia (Insular)Cauliflowers and broccoli</v>
      </c>
      <c r="F1021" s="2994">
        <v>6.2782</v>
      </c>
      <c r="G1021" s="2994">
        <v>5.9016000000000002</v>
      </c>
      <c r="H1021" s="2994">
        <v>6.3678999999999997</v>
      </c>
      <c r="I1021" s="2994">
        <v>6.5938999999999997</v>
      </c>
      <c r="J1021" s="2994">
        <v>6.8785999999999996</v>
      </c>
      <c r="K1021" s="2994">
        <v>6.6406000000000001</v>
      </c>
      <c r="L1021" s="2994">
        <v>6.6839000000000004</v>
      </c>
      <c r="M1021" s="2994">
        <v>6.6839000000000004</v>
      </c>
      <c r="N1021" s="2994">
        <v>6.7009999999999996</v>
      </c>
      <c r="O1021" s="2994">
        <v>6.7609000000000004</v>
      </c>
      <c r="P1021" s="2994">
        <v>6.9737</v>
      </c>
      <c r="Q1021" s="2994">
        <v>7.4074</v>
      </c>
      <c r="R1021" s="2994">
        <v>7.4390000000000001</v>
      </c>
      <c r="S1021" s="2994">
        <v>7.4878</v>
      </c>
      <c r="T1021" s="2994">
        <v>7.5061</v>
      </c>
      <c r="U1021" s="2994">
        <v>7.5121000000000002</v>
      </c>
      <c r="V1021" s="2994">
        <v>7.4588000000000001</v>
      </c>
      <c r="W1021" s="2994">
        <v>7.4650999999999996</v>
      </c>
      <c r="X1021" s="2994">
        <v>7.4713000000000003</v>
      </c>
      <c r="Y1021" s="2994">
        <v>7.6222000000000003</v>
      </c>
      <c r="Z1021" s="2994">
        <v>7.7582000000000004</v>
      </c>
      <c r="AA1021" s="2994">
        <v>7.8913000000000002</v>
      </c>
      <c r="AB1021" s="2994">
        <v>7.9166999999999996</v>
      </c>
      <c r="AC1021" s="2994">
        <v>8.3332999999999995</v>
      </c>
      <c r="AD1021" s="2994">
        <v>8.4614999999999991</v>
      </c>
      <c r="AE1021" s="2994">
        <v>8.5191999999999997</v>
      </c>
      <c r="AF1021" s="2994">
        <v>8.5385000000000009</v>
      </c>
      <c r="AG1021" s="2994">
        <v>8.8679000000000006</v>
      </c>
      <c r="AH1021" s="2994">
        <v>8.75</v>
      </c>
      <c r="AI1021" s="2994">
        <v>10.7437</v>
      </c>
      <c r="AJ1021" s="2994">
        <v>10.5512</v>
      </c>
      <c r="AK1021" s="2994">
        <v>11.3805</v>
      </c>
      <c r="AL1021" s="2994">
        <v>11.772399999999999</v>
      </c>
      <c r="AM1021" s="2994">
        <v>11.8249</v>
      </c>
      <c r="AN1021" s="2994">
        <v>12.195</v>
      </c>
      <c r="AO1021" s="2994">
        <v>11.423999999999999</v>
      </c>
      <c r="AP1021" s="2994">
        <v>11.040900000000001</v>
      </c>
      <c r="AQ1021" s="2994">
        <v>11.6625</v>
      </c>
      <c r="AR1021" s="2994">
        <v>11.6188</v>
      </c>
      <c r="AS1021" s="2994">
        <v>18.2681</v>
      </c>
      <c r="AT1021" s="2994">
        <v>14.082599999999999</v>
      </c>
      <c r="AU1021" s="2994">
        <v>13.597799999999999</v>
      </c>
      <c r="AV1021" s="2994">
        <v>14.358000000000001</v>
      </c>
      <c r="AW1021" s="2994">
        <v>15.2263</v>
      </c>
      <c r="AX1021" s="2994">
        <v>14.542</v>
      </c>
      <c r="AY1021" s="2994">
        <v>14.014799999999999</v>
      </c>
      <c r="AZ1021" s="2994">
        <v>14.8142</v>
      </c>
      <c r="BA1021" s="2994">
        <v>13.290900000000001</v>
      </c>
      <c r="BB1021" s="2994">
        <v>12.323499999999999</v>
      </c>
      <c r="BC1021" s="2994">
        <v>12.1967</v>
      </c>
      <c r="BD1021" s="3471">
        <v>12.44</v>
      </c>
      <c r="BE1021" s="3471">
        <v>12.3363</v>
      </c>
      <c r="BF1021" s="3471">
        <v>0</v>
      </c>
    </row>
    <row r="1022" spans="1:58">
      <c r="A1022" s="1817" t="str">
        <f t="shared" si="31"/>
        <v>South-Eastern AsiaCereals, nes</v>
      </c>
      <c r="B1022" s="1818" t="s">
        <v>1394</v>
      </c>
      <c r="C1022" s="1818" t="s">
        <v>1344</v>
      </c>
      <c r="D1022" s="3463" t="str">
        <f>VLOOKUP(B1022,List_Yield!$G$4:$J$14,4,FALSE)</f>
        <v>Asia (Insular)</v>
      </c>
      <c r="E1022" s="3463" t="str">
        <f t="shared" si="32"/>
        <v>Asia (Insular)Cereals, nes</v>
      </c>
      <c r="F1022" s="2994">
        <v>0.18149999999999999</v>
      </c>
      <c r="G1022" s="2994">
        <v>0.193</v>
      </c>
      <c r="H1022" s="2994">
        <v>0.1588</v>
      </c>
      <c r="I1022" s="2994">
        <v>0.1545</v>
      </c>
      <c r="J1022" s="2994">
        <v>0.18679999999999999</v>
      </c>
      <c r="K1022" s="2994">
        <v>0.155</v>
      </c>
      <c r="L1022" s="2994">
        <v>0.19689999999999999</v>
      </c>
      <c r="M1022" s="2994">
        <v>0.20849999999999999</v>
      </c>
      <c r="N1022" s="2994">
        <v>0.27650000000000002</v>
      </c>
      <c r="O1022" s="2994">
        <v>0.25569999999999998</v>
      </c>
      <c r="P1022" s="2994">
        <v>0.27550000000000002</v>
      </c>
      <c r="Q1022" s="2994">
        <v>0.31990000000000002</v>
      </c>
      <c r="R1022" s="2994">
        <v>0.32479999999999998</v>
      </c>
      <c r="S1022" s="2994">
        <v>0.36080000000000001</v>
      </c>
      <c r="T1022" s="2994">
        <v>0.40129999999999999</v>
      </c>
      <c r="U1022" s="2994">
        <v>0.371</v>
      </c>
      <c r="V1022" s="2994">
        <v>0.54890000000000005</v>
      </c>
      <c r="W1022" s="2994">
        <v>0.40660000000000002</v>
      </c>
      <c r="X1022" s="2994">
        <v>0.39710000000000001</v>
      </c>
      <c r="Y1022" s="2994">
        <v>0.54969999999999997</v>
      </c>
      <c r="Z1022" s="2994">
        <v>0.5494</v>
      </c>
      <c r="AA1022" s="2994">
        <v>0.54169999999999996</v>
      </c>
      <c r="AB1022" s="2994">
        <v>0.49020000000000002</v>
      </c>
      <c r="AC1022" s="2994">
        <v>0.64890000000000003</v>
      </c>
      <c r="AD1022" s="2994">
        <v>0.7177</v>
      </c>
      <c r="AE1022" s="2994">
        <v>0.70089999999999997</v>
      </c>
      <c r="AF1022" s="2994">
        <v>0.72170000000000001</v>
      </c>
      <c r="AG1022" s="2994">
        <v>0.86409999999999998</v>
      </c>
      <c r="AH1022" s="2994">
        <v>0.61219999999999997</v>
      </c>
      <c r="AI1022" s="2994">
        <v>0.6492</v>
      </c>
      <c r="AJ1022" s="2994">
        <v>0.68049999999999999</v>
      </c>
      <c r="AK1022" s="2994">
        <v>0.78680000000000005</v>
      </c>
      <c r="AL1022" s="2994">
        <v>0.86719999999999997</v>
      </c>
      <c r="AM1022" s="2994">
        <v>0.89700000000000002</v>
      </c>
      <c r="AN1022" s="2994">
        <v>0.96099999999999997</v>
      </c>
      <c r="AO1022" s="2994">
        <v>0.93410000000000004</v>
      </c>
      <c r="AP1022" s="2994">
        <v>0.91839999999999999</v>
      </c>
      <c r="AQ1022" s="2994">
        <v>0.8952</v>
      </c>
      <c r="AR1022" s="2994">
        <v>0.96489999999999998</v>
      </c>
      <c r="AS1022" s="2994">
        <v>1.0656000000000001</v>
      </c>
      <c r="AT1022" s="2994">
        <v>1.2381</v>
      </c>
      <c r="AU1022" s="2994">
        <v>1.2903</v>
      </c>
      <c r="AV1022" s="2994">
        <v>1.4737</v>
      </c>
      <c r="AW1022" s="2994">
        <v>1.4745999999999999</v>
      </c>
      <c r="AX1022" s="2994">
        <v>1.5313000000000001</v>
      </c>
      <c r="AY1022" s="2994">
        <v>1.5732999999999999</v>
      </c>
      <c r="AZ1022" s="2994">
        <v>1.8411</v>
      </c>
      <c r="BA1022" s="2994">
        <v>1.9583999999999999</v>
      </c>
      <c r="BB1022" s="2994">
        <v>2.1227999999999998</v>
      </c>
      <c r="BC1022" s="2994">
        <v>2.1278999999999999</v>
      </c>
      <c r="BD1022" s="3471">
        <v>2.2118000000000002</v>
      </c>
      <c r="BE1022" s="3471">
        <v>2.2254999999999998</v>
      </c>
      <c r="BF1022" s="3471">
        <v>2.2189999999999999</v>
      </c>
    </row>
    <row r="1023" spans="1:58">
      <c r="A1023" s="1817" t="str">
        <f t="shared" si="31"/>
        <v>South-Eastern AsiaCherries</v>
      </c>
      <c r="B1023" s="1818" t="s">
        <v>1394</v>
      </c>
      <c r="C1023" s="1818" t="s">
        <v>7304</v>
      </c>
      <c r="D1023" s="3463" t="str">
        <f>VLOOKUP(B1023,List_Yield!$G$4:$J$14,4,FALSE)</f>
        <v>Asia (Insular)</v>
      </c>
      <c r="E1023" s="3463" t="str">
        <f t="shared" si="32"/>
        <v>Asia (Insular)Cherries</v>
      </c>
      <c r="F1023" s="2994">
        <v>0</v>
      </c>
      <c r="G1023" s="2994">
        <v>0</v>
      </c>
      <c r="H1023" s="2994">
        <v>0</v>
      </c>
      <c r="I1023" s="2994">
        <v>0</v>
      </c>
      <c r="J1023" s="2994">
        <v>0</v>
      </c>
      <c r="K1023" s="2994">
        <v>0</v>
      </c>
      <c r="L1023" s="2994">
        <v>0</v>
      </c>
      <c r="M1023" s="2994">
        <v>0</v>
      </c>
      <c r="N1023" s="2994">
        <v>0</v>
      </c>
      <c r="O1023" s="2994">
        <v>0</v>
      </c>
      <c r="P1023" s="2994">
        <v>0</v>
      </c>
      <c r="Q1023" s="2994">
        <v>0</v>
      </c>
      <c r="R1023" s="2994">
        <v>0</v>
      </c>
      <c r="S1023" s="2994">
        <v>0</v>
      </c>
      <c r="T1023" s="2994">
        <v>0</v>
      </c>
      <c r="U1023" s="2994">
        <v>0</v>
      </c>
      <c r="V1023" s="2994">
        <v>0</v>
      </c>
      <c r="W1023" s="2994">
        <v>0</v>
      </c>
      <c r="X1023" s="2994">
        <v>0</v>
      </c>
      <c r="Y1023" s="2994">
        <v>0</v>
      </c>
      <c r="Z1023" s="2994">
        <v>0</v>
      </c>
      <c r="AA1023" s="2994">
        <v>0</v>
      </c>
      <c r="AB1023" s="2994">
        <v>0</v>
      </c>
      <c r="AC1023" s="2994">
        <v>0</v>
      </c>
      <c r="AD1023" s="2994">
        <v>0</v>
      </c>
      <c r="AE1023" s="2994">
        <v>0</v>
      </c>
      <c r="AF1023" s="2994">
        <v>0</v>
      </c>
      <c r="AG1023" s="2994">
        <v>0</v>
      </c>
      <c r="AH1023" s="2994">
        <v>0</v>
      </c>
      <c r="AI1023" s="2994">
        <v>0</v>
      </c>
      <c r="AJ1023" s="2994">
        <v>0</v>
      </c>
      <c r="AK1023" s="2994">
        <v>0</v>
      </c>
      <c r="AL1023" s="2994">
        <v>0</v>
      </c>
      <c r="AM1023" s="2994">
        <v>0</v>
      </c>
      <c r="AN1023" s="2994">
        <v>0</v>
      </c>
      <c r="AO1023" s="2994">
        <v>0</v>
      </c>
      <c r="AP1023" s="2994">
        <v>0</v>
      </c>
      <c r="AQ1023" s="2994">
        <v>0</v>
      </c>
      <c r="AR1023" s="2994">
        <v>0</v>
      </c>
      <c r="AS1023" s="2994">
        <v>0</v>
      </c>
      <c r="AT1023" s="2994">
        <v>0</v>
      </c>
      <c r="AU1023" s="2994">
        <v>0</v>
      </c>
      <c r="AV1023" s="2994">
        <v>0</v>
      </c>
      <c r="AW1023" s="2994">
        <v>0</v>
      </c>
      <c r="AX1023" s="2994">
        <v>0</v>
      </c>
      <c r="AY1023" s="2994">
        <v>0</v>
      </c>
      <c r="AZ1023" s="2994">
        <v>0</v>
      </c>
      <c r="BA1023" s="2994">
        <v>0</v>
      </c>
      <c r="BB1023" s="2994">
        <v>0</v>
      </c>
      <c r="BC1023" s="2994">
        <v>0</v>
      </c>
      <c r="BD1023" s="3471">
        <v>0</v>
      </c>
      <c r="BE1023" s="3471">
        <v>0</v>
      </c>
      <c r="BF1023" s="3471">
        <v>0</v>
      </c>
    </row>
    <row r="1024" spans="1:58">
      <c r="A1024" s="1817" t="str">
        <f t="shared" si="31"/>
        <v>South-Eastern AsiaCherries, sour</v>
      </c>
      <c r="B1024" s="1818" t="s">
        <v>1394</v>
      </c>
      <c r="C1024" s="1818" t="s">
        <v>7305</v>
      </c>
      <c r="D1024" s="3463" t="str">
        <f>VLOOKUP(B1024,List_Yield!$G$4:$J$14,4,FALSE)</f>
        <v>Asia (Insular)</v>
      </c>
      <c r="E1024" s="3463" t="str">
        <f t="shared" si="32"/>
        <v>Asia (Insular)Cherries, sour</v>
      </c>
      <c r="F1024" s="2994">
        <v>0</v>
      </c>
      <c r="G1024" s="2994">
        <v>0</v>
      </c>
      <c r="H1024" s="2994">
        <v>0</v>
      </c>
      <c r="I1024" s="2994">
        <v>0</v>
      </c>
      <c r="J1024" s="2994">
        <v>0</v>
      </c>
      <c r="K1024" s="2994">
        <v>0</v>
      </c>
      <c r="L1024" s="2994">
        <v>0</v>
      </c>
      <c r="M1024" s="2994">
        <v>0</v>
      </c>
      <c r="N1024" s="2994">
        <v>0</v>
      </c>
      <c r="O1024" s="2994">
        <v>0</v>
      </c>
      <c r="P1024" s="2994">
        <v>0</v>
      </c>
      <c r="Q1024" s="2994">
        <v>0</v>
      </c>
      <c r="R1024" s="2994">
        <v>0</v>
      </c>
      <c r="S1024" s="2994">
        <v>0</v>
      </c>
      <c r="T1024" s="2994">
        <v>0</v>
      </c>
      <c r="U1024" s="2994">
        <v>0</v>
      </c>
      <c r="V1024" s="2994">
        <v>0</v>
      </c>
      <c r="W1024" s="2994">
        <v>0</v>
      </c>
      <c r="X1024" s="2994">
        <v>0</v>
      </c>
      <c r="Y1024" s="2994">
        <v>0</v>
      </c>
      <c r="Z1024" s="2994">
        <v>0</v>
      </c>
      <c r="AA1024" s="2994">
        <v>0</v>
      </c>
      <c r="AB1024" s="2994">
        <v>0</v>
      </c>
      <c r="AC1024" s="2994">
        <v>0</v>
      </c>
      <c r="AD1024" s="2994">
        <v>0</v>
      </c>
      <c r="AE1024" s="2994">
        <v>0</v>
      </c>
      <c r="AF1024" s="2994">
        <v>0</v>
      </c>
      <c r="AG1024" s="2994">
        <v>0</v>
      </c>
      <c r="AH1024" s="2994">
        <v>0</v>
      </c>
      <c r="AI1024" s="2994">
        <v>0</v>
      </c>
      <c r="AJ1024" s="2994">
        <v>0</v>
      </c>
      <c r="AK1024" s="2994">
        <v>0</v>
      </c>
      <c r="AL1024" s="2994">
        <v>0</v>
      </c>
      <c r="AM1024" s="2994">
        <v>0</v>
      </c>
      <c r="AN1024" s="2994">
        <v>0</v>
      </c>
      <c r="AO1024" s="2994">
        <v>0</v>
      </c>
      <c r="AP1024" s="2994">
        <v>0</v>
      </c>
      <c r="AQ1024" s="2994">
        <v>0</v>
      </c>
      <c r="AR1024" s="2994">
        <v>0</v>
      </c>
      <c r="AS1024" s="2994">
        <v>0</v>
      </c>
      <c r="AT1024" s="2994">
        <v>0</v>
      </c>
      <c r="AU1024" s="2994">
        <v>0</v>
      </c>
      <c r="AV1024" s="2994">
        <v>0</v>
      </c>
      <c r="AW1024" s="2994">
        <v>0</v>
      </c>
      <c r="AX1024" s="2994">
        <v>0</v>
      </c>
      <c r="AY1024" s="2994">
        <v>0</v>
      </c>
      <c r="AZ1024" s="2994">
        <v>0</v>
      </c>
      <c r="BA1024" s="2994">
        <v>0</v>
      </c>
      <c r="BB1024" s="2994">
        <v>0</v>
      </c>
      <c r="BC1024" s="2994">
        <v>0</v>
      </c>
      <c r="BD1024" s="3471">
        <v>0</v>
      </c>
      <c r="BE1024" s="3471">
        <v>0</v>
      </c>
      <c r="BF1024" s="3471">
        <v>0</v>
      </c>
    </row>
    <row r="1025" spans="1:58">
      <c r="A1025" s="1817" t="str">
        <f t="shared" si="31"/>
        <v>South-Eastern AsiaChestnut</v>
      </c>
      <c r="B1025" s="1818" t="s">
        <v>1394</v>
      </c>
      <c r="C1025" s="1818" t="s">
        <v>7306</v>
      </c>
      <c r="D1025" s="3463" t="str">
        <f>VLOOKUP(B1025,List_Yield!$G$4:$J$14,4,FALSE)</f>
        <v>Asia (Insular)</v>
      </c>
      <c r="E1025" s="3463" t="str">
        <f t="shared" si="32"/>
        <v>Asia (Insular)Chestnut</v>
      </c>
      <c r="F1025" s="2994">
        <v>0</v>
      </c>
      <c r="G1025" s="2994">
        <v>0</v>
      </c>
      <c r="H1025" s="2994">
        <v>0</v>
      </c>
      <c r="I1025" s="2994">
        <v>0</v>
      </c>
      <c r="J1025" s="2994">
        <v>0</v>
      </c>
      <c r="K1025" s="2994">
        <v>0</v>
      </c>
      <c r="L1025" s="2994">
        <v>0</v>
      </c>
      <c r="M1025" s="2994">
        <v>0</v>
      </c>
      <c r="N1025" s="2994">
        <v>0</v>
      </c>
      <c r="O1025" s="2994">
        <v>0</v>
      </c>
      <c r="P1025" s="2994">
        <v>0</v>
      </c>
      <c r="Q1025" s="2994">
        <v>0</v>
      </c>
      <c r="R1025" s="2994">
        <v>0</v>
      </c>
      <c r="S1025" s="2994">
        <v>0</v>
      </c>
      <c r="T1025" s="2994">
        <v>0</v>
      </c>
      <c r="U1025" s="2994">
        <v>0</v>
      </c>
      <c r="V1025" s="2994">
        <v>0</v>
      </c>
      <c r="W1025" s="2994">
        <v>0</v>
      </c>
      <c r="X1025" s="2994">
        <v>0</v>
      </c>
      <c r="Y1025" s="2994">
        <v>0</v>
      </c>
      <c r="Z1025" s="2994">
        <v>0</v>
      </c>
      <c r="AA1025" s="2994">
        <v>0</v>
      </c>
      <c r="AB1025" s="2994">
        <v>0</v>
      </c>
      <c r="AC1025" s="2994">
        <v>0</v>
      </c>
      <c r="AD1025" s="2994">
        <v>0</v>
      </c>
      <c r="AE1025" s="2994">
        <v>0</v>
      </c>
      <c r="AF1025" s="2994">
        <v>0</v>
      </c>
      <c r="AG1025" s="2994">
        <v>0</v>
      </c>
      <c r="AH1025" s="2994">
        <v>0</v>
      </c>
      <c r="AI1025" s="2994">
        <v>0</v>
      </c>
      <c r="AJ1025" s="2994">
        <v>0</v>
      </c>
      <c r="AK1025" s="2994">
        <v>0</v>
      </c>
      <c r="AL1025" s="2994">
        <v>0</v>
      </c>
      <c r="AM1025" s="2994">
        <v>0</v>
      </c>
      <c r="AN1025" s="2994">
        <v>0</v>
      </c>
      <c r="AO1025" s="2994">
        <v>0</v>
      </c>
      <c r="AP1025" s="2994">
        <v>0</v>
      </c>
      <c r="AQ1025" s="2994">
        <v>0</v>
      </c>
      <c r="AR1025" s="2994">
        <v>0</v>
      </c>
      <c r="AS1025" s="2994">
        <v>0</v>
      </c>
      <c r="AT1025" s="2994">
        <v>0</v>
      </c>
      <c r="AU1025" s="2994">
        <v>0</v>
      </c>
      <c r="AV1025" s="2994">
        <v>0</v>
      </c>
      <c r="AW1025" s="2994">
        <v>0</v>
      </c>
      <c r="AX1025" s="2994">
        <v>0</v>
      </c>
      <c r="AY1025" s="2994">
        <v>0</v>
      </c>
      <c r="AZ1025" s="2994">
        <v>0</v>
      </c>
      <c r="BA1025" s="2994">
        <v>0</v>
      </c>
      <c r="BB1025" s="2994">
        <v>0</v>
      </c>
      <c r="BC1025" s="2994">
        <v>0</v>
      </c>
      <c r="BD1025" s="3471">
        <v>0</v>
      </c>
      <c r="BE1025" s="3471">
        <v>0</v>
      </c>
      <c r="BF1025" s="3471">
        <v>0</v>
      </c>
    </row>
    <row r="1026" spans="1:58">
      <c r="A1026" s="1817" t="str">
        <f t="shared" ref="A1026:A1089" si="33">CONCATENATE(B1026,C1026)</f>
        <v>South-Eastern AsiaChick peas</v>
      </c>
      <c r="B1026" s="1818" t="s">
        <v>1394</v>
      </c>
      <c r="C1026" s="1818" t="s">
        <v>7307</v>
      </c>
      <c r="D1026" s="3463" t="str">
        <f>VLOOKUP(B1026,List_Yield!$G$4:$J$14,4,FALSE)</f>
        <v>Asia (Insular)</v>
      </c>
      <c r="E1026" s="3463" t="str">
        <f t="shared" si="32"/>
        <v>Asia (Insular)Chick peas</v>
      </c>
      <c r="F1026" s="2994">
        <v>0.32500000000000001</v>
      </c>
      <c r="G1026" s="2994">
        <v>0.43390000000000001</v>
      </c>
      <c r="H1026" s="2994">
        <v>0.5554</v>
      </c>
      <c r="I1026" s="2994">
        <v>0.55840000000000001</v>
      </c>
      <c r="J1026" s="2994">
        <v>0.55920000000000003</v>
      </c>
      <c r="K1026" s="2994">
        <v>0.51239999999999997</v>
      </c>
      <c r="L1026" s="2994">
        <v>0.44280000000000003</v>
      </c>
      <c r="M1026" s="2994">
        <v>0.5403</v>
      </c>
      <c r="N1026" s="2994">
        <v>0.52739999999999998</v>
      </c>
      <c r="O1026" s="2994">
        <v>0.48359999999999997</v>
      </c>
      <c r="P1026" s="2994">
        <v>0.53139999999999998</v>
      </c>
      <c r="Q1026" s="2994">
        <v>0.54110000000000003</v>
      </c>
      <c r="R1026" s="2994">
        <v>0.4289</v>
      </c>
      <c r="S1026" s="2994">
        <v>0.4304</v>
      </c>
      <c r="T1026" s="2994">
        <v>0.51690000000000003</v>
      </c>
      <c r="U1026" s="2994">
        <v>0.49919999999999998</v>
      </c>
      <c r="V1026" s="2994">
        <v>0.60770000000000002</v>
      </c>
      <c r="W1026" s="2994">
        <v>0.60050000000000003</v>
      </c>
      <c r="X1026" s="2994">
        <v>0.59299999999999997</v>
      </c>
      <c r="Y1026" s="2994">
        <v>0.54210000000000003</v>
      </c>
      <c r="Z1026" s="2994">
        <v>0.6845</v>
      </c>
      <c r="AA1026" s="2994">
        <v>0.84330000000000005</v>
      </c>
      <c r="AB1026" s="2994">
        <v>0.81200000000000006</v>
      </c>
      <c r="AC1026" s="2994">
        <v>0.89290000000000003</v>
      </c>
      <c r="AD1026" s="2994">
        <v>0.82120000000000004</v>
      </c>
      <c r="AE1026" s="2994">
        <v>0.90939999999999999</v>
      </c>
      <c r="AF1026" s="2994">
        <v>0.87560000000000004</v>
      </c>
      <c r="AG1026" s="2994">
        <v>0.93710000000000004</v>
      </c>
      <c r="AH1026" s="2994">
        <v>0.78029999999999999</v>
      </c>
      <c r="AI1026" s="2994">
        <v>0.75180000000000002</v>
      </c>
      <c r="AJ1026" s="2994">
        <v>0.64570000000000005</v>
      </c>
      <c r="AK1026" s="2994">
        <v>0.66159999999999997</v>
      </c>
      <c r="AL1026" s="2994">
        <v>0.66600000000000004</v>
      </c>
      <c r="AM1026" s="2994">
        <v>0.58350000000000002</v>
      </c>
      <c r="AN1026" s="2994">
        <v>0.62429999999999997</v>
      </c>
      <c r="AO1026" s="2994">
        <v>0.5081</v>
      </c>
      <c r="AP1026" s="2994">
        <v>0.66649999999999998</v>
      </c>
      <c r="AQ1026" s="2994">
        <v>0.81379999999999997</v>
      </c>
      <c r="AR1026" s="2994">
        <v>0.66959999999999997</v>
      </c>
      <c r="AS1026" s="2994">
        <v>0.6512</v>
      </c>
      <c r="AT1026" s="2994">
        <v>0.71179999999999999</v>
      </c>
      <c r="AU1026" s="2994">
        <v>0.97940000000000005</v>
      </c>
      <c r="AV1026" s="2994">
        <v>1.0871</v>
      </c>
      <c r="AW1026" s="2994">
        <v>1.1104000000000001</v>
      </c>
      <c r="AX1026" s="2994">
        <v>1.1529</v>
      </c>
      <c r="AY1026" s="2994">
        <v>1.1631</v>
      </c>
      <c r="AZ1026" s="2994">
        <v>1.2270000000000001</v>
      </c>
      <c r="BA1026" s="2994">
        <v>1.2443</v>
      </c>
      <c r="BB1026" s="2994">
        <v>1.3512999999999999</v>
      </c>
      <c r="BC1026" s="2994">
        <v>1.3478000000000001</v>
      </c>
      <c r="BD1026" s="3471">
        <v>1.4205000000000001</v>
      </c>
      <c r="BE1026" s="3471">
        <v>1.4881</v>
      </c>
      <c r="BF1026" s="3471">
        <v>1.4626999999999999</v>
      </c>
    </row>
    <row r="1027" spans="1:58">
      <c r="A1027" s="1817" t="str">
        <f t="shared" si="33"/>
        <v>South-Eastern AsiaChicory roots</v>
      </c>
      <c r="B1027" s="1818" t="s">
        <v>1394</v>
      </c>
      <c r="C1027" s="1818" t="s">
        <v>7308</v>
      </c>
      <c r="D1027" s="3463" t="str">
        <f>VLOOKUP(B1027,List_Yield!$G$4:$J$14,4,FALSE)</f>
        <v>Asia (Insular)</v>
      </c>
      <c r="E1027" s="3463" t="str">
        <f t="shared" si="32"/>
        <v>Asia (Insular)Chicory roots</v>
      </c>
      <c r="F1027" s="2994">
        <v>0</v>
      </c>
      <c r="G1027" s="2994">
        <v>0</v>
      </c>
      <c r="H1027" s="2994">
        <v>0</v>
      </c>
      <c r="I1027" s="2994">
        <v>0</v>
      </c>
      <c r="J1027" s="2994">
        <v>0</v>
      </c>
      <c r="K1027" s="2994">
        <v>0</v>
      </c>
      <c r="L1027" s="2994">
        <v>0</v>
      </c>
      <c r="M1027" s="2994">
        <v>0</v>
      </c>
      <c r="N1027" s="2994">
        <v>0</v>
      </c>
      <c r="O1027" s="2994">
        <v>0</v>
      </c>
      <c r="P1027" s="2994">
        <v>0</v>
      </c>
      <c r="Q1027" s="2994">
        <v>0</v>
      </c>
      <c r="R1027" s="2994">
        <v>0</v>
      </c>
      <c r="S1027" s="2994">
        <v>0</v>
      </c>
      <c r="T1027" s="2994">
        <v>0</v>
      </c>
      <c r="U1027" s="2994">
        <v>0</v>
      </c>
      <c r="V1027" s="2994">
        <v>0</v>
      </c>
      <c r="W1027" s="2994">
        <v>0</v>
      </c>
      <c r="X1027" s="2994">
        <v>0</v>
      </c>
      <c r="Y1027" s="2994">
        <v>0</v>
      </c>
      <c r="Z1027" s="2994">
        <v>0</v>
      </c>
      <c r="AA1027" s="2994">
        <v>0</v>
      </c>
      <c r="AB1027" s="2994">
        <v>0</v>
      </c>
      <c r="AC1027" s="2994">
        <v>0</v>
      </c>
      <c r="AD1027" s="2994">
        <v>0</v>
      </c>
      <c r="AE1027" s="2994">
        <v>0</v>
      </c>
      <c r="AF1027" s="2994">
        <v>0</v>
      </c>
      <c r="AG1027" s="2994">
        <v>0</v>
      </c>
      <c r="AH1027" s="2994">
        <v>0</v>
      </c>
      <c r="AI1027" s="2994">
        <v>6.9450000000000003</v>
      </c>
      <c r="AJ1027" s="2994">
        <v>7.3655999999999997</v>
      </c>
      <c r="AK1027" s="2994">
        <v>7.0876999999999999</v>
      </c>
      <c r="AL1027" s="2994">
        <v>6.9802</v>
      </c>
      <c r="AM1027" s="2994">
        <v>6.85</v>
      </c>
      <c r="AN1027" s="2994">
        <v>6.9843000000000002</v>
      </c>
      <c r="AO1027" s="2994">
        <v>6.7195999999999998</v>
      </c>
      <c r="AP1027" s="2994">
        <v>6.694</v>
      </c>
      <c r="AQ1027" s="2994">
        <v>6.7100999999999997</v>
      </c>
      <c r="AR1027" s="2994">
        <v>6.6929999999999996</v>
      </c>
      <c r="AS1027" s="2994">
        <v>6.8647</v>
      </c>
      <c r="AT1027" s="2994">
        <v>6.9904999999999999</v>
      </c>
      <c r="AU1027" s="2994">
        <v>7.1189999999999998</v>
      </c>
      <c r="AV1027" s="2994">
        <v>7.2765000000000004</v>
      </c>
      <c r="AW1027" s="2994">
        <v>6.8293999999999997</v>
      </c>
      <c r="AX1027" s="2994">
        <v>8.1394000000000002</v>
      </c>
      <c r="AY1027" s="2994">
        <v>8.2260000000000009</v>
      </c>
      <c r="AZ1027" s="2994">
        <v>8.2346000000000004</v>
      </c>
      <c r="BA1027" s="2994">
        <v>8.1044999999999998</v>
      </c>
      <c r="BB1027" s="2994">
        <v>8.3332999999999995</v>
      </c>
      <c r="BC1027" s="2994">
        <v>8.4443999999999999</v>
      </c>
      <c r="BD1027" s="3471">
        <v>8.4443999999999999</v>
      </c>
      <c r="BE1027" s="3471">
        <v>8.4443999999999999</v>
      </c>
      <c r="BF1027" s="3471">
        <v>0</v>
      </c>
    </row>
    <row r="1028" spans="1:58">
      <c r="A1028" s="1817" t="str">
        <f t="shared" si="33"/>
        <v>South-Eastern AsiaChillies and peppers, dry</v>
      </c>
      <c r="B1028" s="1818" t="s">
        <v>1394</v>
      </c>
      <c r="C1028" s="1818" t="s">
        <v>7309</v>
      </c>
      <c r="D1028" s="3463" t="str">
        <f>VLOOKUP(B1028,List_Yield!$G$4:$J$14,4,FALSE)</f>
        <v>Asia (Insular)</v>
      </c>
      <c r="E1028" s="3463" t="str">
        <f t="shared" si="32"/>
        <v>Asia (Insular)Chillies and peppers, dry</v>
      </c>
      <c r="F1028" s="2994">
        <v>0.96240000000000003</v>
      </c>
      <c r="G1028" s="2994">
        <v>0.99480000000000002</v>
      </c>
      <c r="H1028" s="2994">
        <v>1.0623</v>
      </c>
      <c r="I1028" s="2994">
        <v>0.96860000000000002</v>
      </c>
      <c r="J1028" s="2994">
        <v>0.91839999999999999</v>
      </c>
      <c r="K1028" s="2994">
        <v>0.96960000000000002</v>
      </c>
      <c r="L1028" s="2994">
        <v>1.0637000000000001</v>
      </c>
      <c r="M1028" s="2994">
        <v>1.0386</v>
      </c>
      <c r="N1028" s="2994">
        <v>1.0985</v>
      </c>
      <c r="O1028" s="2994">
        <v>1.0506</v>
      </c>
      <c r="P1028" s="2994">
        <v>1.0862000000000001</v>
      </c>
      <c r="Q1028" s="2994">
        <v>1.2878000000000001</v>
      </c>
      <c r="R1028" s="2994">
        <v>1.2423999999999999</v>
      </c>
      <c r="S1028" s="2994">
        <v>1.1806000000000001</v>
      </c>
      <c r="T1028" s="2994">
        <v>1.1116999999999999</v>
      </c>
      <c r="U1028" s="2994">
        <v>1.0966</v>
      </c>
      <c r="V1028" s="2994">
        <v>1.0972999999999999</v>
      </c>
      <c r="W1028" s="2994">
        <v>1.0596000000000001</v>
      </c>
      <c r="X1028" s="2994">
        <v>1.1261000000000001</v>
      </c>
      <c r="Y1028" s="2994">
        <v>1.1228</v>
      </c>
      <c r="Z1028" s="2994">
        <v>1.0496000000000001</v>
      </c>
      <c r="AA1028" s="2994">
        <v>1.1442000000000001</v>
      </c>
      <c r="AB1028" s="2994">
        <v>1.1369</v>
      </c>
      <c r="AC1028" s="2994">
        <v>1.1734</v>
      </c>
      <c r="AD1028" s="2994">
        <v>0.96760000000000002</v>
      </c>
      <c r="AE1028" s="2994">
        <v>0.97750000000000004</v>
      </c>
      <c r="AF1028" s="2994">
        <v>1.0590999999999999</v>
      </c>
      <c r="AG1028" s="2994">
        <v>1.0389999999999999</v>
      </c>
      <c r="AH1028" s="2994">
        <v>0.91520000000000001</v>
      </c>
      <c r="AI1028" s="2994">
        <v>0.88219999999999998</v>
      </c>
      <c r="AJ1028" s="2994">
        <v>0.86839999999999995</v>
      </c>
      <c r="AK1028" s="2994">
        <v>1.0789</v>
      </c>
      <c r="AL1028" s="2994">
        <v>1.01</v>
      </c>
      <c r="AM1028" s="2994">
        <v>1.1016999999999999</v>
      </c>
      <c r="AN1028" s="2994">
        <v>1.0793999999999999</v>
      </c>
      <c r="AO1028" s="2994">
        <v>1.0985</v>
      </c>
      <c r="AP1028" s="2994">
        <v>0.98740000000000006</v>
      </c>
      <c r="AQ1028" s="2994">
        <v>1.1056999999999999</v>
      </c>
      <c r="AR1028" s="2994">
        <v>1.1914</v>
      </c>
      <c r="AS1028" s="2994">
        <v>1.2877000000000001</v>
      </c>
      <c r="AT1028" s="2994">
        <v>1.2134</v>
      </c>
      <c r="AU1028" s="2994">
        <v>1.2238</v>
      </c>
      <c r="AV1028" s="2994">
        <v>1.2384999999999999</v>
      </c>
      <c r="AW1028" s="2994">
        <v>1.3127</v>
      </c>
      <c r="AX1028" s="2994">
        <v>1.3326</v>
      </c>
      <c r="AY1028" s="2994">
        <v>1.3601000000000001</v>
      </c>
      <c r="AZ1028" s="2994">
        <v>1.4368000000000001</v>
      </c>
      <c r="BA1028" s="2994">
        <v>1.4637</v>
      </c>
      <c r="BB1028" s="2994">
        <v>1.4359</v>
      </c>
      <c r="BC1028" s="2994">
        <v>1.421</v>
      </c>
      <c r="BD1028" s="3471">
        <v>1.3862000000000001</v>
      </c>
      <c r="BE1028" s="3471">
        <v>1.3984000000000001</v>
      </c>
      <c r="BF1028" s="3471">
        <v>0</v>
      </c>
    </row>
    <row r="1029" spans="1:58">
      <c r="A1029" s="1817" t="str">
        <f t="shared" si="33"/>
        <v>South-Eastern AsiaChillies and peppers, green</v>
      </c>
      <c r="B1029" s="1818" t="s">
        <v>1394</v>
      </c>
      <c r="C1029" s="1818" t="s">
        <v>7310</v>
      </c>
      <c r="D1029" s="3463" t="str">
        <f>VLOOKUP(B1029,List_Yield!$G$4:$J$14,4,FALSE)</f>
        <v>Asia (Insular)</v>
      </c>
      <c r="E1029" s="3463" t="str">
        <f t="shared" si="32"/>
        <v>Asia (Insular)Chillies and peppers, green</v>
      </c>
      <c r="F1029" s="2994">
        <v>2.0152999999999999</v>
      </c>
      <c r="G1029" s="2994">
        <v>2.0190000000000001</v>
      </c>
      <c r="H1029" s="2994">
        <v>2.0021</v>
      </c>
      <c r="I1029" s="2994">
        <v>2.0047000000000001</v>
      </c>
      <c r="J1029" s="2994">
        <v>2.0306000000000002</v>
      </c>
      <c r="K1029" s="2994">
        <v>1.9758</v>
      </c>
      <c r="L1029" s="2994">
        <v>1.9778</v>
      </c>
      <c r="M1029" s="2994">
        <v>2.1943000000000001</v>
      </c>
      <c r="N1029" s="2994">
        <v>1.9757</v>
      </c>
      <c r="O1029" s="2994">
        <v>1.9878</v>
      </c>
      <c r="P1029" s="2994">
        <v>2.0886</v>
      </c>
      <c r="Q1029" s="2994">
        <v>2.0907</v>
      </c>
      <c r="R1029" s="2994">
        <v>2.7715000000000001</v>
      </c>
      <c r="S1029" s="2994">
        <v>3.2071000000000001</v>
      </c>
      <c r="T1029" s="2994">
        <v>2.4645999999999999</v>
      </c>
      <c r="U1029" s="2994">
        <v>1.9545999999999999</v>
      </c>
      <c r="V1029" s="2994">
        <v>2.1480999999999999</v>
      </c>
      <c r="W1029" s="2994">
        <v>1.9965999999999999</v>
      </c>
      <c r="X1029" s="2994">
        <v>2.1061999999999999</v>
      </c>
      <c r="Y1029" s="2994">
        <v>2.0733999999999999</v>
      </c>
      <c r="Z1029" s="2994">
        <v>2.1259000000000001</v>
      </c>
      <c r="AA1029" s="2994">
        <v>1.0595000000000001</v>
      </c>
      <c r="AB1029" s="2994">
        <v>2.5590000000000002</v>
      </c>
      <c r="AC1029" s="2994">
        <v>1.3295999999999999</v>
      </c>
      <c r="AD1029" s="2994">
        <v>1.3302</v>
      </c>
      <c r="AE1029" s="2994">
        <v>1.6026</v>
      </c>
      <c r="AF1029" s="2994">
        <v>1.9328000000000001</v>
      </c>
      <c r="AG1029" s="2994">
        <v>1.9494</v>
      </c>
      <c r="AH1029" s="2994">
        <v>2.1943999999999999</v>
      </c>
      <c r="AI1029" s="2994">
        <v>2.3180999999999998</v>
      </c>
      <c r="AJ1029" s="2994">
        <v>2.2759999999999998</v>
      </c>
      <c r="AK1029" s="2994">
        <v>2.3094999999999999</v>
      </c>
      <c r="AL1029" s="2994">
        <v>2.2288999999999999</v>
      </c>
      <c r="AM1029" s="2994">
        <v>2.1581999999999999</v>
      </c>
      <c r="AN1029" s="2994">
        <v>8.6446000000000005</v>
      </c>
      <c r="AO1029" s="2994">
        <v>6.1574</v>
      </c>
      <c r="AP1029" s="2994">
        <v>5.0183999999999997</v>
      </c>
      <c r="AQ1029" s="2994">
        <v>5.1387</v>
      </c>
      <c r="AR1029" s="2994">
        <v>5.4824000000000002</v>
      </c>
      <c r="AS1029" s="2994">
        <v>4.2229000000000001</v>
      </c>
      <c r="AT1029" s="2994">
        <v>4.2138</v>
      </c>
      <c r="AU1029" s="2994">
        <v>4.4680999999999997</v>
      </c>
      <c r="AV1029" s="2994">
        <v>5.9413999999999998</v>
      </c>
      <c r="AW1029" s="2994">
        <v>5.5819999999999999</v>
      </c>
      <c r="AX1029" s="2994">
        <v>5.5643000000000002</v>
      </c>
      <c r="AY1029" s="2994">
        <v>5.7001999999999997</v>
      </c>
      <c r="AZ1029" s="2994">
        <v>5.4722999999999997</v>
      </c>
      <c r="BA1029" s="2994">
        <v>5.3087999999999997</v>
      </c>
      <c r="BB1029" s="2994">
        <v>5.8188000000000004</v>
      </c>
      <c r="BC1029" s="2994">
        <v>5.5206</v>
      </c>
      <c r="BD1029" s="3471">
        <v>7.6913999999999998</v>
      </c>
      <c r="BE1029" s="3471">
        <v>6.6468999999999996</v>
      </c>
      <c r="BF1029" s="3471">
        <v>0</v>
      </c>
    </row>
    <row r="1030" spans="1:58">
      <c r="A1030" s="1817" t="str">
        <f t="shared" si="33"/>
        <v>South-Eastern AsiaCinnamon (canella)</v>
      </c>
      <c r="B1030" s="1818" t="s">
        <v>1394</v>
      </c>
      <c r="C1030" s="1818" t="s">
        <v>7311</v>
      </c>
      <c r="D1030" s="3463" t="str">
        <f>VLOOKUP(B1030,List_Yield!$G$4:$J$14,4,FALSE)</f>
        <v>Asia (Insular)</v>
      </c>
      <c r="E1030" s="3463" t="str">
        <f t="shared" si="32"/>
        <v>Asia (Insular)Cinnamon (canella)</v>
      </c>
      <c r="F1030" s="2994">
        <v>0.55379999999999996</v>
      </c>
      <c r="G1030" s="2994">
        <v>0.54459999999999997</v>
      </c>
      <c r="H1030" s="2994">
        <v>0.55130000000000001</v>
      </c>
      <c r="I1030" s="2994">
        <v>0.51190000000000002</v>
      </c>
      <c r="J1030" s="2994">
        <v>0.50160000000000005</v>
      </c>
      <c r="K1030" s="2994">
        <v>0.34860000000000002</v>
      </c>
      <c r="L1030" s="2994">
        <v>0.57369999999999999</v>
      </c>
      <c r="M1030" s="2994">
        <v>0.3513</v>
      </c>
      <c r="N1030" s="2994">
        <v>0.46179999999999999</v>
      </c>
      <c r="O1030" s="2994">
        <v>0.3584</v>
      </c>
      <c r="P1030" s="2994">
        <v>0.34360000000000002</v>
      </c>
      <c r="Q1030" s="2994">
        <v>0.35749999999999998</v>
      </c>
      <c r="R1030" s="2994">
        <v>0.34539999999999998</v>
      </c>
      <c r="S1030" s="2994">
        <v>0.34789999999999999</v>
      </c>
      <c r="T1030" s="2994">
        <v>0.49280000000000002</v>
      </c>
      <c r="U1030" s="2994">
        <v>0.4178</v>
      </c>
      <c r="V1030" s="2994">
        <v>0.55720000000000003</v>
      </c>
      <c r="W1030" s="2994">
        <v>0.54569999999999996</v>
      </c>
      <c r="X1030" s="2994">
        <v>0.3977</v>
      </c>
      <c r="Y1030" s="2994">
        <v>0.38069999999999998</v>
      </c>
      <c r="Z1030" s="2994">
        <v>0.31009999999999999</v>
      </c>
      <c r="AA1030" s="2994">
        <v>0.27389999999999998</v>
      </c>
      <c r="AB1030" s="2994">
        <v>0.37030000000000002</v>
      </c>
      <c r="AC1030" s="2994">
        <v>0.46389999999999998</v>
      </c>
      <c r="AD1030" s="2994">
        <v>0.56230000000000002</v>
      </c>
      <c r="AE1030" s="2994">
        <v>0.56059999999999999</v>
      </c>
      <c r="AF1030" s="2994">
        <v>0.76080000000000003</v>
      </c>
      <c r="AG1030" s="2994">
        <v>0.69120000000000004</v>
      </c>
      <c r="AH1030" s="2994">
        <v>0.60970000000000002</v>
      </c>
      <c r="AI1030" s="2994">
        <v>0.63800000000000001</v>
      </c>
      <c r="AJ1030" s="2994">
        <v>0.61419999999999997</v>
      </c>
      <c r="AK1030" s="2994">
        <v>0.65849999999999997</v>
      </c>
      <c r="AL1030" s="2994">
        <v>0.6734</v>
      </c>
      <c r="AM1030" s="2994">
        <v>0.71760000000000002</v>
      </c>
      <c r="AN1030" s="2994">
        <v>0.71530000000000005</v>
      </c>
      <c r="AO1030" s="2994">
        <v>0.71740000000000004</v>
      </c>
      <c r="AP1030" s="2994">
        <v>0.58919999999999995</v>
      </c>
      <c r="AQ1030" s="2994">
        <v>0.64390000000000003</v>
      </c>
      <c r="AR1030" s="2994">
        <v>0.56040000000000001</v>
      </c>
      <c r="AS1030" s="2994">
        <v>0.62829999999999997</v>
      </c>
      <c r="AT1030" s="2994">
        <v>0.53039999999999998</v>
      </c>
      <c r="AU1030" s="2994">
        <v>0.57909999999999995</v>
      </c>
      <c r="AV1030" s="2994">
        <v>0.78820000000000001</v>
      </c>
      <c r="AW1030" s="2994">
        <v>1.0145</v>
      </c>
      <c r="AX1030" s="2994">
        <v>0.99919999999999998</v>
      </c>
      <c r="AY1030" s="2994">
        <v>0.96319999999999995</v>
      </c>
      <c r="AZ1030" s="2994">
        <v>0.78610000000000002</v>
      </c>
      <c r="BA1030" s="2994">
        <v>0.80130000000000001</v>
      </c>
      <c r="BB1030" s="2994">
        <v>0.81210000000000004</v>
      </c>
      <c r="BC1030" s="2994">
        <v>0.70669999999999999</v>
      </c>
      <c r="BD1030" s="3471">
        <v>0.70860000000000001</v>
      </c>
      <c r="BE1030" s="3471">
        <v>0.71360000000000001</v>
      </c>
      <c r="BF1030" s="3471">
        <v>0</v>
      </c>
    </row>
    <row r="1031" spans="1:58">
      <c r="A1031" s="1817" t="str">
        <f t="shared" si="33"/>
        <v>South-Eastern AsiaCloves</v>
      </c>
      <c r="B1031" s="1818" t="s">
        <v>1394</v>
      </c>
      <c r="C1031" s="1818" t="s">
        <v>7312</v>
      </c>
      <c r="D1031" s="3463" t="str">
        <f>VLOOKUP(B1031,List_Yield!$G$4:$J$14,4,FALSE)</f>
        <v>Asia (Insular)</v>
      </c>
      <c r="E1031" s="3463" t="str">
        <f t="shared" si="32"/>
        <v>Asia (Insular)Cloves</v>
      </c>
      <c r="F1031" s="2994">
        <v>0.34899999999999998</v>
      </c>
      <c r="G1031" s="2994">
        <v>0.32940000000000003</v>
      </c>
      <c r="H1031" s="2994">
        <v>0.3422</v>
      </c>
      <c r="I1031" s="2994">
        <v>0.34970000000000001</v>
      </c>
      <c r="J1031" s="2994">
        <v>0.31809999999999999</v>
      </c>
      <c r="K1031" s="2994">
        <v>0.3362</v>
      </c>
      <c r="L1031" s="2994">
        <v>0.32629999999999998</v>
      </c>
      <c r="M1031" s="2994">
        <v>0.32340000000000002</v>
      </c>
      <c r="N1031" s="2994">
        <v>0.32419999999999999</v>
      </c>
      <c r="O1031" s="2994">
        <v>0.32140000000000002</v>
      </c>
      <c r="P1031" s="2994">
        <v>0.314</v>
      </c>
      <c r="Q1031" s="2994">
        <v>0.32840000000000003</v>
      </c>
      <c r="R1031" s="2994">
        <v>0.48159999999999997</v>
      </c>
      <c r="S1031" s="2994">
        <v>0.2157</v>
      </c>
      <c r="T1031" s="2994">
        <v>0.27160000000000001</v>
      </c>
      <c r="U1031" s="2994">
        <v>0.2535</v>
      </c>
      <c r="V1031" s="2994">
        <v>0.43159999999999998</v>
      </c>
      <c r="W1031" s="2994">
        <v>0.21479999999999999</v>
      </c>
      <c r="X1031" s="2994">
        <v>0.16520000000000001</v>
      </c>
      <c r="Y1031" s="2994">
        <v>0.24790000000000001</v>
      </c>
      <c r="Z1031" s="2994">
        <v>0.17</v>
      </c>
      <c r="AA1031" s="2994">
        <v>0.1716</v>
      </c>
      <c r="AB1031" s="2994">
        <v>0.1895</v>
      </c>
      <c r="AC1031" s="2994">
        <v>0.18329999999999999</v>
      </c>
      <c r="AD1031" s="2994">
        <v>0.14480000000000001</v>
      </c>
      <c r="AE1031" s="2994">
        <v>0.1598</v>
      </c>
      <c r="AF1031" s="2994">
        <v>0.2243</v>
      </c>
      <c r="AG1031" s="2994">
        <v>0.23080000000000001</v>
      </c>
      <c r="AH1031" s="2994">
        <v>0.1527</v>
      </c>
      <c r="AI1031" s="2994">
        <v>0.16139999999999999</v>
      </c>
      <c r="AJ1031" s="2994">
        <v>0.17460000000000001</v>
      </c>
      <c r="AK1031" s="2994">
        <v>0.1807</v>
      </c>
      <c r="AL1031" s="2994">
        <v>0.17560000000000001</v>
      </c>
      <c r="AM1031" s="2994">
        <v>0.2001</v>
      </c>
      <c r="AN1031" s="2994">
        <v>0.23380000000000001</v>
      </c>
      <c r="AO1031" s="2994">
        <v>0.1651</v>
      </c>
      <c r="AP1031" s="2994">
        <v>0.16070000000000001</v>
      </c>
      <c r="AQ1031" s="2994">
        <v>0.17710000000000001</v>
      </c>
      <c r="AR1031" s="2994">
        <v>0.17030000000000001</v>
      </c>
      <c r="AS1031" s="2994">
        <v>0.15379999999999999</v>
      </c>
      <c r="AT1031" s="2994">
        <v>0.182</v>
      </c>
      <c r="AU1031" s="2994">
        <v>0.18959999999999999</v>
      </c>
      <c r="AV1031" s="2994">
        <v>0.27700000000000002</v>
      </c>
      <c r="AW1031" s="2994">
        <v>0.18940000000000001</v>
      </c>
      <c r="AX1031" s="2994">
        <v>0.19589999999999999</v>
      </c>
      <c r="AY1031" s="2994">
        <v>0.20530000000000001</v>
      </c>
      <c r="AZ1031" s="2994">
        <v>0.26479999999999998</v>
      </c>
      <c r="BA1031" s="2994">
        <v>0.2263</v>
      </c>
      <c r="BB1031" s="2994">
        <v>0.2571</v>
      </c>
      <c r="BC1031" s="2994">
        <v>0.30630000000000002</v>
      </c>
      <c r="BD1031" s="3471">
        <v>0.21840000000000001</v>
      </c>
      <c r="BE1031" s="3471">
        <v>0.22020000000000001</v>
      </c>
      <c r="BF1031" s="3471">
        <v>0</v>
      </c>
    </row>
    <row r="1032" spans="1:58">
      <c r="A1032" s="1817" t="str">
        <f t="shared" si="33"/>
        <v>South-Eastern AsiaCocoa, beans</v>
      </c>
      <c r="B1032" s="1818" t="s">
        <v>1394</v>
      </c>
      <c r="C1032" s="1818" t="s">
        <v>7313</v>
      </c>
      <c r="D1032" s="3463" t="str">
        <f>VLOOKUP(B1032,List_Yield!$G$4:$J$14,4,FALSE)</f>
        <v>Asia (Insular)</v>
      </c>
      <c r="E1032" s="3463" t="str">
        <f t="shared" si="32"/>
        <v>Asia (Insular)Cocoa, beans</v>
      </c>
      <c r="F1032" s="2994">
        <v>0.28239999999999998</v>
      </c>
      <c r="G1032" s="2994">
        <v>0.26490000000000002</v>
      </c>
      <c r="H1032" s="2994">
        <v>0.27939999999999998</v>
      </c>
      <c r="I1032" s="2994">
        <v>0.30840000000000001</v>
      </c>
      <c r="J1032" s="2994">
        <v>0.3175</v>
      </c>
      <c r="K1032" s="2994">
        <v>0.35649999999999998</v>
      </c>
      <c r="L1032" s="2994">
        <v>0.33150000000000002</v>
      </c>
      <c r="M1032" s="2994">
        <v>0.35139999999999999</v>
      </c>
      <c r="N1032" s="2994">
        <v>0.39900000000000002</v>
      </c>
      <c r="O1032" s="2994">
        <v>0.44819999999999999</v>
      </c>
      <c r="P1032" s="2994">
        <v>0.42009999999999997</v>
      </c>
      <c r="Q1032" s="2994">
        <v>0.42720000000000002</v>
      </c>
      <c r="R1032" s="2994">
        <v>0.54569999999999996</v>
      </c>
      <c r="S1032" s="2994">
        <v>0.64229999999999998</v>
      </c>
      <c r="T1032" s="2994">
        <v>0.64749999999999996</v>
      </c>
      <c r="U1032" s="2994">
        <v>0.63780000000000003</v>
      </c>
      <c r="V1032" s="2994">
        <v>0.59019999999999995</v>
      </c>
      <c r="W1032" s="2994">
        <v>0.77010000000000001</v>
      </c>
      <c r="X1032" s="2994">
        <v>0.83409999999999995</v>
      </c>
      <c r="Y1032" s="2994">
        <v>0.84179999999999999</v>
      </c>
      <c r="Z1032" s="2994">
        <v>0.91180000000000005</v>
      </c>
      <c r="AA1032" s="2994">
        <v>0.94450000000000001</v>
      </c>
      <c r="AB1032" s="2994">
        <v>0.82709999999999995</v>
      </c>
      <c r="AC1032" s="2994">
        <v>0.80049999999999999</v>
      </c>
      <c r="AD1032" s="2994">
        <v>0.85909999999999997</v>
      </c>
      <c r="AE1032" s="2994">
        <v>0.80010000000000003</v>
      </c>
      <c r="AF1032" s="2994">
        <v>0.85250000000000004</v>
      </c>
      <c r="AG1032" s="2994">
        <v>0.88780000000000003</v>
      </c>
      <c r="AH1032" s="2994">
        <v>0.86829999999999996</v>
      </c>
      <c r="AI1032" s="2994">
        <v>0.83950000000000002</v>
      </c>
      <c r="AJ1032" s="2994">
        <v>0.68969999999999998</v>
      </c>
      <c r="AK1032" s="2994">
        <v>0.74219999999999997</v>
      </c>
      <c r="AL1032" s="2994">
        <v>0.75480000000000003</v>
      </c>
      <c r="AM1032" s="2994">
        <v>0.65910000000000002</v>
      </c>
      <c r="AN1032" s="2994">
        <v>0.71819999999999995</v>
      </c>
      <c r="AO1032" s="2994">
        <v>0.81930000000000003</v>
      </c>
      <c r="AP1032" s="2994">
        <v>0.81499999999999995</v>
      </c>
      <c r="AQ1032" s="2994">
        <v>1.0309999999999999</v>
      </c>
      <c r="AR1032" s="2994">
        <v>0.5847</v>
      </c>
      <c r="AS1032" s="2994">
        <v>0.59430000000000005</v>
      </c>
      <c r="AT1032" s="2994">
        <v>0.71940000000000004</v>
      </c>
      <c r="AU1032" s="2994">
        <v>0.80359999999999998</v>
      </c>
      <c r="AV1032" s="2994">
        <v>0.72519999999999996</v>
      </c>
      <c r="AW1032" s="2994">
        <v>0.63929999999999998</v>
      </c>
      <c r="AX1032" s="2994">
        <v>0.64610000000000001</v>
      </c>
      <c r="AY1032" s="2994">
        <v>0.85140000000000005</v>
      </c>
      <c r="AZ1032" s="2994">
        <v>0.81089999999999995</v>
      </c>
      <c r="BA1032" s="2994">
        <v>0.57489999999999997</v>
      </c>
      <c r="BB1032" s="2994">
        <v>0.5151</v>
      </c>
      <c r="BC1032" s="2994">
        <v>0.51729999999999998</v>
      </c>
      <c r="BD1032" s="3471">
        <v>0.41110000000000002</v>
      </c>
      <c r="BE1032" s="3471">
        <v>0.5373</v>
      </c>
      <c r="BF1032" s="3471">
        <v>0</v>
      </c>
    </row>
    <row r="1033" spans="1:58">
      <c r="A1033" s="1817" t="str">
        <f t="shared" si="33"/>
        <v>South-Eastern AsiaCoconuts</v>
      </c>
      <c r="B1033" s="1818" t="s">
        <v>1394</v>
      </c>
      <c r="C1033" s="1818" t="s">
        <v>7314</v>
      </c>
      <c r="D1033" s="3463" t="str">
        <f>VLOOKUP(B1033,List_Yield!$G$4:$J$14,4,FALSE)</f>
        <v>Asia (Insular)</v>
      </c>
      <c r="E1033" s="3463" t="str">
        <f t="shared" si="32"/>
        <v>Asia (Insular)Coconuts</v>
      </c>
      <c r="F1033" s="2994">
        <v>4.6752000000000002</v>
      </c>
      <c r="G1033" s="2994">
        <v>4.9490999999999996</v>
      </c>
      <c r="H1033" s="2994">
        <v>4.9973999999999998</v>
      </c>
      <c r="I1033" s="2994">
        <v>4.6413000000000002</v>
      </c>
      <c r="J1033" s="2994">
        <v>4.3719000000000001</v>
      </c>
      <c r="K1033" s="2994">
        <v>4.6515000000000004</v>
      </c>
      <c r="L1033" s="2994">
        <v>4.1191000000000004</v>
      </c>
      <c r="M1033" s="2994">
        <v>4.0781000000000001</v>
      </c>
      <c r="N1033" s="2994">
        <v>3.7509999999999999</v>
      </c>
      <c r="O1033" s="2994">
        <v>3.8271000000000002</v>
      </c>
      <c r="P1033" s="2994">
        <v>4.1090999999999998</v>
      </c>
      <c r="Q1033" s="2994">
        <v>4.4002999999999997</v>
      </c>
      <c r="R1033" s="2994">
        <v>4.0362</v>
      </c>
      <c r="S1033" s="2994">
        <v>3.5167000000000002</v>
      </c>
      <c r="T1033" s="2994">
        <v>4.2755999999999998</v>
      </c>
      <c r="U1033" s="2994">
        <v>4.6186999999999996</v>
      </c>
      <c r="V1033" s="2994">
        <v>4.1605999999999996</v>
      </c>
      <c r="W1033" s="2994">
        <v>4.0014000000000003</v>
      </c>
      <c r="X1033" s="2994">
        <v>3.5038</v>
      </c>
      <c r="Y1033" s="2994">
        <v>3.5293999999999999</v>
      </c>
      <c r="Z1033" s="2994">
        <v>3.7191000000000001</v>
      </c>
      <c r="AA1033" s="2994">
        <v>3.4382999999999999</v>
      </c>
      <c r="AB1033" s="2994">
        <v>3.3992</v>
      </c>
      <c r="AC1033" s="2994">
        <v>3.0608</v>
      </c>
      <c r="AD1033" s="2994">
        <v>3.6274000000000002</v>
      </c>
      <c r="AE1033" s="2994">
        <v>4.0260999999999996</v>
      </c>
      <c r="AF1033" s="2994">
        <v>3.9855</v>
      </c>
      <c r="AG1033" s="2994">
        <v>3.6776</v>
      </c>
      <c r="AH1033" s="2994">
        <v>3.7338</v>
      </c>
      <c r="AI1033" s="2994">
        <v>4.4169</v>
      </c>
      <c r="AJ1033" s="2994">
        <v>4.4478999999999997</v>
      </c>
      <c r="AK1033" s="2994">
        <v>4.5439999999999996</v>
      </c>
      <c r="AL1033" s="2994">
        <v>4.5694999999999997</v>
      </c>
      <c r="AM1033" s="2994">
        <v>4.5110999999999999</v>
      </c>
      <c r="AN1033" s="2994">
        <v>4.7803000000000004</v>
      </c>
      <c r="AO1033" s="2994">
        <v>4.5804999999999998</v>
      </c>
      <c r="AP1033" s="2994">
        <v>4.7873999999999999</v>
      </c>
      <c r="AQ1033" s="2994">
        <v>4.6919000000000004</v>
      </c>
      <c r="AR1033" s="2994">
        <v>4.6992000000000003</v>
      </c>
      <c r="AS1033" s="2994">
        <v>4.9718</v>
      </c>
      <c r="AT1033" s="2994">
        <v>4.9363000000000001</v>
      </c>
      <c r="AU1033" s="2994">
        <v>5.1985000000000001</v>
      </c>
      <c r="AV1033" s="2994">
        <v>5.2832999999999997</v>
      </c>
      <c r="AW1033" s="2994">
        <v>5.2980999999999998</v>
      </c>
      <c r="AX1033" s="2994">
        <v>5.6397000000000004</v>
      </c>
      <c r="AY1033" s="2994">
        <v>5.4946000000000002</v>
      </c>
      <c r="AZ1033" s="2994">
        <v>5.6215000000000002</v>
      </c>
      <c r="BA1033" s="2994">
        <v>5.4233000000000002</v>
      </c>
      <c r="BB1033" s="2994">
        <v>5.5735999999999999</v>
      </c>
      <c r="BC1033" s="2994">
        <v>5.2111999999999998</v>
      </c>
      <c r="BD1033" s="3471">
        <v>5.1078000000000001</v>
      </c>
      <c r="BE1033" s="3471">
        <v>5.4486999999999997</v>
      </c>
      <c r="BF1033" s="3471">
        <v>5.2381000000000002</v>
      </c>
    </row>
    <row r="1034" spans="1:58">
      <c r="A1034" s="1817" t="str">
        <f t="shared" si="33"/>
        <v>South-Eastern AsiaCoffee, green</v>
      </c>
      <c r="B1034" s="1818" t="s">
        <v>1394</v>
      </c>
      <c r="C1034" s="1818" t="s">
        <v>1347</v>
      </c>
      <c r="D1034" s="3463" t="str">
        <f>VLOOKUP(B1034,List_Yield!$G$4:$J$14,4,FALSE)</f>
        <v>Asia (Insular)</v>
      </c>
      <c r="E1034" s="3463" t="str">
        <f t="shared" si="32"/>
        <v>Asia (Insular)Coffee, green</v>
      </c>
      <c r="F1034" s="2994">
        <v>0.56559999999999999</v>
      </c>
      <c r="G1034" s="2994">
        <v>0.57669999999999999</v>
      </c>
      <c r="H1034" s="2994">
        <v>0.56100000000000005</v>
      </c>
      <c r="I1034" s="2994">
        <v>0.58009999999999995</v>
      </c>
      <c r="J1034" s="2994">
        <v>0.59960000000000002</v>
      </c>
      <c r="K1034" s="2994">
        <v>0.59119999999999995</v>
      </c>
      <c r="L1034" s="2994">
        <v>0.56769999999999998</v>
      </c>
      <c r="M1034" s="2994">
        <v>0.59179999999999999</v>
      </c>
      <c r="N1034" s="2994">
        <v>0.65049999999999997</v>
      </c>
      <c r="O1034" s="2994">
        <v>0.62370000000000003</v>
      </c>
      <c r="P1034" s="2994">
        <v>0.5897</v>
      </c>
      <c r="Q1034" s="2994">
        <v>0.5968</v>
      </c>
      <c r="R1034" s="2994">
        <v>0.59570000000000001</v>
      </c>
      <c r="S1034" s="2994">
        <v>0.60009999999999997</v>
      </c>
      <c r="T1034" s="2994">
        <v>0.67759999999999998</v>
      </c>
      <c r="U1034" s="2994">
        <v>0.63770000000000004</v>
      </c>
      <c r="V1034" s="2994">
        <v>0.64349999999999996</v>
      </c>
      <c r="W1034" s="2994">
        <v>0.69399999999999995</v>
      </c>
      <c r="X1034" s="2994">
        <v>0.69320000000000004</v>
      </c>
      <c r="Y1034" s="2994">
        <v>0.68420000000000003</v>
      </c>
      <c r="Z1034" s="2994">
        <v>0.69069999999999998</v>
      </c>
      <c r="AA1034" s="2994">
        <v>0.67710000000000004</v>
      </c>
      <c r="AB1034" s="2994">
        <v>0.65190000000000003</v>
      </c>
      <c r="AC1034" s="2994">
        <v>0.61809999999999998</v>
      </c>
      <c r="AD1034" s="2994">
        <v>0.58389999999999997</v>
      </c>
      <c r="AE1034" s="2994">
        <v>0.63170000000000004</v>
      </c>
      <c r="AF1034" s="2994">
        <v>0.64990000000000003</v>
      </c>
      <c r="AG1034" s="2994">
        <v>0.62819999999999998</v>
      </c>
      <c r="AH1034" s="2994">
        <v>0.65039999999999998</v>
      </c>
      <c r="AI1034" s="2994">
        <v>0.65880000000000005</v>
      </c>
      <c r="AJ1034" s="2994">
        <v>0.63939999999999997</v>
      </c>
      <c r="AK1034" s="2994">
        <v>0.66490000000000005</v>
      </c>
      <c r="AL1034" s="2994">
        <v>0.66449999999999998</v>
      </c>
      <c r="AM1034" s="2994">
        <v>0.71709999999999996</v>
      </c>
      <c r="AN1034" s="2994">
        <v>0.72460000000000002</v>
      </c>
      <c r="AO1034" s="2994">
        <v>0.74950000000000006</v>
      </c>
      <c r="AP1034" s="2994">
        <v>0.82410000000000005</v>
      </c>
      <c r="AQ1034" s="2994">
        <v>0.83550000000000002</v>
      </c>
      <c r="AR1034" s="2994">
        <v>0.86099999999999999</v>
      </c>
      <c r="AS1034" s="2994">
        <v>0.77749999999999997</v>
      </c>
      <c r="AT1034" s="2994">
        <v>0.7883</v>
      </c>
      <c r="AU1034" s="2994">
        <v>0.73209999999999997</v>
      </c>
      <c r="AV1034" s="2994">
        <v>0.76580000000000004</v>
      </c>
      <c r="AW1034" s="2994">
        <v>0.84160000000000001</v>
      </c>
      <c r="AX1034" s="2994">
        <v>0.81759999999999999</v>
      </c>
      <c r="AY1034" s="2994">
        <v>0.88300000000000001</v>
      </c>
      <c r="AZ1034" s="2994">
        <v>1.0145999999999999</v>
      </c>
      <c r="BA1034" s="2994">
        <v>0.93710000000000004</v>
      </c>
      <c r="BB1034" s="2994">
        <v>0.94310000000000005</v>
      </c>
      <c r="BC1034" s="2994">
        <v>0.96209999999999996</v>
      </c>
      <c r="BD1034" s="3471">
        <v>0.99160000000000004</v>
      </c>
      <c r="BE1034" s="3471">
        <v>1.0370999999999999</v>
      </c>
      <c r="BF1034" s="3471">
        <v>0</v>
      </c>
    </row>
    <row r="1035" spans="1:58">
      <c r="A1035" s="1817" t="str">
        <f t="shared" si="33"/>
        <v>South-Eastern AsiaCoir</v>
      </c>
      <c r="B1035" s="1818" t="s">
        <v>1394</v>
      </c>
      <c r="C1035" s="1818" t="s">
        <v>7315</v>
      </c>
      <c r="D1035" s="3463" t="str">
        <f>VLOOKUP(B1035,List_Yield!$G$4:$J$14,4,FALSE)</f>
        <v>Asia (Insular)</v>
      </c>
      <c r="E1035" s="3463" t="str">
        <f t="shared" si="32"/>
        <v>Asia (Insular)Coir</v>
      </c>
      <c r="F1035" s="2994">
        <v>0</v>
      </c>
      <c r="G1035" s="2994">
        <v>0</v>
      </c>
      <c r="H1035" s="2994">
        <v>0</v>
      </c>
      <c r="I1035" s="2994">
        <v>0</v>
      </c>
      <c r="J1035" s="2994">
        <v>0</v>
      </c>
      <c r="K1035" s="2994">
        <v>0</v>
      </c>
      <c r="L1035" s="2994">
        <v>0</v>
      </c>
      <c r="M1035" s="2994">
        <v>0</v>
      </c>
      <c r="N1035" s="2994">
        <v>0</v>
      </c>
      <c r="O1035" s="2994">
        <v>0</v>
      </c>
      <c r="P1035" s="2994">
        <v>0</v>
      </c>
      <c r="Q1035" s="2994">
        <v>0</v>
      </c>
      <c r="R1035" s="2994">
        <v>0</v>
      </c>
      <c r="S1035" s="2994">
        <v>0</v>
      </c>
      <c r="T1035" s="2994">
        <v>0</v>
      </c>
      <c r="U1035" s="2994">
        <v>0</v>
      </c>
      <c r="V1035" s="2994">
        <v>0</v>
      </c>
      <c r="W1035" s="2994">
        <v>0</v>
      </c>
      <c r="X1035" s="2994">
        <v>0</v>
      </c>
      <c r="Y1035" s="2994">
        <v>0</v>
      </c>
      <c r="Z1035" s="2994">
        <v>0</v>
      </c>
      <c r="AA1035" s="2994">
        <v>0</v>
      </c>
      <c r="AB1035" s="2994">
        <v>0</v>
      </c>
      <c r="AC1035" s="2994">
        <v>0</v>
      </c>
      <c r="AD1035" s="2994">
        <v>0</v>
      </c>
      <c r="AE1035" s="2994">
        <v>0</v>
      </c>
      <c r="AF1035" s="2994">
        <v>0</v>
      </c>
      <c r="AG1035" s="2994">
        <v>0</v>
      </c>
      <c r="AH1035" s="2994">
        <v>0</v>
      </c>
      <c r="AI1035" s="2994">
        <v>0</v>
      </c>
      <c r="AJ1035" s="2994">
        <v>0</v>
      </c>
      <c r="AK1035" s="2994">
        <v>0</v>
      </c>
      <c r="AL1035" s="2994">
        <v>0</v>
      </c>
      <c r="AM1035" s="2994">
        <v>0</v>
      </c>
      <c r="AN1035" s="2994">
        <v>0</v>
      </c>
      <c r="AO1035" s="2994">
        <v>0</v>
      </c>
      <c r="AP1035" s="2994">
        <v>0</v>
      </c>
      <c r="AQ1035" s="2994">
        <v>0</v>
      </c>
      <c r="AR1035" s="2994">
        <v>0</v>
      </c>
      <c r="AS1035" s="2994">
        <v>0</v>
      </c>
      <c r="AT1035" s="2994">
        <v>0</v>
      </c>
      <c r="AU1035" s="2994">
        <v>0</v>
      </c>
      <c r="AV1035" s="2994">
        <v>0</v>
      </c>
      <c r="AW1035" s="2994">
        <v>0</v>
      </c>
      <c r="AX1035" s="2994">
        <v>0</v>
      </c>
      <c r="AY1035" s="2994">
        <v>0</v>
      </c>
      <c r="AZ1035" s="2994">
        <v>0</v>
      </c>
      <c r="BA1035" s="2994">
        <v>0</v>
      </c>
      <c r="BB1035" s="2994">
        <v>0</v>
      </c>
      <c r="BC1035" s="2994">
        <v>0</v>
      </c>
      <c r="BD1035" s="3471">
        <v>0</v>
      </c>
      <c r="BE1035" s="3471">
        <v>0</v>
      </c>
      <c r="BF1035" s="3471">
        <v>0</v>
      </c>
    </row>
    <row r="1036" spans="1:58">
      <c r="A1036" s="1817" t="str">
        <f t="shared" si="33"/>
        <v>South-Eastern AsiaCow peas, dry</v>
      </c>
      <c r="B1036" s="1818" t="s">
        <v>1394</v>
      </c>
      <c r="C1036" s="1818" t="s">
        <v>1329</v>
      </c>
      <c r="D1036" s="3463" t="str">
        <f>VLOOKUP(B1036,List_Yield!$G$4:$J$14,4,FALSE)</f>
        <v>Asia (Insular)</v>
      </c>
      <c r="E1036" s="3463" t="str">
        <f t="shared" si="32"/>
        <v>Asia (Insular)Cow peas, dry</v>
      </c>
      <c r="F1036" s="2994">
        <v>0.66320000000000001</v>
      </c>
      <c r="G1036" s="2994">
        <v>0.61180000000000001</v>
      </c>
      <c r="H1036" s="2994">
        <v>0.59099999999999997</v>
      </c>
      <c r="I1036" s="2994">
        <v>0.75629999999999997</v>
      </c>
      <c r="J1036" s="2994">
        <v>0.62070000000000003</v>
      </c>
      <c r="K1036" s="2994">
        <v>0.58599999999999997</v>
      </c>
      <c r="L1036" s="2994">
        <v>0.6341</v>
      </c>
      <c r="M1036" s="2994">
        <v>0.68569999999999998</v>
      </c>
      <c r="N1036" s="2994">
        <v>0.65910000000000002</v>
      </c>
      <c r="O1036" s="2994">
        <v>0.65690000000000004</v>
      </c>
      <c r="P1036" s="2994">
        <v>0.4773</v>
      </c>
      <c r="Q1036" s="2994">
        <v>0.47739999999999999</v>
      </c>
      <c r="R1036" s="2994">
        <v>0.5181</v>
      </c>
      <c r="S1036" s="2994">
        <v>0.53639999999999999</v>
      </c>
      <c r="T1036" s="2994">
        <v>0.56910000000000005</v>
      </c>
      <c r="U1036" s="2994">
        <v>0.55630000000000002</v>
      </c>
      <c r="V1036" s="2994">
        <v>0.58199999999999996</v>
      </c>
      <c r="W1036" s="2994">
        <v>0.5625</v>
      </c>
      <c r="X1036" s="2994">
        <v>0.50170000000000003</v>
      </c>
      <c r="Y1036" s="2994">
        <v>0.49530000000000002</v>
      </c>
      <c r="Z1036" s="2994">
        <v>0.46039999999999998</v>
      </c>
      <c r="AA1036" s="2994">
        <v>0.44790000000000002</v>
      </c>
      <c r="AB1036" s="2994">
        <v>0.51319999999999999</v>
      </c>
      <c r="AC1036" s="2994">
        <v>0.51180000000000003</v>
      </c>
      <c r="AD1036" s="2994">
        <v>0.66339999999999999</v>
      </c>
      <c r="AE1036" s="2994">
        <v>0.61270000000000002</v>
      </c>
      <c r="AF1036" s="2994">
        <v>0.63400000000000001</v>
      </c>
      <c r="AG1036" s="2994">
        <v>0.6462</v>
      </c>
      <c r="AH1036" s="2994">
        <v>0.5998</v>
      </c>
      <c r="AI1036" s="2994">
        <v>0.57110000000000005</v>
      </c>
      <c r="AJ1036" s="2994">
        <v>0.58050000000000002</v>
      </c>
      <c r="AK1036" s="2994">
        <v>0.65359999999999996</v>
      </c>
      <c r="AL1036" s="2994">
        <v>0.59460000000000002</v>
      </c>
      <c r="AM1036" s="2994">
        <v>0.63700000000000001</v>
      </c>
      <c r="AN1036" s="2994">
        <v>0.66249999999999998</v>
      </c>
      <c r="AO1036" s="2994">
        <v>0.66490000000000005</v>
      </c>
      <c r="AP1036" s="2994">
        <v>0.72909999999999997</v>
      </c>
      <c r="AQ1036" s="2994">
        <v>0.7802</v>
      </c>
      <c r="AR1036" s="2994">
        <v>0.61539999999999995</v>
      </c>
      <c r="AS1036" s="2994">
        <v>0.7389</v>
      </c>
      <c r="AT1036" s="2994">
        <v>0.78810000000000002</v>
      </c>
      <c r="AU1036" s="2994">
        <v>0.8105</v>
      </c>
      <c r="AV1036" s="2994">
        <v>0.95740000000000003</v>
      </c>
      <c r="AW1036" s="2994">
        <v>0.92520000000000002</v>
      </c>
      <c r="AX1036" s="2994">
        <v>0.92789999999999995</v>
      </c>
      <c r="AY1036" s="2994">
        <v>0.997</v>
      </c>
      <c r="AZ1036" s="2994">
        <v>1.0364</v>
      </c>
      <c r="BA1036" s="2994">
        <v>1.1234999999999999</v>
      </c>
      <c r="BB1036" s="2994">
        <v>1.1632</v>
      </c>
      <c r="BC1036" s="2994">
        <v>1.1872</v>
      </c>
      <c r="BD1036" s="3471">
        <v>1.1751</v>
      </c>
      <c r="BE1036" s="3471">
        <v>1.2032</v>
      </c>
      <c r="BF1036" s="3471">
        <v>1.2013</v>
      </c>
    </row>
    <row r="1037" spans="1:58">
      <c r="A1037" s="1817" t="str">
        <f t="shared" si="33"/>
        <v>South-Eastern AsiaCranberries</v>
      </c>
      <c r="B1037" s="1818" t="s">
        <v>1394</v>
      </c>
      <c r="C1037" s="1818" t="s">
        <v>7316</v>
      </c>
      <c r="D1037" s="3463" t="str">
        <f>VLOOKUP(B1037,List_Yield!$G$4:$J$14,4,FALSE)</f>
        <v>Asia (Insular)</v>
      </c>
      <c r="E1037" s="3463" t="str">
        <f t="shared" si="32"/>
        <v>Asia (Insular)Cranberries</v>
      </c>
      <c r="F1037" s="2994">
        <v>0</v>
      </c>
      <c r="G1037" s="2994">
        <v>0</v>
      </c>
      <c r="H1037" s="2994">
        <v>0</v>
      </c>
      <c r="I1037" s="2994">
        <v>0</v>
      </c>
      <c r="J1037" s="2994">
        <v>0</v>
      </c>
      <c r="K1037" s="2994">
        <v>0</v>
      </c>
      <c r="L1037" s="2994">
        <v>0</v>
      </c>
      <c r="M1037" s="2994">
        <v>0</v>
      </c>
      <c r="N1037" s="2994">
        <v>0</v>
      </c>
      <c r="O1037" s="2994">
        <v>0</v>
      </c>
      <c r="P1037" s="2994">
        <v>0</v>
      </c>
      <c r="Q1037" s="2994">
        <v>0</v>
      </c>
      <c r="R1037" s="2994">
        <v>0</v>
      </c>
      <c r="S1037" s="2994">
        <v>0</v>
      </c>
      <c r="T1037" s="2994">
        <v>0</v>
      </c>
      <c r="U1037" s="2994">
        <v>0</v>
      </c>
      <c r="V1037" s="2994">
        <v>0</v>
      </c>
      <c r="W1037" s="2994">
        <v>0</v>
      </c>
      <c r="X1037" s="2994">
        <v>0</v>
      </c>
      <c r="Y1037" s="2994">
        <v>0</v>
      </c>
      <c r="Z1037" s="2994">
        <v>0</v>
      </c>
      <c r="AA1037" s="2994">
        <v>0</v>
      </c>
      <c r="AB1037" s="2994">
        <v>0</v>
      </c>
      <c r="AC1037" s="2994">
        <v>0</v>
      </c>
      <c r="AD1037" s="2994">
        <v>0</v>
      </c>
      <c r="AE1037" s="2994">
        <v>0</v>
      </c>
      <c r="AF1037" s="2994">
        <v>0</v>
      </c>
      <c r="AG1037" s="2994">
        <v>0</v>
      </c>
      <c r="AH1037" s="2994">
        <v>0</v>
      </c>
      <c r="AI1037" s="2994">
        <v>0</v>
      </c>
      <c r="AJ1037" s="2994">
        <v>0</v>
      </c>
      <c r="AK1037" s="2994">
        <v>0</v>
      </c>
      <c r="AL1037" s="2994">
        <v>0</v>
      </c>
      <c r="AM1037" s="2994">
        <v>0</v>
      </c>
      <c r="AN1037" s="2994">
        <v>0</v>
      </c>
      <c r="AO1037" s="2994">
        <v>0</v>
      </c>
      <c r="AP1037" s="2994">
        <v>0</v>
      </c>
      <c r="AQ1037" s="2994">
        <v>0</v>
      </c>
      <c r="AR1037" s="2994">
        <v>0</v>
      </c>
      <c r="AS1037" s="2994">
        <v>0</v>
      </c>
      <c r="AT1037" s="2994">
        <v>0</v>
      </c>
      <c r="AU1037" s="2994">
        <v>0</v>
      </c>
      <c r="AV1037" s="2994">
        <v>0</v>
      </c>
      <c r="AW1037" s="2994">
        <v>0</v>
      </c>
      <c r="AX1037" s="2994">
        <v>0</v>
      </c>
      <c r="AY1037" s="2994">
        <v>0</v>
      </c>
      <c r="AZ1037" s="2994">
        <v>0</v>
      </c>
      <c r="BA1037" s="2994">
        <v>0</v>
      </c>
      <c r="BB1037" s="2994">
        <v>0</v>
      </c>
      <c r="BC1037" s="2994">
        <v>0</v>
      </c>
      <c r="BD1037" s="3471">
        <v>0</v>
      </c>
      <c r="BE1037" s="3471">
        <v>0</v>
      </c>
      <c r="BF1037" s="3471">
        <v>0</v>
      </c>
    </row>
    <row r="1038" spans="1:58">
      <c r="A1038" s="1817" t="str">
        <f t="shared" si="33"/>
        <v>South-Eastern AsiaCucumbers and gherkins</v>
      </c>
      <c r="B1038" s="1818" t="s">
        <v>1394</v>
      </c>
      <c r="C1038" s="1818" t="s">
        <v>7317</v>
      </c>
      <c r="D1038" s="3463" t="str">
        <f>VLOOKUP(B1038,List_Yield!$G$4:$J$14,4,FALSE)</f>
        <v>Asia (Insular)</v>
      </c>
      <c r="E1038" s="3463" t="str">
        <f t="shared" si="32"/>
        <v>Asia (Insular)Cucumbers and gherkins</v>
      </c>
      <c r="F1038" s="2994">
        <v>6.4151999999999996</v>
      </c>
      <c r="G1038" s="2994">
        <v>6.4287999999999998</v>
      </c>
      <c r="H1038" s="2994">
        <v>6.0789999999999997</v>
      </c>
      <c r="I1038" s="2994">
        <v>5.9976000000000003</v>
      </c>
      <c r="J1038" s="2994">
        <v>6.0373000000000001</v>
      </c>
      <c r="K1038" s="2994">
        <v>5.8613</v>
      </c>
      <c r="L1038" s="2994">
        <v>5.7236000000000002</v>
      </c>
      <c r="M1038" s="2994">
        <v>6.1238999999999999</v>
      </c>
      <c r="N1038" s="2994">
        <v>5.8719000000000001</v>
      </c>
      <c r="O1038" s="2994">
        <v>5.9164000000000003</v>
      </c>
      <c r="P1038" s="2994">
        <v>5.8695000000000004</v>
      </c>
      <c r="Q1038" s="2994">
        <v>6.1143000000000001</v>
      </c>
      <c r="R1038" s="2994">
        <v>6.6414999999999997</v>
      </c>
      <c r="S1038" s="2994">
        <v>6.8293999999999997</v>
      </c>
      <c r="T1038" s="2994">
        <v>6.8506</v>
      </c>
      <c r="U1038" s="2994">
        <v>7.3324999999999996</v>
      </c>
      <c r="V1038" s="2994">
        <v>7.1852999999999998</v>
      </c>
      <c r="W1038" s="2994">
        <v>6.5278999999999998</v>
      </c>
      <c r="X1038" s="2994">
        <v>5.81</v>
      </c>
      <c r="Y1038" s="2994">
        <v>6.6783999999999999</v>
      </c>
      <c r="Z1038" s="2994">
        <v>6.0697999999999999</v>
      </c>
      <c r="AA1038" s="2994">
        <v>5.2864000000000004</v>
      </c>
      <c r="AB1038" s="2994">
        <v>5.7329999999999997</v>
      </c>
      <c r="AC1038" s="2994">
        <v>5.1180000000000003</v>
      </c>
      <c r="AD1038" s="2994">
        <v>5.2491000000000003</v>
      </c>
      <c r="AE1038" s="2994">
        <v>5.3792</v>
      </c>
      <c r="AF1038" s="2994">
        <v>5.4832999999999998</v>
      </c>
      <c r="AG1038" s="2994">
        <v>4.6239999999999997</v>
      </c>
      <c r="AH1038" s="2994">
        <v>4.2944000000000004</v>
      </c>
      <c r="AI1038" s="2994">
        <v>6.1650999999999998</v>
      </c>
      <c r="AJ1038" s="2994">
        <v>6.1024000000000003</v>
      </c>
      <c r="AK1038" s="2994">
        <v>6.0754999999999999</v>
      </c>
      <c r="AL1038" s="2994">
        <v>8.077</v>
      </c>
      <c r="AM1038" s="2994">
        <v>9.5137</v>
      </c>
      <c r="AN1038" s="2994">
        <v>10.576499999999999</v>
      </c>
      <c r="AO1038" s="2994">
        <v>10.470599999999999</v>
      </c>
      <c r="AP1038" s="2994">
        <v>9.2451000000000008</v>
      </c>
      <c r="AQ1038" s="2994">
        <v>9.3968000000000007</v>
      </c>
      <c r="AR1038" s="2994">
        <v>8.8674999999999997</v>
      </c>
      <c r="AS1038" s="2994">
        <v>10.723599999999999</v>
      </c>
      <c r="AT1038" s="2994">
        <v>10.166</v>
      </c>
      <c r="AU1038" s="2994">
        <v>9.8658000000000001</v>
      </c>
      <c r="AV1038" s="2994">
        <v>10.782400000000001</v>
      </c>
      <c r="AW1038" s="2994">
        <v>10.7614</v>
      </c>
      <c r="AX1038" s="2994">
        <v>11.361599999999999</v>
      </c>
      <c r="AY1038" s="2994">
        <v>10.6928</v>
      </c>
      <c r="AZ1038" s="2994">
        <v>10.918799999999999</v>
      </c>
      <c r="BA1038" s="2994">
        <v>10.002700000000001</v>
      </c>
      <c r="BB1038" s="2994">
        <v>10.660500000000001</v>
      </c>
      <c r="BC1038" s="2994">
        <v>9.9507999999999992</v>
      </c>
      <c r="BD1038" s="3471">
        <v>10.2471</v>
      </c>
      <c r="BE1038" s="3471">
        <v>10.3324</v>
      </c>
      <c r="BF1038" s="3471">
        <v>0</v>
      </c>
    </row>
    <row r="1039" spans="1:58">
      <c r="A1039" s="1817" t="str">
        <f t="shared" si="33"/>
        <v>South-Eastern AsiaCurrants</v>
      </c>
      <c r="B1039" s="1818" t="s">
        <v>1394</v>
      </c>
      <c r="C1039" s="1818" t="s">
        <v>7318</v>
      </c>
      <c r="D1039" s="3463" t="str">
        <f>VLOOKUP(B1039,List_Yield!$G$4:$J$14,4,FALSE)</f>
        <v>Asia (Insular)</v>
      </c>
      <c r="E1039" s="3463" t="str">
        <f t="shared" si="32"/>
        <v>Asia (Insular)Currants</v>
      </c>
      <c r="F1039" s="2994">
        <v>0</v>
      </c>
      <c r="G1039" s="2994">
        <v>0</v>
      </c>
      <c r="H1039" s="2994">
        <v>0</v>
      </c>
      <c r="I1039" s="2994">
        <v>0</v>
      </c>
      <c r="J1039" s="2994">
        <v>0</v>
      </c>
      <c r="K1039" s="2994">
        <v>0</v>
      </c>
      <c r="L1039" s="2994">
        <v>0</v>
      </c>
      <c r="M1039" s="2994">
        <v>0</v>
      </c>
      <c r="N1039" s="2994">
        <v>0</v>
      </c>
      <c r="O1039" s="2994">
        <v>0</v>
      </c>
      <c r="P1039" s="2994">
        <v>0</v>
      </c>
      <c r="Q1039" s="2994">
        <v>0</v>
      </c>
      <c r="R1039" s="2994">
        <v>0</v>
      </c>
      <c r="S1039" s="2994">
        <v>0</v>
      </c>
      <c r="T1039" s="2994">
        <v>0</v>
      </c>
      <c r="U1039" s="2994">
        <v>0</v>
      </c>
      <c r="V1039" s="2994">
        <v>0</v>
      </c>
      <c r="W1039" s="2994">
        <v>0</v>
      </c>
      <c r="X1039" s="2994">
        <v>0</v>
      </c>
      <c r="Y1039" s="2994">
        <v>0</v>
      </c>
      <c r="Z1039" s="2994">
        <v>0</v>
      </c>
      <c r="AA1039" s="2994">
        <v>0</v>
      </c>
      <c r="AB1039" s="2994">
        <v>0</v>
      </c>
      <c r="AC1039" s="2994">
        <v>0</v>
      </c>
      <c r="AD1039" s="2994">
        <v>0</v>
      </c>
      <c r="AE1039" s="2994">
        <v>0</v>
      </c>
      <c r="AF1039" s="2994">
        <v>0</v>
      </c>
      <c r="AG1039" s="2994">
        <v>0</v>
      </c>
      <c r="AH1039" s="2994">
        <v>0</v>
      </c>
      <c r="AI1039" s="2994">
        <v>0</v>
      </c>
      <c r="AJ1039" s="2994">
        <v>0</v>
      </c>
      <c r="AK1039" s="2994">
        <v>0</v>
      </c>
      <c r="AL1039" s="2994">
        <v>0</v>
      </c>
      <c r="AM1039" s="2994">
        <v>0</v>
      </c>
      <c r="AN1039" s="2994">
        <v>0</v>
      </c>
      <c r="AO1039" s="2994">
        <v>0</v>
      </c>
      <c r="AP1039" s="2994">
        <v>0</v>
      </c>
      <c r="AQ1039" s="2994">
        <v>0</v>
      </c>
      <c r="AR1039" s="2994">
        <v>0</v>
      </c>
      <c r="AS1039" s="2994">
        <v>0</v>
      </c>
      <c r="AT1039" s="2994">
        <v>0</v>
      </c>
      <c r="AU1039" s="2994">
        <v>0</v>
      </c>
      <c r="AV1039" s="2994">
        <v>0</v>
      </c>
      <c r="AW1039" s="2994">
        <v>0</v>
      </c>
      <c r="AX1039" s="2994">
        <v>0</v>
      </c>
      <c r="AY1039" s="2994">
        <v>0</v>
      </c>
      <c r="AZ1039" s="2994">
        <v>0</v>
      </c>
      <c r="BA1039" s="2994">
        <v>0</v>
      </c>
      <c r="BB1039" s="2994">
        <v>0</v>
      </c>
      <c r="BC1039" s="2994">
        <v>0</v>
      </c>
      <c r="BD1039" s="3471">
        <v>0</v>
      </c>
      <c r="BE1039" s="3471">
        <v>0</v>
      </c>
      <c r="BF1039" s="3471">
        <v>0</v>
      </c>
    </row>
    <row r="1040" spans="1:58">
      <c r="A1040" s="1817" t="str">
        <f t="shared" si="33"/>
        <v>South-Eastern AsiaDates</v>
      </c>
      <c r="B1040" s="1818" t="s">
        <v>1394</v>
      </c>
      <c r="C1040" s="1818" t="s">
        <v>1348</v>
      </c>
      <c r="D1040" s="3463" t="str">
        <f>VLOOKUP(B1040,List_Yield!$G$4:$J$14,4,FALSE)</f>
        <v>Asia (Insular)</v>
      </c>
      <c r="E1040" s="3463" t="str">
        <f t="shared" si="32"/>
        <v>Asia (Insular)Dates</v>
      </c>
      <c r="F1040" s="2994">
        <v>0</v>
      </c>
      <c r="G1040" s="2994">
        <v>0</v>
      </c>
      <c r="H1040" s="2994">
        <v>0</v>
      </c>
      <c r="I1040" s="2994">
        <v>0</v>
      </c>
      <c r="J1040" s="2994">
        <v>0</v>
      </c>
      <c r="K1040" s="2994">
        <v>0</v>
      </c>
      <c r="L1040" s="2994">
        <v>0</v>
      </c>
      <c r="M1040" s="2994">
        <v>0</v>
      </c>
      <c r="N1040" s="2994">
        <v>0</v>
      </c>
      <c r="O1040" s="2994">
        <v>0</v>
      </c>
      <c r="P1040" s="2994">
        <v>0</v>
      </c>
      <c r="Q1040" s="2994">
        <v>0</v>
      </c>
      <c r="R1040" s="2994">
        <v>0</v>
      </c>
      <c r="S1040" s="2994">
        <v>0</v>
      </c>
      <c r="T1040" s="2994">
        <v>0</v>
      </c>
      <c r="U1040" s="2994">
        <v>0</v>
      </c>
      <c r="V1040" s="2994">
        <v>0</v>
      </c>
      <c r="W1040" s="2994">
        <v>0</v>
      </c>
      <c r="X1040" s="2994">
        <v>0</v>
      </c>
      <c r="Y1040" s="2994">
        <v>0</v>
      </c>
      <c r="Z1040" s="2994">
        <v>0</v>
      </c>
      <c r="AA1040" s="2994">
        <v>0</v>
      </c>
      <c r="AB1040" s="2994">
        <v>0</v>
      </c>
      <c r="AC1040" s="2994">
        <v>0</v>
      </c>
      <c r="AD1040" s="2994">
        <v>0</v>
      </c>
      <c r="AE1040" s="2994">
        <v>0</v>
      </c>
      <c r="AF1040" s="2994">
        <v>0</v>
      </c>
      <c r="AG1040" s="2994">
        <v>0</v>
      </c>
      <c r="AH1040" s="2994">
        <v>0</v>
      </c>
      <c r="AI1040" s="2994">
        <v>0</v>
      </c>
      <c r="AJ1040" s="2994">
        <v>0</v>
      </c>
      <c r="AK1040" s="2994">
        <v>0</v>
      </c>
      <c r="AL1040" s="2994">
        <v>0</v>
      </c>
      <c r="AM1040" s="2994">
        <v>0</v>
      </c>
      <c r="AN1040" s="2994">
        <v>0</v>
      </c>
      <c r="AO1040" s="2994">
        <v>0</v>
      </c>
      <c r="AP1040" s="2994">
        <v>0</v>
      </c>
      <c r="AQ1040" s="2994">
        <v>0</v>
      </c>
      <c r="AR1040" s="2994">
        <v>0</v>
      </c>
      <c r="AS1040" s="2994">
        <v>0</v>
      </c>
      <c r="AT1040" s="2994">
        <v>0</v>
      </c>
      <c r="AU1040" s="2994">
        <v>0</v>
      </c>
      <c r="AV1040" s="2994">
        <v>0</v>
      </c>
      <c r="AW1040" s="2994">
        <v>0</v>
      </c>
      <c r="AX1040" s="2994">
        <v>0</v>
      </c>
      <c r="AY1040" s="2994">
        <v>0</v>
      </c>
      <c r="AZ1040" s="2994">
        <v>0</v>
      </c>
      <c r="BA1040" s="2994">
        <v>0</v>
      </c>
      <c r="BB1040" s="2994">
        <v>0</v>
      </c>
      <c r="BC1040" s="2994">
        <v>0</v>
      </c>
      <c r="BD1040" s="3471">
        <v>0</v>
      </c>
      <c r="BE1040" s="3471">
        <v>0</v>
      </c>
      <c r="BF1040" s="3471">
        <v>0</v>
      </c>
    </row>
    <row r="1041" spans="1:58">
      <c r="A1041" s="1817" t="str">
        <f t="shared" si="33"/>
        <v>South-Eastern AsiaEggplants (aubergines)</v>
      </c>
      <c r="B1041" s="1818" t="s">
        <v>1394</v>
      </c>
      <c r="C1041" s="1818" t="s">
        <v>1349</v>
      </c>
      <c r="D1041" s="3463" t="str">
        <f>VLOOKUP(B1041,List_Yield!$G$4:$J$14,4,FALSE)</f>
        <v>Asia (Insular)</v>
      </c>
      <c r="E1041" s="3463" t="str">
        <f t="shared" si="32"/>
        <v>Asia (Insular)Eggplants (aubergines)</v>
      </c>
      <c r="F1041" s="2994">
        <v>3.0324</v>
      </c>
      <c r="G1041" s="2994">
        <v>3.1962999999999999</v>
      </c>
      <c r="H1041" s="2994">
        <v>3.4049999999999998</v>
      </c>
      <c r="I1041" s="2994">
        <v>3.2963</v>
      </c>
      <c r="J1041" s="2994">
        <v>3.4104999999999999</v>
      </c>
      <c r="K1041" s="2994">
        <v>3.4971999999999999</v>
      </c>
      <c r="L1041" s="2994">
        <v>3.5337999999999998</v>
      </c>
      <c r="M1041" s="2994">
        <v>3.8086000000000002</v>
      </c>
      <c r="N1041" s="2994">
        <v>3.6676000000000002</v>
      </c>
      <c r="O1041" s="2994">
        <v>3.9064000000000001</v>
      </c>
      <c r="P1041" s="2994">
        <v>3.9432999999999998</v>
      </c>
      <c r="Q1041" s="2994">
        <v>3.7004999999999999</v>
      </c>
      <c r="R1041" s="2994">
        <v>3.9363999999999999</v>
      </c>
      <c r="S1041" s="2994">
        <v>4.3193000000000001</v>
      </c>
      <c r="T1041" s="2994">
        <v>3.9358</v>
      </c>
      <c r="U1041" s="2994">
        <v>4.2488999999999999</v>
      </c>
      <c r="V1041" s="2994">
        <v>4.4985999999999997</v>
      </c>
      <c r="W1041" s="2994">
        <v>4.1284000000000001</v>
      </c>
      <c r="X1041" s="2994">
        <v>4.6807999999999996</v>
      </c>
      <c r="Y1041" s="2994">
        <v>4.4077000000000002</v>
      </c>
      <c r="Z1041" s="2994">
        <v>4.7443</v>
      </c>
      <c r="AA1041" s="2994">
        <v>3.6120999999999999</v>
      </c>
      <c r="AB1041" s="2994">
        <v>4.4715999999999996</v>
      </c>
      <c r="AC1041" s="2994">
        <v>3.4070999999999998</v>
      </c>
      <c r="AD1041" s="2994">
        <v>3.3321000000000001</v>
      </c>
      <c r="AE1041" s="2994">
        <v>3.7078000000000002</v>
      </c>
      <c r="AF1041" s="2994">
        <v>3.423</v>
      </c>
      <c r="AG1041" s="2994">
        <v>3.6387</v>
      </c>
      <c r="AH1041" s="2994">
        <v>2.7364000000000002</v>
      </c>
      <c r="AI1041" s="2994">
        <v>4.548</v>
      </c>
      <c r="AJ1041" s="2994">
        <v>4.4206000000000003</v>
      </c>
      <c r="AK1041" s="2994">
        <v>4.1798999999999999</v>
      </c>
      <c r="AL1041" s="2994">
        <v>6.6306000000000003</v>
      </c>
      <c r="AM1041" s="2994">
        <v>6.9481000000000002</v>
      </c>
      <c r="AN1041" s="2994">
        <v>8.6456999999999997</v>
      </c>
      <c r="AO1041" s="2994">
        <v>8.7287999999999997</v>
      </c>
      <c r="AP1041" s="2994">
        <v>8.3291000000000004</v>
      </c>
      <c r="AQ1041" s="2994">
        <v>8.3636999999999997</v>
      </c>
      <c r="AR1041" s="2994">
        <v>8.2532999999999994</v>
      </c>
      <c r="AS1041" s="2994">
        <v>7.9984999999999999</v>
      </c>
      <c r="AT1041" s="2994">
        <v>7.8098000000000001</v>
      </c>
      <c r="AU1041" s="2994">
        <v>7.9606000000000003</v>
      </c>
      <c r="AV1041" s="2994">
        <v>7.6871</v>
      </c>
      <c r="AW1041" s="2994">
        <v>7.5960000000000001</v>
      </c>
      <c r="AX1041" s="2994">
        <v>7.8381999999999996</v>
      </c>
      <c r="AY1041" s="2994">
        <v>7.83</v>
      </c>
      <c r="AZ1041" s="2994">
        <v>8.8519000000000005</v>
      </c>
      <c r="BA1041" s="2994">
        <v>9.5724</v>
      </c>
      <c r="BB1041" s="2994">
        <v>9.6232000000000006</v>
      </c>
      <c r="BC1041" s="2994">
        <v>9.5701999999999998</v>
      </c>
      <c r="BD1041" s="3471">
        <v>10.046200000000001</v>
      </c>
      <c r="BE1041" s="3471">
        <v>10.329800000000001</v>
      </c>
      <c r="BF1041" s="3471">
        <v>0</v>
      </c>
    </row>
    <row r="1042" spans="1:58">
      <c r="A1042" s="1817" t="str">
        <f t="shared" si="33"/>
        <v>South-Eastern AsiaFibre crops nes</v>
      </c>
      <c r="B1042" s="1818" t="s">
        <v>1394</v>
      </c>
      <c r="C1042" s="1818" t="s">
        <v>7319</v>
      </c>
      <c r="D1042" s="3463" t="str">
        <f>VLOOKUP(B1042,List_Yield!$G$4:$J$14,4,FALSE)</f>
        <v>Asia (Insular)</v>
      </c>
      <c r="E1042" s="3463" t="str">
        <f t="shared" si="32"/>
        <v>Asia (Insular)Fibre crops nes</v>
      </c>
      <c r="F1042" s="2994">
        <v>3.9397000000000002</v>
      </c>
      <c r="G1042" s="2994">
        <v>4.1684000000000001</v>
      </c>
      <c r="H1042" s="2994">
        <v>3.976</v>
      </c>
      <c r="I1042" s="2994">
        <v>3.6383000000000001</v>
      </c>
      <c r="J1042" s="2994">
        <v>3.7004999999999999</v>
      </c>
      <c r="K1042" s="2994">
        <v>3.7671999999999999</v>
      </c>
      <c r="L1042" s="2994">
        <v>3.7528000000000001</v>
      </c>
      <c r="M1042" s="2994">
        <v>4.2103000000000002</v>
      </c>
      <c r="N1042" s="2994">
        <v>3.9693999999999998</v>
      </c>
      <c r="O1042" s="2994">
        <v>4.0918999999999999</v>
      </c>
      <c r="P1042" s="2994">
        <v>4.2511999999999999</v>
      </c>
      <c r="Q1042" s="2994">
        <v>4.5037000000000003</v>
      </c>
      <c r="R1042" s="2994">
        <v>4.3657000000000004</v>
      </c>
      <c r="S1042" s="2994">
        <v>4.4823000000000004</v>
      </c>
      <c r="T1042" s="2994">
        <v>4.7813999999999997</v>
      </c>
      <c r="U1042" s="2994">
        <v>5.0829000000000004</v>
      </c>
      <c r="V1042" s="2994">
        <v>4.8930999999999996</v>
      </c>
      <c r="W1042" s="2994">
        <v>4.9298000000000002</v>
      </c>
      <c r="X1042" s="2994">
        <v>5.0902000000000003</v>
      </c>
      <c r="Y1042" s="2994">
        <v>4.9805999999999999</v>
      </c>
      <c r="Z1042" s="2994">
        <v>4.9457000000000004</v>
      </c>
      <c r="AA1042" s="2994">
        <v>5.0949</v>
      </c>
      <c r="AB1042" s="2994">
        <v>4.9936999999999996</v>
      </c>
      <c r="AC1042" s="2994">
        <v>5.3978000000000002</v>
      </c>
      <c r="AD1042" s="2994">
        <v>5.6844000000000001</v>
      </c>
      <c r="AE1042" s="2994">
        <v>5.4965000000000002</v>
      </c>
      <c r="AF1042" s="2994">
        <v>5.6912000000000003</v>
      </c>
      <c r="AG1042" s="2994">
        <v>4.3806000000000003</v>
      </c>
      <c r="AH1042" s="2994">
        <v>5.1313000000000004</v>
      </c>
      <c r="AI1042" s="2994">
        <v>4.9527000000000001</v>
      </c>
      <c r="AJ1042" s="2994">
        <v>5.1734</v>
      </c>
      <c r="AK1042" s="2994">
        <v>6.4108999999999998</v>
      </c>
      <c r="AL1042" s="2994">
        <v>6.1588000000000003</v>
      </c>
      <c r="AM1042" s="2994">
        <v>5.6843000000000004</v>
      </c>
      <c r="AN1042" s="2994">
        <v>6.4097</v>
      </c>
      <c r="AO1042" s="2994">
        <v>5.2934000000000001</v>
      </c>
      <c r="AP1042" s="2994">
        <v>6.5044000000000004</v>
      </c>
      <c r="AQ1042" s="2994">
        <v>6.24</v>
      </c>
      <c r="AR1042" s="2994">
        <v>6.0552000000000001</v>
      </c>
      <c r="AS1042" s="2994">
        <v>5.8384</v>
      </c>
      <c r="AT1042" s="2994">
        <v>5.8769</v>
      </c>
      <c r="AU1042" s="2994">
        <v>6.3954000000000004</v>
      </c>
      <c r="AV1042" s="2994">
        <v>6.2663000000000002</v>
      </c>
      <c r="AW1042" s="2994">
        <v>6.4641000000000002</v>
      </c>
      <c r="AX1042" s="2994">
        <v>5.9569999999999999</v>
      </c>
      <c r="AY1042" s="2994">
        <v>6.7363</v>
      </c>
      <c r="AZ1042" s="2994">
        <v>6.6341999999999999</v>
      </c>
      <c r="BA1042" s="2994">
        <v>6.6923000000000004</v>
      </c>
      <c r="BB1042" s="2994">
        <v>6.7816999999999998</v>
      </c>
      <c r="BC1042" s="2994">
        <v>7.1894999999999998</v>
      </c>
      <c r="BD1042" s="3471">
        <v>7.2489999999999997</v>
      </c>
      <c r="BE1042" s="3471">
        <v>7.423</v>
      </c>
      <c r="BF1042" s="3471">
        <v>0</v>
      </c>
    </row>
    <row r="1043" spans="1:58">
      <c r="A1043" s="1817" t="str">
        <f t="shared" si="33"/>
        <v>South-Eastern AsiaFigs</v>
      </c>
      <c r="B1043" s="1818" t="s">
        <v>1394</v>
      </c>
      <c r="C1043" s="1818" t="s">
        <v>7320</v>
      </c>
      <c r="D1043" s="3463" t="str">
        <f>VLOOKUP(B1043,List_Yield!$G$4:$J$14,4,FALSE)</f>
        <v>Asia (Insular)</v>
      </c>
      <c r="E1043" s="3463" t="str">
        <f t="shared" si="32"/>
        <v>Asia (Insular)Figs</v>
      </c>
      <c r="F1043" s="2994">
        <v>0</v>
      </c>
      <c r="G1043" s="2994">
        <v>0</v>
      </c>
      <c r="H1043" s="2994">
        <v>0</v>
      </c>
      <c r="I1043" s="2994">
        <v>0</v>
      </c>
      <c r="J1043" s="2994">
        <v>0</v>
      </c>
      <c r="K1043" s="2994">
        <v>0</v>
      </c>
      <c r="L1043" s="2994">
        <v>0</v>
      </c>
      <c r="M1043" s="2994">
        <v>0</v>
      </c>
      <c r="N1043" s="2994">
        <v>0</v>
      </c>
      <c r="O1043" s="2994">
        <v>0</v>
      </c>
      <c r="P1043" s="2994">
        <v>0</v>
      </c>
      <c r="Q1043" s="2994">
        <v>0</v>
      </c>
      <c r="R1043" s="2994">
        <v>0</v>
      </c>
      <c r="S1043" s="2994">
        <v>0</v>
      </c>
      <c r="T1043" s="2994">
        <v>0</v>
      </c>
      <c r="U1043" s="2994">
        <v>0</v>
      </c>
      <c r="V1043" s="2994">
        <v>0</v>
      </c>
      <c r="W1043" s="2994">
        <v>0</v>
      </c>
      <c r="X1043" s="2994">
        <v>0</v>
      </c>
      <c r="Y1043" s="2994">
        <v>0</v>
      </c>
      <c r="Z1043" s="2994">
        <v>0</v>
      </c>
      <c r="AA1043" s="2994">
        <v>0</v>
      </c>
      <c r="AB1043" s="2994">
        <v>0</v>
      </c>
      <c r="AC1043" s="2994">
        <v>0</v>
      </c>
      <c r="AD1043" s="2994">
        <v>0</v>
      </c>
      <c r="AE1043" s="2994">
        <v>0</v>
      </c>
      <c r="AF1043" s="2994">
        <v>0</v>
      </c>
      <c r="AG1043" s="2994">
        <v>0</v>
      </c>
      <c r="AH1043" s="2994">
        <v>0</v>
      </c>
      <c r="AI1043" s="2994">
        <v>0</v>
      </c>
      <c r="AJ1043" s="2994">
        <v>0</v>
      </c>
      <c r="AK1043" s="2994">
        <v>0</v>
      </c>
      <c r="AL1043" s="2994">
        <v>0</v>
      </c>
      <c r="AM1043" s="2994">
        <v>0</v>
      </c>
      <c r="AN1043" s="2994">
        <v>0</v>
      </c>
      <c r="AO1043" s="2994">
        <v>0</v>
      </c>
      <c r="AP1043" s="2994">
        <v>0</v>
      </c>
      <c r="AQ1043" s="2994">
        <v>0</v>
      </c>
      <c r="AR1043" s="2994">
        <v>0</v>
      </c>
      <c r="AS1043" s="2994">
        <v>0</v>
      </c>
      <c r="AT1043" s="2994">
        <v>0</v>
      </c>
      <c r="AU1043" s="2994">
        <v>0</v>
      </c>
      <c r="AV1043" s="2994">
        <v>0</v>
      </c>
      <c r="AW1043" s="2994">
        <v>0</v>
      </c>
      <c r="AX1043" s="2994">
        <v>0</v>
      </c>
      <c r="AY1043" s="2994">
        <v>0</v>
      </c>
      <c r="AZ1043" s="2994">
        <v>0</v>
      </c>
      <c r="BA1043" s="2994">
        <v>0</v>
      </c>
      <c r="BB1043" s="2994">
        <v>0</v>
      </c>
      <c r="BC1043" s="2994">
        <v>0</v>
      </c>
      <c r="BD1043" s="3471">
        <v>0</v>
      </c>
      <c r="BE1043" s="3471">
        <v>0</v>
      </c>
      <c r="BF1043" s="3471">
        <v>0</v>
      </c>
    </row>
    <row r="1044" spans="1:58">
      <c r="A1044" s="1817" t="str">
        <f t="shared" si="33"/>
        <v>South-Eastern AsiaFlax fibre and tow</v>
      </c>
      <c r="B1044" s="1818" t="s">
        <v>1394</v>
      </c>
      <c r="C1044" s="1818" t="s">
        <v>7321</v>
      </c>
      <c r="D1044" s="3463" t="str">
        <f>VLOOKUP(B1044,List_Yield!$G$4:$J$14,4,FALSE)</f>
        <v>Asia (Insular)</v>
      </c>
      <c r="E1044" s="3463" t="str">
        <f t="shared" si="32"/>
        <v>Asia (Insular)Flax fibre and tow</v>
      </c>
      <c r="F1044" s="2994">
        <v>0</v>
      </c>
      <c r="G1044" s="2994">
        <v>0</v>
      </c>
      <c r="H1044" s="2994">
        <v>0</v>
      </c>
      <c r="I1044" s="2994">
        <v>0</v>
      </c>
      <c r="J1044" s="2994">
        <v>0</v>
      </c>
      <c r="K1044" s="2994">
        <v>0</v>
      </c>
      <c r="L1044" s="2994">
        <v>0</v>
      </c>
      <c r="M1044" s="2994">
        <v>0</v>
      </c>
      <c r="N1044" s="2994">
        <v>0</v>
      </c>
      <c r="O1044" s="2994">
        <v>0</v>
      </c>
      <c r="P1044" s="2994">
        <v>0</v>
      </c>
      <c r="Q1044" s="2994">
        <v>0</v>
      </c>
      <c r="R1044" s="2994">
        <v>0</v>
      </c>
      <c r="S1044" s="2994">
        <v>0</v>
      </c>
      <c r="T1044" s="2994">
        <v>0</v>
      </c>
      <c r="U1044" s="2994">
        <v>0</v>
      </c>
      <c r="V1044" s="2994">
        <v>0</v>
      </c>
      <c r="W1044" s="2994">
        <v>0</v>
      </c>
      <c r="X1044" s="2994">
        <v>0</v>
      </c>
      <c r="Y1044" s="2994">
        <v>0</v>
      </c>
      <c r="Z1044" s="2994">
        <v>0</v>
      </c>
      <c r="AA1044" s="2994">
        <v>0</v>
      </c>
      <c r="AB1044" s="2994">
        <v>0</v>
      </c>
      <c r="AC1044" s="2994">
        <v>0</v>
      </c>
      <c r="AD1044" s="2994">
        <v>0</v>
      </c>
      <c r="AE1044" s="2994">
        <v>0</v>
      </c>
      <c r="AF1044" s="2994">
        <v>0</v>
      </c>
      <c r="AG1044" s="2994">
        <v>0</v>
      </c>
      <c r="AH1044" s="2994">
        <v>0</v>
      </c>
      <c r="AI1044" s="2994">
        <v>0</v>
      </c>
      <c r="AJ1044" s="2994">
        <v>0</v>
      </c>
      <c r="AK1044" s="2994">
        <v>0</v>
      </c>
      <c r="AL1044" s="2994">
        <v>0</v>
      </c>
      <c r="AM1044" s="2994">
        <v>0</v>
      </c>
      <c r="AN1044" s="2994">
        <v>0</v>
      </c>
      <c r="AO1044" s="2994">
        <v>0</v>
      </c>
      <c r="AP1044" s="2994">
        <v>0</v>
      </c>
      <c r="AQ1044" s="2994">
        <v>0</v>
      </c>
      <c r="AR1044" s="2994">
        <v>0</v>
      </c>
      <c r="AS1044" s="2994">
        <v>0</v>
      </c>
      <c r="AT1044" s="2994">
        <v>0</v>
      </c>
      <c r="AU1044" s="2994">
        <v>0</v>
      </c>
      <c r="AV1044" s="2994">
        <v>0</v>
      </c>
      <c r="AW1044" s="2994">
        <v>0</v>
      </c>
      <c r="AX1044" s="2994">
        <v>0</v>
      </c>
      <c r="AY1044" s="2994">
        <v>0</v>
      </c>
      <c r="AZ1044" s="2994">
        <v>0</v>
      </c>
      <c r="BA1044" s="2994">
        <v>0</v>
      </c>
      <c r="BB1044" s="2994">
        <v>0</v>
      </c>
      <c r="BC1044" s="2994">
        <v>0</v>
      </c>
      <c r="BD1044" s="3471">
        <v>0</v>
      </c>
      <c r="BE1044" s="3471">
        <v>0</v>
      </c>
      <c r="BF1044" s="3471">
        <v>0</v>
      </c>
    </row>
    <row r="1045" spans="1:58">
      <c r="A1045" s="1817" t="str">
        <f t="shared" si="33"/>
        <v>South-Eastern AsiaFonio</v>
      </c>
      <c r="B1045" s="1818" t="s">
        <v>1394</v>
      </c>
      <c r="C1045" s="1818" t="s">
        <v>7322</v>
      </c>
      <c r="D1045" s="3463" t="str">
        <f>VLOOKUP(B1045,List_Yield!$G$4:$J$14,4,FALSE)</f>
        <v>Asia (Insular)</v>
      </c>
      <c r="E1045" s="3463" t="str">
        <f t="shared" si="32"/>
        <v>Asia (Insular)Fonio</v>
      </c>
      <c r="F1045" s="2994">
        <v>0</v>
      </c>
      <c r="G1045" s="2994">
        <v>0</v>
      </c>
      <c r="H1045" s="2994">
        <v>0</v>
      </c>
      <c r="I1045" s="2994">
        <v>0</v>
      </c>
      <c r="J1045" s="2994">
        <v>0</v>
      </c>
      <c r="K1045" s="2994">
        <v>0</v>
      </c>
      <c r="L1045" s="2994">
        <v>0</v>
      </c>
      <c r="M1045" s="2994">
        <v>0</v>
      </c>
      <c r="N1045" s="2994">
        <v>0</v>
      </c>
      <c r="O1045" s="2994">
        <v>0</v>
      </c>
      <c r="P1045" s="2994">
        <v>0</v>
      </c>
      <c r="Q1045" s="2994">
        <v>0</v>
      </c>
      <c r="R1045" s="2994">
        <v>0</v>
      </c>
      <c r="S1045" s="2994">
        <v>0</v>
      </c>
      <c r="T1045" s="2994">
        <v>0</v>
      </c>
      <c r="U1045" s="2994">
        <v>0</v>
      </c>
      <c r="V1045" s="2994">
        <v>0</v>
      </c>
      <c r="W1045" s="2994">
        <v>0</v>
      </c>
      <c r="X1045" s="2994">
        <v>0</v>
      </c>
      <c r="Y1045" s="2994">
        <v>0</v>
      </c>
      <c r="Z1045" s="2994">
        <v>0</v>
      </c>
      <c r="AA1045" s="2994">
        <v>0</v>
      </c>
      <c r="AB1045" s="2994">
        <v>0</v>
      </c>
      <c r="AC1045" s="2994">
        <v>0</v>
      </c>
      <c r="AD1045" s="2994">
        <v>0</v>
      </c>
      <c r="AE1045" s="2994">
        <v>0</v>
      </c>
      <c r="AF1045" s="2994">
        <v>0</v>
      </c>
      <c r="AG1045" s="2994">
        <v>0</v>
      </c>
      <c r="AH1045" s="2994">
        <v>0</v>
      </c>
      <c r="AI1045" s="2994">
        <v>0</v>
      </c>
      <c r="AJ1045" s="2994">
        <v>0</v>
      </c>
      <c r="AK1045" s="2994">
        <v>0</v>
      </c>
      <c r="AL1045" s="2994">
        <v>0</v>
      </c>
      <c r="AM1045" s="2994">
        <v>0</v>
      </c>
      <c r="AN1045" s="2994">
        <v>0</v>
      </c>
      <c r="AO1045" s="2994">
        <v>0</v>
      </c>
      <c r="AP1045" s="2994">
        <v>0</v>
      </c>
      <c r="AQ1045" s="2994">
        <v>0</v>
      </c>
      <c r="AR1045" s="2994">
        <v>0</v>
      </c>
      <c r="AS1045" s="2994">
        <v>0</v>
      </c>
      <c r="AT1045" s="2994">
        <v>0</v>
      </c>
      <c r="AU1045" s="2994">
        <v>0</v>
      </c>
      <c r="AV1045" s="2994">
        <v>0</v>
      </c>
      <c r="AW1045" s="2994">
        <v>0</v>
      </c>
      <c r="AX1045" s="2994">
        <v>0</v>
      </c>
      <c r="AY1045" s="2994">
        <v>0</v>
      </c>
      <c r="AZ1045" s="2994">
        <v>0</v>
      </c>
      <c r="BA1045" s="2994">
        <v>0</v>
      </c>
      <c r="BB1045" s="2994">
        <v>0</v>
      </c>
      <c r="BC1045" s="2994">
        <v>0</v>
      </c>
      <c r="BD1045" s="3471">
        <v>0</v>
      </c>
      <c r="BE1045" s="3471">
        <v>0</v>
      </c>
      <c r="BF1045" s="3471">
        <v>0</v>
      </c>
    </row>
    <row r="1046" spans="1:58">
      <c r="A1046" s="1817" t="str">
        <f t="shared" si="33"/>
        <v>South-Eastern AsiaFruit, citrus nes</v>
      </c>
      <c r="B1046" s="1818" t="s">
        <v>1394</v>
      </c>
      <c r="C1046" s="1818" t="s">
        <v>7323</v>
      </c>
      <c r="D1046" s="3463" t="str">
        <f>VLOOKUP(B1046,List_Yield!$G$4:$J$14,4,FALSE)</f>
        <v>Asia (Insular)</v>
      </c>
      <c r="E1046" s="3463" t="str">
        <f t="shared" si="32"/>
        <v>Asia (Insular)Fruit, citrus nes</v>
      </c>
      <c r="F1046" s="2994">
        <v>3</v>
      </c>
      <c r="G1046" s="2994">
        <v>3</v>
      </c>
      <c r="H1046" s="2994">
        <v>3</v>
      </c>
      <c r="I1046" s="2994">
        <v>3</v>
      </c>
      <c r="J1046" s="2994">
        <v>3</v>
      </c>
      <c r="K1046" s="2994">
        <v>3</v>
      </c>
      <c r="L1046" s="2994">
        <v>3</v>
      </c>
      <c r="M1046" s="2994">
        <v>3</v>
      </c>
      <c r="N1046" s="2994">
        <v>3</v>
      </c>
      <c r="O1046" s="2994">
        <v>3</v>
      </c>
      <c r="P1046" s="2994">
        <v>3</v>
      </c>
      <c r="Q1046" s="2994">
        <v>3</v>
      </c>
      <c r="R1046" s="2994">
        <v>3</v>
      </c>
      <c r="S1046" s="2994">
        <v>3</v>
      </c>
      <c r="T1046" s="2994">
        <v>3</v>
      </c>
      <c r="U1046" s="2994">
        <v>3</v>
      </c>
      <c r="V1046" s="2994">
        <v>2.9796</v>
      </c>
      <c r="W1046" s="2994">
        <v>2.9855</v>
      </c>
      <c r="X1046" s="2994">
        <v>2.9836</v>
      </c>
      <c r="Y1046" s="2994">
        <v>3.5171999999999999</v>
      </c>
      <c r="Z1046" s="2994">
        <v>2.9756</v>
      </c>
      <c r="AA1046" s="2994">
        <v>3.0434999999999999</v>
      </c>
      <c r="AB1046" s="2994">
        <v>2.9729999999999999</v>
      </c>
      <c r="AC1046" s="2994">
        <v>2.9756</v>
      </c>
      <c r="AD1046" s="2994">
        <v>5.5963000000000003</v>
      </c>
      <c r="AE1046" s="2994">
        <v>5.5963000000000003</v>
      </c>
      <c r="AF1046" s="2994">
        <v>5.6295999999999999</v>
      </c>
      <c r="AG1046" s="2994">
        <v>5.3728999999999996</v>
      </c>
      <c r="AH1046" s="2994">
        <v>5.1231</v>
      </c>
      <c r="AI1046" s="2994">
        <v>10.2964</v>
      </c>
      <c r="AJ1046" s="2994">
        <v>9.6933000000000007</v>
      </c>
      <c r="AK1046" s="2994">
        <v>10.0014</v>
      </c>
      <c r="AL1046" s="2994">
        <v>9.2513000000000005</v>
      </c>
      <c r="AM1046" s="2994">
        <v>9.1966999999999999</v>
      </c>
      <c r="AN1046" s="2994">
        <v>9.2692999999999994</v>
      </c>
      <c r="AO1046" s="2994">
        <v>9.2475000000000005</v>
      </c>
      <c r="AP1046" s="2994">
        <v>8.4169999999999998</v>
      </c>
      <c r="AQ1046" s="2994">
        <v>9.0404</v>
      </c>
      <c r="AR1046" s="2994">
        <v>8.9817999999999998</v>
      </c>
      <c r="AS1046" s="2994">
        <v>8.7744</v>
      </c>
      <c r="AT1046" s="2994">
        <v>8.7806999999999995</v>
      </c>
      <c r="AU1046" s="2994">
        <v>8.6501999999999999</v>
      </c>
      <c r="AV1046" s="2994">
        <v>8.5107999999999997</v>
      </c>
      <c r="AW1046" s="2994">
        <v>8.1823999999999995</v>
      </c>
      <c r="AX1046" s="2994">
        <v>9.0890000000000004</v>
      </c>
      <c r="AY1046" s="2994">
        <v>8.5937000000000001</v>
      </c>
      <c r="AZ1046" s="2994">
        <v>8.7090999999999994</v>
      </c>
      <c r="BA1046" s="2994">
        <v>9.0748999999999995</v>
      </c>
      <c r="BB1046" s="2994">
        <v>8.5810999999999993</v>
      </c>
      <c r="BC1046" s="2994">
        <v>8.3958999999999993</v>
      </c>
      <c r="BD1046" s="3471">
        <v>8.1477000000000004</v>
      </c>
      <c r="BE1046" s="3471">
        <v>8.0974000000000004</v>
      </c>
      <c r="BF1046" s="3471">
        <v>0</v>
      </c>
    </row>
    <row r="1047" spans="1:58">
      <c r="A1047" s="1817" t="str">
        <f t="shared" si="33"/>
        <v>South-Eastern AsiaFruit, fresh nes</v>
      </c>
      <c r="B1047" s="1818" t="s">
        <v>1394</v>
      </c>
      <c r="C1047" s="1818" t="s">
        <v>7324</v>
      </c>
      <c r="D1047" s="3463" t="str">
        <f>VLOOKUP(B1047,List_Yield!$G$4:$J$14,4,FALSE)</f>
        <v>Asia (Insular)</v>
      </c>
      <c r="E1047" s="3463" t="str">
        <f t="shared" si="32"/>
        <v>Asia (Insular)Fruit, fresh nes</v>
      </c>
      <c r="F1047" s="2994">
        <v>5.6235999999999997</v>
      </c>
      <c r="G1047" s="2994">
        <v>5.5616000000000003</v>
      </c>
      <c r="H1047" s="2994">
        <v>5.8428000000000004</v>
      </c>
      <c r="I1047" s="2994">
        <v>5.7538</v>
      </c>
      <c r="J1047" s="2994">
        <v>6.1544999999999996</v>
      </c>
      <c r="K1047" s="2994">
        <v>6.2910000000000004</v>
      </c>
      <c r="L1047" s="2994">
        <v>6.2476000000000003</v>
      </c>
      <c r="M1047" s="2994">
        <v>6.2237</v>
      </c>
      <c r="N1047" s="2994">
        <v>5.7778</v>
      </c>
      <c r="O1047" s="2994">
        <v>6.1287000000000003</v>
      </c>
      <c r="P1047" s="2994">
        <v>6.1779000000000002</v>
      </c>
      <c r="Q1047" s="2994">
        <v>6.1612999999999998</v>
      </c>
      <c r="R1047" s="2994">
        <v>6.2107999999999999</v>
      </c>
      <c r="S1047" s="2994">
        <v>6.2539999999999996</v>
      </c>
      <c r="T1047" s="2994">
        <v>6.2594000000000003</v>
      </c>
      <c r="U1047" s="2994">
        <v>6.1925999999999997</v>
      </c>
      <c r="V1047" s="2994">
        <v>6.4321000000000002</v>
      </c>
      <c r="W1047" s="2994">
        <v>6.4969999999999999</v>
      </c>
      <c r="X1047" s="2994">
        <v>6.6492000000000004</v>
      </c>
      <c r="Y1047" s="2994">
        <v>6.7679999999999998</v>
      </c>
      <c r="Z1047" s="2994">
        <v>6.6539000000000001</v>
      </c>
      <c r="AA1047" s="2994">
        <v>6.9501999999999997</v>
      </c>
      <c r="AB1047" s="2994">
        <v>6.5583</v>
      </c>
      <c r="AC1047" s="2994">
        <v>6.4589999999999996</v>
      </c>
      <c r="AD1047" s="2994">
        <v>6.3857999999999997</v>
      </c>
      <c r="AE1047" s="2994">
        <v>6.4086999999999996</v>
      </c>
      <c r="AF1047" s="2994">
        <v>6.5743</v>
      </c>
      <c r="AG1047" s="2994">
        <v>6.4908999999999999</v>
      </c>
      <c r="AH1047" s="2994">
        <v>6.54</v>
      </c>
      <c r="AI1047" s="2994">
        <v>6.4641999999999999</v>
      </c>
      <c r="AJ1047" s="2994">
        <v>6.5128000000000004</v>
      </c>
      <c r="AK1047" s="2994">
        <v>6.8963999999999999</v>
      </c>
      <c r="AL1047" s="2994">
        <v>7.42</v>
      </c>
      <c r="AM1047" s="2994">
        <v>7.7013999999999996</v>
      </c>
      <c r="AN1047" s="2994">
        <v>7.7862</v>
      </c>
      <c r="AO1047" s="2994">
        <v>8.1784999999999997</v>
      </c>
      <c r="AP1047" s="2994">
        <v>7.8887</v>
      </c>
      <c r="AQ1047" s="2994">
        <v>8.1369000000000007</v>
      </c>
      <c r="AR1047" s="2994">
        <v>7.5812999999999997</v>
      </c>
      <c r="AS1047" s="2994">
        <v>7.9340000000000002</v>
      </c>
      <c r="AT1047" s="2994">
        <v>7.7704000000000004</v>
      </c>
      <c r="AU1047" s="2994">
        <v>7.9908000000000001</v>
      </c>
      <c r="AV1047" s="2994">
        <v>7.7549999999999999</v>
      </c>
      <c r="AW1047" s="2994">
        <v>8.2047000000000008</v>
      </c>
      <c r="AX1047" s="2994">
        <v>8.3191000000000006</v>
      </c>
      <c r="AY1047" s="2994">
        <v>8.3790999999999993</v>
      </c>
      <c r="AZ1047" s="2994">
        <v>3.6956000000000002</v>
      </c>
      <c r="BA1047" s="2994">
        <v>7.4118000000000004</v>
      </c>
      <c r="BB1047" s="2994">
        <v>7.1680000000000001</v>
      </c>
      <c r="BC1047" s="2994">
        <v>7.5884</v>
      </c>
      <c r="BD1047" s="3471">
        <v>7.6066000000000003</v>
      </c>
      <c r="BE1047" s="3471">
        <v>7.7191000000000001</v>
      </c>
      <c r="BF1047" s="3471">
        <v>0</v>
      </c>
    </row>
    <row r="1048" spans="1:58">
      <c r="A1048" s="1817" t="str">
        <f t="shared" si="33"/>
        <v>South-Eastern AsiaFruit, pome nes</v>
      </c>
      <c r="B1048" s="1818" t="s">
        <v>1394</v>
      </c>
      <c r="C1048" s="1818" t="s">
        <v>7325</v>
      </c>
      <c r="D1048" s="3463" t="str">
        <f>VLOOKUP(B1048,List_Yield!$G$4:$J$14,4,FALSE)</f>
        <v>Asia (Insular)</v>
      </c>
      <c r="E1048" s="3463" t="str">
        <f t="shared" si="32"/>
        <v>Asia (Insular)Fruit, pome nes</v>
      </c>
      <c r="F1048" s="2994">
        <v>0</v>
      </c>
      <c r="G1048" s="2994">
        <v>0</v>
      </c>
      <c r="H1048" s="2994">
        <v>0</v>
      </c>
      <c r="I1048" s="2994">
        <v>0</v>
      </c>
      <c r="J1048" s="2994">
        <v>0</v>
      </c>
      <c r="K1048" s="2994">
        <v>0</v>
      </c>
      <c r="L1048" s="2994">
        <v>0</v>
      </c>
      <c r="M1048" s="2994">
        <v>0</v>
      </c>
      <c r="N1048" s="2994">
        <v>0</v>
      </c>
      <c r="O1048" s="2994">
        <v>0</v>
      </c>
      <c r="P1048" s="2994">
        <v>0</v>
      </c>
      <c r="Q1048" s="2994">
        <v>0</v>
      </c>
      <c r="R1048" s="2994">
        <v>0</v>
      </c>
      <c r="S1048" s="2994">
        <v>0</v>
      </c>
      <c r="T1048" s="2994">
        <v>0</v>
      </c>
      <c r="U1048" s="2994">
        <v>0</v>
      </c>
      <c r="V1048" s="2994">
        <v>0</v>
      </c>
      <c r="W1048" s="2994">
        <v>0</v>
      </c>
      <c r="X1048" s="2994">
        <v>0</v>
      </c>
      <c r="Y1048" s="2994">
        <v>0</v>
      </c>
      <c r="Z1048" s="2994">
        <v>0</v>
      </c>
      <c r="AA1048" s="2994">
        <v>0</v>
      </c>
      <c r="AB1048" s="2994">
        <v>0</v>
      </c>
      <c r="AC1048" s="2994">
        <v>0</v>
      </c>
      <c r="AD1048" s="2994">
        <v>0</v>
      </c>
      <c r="AE1048" s="2994">
        <v>0</v>
      </c>
      <c r="AF1048" s="2994">
        <v>0</v>
      </c>
      <c r="AG1048" s="2994">
        <v>0</v>
      </c>
      <c r="AH1048" s="2994">
        <v>0</v>
      </c>
      <c r="AI1048" s="2994">
        <v>0</v>
      </c>
      <c r="AJ1048" s="2994">
        <v>0</v>
      </c>
      <c r="AK1048" s="2994">
        <v>0</v>
      </c>
      <c r="AL1048" s="2994">
        <v>0</v>
      </c>
      <c r="AM1048" s="2994">
        <v>0</v>
      </c>
      <c r="AN1048" s="2994">
        <v>0</v>
      </c>
      <c r="AO1048" s="2994">
        <v>0</v>
      </c>
      <c r="AP1048" s="2994">
        <v>0</v>
      </c>
      <c r="AQ1048" s="2994">
        <v>0</v>
      </c>
      <c r="AR1048" s="2994">
        <v>0</v>
      </c>
      <c r="AS1048" s="2994">
        <v>0</v>
      </c>
      <c r="AT1048" s="2994">
        <v>0</v>
      </c>
      <c r="AU1048" s="2994">
        <v>0</v>
      </c>
      <c r="AV1048" s="2994">
        <v>0</v>
      </c>
      <c r="AW1048" s="2994">
        <v>0</v>
      </c>
      <c r="AX1048" s="2994">
        <v>0</v>
      </c>
      <c r="AY1048" s="2994">
        <v>0</v>
      </c>
      <c r="AZ1048" s="2994">
        <v>0</v>
      </c>
      <c r="BA1048" s="2994">
        <v>0</v>
      </c>
      <c r="BB1048" s="2994">
        <v>0</v>
      </c>
      <c r="BC1048" s="2994">
        <v>0</v>
      </c>
      <c r="BD1048" s="3471">
        <v>0</v>
      </c>
      <c r="BE1048" s="3471">
        <v>0</v>
      </c>
      <c r="BF1048" s="3471">
        <v>0</v>
      </c>
    </row>
    <row r="1049" spans="1:58">
      <c r="A1049" s="1817" t="str">
        <f t="shared" si="33"/>
        <v>South-Eastern AsiaFruit, stone nes</v>
      </c>
      <c r="B1049" s="1818" t="s">
        <v>1394</v>
      </c>
      <c r="C1049" s="1818" t="s">
        <v>7326</v>
      </c>
      <c r="D1049" s="3463" t="str">
        <f>VLOOKUP(B1049,List_Yield!$G$4:$J$14,4,FALSE)</f>
        <v>Asia (Insular)</v>
      </c>
      <c r="E1049" s="3463" t="str">
        <f t="shared" si="32"/>
        <v>Asia (Insular)Fruit, stone nes</v>
      </c>
      <c r="F1049" s="2994">
        <v>7.9166999999999996</v>
      </c>
      <c r="G1049" s="2994">
        <v>7.9166999999999996</v>
      </c>
      <c r="H1049" s="2994">
        <v>7.8</v>
      </c>
      <c r="I1049" s="2994">
        <v>8.1999999999999993</v>
      </c>
      <c r="J1049" s="2994">
        <v>8</v>
      </c>
      <c r="K1049" s="2994">
        <v>8.5</v>
      </c>
      <c r="L1049" s="2994">
        <v>8.6</v>
      </c>
      <c r="M1049" s="2994">
        <v>8.8000000000000007</v>
      </c>
      <c r="N1049" s="2994">
        <v>9</v>
      </c>
      <c r="O1049" s="2994">
        <v>8.3635999999999999</v>
      </c>
      <c r="P1049" s="2994">
        <v>8.7272999999999996</v>
      </c>
      <c r="Q1049" s="2994">
        <v>9.0908999999999995</v>
      </c>
      <c r="R1049" s="2994">
        <v>8.3332999999999995</v>
      </c>
      <c r="S1049" s="2994">
        <v>8.5</v>
      </c>
      <c r="T1049" s="2994">
        <v>8</v>
      </c>
      <c r="U1049" s="2994">
        <v>10</v>
      </c>
      <c r="V1049" s="2994">
        <v>9</v>
      </c>
      <c r="W1049" s="2994">
        <v>8.4</v>
      </c>
      <c r="X1049" s="2994">
        <v>8.3332999999999995</v>
      </c>
      <c r="Y1049" s="2994">
        <v>7.0587999999999997</v>
      </c>
      <c r="Z1049" s="2994">
        <v>7.2941000000000003</v>
      </c>
      <c r="AA1049" s="2994">
        <v>7.2222</v>
      </c>
      <c r="AB1049" s="2994">
        <v>7</v>
      </c>
      <c r="AC1049" s="2994">
        <v>7.4</v>
      </c>
      <c r="AD1049" s="2994">
        <v>7.8</v>
      </c>
      <c r="AE1049" s="2994">
        <v>8</v>
      </c>
      <c r="AF1049" s="2994">
        <v>7</v>
      </c>
      <c r="AG1049" s="2994">
        <v>6.5</v>
      </c>
      <c r="AH1049" s="2994">
        <v>7</v>
      </c>
      <c r="AI1049" s="2994">
        <v>7.3098999999999998</v>
      </c>
      <c r="AJ1049" s="2994">
        <v>7.4977</v>
      </c>
      <c r="AK1049" s="2994">
        <v>7.8261000000000003</v>
      </c>
      <c r="AL1049" s="2994">
        <v>8.2681000000000004</v>
      </c>
      <c r="AM1049" s="2994">
        <v>8.4033999999999995</v>
      </c>
      <c r="AN1049" s="2994">
        <v>8</v>
      </c>
      <c r="AO1049" s="2994">
        <v>7.1429</v>
      </c>
      <c r="AP1049" s="2994">
        <v>8.2219999999999995</v>
      </c>
      <c r="AQ1049" s="2994">
        <v>8.1818000000000008</v>
      </c>
      <c r="AR1049" s="2994">
        <v>8.2990999999999993</v>
      </c>
      <c r="AS1049" s="2994">
        <v>8.1667000000000005</v>
      </c>
      <c r="AT1049" s="2994">
        <v>7.319</v>
      </c>
      <c r="AU1049" s="2994">
        <v>7.6923000000000004</v>
      </c>
      <c r="AV1049" s="2994">
        <v>7.2853000000000003</v>
      </c>
      <c r="AW1049" s="2994">
        <v>7.0273000000000003</v>
      </c>
      <c r="AX1049" s="2994">
        <v>6.8571</v>
      </c>
      <c r="AY1049" s="2994">
        <v>6.8966000000000003</v>
      </c>
      <c r="AZ1049" s="2994">
        <v>7.3333000000000004</v>
      </c>
      <c r="BA1049" s="2994">
        <v>6.875</v>
      </c>
      <c r="BB1049" s="2994">
        <v>6.8460000000000001</v>
      </c>
      <c r="BC1049" s="2994">
        <v>6.7257999999999996</v>
      </c>
      <c r="BD1049" s="3471">
        <v>6.8559000000000001</v>
      </c>
      <c r="BE1049" s="3471">
        <v>6.9047999999999998</v>
      </c>
      <c r="BF1049" s="3471">
        <v>0</v>
      </c>
    </row>
    <row r="1050" spans="1:58">
      <c r="A1050" s="1817" t="str">
        <f t="shared" si="33"/>
        <v>South-Eastern AsiaFruit, tropical fresh nes</v>
      </c>
      <c r="B1050" s="1818" t="s">
        <v>1394</v>
      </c>
      <c r="C1050" s="1818" t="s">
        <v>7327</v>
      </c>
      <c r="D1050" s="3463" t="str">
        <f>VLOOKUP(B1050,List_Yield!$G$4:$J$14,4,FALSE)</f>
        <v>Asia (Insular)</v>
      </c>
      <c r="E1050" s="3463" t="str">
        <f t="shared" si="32"/>
        <v>Asia (Insular)Fruit, tropical fresh nes</v>
      </c>
      <c r="F1050" s="2994">
        <v>7.4183000000000003</v>
      </c>
      <c r="G1050" s="2994">
        <v>7.4249999999999998</v>
      </c>
      <c r="H1050" s="2994">
        <v>7.4598000000000004</v>
      </c>
      <c r="I1050" s="2994">
        <v>7.4462999999999999</v>
      </c>
      <c r="J1050" s="2994">
        <v>7.5399000000000003</v>
      </c>
      <c r="K1050" s="2994">
        <v>7.6717000000000004</v>
      </c>
      <c r="L1050" s="2994">
        <v>7.5696000000000003</v>
      </c>
      <c r="M1050" s="2994">
        <v>7.5548999999999999</v>
      </c>
      <c r="N1050" s="2994">
        <v>7.5401999999999996</v>
      </c>
      <c r="O1050" s="2994">
        <v>7.4997999999999996</v>
      </c>
      <c r="P1050" s="2994">
        <v>7.5887000000000002</v>
      </c>
      <c r="Q1050" s="2994">
        <v>7.4488000000000003</v>
      </c>
      <c r="R1050" s="2994">
        <v>7.3982999999999999</v>
      </c>
      <c r="S1050" s="2994">
        <v>7.4787999999999997</v>
      </c>
      <c r="T1050" s="2994">
        <v>7.4881000000000002</v>
      </c>
      <c r="U1050" s="2994">
        <v>7.6060999999999996</v>
      </c>
      <c r="V1050" s="2994">
        <v>7.5987</v>
      </c>
      <c r="W1050" s="2994">
        <v>7.6654999999999998</v>
      </c>
      <c r="X1050" s="2994">
        <v>7.6473000000000004</v>
      </c>
      <c r="Y1050" s="2994">
        <v>7.7507999999999999</v>
      </c>
      <c r="Z1050" s="2994">
        <v>7.6908000000000003</v>
      </c>
      <c r="AA1050" s="2994">
        <v>8.0925999999999991</v>
      </c>
      <c r="AB1050" s="2994">
        <v>7.9953000000000003</v>
      </c>
      <c r="AC1050" s="2994">
        <v>7.8773999999999997</v>
      </c>
      <c r="AD1050" s="2994">
        <v>7.6577000000000002</v>
      </c>
      <c r="AE1050" s="2994">
        <v>7.7118000000000002</v>
      </c>
      <c r="AF1050" s="2994">
        <v>8.0077999999999996</v>
      </c>
      <c r="AG1050" s="2994">
        <v>8.0885999999999996</v>
      </c>
      <c r="AH1050" s="2994">
        <v>7.9465000000000003</v>
      </c>
      <c r="AI1050" s="2994">
        <v>7.5208000000000004</v>
      </c>
      <c r="AJ1050" s="2994">
        <v>7.3657000000000004</v>
      </c>
      <c r="AK1050" s="2994">
        <v>7.3807999999999998</v>
      </c>
      <c r="AL1050" s="2994">
        <v>8.1766000000000005</v>
      </c>
      <c r="AM1050" s="2994">
        <v>8.0480999999999998</v>
      </c>
      <c r="AN1050" s="2994">
        <v>8.0570000000000004</v>
      </c>
      <c r="AO1050" s="2994">
        <v>9.0143000000000004</v>
      </c>
      <c r="AP1050" s="2994">
        <v>7.8381999999999996</v>
      </c>
      <c r="AQ1050" s="2994">
        <v>7.2302</v>
      </c>
      <c r="AR1050" s="2994">
        <v>7.5541</v>
      </c>
      <c r="AS1050" s="2994">
        <v>8.6097000000000001</v>
      </c>
      <c r="AT1050" s="2994">
        <v>8.0036000000000005</v>
      </c>
      <c r="AU1050" s="2994">
        <v>8.7202999999999999</v>
      </c>
      <c r="AV1050" s="2994">
        <v>8.6835000000000004</v>
      </c>
      <c r="AW1050" s="2994">
        <v>8.9512</v>
      </c>
      <c r="AX1050" s="2994">
        <v>8.5825999999999993</v>
      </c>
      <c r="AY1050" s="2994">
        <v>7.5735999999999999</v>
      </c>
      <c r="AZ1050" s="2994">
        <v>7.5810000000000004</v>
      </c>
      <c r="BA1050" s="2994">
        <v>7.6165000000000003</v>
      </c>
      <c r="BB1050" s="2994">
        <v>8.1030999999999995</v>
      </c>
      <c r="BC1050" s="2994">
        <v>7.3711000000000002</v>
      </c>
      <c r="BD1050" s="3471">
        <v>7.7476000000000003</v>
      </c>
      <c r="BE1050" s="3471">
        <v>7.9782999999999999</v>
      </c>
      <c r="BF1050" s="3471">
        <v>0</v>
      </c>
    </row>
    <row r="1051" spans="1:58">
      <c r="A1051" s="1817" t="str">
        <f t="shared" si="33"/>
        <v>South-Eastern AsiaGarlic</v>
      </c>
      <c r="B1051" s="1818" t="s">
        <v>1394</v>
      </c>
      <c r="C1051" s="1818" t="s">
        <v>7328</v>
      </c>
      <c r="D1051" s="3463" t="str">
        <f>VLOOKUP(B1051,List_Yield!$G$4:$J$14,4,FALSE)</f>
        <v>Asia (Insular)</v>
      </c>
      <c r="E1051" s="3463" t="str">
        <f t="shared" si="32"/>
        <v>Asia (Insular)Garlic</v>
      </c>
      <c r="F1051" s="2994">
        <v>2.1516999999999999</v>
      </c>
      <c r="G1051" s="2994">
        <v>2.0853999999999999</v>
      </c>
      <c r="H1051" s="2994">
        <v>2.0861000000000001</v>
      </c>
      <c r="I1051" s="2994">
        <v>2.1467000000000001</v>
      </c>
      <c r="J1051" s="2994">
        <v>2.1806000000000001</v>
      </c>
      <c r="K1051" s="2994">
        <v>2.1928999999999998</v>
      </c>
      <c r="L1051" s="2994">
        <v>2.1985000000000001</v>
      </c>
      <c r="M1051" s="2994">
        <v>2.5760999999999998</v>
      </c>
      <c r="N1051" s="2994">
        <v>2.2639</v>
      </c>
      <c r="O1051" s="2994">
        <v>2.6705999999999999</v>
      </c>
      <c r="P1051" s="2994">
        <v>3.6166</v>
      </c>
      <c r="Q1051" s="2994">
        <v>2.8626999999999998</v>
      </c>
      <c r="R1051" s="2994">
        <v>4.8445999999999998</v>
      </c>
      <c r="S1051" s="2994">
        <v>4.2111000000000001</v>
      </c>
      <c r="T1051" s="2994">
        <v>4.4470000000000001</v>
      </c>
      <c r="U1051" s="2994">
        <v>5.1538000000000004</v>
      </c>
      <c r="V1051" s="2994">
        <v>3.6810999999999998</v>
      </c>
      <c r="W1051" s="2994">
        <v>3.5274999999999999</v>
      </c>
      <c r="X1051" s="2994">
        <v>4.1273</v>
      </c>
      <c r="Y1051" s="2994">
        <v>4.0538999999999996</v>
      </c>
      <c r="Z1051" s="2994">
        <v>3.3527</v>
      </c>
      <c r="AA1051" s="2994">
        <v>3.3658999999999999</v>
      </c>
      <c r="AB1051" s="2994">
        <v>3.0179</v>
      </c>
      <c r="AC1051" s="2994">
        <v>3.5937999999999999</v>
      </c>
      <c r="AD1051" s="2994">
        <v>3.8946999999999998</v>
      </c>
      <c r="AE1051" s="2994">
        <v>3.8334000000000001</v>
      </c>
      <c r="AF1051" s="2994">
        <v>3.9613</v>
      </c>
      <c r="AG1051" s="2994">
        <v>4.0334000000000003</v>
      </c>
      <c r="AH1051" s="2994">
        <v>4.2443999999999997</v>
      </c>
      <c r="AI1051" s="2994">
        <v>4.4058000000000002</v>
      </c>
      <c r="AJ1051" s="2994">
        <v>4.8541999999999996</v>
      </c>
      <c r="AK1051" s="2994">
        <v>4.9204999999999997</v>
      </c>
      <c r="AL1051" s="2994">
        <v>4.8014999999999999</v>
      </c>
      <c r="AM1051" s="2994">
        <v>4.9720000000000004</v>
      </c>
      <c r="AN1051" s="2994">
        <v>5.1997999999999998</v>
      </c>
      <c r="AO1051" s="2994">
        <v>5.3289</v>
      </c>
      <c r="AP1051" s="2994">
        <v>4.6660000000000004</v>
      </c>
      <c r="AQ1051" s="2994">
        <v>4.5087999999999999</v>
      </c>
      <c r="AR1051" s="2994">
        <v>4.7531999999999996</v>
      </c>
      <c r="AS1051" s="2994">
        <v>4.9116999999999997</v>
      </c>
      <c r="AT1051" s="2994">
        <v>4.8577000000000004</v>
      </c>
      <c r="AU1051" s="2994">
        <v>5.1875</v>
      </c>
      <c r="AV1051" s="2994">
        <v>5.1656000000000004</v>
      </c>
      <c r="AW1051" s="2994">
        <v>5.6308999999999996</v>
      </c>
      <c r="AX1051" s="2994">
        <v>5.7538</v>
      </c>
      <c r="AY1051" s="2994">
        <v>5.7510000000000003</v>
      </c>
      <c r="AZ1051" s="2994">
        <v>5.8512000000000004</v>
      </c>
      <c r="BA1051" s="2994">
        <v>6.3220999999999998</v>
      </c>
      <c r="BB1051" s="2994">
        <v>6.4523000000000001</v>
      </c>
      <c r="BC1051" s="2994">
        <v>6.5883000000000003</v>
      </c>
      <c r="BD1051" s="3471">
        <v>6.7816999999999998</v>
      </c>
      <c r="BE1051" s="3471">
        <v>6.7683999999999997</v>
      </c>
      <c r="BF1051" s="3471">
        <v>0</v>
      </c>
    </row>
    <row r="1052" spans="1:58">
      <c r="A1052" s="1817" t="str">
        <f t="shared" si="33"/>
        <v>South-Eastern AsiaGinger</v>
      </c>
      <c r="B1052" s="1818" t="s">
        <v>1394</v>
      </c>
      <c r="C1052" s="1818" t="s">
        <v>7329</v>
      </c>
      <c r="D1052" s="3463" t="str">
        <f>VLOOKUP(B1052,List_Yield!$G$4:$J$14,4,FALSE)</f>
        <v>Asia (Insular)</v>
      </c>
      <c r="E1052" s="3463" t="str">
        <f t="shared" si="32"/>
        <v>Asia (Insular)Ginger</v>
      </c>
      <c r="F1052" s="2994">
        <v>1.5362</v>
      </c>
      <c r="G1052" s="2994">
        <v>2.1303999999999998</v>
      </c>
      <c r="H1052" s="2994">
        <v>2.0859999999999999</v>
      </c>
      <c r="I1052" s="2994">
        <v>2.0815999999999999</v>
      </c>
      <c r="J1052" s="2994">
        <v>2.0577000000000001</v>
      </c>
      <c r="K1052" s="2994">
        <v>2.0377000000000001</v>
      </c>
      <c r="L1052" s="2994">
        <v>2</v>
      </c>
      <c r="M1052" s="2994">
        <v>1.9885999999999999</v>
      </c>
      <c r="N1052" s="2994">
        <v>1.9818</v>
      </c>
      <c r="O1052" s="2994">
        <v>1.9503999999999999</v>
      </c>
      <c r="P1052" s="2994">
        <v>1.9051</v>
      </c>
      <c r="Q1052" s="2994">
        <v>2.3311999999999999</v>
      </c>
      <c r="R1052" s="2994">
        <v>2.5394000000000001</v>
      </c>
      <c r="S1052" s="2994">
        <v>3.0474999999999999</v>
      </c>
      <c r="T1052" s="2994">
        <v>3.3525999999999998</v>
      </c>
      <c r="U1052" s="2994">
        <v>4.2072000000000003</v>
      </c>
      <c r="V1052" s="2994">
        <v>4.5202999999999998</v>
      </c>
      <c r="W1052" s="2994">
        <v>4.6097999999999999</v>
      </c>
      <c r="X1052" s="2994">
        <v>4.4442000000000004</v>
      </c>
      <c r="Y1052" s="2994">
        <v>4.7469999999999999</v>
      </c>
      <c r="Z1052" s="2994">
        <v>5.7629000000000001</v>
      </c>
      <c r="AA1052" s="2994">
        <v>5.7617000000000003</v>
      </c>
      <c r="AB1052" s="2994">
        <v>5.8197000000000001</v>
      </c>
      <c r="AC1052" s="2994">
        <v>5.7272999999999996</v>
      </c>
      <c r="AD1052" s="2994">
        <v>6.2442000000000002</v>
      </c>
      <c r="AE1052" s="2994">
        <v>5.8765999999999998</v>
      </c>
      <c r="AF1052" s="2994">
        <v>5.4401000000000002</v>
      </c>
      <c r="AG1052" s="2994">
        <v>5.5167000000000002</v>
      </c>
      <c r="AH1052" s="2994">
        <v>5.8425000000000002</v>
      </c>
      <c r="AI1052" s="2994">
        <v>5.5942999999999996</v>
      </c>
      <c r="AJ1052" s="2994">
        <v>6.0141999999999998</v>
      </c>
      <c r="AK1052" s="2994">
        <v>5.8754</v>
      </c>
      <c r="AL1052" s="2994">
        <v>6.5548000000000002</v>
      </c>
      <c r="AM1052" s="2994">
        <v>6.4531999999999998</v>
      </c>
      <c r="AN1052" s="2994">
        <v>7.194</v>
      </c>
      <c r="AO1052" s="2994">
        <v>7.8118999999999996</v>
      </c>
      <c r="AP1052" s="2994">
        <v>8.1292000000000009</v>
      </c>
      <c r="AQ1052" s="2994">
        <v>10.026999999999999</v>
      </c>
      <c r="AR1052" s="2994">
        <v>8.7021999999999995</v>
      </c>
      <c r="AS1052" s="2994">
        <v>8.7668999999999997</v>
      </c>
      <c r="AT1052" s="2994">
        <v>9.3143999999999991</v>
      </c>
      <c r="AU1052" s="2994">
        <v>9.5422999999999991</v>
      </c>
      <c r="AV1052" s="2994">
        <v>10.291399999999999</v>
      </c>
      <c r="AW1052" s="2994">
        <v>9.2537000000000003</v>
      </c>
      <c r="AX1052" s="2994">
        <v>10.1244</v>
      </c>
      <c r="AY1052" s="2994">
        <v>6.1959999999999997</v>
      </c>
      <c r="AZ1052" s="2994">
        <v>5.6990999999999996</v>
      </c>
      <c r="BA1052" s="2994">
        <v>6.9696999999999996</v>
      </c>
      <c r="BB1052" s="2994">
        <v>7.7941000000000003</v>
      </c>
      <c r="BC1052" s="2994">
        <v>8.0418000000000003</v>
      </c>
      <c r="BD1052" s="3471">
        <v>7.9249000000000001</v>
      </c>
      <c r="BE1052" s="3471">
        <v>7.6752000000000002</v>
      </c>
      <c r="BF1052" s="3471">
        <v>0</v>
      </c>
    </row>
    <row r="1053" spans="1:58">
      <c r="A1053" s="1817" t="str">
        <f t="shared" si="33"/>
        <v>South-Eastern AsiaGooseberries</v>
      </c>
      <c r="B1053" s="1818" t="s">
        <v>1394</v>
      </c>
      <c r="C1053" s="1818" t="s">
        <v>7330</v>
      </c>
      <c r="D1053" s="3463" t="str">
        <f>VLOOKUP(B1053,List_Yield!$G$4:$J$14,4,FALSE)</f>
        <v>Asia (Insular)</v>
      </c>
      <c r="E1053" s="3463" t="str">
        <f t="shared" si="32"/>
        <v>Asia (Insular)Gooseberries</v>
      </c>
      <c r="F1053" s="2994">
        <v>0</v>
      </c>
      <c r="G1053" s="2994">
        <v>0</v>
      </c>
      <c r="H1053" s="2994">
        <v>0</v>
      </c>
      <c r="I1053" s="2994">
        <v>0</v>
      </c>
      <c r="J1053" s="2994">
        <v>0</v>
      </c>
      <c r="K1053" s="2994">
        <v>0</v>
      </c>
      <c r="L1053" s="2994">
        <v>0</v>
      </c>
      <c r="M1053" s="2994">
        <v>0</v>
      </c>
      <c r="N1053" s="2994">
        <v>0</v>
      </c>
      <c r="O1053" s="2994">
        <v>0</v>
      </c>
      <c r="P1053" s="2994">
        <v>0</v>
      </c>
      <c r="Q1053" s="2994">
        <v>0</v>
      </c>
      <c r="R1053" s="2994">
        <v>0</v>
      </c>
      <c r="S1053" s="2994">
        <v>0</v>
      </c>
      <c r="T1053" s="2994">
        <v>0</v>
      </c>
      <c r="U1053" s="2994">
        <v>0</v>
      </c>
      <c r="V1053" s="2994">
        <v>0</v>
      </c>
      <c r="W1053" s="2994">
        <v>0</v>
      </c>
      <c r="X1053" s="2994">
        <v>0</v>
      </c>
      <c r="Y1053" s="2994">
        <v>0</v>
      </c>
      <c r="Z1053" s="2994">
        <v>0</v>
      </c>
      <c r="AA1053" s="2994">
        <v>0</v>
      </c>
      <c r="AB1053" s="2994">
        <v>0</v>
      </c>
      <c r="AC1053" s="2994">
        <v>0</v>
      </c>
      <c r="AD1053" s="2994">
        <v>0</v>
      </c>
      <c r="AE1053" s="2994">
        <v>0</v>
      </c>
      <c r="AF1053" s="2994">
        <v>0</v>
      </c>
      <c r="AG1053" s="2994">
        <v>0</v>
      </c>
      <c r="AH1053" s="2994">
        <v>0</v>
      </c>
      <c r="AI1053" s="2994">
        <v>0</v>
      </c>
      <c r="AJ1053" s="2994">
        <v>0</v>
      </c>
      <c r="AK1053" s="2994">
        <v>0</v>
      </c>
      <c r="AL1053" s="2994">
        <v>0</v>
      </c>
      <c r="AM1053" s="2994">
        <v>0</v>
      </c>
      <c r="AN1053" s="2994">
        <v>0</v>
      </c>
      <c r="AO1053" s="2994">
        <v>0</v>
      </c>
      <c r="AP1053" s="2994">
        <v>0</v>
      </c>
      <c r="AQ1053" s="2994">
        <v>0</v>
      </c>
      <c r="AR1053" s="2994">
        <v>0</v>
      </c>
      <c r="AS1053" s="2994">
        <v>0</v>
      </c>
      <c r="AT1053" s="2994">
        <v>0</v>
      </c>
      <c r="AU1053" s="2994">
        <v>0</v>
      </c>
      <c r="AV1053" s="2994">
        <v>0</v>
      </c>
      <c r="AW1053" s="2994">
        <v>0</v>
      </c>
      <c r="AX1053" s="2994">
        <v>0</v>
      </c>
      <c r="AY1053" s="2994">
        <v>0</v>
      </c>
      <c r="AZ1053" s="2994">
        <v>0</v>
      </c>
      <c r="BA1053" s="2994">
        <v>0</v>
      </c>
      <c r="BB1053" s="2994">
        <v>0</v>
      </c>
      <c r="BC1053" s="2994">
        <v>0</v>
      </c>
      <c r="BD1053" s="3471">
        <v>0</v>
      </c>
      <c r="BE1053" s="3471">
        <v>0</v>
      </c>
      <c r="BF1053" s="3471">
        <v>0</v>
      </c>
    </row>
    <row r="1054" spans="1:58">
      <c r="A1054" s="1817" t="str">
        <f t="shared" si="33"/>
        <v>South-Eastern AsiaGrain, mixed</v>
      </c>
      <c r="B1054" s="1818" t="s">
        <v>1394</v>
      </c>
      <c r="C1054" s="1818" t="s">
        <v>7331</v>
      </c>
      <c r="D1054" s="3463" t="str">
        <f>VLOOKUP(B1054,List_Yield!$G$4:$J$14,4,FALSE)</f>
        <v>Asia (Insular)</v>
      </c>
      <c r="E1054" s="3463" t="str">
        <f t="shared" si="32"/>
        <v>Asia (Insular)Grain, mixed</v>
      </c>
      <c r="F1054" s="2994">
        <v>0</v>
      </c>
      <c r="G1054" s="2994">
        <v>0</v>
      </c>
      <c r="H1054" s="2994">
        <v>0</v>
      </c>
      <c r="I1054" s="2994">
        <v>0</v>
      </c>
      <c r="J1054" s="2994">
        <v>0</v>
      </c>
      <c r="K1054" s="2994">
        <v>0</v>
      </c>
      <c r="L1054" s="2994">
        <v>0</v>
      </c>
      <c r="M1054" s="2994">
        <v>0</v>
      </c>
      <c r="N1054" s="2994">
        <v>0</v>
      </c>
      <c r="O1054" s="2994">
        <v>0</v>
      </c>
      <c r="P1054" s="2994">
        <v>0</v>
      </c>
      <c r="Q1054" s="2994">
        <v>0</v>
      </c>
      <c r="R1054" s="2994">
        <v>0</v>
      </c>
      <c r="S1054" s="2994">
        <v>0</v>
      </c>
      <c r="T1054" s="2994">
        <v>0</v>
      </c>
      <c r="U1054" s="2994">
        <v>0</v>
      </c>
      <c r="V1054" s="2994">
        <v>0</v>
      </c>
      <c r="W1054" s="2994">
        <v>0</v>
      </c>
      <c r="X1054" s="2994">
        <v>0</v>
      </c>
      <c r="Y1054" s="2994">
        <v>0</v>
      </c>
      <c r="Z1054" s="2994">
        <v>0</v>
      </c>
      <c r="AA1054" s="2994">
        <v>0</v>
      </c>
      <c r="AB1054" s="2994">
        <v>0</v>
      </c>
      <c r="AC1054" s="2994">
        <v>0</v>
      </c>
      <c r="AD1054" s="2994">
        <v>0</v>
      </c>
      <c r="AE1054" s="2994">
        <v>0</v>
      </c>
      <c r="AF1054" s="2994">
        <v>0</v>
      </c>
      <c r="AG1054" s="2994">
        <v>0</v>
      </c>
      <c r="AH1054" s="2994">
        <v>0</v>
      </c>
      <c r="AI1054" s="2994">
        <v>0</v>
      </c>
      <c r="AJ1054" s="2994">
        <v>0</v>
      </c>
      <c r="AK1054" s="2994">
        <v>0</v>
      </c>
      <c r="AL1054" s="2994">
        <v>0</v>
      </c>
      <c r="AM1054" s="2994">
        <v>0</v>
      </c>
      <c r="AN1054" s="2994">
        <v>0</v>
      </c>
      <c r="AO1054" s="2994">
        <v>0</v>
      </c>
      <c r="AP1054" s="2994">
        <v>0</v>
      </c>
      <c r="AQ1054" s="2994">
        <v>0</v>
      </c>
      <c r="AR1054" s="2994">
        <v>0</v>
      </c>
      <c r="AS1054" s="2994">
        <v>0</v>
      </c>
      <c r="AT1054" s="2994">
        <v>0</v>
      </c>
      <c r="AU1054" s="2994">
        <v>0</v>
      </c>
      <c r="AV1054" s="2994">
        <v>0</v>
      </c>
      <c r="AW1054" s="2994">
        <v>0</v>
      </c>
      <c r="AX1054" s="2994">
        <v>0</v>
      </c>
      <c r="AY1054" s="2994">
        <v>0</v>
      </c>
      <c r="AZ1054" s="2994">
        <v>0</v>
      </c>
      <c r="BA1054" s="2994">
        <v>0</v>
      </c>
      <c r="BB1054" s="2994">
        <v>0</v>
      </c>
      <c r="BC1054" s="2994">
        <v>0</v>
      </c>
      <c r="BD1054" s="3471">
        <v>0</v>
      </c>
      <c r="BE1054" s="3471">
        <v>0</v>
      </c>
      <c r="BF1054" s="3471">
        <v>0</v>
      </c>
    </row>
    <row r="1055" spans="1:58">
      <c r="A1055" s="1817" t="str">
        <f t="shared" si="33"/>
        <v>South-Eastern AsiaGrapefruit (inc. pomelos)</v>
      </c>
      <c r="B1055" s="1818" t="s">
        <v>1394</v>
      </c>
      <c r="C1055" s="1818" t="s">
        <v>1351</v>
      </c>
      <c r="D1055" s="3463" t="str">
        <f>VLOOKUP(B1055,List_Yield!$G$4:$J$14,4,FALSE)</f>
        <v>Asia (Insular)</v>
      </c>
      <c r="E1055" s="3463" t="str">
        <f t="shared" si="32"/>
        <v>Asia (Insular)Grapefruit (inc. pomelos)</v>
      </c>
      <c r="F1055" s="2994">
        <v>3.2501000000000002</v>
      </c>
      <c r="G1055" s="2994">
        <v>3.3727999999999998</v>
      </c>
      <c r="H1055" s="2994">
        <v>3.3704000000000001</v>
      </c>
      <c r="I1055" s="2994">
        <v>3.2488999999999999</v>
      </c>
      <c r="J1055" s="2994">
        <v>3.2225000000000001</v>
      </c>
      <c r="K1055" s="2994">
        <v>3.2997999999999998</v>
      </c>
      <c r="L1055" s="2994">
        <v>3.5024000000000002</v>
      </c>
      <c r="M1055" s="2994">
        <v>3.3451</v>
      </c>
      <c r="N1055" s="2994">
        <v>3.5958999999999999</v>
      </c>
      <c r="O1055" s="2994">
        <v>3.6631</v>
      </c>
      <c r="P1055" s="2994">
        <v>3.5958000000000001</v>
      </c>
      <c r="Q1055" s="2994">
        <v>3.4510999999999998</v>
      </c>
      <c r="R1055" s="2994">
        <v>3.1697000000000002</v>
      </c>
      <c r="S1055" s="2994">
        <v>2.8757999999999999</v>
      </c>
      <c r="T1055" s="2994">
        <v>2.9798</v>
      </c>
      <c r="U1055" s="2994">
        <v>3.2296999999999998</v>
      </c>
      <c r="V1055" s="2994">
        <v>3.2774000000000001</v>
      </c>
      <c r="W1055" s="2994">
        <v>3.4895</v>
      </c>
      <c r="X1055" s="2994">
        <v>3.7597</v>
      </c>
      <c r="Y1055" s="2994">
        <v>3.8599000000000001</v>
      </c>
      <c r="Z1055" s="2994">
        <v>3.661</v>
      </c>
      <c r="AA1055" s="2994">
        <v>3.7267999999999999</v>
      </c>
      <c r="AB1055" s="2994">
        <v>3.5720999999999998</v>
      </c>
      <c r="AC1055" s="2994">
        <v>4.1364999999999998</v>
      </c>
      <c r="AD1055" s="2994">
        <v>3.86</v>
      </c>
      <c r="AE1055" s="2994">
        <v>3.7378999999999998</v>
      </c>
      <c r="AF1055" s="2994">
        <v>3.5733000000000001</v>
      </c>
      <c r="AG1055" s="2994">
        <v>3.8691</v>
      </c>
      <c r="AH1055" s="2994">
        <v>4.6231999999999998</v>
      </c>
      <c r="AI1055" s="2994">
        <v>4.1069000000000004</v>
      </c>
      <c r="AJ1055" s="2994">
        <v>4.3211000000000004</v>
      </c>
      <c r="AK1055" s="2994">
        <v>4.1634000000000002</v>
      </c>
      <c r="AL1055" s="2994">
        <v>4.5654000000000003</v>
      </c>
      <c r="AM1055" s="2994">
        <v>5.2103000000000002</v>
      </c>
      <c r="AN1055" s="2994">
        <v>5.1219999999999999</v>
      </c>
      <c r="AO1055" s="2994">
        <v>6.0494000000000003</v>
      </c>
      <c r="AP1055" s="2994">
        <v>6.5804</v>
      </c>
      <c r="AQ1055" s="2994">
        <v>7.1117999999999997</v>
      </c>
      <c r="AR1055" s="2994">
        <v>7.5799000000000003</v>
      </c>
      <c r="AS1055" s="2994">
        <v>8.4004999999999992</v>
      </c>
      <c r="AT1055" s="2994">
        <v>8.4385999999999992</v>
      </c>
      <c r="AU1055" s="2994">
        <v>8.4501000000000008</v>
      </c>
      <c r="AV1055" s="2994">
        <v>9.7963000000000005</v>
      </c>
      <c r="AW1055" s="2994">
        <v>8.9730000000000008</v>
      </c>
      <c r="AX1055" s="2994">
        <v>8.7622</v>
      </c>
      <c r="AY1055" s="2994">
        <v>8.9454999999999991</v>
      </c>
      <c r="AZ1055" s="2994">
        <v>9.0030999999999999</v>
      </c>
      <c r="BA1055" s="2994">
        <v>9.1672999999999991</v>
      </c>
      <c r="BB1055" s="2994">
        <v>8.8722999999999992</v>
      </c>
      <c r="BC1055" s="2994">
        <v>8.7469999999999999</v>
      </c>
      <c r="BD1055" s="3471">
        <v>8.7539999999999996</v>
      </c>
      <c r="BE1055" s="3471">
        <v>9.0018999999999991</v>
      </c>
      <c r="BF1055" s="3471">
        <v>0</v>
      </c>
    </row>
    <row r="1056" spans="1:58">
      <c r="A1056" s="1817" t="str">
        <f t="shared" si="33"/>
        <v>South-Eastern AsiaGrapes</v>
      </c>
      <c r="B1056" s="1818" t="s">
        <v>1394</v>
      </c>
      <c r="C1056" s="1818" t="s">
        <v>1352</v>
      </c>
      <c r="D1056" s="3463" t="str">
        <f>VLOOKUP(B1056,List_Yield!$G$4:$J$14,4,FALSE)</f>
        <v>Asia (Insular)</v>
      </c>
      <c r="E1056" s="3463" t="str">
        <f t="shared" si="32"/>
        <v>Asia (Insular)Grapes</v>
      </c>
      <c r="F1056" s="2994">
        <v>6.5</v>
      </c>
      <c r="G1056" s="2994">
        <v>6.5</v>
      </c>
      <c r="H1056" s="2994">
        <v>6.5</v>
      </c>
      <c r="I1056" s="2994">
        <v>6.5</v>
      </c>
      <c r="J1056" s="2994">
        <v>6.5</v>
      </c>
      <c r="K1056" s="2994">
        <v>6.5</v>
      </c>
      <c r="L1056" s="2994">
        <v>6.5</v>
      </c>
      <c r="M1056" s="2994">
        <v>6.5</v>
      </c>
      <c r="N1056" s="2994">
        <v>6.5</v>
      </c>
      <c r="O1056" s="2994">
        <v>6.5</v>
      </c>
      <c r="P1056" s="2994">
        <v>6.8</v>
      </c>
      <c r="Q1056" s="2994">
        <v>6.6666999999999996</v>
      </c>
      <c r="R1056" s="2994">
        <v>7</v>
      </c>
      <c r="S1056" s="2994">
        <v>6.75</v>
      </c>
      <c r="T1056" s="2994">
        <v>6.75</v>
      </c>
      <c r="U1056" s="2994">
        <v>7</v>
      </c>
      <c r="V1056" s="2994">
        <v>7</v>
      </c>
      <c r="W1056" s="2994">
        <v>5.2885999999999997</v>
      </c>
      <c r="X1056" s="2994">
        <v>6.149</v>
      </c>
      <c r="Y1056" s="2994">
        <v>6.2229999999999999</v>
      </c>
      <c r="Z1056" s="2994">
        <v>6.3246000000000002</v>
      </c>
      <c r="AA1056" s="2994">
        <v>6.8863000000000003</v>
      </c>
      <c r="AB1056" s="2994">
        <v>7.1208999999999998</v>
      </c>
      <c r="AC1056" s="2994">
        <v>7.7891000000000004</v>
      </c>
      <c r="AD1056" s="2994">
        <v>8.2601999999999993</v>
      </c>
      <c r="AE1056" s="2994">
        <v>8.7677999999999994</v>
      </c>
      <c r="AF1056" s="2994">
        <v>8.9197000000000006</v>
      </c>
      <c r="AG1056" s="2994">
        <v>8.4659999999999993</v>
      </c>
      <c r="AH1056" s="2994">
        <v>8.5967000000000002</v>
      </c>
      <c r="AI1056" s="2994">
        <v>8.3040000000000003</v>
      </c>
      <c r="AJ1056" s="2994">
        <v>10.2941</v>
      </c>
      <c r="AK1056" s="2994">
        <v>12.063499999999999</v>
      </c>
      <c r="AL1056" s="2994">
        <v>12.6485</v>
      </c>
      <c r="AM1056" s="2994">
        <v>13.179</v>
      </c>
      <c r="AN1056" s="2994">
        <v>14.8674</v>
      </c>
      <c r="AO1056" s="2994">
        <v>13.854900000000001</v>
      </c>
      <c r="AP1056" s="2994">
        <v>14.1622</v>
      </c>
      <c r="AQ1056" s="2994">
        <v>13.8804</v>
      </c>
      <c r="AR1056" s="2994">
        <v>13.090400000000001</v>
      </c>
      <c r="AS1056" s="2994">
        <v>13.003</v>
      </c>
      <c r="AT1056" s="2994">
        <v>13.274800000000001</v>
      </c>
      <c r="AU1056" s="2994">
        <v>13.7073</v>
      </c>
      <c r="AV1056" s="2994">
        <v>13.320499999999999</v>
      </c>
      <c r="AW1056" s="2994">
        <v>14.877000000000001</v>
      </c>
      <c r="AX1056" s="2994">
        <v>15.955</v>
      </c>
      <c r="AY1056" s="2994">
        <v>16.8797</v>
      </c>
      <c r="AZ1056" s="2994">
        <v>17.389600000000002</v>
      </c>
      <c r="BA1056" s="2994">
        <v>17.113900000000001</v>
      </c>
      <c r="BB1056" s="2994">
        <v>17.4191</v>
      </c>
      <c r="BC1056" s="2994">
        <v>16.801200000000001</v>
      </c>
      <c r="BD1056" s="3471">
        <v>16.9345</v>
      </c>
      <c r="BE1056" s="3471">
        <v>17.018799999999999</v>
      </c>
      <c r="BF1056" s="3471">
        <v>0</v>
      </c>
    </row>
    <row r="1057" spans="1:58">
      <c r="A1057" s="1817" t="str">
        <f t="shared" si="33"/>
        <v>South-Eastern AsiaGroundnuts, with shell</v>
      </c>
      <c r="B1057" s="1818" t="s">
        <v>1394</v>
      </c>
      <c r="C1057" s="1818" t="s">
        <v>1353</v>
      </c>
      <c r="D1057" s="3463" t="str">
        <f>VLOOKUP(B1057,List_Yield!$G$4:$J$14,4,FALSE)</f>
        <v>Asia (Insular)</v>
      </c>
      <c r="E1057" s="3463" t="str">
        <f t="shared" si="32"/>
        <v>Asia (Insular)Groundnuts, with shell</v>
      </c>
      <c r="F1057" s="2994">
        <v>0.9698</v>
      </c>
      <c r="G1057" s="2994">
        <v>0.9536</v>
      </c>
      <c r="H1057" s="2994">
        <v>0.89839999999999998</v>
      </c>
      <c r="I1057" s="2994">
        <v>0.88200000000000001</v>
      </c>
      <c r="J1057" s="2994">
        <v>0.90049999999999997</v>
      </c>
      <c r="K1057" s="2994">
        <v>0.88880000000000003</v>
      </c>
      <c r="L1057" s="2994">
        <v>0.89970000000000006</v>
      </c>
      <c r="M1057" s="2994">
        <v>0.98709999999999998</v>
      </c>
      <c r="N1057" s="2994">
        <v>0.91180000000000005</v>
      </c>
      <c r="O1057" s="2994">
        <v>0.95879999999999999</v>
      </c>
      <c r="P1057" s="2994">
        <v>0.9708</v>
      </c>
      <c r="Q1057" s="2994">
        <v>0.97770000000000001</v>
      </c>
      <c r="R1057" s="2994">
        <v>0.89800000000000002</v>
      </c>
      <c r="S1057" s="2994">
        <v>0.93430000000000002</v>
      </c>
      <c r="T1057" s="2994">
        <v>0.99429999999999996</v>
      </c>
      <c r="U1057" s="2994">
        <v>0.95279999999999998</v>
      </c>
      <c r="V1057" s="2994">
        <v>1.0256000000000001</v>
      </c>
      <c r="W1057" s="2994">
        <v>1.1178999999999999</v>
      </c>
      <c r="X1057" s="2994">
        <v>1.1221000000000001</v>
      </c>
      <c r="Y1057" s="2994">
        <v>1.1887000000000001</v>
      </c>
      <c r="Z1057" s="2994">
        <v>1.2330000000000001</v>
      </c>
      <c r="AA1057" s="2994">
        <v>1.2514000000000001</v>
      </c>
      <c r="AB1057" s="2994">
        <v>1.2517</v>
      </c>
      <c r="AC1057" s="2994">
        <v>1.3132999999999999</v>
      </c>
      <c r="AD1057" s="2994">
        <v>1.3221000000000001</v>
      </c>
      <c r="AE1057" s="2994">
        <v>1.3568</v>
      </c>
      <c r="AF1057" s="2994">
        <v>1.2914000000000001</v>
      </c>
      <c r="AG1057" s="2994">
        <v>1.3071999999999999</v>
      </c>
      <c r="AH1057" s="2994">
        <v>1.2726999999999999</v>
      </c>
      <c r="AI1057" s="2994">
        <v>1.3048</v>
      </c>
      <c r="AJ1057" s="2994">
        <v>1.3401000000000001</v>
      </c>
      <c r="AK1057" s="2994">
        <v>1.3328</v>
      </c>
      <c r="AL1057" s="2994">
        <v>1.353</v>
      </c>
      <c r="AM1057" s="2994">
        <v>1.3205</v>
      </c>
      <c r="AN1057" s="2994">
        <v>1.2793000000000001</v>
      </c>
      <c r="AO1057" s="2994">
        <v>1.5165999999999999</v>
      </c>
      <c r="AP1057" s="2994">
        <v>1.5367999999999999</v>
      </c>
      <c r="AQ1057" s="2994">
        <v>1.5466</v>
      </c>
      <c r="AR1057" s="2994">
        <v>1.4812000000000001</v>
      </c>
      <c r="AS1057" s="2994">
        <v>1.5174000000000001</v>
      </c>
      <c r="AT1057" s="2994">
        <v>1.5589</v>
      </c>
      <c r="AU1057" s="2994">
        <v>1.6303000000000001</v>
      </c>
      <c r="AV1057" s="2994">
        <v>1.6617</v>
      </c>
      <c r="AW1057" s="2994">
        <v>1.7284999999999999</v>
      </c>
      <c r="AX1057" s="2994">
        <v>1.7697000000000001</v>
      </c>
      <c r="AY1057" s="2994">
        <v>1.7399</v>
      </c>
      <c r="AZ1057" s="2994">
        <v>1.7696000000000001</v>
      </c>
      <c r="BA1057" s="2994">
        <v>1.7867</v>
      </c>
      <c r="BB1057" s="2994">
        <v>1.8325</v>
      </c>
      <c r="BC1057" s="2994">
        <v>1.8488</v>
      </c>
      <c r="BD1057" s="3471">
        <v>1.8501000000000001</v>
      </c>
      <c r="BE1057" s="3471">
        <v>1.8461000000000001</v>
      </c>
      <c r="BF1057" s="3471">
        <v>1.8384</v>
      </c>
    </row>
    <row r="1058" spans="1:58">
      <c r="A1058" s="1817" t="str">
        <f t="shared" si="33"/>
        <v>South-Eastern AsiaHazelnuts, with shell</v>
      </c>
      <c r="B1058" s="1818" t="s">
        <v>1394</v>
      </c>
      <c r="C1058" s="1818" t="s">
        <v>7332</v>
      </c>
      <c r="D1058" s="3463" t="str">
        <f>VLOOKUP(B1058,List_Yield!$G$4:$J$14,4,FALSE)</f>
        <v>Asia (Insular)</v>
      </c>
      <c r="E1058" s="3463" t="str">
        <f t="shared" si="32"/>
        <v>Asia (Insular)Hazelnuts, with shell</v>
      </c>
      <c r="F1058" s="2994">
        <v>0</v>
      </c>
      <c r="G1058" s="2994">
        <v>0</v>
      </c>
      <c r="H1058" s="2994">
        <v>0</v>
      </c>
      <c r="I1058" s="2994">
        <v>0</v>
      </c>
      <c r="J1058" s="2994">
        <v>0</v>
      </c>
      <c r="K1058" s="2994">
        <v>0</v>
      </c>
      <c r="L1058" s="2994">
        <v>0</v>
      </c>
      <c r="M1058" s="2994">
        <v>0</v>
      </c>
      <c r="N1058" s="2994">
        <v>0</v>
      </c>
      <c r="O1058" s="2994">
        <v>0</v>
      </c>
      <c r="P1058" s="2994">
        <v>0</v>
      </c>
      <c r="Q1058" s="2994">
        <v>0</v>
      </c>
      <c r="R1058" s="2994">
        <v>0</v>
      </c>
      <c r="S1058" s="2994">
        <v>0</v>
      </c>
      <c r="T1058" s="2994">
        <v>0</v>
      </c>
      <c r="U1058" s="2994">
        <v>0</v>
      </c>
      <c r="V1058" s="2994">
        <v>0</v>
      </c>
      <c r="W1058" s="2994">
        <v>0</v>
      </c>
      <c r="X1058" s="2994">
        <v>0</v>
      </c>
      <c r="Y1058" s="2994">
        <v>0</v>
      </c>
      <c r="Z1058" s="2994">
        <v>0</v>
      </c>
      <c r="AA1058" s="2994">
        <v>0</v>
      </c>
      <c r="AB1058" s="2994">
        <v>0</v>
      </c>
      <c r="AC1058" s="2994">
        <v>0</v>
      </c>
      <c r="AD1058" s="2994">
        <v>0</v>
      </c>
      <c r="AE1058" s="2994">
        <v>0</v>
      </c>
      <c r="AF1058" s="2994">
        <v>0</v>
      </c>
      <c r="AG1058" s="2994">
        <v>0</v>
      </c>
      <c r="AH1058" s="2994">
        <v>0</v>
      </c>
      <c r="AI1058" s="2994">
        <v>0</v>
      </c>
      <c r="AJ1058" s="2994">
        <v>0</v>
      </c>
      <c r="AK1058" s="2994">
        <v>0</v>
      </c>
      <c r="AL1058" s="2994">
        <v>0</v>
      </c>
      <c r="AM1058" s="2994">
        <v>0</v>
      </c>
      <c r="AN1058" s="2994">
        <v>0</v>
      </c>
      <c r="AO1058" s="2994">
        <v>0</v>
      </c>
      <c r="AP1058" s="2994">
        <v>0</v>
      </c>
      <c r="AQ1058" s="2994">
        <v>0</v>
      </c>
      <c r="AR1058" s="2994">
        <v>0</v>
      </c>
      <c r="AS1058" s="2994">
        <v>0</v>
      </c>
      <c r="AT1058" s="2994">
        <v>0</v>
      </c>
      <c r="AU1058" s="2994">
        <v>0</v>
      </c>
      <c r="AV1058" s="2994">
        <v>0</v>
      </c>
      <c r="AW1058" s="2994">
        <v>0</v>
      </c>
      <c r="AX1058" s="2994">
        <v>0</v>
      </c>
      <c r="AY1058" s="2994">
        <v>0</v>
      </c>
      <c r="AZ1058" s="2994">
        <v>0</v>
      </c>
      <c r="BA1058" s="2994">
        <v>0</v>
      </c>
      <c r="BB1058" s="2994">
        <v>0</v>
      </c>
      <c r="BC1058" s="2994">
        <v>0</v>
      </c>
      <c r="BD1058" s="3471">
        <v>0</v>
      </c>
      <c r="BE1058" s="3471">
        <v>0</v>
      </c>
      <c r="BF1058" s="3471">
        <v>0</v>
      </c>
    </row>
    <row r="1059" spans="1:58">
      <c r="A1059" s="1817" t="str">
        <f t="shared" si="33"/>
        <v>South-Eastern AsiaHemp tow waste</v>
      </c>
      <c r="B1059" s="1818" t="s">
        <v>1394</v>
      </c>
      <c r="C1059" s="1818" t="s">
        <v>7333</v>
      </c>
      <c r="D1059" s="3463" t="str">
        <f>VLOOKUP(B1059,List_Yield!$G$4:$J$14,4,FALSE)</f>
        <v>Asia (Insular)</v>
      </c>
      <c r="E1059" s="3463" t="str">
        <f t="shared" si="32"/>
        <v>Asia (Insular)Hemp tow waste</v>
      </c>
      <c r="F1059" s="2994">
        <v>0</v>
      </c>
      <c r="G1059" s="2994">
        <v>0</v>
      </c>
      <c r="H1059" s="2994">
        <v>0</v>
      </c>
      <c r="I1059" s="2994">
        <v>0</v>
      </c>
      <c r="J1059" s="2994">
        <v>0</v>
      </c>
      <c r="K1059" s="2994">
        <v>0</v>
      </c>
      <c r="L1059" s="2994">
        <v>0</v>
      </c>
      <c r="M1059" s="2994">
        <v>0</v>
      </c>
      <c r="N1059" s="2994">
        <v>0</v>
      </c>
      <c r="O1059" s="2994">
        <v>0</v>
      </c>
      <c r="P1059" s="2994">
        <v>0</v>
      </c>
      <c r="Q1059" s="2994">
        <v>0</v>
      </c>
      <c r="R1059" s="2994">
        <v>0</v>
      </c>
      <c r="S1059" s="2994">
        <v>0</v>
      </c>
      <c r="T1059" s="2994">
        <v>0</v>
      </c>
      <c r="U1059" s="2994">
        <v>0</v>
      </c>
      <c r="V1059" s="2994">
        <v>0</v>
      </c>
      <c r="W1059" s="2994">
        <v>0</v>
      </c>
      <c r="X1059" s="2994">
        <v>0</v>
      </c>
      <c r="Y1059" s="2994">
        <v>0</v>
      </c>
      <c r="Z1059" s="2994">
        <v>0</v>
      </c>
      <c r="AA1059" s="2994">
        <v>0</v>
      </c>
      <c r="AB1059" s="2994">
        <v>0</v>
      </c>
      <c r="AC1059" s="2994">
        <v>0</v>
      </c>
      <c r="AD1059" s="2994">
        <v>0</v>
      </c>
      <c r="AE1059" s="2994">
        <v>0</v>
      </c>
      <c r="AF1059" s="2994">
        <v>0</v>
      </c>
      <c r="AG1059" s="2994">
        <v>0</v>
      </c>
      <c r="AH1059" s="2994">
        <v>0</v>
      </c>
      <c r="AI1059" s="2994">
        <v>0</v>
      </c>
      <c r="AJ1059" s="2994">
        <v>0</v>
      </c>
      <c r="AK1059" s="2994">
        <v>0</v>
      </c>
      <c r="AL1059" s="2994">
        <v>0</v>
      </c>
      <c r="AM1059" s="2994">
        <v>0</v>
      </c>
      <c r="AN1059" s="2994">
        <v>0</v>
      </c>
      <c r="AO1059" s="2994">
        <v>0</v>
      </c>
      <c r="AP1059" s="2994">
        <v>0</v>
      </c>
      <c r="AQ1059" s="2994">
        <v>0</v>
      </c>
      <c r="AR1059" s="2994">
        <v>0</v>
      </c>
      <c r="AS1059" s="2994">
        <v>0</v>
      </c>
      <c r="AT1059" s="2994">
        <v>0</v>
      </c>
      <c r="AU1059" s="2994">
        <v>0</v>
      </c>
      <c r="AV1059" s="2994">
        <v>0</v>
      </c>
      <c r="AW1059" s="2994">
        <v>0</v>
      </c>
      <c r="AX1059" s="2994">
        <v>0</v>
      </c>
      <c r="AY1059" s="2994">
        <v>0</v>
      </c>
      <c r="AZ1059" s="2994">
        <v>0</v>
      </c>
      <c r="BA1059" s="2994">
        <v>0</v>
      </c>
      <c r="BB1059" s="2994">
        <v>0</v>
      </c>
      <c r="BC1059" s="2994">
        <v>0</v>
      </c>
      <c r="BD1059" s="3471">
        <v>0</v>
      </c>
      <c r="BE1059" s="3471">
        <v>0</v>
      </c>
      <c r="BF1059" s="3471">
        <v>0</v>
      </c>
    </row>
    <row r="1060" spans="1:58">
      <c r="A1060" s="1817" t="str">
        <f t="shared" si="33"/>
        <v>South-Eastern AsiaHempseed</v>
      </c>
      <c r="B1060" s="1818" t="s">
        <v>1394</v>
      </c>
      <c r="C1060" s="1818" t="s">
        <v>7334</v>
      </c>
      <c r="D1060" s="3463" t="str">
        <f>VLOOKUP(B1060,List_Yield!$G$4:$J$14,4,FALSE)</f>
        <v>Asia (Insular)</v>
      </c>
      <c r="E1060" s="3463" t="str">
        <f t="shared" si="32"/>
        <v>Asia (Insular)Hempseed</v>
      </c>
      <c r="F1060" s="2994">
        <v>0</v>
      </c>
      <c r="G1060" s="2994">
        <v>0</v>
      </c>
      <c r="H1060" s="2994">
        <v>0</v>
      </c>
      <c r="I1060" s="2994">
        <v>0</v>
      </c>
      <c r="J1060" s="2994">
        <v>0</v>
      </c>
      <c r="K1060" s="2994">
        <v>0</v>
      </c>
      <c r="L1060" s="2994">
        <v>0</v>
      </c>
      <c r="M1060" s="2994">
        <v>0</v>
      </c>
      <c r="N1060" s="2994">
        <v>0</v>
      </c>
      <c r="O1060" s="2994">
        <v>0</v>
      </c>
      <c r="P1060" s="2994">
        <v>0</v>
      </c>
      <c r="Q1060" s="2994">
        <v>0</v>
      </c>
      <c r="R1060" s="2994">
        <v>0</v>
      </c>
      <c r="S1060" s="2994">
        <v>0</v>
      </c>
      <c r="T1060" s="2994">
        <v>0</v>
      </c>
      <c r="U1060" s="2994">
        <v>0</v>
      </c>
      <c r="V1060" s="2994">
        <v>0</v>
      </c>
      <c r="W1060" s="2994">
        <v>0</v>
      </c>
      <c r="X1060" s="2994">
        <v>0</v>
      </c>
      <c r="Y1060" s="2994">
        <v>0</v>
      </c>
      <c r="Z1060" s="2994">
        <v>0</v>
      </c>
      <c r="AA1060" s="2994">
        <v>0</v>
      </c>
      <c r="AB1060" s="2994">
        <v>0</v>
      </c>
      <c r="AC1060" s="2994">
        <v>0</v>
      </c>
      <c r="AD1060" s="2994">
        <v>0</v>
      </c>
      <c r="AE1060" s="2994">
        <v>0</v>
      </c>
      <c r="AF1060" s="2994">
        <v>0</v>
      </c>
      <c r="AG1060" s="2994">
        <v>0</v>
      </c>
      <c r="AH1060" s="2994">
        <v>0</v>
      </c>
      <c r="AI1060" s="2994">
        <v>0</v>
      </c>
      <c r="AJ1060" s="2994">
        <v>0</v>
      </c>
      <c r="AK1060" s="2994">
        <v>0</v>
      </c>
      <c r="AL1060" s="2994">
        <v>0</v>
      </c>
      <c r="AM1060" s="2994">
        <v>0</v>
      </c>
      <c r="AN1060" s="2994">
        <v>0</v>
      </c>
      <c r="AO1060" s="2994">
        <v>0</v>
      </c>
      <c r="AP1060" s="2994">
        <v>0</v>
      </c>
      <c r="AQ1060" s="2994">
        <v>0</v>
      </c>
      <c r="AR1060" s="2994">
        <v>0</v>
      </c>
      <c r="AS1060" s="2994">
        <v>0</v>
      </c>
      <c r="AT1060" s="2994">
        <v>0</v>
      </c>
      <c r="AU1060" s="2994">
        <v>0</v>
      </c>
      <c r="AV1060" s="2994">
        <v>0</v>
      </c>
      <c r="AW1060" s="2994">
        <v>0</v>
      </c>
      <c r="AX1060" s="2994">
        <v>0</v>
      </c>
      <c r="AY1060" s="2994">
        <v>0</v>
      </c>
      <c r="AZ1060" s="2994">
        <v>0</v>
      </c>
      <c r="BA1060" s="2994">
        <v>0</v>
      </c>
      <c r="BB1060" s="2994">
        <v>0</v>
      </c>
      <c r="BC1060" s="2994">
        <v>0</v>
      </c>
      <c r="BD1060" s="3471">
        <v>0</v>
      </c>
      <c r="BE1060" s="3471">
        <v>0</v>
      </c>
      <c r="BF1060" s="3471">
        <v>0</v>
      </c>
    </row>
    <row r="1061" spans="1:58">
      <c r="A1061" s="1817" t="str">
        <f t="shared" si="33"/>
        <v>South-Eastern AsiaHops</v>
      </c>
      <c r="B1061" s="1818" t="s">
        <v>1394</v>
      </c>
      <c r="C1061" s="1818" t="s">
        <v>7335</v>
      </c>
      <c r="D1061" s="3463" t="str">
        <f>VLOOKUP(B1061,List_Yield!$G$4:$J$14,4,FALSE)</f>
        <v>Asia (Insular)</v>
      </c>
      <c r="E1061" s="3463" t="str">
        <f t="shared" si="32"/>
        <v>Asia (Insular)Hops</v>
      </c>
      <c r="F1061" s="2994">
        <v>0</v>
      </c>
      <c r="G1061" s="2994">
        <v>0</v>
      </c>
      <c r="H1061" s="2994">
        <v>0</v>
      </c>
      <c r="I1061" s="2994">
        <v>0</v>
      </c>
      <c r="J1061" s="2994">
        <v>0</v>
      </c>
      <c r="K1061" s="2994">
        <v>0</v>
      </c>
      <c r="L1061" s="2994">
        <v>0</v>
      </c>
      <c r="M1061" s="2994">
        <v>0</v>
      </c>
      <c r="N1061" s="2994">
        <v>0</v>
      </c>
      <c r="O1061" s="2994">
        <v>0</v>
      </c>
      <c r="P1061" s="2994">
        <v>0</v>
      </c>
      <c r="Q1061" s="2994">
        <v>0</v>
      </c>
      <c r="R1061" s="2994">
        <v>0</v>
      </c>
      <c r="S1061" s="2994">
        <v>0</v>
      </c>
      <c r="T1061" s="2994">
        <v>0</v>
      </c>
      <c r="U1061" s="2994">
        <v>0</v>
      </c>
      <c r="V1061" s="2994">
        <v>0</v>
      </c>
      <c r="W1061" s="2994">
        <v>0</v>
      </c>
      <c r="X1061" s="2994">
        <v>0</v>
      </c>
      <c r="Y1061" s="2994">
        <v>0</v>
      </c>
      <c r="Z1061" s="2994">
        <v>0</v>
      </c>
      <c r="AA1061" s="2994">
        <v>0</v>
      </c>
      <c r="AB1061" s="2994">
        <v>0</v>
      </c>
      <c r="AC1061" s="2994">
        <v>0</v>
      </c>
      <c r="AD1061" s="2994">
        <v>0</v>
      </c>
      <c r="AE1061" s="2994">
        <v>0</v>
      </c>
      <c r="AF1061" s="2994">
        <v>0</v>
      </c>
      <c r="AG1061" s="2994">
        <v>0</v>
      </c>
      <c r="AH1061" s="2994">
        <v>0</v>
      </c>
      <c r="AI1061" s="2994">
        <v>0</v>
      </c>
      <c r="AJ1061" s="2994">
        <v>0</v>
      </c>
      <c r="AK1061" s="2994">
        <v>0</v>
      </c>
      <c r="AL1061" s="2994">
        <v>0</v>
      </c>
      <c r="AM1061" s="2994">
        <v>0</v>
      </c>
      <c r="AN1061" s="2994">
        <v>0</v>
      </c>
      <c r="AO1061" s="2994">
        <v>0</v>
      </c>
      <c r="AP1061" s="2994">
        <v>0</v>
      </c>
      <c r="AQ1061" s="2994">
        <v>0</v>
      </c>
      <c r="AR1061" s="2994">
        <v>0</v>
      </c>
      <c r="AS1061" s="2994">
        <v>0</v>
      </c>
      <c r="AT1061" s="2994">
        <v>0</v>
      </c>
      <c r="AU1061" s="2994">
        <v>0</v>
      </c>
      <c r="AV1061" s="2994">
        <v>0</v>
      </c>
      <c r="AW1061" s="2994">
        <v>0</v>
      </c>
      <c r="AX1061" s="2994">
        <v>0</v>
      </c>
      <c r="AY1061" s="2994">
        <v>0</v>
      </c>
      <c r="AZ1061" s="2994">
        <v>0</v>
      </c>
      <c r="BA1061" s="2994">
        <v>0</v>
      </c>
      <c r="BB1061" s="2994">
        <v>0</v>
      </c>
      <c r="BC1061" s="2994">
        <v>0</v>
      </c>
      <c r="BD1061" s="3471">
        <v>0</v>
      </c>
      <c r="BE1061" s="3471">
        <v>0</v>
      </c>
      <c r="BF1061" s="3471">
        <v>0</v>
      </c>
    </row>
    <row r="1062" spans="1:58">
      <c r="A1062" s="1817" t="str">
        <f t="shared" si="33"/>
        <v>South-Eastern AsiaJojoba seed</v>
      </c>
      <c r="B1062" s="1818" t="s">
        <v>1394</v>
      </c>
      <c r="C1062" s="1818" t="s">
        <v>7336</v>
      </c>
      <c r="D1062" s="3463" t="str">
        <f>VLOOKUP(B1062,List_Yield!$G$4:$J$14,4,FALSE)</f>
        <v>Asia (Insular)</v>
      </c>
      <c r="E1062" s="3463" t="str">
        <f t="shared" si="32"/>
        <v>Asia (Insular)Jojoba seed</v>
      </c>
      <c r="F1062" s="2994">
        <v>0</v>
      </c>
      <c r="G1062" s="2994">
        <v>0</v>
      </c>
      <c r="H1062" s="2994">
        <v>0</v>
      </c>
      <c r="I1062" s="2994">
        <v>0</v>
      </c>
      <c r="J1062" s="2994">
        <v>0</v>
      </c>
      <c r="K1062" s="2994">
        <v>0</v>
      </c>
      <c r="L1062" s="2994">
        <v>0</v>
      </c>
      <c r="M1062" s="2994">
        <v>0</v>
      </c>
      <c r="N1062" s="2994">
        <v>0</v>
      </c>
      <c r="O1062" s="2994">
        <v>0</v>
      </c>
      <c r="P1062" s="2994">
        <v>0</v>
      </c>
      <c r="Q1062" s="2994">
        <v>0</v>
      </c>
      <c r="R1062" s="2994">
        <v>0</v>
      </c>
      <c r="S1062" s="2994">
        <v>0</v>
      </c>
      <c r="T1062" s="2994">
        <v>0</v>
      </c>
      <c r="U1062" s="2994">
        <v>0</v>
      </c>
      <c r="V1062" s="2994">
        <v>0</v>
      </c>
      <c r="W1062" s="2994">
        <v>0</v>
      </c>
      <c r="X1062" s="2994">
        <v>0</v>
      </c>
      <c r="Y1062" s="2994">
        <v>0</v>
      </c>
      <c r="Z1062" s="2994">
        <v>0</v>
      </c>
      <c r="AA1062" s="2994">
        <v>0</v>
      </c>
      <c r="AB1062" s="2994">
        <v>0</v>
      </c>
      <c r="AC1062" s="2994">
        <v>0</v>
      </c>
      <c r="AD1062" s="2994">
        <v>0</v>
      </c>
      <c r="AE1062" s="2994">
        <v>0</v>
      </c>
      <c r="AF1062" s="2994">
        <v>0</v>
      </c>
      <c r="AG1062" s="2994">
        <v>0</v>
      </c>
      <c r="AH1062" s="2994">
        <v>0</v>
      </c>
      <c r="AI1062" s="2994">
        <v>0</v>
      </c>
      <c r="AJ1062" s="2994">
        <v>0</v>
      </c>
      <c r="AK1062" s="2994">
        <v>0</v>
      </c>
      <c r="AL1062" s="2994">
        <v>0</v>
      </c>
      <c r="AM1062" s="2994">
        <v>0</v>
      </c>
      <c r="AN1062" s="2994">
        <v>0</v>
      </c>
      <c r="AO1062" s="2994">
        <v>0</v>
      </c>
      <c r="AP1062" s="2994">
        <v>0</v>
      </c>
      <c r="AQ1062" s="2994">
        <v>0</v>
      </c>
      <c r="AR1062" s="2994">
        <v>0</v>
      </c>
      <c r="AS1062" s="2994">
        <v>0</v>
      </c>
      <c r="AT1062" s="2994">
        <v>0</v>
      </c>
      <c r="AU1062" s="2994">
        <v>0</v>
      </c>
      <c r="AV1062" s="2994">
        <v>0</v>
      </c>
      <c r="AW1062" s="2994">
        <v>0</v>
      </c>
      <c r="AX1062" s="2994">
        <v>0</v>
      </c>
      <c r="AY1062" s="2994">
        <v>0</v>
      </c>
      <c r="AZ1062" s="2994">
        <v>0</v>
      </c>
      <c r="BA1062" s="2994">
        <v>0</v>
      </c>
      <c r="BB1062" s="2994">
        <v>0</v>
      </c>
      <c r="BC1062" s="2994">
        <v>0</v>
      </c>
      <c r="BD1062" s="3471">
        <v>0</v>
      </c>
      <c r="BE1062" s="3471">
        <v>0</v>
      </c>
      <c r="BF1062" s="3471">
        <v>0</v>
      </c>
    </row>
    <row r="1063" spans="1:58">
      <c r="A1063" s="1817" t="str">
        <f t="shared" si="33"/>
        <v>South-Eastern AsiaJute</v>
      </c>
      <c r="B1063" s="1818" t="s">
        <v>1394</v>
      </c>
      <c r="C1063" s="1818" t="s">
        <v>7337</v>
      </c>
      <c r="D1063" s="3463" t="str">
        <f>VLOOKUP(B1063,List_Yield!$G$4:$J$14,4,FALSE)</f>
        <v>Asia (Insular)</v>
      </c>
      <c r="E1063" s="3463" t="str">
        <f t="shared" si="32"/>
        <v>Asia (Insular)Jute</v>
      </c>
      <c r="F1063" s="2994">
        <v>1.1429</v>
      </c>
      <c r="G1063" s="2994">
        <v>1.0468999999999999</v>
      </c>
      <c r="H1063" s="2994">
        <v>0.95350000000000001</v>
      </c>
      <c r="I1063" s="2994">
        <v>1.0365</v>
      </c>
      <c r="J1063" s="2994">
        <v>1.1035999999999999</v>
      </c>
      <c r="K1063" s="2994">
        <v>0.90490000000000004</v>
      </c>
      <c r="L1063" s="2994">
        <v>0.97909999999999997</v>
      </c>
      <c r="M1063" s="2994">
        <v>1.0037</v>
      </c>
      <c r="N1063" s="2994">
        <v>0.87639999999999996</v>
      </c>
      <c r="O1063" s="2994">
        <v>0.9859</v>
      </c>
      <c r="P1063" s="2994">
        <v>0.87290000000000001</v>
      </c>
      <c r="Q1063" s="2994">
        <v>0.94910000000000005</v>
      </c>
      <c r="R1063" s="2994">
        <v>0.99980000000000002</v>
      </c>
      <c r="S1063" s="2994">
        <v>1.0324</v>
      </c>
      <c r="T1063" s="2994">
        <v>1.1323000000000001</v>
      </c>
      <c r="U1063" s="2994">
        <v>1.1619999999999999</v>
      </c>
      <c r="V1063" s="2994">
        <v>1.1423000000000001</v>
      </c>
      <c r="W1063" s="2994">
        <v>1.1348</v>
      </c>
      <c r="X1063" s="2994">
        <v>1.1577</v>
      </c>
      <c r="Y1063" s="2994">
        <v>1.2133</v>
      </c>
      <c r="Z1063" s="2994">
        <v>1.2475000000000001</v>
      </c>
      <c r="AA1063" s="2994">
        <v>1.3876999999999999</v>
      </c>
      <c r="AB1063" s="2994">
        <v>1.3527</v>
      </c>
      <c r="AC1063" s="2994">
        <v>1.3748</v>
      </c>
      <c r="AD1063" s="2994">
        <v>1.4111</v>
      </c>
      <c r="AE1063" s="2994">
        <v>1.4570000000000001</v>
      </c>
      <c r="AF1063" s="2994">
        <v>1.4162999999999999</v>
      </c>
      <c r="AG1063" s="2994">
        <v>1.4851000000000001</v>
      </c>
      <c r="AH1063" s="2994">
        <v>1.4371</v>
      </c>
      <c r="AI1063" s="2994">
        <v>1.4011</v>
      </c>
      <c r="AJ1063" s="2994">
        <v>1.4157999999999999</v>
      </c>
      <c r="AK1063" s="2994">
        <v>1.2999000000000001</v>
      </c>
      <c r="AL1063" s="2994">
        <v>1.0986</v>
      </c>
      <c r="AM1063" s="2994">
        <v>1.1513</v>
      </c>
      <c r="AN1063" s="2994">
        <v>1.1511</v>
      </c>
      <c r="AO1063" s="2994">
        <v>1.075</v>
      </c>
      <c r="AP1063" s="2994">
        <v>1.1546000000000001</v>
      </c>
      <c r="AQ1063" s="2994">
        <v>1.1938</v>
      </c>
      <c r="AR1063" s="2994">
        <v>1.0711999999999999</v>
      </c>
      <c r="AS1063" s="2994">
        <v>1.0942000000000001</v>
      </c>
      <c r="AT1063" s="2994">
        <v>1.127</v>
      </c>
      <c r="AU1063" s="2994">
        <v>1.1586000000000001</v>
      </c>
      <c r="AV1063" s="2994">
        <v>1.0886</v>
      </c>
      <c r="AW1063" s="2994">
        <v>1.1439999999999999</v>
      </c>
      <c r="AX1063" s="2994">
        <v>1.2013</v>
      </c>
      <c r="AY1063" s="2994">
        <v>1.1463000000000001</v>
      </c>
      <c r="AZ1063" s="2994">
        <v>1.4503999999999999</v>
      </c>
      <c r="BA1063" s="2994">
        <v>1.5504</v>
      </c>
      <c r="BB1063" s="2994">
        <v>1.8472999999999999</v>
      </c>
      <c r="BC1063" s="2994">
        <v>2.2391000000000001</v>
      </c>
      <c r="BD1063" s="3471">
        <v>1.5579000000000001</v>
      </c>
      <c r="BE1063" s="3471">
        <v>1.3675999999999999</v>
      </c>
      <c r="BF1063" s="3471">
        <v>0</v>
      </c>
    </row>
    <row r="1064" spans="1:58">
      <c r="A1064" s="1817" t="str">
        <f t="shared" si="33"/>
        <v>South-Eastern AsiaKapok fruit</v>
      </c>
      <c r="B1064" s="1818" t="s">
        <v>1394</v>
      </c>
      <c r="C1064" s="1818" t="s">
        <v>7338</v>
      </c>
      <c r="D1064" s="3463" t="str">
        <f>VLOOKUP(B1064,List_Yield!$G$4:$J$14,4,FALSE)</f>
        <v>Asia (Insular)</v>
      </c>
      <c r="E1064" s="3463" t="str">
        <f t="shared" si="32"/>
        <v>Asia (Insular)Kapok fruit</v>
      </c>
      <c r="F1064" s="2994">
        <v>1.2814000000000001</v>
      </c>
      <c r="G1064" s="2994">
        <v>1.2969999999999999</v>
      </c>
      <c r="H1064" s="2994">
        <v>1.4784999999999999</v>
      </c>
      <c r="I1064" s="2994">
        <v>1.5085999999999999</v>
      </c>
      <c r="J1064" s="2994">
        <v>1.532</v>
      </c>
      <c r="K1064" s="2994">
        <v>1.5467</v>
      </c>
      <c r="L1064" s="2994">
        <v>1.5141</v>
      </c>
      <c r="M1064" s="2994">
        <v>1.3651</v>
      </c>
      <c r="N1064" s="2994">
        <v>1.0733999999999999</v>
      </c>
      <c r="O1064" s="2994">
        <v>1.1052</v>
      </c>
      <c r="P1064" s="2994">
        <v>1.2954000000000001</v>
      </c>
      <c r="Q1064" s="2994">
        <v>1.1243000000000001</v>
      </c>
      <c r="R1064" s="2994">
        <v>1.1237999999999999</v>
      </c>
      <c r="S1064" s="2994">
        <v>1.0054000000000001</v>
      </c>
      <c r="T1064" s="2994">
        <v>0.95220000000000005</v>
      </c>
      <c r="U1064" s="2994">
        <v>0.90639999999999998</v>
      </c>
      <c r="V1064" s="2994">
        <v>0.94320000000000004</v>
      </c>
      <c r="W1064" s="2994">
        <v>0.83609999999999995</v>
      </c>
      <c r="X1064" s="2994">
        <v>0.79279999999999995</v>
      </c>
      <c r="Y1064" s="2994">
        <v>0.78090000000000004</v>
      </c>
      <c r="Z1064" s="2994">
        <v>0.93899999999999995</v>
      </c>
      <c r="AA1064" s="2994">
        <v>0.88490000000000002</v>
      </c>
      <c r="AB1064" s="2994">
        <v>0.98089999999999999</v>
      </c>
      <c r="AC1064" s="2994">
        <v>0.96830000000000005</v>
      </c>
      <c r="AD1064" s="2994">
        <v>0.99180000000000001</v>
      </c>
      <c r="AE1064" s="2994">
        <v>1.0468999999999999</v>
      </c>
      <c r="AF1064" s="2994">
        <v>1.0681</v>
      </c>
      <c r="AG1064" s="2994">
        <v>1.2047000000000001</v>
      </c>
      <c r="AH1064" s="2994">
        <v>1.1994</v>
      </c>
      <c r="AI1064" s="2994">
        <v>1.3633</v>
      </c>
      <c r="AJ1064" s="2994">
        <v>1.3261000000000001</v>
      </c>
      <c r="AK1064" s="2994">
        <v>1.4074</v>
      </c>
      <c r="AL1064" s="2994">
        <v>1.4686999999999999</v>
      </c>
      <c r="AM1064" s="2994">
        <v>1.4622999999999999</v>
      </c>
      <c r="AN1064" s="2994">
        <v>1.6585000000000001</v>
      </c>
      <c r="AO1064" s="2994">
        <v>1.7708999999999999</v>
      </c>
      <c r="AP1064" s="2994">
        <v>1.784</v>
      </c>
      <c r="AQ1064" s="2994">
        <v>1.7512000000000001</v>
      </c>
      <c r="AR1064" s="2994">
        <v>1.7778</v>
      </c>
      <c r="AS1064" s="2994">
        <v>1.9822</v>
      </c>
      <c r="AT1064" s="2994">
        <v>1.9711000000000001</v>
      </c>
      <c r="AU1064" s="2994">
        <v>1.9563999999999999</v>
      </c>
      <c r="AV1064" s="2994">
        <v>1.9599</v>
      </c>
      <c r="AW1064" s="2994">
        <v>2.0512000000000001</v>
      </c>
      <c r="AX1064" s="2994">
        <v>1.9078999999999999</v>
      </c>
      <c r="AY1064" s="2994">
        <v>1.8806</v>
      </c>
      <c r="AZ1064" s="2994">
        <v>1.5451999999999999</v>
      </c>
      <c r="BA1064" s="2994">
        <v>1.5382</v>
      </c>
      <c r="BB1064" s="2994">
        <v>1.4087000000000001</v>
      </c>
      <c r="BC1064" s="2994">
        <v>1.3461000000000001</v>
      </c>
      <c r="BD1064" s="3471">
        <v>1.6906000000000001</v>
      </c>
      <c r="BE1064" s="3471">
        <v>1.7419</v>
      </c>
      <c r="BF1064" s="3471">
        <v>1.7659</v>
      </c>
    </row>
    <row r="1065" spans="1:58">
      <c r="A1065" s="1817" t="str">
        <f t="shared" si="33"/>
        <v>South-Eastern AsiaKarite nuts (sheanuts)</v>
      </c>
      <c r="B1065" s="1818" t="s">
        <v>1394</v>
      </c>
      <c r="C1065" s="1818" t="s">
        <v>7339</v>
      </c>
      <c r="D1065" s="3463" t="str">
        <f>VLOOKUP(B1065,List_Yield!$G$4:$J$14,4,FALSE)</f>
        <v>Asia (Insular)</v>
      </c>
      <c r="E1065" s="3463" t="str">
        <f t="shared" si="32"/>
        <v>Asia (Insular)Karite nuts (sheanuts)</v>
      </c>
      <c r="F1065" s="2994">
        <v>0</v>
      </c>
      <c r="G1065" s="2994">
        <v>0</v>
      </c>
      <c r="H1065" s="2994">
        <v>0</v>
      </c>
      <c r="I1065" s="2994">
        <v>0</v>
      </c>
      <c r="J1065" s="2994">
        <v>0</v>
      </c>
      <c r="K1065" s="2994">
        <v>0</v>
      </c>
      <c r="L1065" s="2994">
        <v>0</v>
      </c>
      <c r="M1065" s="2994">
        <v>0</v>
      </c>
      <c r="N1065" s="2994">
        <v>0</v>
      </c>
      <c r="O1065" s="2994">
        <v>0</v>
      </c>
      <c r="P1065" s="2994">
        <v>0</v>
      </c>
      <c r="Q1065" s="2994">
        <v>0</v>
      </c>
      <c r="R1065" s="2994">
        <v>0</v>
      </c>
      <c r="S1065" s="2994">
        <v>0</v>
      </c>
      <c r="T1065" s="2994">
        <v>0</v>
      </c>
      <c r="U1065" s="2994">
        <v>0</v>
      </c>
      <c r="V1065" s="2994">
        <v>0</v>
      </c>
      <c r="W1065" s="2994">
        <v>0</v>
      </c>
      <c r="X1065" s="2994">
        <v>0</v>
      </c>
      <c r="Y1065" s="2994">
        <v>0</v>
      </c>
      <c r="Z1065" s="2994">
        <v>0</v>
      </c>
      <c r="AA1065" s="2994">
        <v>0</v>
      </c>
      <c r="AB1065" s="2994">
        <v>0</v>
      </c>
      <c r="AC1065" s="2994">
        <v>0</v>
      </c>
      <c r="AD1065" s="2994">
        <v>0</v>
      </c>
      <c r="AE1065" s="2994">
        <v>0</v>
      </c>
      <c r="AF1065" s="2994">
        <v>0</v>
      </c>
      <c r="AG1065" s="2994">
        <v>0</v>
      </c>
      <c r="AH1065" s="2994">
        <v>0</v>
      </c>
      <c r="AI1065" s="2994">
        <v>0</v>
      </c>
      <c r="AJ1065" s="2994">
        <v>0</v>
      </c>
      <c r="AK1065" s="2994">
        <v>0</v>
      </c>
      <c r="AL1065" s="2994">
        <v>0</v>
      </c>
      <c r="AM1065" s="2994">
        <v>0</v>
      </c>
      <c r="AN1065" s="2994">
        <v>0</v>
      </c>
      <c r="AO1065" s="2994">
        <v>0</v>
      </c>
      <c r="AP1065" s="2994">
        <v>0</v>
      </c>
      <c r="AQ1065" s="2994">
        <v>0</v>
      </c>
      <c r="AR1065" s="2994">
        <v>0</v>
      </c>
      <c r="AS1065" s="2994">
        <v>0</v>
      </c>
      <c r="AT1065" s="2994">
        <v>0</v>
      </c>
      <c r="AU1065" s="2994">
        <v>0</v>
      </c>
      <c r="AV1065" s="2994">
        <v>0</v>
      </c>
      <c r="AW1065" s="2994">
        <v>0</v>
      </c>
      <c r="AX1065" s="2994">
        <v>0</v>
      </c>
      <c r="AY1065" s="2994">
        <v>0</v>
      </c>
      <c r="AZ1065" s="2994">
        <v>0</v>
      </c>
      <c r="BA1065" s="2994">
        <v>0</v>
      </c>
      <c r="BB1065" s="2994">
        <v>0</v>
      </c>
      <c r="BC1065" s="2994">
        <v>0</v>
      </c>
      <c r="BD1065" s="3471">
        <v>0</v>
      </c>
      <c r="BE1065" s="3471">
        <v>0</v>
      </c>
      <c r="BF1065" s="3471">
        <v>0</v>
      </c>
    </row>
    <row r="1066" spans="1:58">
      <c r="A1066" s="1817" t="str">
        <f t="shared" si="33"/>
        <v>South-Eastern AsiaKiwi fruit</v>
      </c>
      <c r="B1066" s="1818" t="s">
        <v>1394</v>
      </c>
      <c r="C1066" s="1818" t="s">
        <v>7340</v>
      </c>
      <c r="D1066" s="3463" t="str">
        <f>VLOOKUP(B1066,List_Yield!$G$4:$J$14,4,FALSE)</f>
        <v>Asia (Insular)</v>
      </c>
      <c r="E1066" s="3463" t="str">
        <f t="shared" si="32"/>
        <v>Asia (Insular)Kiwi fruit</v>
      </c>
      <c r="F1066" s="2994">
        <v>0</v>
      </c>
      <c r="G1066" s="2994">
        <v>0</v>
      </c>
      <c r="H1066" s="2994">
        <v>0</v>
      </c>
      <c r="I1066" s="2994">
        <v>0</v>
      </c>
      <c r="J1066" s="2994">
        <v>0</v>
      </c>
      <c r="K1066" s="2994">
        <v>0</v>
      </c>
      <c r="L1066" s="2994">
        <v>0</v>
      </c>
      <c r="M1066" s="2994">
        <v>0</v>
      </c>
      <c r="N1066" s="2994">
        <v>0</v>
      </c>
      <c r="O1066" s="2994">
        <v>0</v>
      </c>
      <c r="P1066" s="2994">
        <v>0</v>
      </c>
      <c r="Q1066" s="2994">
        <v>0</v>
      </c>
      <c r="R1066" s="2994">
        <v>0</v>
      </c>
      <c r="S1066" s="2994">
        <v>0</v>
      </c>
      <c r="T1066" s="2994">
        <v>0</v>
      </c>
      <c r="U1066" s="2994">
        <v>0</v>
      </c>
      <c r="V1066" s="2994">
        <v>0</v>
      </c>
      <c r="W1066" s="2994">
        <v>0</v>
      </c>
      <c r="X1066" s="2994">
        <v>0</v>
      </c>
      <c r="Y1066" s="2994">
        <v>0</v>
      </c>
      <c r="Z1066" s="2994">
        <v>0</v>
      </c>
      <c r="AA1066" s="2994">
        <v>0</v>
      </c>
      <c r="AB1066" s="2994">
        <v>0</v>
      </c>
      <c r="AC1066" s="2994">
        <v>0</v>
      </c>
      <c r="AD1066" s="2994">
        <v>0</v>
      </c>
      <c r="AE1066" s="2994">
        <v>0</v>
      </c>
      <c r="AF1066" s="2994">
        <v>0</v>
      </c>
      <c r="AG1066" s="2994">
        <v>0</v>
      </c>
      <c r="AH1066" s="2994">
        <v>0</v>
      </c>
      <c r="AI1066" s="2994">
        <v>0</v>
      </c>
      <c r="AJ1066" s="2994">
        <v>0</v>
      </c>
      <c r="AK1066" s="2994">
        <v>0</v>
      </c>
      <c r="AL1066" s="2994">
        <v>0</v>
      </c>
      <c r="AM1066" s="2994">
        <v>0</v>
      </c>
      <c r="AN1066" s="2994">
        <v>0</v>
      </c>
      <c r="AO1066" s="2994">
        <v>0</v>
      </c>
      <c r="AP1066" s="2994">
        <v>0</v>
      </c>
      <c r="AQ1066" s="2994">
        <v>0</v>
      </c>
      <c r="AR1066" s="2994">
        <v>0</v>
      </c>
      <c r="AS1066" s="2994">
        <v>0</v>
      </c>
      <c r="AT1066" s="2994">
        <v>0</v>
      </c>
      <c r="AU1066" s="2994">
        <v>0</v>
      </c>
      <c r="AV1066" s="2994">
        <v>0</v>
      </c>
      <c r="AW1066" s="2994">
        <v>0</v>
      </c>
      <c r="AX1066" s="2994">
        <v>0</v>
      </c>
      <c r="AY1066" s="2994">
        <v>0</v>
      </c>
      <c r="AZ1066" s="2994">
        <v>0</v>
      </c>
      <c r="BA1066" s="2994">
        <v>0</v>
      </c>
      <c r="BB1066" s="2994">
        <v>0</v>
      </c>
      <c r="BC1066" s="2994">
        <v>0</v>
      </c>
      <c r="BD1066" s="3471">
        <v>0</v>
      </c>
      <c r="BE1066" s="3471">
        <v>0</v>
      </c>
      <c r="BF1066" s="3471">
        <v>0</v>
      </c>
    </row>
    <row r="1067" spans="1:58">
      <c r="A1067" s="1817" t="str">
        <f t="shared" si="33"/>
        <v>South-Eastern AsiaKola nuts</v>
      </c>
      <c r="B1067" s="1818" t="s">
        <v>1394</v>
      </c>
      <c r="C1067" s="1818" t="s">
        <v>7341</v>
      </c>
      <c r="D1067" s="3463" t="str">
        <f>VLOOKUP(B1067,List_Yield!$G$4:$J$14,4,FALSE)</f>
        <v>Asia (Insular)</v>
      </c>
      <c r="E1067" s="3463" t="str">
        <f t="shared" si="32"/>
        <v>Asia (Insular)Kola nuts</v>
      </c>
      <c r="F1067" s="2994">
        <v>0</v>
      </c>
      <c r="G1067" s="2994">
        <v>0</v>
      </c>
      <c r="H1067" s="2994">
        <v>0</v>
      </c>
      <c r="I1067" s="2994">
        <v>0</v>
      </c>
      <c r="J1067" s="2994">
        <v>0</v>
      </c>
      <c r="K1067" s="2994">
        <v>0</v>
      </c>
      <c r="L1067" s="2994">
        <v>0</v>
      </c>
      <c r="M1067" s="2994">
        <v>0</v>
      </c>
      <c r="N1067" s="2994">
        <v>0</v>
      </c>
      <c r="O1067" s="2994">
        <v>0</v>
      </c>
      <c r="P1067" s="2994">
        <v>0</v>
      </c>
      <c r="Q1067" s="2994">
        <v>0</v>
      </c>
      <c r="R1067" s="2994">
        <v>0</v>
      </c>
      <c r="S1067" s="2994">
        <v>0</v>
      </c>
      <c r="T1067" s="2994">
        <v>0</v>
      </c>
      <c r="U1067" s="2994">
        <v>0</v>
      </c>
      <c r="V1067" s="2994">
        <v>0</v>
      </c>
      <c r="W1067" s="2994">
        <v>0</v>
      </c>
      <c r="X1067" s="2994">
        <v>0</v>
      </c>
      <c r="Y1067" s="2994">
        <v>0</v>
      </c>
      <c r="Z1067" s="2994">
        <v>0</v>
      </c>
      <c r="AA1067" s="2994">
        <v>0</v>
      </c>
      <c r="AB1067" s="2994">
        <v>0</v>
      </c>
      <c r="AC1067" s="2994">
        <v>0</v>
      </c>
      <c r="AD1067" s="2994">
        <v>0</v>
      </c>
      <c r="AE1067" s="2994">
        <v>0</v>
      </c>
      <c r="AF1067" s="2994">
        <v>0</v>
      </c>
      <c r="AG1067" s="2994">
        <v>0</v>
      </c>
      <c r="AH1067" s="2994">
        <v>0</v>
      </c>
      <c r="AI1067" s="2994">
        <v>0</v>
      </c>
      <c r="AJ1067" s="2994">
        <v>0</v>
      </c>
      <c r="AK1067" s="2994">
        <v>0</v>
      </c>
      <c r="AL1067" s="2994">
        <v>0</v>
      </c>
      <c r="AM1067" s="2994">
        <v>0</v>
      </c>
      <c r="AN1067" s="2994">
        <v>0</v>
      </c>
      <c r="AO1067" s="2994">
        <v>0</v>
      </c>
      <c r="AP1067" s="2994">
        <v>0</v>
      </c>
      <c r="AQ1067" s="2994">
        <v>0</v>
      </c>
      <c r="AR1067" s="2994">
        <v>0</v>
      </c>
      <c r="AS1067" s="2994">
        <v>0</v>
      </c>
      <c r="AT1067" s="2994">
        <v>0</v>
      </c>
      <c r="AU1067" s="2994">
        <v>0</v>
      </c>
      <c r="AV1067" s="2994">
        <v>0</v>
      </c>
      <c r="AW1067" s="2994">
        <v>0</v>
      </c>
      <c r="AX1067" s="2994">
        <v>0</v>
      </c>
      <c r="AY1067" s="2994">
        <v>0</v>
      </c>
      <c r="AZ1067" s="2994">
        <v>0</v>
      </c>
      <c r="BA1067" s="2994">
        <v>0</v>
      </c>
      <c r="BB1067" s="2994">
        <v>0</v>
      </c>
      <c r="BC1067" s="2994">
        <v>0</v>
      </c>
      <c r="BD1067" s="3471">
        <v>0</v>
      </c>
      <c r="BE1067" s="3471">
        <v>0</v>
      </c>
      <c r="BF1067" s="3471">
        <v>0</v>
      </c>
    </row>
    <row r="1068" spans="1:58">
      <c r="A1068" s="1817" t="str">
        <f t="shared" si="33"/>
        <v>South-Eastern AsiaLeeks, other alliaceous vegetables</v>
      </c>
      <c r="B1068" s="1818" t="s">
        <v>1394</v>
      </c>
      <c r="C1068" s="1818" t="s">
        <v>7342</v>
      </c>
      <c r="D1068" s="3463" t="str">
        <f>VLOOKUP(B1068,List_Yield!$G$4:$J$14,4,FALSE)</f>
        <v>Asia (Insular)</v>
      </c>
      <c r="E1068" s="3463" t="str">
        <f t="shared" si="32"/>
        <v>Asia (Insular)Leeks, other alliaceous vegetables</v>
      </c>
      <c r="F1068" s="2994">
        <v>3.7681</v>
      </c>
      <c r="G1068" s="2994">
        <v>3.8</v>
      </c>
      <c r="H1068" s="2994">
        <v>3.7974999999999999</v>
      </c>
      <c r="I1068" s="2994">
        <v>3.7805</v>
      </c>
      <c r="J1068" s="2994">
        <v>3.7791000000000001</v>
      </c>
      <c r="K1068" s="2994">
        <v>3.7930999999999999</v>
      </c>
      <c r="L1068" s="2994">
        <v>3.7778</v>
      </c>
      <c r="M1068" s="2994">
        <v>3.8</v>
      </c>
      <c r="N1068" s="2994">
        <v>3.7778</v>
      </c>
      <c r="O1068" s="2994">
        <v>3.7778</v>
      </c>
      <c r="P1068" s="2994">
        <v>4.125</v>
      </c>
      <c r="Q1068" s="2994">
        <v>4</v>
      </c>
      <c r="R1068" s="2994">
        <v>3.8996</v>
      </c>
      <c r="S1068" s="2994">
        <v>3.875</v>
      </c>
      <c r="T1068" s="2994">
        <v>3.8946999999999998</v>
      </c>
      <c r="U1068" s="2994">
        <v>3.8332999999999999</v>
      </c>
      <c r="V1068" s="2994">
        <v>3.8786</v>
      </c>
      <c r="W1068" s="2994">
        <v>4.3</v>
      </c>
      <c r="X1068" s="2994">
        <v>3.9443999999999999</v>
      </c>
      <c r="Y1068" s="2994">
        <v>3.9719000000000002</v>
      </c>
      <c r="Z1068" s="2994">
        <v>4.1630000000000003</v>
      </c>
      <c r="AA1068" s="2994">
        <v>3.7021999999999999</v>
      </c>
      <c r="AB1068" s="2994">
        <v>3.4996999999999998</v>
      </c>
      <c r="AC1068" s="2994">
        <v>4.1353</v>
      </c>
      <c r="AD1068" s="2994">
        <v>4.2984</v>
      </c>
      <c r="AE1068" s="2994">
        <v>6.0557999999999996</v>
      </c>
      <c r="AF1068" s="2994">
        <v>6.4870999999999999</v>
      </c>
      <c r="AG1068" s="2994">
        <v>7.4930000000000003</v>
      </c>
      <c r="AH1068" s="2994">
        <v>8.3773999999999997</v>
      </c>
      <c r="AI1068" s="2994">
        <v>8.1212999999999997</v>
      </c>
      <c r="AJ1068" s="2994">
        <v>7.7256999999999998</v>
      </c>
      <c r="AK1068" s="2994">
        <v>8.0490999999999993</v>
      </c>
      <c r="AL1068" s="2994">
        <v>6.9718999999999998</v>
      </c>
      <c r="AM1068" s="2994">
        <v>7.9863</v>
      </c>
      <c r="AN1068" s="2994">
        <v>8.6334</v>
      </c>
      <c r="AO1068" s="2994">
        <v>8.7364999999999995</v>
      </c>
      <c r="AP1068" s="2994">
        <v>7.5827999999999998</v>
      </c>
      <c r="AQ1068" s="2994">
        <v>7.8632999999999997</v>
      </c>
      <c r="AR1068" s="2994">
        <v>8.7807999999999993</v>
      </c>
      <c r="AS1068" s="2994">
        <v>8.6173999999999999</v>
      </c>
      <c r="AT1068" s="2994">
        <v>8.2497000000000007</v>
      </c>
      <c r="AU1068" s="2994">
        <v>7.5773000000000001</v>
      </c>
      <c r="AV1068" s="2994">
        <v>8.9907000000000004</v>
      </c>
      <c r="AW1068" s="2994">
        <v>10.378399999999999</v>
      </c>
      <c r="AX1068" s="2994">
        <v>10.9747</v>
      </c>
      <c r="AY1068" s="2994">
        <v>11.059699999999999</v>
      </c>
      <c r="AZ1068" s="2994">
        <v>10.053100000000001</v>
      </c>
      <c r="BA1068" s="2994">
        <v>10.4466</v>
      </c>
      <c r="BB1068" s="2994">
        <v>10.1792</v>
      </c>
      <c r="BC1068" s="2994">
        <v>9.3314000000000004</v>
      </c>
      <c r="BD1068" s="3471">
        <v>9.3925999999999998</v>
      </c>
      <c r="BE1068" s="3471">
        <v>10.2973</v>
      </c>
      <c r="BF1068" s="3471">
        <v>0</v>
      </c>
    </row>
    <row r="1069" spans="1:58">
      <c r="A1069" s="1817" t="str">
        <f t="shared" si="33"/>
        <v>South-Eastern AsiaLemons and limes</v>
      </c>
      <c r="B1069" s="1818" t="s">
        <v>1394</v>
      </c>
      <c r="C1069" s="1818" t="s">
        <v>7343</v>
      </c>
      <c r="D1069" s="3463" t="str">
        <f>VLOOKUP(B1069,List_Yield!$G$4:$J$14,4,FALSE)</f>
        <v>Asia (Insular)</v>
      </c>
      <c r="E1069" s="3463" t="str">
        <f t="shared" si="32"/>
        <v>Asia (Insular)Lemons and limes</v>
      </c>
      <c r="F1069" s="2994">
        <v>2.7111999999999998</v>
      </c>
      <c r="G1069" s="2994">
        <v>2.7161</v>
      </c>
      <c r="H1069" s="2994">
        <v>2.8250000000000002</v>
      </c>
      <c r="I1069" s="2994">
        <v>2.8923000000000001</v>
      </c>
      <c r="J1069" s="2994">
        <v>2.8915999999999999</v>
      </c>
      <c r="K1069" s="2994">
        <v>2.6806999999999999</v>
      </c>
      <c r="L1069" s="2994">
        <v>2.6823000000000001</v>
      </c>
      <c r="M1069" s="2994">
        <v>2.4698000000000002</v>
      </c>
      <c r="N1069" s="2994">
        <v>2.3955000000000002</v>
      </c>
      <c r="O1069" s="2994">
        <v>2.4009</v>
      </c>
      <c r="P1069" s="2994">
        <v>2.3475000000000001</v>
      </c>
      <c r="Q1069" s="2994">
        <v>2.3521999999999998</v>
      </c>
      <c r="R1069" s="2994">
        <v>2.3471000000000002</v>
      </c>
      <c r="S1069" s="2994">
        <v>2.3504999999999998</v>
      </c>
      <c r="T1069" s="2994">
        <v>2.3418000000000001</v>
      </c>
      <c r="U1069" s="2994">
        <v>2.3828999999999998</v>
      </c>
      <c r="V1069" s="2994">
        <v>2.3765999999999998</v>
      </c>
      <c r="W1069" s="2994">
        <v>2.3601000000000001</v>
      </c>
      <c r="X1069" s="2994">
        <v>2.3866000000000001</v>
      </c>
      <c r="Y1069" s="2994">
        <v>2.4504999999999999</v>
      </c>
      <c r="Z1069" s="2994">
        <v>2.4603000000000002</v>
      </c>
      <c r="AA1069" s="2994">
        <v>2.4609999999999999</v>
      </c>
      <c r="AB1069" s="2994">
        <v>2.4710000000000001</v>
      </c>
      <c r="AC1069" s="2994">
        <v>2.4689999999999999</v>
      </c>
      <c r="AD1069" s="2994">
        <v>2.3959000000000001</v>
      </c>
      <c r="AE1069" s="2994">
        <v>2.5316000000000001</v>
      </c>
      <c r="AF1069" s="2994">
        <v>2.6053999999999999</v>
      </c>
      <c r="AG1069" s="2994">
        <v>2.6141999999999999</v>
      </c>
      <c r="AH1069" s="2994">
        <v>3.1724999999999999</v>
      </c>
      <c r="AI1069" s="2994">
        <v>3.6179000000000001</v>
      </c>
      <c r="AJ1069" s="2994">
        <v>3.8563999999999998</v>
      </c>
      <c r="AK1069" s="2994">
        <v>4.2765000000000004</v>
      </c>
      <c r="AL1069" s="2994">
        <v>4.6879999999999997</v>
      </c>
      <c r="AM1069" s="2994">
        <v>4.9730999999999996</v>
      </c>
      <c r="AN1069" s="2994">
        <v>5.4941000000000004</v>
      </c>
      <c r="AO1069" s="2994">
        <v>5.6482999999999999</v>
      </c>
      <c r="AP1069" s="2994">
        <v>6.0034999999999998</v>
      </c>
      <c r="AQ1069" s="2994">
        <v>6.3003999999999998</v>
      </c>
      <c r="AR1069" s="2994">
        <v>6.9348000000000001</v>
      </c>
      <c r="AS1069" s="2994">
        <v>7.6595000000000004</v>
      </c>
      <c r="AT1069" s="2994">
        <v>7.0712999999999999</v>
      </c>
      <c r="AU1069" s="2994">
        <v>7.1391999999999998</v>
      </c>
      <c r="AV1069" s="2994">
        <v>7.2789000000000001</v>
      </c>
      <c r="AW1069" s="2994">
        <v>8.6586999999999996</v>
      </c>
      <c r="AX1069" s="2994">
        <v>9.0919000000000008</v>
      </c>
      <c r="AY1069" s="2994">
        <v>9.1015999999999995</v>
      </c>
      <c r="AZ1069" s="2994">
        <v>8.8706999999999994</v>
      </c>
      <c r="BA1069" s="2994">
        <v>8.7815999999999992</v>
      </c>
      <c r="BB1069" s="2994">
        <v>8.6943000000000001</v>
      </c>
      <c r="BC1069" s="2994">
        <v>8.8694000000000006</v>
      </c>
      <c r="BD1069" s="3471">
        <v>7.3787000000000003</v>
      </c>
      <c r="BE1069" s="3471">
        <v>7.9988000000000001</v>
      </c>
      <c r="BF1069" s="3471">
        <v>0</v>
      </c>
    </row>
    <row r="1070" spans="1:58">
      <c r="A1070" s="1817" t="str">
        <f t="shared" si="33"/>
        <v>South-Eastern AsiaLentils</v>
      </c>
      <c r="B1070" s="1818" t="s">
        <v>1394</v>
      </c>
      <c r="C1070" s="1818" t="s">
        <v>7344</v>
      </c>
      <c r="D1070" s="3463" t="str">
        <f>VLOOKUP(B1070,List_Yield!$G$4:$J$14,4,FALSE)</f>
        <v>Asia (Insular)</v>
      </c>
      <c r="E1070" s="3463" t="str">
        <f t="shared" si="32"/>
        <v>Asia (Insular)Lentils</v>
      </c>
      <c r="F1070" s="2994">
        <v>0.52859999999999996</v>
      </c>
      <c r="G1070" s="2994">
        <v>0.49280000000000002</v>
      </c>
      <c r="H1070" s="2994">
        <v>0.49519999999999997</v>
      </c>
      <c r="I1070" s="2994">
        <v>0.41849999999999998</v>
      </c>
      <c r="J1070" s="2994">
        <v>0.57789999999999997</v>
      </c>
      <c r="K1070" s="2994">
        <v>0.42499999999999999</v>
      </c>
      <c r="L1070" s="2994">
        <v>0.38469999999999999</v>
      </c>
      <c r="M1070" s="2994">
        <v>0.45419999999999999</v>
      </c>
      <c r="N1070" s="2994">
        <v>0.40360000000000001</v>
      </c>
      <c r="O1070" s="2994">
        <v>0.33479999999999999</v>
      </c>
      <c r="P1070" s="2994">
        <v>0.372</v>
      </c>
      <c r="Q1070" s="2994">
        <v>0.32379999999999998</v>
      </c>
      <c r="R1070" s="2994">
        <v>0.251</v>
      </c>
      <c r="S1070" s="2994">
        <v>0.24210000000000001</v>
      </c>
      <c r="T1070" s="2994">
        <v>0.28499999999999998</v>
      </c>
      <c r="U1070" s="2994">
        <v>0.29609999999999997</v>
      </c>
      <c r="V1070" s="2994">
        <v>0.3594</v>
      </c>
      <c r="W1070" s="2994">
        <v>0.34970000000000001</v>
      </c>
      <c r="X1070" s="2994">
        <v>0.36859999999999998</v>
      </c>
      <c r="Y1070" s="2994">
        <v>0.32769999999999999</v>
      </c>
      <c r="Z1070" s="2994">
        <v>0.32240000000000002</v>
      </c>
      <c r="AA1070" s="2994">
        <v>0.38529999999999998</v>
      </c>
      <c r="AB1070" s="2994">
        <v>0.50229999999999997</v>
      </c>
      <c r="AC1070" s="2994">
        <v>0.57730000000000004</v>
      </c>
      <c r="AD1070" s="2994">
        <v>0.3982</v>
      </c>
      <c r="AE1070" s="2994">
        <v>0.32619999999999999</v>
      </c>
      <c r="AF1070" s="2994">
        <v>0.36320000000000002</v>
      </c>
      <c r="AG1070" s="2994">
        <v>0.28520000000000001</v>
      </c>
      <c r="AH1070" s="2994">
        <v>0.26619999999999999</v>
      </c>
      <c r="AI1070" s="2994">
        <v>0.27900000000000003</v>
      </c>
      <c r="AJ1070" s="2994">
        <v>0.2964</v>
      </c>
      <c r="AK1070" s="2994">
        <v>0.3054</v>
      </c>
      <c r="AL1070" s="2994">
        <v>0.29699999999999999</v>
      </c>
      <c r="AM1070" s="2994">
        <v>0.28510000000000002</v>
      </c>
      <c r="AN1070" s="2994">
        <v>0.28570000000000001</v>
      </c>
      <c r="AO1070" s="2994">
        <v>0.28570000000000001</v>
      </c>
      <c r="AP1070" s="2994">
        <v>0.3785</v>
      </c>
      <c r="AQ1070" s="2994">
        <v>0.41470000000000001</v>
      </c>
      <c r="AR1070" s="2994">
        <v>0.40639999999999998</v>
      </c>
      <c r="AS1070" s="2994">
        <v>0.49790000000000001</v>
      </c>
      <c r="AT1070" s="2994">
        <v>0.52290000000000003</v>
      </c>
      <c r="AU1070" s="2994">
        <v>0.54600000000000004</v>
      </c>
      <c r="AV1070" s="2994">
        <v>0.44280000000000003</v>
      </c>
      <c r="AW1070" s="2994">
        <v>0.45829999999999999</v>
      </c>
      <c r="AX1070" s="2994">
        <v>0.54169999999999996</v>
      </c>
      <c r="AY1070" s="2994">
        <v>0.6</v>
      </c>
      <c r="AZ1070" s="2994">
        <v>0.61109999999999998</v>
      </c>
      <c r="BA1070" s="2994">
        <v>0.75</v>
      </c>
      <c r="BB1070" s="2994">
        <v>0.7843</v>
      </c>
      <c r="BC1070" s="2994">
        <v>0.7611</v>
      </c>
      <c r="BD1070" s="3471">
        <v>0.79849999999999999</v>
      </c>
      <c r="BE1070" s="3471">
        <v>0.8427</v>
      </c>
      <c r="BF1070" s="3471">
        <v>0.85560000000000003</v>
      </c>
    </row>
    <row r="1071" spans="1:58">
      <c r="A1071" s="1817" t="str">
        <f t="shared" si="33"/>
        <v>South-Eastern AsiaLettuce and chicory</v>
      </c>
      <c r="B1071" s="1818" t="s">
        <v>1394</v>
      </c>
      <c r="C1071" s="1818" t="s">
        <v>7345</v>
      </c>
      <c r="D1071" s="3463" t="str">
        <f>VLOOKUP(B1071,List_Yield!$G$4:$J$14,4,FALSE)</f>
        <v>Asia (Insular)</v>
      </c>
      <c r="E1071" s="3463" t="str">
        <f t="shared" si="32"/>
        <v>Asia (Insular)Lettuce and chicory</v>
      </c>
      <c r="F1071" s="2994">
        <v>36.4</v>
      </c>
      <c r="G1071" s="2994">
        <v>41.5</v>
      </c>
      <c r="H1071" s="2994">
        <v>37.4</v>
      </c>
      <c r="I1071" s="2994">
        <v>30.2727</v>
      </c>
      <c r="J1071" s="2994">
        <v>31.181799999999999</v>
      </c>
      <c r="K1071" s="2994">
        <v>13.6364</v>
      </c>
      <c r="L1071" s="2994">
        <v>13.333299999999999</v>
      </c>
      <c r="M1071" s="2994">
        <v>14.166700000000001</v>
      </c>
      <c r="N1071" s="2994">
        <v>15</v>
      </c>
      <c r="O1071" s="2994">
        <v>14.615399999999999</v>
      </c>
      <c r="P1071" s="2994">
        <v>15.384600000000001</v>
      </c>
      <c r="Q1071" s="2994">
        <v>16.1538</v>
      </c>
      <c r="R1071" s="2994">
        <v>15.7143</v>
      </c>
      <c r="S1071" s="2994">
        <v>16.428599999999999</v>
      </c>
      <c r="T1071" s="2994">
        <v>17.142900000000001</v>
      </c>
      <c r="U1071" s="2994">
        <v>16.666699999999999</v>
      </c>
      <c r="V1071" s="2994">
        <v>17.333300000000001</v>
      </c>
      <c r="W1071" s="2994">
        <v>18</v>
      </c>
      <c r="X1071" s="2994">
        <v>17.5</v>
      </c>
      <c r="Y1071" s="2994">
        <v>18.125</v>
      </c>
      <c r="Z1071" s="2994">
        <v>18.75</v>
      </c>
      <c r="AA1071" s="2994">
        <v>18.823499999999999</v>
      </c>
      <c r="AB1071" s="2994">
        <v>18.8889</v>
      </c>
      <c r="AC1071" s="2994">
        <v>18.947399999999998</v>
      </c>
      <c r="AD1071" s="2994">
        <v>1.6667000000000001</v>
      </c>
      <c r="AE1071" s="2994">
        <v>2.4</v>
      </c>
      <c r="AF1071" s="2994">
        <v>3.5714000000000001</v>
      </c>
      <c r="AG1071" s="2994">
        <v>5.5556000000000001</v>
      </c>
      <c r="AH1071" s="2994">
        <v>6.25</v>
      </c>
      <c r="AI1071" s="2994">
        <v>7.2809999999999997</v>
      </c>
      <c r="AJ1071" s="2994">
        <v>6.7426000000000004</v>
      </c>
      <c r="AK1071" s="2994">
        <v>6.8414999999999999</v>
      </c>
      <c r="AL1071" s="2994">
        <v>6.8151000000000002</v>
      </c>
      <c r="AM1071" s="2994">
        <v>7.0193000000000003</v>
      </c>
      <c r="AN1071" s="2994">
        <v>6.9029999999999996</v>
      </c>
      <c r="AO1071" s="2994">
        <v>7.0658000000000003</v>
      </c>
      <c r="AP1071" s="2994">
        <v>6.8605</v>
      </c>
      <c r="AQ1071" s="2994">
        <v>7.5164999999999997</v>
      </c>
      <c r="AR1071" s="2994">
        <v>8.0899000000000001</v>
      </c>
      <c r="AS1071" s="2994">
        <v>8.1760000000000002</v>
      </c>
      <c r="AT1071" s="2994">
        <v>8.7405000000000008</v>
      </c>
      <c r="AU1071" s="2994">
        <v>9.0276999999999994</v>
      </c>
      <c r="AV1071" s="2994">
        <v>8.5332000000000008</v>
      </c>
      <c r="AW1071" s="2994">
        <v>8.4345999999999997</v>
      </c>
      <c r="AX1071" s="2994">
        <v>9.9123999999999999</v>
      </c>
      <c r="AY1071" s="2994">
        <v>7.9698000000000002</v>
      </c>
      <c r="AZ1071" s="2994">
        <v>8.3546999999999993</v>
      </c>
      <c r="BA1071" s="2994">
        <v>8.4785000000000004</v>
      </c>
      <c r="BB1071" s="2994">
        <v>8.5762999999999998</v>
      </c>
      <c r="BC1071" s="2994">
        <v>8.5740999999999996</v>
      </c>
      <c r="BD1071" s="3471">
        <v>8.1136999999999997</v>
      </c>
      <c r="BE1071" s="3471">
        <v>8.4612999999999996</v>
      </c>
      <c r="BF1071" s="3471">
        <v>0</v>
      </c>
    </row>
    <row r="1072" spans="1:58">
      <c r="A1072" s="1817" t="str">
        <f t="shared" si="33"/>
        <v>South-Eastern AsiaLinseed</v>
      </c>
      <c r="B1072" s="1818" t="s">
        <v>1394</v>
      </c>
      <c r="C1072" s="1818" t="s">
        <v>1355</v>
      </c>
      <c r="D1072" s="3463" t="str">
        <f>VLOOKUP(B1072,List_Yield!$G$4:$J$14,4,FALSE)</f>
        <v>Asia (Insular)</v>
      </c>
      <c r="E1072" s="3463" t="str">
        <f t="shared" si="32"/>
        <v>Asia (Insular)Linseed</v>
      </c>
      <c r="F1072" s="2994">
        <v>0</v>
      </c>
      <c r="G1072" s="2994">
        <v>0</v>
      </c>
      <c r="H1072" s="2994">
        <v>0</v>
      </c>
      <c r="I1072" s="2994">
        <v>0</v>
      </c>
      <c r="J1072" s="2994">
        <v>0</v>
      </c>
      <c r="K1072" s="2994">
        <v>0</v>
      </c>
      <c r="L1072" s="2994">
        <v>0</v>
      </c>
      <c r="M1072" s="2994">
        <v>0</v>
      </c>
      <c r="N1072" s="2994">
        <v>0</v>
      </c>
      <c r="O1072" s="2994">
        <v>0</v>
      </c>
      <c r="P1072" s="2994">
        <v>0</v>
      </c>
      <c r="Q1072" s="2994">
        <v>0</v>
      </c>
      <c r="R1072" s="2994">
        <v>0</v>
      </c>
      <c r="S1072" s="2994">
        <v>0</v>
      </c>
      <c r="T1072" s="2994">
        <v>0</v>
      </c>
      <c r="U1072" s="2994">
        <v>0</v>
      </c>
      <c r="V1072" s="2994">
        <v>0</v>
      </c>
      <c r="W1072" s="2994">
        <v>0</v>
      </c>
      <c r="X1072" s="2994">
        <v>0</v>
      </c>
      <c r="Y1072" s="2994">
        <v>0</v>
      </c>
      <c r="Z1072" s="2994">
        <v>0</v>
      </c>
      <c r="AA1072" s="2994">
        <v>0</v>
      </c>
      <c r="AB1072" s="2994">
        <v>0</v>
      </c>
      <c r="AC1072" s="2994">
        <v>0</v>
      </c>
      <c r="AD1072" s="2994">
        <v>0</v>
      </c>
      <c r="AE1072" s="2994">
        <v>0</v>
      </c>
      <c r="AF1072" s="2994">
        <v>0</v>
      </c>
      <c r="AG1072" s="2994">
        <v>0</v>
      </c>
      <c r="AH1072" s="2994">
        <v>0</v>
      </c>
      <c r="AI1072" s="2994">
        <v>0</v>
      </c>
      <c r="AJ1072" s="2994">
        <v>0</v>
      </c>
      <c r="AK1072" s="2994">
        <v>0</v>
      </c>
      <c r="AL1072" s="2994">
        <v>0</v>
      </c>
      <c r="AM1072" s="2994">
        <v>0</v>
      </c>
      <c r="AN1072" s="2994">
        <v>0</v>
      </c>
      <c r="AO1072" s="2994">
        <v>0</v>
      </c>
      <c r="AP1072" s="2994">
        <v>0</v>
      </c>
      <c r="AQ1072" s="2994">
        <v>0</v>
      </c>
      <c r="AR1072" s="2994">
        <v>0</v>
      </c>
      <c r="AS1072" s="2994">
        <v>0</v>
      </c>
      <c r="AT1072" s="2994">
        <v>0</v>
      </c>
      <c r="AU1072" s="2994">
        <v>0</v>
      </c>
      <c r="AV1072" s="2994">
        <v>0</v>
      </c>
      <c r="AW1072" s="2994">
        <v>0</v>
      </c>
      <c r="AX1072" s="2994">
        <v>0</v>
      </c>
      <c r="AY1072" s="2994">
        <v>0</v>
      </c>
      <c r="AZ1072" s="2994">
        <v>0</v>
      </c>
      <c r="BA1072" s="2994">
        <v>0</v>
      </c>
      <c r="BB1072" s="2994">
        <v>0</v>
      </c>
      <c r="BC1072" s="2994">
        <v>0</v>
      </c>
      <c r="BD1072" s="3471">
        <v>0</v>
      </c>
      <c r="BE1072" s="3471">
        <v>0</v>
      </c>
      <c r="BF1072" s="3471">
        <v>0</v>
      </c>
    </row>
    <row r="1073" spans="1:58">
      <c r="A1073" s="1817" t="str">
        <f t="shared" si="33"/>
        <v>South-Eastern AsiaLupins</v>
      </c>
      <c r="B1073" s="1818" t="s">
        <v>1394</v>
      </c>
      <c r="C1073" s="1818" t="s">
        <v>7346</v>
      </c>
      <c r="D1073" s="3463" t="str">
        <f>VLOOKUP(B1073,List_Yield!$G$4:$J$14,4,FALSE)</f>
        <v>Asia (Insular)</v>
      </c>
      <c r="E1073" s="3463" t="str">
        <f t="shared" si="32"/>
        <v>Asia (Insular)Lupins</v>
      </c>
      <c r="F1073" s="2994">
        <v>0</v>
      </c>
      <c r="G1073" s="2994">
        <v>0</v>
      </c>
      <c r="H1073" s="2994">
        <v>0</v>
      </c>
      <c r="I1073" s="2994">
        <v>0</v>
      </c>
      <c r="J1073" s="2994">
        <v>0</v>
      </c>
      <c r="K1073" s="2994">
        <v>0</v>
      </c>
      <c r="L1073" s="2994">
        <v>0</v>
      </c>
      <c r="M1073" s="2994">
        <v>0</v>
      </c>
      <c r="N1073" s="2994">
        <v>0</v>
      </c>
      <c r="O1073" s="2994">
        <v>0</v>
      </c>
      <c r="P1073" s="2994">
        <v>0</v>
      </c>
      <c r="Q1073" s="2994">
        <v>0</v>
      </c>
      <c r="R1073" s="2994">
        <v>0</v>
      </c>
      <c r="S1073" s="2994">
        <v>0</v>
      </c>
      <c r="T1073" s="2994">
        <v>0</v>
      </c>
      <c r="U1073" s="2994">
        <v>0</v>
      </c>
      <c r="V1073" s="2994">
        <v>0</v>
      </c>
      <c r="W1073" s="2994">
        <v>0</v>
      </c>
      <c r="X1073" s="2994">
        <v>0</v>
      </c>
      <c r="Y1073" s="2994">
        <v>0</v>
      </c>
      <c r="Z1073" s="2994">
        <v>0</v>
      </c>
      <c r="AA1073" s="2994">
        <v>0</v>
      </c>
      <c r="AB1073" s="2994">
        <v>0</v>
      </c>
      <c r="AC1073" s="2994">
        <v>0</v>
      </c>
      <c r="AD1073" s="2994">
        <v>0</v>
      </c>
      <c r="AE1073" s="2994">
        <v>0</v>
      </c>
      <c r="AF1073" s="2994">
        <v>0</v>
      </c>
      <c r="AG1073" s="2994">
        <v>0</v>
      </c>
      <c r="AH1073" s="2994">
        <v>0</v>
      </c>
      <c r="AI1073" s="2994">
        <v>0</v>
      </c>
      <c r="AJ1073" s="2994">
        <v>0</v>
      </c>
      <c r="AK1073" s="2994">
        <v>0</v>
      </c>
      <c r="AL1073" s="2994">
        <v>0</v>
      </c>
      <c r="AM1073" s="2994">
        <v>0</v>
      </c>
      <c r="AN1073" s="2994">
        <v>0</v>
      </c>
      <c r="AO1073" s="2994">
        <v>0</v>
      </c>
      <c r="AP1073" s="2994">
        <v>0</v>
      </c>
      <c r="AQ1073" s="2994">
        <v>0</v>
      </c>
      <c r="AR1073" s="2994">
        <v>0</v>
      </c>
      <c r="AS1073" s="2994">
        <v>0</v>
      </c>
      <c r="AT1073" s="2994">
        <v>0</v>
      </c>
      <c r="AU1073" s="2994">
        <v>0</v>
      </c>
      <c r="AV1073" s="2994">
        <v>0</v>
      </c>
      <c r="AW1073" s="2994">
        <v>0</v>
      </c>
      <c r="AX1073" s="2994">
        <v>0</v>
      </c>
      <c r="AY1073" s="2994">
        <v>0</v>
      </c>
      <c r="AZ1073" s="2994">
        <v>0</v>
      </c>
      <c r="BA1073" s="2994">
        <v>0</v>
      </c>
      <c r="BB1073" s="2994">
        <v>0</v>
      </c>
      <c r="BC1073" s="2994">
        <v>0</v>
      </c>
      <c r="BD1073" s="3471">
        <v>0</v>
      </c>
      <c r="BE1073" s="3471">
        <v>0</v>
      </c>
      <c r="BF1073" s="3471">
        <v>0</v>
      </c>
    </row>
    <row r="1074" spans="1:58">
      <c r="A1074" s="1817" t="str">
        <f t="shared" si="33"/>
        <v>South-Eastern AsiaMaize</v>
      </c>
      <c r="B1074" s="1818" t="s">
        <v>1394</v>
      </c>
      <c r="C1074" s="1818" t="s">
        <v>1356</v>
      </c>
      <c r="D1074" s="3463" t="str">
        <f>VLOOKUP(B1074,List_Yield!$G$4:$J$14,4,FALSE)</f>
        <v>Asia (Insular)</v>
      </c>
      <c r="E1074" s="3463" t="str">
        <f t="shared" si="32"/>
        <v>Asia (Insular)Maize</v>
      </c>
      <c r="F1074" s="2994">
        <v>0.90169999999999995</v>
      </c>
      <c r="G1074" s="2994">
        <v>0.96419999999999995</v>
      </c>
      <c r="H1074" s="2994">
        <v>0.94379999999999997</v>
      </c>
      <c r="I1074" s="2994">
        <v>1.0041</v>
      </c>
      <c r="J1074" s="2994">
        <v>0.93220000000000003</v>
      </c>
      <c r="K1074" s="2994">
        <v>0.97350000000000003</v>
      </c>
      <c r="L1074" s="2994">
        <v>0.97540000000000004</v>
      </c>
      <c r="M1074" s="2994">
        <v>1.0318000000000001</v>
      </c>
      <c r="N1074" s="2994">
        <v>1.0874999999999999</v>
      </c>
      <c r="O1074" s="2994">
        <v>1.1122000000000001</v>
      </c>
      <c r="P1074" s="2994">
        <v>1.1429</v>
      </c>
      <c r="Q1074" s="2994">
        <v>1.0029999999999999</v>
      </c>
      <c r="R1074" s="2994">
        <v>1.1508</v>
      </c>
      <c r="S1074" s="2994">
        <v>1.1899</v>
      </c>
      <c r="T1074" s="2994">
        <v>1.2281</v>
      </c>
      <c r="U1074" s="2994">
        <v>1.2329000000000001</v>
      </c>
      <c r="V1074" s="2994">
        <v>1.1302000000000001</v>
      </c>
      <c r="W1074" s="2994">
        <v>1.2861</v>
      </c>
      <c r="X1074" s="2994">
        <v>1.3055000000000001</v>
      </c>
      <c r="Y1074" s="2994">
        <v>1.3537999999999999</v>
      </c>
      <c r="Z1074" s="2994">
        <v>1.4229000000000001</v>
      </c>
      <c r="AA1074" s="2994">
        <v>1.4165000000000001</v>
      </c>
      <c r="AB1074" s="2994">
        <v>1.5116000000000001</v>
      </c>
      <c r="AC1074" s="2994">
        <v>1.5923</v>
      </c>
      <c r="AD1074" s="2994">
        <v>1.6589</v>
      </c>
      <c r="AE1074" s="2994">
        <v>1.6648000000000001</v>
      </c>
      <c r="AF1074" s="2994">
        <v>1.5783</v>
      </c>
      <c r="AG1074" s="2994">
        <v>1.7434000000000001</v>
      </c>
      <c r="AH1074" s="2994">
        <v>1.7905</v>
      </c>
      <c r="AI1074" s="2994">
        <v>1.7784</v>
      </c>
      <c r="AJ1074" s="2994">
        <v>1.8314999999999999</v>
      </c>
      <c r="AK1074" s="2994">
        <v>1.9161999999999999</v>
      </c>
      <c r="AL1074" s="2994">
        <v>1.9677</v>
      </c>
      <c r="AM1074" s="2994">
        <v>2.0491999999999999</v>
      </c>
      <c r="AN1074" s="2994">
        <v>2.1503000000000001</v>
      </c>
      <c r="AO1074" s="2994">
        <v>2.3003</v>
      </c>
      <c r="AP1074" s="2994">
        <v>2.3180999999999998</v>
      </c>
      <c r="AQ1074" s="2994">
        <v>2.4321999999999999</v>
      </c>
      <c r="AR1074" s="2994">
        <v>2.4445999999999999</v>
      </c>
      <c r="AS1074" s="2994">
        <v>2.5669</v>
      </c>
      <c r="AT1074" s="2994">
        <v>2.6375000000000002</v>
      </c>
      <c r="AU1074" s="2994">
        <v>2.7313000000000001</v>
      </c>
      <c r="AV1074" s="2994">
        <v>2.9207999999999998</v>
      </c>
      <c r="AW1074" s="2994">
        <v>3.03</v>
      </c>
      <c r="AX1074" s="2994">
        <v>3.1248999999999998</v>
      </c>
      <c r="AY1074" s="2994">
        <v>3.2031000000000001</v>
      </c>
      <c r="AZ1074" s="2994">
        <v>3.3769</v>
      </c>
      <c r="BA1074" s="2994">
        <v>3.5200999999999998</v>
      </c>
      <c r="BB1074" s="2994">
        <v>3.7467999999999999</v>
      </c>
      <c r="BC1074" s="2994">
        <v>3.8248000000000002</v>
      </c>
      <c r="BD1074" s="3471">
        <v>3.9784999999999999</v>
      </c>
      <c r="BE1074" s="3471">
        <v>4.1407999999999996</v>
      </c>
      <c r="BF1074" s="3471">
        <v>4.1413000000000002</v>
      </c>
    </row>
    <row r="1075" spans="1:58">
      <c r="A1075" s="1817" t="str">
        <f t="shared" si="33"/>
        <v>South-Eastern AsiaMaize, green</v>
      </c>
      <c r="B1075" s="1818" t="s">
        <v>1394</v>
      </c>
      <c r="C1075" s="1818" t="s">
        <v>1357</v>
      </c>
      <c r="D1075" s="3463" t="str">
        <f>VLOOKUP(B1075,List_Yield!$G$4:$J$14,4,FALSE)</f>
        <v>Asia (Insular)</v>
      </c>
      <c r="E1075" s="3463" t="str">
        <f t="shared" si="32"/>
        <v>Asia (Insular)Maize, green</v>
      </c>
      <c r="F1075" s="2994">
        <v>4</v>
      </c>
      <c r="G1075" s="2994">
        <v>4</v>
      </c>
      <c r="H1075" s="2994">
        <v>3.9990999999999999</v>
      </c>
      <c r="I1075" s="2994">
        <v>4</v>
      </c>
      <c r="J1075" s="2994">
        <v>4.0007999999999999</v>
      </c>
      <c r="K1075" s="2994">
        <v>4</v>
      </c>
      <c r="L1075" s="2994">
        <v>4</v>
      </c>
      <c r="M1075" s="2994">
        <v>4</v>
      </c>
      <c r="N1075" s="2994">
        <v>4</v>
      </c>
      <c r="O1075" s="2994">
        <v>4.0067000000000004</v>
      </c>
      <c r="P1075" s="2994">
        <v>3.9935</v>
      </c>
      <c r="Q1075" s="2994">
        <v>4.0128000000000004</v>
      </c>
      <c r="R1075" s="2994">
        <v>4.0111999999999997</v>
      </c>
      <c r="S1075" s="2994">
        <v>4.0121000000000002</v>
      </c>
      <c r="T1075" s="2994">
        <v>4.0369000000000002</v>
      </c>
      <c r="U1075" s="2994">
        <v>4.0719000000000003</v>
      </c>
      <c r="V1075" s="2994">
        <v>3.9293999999999998</v>
      </c>
      <c r="W1075" s="2994">
        <v>4.0957999999999997</v>
      </c>
      <c r="X1075" s="2994">
        <v>4.0458999999999996</v>
      </c>
      <c r="Y1075" s="2994">
        <v>4.3487999999999998</v>
      </c>
      <c r="Z1075" s="2994">
        <v>4.1835000000000004</v>
      </c>
      <c r="AA1075" s="2994">
        <v>4.1704999999999997</v>
      </c>
      <c r="AB1075" s="2994">
        <v>4.2530999999999999</v>
      </c>
      <c r="AC1075" s="2994">
        <v>4.2632000000000003</v>
      </c>
      <c r="AD1075" s="2994">
        <v>4.1142000000000003</v>
      </c>
      <c r="AE1075" s="2994">
        <v>4.2222</v>
      </c>
      <c r="AF1075" s="2994">
        <v>4.32</v>
      </c>
      <c r="AG1075" s="2994">
        <v>4.4443999999999999</v>
      </c>
      <c r="AH1075" s="2994">
        <v>4.5895999999999999</v>
      </c>
      <c r="AI1075" s="2994">
        <v>4.6849999999999996</v>
      </c>
      <c r="AJ1075" s="2994">
        <v>4.3497000000000003</v>
      </c>
      <c r="AK1075" s="2994">
        <v>4.2405999999999997</v>
      </c>
      <c r="AL1075" s="2994">
        <v>4.2396000000000003</v>
      </c>
      <c r="AM1075" s="2994">
        <v>3.7288999999999999</v>
      </c>
      <c r="AN1075" s="2994">
        <v>3.5041000000000002</v>
      </c>
      <c r="AO1075" s="2994">
        <v>3.3679000000000001</v>
      </c>
      <c r="AP1075" s="2994">
        <v>3.9201000000000001</v>
      </c>
      <c r="AQ1075" s="2994">
        <v>3.6526999999999998</v>
      </c>
      <c r="AR1075" s="2994">
        <v>3.6564999999999999</v>
      </c>
      <c r="AS1075" s="2994">
        <v>3.8054999999999999</v>
      </c>
      <c r="AT1075" s="2994">
        <v>4.4326999999999996</v>
      </c>
      <c r="AU1075" s="2994">
        <v>4.3502000000000001</v>
      </c>
      <c r="AV1075" s="2994">
        <v>4.4004000000000003</v>
      </c>
      <c r="AW1075" s="2994">
        <v>4.7824999999999998</v>
      </c>
      <c r="AX1075" s="2994">
        <v>4.4695</v>
      </c>
      <c r="AY1075" s="2994">
        <v>4.6235999999999997</v>
      </c>
      <c r="AZ1075" s="2994">
        <v>4.7230999999999996</v>
      </c>
      <c r="BA1075" s="2994">
        <v>4.9920999999999998</v>
      </c>
      <c r="BB1075" s="2994">
        <v>5.0842999999999998</v>
      </c>
      <c r="BC1075" s="2994">
        <v>5.2367999999999997</v>
      </c>
      <c r="BD1075" s="3471">
        <v>5.6123000000000003</v>
      </c>
      <c r="BE1075" s="3471">
        <v>5.5548999999999999</v>
      </c>
      <c r="BF1075" s="3471">
        <v>0</v>
      </c>
    </row>
    <row r="1076" spans="1:58">
      <c r="A1076" s="1817" t="str">
        <f t="shared" si="33"/>
        <v>South-Eastern AsiaMangoes, mangosteens, guavas</v>
      </c>
      <c r="B1076" s="1818" t="s">
        <v>1394</v>
      </c>
      <c r="C1076" s="1818" t="s">
        <v>1358</v>
      </c>
      <c r="D1076" s="3463" t="str">
        <f>VLOOKUP(B1076,List_Yield!$G$4:$J$14,4,FALSE)</f>
        <v>Asia (Insular)</v>
      </c>
      <c r="E1076" s="3463" t="str">
        <f t="shared" si="32"/>
        <v>Asia (Insular)Mangoes, mangosteens, guavas</v>
      </c>
      <c r="F1076" s="2994">
        <v>4.8266999999999998</v>
      </c>
      <c r="G1076" s="2994">
        <v>5.0015999999999998</v>
      </c>
      <c r="H1076" s="2994">
        <v>4.9416000000000002</v>
      </c>
      <c r="I1076" s="2994">
        <v>5.0716999999999999</v>
      </c>
      <c r="J1076" s="2994">
        <v>5.0503</v>
      </c>
      <c r="K1076" s="2994">
        <v>5.1813000000000002</v>
      </c>
      <c r="L1076" s="2994">
        <v>5.0373000000000001</v>
      </c>
      <c r="M1076" s="2994">
        <v>5.0048000000000004</v>
      </c>
      <c r="N1076" s="2994">
        <v>5.0396999999999998</v>
      </c>
      <c r="O1076" s="2994">
        <v>5.5953999999999997</v>
      </c>
      <c r="P1076" s="2994">
        <v>5.9238</v>
      </c>
      <c r="Q1076" s="2994">
        <v>5.9592999999999998</v>
      </c>
      <c r="R1076" s="2994">
        <v>6.0423999999999998</v>
      </c>
      <c r="S1076" s="2994">
        <v>6.2971000000000004</v>
      </c>
      <c r="T1076" s="2994">
        <v>5.7207999999999997</v>
      </c>
      <c r="U1076" s="2994">
        <v>5.2057000000000002</v>
      </c>
      <c r="V1076" s="2994">
        <v>6.5286</v>
      </c>
      <c r="W1076" s="2994">
        <v>6.8463000000000003</v>
      </c>
      <c r="X1076" s="2994">
        <v>6.2709999999999999</v>
      </c>
      <c r="Y1076" s="2994">
        <v>5.9817999999999998</v>
      </c>
      <c r="Z1076" s="2994">
        <v>5.8544</v>
      </c>
      <c r="AA1076" s="2994">
        <v>5.5519999999999996</v>
      </c>
      <c r="AB1076" s="2994">
        <v>5.9641000000000002</v>
      </c>
      <c r="AC1076" s="2994">
        <v>6.1294000000000004</v>
      </c>
      <c r="AD1076" s="2994">
        <v>6.2790999999999997</v>
      </c>
      <c r="AE1076" s="2994">
        <v>6.2861000000000002</v>
      </c>
      <c r="AF1076" s="2994">
        <v>6.0423</v>
      </c>
      <c r="AG1076" s="2994">
        <v>6.4997999999999996</v>
      </c>
      <c r="AH1076" s="2994">
        <v>6.0232000000000001</v>
      </c>
      <c r="AI1076" s="2994">
        <v>5.8563999999999998</v>
      </c>
      <c r="AJ1076" s="2994">
        <v>5.1856999999999998</v>
      </c>
      <c r="AK1076" s="2994">
        <v>4.8807</v>
      </c>
      <c r="AL1076" s="2994">
        <v>4.7796000000000003</v>
      </c>
      <c r="AM1076" s="2994">
        <v>5.8886000000000003</v>
      </c>
      <c r="AN1076" s="2994">
        <v>5.5773000000000001</v>
      </c>
      <c r="AO1076" s="2994">
        <v>6.0084999999999997</v>
      </c>
      <c r="AP1076" s="2994">
        <v>6.5526999999999997</v>
      </c>
      <c r="AQ1076" s="2994">
        <v>5.4565999999999999</v>
      </c>
      <c r="AR1076" s="2994">
        <v>5.9989999999999997</v>
      </c>
      <c r="AS1076" s="2994">
        <v>5.9443000000000001</v>
      </c>
      <c r="AT1076" s="2994">
        <v>6.0401999999999996</v>
      </c>
      <c r="AU1076" s="2994">
        <v>7.2412999999999998</v>
      </c>
      <c r="AV1076" s="2994">
        <v>7.5312999999999999</v>
      </c>
      <c r="AW1076" s="2994">
        <v>6.9272999999999998</v>
      </c>
      <c r="AX1076" s="2994">
        <v>6.5274000000000001</v>
      </c>
      <c r="AY1076" s="2994">
        <v>7.1523000000000003</v>
      </c>
      <c r="AZ1076" s="2994">
        <v>7.5355999999999996</v>
      </c>
      <c r="BA1076" s="2994">
        <v>7.8776999999999999</v>
      </c>
      <c r="BB1076" s="2994">
        <v>7.6120000000000001</v>
      </c>
      <c r="BC1076" s="2994">
        <v>7.3677000000000001</v>
      </c>
      <c r="BD1076" s="3471">
        <v>7.8209999999999997</v>
      </c>
      <c r="BE1076" s="3471">
        <v>7.99</v>
      </c>
      <c r="BF1076" s="3471">
        <v>0</v>
      </c>
    </row>
    <row r="1077" spans="1:58">
      <c r="A1077" s="1817" t="str">
        <f t="shared" si="33"/>
        <v>South-Eastern AsiaManila fibre (abaca)</v>
      </c>
      <c r="B1077" s="1818" t="s">
        <v>1394</v>
      </c>
      <c r="C1077" s="1818" t="s">
        <v>7347</v>
      </c>
      <c r="D1077" s="3463" t="str">
        <f>VLOOKUP(B1077,List_Yield!$G$4:$J$14,4,FALSE)</f>
        <v>Asia (Insular)</v>
      </c>
      <c r="E1077" s="3463" t="str">
        <f t="shared" si="32"/>
        <v>Asia (Insular)Manila fibre (abaca)</v>
      </c>
      <c r="F1077" s="2994">
        <v>0.51929999999999998</v>
      </c>
      <c r="G1077" s="2994">
        <v>0.60240000000000005</v>
      </c>
      <c r="H1077" s="2994">
        <v>0.6492</v>
      </c>
      <c r="I1077" s="2994">
        <v>0.60540000000000005</v>
      </c>
      <c r="J1077" s="2994">
        <v>0.55420000000000003</v>
      </c>
      <c r="K1077" s="2994">
        <v>0.69189999999999996</v>
      </c>
      <c r="L1077" s="2994">
        <v>0.64249999999999996</v>
      </c>
      <c r="M1077" s="2994">
        <v>0.62309999999999999</v>
      </c>
      <c r="N1077" s="2994">
        <v>0.62239999999999995</v>
      </c>
      <c r="O1077" s="2994">
        <v>0.71209999999999996</v>
      </c>
      <c r="P1077" s="2994">
        <v>0.67879999999999996</v>
      </c>
      <c r="Q1077" s="2994">
        <v>0.76570000000000005</v>
      </c>
      <c r="R1077" s="2994">
        <v>0.7349</v>
      </c>
      <c r="S1077" s="2994">
        <v>0.74229999999999996</v>
      </c>
      <c r="T1077" s="2994">
        <v>0.74370000000000003</v>
      </c>
      <c r="U1077" s="2994">
        <v>0.57169999999999999</v>
      </c>
      <c r="V1077" s="2994">
        <v>0.60189999999999999</v>
      </c>
      <c r="W1077" s="2994">
        <v>0.53200000000000003</v>
      </c>
      <c r="X1077" s="2994">
        <v>0.63170000000000004</v>
      </c>
      <c r="Y1077" s="2994">
        <v>0.66610000000000003</v>
      </c>
      <c r="Z1077" s="2994">
        <v>0.55740000000000001</v>
      </c>
      <c r="AA1077" s="2994">
        <v>0.57920000000000005</v>
      </c>
      <c r="AB1077" s="2994">
        <v>0.52480000000000004</v>
      </c>
      <c r="AC1077" s="2994">
        <v>0.52159999999999995</v>
      </c>
      <c r="AD1077" s="2994">
        <v>0.5</v>
      </c>
      <c r="AE1077" s="2994">
        <v>0.72799999999999998</v>
      </c>
      <c r="AF1077" s="2994">
        <v>0.71489999999999998</v>
      </c>
      <c r="AG1077" s="2994">
        <v>0.77739999999999998</v>
      </c>
      <c r="AH1077" s="2994">
        <v>0.62949999999999995</v>
      </c>
      <c r="AI1077" s="2994">
        <v>0.58169999999999999</v>
      </c>
      <c r="AJ1077" s="2994">
        <v>0.61560000000000004</v>
      </c>
      <c r="AK1077" s="2994">
        <v>0.61550000000000005</v>
      </c>
      <c r="AL1077" s="2994">
        <v>0.58479999999999999</v>
      </c>
      <c r="AM1077" s="2994">
        <v>0.64600000000000002</v>
      </c>
      <c r="AN1077" s="2994">
        <v>0.61580000000000001</v>
      </c>
      <c r="AO1077" s="2994">
        <v>0.60629999999999995</v>
      </c>
      <c r="AP1077" s="2994">
        <v>0.59799999999999998</v>
      </c>
      <c r="AQ1077" s="2994">
        <v>0.6714</v>
      </c>
      <c r="AR1077" s="2994">
        <v>0.65810000000000002</v>
      </c>
      <c r="AS1077" s="2994">
        <v>0.72399999999999998</v>
      </c>
      <c r="AT1077" s="2994">
        <v>0.68140000000000001</v>
      </c>
      <c r="AU1077" s="2994">
        <v>0.51819999999999999</v>
      </c>
      <c r="AV1077" s="2994">
        <v>0.57569999999999999</v>
      </c>
      <c r="AW1077" s="2994">
        <v>0.58540000000000003</v>
      </c>
      <c r="AX1077" s="2994">
        <v>0.54510000000000003</v>
      </c>
      <c r="AY1077" s="2994">
        <v>0.51519999999999999</v>
      </c>
      <c r="AZ1077" s="2994">
        <v>0.49</v>
      </c>
      <c r="BA1077" s="2994">
        <v>0.49859999999999999</v>
      </c>
      <c r="BB1077" s="2994">
        <v>0.48870000000000002</v>
      </c>
      <c r="BC1077" s="2994">
        <v>0.49370000000000003</v>
      </c>
      <c r="BD1077" s="3471">
        <v>0.49220000000000003</v>
      </c>
      <c r="BE1077" s="3471">
        <v>0.49220000000000003</v>
      </c>
      <c r="BF1077" s="3471">
        <v>0</v>
      </c>
    </row>
    <row r="1078" spans="1:58">
      <c r="A1078" s="1817" t="str">
        <f t="shared" si="33"/>
        <v>South-Eastern AsiaMaté</v>
      </c>
      <c r="B1078" s="1818" t="s">
        <v>1394</v>
      </c>
      <c r="C1078" s="1818" t="s">
        <v>2268</v>
      </c>
      <c r="D1078" s="3463" t="str">
        <f>VLOOKUP(B1078,List_Yield!$G$4:$J$14,4,FALSE)</f>
        <v>Asia (Insular)</v>
      </c>
      <c r="E1078" s="3463" t="str">
        <f t="shared" si="32"/>
        <v>Asia (Insular)Maté</v>
      </c>
      <c r="F1078" s="2994">
        <v>0</v>
      </c>
      <c r="G1078" s="2994">
        <v>0</v>
      </c>
      <c r="H1078" s="2994">
        <v>0</v>
      </c>
      <c r="I1078" s="2994">
        <v>0</v>
      </c>
      <c r="J1078" s="2994">
        <v>0</v>
      </c>
      <c r="K1078" s="2994">
        <v>0</v>
      </c>
      <c r="L1078" s="2994">
        <v>0</v>
      </c>
      <c r="M1078" s="2994">
        <v>0</v>
      </c>
      <c r="N1078" s="2994">
        <v>0</v>
      </c>
      <c r="O1078" s="2994">
        <v>0</v>
      </c>
      <c r="P1078" s="2994">
        <v>0</v>
      </c>
      <c r="Q1078" s="2994">
        <v>0</v>
      </c>
      <c r="R1078" s="2994">
        <v>0</v>
      </c>
      <c r="S1078" s="2994">
        <v>0</v>
      </c>
      <c r="T1078" s="2994">
        <v>0</v>
      </c>
      <c r="U1078" s="2994">
        <v>0</v>
      </c>
      <c r="V1078" s="2994">
        <v>0</v>
      </c>
      <c r="W1078" s="2994">
        <v>0</v>
      </c>
      <c r="X1078" s="2994">
        <v>0</v>
      </c>
      <c r="Y1078" s="2994">
        <v>0</v>
      </c>
      <c r="Z1078" s="2994">
        <v>0</v>
      </c>
      <c r="AA1078" s="2994">
        <v>0</v>
      </c>
      <c r="AB1078" s="2994">
        <v>0</v>
      </c>
      <c r="AC1078" s="2994">
        <v>0</v>
      </c>
      <c r="AD1078" s="2994">
        <v>0</v>
      </c>
      <c r="AE1078" s="2994">
        <v>0</v>
      </c>
      <c r="AF1078" s="2994">
        <v>0</v>
      </c>
      <c r="AG1078" s="2994">
        <v>0</v>
      </c>
      <c r="AH1078" s="2994">
        <v>0</v>
      </c>
      <c r="AI1078" s="2994">
        <v>0</v>
      </c>
      <c r="AJ1078" s="2994">
        <v>0</v>
      </c>
      <c r="AK1078" s="2994">
        <v>0</v>
      </c>
      <c r="AL1078" s="2994">
        <v>0</v>
      </c>
      <c r="AM1078" s="2994">
        <v>0</v>
      </c>
      <c r="AN1078" s="2994">
        <v>0</v>
      </c>
      <c r="AO1078" s="2994">
        <v>0</v>
      </c>
      <c r="AP1078" s="2994">
        <v>0</v>
      </c>
      <c r="AQ1078" s="2994">
        <v>0</v>
      </c>
      <c r="AR1078" s="2994">
        <v>0</v>
      </c>
      <c r="AS1078" s="2994">
        <v>0</v>
      </c>
      <c r="AT1078" s="2994">
        <v>0</v>
      </c>
      <c r="AU1078" s="2994">
        <v>0</v>
      </c>
      <c r="AV1078" s="2994">
        <v>0</v>
      </c>
      <c r="AW1078" s="2994">
        <v>0</v>
      </c>
      <c r="AX1078" s="2994">
        <v>0</v>
      </c>
      <c r="AY1078" s="2994">
        <v>0</v>
      </c>
      <c r="AZ1078" s="2994">
        <v>0</v>
      </c>
      <c r="BA1078" s="2994">
        <v>0</v>
      </c>
      <c r="BB1078" s="2994">
        <v>0</v>
      </c>
      <c r="BC1078" s="2994">
        <v>0</v>
      </c>
      <c r="BD1078" s="3471">
        <v>0</v>
      </c>
      <c r="BE1078" s="3471">
        <v>0</v>
      </c>
      <c r="BF1078" s="3471">
        <v>0</v>
      </c>
    </row>
    <row r="1079" spans="1:58">
      <c r="A1079" s="1817" t="str">
        <f t="shared" si="33"/>
        <v>South-Eastern AsiaMelons, other (inc.cantaloupes)</v>
      </c>
      <c r="B1079" s="1818" t="s">
        <v>1394</v>
      </c>
      <c r="C1079" s="1818" t="s">
        <v>7348</v>
      </c>
      <c r="D1079" s="3463" t="str">
        <f>VLOOKUP(B1079,List_Yield!$G$4:$J$14,4,FALSE)</f>
        <v>Asia (Insular)</v>
      </c>
      <c r="E1079" s="3463" t="str">
        <f t="shared" si="32"/>
        <v>Asia (Insular)Melons, other (inc.cantaloupes)</v>
      </c>
      <c r="F1079" s="2994">
        <v>10</v>
      </c>
      <c r="G1079" s="2994">
        <v>10</v>
      </c>
      <c r="H1079" s="2994">
        <v>10</v>
      </c>
      <c r="I1079" s="2994">
        <v>9.4443999999999999</v>
      </c>
      <c r="J1079" s="2994">
        <v>10</v>
      </c>
      <c r="K1079" s="2994">
        <v>9.4595000000000002</v>
      </c>
      <c r="L1079" s="2994">
        <v>9.1891999999999996</v>
      </c>
      <c r="M1079" s="2994">
        <v>9.2104999999999997</v>
      </c>
      <c r="N1079" s="2994">
        <v>9.4736999999999991</v>
      </c>
      <c r="O1079" s="2994">
        <v>9.7436000000000007</v>
      </c>
      <c r="P1079" s="2994">
        <v>10</v>
      </c>
      <c r="Q1079" s="2994">
        <v>10</v>
      </c>
      <c r="R1079" s="2994">
        <v>10</v>
      </c>
      <c r="S1079" s="2994">
        <v>10</v>
      </c>
      <c r="T1079" s="2994">
        <v>10.270300000000001</v>
      </c>
      <c r="U1079" s="2994">
        <v>10.526300000000001</v>
      </c>
      <c r="V1079" s="2994">
        <v>10.526300000000001</v>
      </c>
      <c r="W1079" s="2994">
        <v>10.7692</v>
      </c>
      <c r="X1079" s="2994">
        <v>11.2821</v>
      </c>
      <c r="Y1079" s="2994">
        <v>11.5</v>
      </c>
      <c r="Z1079" s="2994">
        <v>11.75</v>
      </c>
      <c r="AA1079" s="2994">
        <v>12</v>
      </c>
      <c r="AB1079" s="2994">
        <v>12.5</v>
      </c>
      <c r="AC1079" s="2994">
        <v>12.5</v>
      </c>
      <c r="AD1079" s="2994">
        <v>12.5</v>
      </c>
      <c r="AE1079" s="2994">
        <v>13</v>
      </c>
      <c r="AF1079" s="2994">
        <v>12.631600000000001</v>
      </c>
      <c r="AG1079" s="2994">
        <v>12.857100000000001</v>
      </c>
      <c r="AH1079" s="2994">
        <v>12.083299999999999</v>
      </c>
      <c r="AI1079" s="2994">
        <v>13.2064</v>
      </c>
      <c r="AJ1079" s="2994">
        <v>14.5924</v>
      </c>
      <c r="AK1079" s="2994">
        <v>15.2524</v>
      </c>
      <c r="AL1079" s="2994">
        <v>15.5983</v>
      </c>
      <c r="AM1079" s="2994">
        <v>15.3461</v>
      </c>
      <c r="AN1079" s="2994">
        <v>14.8474</v>
      </c>
      <c r="AO1079" s="2994">
        <v>13.322800000000001</v>
      </c>
      <c r="AP1079" s="2994">
        <v>11.909000000000001</v>
      </c>
      <c r="AQ1079" s="2994">
        <v>13.3642</v>
      </c>
      <c r="AR1079" s="2994">
        <v>13.5642</v>
      </c>
      <c r="AS1079" s="2994">
        <v>13.2478</v>
      </c>
      <c r="AT1079" s="2994">
        <v>16.574200000000001</v>
      </c>
      <c r="AU1079" s="2994">
        <v>15.7636</v>
      </c>
      <c r="AV1079" s="2994">
        <v>16.218399999999999</v>
      </c>
      <c r="AW1079" s="2994">
        <v>15.9777</v>
      </c>
      <c r="AX1079" s="2994">
        <v>16.0364</v>
      </c>
      <c r="AY1079" s="2994">
        <v>15.7079</v>
      </c>
      <c r="AZ1079" s="2994">
        <v>15.194100000000001</v>
      </c>
      <c r="BA1079" s="2994">
        <v>16.412400000000002</v>
      </c>
      <c r="BB1079" s="2994">
        <v>16.732199999999999</v>
      </c>
      <c r="BC1079" s="2994">
        <v>14.937900000000001</v>
      </c>
      <c r="BD1079" s="3471">
        <v>15.4116</v>
      </c>
      <c r="BE1079" s="3471">
        <v>17.033100000000001</v>
      </c>
      <c r="BF1079" s="3471">
        <v>0</v>
      </c>
    </row>
    <row r="1080" spans="1:58">
      <c r="A1080" s="1817" t="str">
        <f t="shared" si="33"/>
        <v>South-Eastern AsiaMelonseed</v>
      </c>
      <c r="B1080" s="1818" t="s">
        <v>1394</v>
      </c>
      <c r="C1080" s="1818" t="s">
        <v>7349</v>
      </c>
      <c r="D1080" s="3463" t="str">
        <f>VLOOKUP(B1080,List_Yield!$G$4:$J$14,4,FALSE)</f>
        <v>Asia (Insular)</v>
      </c>
      <c r="E1080" s="3463" t="str">
        <f t="shared" si="32"/>
        <v>Asia (Insular)Melonseed</v>
      </c>
      <c r="F1080" s="2994">
        <v>0</v>
      </c>
      <c r="G1080" s="2994">
        <v>0</v>
      </c>
      <c r="H1080" s="2994">
        <v>0</v>
      </c>
      <c r="I1080" s="2994">
        <v>0</v>
      </c>
      <c r="J1080" s="2994">
        <v>0</v>
      </c>
      <c r="K1080" s="2994">
        <v>0</v>
      </c>
      <c r="L1080" s="2994">
        <v>0</v>
      </c>
      <c r="M1080" s="2994">
        <v>0</v>
      </c>
      <c r="N1080" s="2994">
        <v>0</v>
      </c>
      <c r="O1080" s="2994">
        <v>0</v>
      </c>
      <c r="P1080" s="2994">
        <v>0</v>
      </c>
      <c r="Q1080" s="2994">
        <v>0</v>
      </c>
      <c r="R1080" s="2994">
        <v>0</v>
      </c>
      <c r="S1080" s="2994">
        <v>0</v>
      </c>
      <c r="T1080" s="2994">
        <v>0</v>
      </c>
      <c r="U1080" s="2994">
        <v>0</v>
      </c>
      <c r="V1080" s="2994">
        <v>0</v>
      </c>
      <c r="W1080" s="2994">
        <v>0</v>
      </c>
      <c r="X1080" s="2994">
        <v>0</v>
      </c>
      <c r="Y1080" s="2994">
        <v>0</v>
      </c>
      <c r="Z1080" s="2994">
        <v>0</v>
      </c>
      <c r="AA1080" s="2994">
        <v>0</v>
      </c>
      <c r="AB1080" s="2994">
        <v>0</v>
      </c>
      <c r="AC1080" s="2994">
        <v>0</v>
      </c>
      <c r="AD1080" s="2994">
        <v>0</v>
      </c>
      <c r="AE1080" s="2994">
        <v>0</v>
      </c>
      <c r="AF1080" s="2994">
        <v>0</v>
      </c>
      <c r="AG1080" s="2994">
        <v>0</v>
      </c>
      <c r="AH1080" s="2994">
        <v>0</v>
      </c>
      <c r="AI1080" s="2994">
        <v>0</v>
      </c>
      <c r="AJ1080" s="2994">
        <v>0</v>
      </c>
      <c r="AK1080" s="2994">
        <v>0</v>
      </c>
      <c r="AL1080" s="2994">
        <v>0</v>
      </c>
      <c r="AM1080" s="2994">
        <v>0</v>
      </c>
      <c r="AN1080" s="2994">
        <v>0</v>
      </c>
      <c r="AO1080" s="2994">
        <v>0</v>
      </c>
      <c r="AP1080" s="2994">
        <v>0</v>
      </c>
      <c r="AQ1080" s="2994">
        <v>0</v>
      </c>
      <c r="AR1080" s="2994">
        <v>0</v>
      </c>
      <c r="AS1080" s="2994">
        <v>0</v>
      </c>
      <c r="AT1080" s="2994">
        <v>0</v>
      </c>
      <c r="AU1080" s="2994">
        <v>0</v>
      </c>
      <c r="AV1080" s="2994">
        <v>0</v>
      </c>
      <c r="AW1080" s="2994">
        <v>0</v>
      </c>
      <c r="AX1080" s="2994">
        <v>0</v>
      </c>
      <c r="AY1080" s="2994">
        <v>0</v>
      </c>
      <c r="AZ1080" s="2994">
        <v>0</v>
      </c>
      <c r="BA1080" s="2994">
        <v>0</v>
      </c>
      <c r="BB1080" s="2994">
        <v>0</v>
      </c>
      <c r="BC1080" s="2994">
        <v>0</v>
      </c>
      <c r="BD1080" s="3471">
        <v>0</v>
      </c>
      <c r="BE1080" s="3471">
        <v>0</v>
      </c>
      <c r="BF1080" s="3471">
        <v>0</v>
      </c>
    </row>
    <row r="1081" spans="1:58">
      <c r="A1081" s="1817" t="str">
        <f t="shared" si="33"/>
        <v>South-Eastern AsiaMillet</v>
      </c>
      <c r="B1081" s="1818" t="s">
        <v>1394</v>
      </c>
      <c r="C1081" s="1818" t="s">
        <v>1359</v>
      </c>
      <c r="D1081" s="3463" t="str">
        <f>VLOOKUP(B1081,List_Yield!$G$4:$J$14,4,FALSE)</f>
        <v>Asia (Insular)</v>
      </c>
      <c r="E1081" s="3463" t="str">
        <f t="shared" si="32"/>
        <v>Asia (Insular)Millet</v>
      </c>
      <c r="F1081" s="2994">
        <v>0.246</v>
      </c>
      <c r="G1081" s="2994">
        <v>0.33179999999999998</v>
      </c>
      <c r="H1081" s="2994">
        <v>0.38740000000000002</v>
      </c>
      <c r="I1081" s="2994">
        <v>0.28360000000000002</v>
      </c>
      <c r="J1081" s="2994">
        <v>0.31850000000000001</v>
      </c>
      <c r="K1081" s="2994">
        <v>0.26750000000000002</v>
      </c>
      <c r="L1081" s="2994">
        <v>0.26769999999999999</v>
      </c>
      <c r="M1081" s="2994">
        <v>0.30890000000000001</v>
      </c>
      <c r="N1081" s="2994">
        <v>0.30420000000000003</v>
      </c>
      <c r="O1081" s="2994">
        <v>0.30070000000000002</v>
      </c>
      <c r="P1081" s="2994">
        <v>0.2651</v>
      </c>
      <c r="Q1081" s="2994">
        <v>0.246</v>
      </c>
      <c r="R1081" s="2994">
        <v>0.24970000000000001</v>
      </c>
      <c r="S1081" s="2994">
        <v>0.27889999999999998</v>
      </c>
      <c r="T1081" s="2994">
        <v>0.2787</v>
      </c>
      <c r="U1081" s="2994">
        <v>0.33339999999999997</v>
      </c>
      <c r="V1081" s="2994">
        <v>0.34360000000000002</v>
      </c>
      <c r="W1081" s="2994">
        <v>0.33850000000000002</v>
      </c>
      <c r="X1081" s="2994">
        <v>0.38219999999999998</v>
      </c>
      <c r="Y1081" s="2994">
        <v>0.45629999999999998</v>
      </c>
      <c r="Z1081" s="2994">
        <v>0.51429999999999998</v>
      </c>
      <c r="AA1081" s="2994">
        <v>0.69799999999999995</v>
      </c>
      <c r="AB1081" s="2994">
        <v>1.1906000000000001</v>
      </c>
      <c r="AC1081" s="2994">
        <v>0.79820000000000002</v>
      </c>
      <c r="AD1081" s="2994">
        <v>1.0754999999999999</v>
      </c>
      <c r="AE1081" s="2994">
        <v>1.1417999999999999</v>
      </c>
      <c r="AF1081" s="2994">
        <v>0.92679999999999996</v>
      </c>
      <c r="AG1081" s="2994">
        <v>0.7238</v>
      </c>
      <c r="AH1081" s="2994">
        <v>0.66190000000000004</v>
      </c>
      <c r="AI1081" s="2994">
        <v>0.75229999999999997</v>
      </c>
      <c r="AJ1081" s="2994">
        <v>0.67249999999999999</v>
      </c>
      <c r="AK1081" s="2994">
        <v>0.67479999999999996</v>
      </c>
      <c r="AL1081" s="2994">
        <v>0.70269999999999999</v>
      </c>
      <c r="AM1081" s="2994">
        <v>0.61150000000000004</v>
      </c>
      <c r="AN1081" s="2994">
        <v>0.65869999999999995</v>
      </c>
      <c r="AO1081" s="2994">
        <v>0.67110000000000003</v>
      </c>
      <c r="AP1081" s="2994">
        <v>0.63119999999999998</v>
      </c>
      <c r="AQ1081" s="2994">
        <v>0.63090000000000002</v>
      </c>
      <c r="AR1081" s="2994">
        <v>0.6734</v>
      </c>
      <c r="AS1081" s="2994">
        <v>0.67789999999999995</v>
      </c>
      <c r="AT1081" s="2994">
        <v>0.69230000000000003</v>
      </c>
      <c r="AU1081" s="2994">
        <v>0.71660000000000001</v>
      </c>
      <c r="AV1081" s="2994">
        <v>0.76449999999999996</v>
      </c>
      <c r="AW1081" s="2994">
        <v>0.78779999999999994</v>
      </c>
      <c r="AX1081" s="2994">
        <v>0.83879999999999999</v>
      </c>
      <c r="AY1081" s="2994">
        <v>0.87319999999999998</v>
      </c>
      <c r="AZ1081" s="2994">
        <v>0.93700000000000006</v>
      </c>
      <c r="BA1081" s="2994">
        <v>0.9395</v>
      </c>
      <c r="BB1081" s="2994">
        <v>0.90380000000000005</v>
      </c>
      <c r="BC1081" s="2994">
        <v>0.90159999999999996</v>
      </c>
      <c r="BD1081" s="3471">
        <v>0.90210000000000001</v>
      </c>
      <c r="BE1081" s="3471">
        <v>0.88329999999999997</v>
      </c>
      <c r="BF1081" s="3471">
        <v>0.88329999999999997</v>
      </c>
    </row>
    <row r="1082" spans="1:58">
      <c r="A1082" s="1817" t="str">
        <f t="shared" si="33"/>
        <v>South-Eastern AsiaMushrooms and truffles</v>
      </c>
      <c r="B1082" s="1818" t="s">
        <v>1394</v>
      </c>
      <c r="C1082" s="1818" t="s">
        <v>7350</v>
      </c>
      <c r="D1082" s="3463" t="str">
        <f>VLOOKUP(B1082,List_Yield!$G$4:$J$14,4,FALSE)</f>
        <v>Asia (Insular)</v>
      </c>
      <c r="E1082" s="3463" t="str">
        <f t="shared" si="32"/>
        <v>Asia (Insular)Mushrooms and truffles</v>
      </c>
      <c r="F1082" s="2994">
        <v>0</v>
      </c>
      <c r="G1082" s="2994">
        <v>0</v>
      </c>
      <c r="H1082" s="2994">
        <v>0</v>
      </c>
      <c r="I1082" s="2994">
        <v>0</v>
      </c>
      <c r="J1082" s="2994">
        <v>0</v>
      </c>
      <c r="K1082" s="2994">
        <v>0</v>
      </c>
      <c r="L1082" s="2994">
        <v>0</v>
      </c>
      <c r="M1082" s="2994">
        <v>0</v>
      </c>
      <c r="N1082" s="2994">
        <v>0</v>
      </c>
      <c r="O1082" s="2994">
        <v>0</v>
      </c>
      <c r="P1082" s="2994">
        <v>0</v>
      </c>
      <c r="Q1082" s="2994">
        <v>0</v>
      </c>
      <c r="R1082" s="2994">
        <v>0</v>
      </c>
      <c r="S1082" s="2994">
        <v>0</v>
      </c>
      <c r="T1082" s="2994">
        <v>0</v>
      </c>
      <c r="U1082" s="2994">
        <v>0</v>
      </c>
      <c r="V1082" s="2994">
        <v>0</v>
      </c>
      <c r="W1082" s="2994">
        <v>0</v>
      </c>
      <c r="X1082" s="2994">
        <v>0</v>
      </c>
      <c r="Y1082" s="2994">
        <v>0</v>
      </c>
      <c r="Z1082" s="2994">
        <v>0</v>
      </c>
      <c r="AA1082" s="2994">
        <v>0</v>
      </c>
      <c r="AB1082" s="2994">
        <v>0</v>
      </c>
      <c r="AC1082" s="2994">
        <v>0</v>
      </c>
      <c r="AD1082" s="2994">
        <v>0</v>
      </c>
      <c r="AE1082" s="2994">
        <v>0</v>
      </c>
      <c r="AF1082" s="2994">
        <v>0</v>
      </c>
      <c r="AG1082" s="2994">
        <v>0</v>
      </c>
      <c r="AH1082" s="2994">
        <v>0</v>
      </c>
      <c r="AI1082" s="2994">
        <v>252.87</v>
      </c>
      <c r="AJ1082" s="2994">
        <v>258.3365</v>
      </c>
      <c r="AK1082" s="2994">
        <v>190.2714</v>
      </c>
      <c r="AL1082" s="2994">
        <v>202.65790000000001</v>
      </c>
      <c r="AM1082" s="2994">
        <v>189.29599999999999</v>
      </c>
      <c r="AN1082" s="2994">
        <v>196.04089999999999</v>
      </c>
      <c r="AO1082" s="2994">
        <v>190.50450000000001</v>
      </c>
      <c r="AP1082" s="2994">
        <v>205.8211</v>
      </c>
      <c r="AQ1082" s="2994">
        <v>297.72000000000003</v>
      </c>
      <c r="AR1082" s="2994">
        <v>200.10419999999999</v>
      </c>
      <c r="AS1082" s="2994">
        <v>209.20359999999999</v>
      </c>
      <c r="AT1082" s="2994">
        <v>207.49199999999999</v>
      </c>
      <c r="AU1082" s="2994">
        <v>245.57220000000001</v>
      </c>
      <c r="AV1082" s="2994">
        <v>204.91040000000001</v>
      </c>
      <c r="AW1082" s="2994">
        <v>148.17420000000001</v>
      </c>
      <c r="AX1082" s="2994">
        <v>230.298</v>
      </c>
      <c r="AY1082" s="2994">
        <v>166.3579</v>
      </c>
      <c r="AZ1082" s="2994">
        <v>195.89949999999999</v>
      </c>
      <c r="BA1082" s="2994">
        <v>108.9734</v>
      </c>
      <c r="BB1082" s="2994">
        <v>94.567800000000005</v>
      </c>
      <c r="BC1082" s="2994">
        <v>130.8723</v>
      </c>
      <c r="BD1082" s="3471">
        <v>149.07329999999999</v>
      </c>
      <c r="BE1082" s="3471">
        <v>122.72190000000001</v>
      </c>
      <c r="BF1082" s="3471">
        <v>0</v>
      </c>
    </row>
    <row r="1083" spans="1:58">
      <c r="A1083" s="1817" t="str">
        <f t="shared" si="33"/>
        <v>South-Eastern AsiaMustard seed</v>
      </c>
      <c r="B1083" s="1818" t="s">
        <v>1394</v>
      </c>
      <c r="C1083" s="1818" t="s">
        <v>7351</v>
      </c>
      <c r="D1083" s="3463" t="str">
        <f>VLOOKUP(B1083,List_Yield!$G$4:$J$14,4,FALSE)</f>
        <v>Asia (Insular)</v>
      </c>
      <c r="E1083" s="3463" t="str">
        <f t="shared" si="32"/>
        <v>Asia (Insular)Mustard seed</v>
      </c>
      <c r="F1083" s="2994">
        <v>0.28649999999999998</v>
      </c>
      <c r="G1083" s="2994">
        <v>0.29830000000000001</v>
      </c>
      <c r="H1083" s="2994">
        <v>0.29649999999999999</v>
      </c>
      <c r="I1083" s="2994">
        <v>0.29060000000000002</v>
      </c>
      <c r="J1083" s="2994">
        <v>0.28050000000000003</v>
      </c>
      <c r="K1083" s="2994">
        <v>0.34379999999999999</v>
      </c>
      <c r="L1083" s="2994">
        <v>0.38300000000000001</v>
      </c>
      <c r="M1083" s="2994">
        <v>0.39989999999999998</v>
      </c>
      <c r="N1083" s="2994">
        <v>0.40279999999999999</v>
      </c>
      <c r="O1083" s="2994">
        <v>0.50219999999999998</v>
      </c>
      <c r="P1083" s="2994">
        <v>0.45250000000000001</v>
      </c>
      <c r="Q1083" s="2994">
        <v>0.42259999999999998</v>
      </c>
      <c r="R1083" s="2994">
        <v>0.47089999999999999</v>
      </c>
      <c r="S1083" s="2994">
        <v>0.43509999999999999</v>
      </c>
      <c r="T1083" s="2994">
        <v>0.41949999999999998</v>
      </c>
      <c r="U1083" s="2994">
        <v>0.43819999999999998</v>
      </c>
      <c r="V1083" s="2994">
        <v>0.53129999999999999</v>
      </c>
      <c r="W1083" s="2994">
        <v>0.46579999999999999</v>
      </c>
      <c r="X1083" s="2994">
        <v>0.45650000000000002</v>
      </c>
      <c r="Y1083" s="2994">
        <v>0.45839999999999997</v>
      </c>
      <c r="Z1083" s="2994">
        <v>0.47660000000000002</v>
      </c>
      <c r="AA1083" s="2994">
        <v>0.45929999999999999</v>
      </c>
      <c r="AB1083" s="2994">
        <v>0.48299999999999998</v>
      </c>
      <c r="AC1083" s="2994">
        <v>0.51049999999999995</v>
      </c>
      <c r="AD1083" s="2994">
        <v>0.50339999999999996</v>
      </c>
      <c r="AE1083" s="2994">
        <v>0.47139999999999999</v>
      </c>
      <c r="AF1083" s="2994">
        <v>0.50680000000000003</v>
      </c>
      <c r="AG1083" s="2994">
        <v>0.50070000000000003</v>
      </c>
      <c r="AH1083" s="2994">
        <v>0.51600000000000001</v>
      </c>
      <c r="AI1083" s="2994">
        <v>0.5</v>
      </c>
      <c r="AJ1083" s="2994">
        <v>0.5181</v>
      </c>
      <c r="AK1083" s="2994">
        <v>0.43530000000000002</v>
      </c>
      <c r="AL1083" s="2994">
        <v>0.45540000000000003</v>
      </c>
      <c r="AM1083" s="2994">
        <v>0.46479999999999999</v>
      </c>
      <c r="AN1083" s="2994">
        <v>0.45569999999999999</v>
      </c>
      <c r="AO1083" s="2994">
        <v>0.46629999999999999</v>
      </c>
      <c r="AP1083" s="2994">
        <v>0.45900000000000002</v>
      </c>
      <c r="AQ1083" s="2994">
        <v>0.47960000000000003</v>
      </c>
      <c r="AR1083" s="2994">
        <v>0.4587</v>
      </c>
      <c r="AS1083" s="2994">
        <v>0.51749999999999996</v>
      </c>
      <c r="AT1083" s="2994">
        <v>0.58379999999999999</v>
      </c>
      <c r="AU1083" s="2994">
        <v>0.6089</v>
      </c>
      <c r="AV1083" s="2994">
        <v>0.61580000000000001</v>
      </c>
      <c r="AW1083" s="2994">
        <v>0.61250000000000004</v>
      </c>
      <c r="AX1083" s="2994">
        <v>0.63580000000000003</v>
      </c>
      <c r="AY1083" s="2994">
        <v>0.72140000000000004</v>
      </c>
      <c r="AZ1083" s="2994">
        <v>0.76270000000000004</v>
      </c>
      <c r="BA1083" s="2994">
        <v>0.72070000000000001</v>
      </c>
      <c r="BB1083" s="2994">
        <v>0.86240000000000006</v>
      </c>
      <c r="BC1083" s="2994">
        <v>0.86670000000000003</v>
      </c>
      <c r="BD1083" s="3471">
        <v>0.87250000000000005</v>
      </c>
      <c r="BE1083" s="3471">
        <v>0.87380000000000002</v>
      </c>
      <c r="BF1083" s="3471">
        <v>0.86670000000000003</v>
      </c>
    </row>
    <row r="1084" spans="1:58">
      <c r="A1084" s="1817" t="str">
        <f t="shared" si="33"/>
        <v>South-Eastern AsiaNutmeg, mace and cardamoms</v>
      </c>
      <c r="B1084" s="1818" t="s">
        <v>1394</v>
      </c>
      <c r="C1084" s="1818" t="s">
        <v>7352</v>
      </c>
      <c r="D1084" s="3463" t="str">
        <f>VLOOKUP(B1084,List_Yield!$G$4:$J$14,4,FALSE)</f>
        <v>Asia (Insular)</v>
      </c>
      <c r="E1084" s="3463" t="str">
        <f t="shared" si="32"/>
        <v>Asia (Insular)Nutmeg, mace and cardamoms</v>
      </c>
      <c r="F1084" s="2994">
        <v>0.4204</v>
      </c>
      <c r="G1084" s="2994">
        <v>0.34399999999999997</v>
      </c>
      <c r="H1084" s="2994">
        <v>0.52190000000000003</v>
      </c>
      <c r="I1084" s="2994">
        <v>0.61729999999999996</v>
      </c>
      <c r="J1084" s="2994">
        <v>0.5766</v>
      </c>
      <c r="K1084" s="2994">
        <v>0.50790000000000002</v>
      </c>
      <c r="L1084" s="2994">
        <v>0.51400000000000001</v>
      </c>
      <c r="M1084" s="2994">
        <v>0.51060000000000005</v>
      </c>
      <c r="N1084" s="2994">
        <v>0.47839999999999999</v>
      </c>
      <c r="O1084" s="2994">
        <v>0.501</v>
      </c>
      <c r="P1084" s="2994">
        <v>0.4743</v>
      </c>
      <c r="Q1084" s="2994">
        <v>0.5151</v>
      </c>
      <c r="R1084" s="2994">
        <v>0.57320000000000004</v>
      </c>
      <c r="S1084" s="2994">
        <v>0.48970000000000002</v>
      </c>
      <c r="T1084" s="2994">
        <v>0.50139999999999996</v>
      </c>
      <c r="U1084" s="2994">
        <v>0.54679999999999995</v>
      </c>
      <c r="V1084" s="2994">
        <v>0.65910000000000002</v>
      </c>
      <c r="W1084" s="2994">
        <v>0.5847</v>
      </c>
      <c r="X1084" s="2994">
        <v>0.59840000000000004</v>
      </c>
      <c r="Y1084" s="2994">
        <v>0.60419999999999996</v>
      </c>
      <c r="Z1084" s="2994">
        <v>0.61439999999999995</v>
      </c>
      <c r="AA1084" s="2994">
        <v>0.48099999999999998</v>
      </c>
      <c r="AB1084" s="2994">
        <v>0.47670000000000001</v>
      </c>
      <c r="AC1084" s="2994">
        <v>0.55210000000000004</v>
      </c>
      <c r="AD1084" s="2994">
        <v>0.46350000000000002</v>
      </c>
      <c r="AE1084" s="2994">
        <v>0.43380000000000002</v>
      </c>
      <c r="AF1084" s="2994">
        <v>0.45040000000000002</v>
      </c>
      <c r="AG1084" s="2994">
        <v>0.4163</v>
      </c>
      <c r="AH1084" s="2994">
        <v>0.45190000000000002</v>
      </c>
      <c r="AI1084" s="2994">
        <v>0.44890000000000002</v>
      </c>
      <c r="AJ1084" s="2994">
        <v>0.43419999999999997</v>
      </c>
      <c r="AK1084" s="2994">
        <v>0.47110000000000002</v>
      </c>
      <c r="AL1084" s="2994">
        <v>0.5454</v>
      </c>
      <c r="AM1084" s="2994">
        <v>0.48920000000000002</v>
      </c>
      <c r="AN1084" s="2994">
        <v>0.47210000000000002</v>
      </c>
      <c r="AO1084" s="2994">
        <v>0.45429999999999998</v>
      </c>
      <c r="AP1084" s="2994">
        <v>0.46429999999999999</v>
      </c>
      <c r="AQ1084" s="2994">
        <v>0.44529999999999997</v>
      </c>
      <c r="AR1084" s="2994">
        <v>0.41830000000000001</v>
      </c>
      <c r="AS1084" s="2994">
        <v>0.48870000000000002</v>
      </c>
      <c r="AT1084" s="2994">
        <v>0.50839999999999996</v>
      </c>
      <c r="AU1084" s="2994">
        <v>0.49659999999999999</v>
      </c>
      <c r="AV1084" s="2994">
        <v>0.40589999999999998</v>
      </c>
      <c r="AW1084" s="2994">
        <v>0.41980000000000001</v>
      </c>
      <c r="AX1084" s="2994">
        <v>0.42399999999999999</v>
      </c>
      <c r="AY1084" s="2994">
        <v>0.3085</v>
      </c>
      <c r="AZ1084" s="2994">
        <v>0.32950000000000002</v>
      </c>
      <c r="BA1084" s="2994">
        <v>0.3901</v>
      </c>
      <c r="BB1084" s="2994">
        <v>0.20039999999999999</v>
      </c>
      <c r="BC1084" s="2994">
        <v>0.16059999999999999</v>
      </c>
      <c r="BD1084" s="3471">
        <v>0.1837</v>
      </c>
      <c r="BE1084" s="3471">
        <v>0.1744</v>
      </c>
      <c r="BF1084" s="3471">
        <v>0</v>
      </c>
    </row>
    <row r="1085" spans="1:58">
      <c r="A1085" s="1817" t="str">
        <f t="shared" si="33"/>
        <v>South-Eastern AsiaNuts, nes</v>
      </c>
      <c r="B1085" s="1818" t="s">
        <v>1394</v>
      </c>
      <c r="C1085" s="1818" t="s">
        <v>7353</v>
      </c>
      <c r="D1085" s="3463" t="str">
        <f>VLOOKUP(B1085,List_Yield!$G$4:$J$14,4,FALSE)</f>
        <v>Asia (Insular)</v>
      </c>
      <c r="E1085" s="3463" t="str">
        <f t="shared" ref="E1085:E1148" si="34">CONCATENATE(D1085,C1085)</f>
        <v>Asia (Insular)Nuts, nes</v>
      </c>
      <c r="F1085" s="2994">
        <v>7.5385</v>
      </c>
      <c r="G1085" s="2994">
        <v>2.4474</v>
      </c>
      <c r="H1085" s="2994">
        <v>2.5263</v>
      </c>
      <c r="I1085" s="2994">
        <v>2.3231999999999999</v>
      </c>
      <c r="J1085" s="2994">
        <v>1.9155</v>
      </c>
      <c r="K1085" s="2994">
        <v>1.9204000000000001</v>
      </c>
      <c r="L1085" s="2994">
        <v>1.9637</v>
      </c>
      <c r="M1085" s="2994">
        <v>2.0733000000000001</v>
      </c>
      <c r="N1085" s="2994">
        <v>2.0350999999999999</v>
      </c>
      <c r="O1085" s="2994">
        <v>1.4221999999999999</v>
      </c>
      <c r="P1085" s="2994">
        <v>1.4311</v>
      </c>
      <c r="Q1085" s="2994">
        <v>1.4293</v>
      </c>
      <c r="R1085" s="2994">
        <v>1.5078</v>
      </c>
      <c r="S1085" s="2994">
        <v>1.7476</v>
      </c>
      <c r="T1085" s="2994">
        <v>1.9861</v>
      </c>
      <c r="U1085" s="2994">
        <v>2.5592000000000001</v>
      </c>
      <c r="V1085" s="2994">
        <v>2.6223000000000001</v>
      </c>
      <c r="W1085" s="2994">
        <v>2.5863999999999998</v>
      </c>
      <c r="X1085" s="2994">
        <v>2.9144000000000001</v>
      </c>
      <c r="Y1085" s="2994">
        <v>2.9180000000000001</v>
      </c>
      <c r="Z1085" s="2994">
        <v>2.8178000000000001</v>
      </c>
      <c r="AA1085" s="2994">
        <v>3.7233000000000001</v>
      </c>
      <c r="AB1085" s="2994">
        <v>3.3944999999999999</v>
      </c>
      <c r="AC1085" s="2994">
        <v>0.54930000000000001</v>
      </c>
      <c r="AD1085" s="2994">
        <v>0.87439999999999996</v>
      </c>
      <c r="AE1085" s="2994">
        <v>0.46360000000000001</v>
      </c>
      <c r="AF1085" s="2994">
        <v>0.5333</v>
      </c>
      <c r="AG1085" s="2994">
        <v>0.50849999999999995</v>
      </c>
      <c r="AH1085" s="2994">
        <v>0.47860000000000003</v>
      </c>
      <c r="AI1085" s="2994">
        <v>0.45329999999999998</v>
      </c>
      <c r="AJ1085" s="2994">
        <v>0.40189999999999998</v>
      </c>
      <c r="AK1085" s="2994">
        <v>0.40160000000000001</v>
      </c>
      <c r="AL1085" s="2994">
        <v>0.50109999999999999</v>
      </c>
      <c r="AM1085" s="2994">
        <v>0.47110000000000002</v>
      </c>
      <c r="AN1085" s="2994">
        <v>0.4869</v>
      </c>
      <c r="AO1085" s="2994">
        <v>0.52139999999999997</v>
      </c>
      <c r="AP1085" s="2994">
        <v>0.3957</v>
      </c>
      <c r="AQ1085" s="2994">
        <v>0.48349999999999999</v>
      </c>
      <c r="AR1085" s="2994">
        <v>0.4224</v>
      </c>
      <c r="AS1085" s="2994">
        <v>0.46</v>
      </c>
      <c r="AT1085" s="2994">
        <v>0.47870000000000001</v>
      </c>
      <c r="AU1085" s="2994">
        <v>0.52559999999999996</v>
      </c>
      <c r="AV1085" s="2994">
        <v>0.56869999999999998</v>
      </c>
      <c r="AW1085" s="2994">
        <v>0.56820000000000004</v>
      </c>
      <c r="AX1085" s="2994">
        <v>0.5736</v>
      </c>
      <c r="AY1085" s="2994">
        <v>0.60399999999999998</v>
      </c>
      <c r="AZ1085" s="2994">
        <v>0.58799999999999997</v>
      </c>
      <c r="BA1085" s="2994">
        <v>0.60419999999999996</v>
      </c>
      <c r="BB1085" s="2994">
        <v>0.62190000000000001</v>
      </c>
      <c r="BC1085" s="2994">
        <v>0.62570000000000003</v>
      </c>
      <c r="BD1085" s="3471">
        <v>0.58430000000000004</v>
      </c>
      <c r="BE1085" s="3471">
        <v>0.58540000000000003</v>
      </c>
      <c r="BF1085" s="3471">
        <v>0</v>
      </c>
    </row>
    <row r="1086" spans="1:58">
      <c r="A1086" s="1817" t="str">
        <f t="shared" si="33"/>
        <v>South-Eastern AsiaOats</v>
      </c>
      <c r="B1086" s="1818" t="s">
        <v>1394</v>
      </c>
      <c r="C1086" s="1818" t="s">
        <v>1323</v>
      </c>
      <c r="D1086" s="3463" t="str">
        <f>VLOOKUP(B1086,List_Yield!$G$4:$J$14,4,FALSE)</f>
        <v>Asia (Insular)</v>
      </c>
      <c r="E1086" s="3463" t="str">
        <f t="shared" si="34"/>
        <v>Asia (Insular)Oats</v>
      </c>
      <c r="F1086" s="2994">
        <v>0</v>
      </c>
      <c r="G1086" s="2994">
        <v>0</v>
      </c>
      <c r="H1086" s="2994">
        <v>0</v>
      </c>
      <c r="I1086" s="2994">
        <v>0</v>
      </c>
      <c r="J1086" s="2994">
        <v>0</v>
      </c>
      <c r="K1086" s="2994">
        <v>0</v>
      </c>
      <c r="L1086" s="2994">
        <v>0</v>
      </c>
      <c r="M1086" s="2994">
        <v>0</v>
      </c>
      <c r="N1086" s="2994">
        <v>0</v>
      </c>
      <c r="O1086" s="2994">
        <v>0</v>
      </c>
      <c r="P1086" s="2994">
        <v>0</v>
      </c>
      <c r="Q1086" s="2994">
        <v>0</v>
      </c>
      <c r="R1086" s="2994">
        <v>0</v>
      </c>
      <c r="S1086" s="2994">
        <v>0</v>
      </c>
      <c r="T1086" s="2994">
        <v>0</v>
      </c>
      <c r="U1086" s="2994">
        <v>0</v>
      </c>
      <c r="V1086" s="2994">
        <v>0</v>
      </c>
      <c r="W1086" s="2994">
        <v>0</v>
      </c>
      <c r="X1086" s="2994">
        <v>0</v>
      </c>
      <c r="Y1086" s="2994">
        <v>0</v>
      </c>
      <c r="Z1086" s="2994">
        <v>0</v>
      </c>
      <c r="AA1086" s="2994">
        <v>0</v>
      </c>
      <c r="AB1086" s="2994">
        <v>0</v>
      </c>
      <c r="AC1086" s="2994">
        <v>0</v>
      </c>
      <c r="AD1086" s="2994">
        <v>0</v>
      </c>
      <c r="AE1086" s="2994">
        <v>0</v>
      </c>
      <c r="AF1086" s="2994">
        <v>0</v>
      </c>
      <c r="AG1086" s="2994">
        <v>0</v>
      </c>
      <c r="AH1086" s="2994">
        <v>0</v>
      </c>
      <c r="AI1086" s="2994">
        <v>0</v>
      </c>
      <c r="AJ1086" s="2994">
        <v>0</v>
      </c>
      <c r="AK1086" s="2994">
        <v>0</v>
      </c>
      <c r="AL1086" s="2994">
        <v>0</v>
      </c>
      <c r="AM1086" s="2994">
        <v>0</v>
      </c>
      <c r="AN1086" s="2994">
        <v>0</v>
      </c>
      <c r="AO1086" s="2994">
        <v>0</v>
      </c>
      <c r="AP1086" s="2994">
        <v>0</v>
      </c>
      <c r="AQ1086" s="2994">
        <v>0</v>
      </c>
      <c r="AR1086" s="2994">
        <v>0</v>
      </c>
      <c r="AS1086" s="2994">
        <v>0</v>
      </c>
      <c r="AT1086" s="2994">
        <v>0</v>
      </c>
      <c r="AU1086" s="2994">
        <v>0</v>
      </c>
      <c r="AV1086" s="2994">
        <v>0</v>
      </c>
      <c r="AW1086" s="2994">
        <v>0</v>
      </c>
      <c r="AX1086" s="2994">
        <v>0</v>
      </c>
      <c r="AY1086" s="2994">
        <v>0</v>
      </c>
      <c r="AZ1086" s="2994">
        <v>0</v>
      </c>
      <c r="BA1086" s="2994">
        <v>0</v>
      </c>
      <c r="BB1086" s="2994">
        <v>0</v>
      </c>
      <c r="BC1086" s="2994">
        <v>0</v>
      </c>
      <c r="BD1086" s="3471">
        <v>0</v>
      </c>
      <c r="BE1086" s="3471">
        <v>0</v>
      </c>
      <c r="BF1086" s="3471">
        <v>0</v>
      </c>
    </row>
    <row r="1087" spans="1:58">
      <c r="A1087" s="1817" t="str">
        <f t="shared" si="33"/>
        <v>South-Eastern AsiaOil, palm fruit</v>
      </c>
      <c r="B1087" s="1818" t="s">
        <v>1394</v>
      </c>
      <c r="C1087" s="1818" t="s">
        <v>7354</v>
      </c>
      <c r="D1087" s="3463" t="str">
        <f>VLOOKUP(B1087,List_Yield!$G$4:$J$14,4,FALSE)</f>
        <v>Asia (Insular)</v>
      </c>
      <c r="E1087" s="3463" t="str">
        <f t="shared" si="34"/>
        <v>Asia (Insular)Oil, palm fruit</v>
      </c>
      <c r="F1087" s="2994">
        <v>12.600300000000001</v>
      </c>
      <c r="G1087" s="2994">
        <v>12.5474</v>
      </c>
      <c r="H1087" s="2994">
        <v>12.4907</v>
      </c>
      <c r="I1087" s="2994">
        <v>11.832100000000001</v>
      </c>
      <c r="J1087" s="2994">
        <v>12.0878</v>
      </c>
      <c r="K1087" s="2994">
        <v>12.434100000000001</v>
      </c>
      <c r="L1087" s="2994">
        <v>12.561500000000001</v>
      </c>
      <c r="M1087" s="2994">
        <v>12.726599999999999</v>
      </c>
      <c r="N1087" s="2994">
        <v>13.6921</v>
      </c>
      <c r="O1087" s="2994">
        <v>13.7654</v>
      </c>
      <c r="P1087" s="2994">
        <v>15.6997</v>
      </c>
      <c r="Q1087" s="2994">
        <v>14.897399999999999</v>
      </c>
      <c r="R1087" s="2994">
        <v>14.7331</v>
      </c>
      <c r="S1087" s="2994">
        <v>15.754200000000001</v>
      </c>
      <c r="T1087" s="2994">
        <v>15.920199999999999</v>
      </c>
      <c r="U1087" s="2994">
        <v>14.962199999999999</v>
      </c>
      <c r="V1087" s="2994">
        <v>14.8796</v>
      </c>
      <c r="W1087" s="2994">
        <v>15.734400000000001</v>
      </c>
      <c r="X1087" s="2994">
        <v>15.9747</v>
      </c>
      <c r="Y1087" s="2994">
        <v>16.372</v>
      </c>
      <c r="Z1087" s="2994">
        <v>16.7288</v>
      </c>
      <c r="AA1087" s="2994">
        <v>19.312999999999999</v>
      </c>
      <c r="AB1087" s="2994">
        <v>15.518599999999999</v>
      </c>
      <c r="AC1087" s="2994">
        <v>18.373999999999999</v>
      </c>
      <c r="AD1087" s="2994">
        <v>17.699000000000002</v>
      </c>
      <c r="AE1087" s="2994">
        <v>17.473299999999998</v>
      </c>
      <c r="AF1087" s="2994">
        <v>17.311399999999999</v>
      </c>
      <c r="AG1087" s="2994">
        <v>17.1737</v>
      </c>
      <c r="AH1087" s="2994">
        <v>17.793399999999998</v>
      </c>
      <c r="AI1087" s="2994">
        <v>17.208500000000001</v>
      </c>
      <c r="AJ1087" s="2994">
        <v>16.626799999999999</v>
      </c>
      <c r="AK1087" s="2994">
        <v>16.6205</v>
      </c>
      <c r="AL1087" s="2994">
        <v>19.040800000000001</v>
      </c>
      <c r="AM1087" s="2994">
        <v>18.238199999999999</v>
      </c>
      <c r="AN1087" s="2994">
        <v>18.692799999999998</v>
      </c>
      <c r="AO1087" s="2994">
        <v>18.033200000000001</v>
      </c>
      <c r="AP1087" s="2994">
        <v>18.154699999999998</v>
      </c>
      <c r="AQ1087" s="2994">
        <v>16.61</v>
      </c>
      <c r="AR1087" s="2994">
        <v>18.915700000000001</v>
      </c>
      <c r="AS1087" s="2994">
        <v>18.1006</v>
      </c>
      <c r="AT1087" s="2994">
        <v>18.077200000000001</v>
      </c>
      <c r="AU1087" s="2994">
        <v>17.165800000000001</v>
      </c>
      <c r="AV1087" s="2994">
        <v>18.858899999999998</v>
      </c>
      <c r="AW1087" s="2994">
        <v>19.259499999999999</v>
      </c>
      <c r="AX1087" s="2994">
        <v>20.306100000000001</v>
      </c>
      <c r="AY1087" s="2994">
        <v>20.335699999999999</v>
      </c>
      <c r="AZ1087" s="2994">
        <v>18.702100000000002</v>
      </c>
      <c r="BA1087" s="2994">
        <v>19.552800000000001</v>
      </c>
      <c r="BB1087" s="2994">
        <v>18.7791</v>
      </c>
      <c r="BC1087" s="2994">
        <v>18.2026</v>
      </c>
      <c r="BD1087" s="3471">
        <v>18.9709</v>
      </c>
      <c r="BE1087" s="3471">
        <v>18.961099999999998</v>
      </c>
      <c r="BF1087" s="3471">
        <v>18.956399999999999</v>
      </c>
    </row>
    <row r="1088" spans="1:58">
      <c r="A1088" s="1817" t="str">
        <f t="shared" si="33"/>
        <v>South-Eastern AsiaOilseeds nes</v>
      </c>
      <c r="B1088" s="1818" t="s">
        <v>1394</v>
      </c>
      <c r="C1088" s="1818" t="s">
        <v>7355</v>
      </c>
      <c r="D1088" s="3463" t="str">
        <f>VLOOKUP(B1088,List_Yield!$G$4:$J$14,4,FALSE)</f>
        <v>Asia (Insular)</v>
      </c>
      <c r="E1088" s="3463" t="str">
        <f t="shared" si="34"/>
        <v>Asia (Insular)Oilseeds nes</v>
      </c>
      <c r="F1088" s="2994">
        <v>1.7778</v>
      </c>
      <c r="G1088" s="2994">
        <v>1.7273000000000001</v>
      </c>
      <c r="H1088" s="2994">
        <v>1.7363999999999999</v>
      </c>
      <c r="I1088" s="2994">
        <v>1.5149999999999999</v>
      </c>
      <c r="J1088" s="2994">
        <v>1.4818</v>
      </c>
      <c r="K1088" s="2994">
        <v>1.2604</v>
      </c>
      <c r="L1088" s="2994">
        <v>1.3945000000000001</v>
      </c>
      <c r="M1088" s="2994">
        <v>1.2717000000000001</v>
      </c>
      <c r="N1088" s="2994">
        <v>1.3814</v>
      </c>
      <c r="O1088" s="2994">
        <v>1.1879</v>
      </c>
      <c r="P1088" s="2994">
        <v>1.2787999999999999</v>
      </c>
      <c r="Q1088" s="2994">
        <v>1.1452</v>
      </c>
      <c r="R1088" s="2994">
        <v>1.0586</v>
      </c>
      <c r="S1088" s="2994">
        <v>1.0511999999999999</v>
      </c>
      <c r="T1088" s="2994">
        <v>1.0210999999999999</v>
      </c>
      <c r="U1088" s="2994">
        <v>0.9516</v>
      </c>
      <c r="V1088" s="2994">
        <v>0.96950000000000003</v>
      </c>
      <c r="W1088" s="2994">
        <v>0.97619999999999996</v>
      </c>
      <c r="X1088" s="2994">
        <v>0.98140000000000005</v>
      </c>
      <c r="Y1088" s="2994">
        <v>0.98609999999999998</v>
      </c>
      <c r="Z1088" s="2994">
        <v>0.98650000000000004</v>
      </c>
      <c r="AA1088" s="2994">
        <v>0.98960000000000004</v>
      </c>
      <c r="AB1088" s="2994">
        <v>0.99229999999999996</v>
      </c>
      <c r="AC1088" s="2994">
        <v>0.99519999999999997</v>
      </c>
      <c r="AD1088" s="2994">
        <v>0.99329999999999996</v>
      </c>
      <c r="AE1088" s="2994">
        <v>0.98260000000000003</v>
      </c>
      <c r="AF1088" s="2994">
        <v>0.9647</v>
      </c>
      <c r="AG1088" s="2994">
        <v>0.95320000000000005</v>
      </c>
      <c r="AH1088" s="2994">
        <v>0.9395</v>
      </c>
      <c r="AI1088" s="2994">
        <v>0.92569999999999997</v>
      </c>
      <c r="AJ1088" s="2994">
        <v>0.85950000000000004</v>
      </c>
      <c r="AK1088" s="2994">
        <v>0.9677</v>
      </c>
      <c r="AL1088" s="2994">
        <v>0.93759999999999999</v>
      </c>
      <c r="AM1088" s="2994">
        <v>0.92720000000000002</v>
      </c>
      <c r="AN1088" s="2994">
        <v>0.93359999999999999</v>
      </c>
      <c r="AO1088" s="2994">
        <v>0.93020000000000003</v>
      </c>
      <c r="AP1088" s="2994">
        <v>0.9839</v>
      </c>
      <c r="AQ1088" s="2994">
        <v>0.9325</v>
      </c>
      <c r="AR1088" s="2994">
        <v>1.1296999999999999</v>
      </c>
      <c r="AS1088" s="2994">
        <v>1.2685</v>
      </c>
      <c r="AT1088" s="2994">
        <v>1.3712</v>
      </c>
      <c r="AU1088" s="2994">
        <v>1.3575999999999999</v>
      </c>
      <c r="AV1088" s="2994">
        <v>1.4346000000000001</v>
      </c>
      <c r="AW1088" s="2994">
        <v>1.4643999999999999</v>
      </c>
      <c r="AX1088" s="2994">
        <v>0.97219999999999995</v>
      </c>
      <c r="AY1088" s="2994">
        <v>1.0009999999999999</v>
      </c>
      <c r="AZ1088" s="2994">
        <v>0.99760000000000004</v>
      </c>
      <c r="BA1088" s="2994">
        <v>1.0761000000000001</v>
      </c>
      <c r="BB1088" s="2994">
        <v>1.0243</v>
      </c>
      <c r="BC1088" s="2994">
        <v>1.1595</v>
      </c>
      <c r="BD1088" s="3471">
        <v>1.1852</v>
      </c>
      <c r="BE1088" s="3471">
        <v>1.1888000000000001</v>
      </c>
      <c r="BF1088" s="3471">
        <v>1.1888000000000001</v>
      </c>
    </row>
    <row r="1089" spans="1:58">
      <c r="A1089" s="1817" t="str">
        <f t="shared" si="33"/>
        <v>South-Eastern AsiaOkra</v>
      </c>
      <c r="B1089" s="1818" t="s">
        <v>1394</v>
      </c>
      <c r="C1089" s="1818" t="s">
        <v>7356</v>
      </c>
      <c r="D1089" s="3463" t="str">
        <f>VLOOKUP(B1089,List_Yield!$G$4:$J$14,4,FALSE)</f>
        <v>Asia (Insular)</v>
      </c>
      <c r="E1089" s="3463" t="str">
        <f t="shared" si="34"/>
        <v>Asia (Insular)Okra</v>
      </c>
      <c r="F1089" s="2994">
        <v>0</v>
      </c>
      <c r="G1089" s="2994">
        <v>0</v>
      </c>
      <c r="H1089" s="2994">
        <v>0</v>
      </c>
      <c r="I1089" s="2994">
        <v>0</v>
      </c>
      <c r="J1089" s="2994">
        <v>0</v>
      </c>
      <c r="K1089" s="2994">
        <v>0</v>
      </c>
      <c r="L1089" s="2994">
        <v>0</v>
      </c>
      <c r="M1089" s="2994">
        <v>0</v>
      </c>
      <c r="N1089" s="2994">
        <v>0</v>
      </c>
      <c r="O1089" s="2994">
        <v>0</v>
      </c>
      <c r="P1089" s="2994">
        <v>0</v>
      </c>
      <c r="Q1089" s="2994">
        <v>0</v>
      </c>
      <c r="R1089" s="2994">
        <v>0</v>
      </c>
      <c r="S1089" s="2994">
        <v>0</v>
      </c>
      <c r="T1089" s="2994">
        <v>0</v>
      </c>
      <c r="U1089" s="2994">
        <v>0</v>
      </c>
      <c r="V1089" s="2994">
        <v>0</v>
      </c>
      <c r="W1089" s="2994">
        <v>0</v>
      </c>
      <c r="X1089" s="2994">
        <v>0</v>
      </c>
      <c r="Y1089" s="2994">
        <v>0</v>
      </c>
      <c r="Z1089" s="2994">
        <v>0</v>
      </c>
      <c r="AA1089" s="2994">
        <v>0</v>
      </c>
      <c r="AB1089" s="2994">
        <v>0</v>
      </c>
      <c r="AC1089" s="2994">
        <v>0</v>
      </c>
      <c r="AD1089" s="2994">
        <v>0</v>
      </c>
      <c r="AE1089" s="2994">
        <v>0</v>
      </c>
      <c r="AF1089" s="2994">
        <v>0</v>
      </c>
      <c r="AG1089" s="2994">
        <v>0</v>
      </c>
      <c r="AH1089" s="2994">
        <v>0</v>
      </c>
      <c r="AI1089" s="2994">
        <v>9.8101000000000003</v>
      </c>
      <c r="AJ1089" s="2994">
        <v>9.4928000000000008</v>
      </c>
      <c r="AK1089" s="2994">
        <v>9.9863999999999997</v>
      </c>
      <c r="AL1089" s="2994">
        <v>9.8087999999999997</v>
      </c>
      <c r="AM1089" s="2994">
        <v>9.7642000000000007</v>
      </c>
      <c r="AN1089" s="2994">
        <v>9.4393999999999991</v>
      </c>
      <c r="AO1089" s="2994">
        <v>9.8526000000000007</v>
      </c>
      <c r="AP1089" s="2994">
        <v>9.7833000000000006</v>
      </c>
      <c r="AQ1089" s="2994">
        <v>9.2772000000000006</v>
      </c>
      <c r="AR1089" s="2994">
        <v>8.8414999999999999</v>
      </c>
      <c r="AS1089" s="2994">
        <v>8.3849999999999998</v>
      </c>
      <c r="AT1089" s="2994">
        <v>8.1883999999999997</v>
      </c>
      <c r="AU1089" s="2994">
        <v>8.1844000000000001</v>
      </c>
      <c r="AV1089" s="2994">
        <v>7.6597</v>
      </c>
      <c r="AW1089" s="2994">
        <v>7.8010000000000002</v>
      </c>
      <c r="AX1089" s="2994">
        <v>8.1661000000000001</v>
      </c>
      <c r="AY1089" s="2994">
        <v>8.2369000000000003</v>
      </c>
      <c r="AZ1089" s="2994">
        <v>8.3680000000000003</v>
      </c>
      <c r="BA1089" s="2994">
        <v>8.7571999999999992</v>
      </c>
      <c r="BB1089" s="2994">
        <v>9.7840000000000007</v>
      </c>
      <c r="BC1089" s="2994">
        <v>8.3547999999999991</v>
      </c>
      <c r="BD1089" s="3471">
        <v>9.2817000000000007</v>
      </c>
      <c r="BE1089" s="3471">
        <v>8.9514999999999993</v>
      </c>
      <c r="BF1089" s="3471">
        <v>0</v>
      </c>
    </row>
    <row r="1090" spans="1:58">
      <c r="A1090" s="1817" t="str">
        <f t="shared" ref="A1090:A1153" si="35">CONCATENATE(B1090,C1090)</f>
        <v>South-Eastern AsiaOlives</v>
      </c>
      <c r="B1090" s="1818" t="s">
        <v>1394</v>
      </c>
      <c r="C1090" s="1818" t="s">
        <v>1361</v>
      </c>
      <c r="D1090" s="3463" t="str">
        <f>VLOOKUP(B1090,List_Yield!$G$4:$J$14,4,FALSE)</f>
        <v>Asia (Insular)</v>
      </c>
      <c r="E1090" s="3463" t="str">
        <f t="shared" si="34"/>
        <v>Asia (Insular)Olives</v>
      </c>
      <c r="F1090" s="2994">
        <v>0</v>
      </c>
      <c r="G1090" s="2994">
        <v>0</v>
      </c>
      <c r="H1090" s="2994">
        <v>0</v>
      </c>
      <c r="I1090" s="2994">
        <v>0</v>
      </c>
      <c r="J1090" s="2994">
        <v>0</v>
      </c>
      <c r="K1090" s="2994">
        <v>0</v>
      </c>
      <c r="L1090" s="2994">
        <v>0</v>
      </c>
      <c r="M1090" s="2994">
        <v>0</v>
      </c>
      <c r="N1090" s="2994">
        <v>0</v>
      </c>
      <c r="O1090" s="2994">
        <v>0</v>
      </c>
      <c r="P1090" s="2994">
        <v>0</v>
      </c>
      <c r="Q1090" s="2994">
        <v>0</v>
      </c>
      <c r="R1090" s="2994">
        <v>0</v>
      </c>
      <c r="S1090" s="2994">
        <v>0</v>
      </c>
      <c r="T1090" s="2994">
        <v>0</v>
      </c>
      <c r="U1090" s="2994">
        <v>0</v>
      </c>
      <c r="V1090" s="2994">
        <v>0</v>
      </c>
      <c r="W1090" s="2994">
        <v>0</v>
      </c>
      <c r="X1090" s="2994">
        <v>0</v>
      </c>
      <c r="Y1090" s="2994">
        <v>0</v>
      </c>
      <c r="Z1090" s="2994">
        <v>0</v>
      </c>
      <c r="AA1090" s="2994">
        <v>0</v>
      </c>
      <c r="AB1090" s="2994">
        <v>0</v>
      </c>
      <c r="AC1090" s="2994">
        <v>0</v>
      </c>
      <c r="AD1090" s="2994">
        <v>0</v>
      </c>
      <c r="AE1090" s="2994">
        <v>0</v>
      </c>
      <c r="AF1090" s="2994">
        <v>0</v>
      </c>
      <c r="AG1090" s="2994">
        <v>0</v>
      </c>
      <c r="AH1090" s="2994">
        <v>0</v>
      </c>
      <c r="AI1090" s="2994">
        <v>0</v>
      </c>
      <c r="AJ1090" s="2994">
        <v>0</v>
      </c>
      <c r="AK1090" s="2994">
        <v>0</v>
      </c>
      <c r="AL1090" s="2994">
        <v>0</v>
      </c>
      <c r="AM1090" s="2994">
        <v>0</v>
      </c>
      <c r="AN1090" s="2994">
        <v>0</v>
      </c>
      <c r="AO1090" s="2994">
        <v>0</v>
      </c>
      <c r="AP1090" s="2994">
        <v>0</v>
      </c>
      <c r="AQ1090" s="2994">
        <v>0</v>
      </c>
      <c r="AR1090" s="2994">
        <v>0</v>
      </c>
      <c r="AS1090" s="2994">
        <v>0</v>
      </c>
      <c r="AT1090" s="2994">
        <v>0</v>
      </c>
      <c r="AU1090" s="2994">
        <v>0</v>
      </c>
      <c r="AV1090" s="2994">
        <v>0</v>
      </c>
      <c r="AW1090" s="2994">
        <v>0</v>
      </c>
      <c r="AX1090" s="2994">
        <v>0</v>
      </c>
      <c r="AY1090" s="2994">
        <v>0</v>
      </c>
      <c r="AZ1090" s="2994">
        <v>0</v>
      </c>
      <c r="BA1090" s="2994">
        <v>0</v>
      </c>
      <c r="BB1090" s="2994">
        <v>0</v>
      </c>
      <c r="BC1090" s="2994">
        <v>0</v>
      </c>
      <c r="BD1090" s="3471">
        <v>0</v>
      </c>
      <c r="BE1090" s="3471">
        <v>0</v>
      </c>
      <c r="BF1090" s="3471">
        <v>0</v>
      </c>
    </row>
    <row r="1091" spans="1:58">
      <c r="A1091" s="1817" t="str">
        <f t="shared" si="35"/>
        <v>South-Eastern AsiaOnions, dry</v>
      </c>
      <c r="B1091" s="1818" t="s">
        <v>1394</v>
      </c>
      <c r="C1091" s="1818" t="s">
        <v>1362</v>
      </c>
      <c r="D1091" s="3463" t="str">
        <f>VLOOKUP(B1091,List_Yield!$G$4:$J$14,4,FALSE)</f>
        <v>Asia (Insular)</v>
      </c>
      <c r="E1091" s="3463" t="str">
        <f t="shared" si="34"/>
        <v>Asia (Insular)Onions, dry</v>
      </c>
      <c r="F1091" s="2994">
        <v>3.6194000000000002</v>
      </c>
      <c r="G1091" s="2994">
        <v>3.5606</v>
      </c>
      <c r="H1091" s="2994">
        <v>3.6324000000000001</v>
      </c>
      <c r="I1091" s="2994">
        <v>3.6467000000000001</v>
      </c>
      <c r="J1091" s="2994">
        <v>3.5438999999999998</v>
      </c>
      <c r="K1091" s="2994">
        <v>3.2704</v>
      </c>
      <c r="L1091" s="2994">
        <v>3.4885000000000002</v>
      </c>
      <c r="M1091" s="2994">
        <v>3.3445999999999998</v>
      </c>
      <c r="N1091" s="2994">
        <v>3.9527999999999999</v>
      </c>
      <c r="O1091" s="2994">
        <v>4.4359999999999999</v>
      </c>
      <c r="P1091" s="2994">
        <v>3.9796999999999998</v>
      </c>
      <c r="Q1091" s="2994">
        <v>4.4984999999999999</v>
      </c>
      <c r="R1091" s="2994">
        <v>4.7656000000000001</v>
      </c>
      <c r="S1091" s="2994">
        <v>4.5930999999999997</v>
      </c>
      <c r="T1091" s="2994">
        <v>4.2153999999999998</v>
      </c>
      <c r="U1091" s="2994">
        <v>4.3056000000000001</v>
      </c>
      <c r="V1091" s="2994">
        <v>4.4927000000000001</v>
      </c>
      <c r="W1091" s="2994">
        <v>4.8219000000000003</v>
      </c>
      <c r="X1091" s="2994">
        <v>4.4447000000000001</v>
      </c>
      <c r="Y1091" s="2994">
        <v>4.5414000000000003</v>
      </c>
      <c r="Z1091" s="2994">
        <v>4.4025999999999996</v>
      </c>
      <c r="AA1091" s="2994">
        <v>4.8593000000000002</v>
      </c>
      <c r="AB1091" s="2994">
        <v>5.1905000000000001</v>
      </c>
      <c r="AC1091" s="2994">
        <v>5.4183000000000003</v>
      </c>
      <c r="AD1091" s="2994">
        <v>5.7039999999999997</v>
      </c>
      <c r="AE1091" s="2994">
        <v>6.1412000000000004</v>
      </c>
      <c r="AF1091" s="2994">
        <v>6.3651</v>
      </c>
      <c r="AG1091" s="2994">
        <v>6.1315999999999997</v>
      </c>
      <c r="AH1091" s="2994">
        <v>6.1101999999999999</v>
      </c>
      <c r="AI1091" s="2994">
        <v>6.3348000000000004</v>
      </c>
      <c r="AJ1091" s="2994">
        <v>6.4936999999999996</v>
      </c>
      <c r="AK1091" s="2994">
        <v>6.5598999999999998</v>
      </c>
      <c r="AL1091" s="2994">
        <v>6.5152999999999999</v>
      </c>
      <c r="AM1091" s="2994">
        <v>6.7207999999999997</v>
      </c>
      <c r="AN1091" s="2994">
        <v>6.9212999999999996</v>
      </c>
      <c r="AO1091" s="2994">
        <v>7.1619999999999999</v>
      </c>
      <c r="AP1091" s="2994">
        <v>6.8851000000000004</v>
      </c>
      <c r="AQ1091" s="2994">
        <v>6.9211999999999998</v>
      </c>
      <c r="AR1091" s="2994">
        <v>8.0343</v>
      </c>
      <c r="AS1091" s="2994">
        <v>7.6654</v>
      </c>
      <c r="AT1091" s="2994">
        <v>8.0259999999999998</v>
      </c>
      <c r="AU1091" s="2994">
        <v>7.5683999999999996</v>
      </c>
      <c r="AV1091" s="2994">
        <v>7.8526999999999996</v>
      </c>
      <c r="AW1091" s="2994">
        <v>8.2824000000000009</v>
      </c>
      <c r="AX1091" s="2994">
        <v>8.1944999999999997</v>
      </c>
      <c r="AY1091" s="2994">
        <v>8.5733999999999995</v>
      </c>
      <c r="AZ1091" s="2994">
        <v>8.3170999999999999</v>
      </c>
      <c r="BA1091" s="2994">
        <v>8.7998999999999992</v>
      </c>
      <c r="BB1091" s="2994">
        <v>8.8887999999999998</v>
      </c>
      <c r="BC1091" s="2994">
        <v>9.0642999999999994</v>
      </c>
      <c r="BD1091" s="3471">
        <v>9.3358000000000008</v>
      </c>
      <c r="BE1091" s="3471">
        <v>9.3429000000000002</v>
      </c>
      <c r="BF1091" s="3471">
        <v>0</v>
      </c>
    </row>
    <row r="1092" spans="1:58">
      <c r="A1092" s="1817" t="str">
        <f t="shared" si="35"/>
        <v>South-Eastern AsiaOnions, shallots, green</v>
      </c>
      <c r="B1092" s="1818" t="s">
        <v>1394</v>
      </c>
      <c r="C1092" s="1818" t="s">
        <v>7357</v>
      </c>
      <c r="D1092" s="3463" t="str">
        <f>VLOOKUP(B1092,List_Yield!$G$4:$J$14,4,FALSE)</f>
        <v>Asia (Insular)</v>
      </c>
      <c r="E1092" s="3463" t="str">
        <f t="shared" si="34"/>
        <v>Asia (Insular)Onions, shallots, green</v>
      </c>
      <c r="F1092" s="2994">
        <v>4.7332999999999998</v>
      </c>
      <c r="G1092" s="2994">
        <v>4.6894999999999998</v>
      </c>
      <c r="H1092" s="2994">
        <v>4.6859000000000002</v>
      </c>
      <c r="I1092" s="2994">
        <v>4.6219999999999999</v>
      </c>
      <c r="J1092" s="2994">
        <v>4.6588000000000003</v>
      </c>
      <c r="K1092" s="2994">
        <v>4.6588000000000003</v>
      </c>
      <c r="L1092" s="2994">
        <v>4.5952999999999999</v>
      </c>
      <c r="M1092" s="2994">
        <v>4.6718999999999999</v>
      </c>
      <c r="N1092" s="2994">
        <v>4.657</v>
      </c>
      <c r="O1092" s="2994">
        <v>4.5823999999999998</v>
      </c>
      <c r="P1092" s="2994">
        <v>4.6429999999999998</v>
      </c>
      <c r="Q1092" s="2994">
        <v>4.5713999999999997</v>
      </c>
      <c r="R1092" s="2994">
        <v>4.4828000000000001</v>
      </c>
      <c r="S1092" s="2994">
        <v>4.5861999999999998</v>
      </c>
      <c r="T1092" s="2994">
        <v>4.5</v>
      </c>
      <c r="U1092" s="2994">
        <v>4.5235000000000003</v>
      </c>
      <c r="V1092" s="2994">
        <v>3.3624000000000001</v>
      </c>
      <c r="W1092" s="2994">
        <v>3.8681000000000001</v>
      </c>
      <c r="X1092" s="2994">
        <v>4.2564000000000002</v>
      </c>
      <c r="Y1092" s="2994">
        <v>3.9811000000000001</v>
      </c>
      <c r="Z1092" s="2994">
        <v>4.2523</v>
      </c>
      <c r="AA1092" s="2994">
        <v>4.5442</v>
      </c>
      <c r="AB1092" s="2994">
        <v>4.4828000000000001</v>
      </c>
      <c r="AC1092" s="2994">
        <v>4.2104999999999997</v>
      </c>
      <c r="AD1092" s="2994">
        <v>4.1974999999999998</v>
      </c>
      <c r="AE1092" s="2994">
        <v>4.2409999999999997</v>
      </c>
      <c r="AF1092" s="2994">
        <v>4.3720999999999997</v>
      </c>
      <c r="AG1092" s="2994">
        <v>4</v>
      </c>
      <c r="AH1092" s="2994">
        <v>5.3182</v>
      </c>
      <c r="AI1092" s="2994">
        <v>5.0423999999999998</v>
      </c>
      <c r="AJ1092" s="2994">
        <v>5.2244000000000002</v>
      </c>
      <c r="AK1092" s="2994">
        <v>4.8940999999999999</v>
      </c>
      <c r="AL1092" s="2994">
        <v>5.0198999999999998</v>
      </c>
      <c r="AM1092" s="2994">
        <v>5.0281000000000002</v>
      </c>
      <c r="AN1092" s="2994">
        <v>4.9532999999999996</v>
      </c>
      <c r="AO1092" s="2994">
        <v>5.0590000000000002</v>
      </c>
      <c r="AP1092" s="2994">
        <v>5.1609999999999996</v>
      </c>
      <c r="AQ1092" s="2994">
        <v>9.3332999999999995</v>
      </c>
      <c r="AR1092" s="2994">
        <v>8.8571000000000009</v>
      </c>
      <c r="AS1092" s="2994">
        <v>8.125</v>
      </c>
      <c r="AT1092" s="2994">
        <v>12.2918</v>
      </c>
      <c r="AU1092" s="2994">
        <v>12.0611</v>
      </c>
      <c r="AV1092" s="2994">
        <v>10.599600000000001</v>
      </c>
      <c r="AW1092" s="2994">
        <v>13.040900000000001</v>
      </c>
      <c r="AX1092" s="2994">
        <v>12.2967</v>
      </c>
      <c r="AY1092" s="2994">
        <v>12.9331</v>
      </c>
      <c r="AZ1092" s="2994">
        <v>12.084199999999999</v>
      </c>
      <c r="BA1092" s="2994">
        <v>11.752000000000001</v>
      </c>
      <c r="BB1092" s="2994">
        <v>12.174300000000001</v>
      </c>
      <c r="BC1092" s="2994">
        <v>11.5182</v>
      </c>
      <c r="BD1092" s="3471">
        <v>12.5832</v>
      </c>
      <c r="BE1092" s="3471">
        <v>12.4963</v>
      </c>
      <c r="BF1092" s="3471">
        <v>0</v>
      </c>
    </row>
    <row r="1093" spans="1:58">
      <c r="A1093" s="1817" t="str">
        <f t="shared" si="35"/>
        <v>South-Eastern AsiaOranges</v>
      </c>
      <c r="B1093" s="1818" t="s">
        <v>1394</v>
      </c>
      <c r="C1093" s="1818" t="s">
        <v>1363</v>
      </c>
      <c r="D1093" s="3463" t="str">
        <f>VLOOKUP(B1093,List_Yield!$G$4:$J$14,4,FALSE)</f>
        <v>Asia (Insular)</v>
      </c>
      <c r="E1093" s="3463" t="str">
        <f t="shared" si="34"/>
        <v>Asia (Insular)Oranges</v>
      </c>
      <c r="F1093" s="2994">
        <v>7.4021999999999997</v>
      </c>
      <c r="G1093" s="2994">
        <v>6.6253000000000002</v>
      </c>
      <c r="H1093" s="2994">
        <v>6.6630000000000003</v>
      </c>
      <c r="I1093" s="2994">
        <v>6.8037000000000001</v>
      </c>
      <c r="J1093" s="2994">
        <v>6.9846000000000004</v>
      </c>
      <c r="K1093" s="2994">
        <v>7.1756000000000002</v>
      </c>
      <c r="L1093" s="2994">
        <v>6.7282000000000002</v>
      </c>
      <c r="M1093" s="2994">
        <v>6.7046999999999999</v>
      </c>
      <c r="N1093" s="2994">
        <v>7.0267999999999997</v>
      </c>
      <c r="O1093" s="2994">
        <v>6.6825000000000001</v>
      </c>
      <c r="P1093" s="2994">
        <v>7.0084</v>
      </c>
      <c r="Q1093" s="2994">
        <v>7.7754000000000003</v>
      </c>
      <c r="R1093" s="2994">
        <v>7.2995999999999999</v>
      </c>
      <c r="S1093" s="2994">
        <v>7.1909000000000001</v>
      </c>
      <c r="T1093" s="2994">
        <v>7.3470000000000004</v>
      </c>
      <c r="U1093" s="2994">
        <v>7.1173999999999999</v>
      </c>
      <c r="V1093" s="2994">
        <v>7.9611000000000001</v>
      </c>
      <c r="W1093" s="2994">
        <v>8.2849000000000004</v>
      </c>
      <c r="X1093" s="2994">
        <v>7.9932999999999996</v>
      </c>
      <c r="Y1093" s="2994">
        <v>7.7530000000000001</v>
      </c>
      <c r="Z1093" s="2994">
        <v>8.5169999999999995</v>
      </c>
      <c r="AA1093" s="2994">
        <v>8.2196999999999996</v>
      </c>
      <c r="AB1093" s="2994">
        <v>8.2261000000000006</v>
      </c>
      <c r="AC1093" s="2994">
        <v>8.234</v>
      </c>
      <c r="AD1093" s="2994">
        <v>7.5061</v>
      </c>
      <c r="AE1093" s="2994">
        <v>8.0693999999999999</v>
      </c>
      <c r="AF1093" s="2994">
        <v>7.9020999999999999</v>
      </c>
      <c r="AG1093" s="2994">
        <v>7.3536999999999999</v>
      </c>
      <c r="AH1093" s="2994">
        <v>7.7108999999999996</v>
      </c>
      <c r="AI1093" s="2994">
        <v>7.3373999999999997</v>
      </c>
      <c r="AJ1093" s="2994">
        <v>7.3281000000000001</v>
      </c>
      <c r="AK1093" s="2994">
        <v>8.1796000000000006</v>
      </c>
      <c r="AL1093" s="2994">
        <v>8.3292999999999999</v>
      </c>
      <c r="AM1093" s="2994">
        <v>7.0347</v>
      </c>
      <c r="AN1093" s="2994">
        <v>9.1969999999999992</v>
      </c>
      <c r="AO1093" s="2994">
        <v>6.7595000000000001</v>
      </c>
      <c r="AP1093" s="2994">
        <v>6.4447999999999999</v>
      </c>
      <c r="AQ1093" s="2994">
        <v>10.135899999999999</v>
      </c>
      <c r="AR1093" s="2994">
        <v>10.9878</v>
      </c>
      <c r="AS1093" s="2994">
        <v>10.660600000000001</v>
      </c>
      <c r="AT1093" s="2994">
        <v>10.986599999999999</v>
      </c>
      <c r="AU1093" s="2994">
        <v>11.7965</v>
      </c>
      <c r="AV1093" s="2994">
        <v>16.843399999999999</v>
      </c>
      <c r="AW1093" s="2994">
        <v>18.496200000000002</v>
      </c>
      <c r="AX1093" s="2994">
        <v>19.673100000000002</v>
      </c>
      <c r="AY1093" s="2994">
        <v>21.3279</v>
      </c>
      <c r="AZ1093" s="2994">
        <v>22.329799999999999</v>
      </c>
      <c r="BA1093" s="2994">
        <v>20.8703</v>
      </c>
      <c r="BB1093" s="2994">
        <v>19.784800000000001</v>
      </c>
      <c r="BC1093" s="2994">
        <v>20.051500000000001</v>
      </c>
      <c r="BD1093" s="3471">
        <v>20.838799999999999</v>
      </c>
      <c r="BE1093" s="3471">
        <v>20.440100000000001</v>
      </c>
      <c r="BF1093" s="3471">
        <v>0</v>
      </c>
    </row>
    <row r="1094" spans="1:58">
      <c r="A1094" s="1817" t="str">
        <f t="shared" si="35"/>
        <v>South-Eastern AsiaPapayas</v>
      </c>
      <c r="B1094" s="1818" t="s">
        <v>1394</v>
      </c>
      <c r="C1094" s="1818" t="s">
        <v>7358</v>
      </c>
      <c r="D1094" s="3463" t="str">
        <f>VLOOKUP(B1094,List_Yield!$G$4:$J$14,4,FALSE)</f>
        <v>Asia (Insular)</v>
      </c>
      <c r="E1094" s="3463" t="str">
        <f t="shared" si="34"/>
        <v>Asia (Insular)Papayas</v>
      </c>
      <c r="F1094" s="2994">
        <v>8.1671999999999993</v>
      </c>
      <c r="G1094" s="2994">
        <v>7.9744000000000002</v>
      </c>
      <c r="H1094" s="2994">
        <v>8.4730000000000008</v>
      </c>
      <c r="I1094" s="2994">
        <v>8.8004999999999995</v>
      </c>
      <c r="J1094" s="2994">
        <v>9.4719999999999995</v>
      </c>
      <c r="K1094" s="2994">
        <v>9.6311</v>
      </c>
      <c r="L1094" s="2994">
        <v>9.7068999999999992</v>
      </c>
      <c r="M1094" s="2994">
        <v>9.3535000000000004</v>
      </c>
      <c r="N1094" s="2994">
        <v>9.4702999999999999</v>
      </c>
      <c r="O1094" s="2994">
        <v>9.8339999999999996</v>
      </c>
      <c r="P1094" s="2994">
        <v>9.3201999999999998</v>
      </c>
      <c r="Q1094" s="2994">
        <v>9.2757000000000005</v>
      </c>
      <c r="R1094" s="2994">
        <v>8.6882999999999999</v>
      </c>
      <c r="S1094" s="2994">
        <v>6.4801000000000002</v>
      </c>
      <c r="T1094" s="2994">
        <v>8.2236999999999991</v>
      </c>
      <c r="U1094" s="2994">
        <v>10.8681</v>
      </c>
      <c r="V1094" s="2994">
        <v>11.715</v>
      </c>
      <c r="W1094" s="2994">
        <v>10.904299999999999</v>
      </c>
      <c r="X1094" s="2994">
        <v>11.3474</v>
      </c>
      <c r="Y1094" s="2994">
        <v>10.5457</v>
      </c>
      <c r="Z1094" s="2994">
        <v>10.760199999999999</v>
      </c>
      <c r="AA1094" s="2994">
        <v>9.1721000000000004</v>
      </c>
      <c r="AB1094" s="2994">
        <v>9.6351999999999993</v>
      </c>
      <c r="AC1094" s="2994">
        <v>10.2464</v>
      </c>
      <c r="AD1094" s="2994">
        <v>10.2844</v>
      </c>
      <c r="AE1094" s="2994">
        <v>9.9322999999999997</v>
      </c>
      <c r="AF1094" s="2994">
        <v>11.357799999999999</v>
      </c>
      <c r="AG1094" s="2994">
        <v>11.3409</v>
      </c>
      <c r="AH1094" s="2994">
        <v>13.265000000000001</v>
      </c>
      <c r="AI1094" s="2994">
        <v>12.371600000000001</v>
      </c>
      <c r="AJ1094" s="2994">
        <v>13.7075</v>
      </c>
      <c r="AK1094" s="2994">
        <v>19.661300000000001</v>
      </c>
      <c r="AL1094" s="2994">
        <v>20.922699999999999</v>
      </c>
      <c r="AM1094" s="2994">
        <v>18.138300000000001</v>
      </c>
      <c r="AN1094" s="2994">
        <v>24.387</v>
      </c>
      <c r="AO1094" s="2994">
        <v>20.249400000000001</v>
      </c>
      <c r="AP1094" s="2994">
        <v>19.7453</v>
      </c>
      <c r="AQ1094" s="2994">
        <v>22.589500000000001</v>
      </c>
      <c r="AR1094" s="2994">
        <v>21.340299999999999</v>
      </c>
      <c r="AS1094" s="2994">
        <v>22.4389</v>
      </c>
      <c r="AT1094" s="2994">
        <v>23.709099999999999</v>
      </c>
      <c r="AU1094" s="2994">
        <v>25.651499999999999</v>
      </c>
      <c r="AV1094" s="2994">
        <v>26.3598</v>
      </c>
      <c r="AW1094" s="2994">
        <v>29.485499999999998</v>
      </c>
      <c r="AX1094" s="2994">
        <v>27.9834</v>
      </c>
      <c r="AY1094" s="2994">
        <v>33.404200000000003</v>
      </c>
      <c r="AZ1094" s="2994">
        <v>32.924500000000002</v>
      </c>
      <c r="BA1094" s="2994">
        <v>35.0199</v>
      </c>
      <c r="BB1094" s="2994">
        <v>35.060200000000002</v>
      </c>
      <c r="BC1094" s="2994">
        <v>33.215299999999999</v>
      </c>
      <c r="BD1094" s="3471">
        <v>39.516599999999997</v>
      </c>
      <c r="BE1094" s="3471">
        <v>38.298099999999998</v>
      </c>
      <c r="BF1094" s="3471">
        <v>0</v>
      </c>
    </row>
    <row r="1095" spans="1:58">
      <c r="A1095" s="1817" t="str">
        <f t="shared" si="35"/>
        <v>South-Eastern AsiaPeaches and nectarines</v>
      </c>
      <c r="B1095" s="1818" t="s">
        <v>1394</v>
      </c>
      <c r="C1095" s="1818" t="s">
        <v>1364</v>
      </c>
      <c r="D1095" s="3463" t="str">
        <f>VLOOKUP(B1095,List_Yield!$G$4:$J$14,4,FALSE)</f>
        <v>Asia (Insular)</v>
      </c>
      <c r="E1095" s="3463" t="str">
        <f t="shared" si="34"/>
        <v>Asia (Insular)Peaches and nectarines</v>
      </c>
      <c r="F1095" s="2994">
        <v>0</v>
      </c>
      <c r="G1095" s="2994">
        <v>0</v>
      </c>
      <c r="H1095" s="2994">
        <v>0</v>
      </c>
      <c r="I1095" s="2994">
        <v>0</v>
      </c>
      <c r="J1095" s="2994">
        <v>0</v>
      </c>
      <c r="K1095" s="2994">
        <v>0</v>
      </c>
      <c r="L1095" s="2994">
        <v>0</v>
      </c>
      <c r="M1095" s="2994">
        <v>0</v>
      </c>
      <c r="N1095" s="2994">
        <v>0</v>
      </c>
      <c r="O1095" s="2994">
        <v>0</v>
      </c>
      <c r="P1095" s="2994">
        <v>0</v>
      </c>
      <c r="Q1095" s="2994">
        <v>0</v>
      </c>
      <c r="R1095" s="2994">
        <v>0</v>
      </c>
      <c r="S1095" s="2994">
        <v>0</v>
      </c>
      <c r="T1095" s="2994">
        <v>0</v>
      </c>
      <c r="U1095" s="2994">
        <v>0</v>
      </c>
      <c r="V1095" s="2994">
        <v>0</v>
      </c>
      <c r="W1095" s="2994">
        <v>0</v>
      </c>
      <c r="X1095" s="2994">
        <v>0</v>
      </c>
      <c r="Y1095" s="2994">
        <v>0</v>
      </c>
      <c r="Z1095" s="2994">
        <v>0</v>
      </c>
      <c r="AA1095" s="2994">
        <v>0</v>
      </c>
      <c r="AB1095" s="2994">
        <v>0</v>
      </c>
      <c r="AC1095" s="2994">
        <v>0</v>
      </c>
      <c r="AD1095" s="2994">
        <v>0</v>
      </c>
      <c r="AE1095" s="2994">
        <v>0</v>
      </c>
      <c r="AF1095" s="2994">
        <v>0</v>
      </c>
      <c r="AG1095" s="2994">
        <v>0</v>
      </c>
      <c r="AH1095" s="2994">
        <v>0</v>
      </c>
      <c r="AI1095" s="2994">
        <v>0</v>
      </c>
      <c r="AJ1095" s="2994">
        <v>0</v>
      </c>
      <c r="AK1095" s="2994">
        <v>0</v>
      </c>
      <c r="AL1095" s="2994">
        <v>0</v>
      </c>
      <c r="AM1095" s="2994">
        <v>0</v>
      </c>
      <c r="AN1095" s="2994">
        <v>0</v>
      </c>
      <c r="AO1095" s="2994">
        <v>0</v>
      </c>
      <c r="AP1095" s="2994">
        <v>0</v>
      </c>
      <c r="AQ1095" s="2994">
        <v>0</v>
      </c>
      <c r="AR1095" s="2994">
        <v>0</v>
      </c>
      <c r="AS1095" s="2994">
        <v>0</v>
      </c>
      <c r="AT1095" s="2994">
        <v>0</v>
      </c>
      <c r="AU1095" s="2994">
        <v>0</v>
      </c>
      <c r="AV1095" s="2994">
        <v>0</v>
      </c>
      <c r="AW1095" s="2994">
        <v>0</v>
      </c>
      <c r="AX1095" s="2994">
        <v>0</v>
      </c>
      <c r="AY1095" s="2994">
        <v>0</v>
      </c>
      <c r="AZ1095" s="2994">
        <v>0</v>
      </c>
      <c r="BA1095" s="2994">
        <v>0</v>
      </c>
      <c r="BB1095" s="2994">
        <v>0</v>
      </c>
      <c r="BC1095" s="2994">
        <v>0</v>
      </c>
      <c r="BD1095" s="3471">
        <v>0</v>
      </c>
      <c r="BE1095" s="3471">
        <v>0</v>
      </c>
      <c r="BF1095" s="3471">
        <v>0</v>
      </c>
    </row>
    <row r="1096" spans="1:58">
      <c r="A1096" s="1817" t="str">
        <f t="shared" si="35"/>
        <v>South-Eastern AsiaPears</v>
      </c>
      <c r="B1096" s="1818" t="s">
        <v>1394</v>
      </c>
      <c r="C1096" s="1818" t="s">
        <v>7359</v>
      </c>
      <c r="D1096" s="3463" t="str">
        <f>VLOOKUP(B1096,List_Yield!$G$4:$J$14,4,FALSE)</f>
        <v>Asia (Insular)</v>
      </c>
      <c r="E1096" s="3463" t="str">
        <f t="shared" si="34"/>
        <v>Asia (Insular)Pears</v>
      </c>
      <c r="F1096" s="2994">
        <v>0</v>
      </c>
      <c r="G1096" s="2994">
        <v>0</v>
      </c>
      <c r="H1096" s="2994">
        <v>0</v>
      </c>
      <c r="I1096" s="2994">
        <v>0</v>
      </c>
      <c r="J1096" s="2994">
        <v>0</v>
      </c>
      <c r="K1096" s="2994">
        <v>0</v>
      </c>
      <c r="L1096" s="2994">
        <v>0</v>
      </c>
      <c r="M1096" s="2994">
        <v>0</v>
      </c>
      <c r="N1096" s="2994">
        <v>0</v>
      </c>
      <c r="O1096" s="2994">
        <v>0</v>
      </c>
      <c r="P1096" s="2994">
        <v>0</v>
      </c>
      <c r="Q1096" s="2994">
        <v>0</v>
      </c>
      <c r="R1096" s="2994">
        <v>0</v>
      </c>
      <c r="S1096" s="2994">
        <v>0</v>
      </c>
      <c r="T1096" s="2994">
        <v>0</v>
      </c>
      <c r="U1096" s="2994">
        <v>0</v>
      </c>
      <c r="V1096" s="2994">
        <v>0</v>
      </c>
      <c r="W1096" s="2994">
        <v>0</v>
      </c>
      <c r="X1096" s="2994">
        <v>0</v>
      </c>
      <c r="Y1096" s="2994">
        <v>0</v>
      </c>
      <c r="Z1096" s="2994">
        <v>0</v>
      </c>
      <c r="AA1096" s="2994">
        <v>0</v>
      </c>
      <c r="AB1096" s="2994">
        <v>0</v>
      </c>
      <c r="AC1096" s="2994">
        <v>0</v>
      </c>
      <c r="AD1096" s="2994">
        <v>0</v>
      </c>
      <c r="AE1096" s="2994">
        <v>0</v>
      </c>
      <c r="AF1096" s="2994">
        <v>0</v>
      </c>
      <c r="AG1096" s="2994">
        <v>0</v>
      </c>
      <c r="AH1096" s="2994">
        <v>0</v>
      </c>
      <c r="AI1096" s="2994">
        <v>0</v>
      </c>
      <c r="AJ1096" s="2994">
        <v>0</v>
      </c>
      <c r="AK1096" s="2994">
        <v>0</v>
      </c>
      <c r="AL1096" s="2994">
        <v>0</v>
      </c>
      <c r="AM1096" s="2994">
        <v>0</v>
      </c>
      <c r="AN1096" s="2994">
        <v>0</v>
      </c>
      <c r="AO1096" s="2994">
        <v>0</v>
      </c>
      <c r="AP1096" s="2994">
        <v>0</v>
      </c>
      <c r="AQ1096" s="2994">
        <v>0</v>
      </c>
      <c r="AR1096" s="2994">
        <v>0</v>
      </c>
      <c r="AS1096" s="2994">
        <v>0</v>
      </c>
      <c r="AT1096" s="2994">
        <v>0</v>
      </c>
      <c r="AU1096" s="2994">
        <v>0</v>
      </c>
      <c r="AV1096" s="2994">
        <v>0</v>
      </c>
      <c r="AW1096" s="2994">
        <v>0</v>
      </c>
      <c r="AX1096" s="2994">
        <v>0</v>
      </c>
      <c r="AY1096" s="2994">
        <v>0</v>
      </c>
      <c r="AZ1096" s="2994">
        <v>0</v>
      </c>
      <c r="BA1096" s="2994">
        <v>0</v>
      </c>
      <c r="BB1096" s="2994">
        <v>0</v>
      </c>
      <c r="BC1096" s="2994">
        <v>0</v>
      </c>
      <c r="BD1096" s="3471">
        <v>0</v>
      </c>
      <c r="BE1096" s="3471">
        <v>0</v>
      </c>
      <c r="BF1096" s="3471">
        <v>0</v>
      </c>
    </row>
    <row r="1097" spans="1:58">
      <c r="A1097" s="1817" t="str">
        <f t="shared" si="35"/>
        <v>South-Eastern AsiaPeas, dry</v>
      </c>
      <c r="B1097" s="1818" t="s">
        <v>1394</v>
      </c>
      <c r="C1097" s="1818" t="s">
        <v>1365</v>
      </c>
      <c r="D1097" s="3463" t="str">
        <f>VLOOKUP(B1097,List_Yield!$G$4:$J$14,4,FALSE)</f>
        <v>Asia (Insular)</v>
      </c>
      <c r="E1097" s="3463" t="str">
        <f t="shared" si="34"/>
        <v>Asia (Insular)Peas, dry</v>
      </c>
      <c r="F1097" s="2994">
        <v>0.4572</v>
      </c>
      <c r="G1097" s="2994">
        <v>0.37309999999999999</v>
      </c>
      <c r="H1097" s="2994">
        <v>0.60929999999999995</v>
      </c>
      <c r="I1097" s="2994">
        <v>0.56030000000000002</v>
      </c>
      <c r="J1097" s="2994">
        <v>0.65749999999999997</v>
      </c>
      <c r="K1097" s="2994">
        <v>0.67110000000000003</v>
      </c>
      <c r="L1097" s="2994">
        <v>0.63800000000000001</v>
      </c>
      <c r="M1097" s="2994">
        <v>0.72070000000000001</v>
      </c>
      <c r="N1097" s="2994">
        <v>0.72030000000000005</v>
      </c>
      <c r="O1097" s="2994">
        <v>0.62370000000000003</v>
      </c>
      <c r="P1097" s="2994">
        <v>0.61480000000000001</v>
      </c>
      <c r="Q1097" s="2994">
        <v>0.55049999999999999</v>
      </c>
      <c r="R1097" s="2994">
        <v>0.53110000000000002</v>
      </c>
      <c r="S1097" s="2994">
        <v>0.55379999999999996</v>
      </c>
      <c r="T1097" s="2994">
        <v>0.56610000000000005</v>
      </c>
      <c r="U1097" s="2994">
        <v>0.67059999999999997</v>
      </c>
      <c r="V1097" s="2994">
        <v>0.64529999999999998</v>
      </c>
      <c r="W1097" s="2994">
        <v>0.69030000000000002</v>
      </c>
      <c r="X1097" s="2994">
        <v>0.79890000000000005</v>
      </c>
      <c r="Y1097" s="2994">
        <v>0.79900000000000004</v>
      </c>
      <c r="Z1097" s="2994">
        <v>0.67290000000000005</v>
      </c>
      <c r="AA1097" s="2994">
        <v>0.82299999999999995</v>
      </c>
      <c r="AB1097" s="2994">
        <v>0.91320000000000001</v>
      </c>
      <c r="AC1097" s="2994">
        <v>0.84360000000000002</v>
      </c>
      <c r="AD1097" s="2994">
        <v>0.81359999999999999</v>
      </c>
      <c r="AE1097" s="2994">
        <v>0.7903</v>
      </c>
      <c r="AF1097" s="2994">
        <v>0.81310000000000004</v>
      </c>
      <c r="AG1097" s="2994">
        <v>0.75129999999999997</v>
      </c>
      <c r="AH1097" s="2994">
        <v>0.57540000000000002</v>
      </c>
      <c r="AI1097" s="2994">
        <v>0.60119999999999996</v>
      </c>
      <c r="AJ1097" s="2994">
        <v>0.53990000000000005</v>
      </c>
      <c r="AK1097" s="2994">
        <v>0.58299999999999996</v>
      </c>
      <c r="AL1097" s="2994">
        <v>0.59409999999999996</v>
      </c>
      <c r="AM1097" s="2994">
        <v>0.60470000000000002</v>
      </c>
      <c r="AN1097" s="2994">
        <v>0.67930000000000001</v>
      </c>
      <c r="AO1097" s="2994">
        <v>0.66669999999999996</v>
      </c>
      <c r="AP1097" s="2994">
        <v>0.64859999999999995</v>
      </c>
      <c r="AQ1097" s="2994">
        <v>0.76700000000000002</v>
      </c>
      <c r="AR1097" s="2994">
        <v>0.73650000000000004</v>
      </c>
      <c r="AS1097" s="2994">
        <v>0.76919999999999999</v>
      </c>
      <c r="AT1097" s="2994">
        <v>0.80649999999999999</v>
      </c>
      <c r="AU1097" s="2994">
        <v>0.78569999999999995</v>
      </c>
      <c r="AV1097" s="2994">
        <v>0.9153</v>
      </c>
      <c r="AW1097" s="2994">
        <v>0.94630000000000003</v>
      </c>
      <c r="AX1097" s="2994">
        <v>0.95760000000000001</v>
      </c>
      <c r="AY1097" s="2994">
        <v>1.018</v>
      </c>
      <c r="AZ1097" s="2994">
        <v>1.0627</v>
      </c>
      <c r="BA1097" s="2994">
        <v>1.0952</v>
      </c>
      <c r="BB1097" s="2994">
        <v>1.1454</v>
      </c>
      <c r="BC1097" s="2994">
        <v>1.1960999999999999</v>
      </c>
      <c r="BD1097" s="3471">
        <v>1.25</v>
      </c>
      <c r="BE1097" s="3471">
        <v>1.2571000000000001</v>
      </c>
      <c r="BF1097" s="3471">
        <v>1.2829999999999999</v>
      </c>
    </row>
    <row r="1098" spans="1:58">
      <c r="A1098" s="1817" t="str">
        <f t="shared" si="35"/>
        <v>South-Eastern AsiaPeas, green</v>
      </c>
      <c r="B1098" s="1818" t="s">
        <v>1394</v>
      </c>
      <c r="C1098" s="1818" t="s">
        <v>1366</v>
      </c>
      <c r="D1098" s="3463" t="str">
        <f>VLOOKUP(B1098,List_Yield!$G$4:$J$14,4,FALSE)</f>
        <v>Asia (Insular)</v>
      </c>
      <c r="E1098" s="3463" t="str">
        <f t="shared" si="34"/>
        <v>Asia (Insular)Peas, green</v>
      </c>
      <c r="F1098" s="2994">
        <v>2.4262000000000001</v>
      </c>
      <c r="G1098" s="2994">
        <v>2.4194</v>
      </c>
      <c r="H1098" s="2994">
        <v>2.4127000000000001</v>
      </c>
      <c r="I1098" s="2994">
        <v>2.4</v>
      </c>
      <c r="J1098" s="2994">
        <v>2.3938999999999999</v>
      </c>
      <c r="K1098" s="2994">
        <v>2.3881000000000001</v>
      </c>
      <c r="L1098" s="2994">
        <v>2.3913000000000002</v>
      </c>
      <c r="M1098" s="2994">
        <v>2.3856999999999999</v>
      </c>
      <c r="N1098" s="2994">
        <v>2.3723999999999998</v>
      </c>
      <c r="O1098" s="2994">
        <v>2.3649</v>
      </c>
      <c r="P1098" s="2994">
        <v>2.3576000000000001</v>
      </c>
      <c r="Q1098" s="2994">
        <v>2.359</v>
      </c>
      <c r="R1098" s="2994">
        <v>2.3395999999999999</v>
      </c>
      <c r="S1098" s="2994">
        <v>2.2464</v>
      </c>
      <c r="T1098" s="2994">
        <v>2.6368</v>
      </c>
      <c r="U1098" s="2994">
        <v>2.1375999999999999</v>
      </c>
      <c r="V1098" s="2994">
        <v>2.1880999999999999</v>
      </c>
      <c r="W1098" s="2994">
        <v>2.4712999999999998</v>
      </c>
      <c r="X1098" s="2994">
        <v>3.1690999999999998</v>
      </c>
      <c r="Y1098" s="2994">
        <v>3.6383000000000001</v>
      </c>
      <c r="Z1098" s="2994">
        <v>4.6783000000000001</v>
      </c>
      <c r="AA1098" s="2994">
        <v>4.3209</v>
      </c>
      <c r="AB1098" s="2994">
        <v>3.7576999999999998</v>
      </c>
      <c r="AC1098" s="2994">
        <v>3.4535999999999998</v>
      </c>
      <c r="AD1098" s="2994">
        <v>3.2082000000000002</v>
      </c>
      <c r="AE1098" s="2994">
        <v>2.8031999999999999</v>
      </c>
      <c r="AF1098" s="2994">
        <v>2.8020999999999998</v>
      </c>
      <c r="AG1098" s="2994">
        <v>2.8304</v>
      </c>
      <c r="AH1098" s="2994">
        <v>2.8464999999999998</v>
      </c>
      <c r="AI1098" s="2994">
        <v>2.8420999999999998</v>
      </c>
      <c r="AJ1098" s="2994">
        <v>2.8972000000000002</v>
      </c>
      <c r="AK1098" s="2994">
        <v>2.9062999999999999</v>
      </c>
      <c r="AL1098" s="2994">
        <v>3</v>
      </c>
      <c r="AM1098" s="2994">
        <v>3.0714000000000001</v>
      </c>
      <c r="AN1098" s="2994">
        <v>3.1139999999999999</v>
      </c>
      <c r="AO1098" s="2994">
        <v>3.2282000000000002</v>
      </c>
      <c r="AP1098" s="2994">
        <v>3.2303000000000002</v>
      </c>
      <c r="AQ1098" s="2994">
        <v>3.2039</v>
      </c>
      <c r="AR1098" s="2994">
        <v>3.2376</v>
      </c>
      <c r="AS1098" s="2994">
        <v>3.0562</v>
      </c>
      <c r="AT1098" s="2994">
        <v>3.032</v>
      </c>
      <c r="AU1098" s="2994">
        <v>2.9035000000000002</v>
      </c>
      <c r="AV1098" s="2994">
        <v>2.9493999999999998</v>
      </c>
      <c r="AW1098" s="2994">
        <v>3.6974</v>
      </c>
      <c r="AX1098" s="2994">
        <v>3.8725999999999998</v>
      </c>
      <c r="AY1098" s="2994">
        <v>4.0427999999999997</v>
      </c>
      <c r="AZ1098" s="2994">
        <v>4.2343999999999999</v>
      </c>
      <c r="BA1098" s="2994">
        <v>4.1921999999999997</v>
      </c>
      <c r="BB1098" s="2994">
        <v>4.3479000000000001</v>
      </c>
      <c r="BC1098" s="2994">
        <v>4.6355000000000004</v>
      </c>
      <c r="BD1098" s="3471">
        <v>4.8465999999999996</v>
      </c>
      <c r="BE1098" s="3471">
        <v>4.9642999999999997</v>
      </c>
      <c r="BF1098" s="3471">
        <v>0</v>
      </c>
    </row>
    <row r="1099" spans="1:58">
      <c r="A1099" s="1817" t="str">
        <f t="shared" si="35"/>
        <v>South-Eastern AsiaPepper (piper spp.)</v>
      </c>
      <c r="B1099" s="1818" t="s">
        <v>1394</v>
      </c>
      <c r="C1099" s="1818" t="s">
        <v>7360</v>
      </c>
      <c r="D1099" s="3463" t="str">
        <f>VLOOKUP(B1099,List_Yield!$G$4:$J$14,4,FALSE)</f>
        <v>Asia (Insular)</v>
      </c>
      <c r="E1099" s="3463" t="str">
        <f t="shared" si="34"/>
        <v>Asia (Insular)Pepper (piper spp.)</v>
      </c>
      <c r="F1099" s="2994">
        <v>1.3306</v>
      </c>
      <c r="G1099" s="2994">
        <v>1.7434000000000001</v>
      </c>
      <c r="H1099" s="2994">
        <v>1.7438</v>
      </c>
      <c r="I1099" s="2994">
        <v>1.5087999999999999</v>
      </c>
      <c r="J1099" s="2994">
        <v>1.1531</v>
      </c>
      <c r="K1099" s="2994">
        <v>1.2144999999999999</v>
      </c>
      <c r="L1099" s="2994">
        <v>1.4005000000000001</v>
      </c>
      <c r="M1099" s="2994">
        <v>1.5995999999999999</v>
      </c>
      <c r="N1099" s="2994">
        <v>1.234</v>
      </c>
      <c r="O1099" s="2994">
        <v>1.1722999999999999</v>
      </c>
      <c r="P1099" s="2994">
        <v>1.1803999999999999</v>
      </c>
      <c r="Q1099" s="2994">
        <v>1.3469</v>
      </c>
      <c r="R1099" s="2994">
        <v>1.1772</v>
      </c>
      <c r="S1099" s="2994">
        <v>1.2358</v>
      </c>
      <c r="T1099" s="2994">
        <v>1.1588000000000001</v>
      </c>
      <c r="U1099" s="2994">
        <v>1.4656</v>
      </c>
      <c r="V1099" s="2994">
        <v>1.2703</v>
      </c>
      <c r="W1099" s="2994">
        <v>1.3044</v>
      </c>
      <c r="X1099" s="2994">
        <v>1.1989000000000001</v>
      </c>
      <c r="Y1099" s="2994">
        <v>1.1138999999999999</v>
      </c>
      <c r="Z1099" s="2994">
        <v>1.0983000000000001</v>
      </c>
      <c r="AA1099" s="2994">
        <v>1.0580000000000001</v>
      </c>
      <c r="AB1099" s="2994">
        <v>1.1071</v>
      </c>
      <c r="AC1099" s="2994">
        <v>1.0223</v>
      </c>
      <c r="AD1099" s="2994">
        <v>1.0488999999999999</v>
      </c>
      <c r="AE1099" s="2994">
        <v>1.1209</v>
      </c>
      <c r="AF1099" s="2994">
        <v>1.0516000000000001</v>
      </c>
      <c r="AG1099" s="2994">
        <v>1.0861000000000001</v>
      </c>
      <c r="AH1099" s="2994">
        <v>1.1621999999999999</v>
      </c>
      <c r="AI1099" s="2994">
        <v>1.2586999999999999</v>
      </c>
      <c r="AJ1099" s="2994">
        <v>1.22</v>
      </c>
      <c r="AK1099" s="2994">
        <v>1.2427999999999999</v>
      </c>
      <c r="AL1099" s="2994">
        <v>1.1073999999999999</v>
      </c>
      <c r="AM1099" s="2994">
        <v>1.06</v>
      </c>
      <c r="AN1099" s="2994">
        <v>1.0883</v>
      </c>
      <c r="AO1099" s="2994">
        <v>0.9929</v>
      </c>
      <c r="AP1099" s="2994">
        <v>1.1143000000000001</v>
      </c>
      <c r="AQ1099" s="2994">
        <v>1.1621999999999999</v>
      </c>
      <c r="AR1099" s="2994">
        <v>1.2273000000000001</v>
      </c>
      <c r="AS1099" s="2994">
        <v>1.2164999999999999</v>
      </c>
      <c r="AT1099" s="2994">
        <v>1.2002999999999999</v>
      </c>
      <c r="AU1099" s="2994">
        <v>1.2369000000000001</v>
      </c>
      <c r="AV1099" s="2994">
        <v>1.2081</v>
      </c>
      <c r="AW1099" s="2994">
        <v>1.1162000000000001</v>
      </c>
      <c r="AX1099" s="2994">
        <v>1.2843</v>
      </c>
      <c r="AY1099" s="2994">
        <v>0.86729999999999996</v>
      </c>
      <c r="AZ1099" s="2994">
        <v>0.9375</v>
      </c>
      <c r="BA1099" s="2994">
        <v>0.99639999999999995</v>
      </c>
      <c r="BB1099" s="2994">
        <v>1.0418000000000001</v>
      </c>
      <c r="BC1099" s="2994">
        <v>1.0450999999999999</v>
      </c>
      <c r="BD1099" s="3471">
        <v>1.1259999999999999</v>
      </c>
      <c r="BE1099" s="3471">
        <v>1.1438999999999999</v>
      </c>
      <c r="BF1099" s="3471">
        <v>0</v>
      </c>
    </row>
    <row r="1100" spans="1:58">
      <c r="A1100" s="1817" t="str">
        <f t="shared" si="35"/>
        <v>South-Eastern AsiaPeppermint</v>
      </c>
      <c r="B1100" s="1818" t="s">
        <v>1394</v>
      </c>
      <c r="C1100" s="1818" t="s">
        <v>7361</v>
      </c>
      <c r="D1100" s="3463" t="str">
        <f>VLOOKUP(B1100,List_Yield!$G$4:$J$14,4,FALSE)</f>
        <v>Asia (Insular)</v>
      </c>
      <c r="E1100" s="3463" t="str">
        <f t="shared" si="34"/>
        <v>Asia (Insular)Peppermint</v>
      </c>
      <c r="F1100" s="2994">
        <v>0</v>
      </c>
      <c r="G1100" s="2994">
        <v>0</v>
      </c>
      <c r="H1100" s="2994">
        <v>0</v>
      </c>
      <c r="I1100" s="2994">
        <v>0</v>
      </c>
      <c r="J1100" s="2994">
        <v>0</v>
      </c>
      <c r="K1100" s="2994">
        <v>0</v>
      </c>
      <c r="L1100" s="2994">
        <v>0</v>
      </c>
      <c r="M1100" s="2994">
        <v>0</v>
      </c>
      <c r="N1100" s="2994">
        <v>0</v>
      </c>
      <c r="O1100" s="2994">
        <v>0</v>
      </c>
      <c r="P1100" s="2994">
        <v>0</v>
      </c>
      <c r="Q1100" s="2994">
        <v>0</v>
      </c>
      <c r="R1100" s="2994">
        <v>0</v>
      </c>
      <c r="S1100" s="2994">
        <v>0</v>
      </c>
      <c r="T1100" s="2994">
        <v>0</v>
      </c>
      <c r="U1100" s="2994">
        <v>0</v>
      </c>
      <c r="V1100" s="2994">
        <v>0</v>
      </c>
      <c r="W1100" s="2994">
        <v>0</v>
      </c>
      <c r="X1100" s="2994">
        <v>0</v>
      </c>
      <c r="Y1100" s="2994">
        <v>0</v>
      </c>
      <c r="Z1100" s="2994">
        <v>0</v>
      </c>
      <c r="AA1100" s="2994">
        <v>0</v>
      </c>
      <c r="AB1100" s="2994">
        <v>0</v>
      </c>
      <c r="AC1100" s="2994">
        <v>0</v>
      </c>
      <c r="AD1100" s="2994">
        <v>0</v>
      </c>
      <c r="AE1100" s="2994">
        <v>0</v>
      </c>
      <c r="AF1100" s="2994">
        <v>0</v>
      </c>
      <c r="AG1100" s="2994">
        <v>0</v>
      </c>
      <c r="AH1100" s="2994">
        <v>0</v>
      </c>
      <c r="AI1100" s="2994">
        <v>0</v>
      </c>
      <c r="AJ1100" s="2994">
        <v>0</v>
      </c>
      <c r="AK1100" s="2994">
        <v>0</v>
      </c>
      <c r="AL1100" s="2994">
        <v>0</v>
      </c>
      <c r="AM1100" s="2994">
        <v>0</v>
      </c>
      <c r="AN1100" s="2994">
        <v>0</v>
      </c>
      <c r="AO1100" s="2994">
        <v>0</v>
      </c>
      <c r="AP1100" s="2994">
        <v>0</v>
      </c>
      <c r="AQ1100" s="2994">
        <v>0</v>
      </c>
      <c r="AR1100" s="2994">
        <v>0</v>
      </c>
      <c r="AS1100" s="2994">
        <v>0</v>
      </c>
      <c r="AT1100" s="2994">
        <v>0</v>
      </c>
      <c r="AU1100" s="2994">
        <v>0</v>
      </c>
      <c r="AV1100" s="2994">
        <v>0</v>
      </c>
      <c r="AW1100" s="2994">
        <v>0</v>
      </c>
      <c r="AX1100" s="2994">
        <v>0</v>
      </c>
      <c r="AY1100" s="2994">
        <v>0</v>
      </c>
      <c r="AZ1100" s="2994">
        <v>0</v>
      </c>
      <c r="BA1100" s="2994">
        <v>0</v>
      </c>
      <c r="BB1100" s="2994">
        <v>0</v>
      </c>
      <c r="BC1100" s="2994">
        <v>0</v>
      </c>
      <c r="BD1100" s="3471">
        <v>0</v>
      </c>
      <c r="BE1100" s="3471">
        <v>0</v>
      </c>
      <c r="BF1100" s="3471">
        <v>0</v>
      </c>
    </row>
    <row r="1101" spans="1:58">
      <c r="A1101" s="1817" t="str">
        <f t="shared" si="35"/>
        <v>South-Eastern AsiaPersimmons</v>
      </c>
      <c r="B1101" s="1818" t="s">
        <v>1394</v>
      </c>
      <c r="C1101" s="1818" t="s">
        <v>7362</v>
      </c>
      <c r="D1101" s="3463" t="str">
        <f>VLOOKUP(B1101,List_Yield!$G$4:$J$14,4,FALSE)</f>
        <v>Asia (Insular)</v>
      </c>
      <c r="E1101" s="3463" t="str">
        <f t="shared" si="34"/>
        <v>Asia (Insular)Persimmons</v>
      </c>
      <c r="F1101" s="2994">
        <v>0</v>
      </c>
      <c r="G1101" s="2994">
        <v>0</v>
      </c>
      <c r="H1101" s="2994">
        <v>0</v>
      </c>
      <c r="I1101" s="2994">
        <v>0</v>
      </c>
      <c r="J1101" s="2994">
        <v>0</v>
      </c>
      <c r="K1101" s="2994">
        <v>0</v>
      </c>
      <c r="L1101" s="2994">
        <v>0</v>
      </c>
      <c r="M1101" s="2994">
        <v>0</v>
      </c>
      <c r="N1101" s="2994">
        <v>0</v>
      </c>
      <c r="O1101" s="2994">
        <v>0</v>
      </c>
      <c r="P1101" s="2994">
        <v>0</v>
      </c>
      <c r="Q1101" s="2994">
        <v>0</v>
      </c>
      <c r="R1101" s="2994">
        <v>0</v>
      </c>
      <c r="S1101" s="2994">
        <v>0</v>
      </c>
      <c r="T1101" s="2994">
        <v>0</v>
      </c>
      <c r="U1101" s="2994">
        <v>0</v>
      </c>
      <c r="V1101" s="2994">
        <v>0</v>
      </c>
      <c r="W1101" s="2994">
        <v>0</v>
      </c>
      <c r="X1101" s="2994">
        <v>0</v>
      </c>
      <c r="Y1101" s="2994">
        <v>0</v>
      </c>
      <c r="Z1101" s="2994">
        <v>0</v>
      </c>
      <c r="AA1101" s="2994">
        <v>0</v>
      </c>
      <c r="AB1101" s="2994">
        <v>0</v>
      </c>
      <c r="AC1101" s="2994">
        <v>0</v>
      </c>
      <c r="AD1101" s="2994">
        <v>0</v>
      </c>
      <c r="AE1101" s="2994">
        <v>0</v>
      </c>
      <c r="AF1101" s="2994">
        <v>0</v>
      </c>
      <c r="AG1101" s="2994">
        <v>0</v>
      </c>
      <c r="AH1101" s="2994">
        <v>0</v>
      </c>
      <c r="AI1101" s="2994">
        <v>0</v>
      </c>
      <c r="AJ1101" s="2994">
        <v>0</v>
      </c>
      <c r="AK1101" s="2994">
        <v>0</v>
      </c>
      <c r="AL1101" s="2994">
        <v>0</v>
      </c>
      <c r="AM1101" s="2994">
        <v>0</v>
      </c>
      <c r="AN1101" s="2994">
        <v>0</v>
      </c>
      <c r="AO1101" s="2994">
        <v>0</v>
      </c>
      <c r="AP1101" s="2994">
        <v>0</v>
      </c>
      <c r="AQ1101" s="2994">
        <v>0</v>
      </c>
      <c r="AR1101" s="2994">
        <v>0</v>
      </c>
      <c r="AS1101" s="2994">
        <v>0</v>
      </c>
      <c r="AT1101" s="2994">
        <v>0</v>
      </c>
      <c r="AU1101" s="2994">
        <v>0</v>
      </c>
      <c r="AV1101" s="2994">
        <v>0</v>
      </c>
      <c r="AW1101" s="2994">
        <v>0</v>
      </c>
      <c r="AX1101" s="2994">
        <v>0</v>
      </c>
      <c r="AY1101" s="2994">
        <v>0</v>
      </c>
      <c r="AZ1101" s="2994">
        <v>0</v>
      </c>
      <c r="BA1101" s="2994">
        <v>0</v>
      </c>
      <c r="BB1101" s="2994">
        <v>0</v>
      </c>
      <c r="BC1101" s="2994">
        <v>0</v>
      </c>
      <c r="BD1101" s="3471">
        <v>0</v>
      </c>
      <c r="BE1101" s="3471">
        <v>0</v>
      </c>
      <c r="BF1101" s="3471">
        <v>0</v>
      </c>
    </row>
    <row r="1102" spans="1:58">
      <c r="A1102" s="1817" t="str">
        <f t="shared" si="35"/>
        <v>South-Eastern AsiaPigeon peas</v>
      </c>
      <c r="B1102" s="1818" t="s">
        <v>1394</v>
      </c>
      <c r="C1102" s="1818" t="s">
        <v>7363</v>
      </c>
      <c r="D1102" s="3463" t="str">
        <f>VLOOKUP(B1102,List_Yield!$G$4:$J$14,4,FALSE)</f>
        <v>Asia (Insular)</v>
      </c>
      <c r="E1102" s="3463" t="str">
        <f t="shared" si="34"/>
        <v>Asia (Insular)Pigeon peas</v>
      </c>
      <c r="F1102" s="2994">
        <v>0.38019999999999998</v>
      </c>
      <c r="G1102" s="2994">
        <v>0.42209999999999998</v>
      </c>
      <c r="H1102" s="2994">
        <v>0.433</v>
      </c>
      <c r="I1102" s="2994">
        <v>0.50070000000000003</v>
      </c>
      <c r="J1102" s="2994">
        <v>0.32850000000000001</v>
      </c>
      <c r="K1102" s="2994">
        <v>0.32340000000000002</v>
      </c>
      <c r="L1102" s="2994">
        <v>0.22470000000000001</v>
      </c>
      <c r="M1102" s="2994">
        <v>0.32019999999999998</v>
      </c>
      <c r="N1102" s="2994">
        <v>0.43419999999999997</v>
      </c>
      <c r="O1102" s="2994">
        <v>0.4027</v>
      </c>
      <c r="P1102" s="2994">
        <v>0.4133</v>
      </c>
      <c r="Q1102" s="2994">
        <v>0.40870000000000001</v>
      </c>
      <c r="R1102" s="2994">
        <v>0.34839999999999999</v>
      </c>
      <c r="S1102" s="2994">
        <v>0.43430000000000002</v>
      </c>
      <c r="T1102" s="2994">
        <v>0.37519999999999998</v>
      </c>
      <c r="U1102" s="2994">
        <v>0.38150000000000001</v>
      </c>
      <c r="V1102" s="2994">
        <v>0.44729999999999998</v>
      </c>
      <c r="W1102" s="2994">
        <v>0.39739999999999998</v>
      </c>
      <c r="X1102" s="2994">
        <v>0.41210000000000002</v>
      </c>
      <c r="Y1102" s="2994">
        <v>0.65610000000000002</v>
      </c>
      <c r="Z1102" s="2994">
        <v>0.43559999999999999</v>
      </c>
      <c r="AA1102" s="2994">
        <v>0.57350000000000001</v>
      </c>
      <c r="AB1102" s="2994">
        <v>0.59140000000000004</v>
      </c>
      <c r="AC1102" s="2994">
        <v>0.66539999999999999</v>
      </c>
      <c r="AD1102" s="2994">
        <v>0.62280000000000002</v>
      </c>
      <c r="AE1102" s="2994">
        <v>0.66620000000000001</v>
      </c>
      <c r="AF1102" s="2994">
        <v>0.67179999999999995</v>
      </c>
      <c r="AG1102" s="2994">
        <v>0.71840000000000004</v>
      </c>
      <c r="AH1102" s="2994">
        <v>0.66910000000000003</v>
      </c>
      <c r="AI1102" s="2994">
        <v>0.65029999999999999</v>
      </c>
      <c r="AJ1102" s="2994">
        <v>0.61539999999999995</v>
      </c>
      <c r="AK1102" s="2994">
        <v>0.59670000000000001</v>
      </c>
      <c r="AL1102" s="2994">
        <v>0.66410000000000002</v>
      </c>
      <c r="AM1102" s="2994">
        <v>0.62470000000000003</v>
      </c>
      <c r="AN1102" s="2994">
        <v>0.61160000000000003</v>
      </c>
      <c r="AO1102" s="2994">
        <v>0.65229999999999999</v>
      </c>
      <c r="AP1102" s="2994">
        <v>0.77100000000000002</v>
      </c>
      <c r="AQ1102" s="2994">
        <v>0.71250000000000002</v>
      </c>
      <c r="AR1102" s="2994">
        <v>0.6109</v>
      </c>
      <c r="AS1102" s="2994">
        <v>0.5948</v>
      </c>
      <c r="AT1102" s="2994">
        <v>0.87990000000000002</v>
      </c>
      <c r="AU1102" s="2994">
        <v>0.95030000000000003</v>
      </c>
      <c r="AV1102" s="2994">
        <v>0.84770000000000001</v>
      </c>
      <c r="AW1102" s="2994">
        <v>0.91059999999999997</v>
      </c>
      <c r="AX1102" s="2994">
        <v>0.99070000000000003</v>
      </c>
      <c r="AY1102" s="2994">
        <v>1.1247</v>
      </c>
      <c r="AZ1102" s="2994">
        <v>1.1391</v>
      </c>
      <c r="BA1102" s="2994">
        <v>1.2212000000000001</v>
      </c>
      <c r="BB1102" s="2994">
        <v>1.2499</v>
      </c>
      <c r="BC1102" s="2994">
        <v>1.254</v>
      </c>
      <c r="BD1102" s="3471">
        <v>1.3193999999999999</v>
      </c>
      <c r="BE1102" s="3471">
        <v>1.3848</v>
      </c>
      <c r="BF1102" s="3471">
        <v>1.3848</v>
      </c>
    </row>
    <row r="1103" spans="1:58">
      <c r="A1103" s="1817" t="str">
        <f t="shared" si="35"/>
        <v>South-Eastern AsiaPineapples</v>
      </c>
      <c r="B1103" s="1818" t="s">
        <v>1394</v>
      </c>
      <c r="C1103" s="1818" t="s">
        <v>1325</v>
      </c>
      <c r="D1103" s="3463" t="str">
        <f>VLOOKUP(B1103,List_Yield!$G$4:$J$14,4,FALSE)</f>
        <v>Asia (Insular)</v>
      </c>
      <c r="E1103" s="3463" t="str">
        <f t="shared" si="34"/>
        <v>Asia (Insular)Pineapples</v>
      </c>
      <c r="F1103" s="2994">
        <v>6.6197999999999997</v>
      </c>
      <c r="G1103" s="2994">
        <v>7.1482000000000001</v>
      </c>
      <c r="H1103" s="2994">
        <v>7.1577999999999999</v>
      </c>
      <c r="I1103" s="2994">
        <v>7.4821</v>
      </c>
      <c r="J1103" s="2994">
        <v>7.4020000000000001</v>
      </c>
      <c r="K1103" s="2994">
        <v>7.4263000000000003</v>
      </c>
      <c r="L1103" s="2994">
        <v>8.1488999999999994</v>
      </c>
      <c r="M1103" s="2994">
        <v>8.3987999999999996</v>
      </c>
      <c r="N1103" s="2994">
        <v>8.0426000000000002</v>
      </c>
      <c r="O1103" s="2994">
        <v>8.2283000000000008</v>
      </c>
      <c r="P1103" s="2994">
        <v>7.1582999999999997</v>
      </c>
      <c r="Q1103" s="2994">
        <v>7.7119999999999997</v>
      </c>
      <c r="R1103" s="2994">
        <v>6.8304999999999998</v>
      </c>
      <c r="S1103" s="2994">
        <v>7.4316000000000004</v>
      </c>
      <c r="T1103" s="2994">
        <v>14.918699999999999</v>
      </c>
      <c r="U1103" s="2994">
        <v>18.872699999999998</v>
      </c>
      <c r="V1103" s="2994">
        <v>17.155999999999999</v>
      </c>
      <c r="W1103" s="2994">
        <v>16.791599999999999</v>
      </c>
      <c r="X1103" s="2994">
        <v>17.8657</v>
      </c>
      <c r="Y1103" s="2994">
        <v>21.032599999999999</v>
      </c>
      <c r="Z1103" s="2994">
        <v>17.341000000000001</v>
      </c>
      <c r="AA1103" s="2994">
        <v>15.071400000000001</v>
      </c>
      <c r="AB1103" s="2994">
        <v>14.216900000000001</v>
      </c>
      <c r="AC1103" s="2994">
        <v>15.2486</v>
      </c>
      <c r="AD1103" s="2994">
        <v>16.529499999999999</v>
      </c>
      <c r="AE1103" s="2994">
        <v>16.308399999999999</v>
      </c>
      <c r="AF1103" s="2994">
        <v>17.327500000000001</v>
      </c>
      <c r="AG1103" s="2994">
        <v>17.273499999999999</v>
      </c>
      <c r="AH1103" s="2994">
        <v>18.07</v>
      </c>
      <c r="AI1103" s="2994">
        <v>20.320599999999999</v>
      </c>
      <c r="AJ1103" s="2994">
        <v>20.596299999999999</v>
      </c>
      <c r="AK1103" s="2994">
        <v>23.430399999999999</v>
      </c>
      <c r="AL1103" s="2994">
        <v>25.507999999999999</v>
      </c>
      <c r="AM1103" s="2994">
        <v>23.897500000000001</v>
      </c>
      <c r="AN1103" s="2994">
        <v>22.051400000000001</v>
      </c>
      <c r="AO1103" s="2994">
        <v>23.7441</v>
      </c>
      <c r="AP1103" s="2994">
        <v>26.7804</v>
      </c>
      <c r="AQ1103" s="2994">
        <v>24.6175</v>
      </c>
      <c r="AR1103" s="2994">
        <v>24.1389</v>
      </c>
      <c r="AS1103" s="2994">
        <v>24.392299999999999</v>
      </c>
      <c r="AT1103" s="2994">
        <v>24.5733</v>
      </c>
      <c r="AU1103" s="2994">
        <v>24.5398</v>
      </c>
      <c r="AV1103" s="2994">
        <v>27.1569</v>
      </c>
      <c r="AW1103" s="2994">
        <v>26.9986</v>
      </c>
      <c r="AX1103" s="2994">
        <v>27.460599999999999</v>
      </c>
      <c r="AY1103" s="2994">
        <v>30.075199999999999</v>
      </c>
      <c r="AZ1103" s="2994">
        <v>31.745999999999999</v>
      </c>
      <c r="BA1103" s="2994">
        <v>30.8644</v>
      </c>
      <c r="BB1103" s="2994">
        <v>29.493200000000002</v>
      </c>
      <c r="BC1103" s="2994">
        <v>28.866199999999999</v>
      </c>
      <c r="BD1103" s="3471">
        <v>31.198899999999998</v>
      </c>
      <c r="BE1103" s="3471">
        <v>32.484299999999998</v>
      </c>
      <c r="BF1103" s="3471">
        <v>0</v>
      </c>
    </row>
    <row r="1104" spans="1:58">
      <c r="A1104" s="1817" t="str">
        <f t="shared" si="35"/>
        <v>South-Eastern AsiaPistachios</v>
      </c>
      <c r="B1104" s="1818" t="s">
        <v>1394</v>
      </c>
      <c r="C1104" s="1818" t="s">
        <v>7364</v>
      </c>
      <c r="D1104" s="3463" t="str">
        <f>VLOOKUP(B1104,List_Yield!$G$4:$J$14,4,FALSE)</f>
        <v>Asia (Insular)</v>
      </c>
      <c r="E1104" s="3463" t="str">
        <f t="shared" si="34"/>
        <v>Asia (Insular)Pistachios</v>
      </c>
      <c r="F1104" s="2994">
        <v>0</v>
      </c>
      <c r="G1104" s="2994">
        <v>0</v>
      </c>
      <c r="H1104" s="2994">
        <v>0</v>
      </c>
      <c r="I1104" s="2994">
        <v>0</v>
      </c>
      <c r="J1104" s="2994">
        <v>0</v>
      </c>
      <c r="K1104" s="2994">
        <v>0</v>
      </c>
      <c r="L1104" s="2994">
        <v>0</v>
      </c>
      <c r="M1104" s="2994">
        <v>0</v>
      </c>
      <c r="N1104" s="2994">
        <v>0</v>
      </c>
      <c r="O1104" s="2994">
        <v>0</v>
      </c>
      <c r="P1104" s="2994">
        <v>0</v>
      </c>
      <c r="Q1104" s="2994">
        <v>0</v>
      </c>
      <c r="R1104" s="2994">
        <v>0</v>
      </c>
      <c r="S1104" s="2994">
        <v>0</v>
      </c>
      <c r="T1104" s="2994">
        <v>0</v>
      </c>
      <c r="U1104" s="2994">
        <v>0</v>
      </c>
      <c r="V1104" s="2994">
        <v>0</v>
      </c>
      <c r="W1104" s="2994">
        <v>0</v>
      </c>
      <c r="X1104" s="2994">
        <v>0</v>
      </c>
      <c r="Y1104" s="2994">
        <v>0</v>
      </c>
      <c r="Z1104" s="2994">
        <v>0</v>
      </c>
      <c r="AA1104" s="2994">
        <v>0</v>
      </c>
      <c r="AB1104" s="2994">
        <v>0</v>
      </c>
      <c r="AC1104" s="2994">
        <v>0</v>
      </c>
      <c r="AD1104" s="2994">
        <v>0</v>
      </c>
      <c r="AE1104" s="2994">
        <v>0</v>
      </c>
      <c r="AF1104" s="2994">
        <v>0</v>
      </c>
      <c r="AG1104" s="2994">
        <v>0</v>
      </c>
      <c r="AH1104" s="2994">
        <v>0</v>
      </c>
      <c r="AI1104" s="2994">
        <v>0</v>
      </c>
      <c r="AJ1104" s="2994">
        <v>0</v>
      </c>
      <c r="AK1104" s="2994">
        <v>0</v>
      </c>
      <c r="AL1104" s="2994">
        <v>0</v>
      </c>
      <c r="AM1104" s="2994">
        <v>0</v>
      </c>
      <c r="AN1104" s="2994">
        <v>0</v>
      </c>
      <c r="AO1104" s="2994">
        <v>0</v>
      </c>
      <c r="AP1104" s="2994">
        <v>0</v>
      </c>
      <c r="AQ1104" s="2994">
        <v>0</v>
      </c>
      <c r="AR1104" s="2994">
        <v>0</v>
      </c>
      <c r="AS1104" s="2994">
        <v>0</v>
      </c>
      <c r="AT1104" s="2994">
        <v>0</v>
      </c>
      <c r="AU1104" s="2994">
        <v>0</v>
      </c>
      <c r="AV1104" s="2994">
        <v>0</v>
      </c>
      <c r="AW1104" s="2994">
        <v>0</v>
      </c>
      <c r="AX1104" s="2994">
        <v>0</v>
      </c>
      <c r="AY1104" s="2994">
        <v>0</v>
      </c>
      <c r="AZ1104" s="2994">
        <v>0</v>
      </c>
      <c r="BA1104" s="2994">
        <v>0</v>
      </c>
      <c r="BB1104" s="2994">
        <v>0</v>
      </c>
      <c r="BC1104" s="2994">
        <v>0</v>
      </c>
      <c r="BD1104" s="3471">
        <v>0</v>
      </c>
      <c r="BE1104" s="3471">
        <v>0</v>
      </c>
      <c r="BF1104" s="3471">
        <v>0</v>
      </c>
    </row>
    <row r="1105" spans="1:58">
      <c r="A1105" s="1817" t="str">
        <f t="shared" si="35"/>
        <v>South-Eastern AsiaPlantains</v>
      </c>
      <c r="B1105" s="1818" t="s">
        <v>1394</v>
      </c>
      <c r="C1105" s="1818" t="s">
        <v>1367</v>
      </c>
      <c r="D1105" s="3463" t="str">
        <f>VLOOKUP(B1105,List_Yield!$G$4:$J$14,4,FALSE)</f>
        <v>Asia (Insular)</v>
      </c>
      <c r="E1105" s="3463" t="str">
        <f t="shared" si="34"/>
        <v>Asia (Insular)Plantains</v>
      </c>
      <c r="F1105" s="2994">
        <v>3.7890000000000001</v>
      </c>
      <c r="G1105" s="2994">
        <v>3.7667999999999999</v>
      </c>
      <c r="H1105" s="2994">
        <v>3.9535999999999998</v>
      </c>
      <c r="I1105" s="2994">
        <v>4.0662000000000003</v>
      </c>
      <c r="J1105" s="2994">
        <v>4.3933</v>
      </c>
      <c r="K1105" s="2994">
        <v>4.2281000000000004</v>
      </c>
      <c r="L1105" s="2994">
        <v>4.2093999999999996</v>
      </c>
      <c r="M1105" s="2994">
        <v>4.2633000000000001</v>
      </c>
      <c r="N1105" s="2994">
        <v>4.2976999999999999</v>
      </c>
      <c r="O1105" s="2994">
        <v>4.4145000000000003</v>
      </c>
      <c r="P1105" s="2994">
        <v>4.4080000000000004</v>
      </c>
      <c r="Q1105" s="2994">
        <v>4.2354000000000003</v>
      </c>
      <c r="R1105" s="2994">
        <v>4.1600999999999999</v>
      </c>
      <c r="S1105" s="2994">
        <v>4.3775000000000004</v>
      </c>
      <c r="T1105" s="2994">
        <v>4.2990000000000004</v>
      </c>
      <c r="U1105" s="2994">
        <v>4.2644000000000002</v>
      </c>
      <c r="V1105" s="2994">
        <v>5.0092999999999996</v>
      </c>
      <c r="W1105" s="2994">
        <v>4.3403999999999998</v>
      </c>
      <c r="X1105" s="2994">
        <v>4.3243999999999998</v>
      </c>
      <c r="Y1105" s="2994">
        <v>4.4606000000000003</v>
      </c>
      <c r="Z1105" s="2994">
        <v>4.5210999999999997</v>
      </c>
      <c r="AA1105" s="2994">
        <v>4.7888000000000002</v>
      </c>
      <c r="AB1105" s="2994">
        <v>5.0888999999999998</v>
      </c>
      <c r="AC1105" s="2994">
        <v>5.0494000000000003</v>
      </c>
      <c r="AD1105" s="2994">
        <v>5.1593999999999998</v>
      </c>
      <c r="AE1105" s="2994">
        <v>5.4130000000000003</v>
      </c>
      <c r="AF1105" s="2994">
        <v>5.7826000000000004</v>
      </c>
      <c r="AG1105" s="2994">
        <v>5.8113000000000001</v>
      </c>
      <c r="AH1105" s="2994">
        <v>5.9244000000000003</v>
      </c>
      <c r="AI1105" s="2994">
        <v>5.4443000000000001</v>
      </c>
      <c r="AJ1105" s="2994">
        <v>5.6318999999999999</v>
      </c>
      <c r="AK1105" s="2994">
        <v>5.4992999999999999</v>
      </c>
      <c r="AL1105" s="2994">
        <v>5.9844999999999997</v>
      </c>
      <c r="AM1105" s="2994">
        <v>7.3592000000000004</v>
      </c>
      <c r="AN1105" s="2994">
        <v>7.4549000000000003</v>
      </c>
      <c r="AO1105" s="2994">
        <v>6.4619999999999997</v>
      </c>
      <c r="AP1105" s="2994">
        <v>7.4391999999999996</v>
      </c>
      <c r="AQ1105" s="2994">
        <v>9.2560000000000002</v>
      </c>
      <c r="AR1105" s="2994">
        <v>9.3933</v>
      </c>
      <c r="AS1105" s="2994">
        <v>8.3002000000000002</v>
      </c>
      <c r="AT1105" s="2994">
        <v>9.3609000000000009</v>
      </c>
      <c r="AU1105" s="2994">
        <v>9.6036000000000001</v>
      </c>
      <c r="AV1105" s="2994">
        <v>9.9568999999999992</v>
      </c>
      <c r="AW1105" s="2994">
        <v>10.200799999999999</v>
      </c>
      <c r="AX1105" s="2994">
        <v>9.1973000000000003</v>
      </c>
      <c r="AY1105" s="2994">
        <v>11.024100000000001</v>
      </c>
      <c r="AZ1105" s="2994">
        <v>11.9757</v>
      </c>
      <c r="BA1105" s="2994">
        <v>11.954499999999999</v>
      </c>
      <c r="BB1105" s="2994">
        <v>11.5031</v>
      </c>
      <c r="BC1105" s="2994">
        <v>12.307600000000001</v>
      </c>
      <c r="BD1105" s="3471">
        <v>12.9117</v>
      </c>
      <c r="BE1105" s="3471">
        <v>13.422800000000001</v>
      </c>
      <c r="BF1105" s="3471">
        <v>0</v>
      </c>
    </row>
    <row r="1106" spans="1:58">
      <c r="A1106" s="1817" t="str">
        <f t="shared" si="35"/>
        <v>South-Eastern AsiaPlums and sloes</v>
      </c>
      <c r="B1106" s="1818" t="s">
        <v>1394</v>
      </c>
      <c r="C1106" s="1818" t="s">
        <v>7365</v>
      </c>
      <c r="D1106" s="3463" t="str">
        <f>VLOOKUP(B1106,List_Yield!$G$4:$J$14,4,FALSE)</f>
        <v>Asia (Insular)</v>
      </c>
      <c r="E1106" s="3463" t="str">
        <f t="shared" si="34"/>
        <v>Asia (Insular)Plums and sloes</v>
      </c>
      <c r="F1106" s="2994">
        <v>0</v>
      </c>
      <c r="G1106" s="2994">
        <v>0</v>
      </c>
      <c r="H1106" s="2994">
        <v>0</v>
      </c>
      <c r="I1106" s="2994">
        <v>0</v>
      </c>
      <c r="J1106" s="2994">
        <v>0</v>
      </c>
      <c r="K1106" s="2994">
        <v>0</v>
      </c>
      <c r="L1106" s="2994">
        <v>0</v>
      </c>
      <c r="M1106" s="2994">
        <v>0</v>
      </c>
      <c r="N1106" s="2994">
        <v>0</v>
      </c>
      <c r="O1106" s="2994">
        <v>0</v>
      </c>
      <c r="P1106" s="2994">
        <v>0</v>
      </c>
      <c r="Q1106" s="2994">
        <v>0</v>
      </c>
      <c r="R1106" s="2994">
        <v>0</v>
      </c>
      <c r="S1106" s="2994">
        <v>0</v>
      </c>
      <c r="T1106" s="2994">
        <v>0</v>
      </c>
      <c r="U1106" s="2994">
        <v>0</v>
      </c>
      <c r="V1106" s="2994">
        <v>0</v>
      </c>
      <c r="W1106" s="2994">
        <v>0</v>
      </c>
      <c r="X1106" s="2994">
        <v>0</v>
      </c>
      <c r="Y1106" s="2994">
        <v>0</v>
      </c>
      <c r="Z1106" s="2994">
        <v>0</v>
      </c>
      <c r="AA1106" s="2994">
        <v>0</v>
      </c>
      <c r="AB1106" s="2994">
        <v>0</v>
      </c>
      <c r="AC1106" s="2994">
        <v>0</v>
      </c>
      <c r="AD1106" s="2994">
        <v>0</v>
      </c>
      <c r="AE1106" s="2994">
        <v>0</v>
      </c>
      <c r="AF1106" s="2994">
        <v>0</v>
      </c>
      <c r="AG1106" s="2994">
        <v>0</v>
      </c>
      <c r="AH1106" s="2994">
        <v>0</v>
      </c>
      <c r="AI1106" s="2994">
        <v>0</v>
      </c>
      <c r="AJ1106" s="2994">
        <v>0</v>
      </c>
      <c r="AK1106" s="2994">
        <v>0</v>
      </c>
      <c r="AL1106" s="2994">
        <v>0</v>
      </c>
      <c r="AM1106" s="2994">
        <v>0</v>
      </c>
      <c r="AN1106" s="2994">
        <v>0</v>
      </c>
      <c r="AO1106" s="2994">
        <v>0</v>
      </c>
      <c r="AP1106" s="2994">
        <v>0</v>
      </c>
      <c r="AQ1106" s="2994">
        <v>0</v>
      </c>
      <c r="AR1106" s="2994">
        <v>0</v>
      </c>
      <c r="AS1106" s="2994">
        <v>0</v>
      </c>
      <c r="AT1106" s="2994">
        <v>0</v>
      </c>
      <c r="AU1106" s="2994">
        <v>0</v>
      </c>
      <c r="AV1106" s="2994">
        <v>0</v>
      </c>
      <c r="AW1106" s="2994">
        <v>0</v>
      </c>
      <c r="AX1106" s="2994">
        <v>0</v>
      </c>
      <c r="AY1106" s="2994">
        <v>0</v>
      </c>
      <c r="AZ1106" s="2994">
        <v>0</v>
      </c>
      <c r="BA1106" s="2994">
        <v>0</v>
      </c>
      <c r="BB1106" s="2994">
        <v>0</v>
      </c>
      <c r="BC1106" s="2994">
        <v>0</v>
      </c>
      <c r="BD1106" s="3471">
        <v>0</v>
      </c>
      <c r="BE1106" s="3471">
        <v>0</v>
      </c>
      <c r="BF1106" s="3471">
        <v>0</v>
      </c>
    </row>
    <row r="1107" spans="1:58">
      <c r="A1107" s="1817" t="str">
        <f t="shared" si="35"/>
        <v>South-Eastern AsiaPopcorn</v>
      </c>
      <c r="B1107" s="1818" t="s">
        <v>1394</v>
      </c>
      <c r="C1107" s="1818" t="s">
        <v>7366</v>
      </c>
      <c r="D1107" s="3463" t="str">
        <f>VLOOKUP(B1107,List_Yield!$G$4:$J$14,4,FALSE)</f>
        <v>Asia (Insular)</v>
      </c>
      <c r="E1107" s="3463" t="str">
        <f t="shared" si="34"/>
        <v>Asia (Insular)Popcorn</v>
      </c>
      <c r="F1107" s="2994">
        <v>0</v>
      </c>
      <c r="G1107" s="2994">
        <v>0</v>
      </c>
      <c r="H1107" s="2994">
        <v>0</v>
      </c>
      <c r="I1107" s="2994">
        <v>0</v>
      </c>
      <c r="J1107" s="2994">
        <v>0</v>
      </c>
      <c r="K1107" s="2994">
        <v>0</v>
      </c>
      <c r="L1107" s="2994">
        <v>0</v>
      </c>
      <c r="M1107" s="2994">
        <v>0</v>
      </c>
      <c r="N1107" s="2994">
        <v>0</v>
      </c>
      <c r="O1107" s="2994">
        <v>0</v>
      </c>
      <c r="P1107" s="2994">
        <v>0</v>
      </c>
      <c r="Q1107" s="2994">
        <v>0</v>
      </c>
      <c r="R1107" s="2994">
        <v>0</v>
      </c>
      <c r="S1107" s="2994">
        <v>0</v>
      </c>
      <c r="T1107" s="2994">
        <v>0</v>
      </c>
      <c r="U1107" s="2994">
        <v>0</v>
      </c>
      <c r="V1107" s="2994">
        <v>0</v>
      </c>
      <c r="W1107" s="2994">
        <v>0</v>
      </c>
      <c r="X1107" s="2994">
        <v>0</v>
      </c>
      <c r="Y1107" s="2994">
        <v>0</v>
      </c>
      <c r="Z1107" s="2994">
        <v>0</v>
      </c>
      <c r="AA1107" s="2994">
        <v>0</v>
      </c>
      <c r="AB1107" s="2994">
        <v>0</v>
      </c>
      <c r="AC1107" s="2994">
        <v>0</v>
      </c>
      <c r="AD1107" s="2994">
        <v>0</v>
      </c>
      <c r="AE1107" s="2994">
        <v>0</v>
      </c>
      <c r="AF1107" s="2994">
        <v>0</v>
      </c>
      <c r="AG1107" s="2994">
        <v>0</v>
      </c>
      <c r="AH1107" s="2994">
        <v>0</v>
      </c>
      <c r="AI1107" s="2994">
        <v>0</v>
      </c>
      <c r="AJ1107" s="2994">
        <v>0</v>
      </c>
      <c r="AK1107" s="2994">
        <v>0</v>
      </c>
      <c r="AL1107" s="2994">
        <v>0</v>
      </c>
      <c r="AM1107" s="2994">
        <v>0</v>
      </c>
      <c r="AN1107" s="2994">
        <v>0</v>
      </c>
      <c r="AO1107" s="2994">
        <v>0</v>
      </c>
      <c r="AP1107" s="2994">
        <v>0</v>
      </c>
      <c r="AQ1107" s="2994">
        <v>0</v>
      </c>
      <c r="AR1107" s="2994">
        <v>0</v>
      </c>
      <c r="AS1107" s="2994">
        <v>0</v>
      </c>
      <c r="AT1107" s="2994">
        <v>0</v>
      </c>
      <c r="AU1107" s="2994">
        <v>0</v>
      </c>
      <c r="AV1107" s="2994">
        <v>0</v>
      </c>
      <c r="AW1107" s="2994">
        <v>0</v>
      </c>
      <c r="AX1107" s="2994">
        <v>0</v>
      </c>
      <c r="AY1107" s="2994">
        <v>0</v>
      </c>
      <c r="AZ1107" s="2994">
        <v>0</v>
      </c>
      <c r="BA1107" s="2994">
        <v>0</v>
      </c>
      <c r="BB1107" s="2994">
        <v>0</v>
      </c>
      <c r="BC1107" s="2994">
        <v>0</v>
      </c>
      <c r="BD1107" s="3471">
        <v>0</v>
      </c>
      <c r="BE1107" s="3471">
        <v>0</v>
      </c>
      <c r="BF1107" s="3471">
        <v>0</v>
      </c>
    </row>
    <row r="1108" spans="1:58">
      <c r="A1108" s="1817" t="str">
        <f t="shared" si="35"/>
        <v>South-Eastern AsiaPoppy seed</v>
      </c>
      <c r="B1108" s="1818" t="s">
        <v>1394</v>
      </c>
      <c r="C1108" s="1818" t="s">
        <v>7367</v>
      </c>
      <c r="D1108" s="3463" t="str">
        <f>VLOOKUP(B1108,List_Yield!$G$4:$J$14,4,FALSE)</f>
        <v>Asia (Insular)</v>
      </c>
      <c r="E1108" s="3463" t="str">
        <f t="shared" si="34"/>
        <v>Asia (Insular)Poppy seed</v>
      </c>
      <c r="F1108" s="2994">
        <v>0</v>
      </c>
      <c r="G1108" s="2994">
        <v>0</v>
      </c>
      <c r="H1108" s="2994">
        <v>0</v>
      </c>
      <c r="I1108" s="2994">
        <v>0</v>
      </c>
      <c r="J1108" s="2994">
        <v>0</v>
      </c>
      <c r="K1108" s="2994">
        <v>0</v>
      </c>
      <c r="L1108" s="2994">
        <v>0</v>
      </c>
      <c r="M1108" s="2994">
        <v>0</v>
      </c>
      <c r="N1108" s="2994">
        <v>0</v>
      </c>
      <c r="O1108" s="2994">
        <v>0</v>
      </c>
      <c r="P1108" s="2994">
        <v>0</v>
      </c>
      <c r="Q1108" s="2994">
        <v>0</v>
      </c>
      <c r="R1108" s="2994">
        <v>0</v>
      </c>
      <c r="S1108" s="2994">
        <v>0</v>
      </c>
      <c r="T1108" s="2994">
        <v>0</v>
      </c>
      <c r="U1108" s="2994">
        <v>0</v>
      </c>
      <c r="V1108" s="2994">
        <v>0</v>
      </c>
      <c r="W1108" s="2994">
        <v>0</v>
      </c>
      <c r="X1108" s="2994">
        <v>0</v>
      </c>
      <c r="Y1108" s="2994">
        <v>0</v>
      </c>
      <c r="Z1108" s="2994">
        <v>0</v>
      </c>
      <c r="AA1108" s="2994">
        <v>0</v>
      </c>
      <c r="AB1108" s="2994">
        <v>0</v>
      </c>
      <c r="AC1108" s="2994">
        <v>0</v>
      </c>
      <c r="AD1108" s="2994">
        <v>0</v>
      </c>
      <c r="AE1108" s="2994">
        <v>0</v>
      </c>
      <c r="AF1108" s="2994">
        <v>0</v>
      </c>
      <c r="AG1108" s="2994">
        <v>0</v>
      </c>
      <c r="AH1108" s="2994">
        <v>0</v>
      </c>
      <c r="AI1108" s="2994">
        <v>0</v>
      </c>
      <c r="AJ1108" s="2994">
        <v>0</v>
      </c>
      <c r="AK1108" s="2994">
        <v>0</v>
      </c>
      <c r="AL1108" s="2994">
        <v>0</v>
      </c>
      <c r="AM1108" s="2994">
        <v>0</v>
      </c>
      <c r="AN1108" s="2994">
        <v>0</v>
      </c>
      <c r="AO1108" s="2994">
        <v>0</v>
      </c>
      <c r="AP1108" s="2994">
        <v>0</v>
      </c>
      <c r="AQ1108" s="2994">
        <v>0</v>
      </c>
      <c r="AR1108" s="2994">
        <v>0</v>
      </c>
      <c r="AS1108" s="2994">
        <v>0</v>
      </c>
      <c r="AT1108" s="2994">
        <v>0</v>
      </c>
      <c r="AU1108" s="2994">
        <v>0</v>
      </c>
      <c r="AV1108" s="2994">
        <v>0</v>
      </c>
      <c r="AW1108" s="2994">
        <v>0</v>
      </c>
      <c r="AX1108" s="2994">
        <v>0</v>
      </c>
      <c r="AY1108" s="2994">
        <v>0</v>
      </c>
      <c r="AZ1108" s="2994">
        <v>0</v>
      </c>
      <c r="BA1108" s="2994">
        <v>0</v>
      </c>
      <c r="BB1108" s="2994">
        <v>0</v>
      </c>
      <c r="BC1108" s="2994">
        <v>0</v>
      </c>
      <c r="BD1108" s="3471">
        <v>0</v>
      </c>
      <c r="BE1108" s="3471">
        <v>0</v>
      </c>
      <c r="BF1108" s="3471">
        <v>0</v>
      </c>
    </row>
    <row r="1109" spans="1:58">
      <c r="A1109" s="1817" t="str">
        <f t="shared" si="35"/>
        <v>South-Eastern AsiaPotatoes</v>
      </c>
      <c r="B1109" s="1818" t="s">
        <v>1394</v>
      </c>
      <c r="C1109" s="1818" t="s">
        <v>1368</v>
      </c>
      <c r="D1109" s="3463" t="str">
        <f>VLOOKUP(B1109,List_Yield!$G$4:$J$14,4,FALSE)</f>
        <v>Asia (Insular)</v>
      </c>
      <c r="E1109" s="3463" t="str">
        <f t="shared" si="34"/>
        <v>Asia (Insular)Potatoes</v>
      </c>
      <c r="F1109" s="2994">
        <v>4.8638000000000003</v>
      </c>
      <c r="G1109" s="2994">
        <v>4.7013999999999996</v>
      </c>
      <c r="H1109" s="2994">
        <v>5.3061999999999996</v>
      </c>
      <c r="I1109" s="2994">
        <v>5.5015999999999998</v>
      </c>
      <c r="J1109" s="2994">
        <v>5.6092000000000004</v>
      </c>
      <c r="K1109" s="2994">
        <v>5.4576000000000002</v>
      </c>
      <c r="L1109" s="2994">
        <v>6.1710000000000003</v>
      </c>
      <c r="M1109" s="2994">
        <v>6.5994000000000002</v>
      </c>
      <c r="N1109" s="2994">
        <v>6.7173999999999996</v>
      </c>
      <c r="O1109" s="2994">
        <v>7.4626999999999999</v>
      </c>
      <c r="P1109" s="2994">
        <v>8.0281000000000002</v>
      </c>
      <c r="Q1109" s="2994">
        <v>8.7708999999999993</v>
      </c>
      <c r="R1109" s="2994">
        <v>8.6770999999999994</v>
      </c>
      <c r="S1109" s="2994">
        <v>8.0070999999999994</v>
      </c>
      <c r="T1109" s="2994">
        <v>7.9687999999999999</v>
      </c>
      <c r="U1109" s="2994">
        <v>7.9751000000000003</v>
      </c>
      <c r="V1109" s="2994">
        <v>8.9570000000000007</v>
      </c>
      <c r="W1109" s="2994">
        <v>8.6470000000000002</v>
      </c>
      <c r="X1109" s="2994">
        <v>6.9172000000000002</v>
      </c>
      <c r="Y1109" s="2994">
        <v>9.3111999999999995</v>
      </c>
      <c r="Z1109" s="2994">
        <v>8.0787999999999993</v>
      </c>
      <c r="AA1109" s="2994">
        <v>8.8118999999999996</v>
      </c>
      <c r="AB1109" s="2994">
        <v>8.4888999999999992</v>
      </c>
      <c r="AC1109" s="2994">
        <v>10.1005</v>
      </c>
      <c r="AD1109" s="2994">
        <v>10.158899999999999</v>
      </c>
      <c r="AE1109" s="2994">
        <v>10.593299999999999</v>
      </c>
      <c r="AF1109" s="2994">
        <v>11.595000000000001</v>
      </c>
      <c r="AG1109" s="2994">
        <v>9.6620000000000008</v>
      </c>
      <c r="AH1109" s="2994">
        <v>11.450200000000001</v>
      </c>
      <c r="AI1109" s="2994">
        <v>11.6104</v>
      </c>
      <c r="AJ1109" s="2994">
        <v>11.257999999999999</v>
      </c>
      <c r="AK1109" s="2994">
        <v>12.4396</v>
      </c>
      <c r="AL1109" s="2994">
        <v>12.8062</v>
      </c>
      <c r="AM1109" s="2994">
        <v>12.7967</v>
      </c>
      <c r="AN1109" s="2994">
        <v>13.5372</v>
      </c>
      <c r="AO1109" s="2994">
        <v>13.204000000000001</v>
      </c>
      <c r="AP1109" s="2994">
        <v>12.690799999999999</v>
      </c>
      <c r="AQ1109" s="2994">
        <v>12.3522</v>
      </c>
      <c r="AR1109" s="2994">
        <v>12.8431</v>
      </c>
      <c r="AS1109" s="2994">
        <v>11.991400000000001</v>
      </c>
      <c r="AT1109" s="2994">
        <v>12.552</v>
      </c>
      <c r="AU1109" s="2994">
        <v>13.212400000000001</v>
      </c>
      <c r="AV1109" s="2994">
        <v>12.9574</v>
      </c>
      <c r="AW1109" s="2994">
        <v>13.6381</v>
      </c>
      <c r="AX1109" s="2994">
        <v>13.9415</v>
      </c>
      <c r="AY1109" s="2994">
        <v>14.327999999999999</v>
      </c>
      <c r="AZ1109" s="2994">
        <v>14.281000000000001</v>
      </c>
      <c r="BA1109" s="2994">
        <v>14.5846</v>
      </c>
      <c r="BB1109" s="2994">
        <v>14.668799999999999</v>
      </c>
      <c r="BC1109" s="2994">
        <v>14.3531</v>
      </c>
      <c r="BD1109" s="3471">
        <v>14.6144</v>
      </c>
      <c r="BE1109" s="3471">
        <v>14.699199999999999</v>
      </c>
      <c r="BF1109" s="3471">
        <v>15.285399999999999</v>
      </c>
    </row>
    <row r="1110" spans="1:58">
      <c r="A1110" s="1817" t="str">
        <f t="shared" si="35"/>
        <v>South-Eastern AsiaPulses, nes</v>
      </c>
      <c r="B1110" s="1818" t="s">
        <v>1394</v>
      </c>
      <c r="C1110" s="1818" t="s">
        <v>1369</v>
      </c>
      <c r="D1110" s="3463" t="str">
        <f>VLOOKUP(B1110,List_Yield!$G$4:$J$14,4,FALSE)</f>
        <v>Asia (Insular)</v>
      </c>
      <c r="E1110" s="3463" t="str">
        <f t="shared" si="34"/>
        <v>Asia (Insular)Pulses, nes</v>
      </c>
      <c r="F1110" s="2994">
        <v>0.57140000000000002</v>
      </c>
      <c r="G1110" s="2994">
        <v>0.58860000000000001</v>
      </c>
      <c r="H1110" s="2994">
        <v>0.5978</v>
      </c>
      <c r="I1110" s="2994">
        <v>0.60299999999999998</v>
      </c>
      <c r="J1110" s="2994">
        <v>0.60140000000000005</v>
      </c>
      <c r="K1110" s="2994">
        <v>0.60729999999999995</v>
      </c>
      <c r="L1110" s="2994">
        <v>0.61650000000000005</v>
      </c>
      <c r="M1110" s="2994">
        <v>0.59640000000000004</v>
      </c>
      <c r="N1110" s="2994">
        <v>0.59550000000000003</v>
      </c>
      <c r="O1110" s="2994">
        <v>0.6099</v>
      </c>
      <c r="P1110" s="2994">
        <v>0.61040000000000005</v>
      </c>
      <c r="Q1110" s="2994">
        <v>0.61260000000000003</v>
      </c>
      <c r="R1110" s="2994">
        <v>0.59399999999999997</v>
      </c>
      <c r="S1110" s="2994">
        <v>0.59740000000000004</v>
      </c>
      <c r="T1110" s="2994">
        <v>0.58489999999999998</v>
      </c>
      <c r="U1110" s="2994">
        <v>0.58640000000000003</v>
      </c>
      <c r="V1110" s="2994">
        <v>0.58560000000000001</v>
      </c>
      <c r="W1110" s="2994">
        <v>0.57720000000000005</v>
      </c>
      <c r="X1110" s="2994">
        <v>0.56569999999999998</v>
      </c>
      <c r="Y1110" s="2994">
        <v>0.69889999999999997</v>
      </c>
      <c r="Z1110" s="2994">
        <v>0.72199999999999998</v>
      </c>
      <c r="AA1110" s="2994">
        <v>0.74209999999999998</v>
      </c>
      <c r="AB1110" s="2994">
        <v>0.72840000000000005</v>
      </c>
      <c r="AC1110" s="2994">
        <v>0.73180000000000001</v>
      </c>
      <c r="AD1110" s="2994">
        <v>0.86629999999999996</v>
      </c>
      <c r="AE1110" s="2994">
        <v>0.80420000000000003</v>
      </c>
      <c r="AF1110" s="2994">
        <v>0.76300000000000001</v>
      </c>
      <c r="AG1110" s="2994">
        <v>0.77029999999999998</v>
      </c>
      <c r="AH1110" s="2994">
        <v>0.81369999999999998</v>
      </c>
      <c r="AI1110" s="2994">
        <v>0.82320000000000004</v>
      </c>
      <c r="AJ1110" s="2994">
        <v>0.81930000000000003</v>
      </c>
      <c r="AK1110" s="2994">
        <v>0.82830000000000004</v>
      </c>
      <c r="AL1110" s="2994">
        <v>0.79869999999999997</v>
      </c>
      <c r="AM1110" s="2994">
        <v>0.75190000000000001</v>
      </c>
      <c r="AN1110" s="2994">
        <v>0.78800000000000003</v>
      </c>
      <c r="AO1110" s="2994">
        <v>0.82230000000000003</v>
      </c>
      <c r="AP1110" s="2994">
        <v>0.76800000000000002</v>
      </c>
      <c r="AQ1110" s="2994">
        <v>0.81940000000000002</v>
      </c>
      <c r="AR1110" s="2994">
        <v>0.88700000000000001</v>
      </c>
      <c r="AS1110" s="2994">
        <v>0.8276</v>
      </c>
      <c r="AT1110" s="2994">
        <v>0.81820000000000004</v>
      </c>
      <c r="AU1110" s="2994">
        <v>0.78879999999999995</v>
      </c>
      <c r="AV1110" s="2994">
        <v>0.82920000000000005</v>
      </c>
      <c r="AW1110" s="2994">
        <v>0.83309999999999995</v>
      </c>
      <c r="AX1110" s="2994">
        <v>0.83189999999999997</v>
      </c>
      <c r="AY1110" s="2994">
        <v>0.84989999999999999</v>
      </c>
      <c r="AZ1110" s="2994">
        <v>0.84389999999999998</v>
      </c>
      <c r="BA1110" s="2994">
        <v>0.90090000000000003</v>
      </c>
      <c r="BB1110" s="2994">
        <v>0.91859999999999997</v>
      </c>
      <c r="BC1110" s="2994">
        <v>0.93869999999999998</v>
      </c>
      <c r="BD1110" s="3471">
        <v>0.9667</v>
      </c>
      <c r="BE1110" s="3471">
        <v>0.97960000000000003</v>
      </c>
      <c r="BF1110" s="3471">
        <v>0.98599999999999999</v>
      </c>
    </row>
    <row r="1111" spans="1:58">
      <c r="A1111" s="1817" t="str">
        <f t="shared" si="35"/>
        <v>South-Eastern AsiaPumpkins, squash and gourds</v>
      </c>
      <c r="B1111" s="1818" t="s">
        <v>1394</v>
      </c>
      <c r="C1111" s="1818" t="s">
        <v>7368</v>
      </c>
      <c r="D1111" s="3463" t="str">
        <f>VLOOKUP(B1111,List_Yield!$G$4:$J$14,4,FALSE)</f>
        <v>Asia (Insular)</v>
      </c>
      <c r="E1111" s="3463" t="str">
        <f t="shared" si="34"/>
        <v>Asia (Insular)Pumpkins, squash and gourds</v>
      </c>
      <c r="F1111" s="2994">
        <v>9.3694000000000006</v>
      </c>
      <c r="G1111" s="2994">
        <v>9.5385000000000009</v>
      </c>
      <c r="H1111" s="2994">
        <v>9.6609999999999996</v>
      </c>
      <c r="I1111" s="2994">
        <v>9.6365999999999996</v>
      </c>
      <c r="J1111" s="2994">
        <v>9.7121999999999993</v>
      </c>
      <c r="K1111" s="2994">
        <v>9.9179999999999993</v>
      </c>
      <c r="L1111" s="2994">
        <v>10.055300000000001</v>
      </c>
      <c r="M1111" s="2994">
        <v>10.224</v>
      </c>
      <c r="N1111" s="2994">
        <v>10.3438</v>
      </c>
      <c r="O1111" s="2994">
        <v>10.5001</v>
      </c>
      <c r="P1111" s="2994">
        <v>10.670999999999999</v>
      </c>
      <c r="Q1111" s="2994">
        <v>10.8294</v>
      </c>
      <c r="R1111" s="2994">
        <v>10.991</v>
      </c>
      <c r="S1111" s="2994">
        <v>11.1638</v>
      </c>
      <c r="T1111" s="2994">
        <v>11.3169</v>
      </c>
      <c r="U1111" s="2994">
        <v>11.506399999999999</v>
      </c>
      <c r="V1111" s="2994">
        <v>11.6203</v>
      </c>
      <c r="W1111" s="2994">
        <v>11.9633</v>
      </c>
      <c r="X1111" s="2994">
        <v>12.8476</v>
      </c>
      <c r="Y1111" s="2994">
        <v>13.32</v>
      </c>
      <c r="Z1111" s="2994">
        <v>12.7369</v>
      </c>
      <c r="AA1111" s="2994">
        <v>8.6868999999999996</v>
      </c>
      <c r="AB1111" s="2994">
        <v>11.5275</v>
      </c>
      <c r="AC1111" s="2994">
        <v>10.5786</v>
      </c>
      <c r="AD1111" s="2994">
        <v>9.6754999999999995</v>
      </c>
      <c r="AE1111" s="2994">
        <v>9.3530999999999995</v>
      </c>
      <c r="AF1111" s="2994">
        <v>10.5848</v>
      </c>
      <c r="AG1111" s="2994">
        <v>9.0449000000000002</v>
      </c>
      <c r="AH1111" s="2994">
        <v>6.5130999999999997</v>
      </c>
      <c r="AI1111" s="2994">
        <v>11.967000000000001</v>
      </c>
      <c r="AJ1111" s="2994">
        <v>11.950699999999999</v>
      </c>
      <c r="AK1111" s="2994">
        <v>11.396599999999999</v>
      </c>
      <c r="AL1111" s="2994">
        <v>11.472899999999999</v>
      </c>
      <c r="AM1111" s="2994">
        <v>10.5114</v>
      </c>
      <c r="AN1111" s="2994">
        <v>12.1912</v>
      </c>
      <c r="AO1111" s="2994">
        <v>12.148300000000001</v>
      </c>
      <c r="AP1111" s="2994">
        <v>11.657999999999999</v>
      </c>
      <c r="AQ1111" s="2994">
        <v>14.383800000000001</v>
      </c>
      <c r="AR1111" s="2994">
        <v>13.808999999999999</v>
      </c>
      <c r="AS1111" s="2994">
        <v>15.6501</v>
      </c>
      <c r="AT1111" s="2994">
        <v>14.747400000000001</v>
      </c>
      <c r="AU1111" s="2994">
        <v>16.041599999999999</v>
      </c>
      <c r="AV1111" s="2994">
        <v>13.2865</v>
      </c>
      <c r="AW1111" s="2994">
        <v>14.833399999999999</v>
      </c>
      <c r="AX1111" s="2994">
        <v>15.9367</v>
      </c>
      <c r="AY1111" s="2994">
        <v>15.9148</v>
      </c>
      <c r="AZ1111" s="2994">
        <v>17.2517</v>
      </c>
      <c r="BA1111" s="2994">
        <v>18.5642</v>
      </c>
      <c r="BB1111" s="2994">
        <v>17.042300000000001</v>
      </c>
      <c r="BC1111" s="2994">
        <v>17.930299999999999</v>
      </c>
      <c r="BD1111" s="3471">
        <v>19.189399999999999</v>
      </c>
      <c r="BE1111" s="3471">
        <v>19.770700000000001</v>
      </c>
      <c r="BF1111" s="3471">
        <v>0</v>
      </c>
    </row>
    <row r="1112" spans="1:58">
      <c r="A1112" s="1817" t="str">
        <f t="shared" si="35"/>
        <v>South-Eastern AsiaPyrethrum, dried</v>
      </c>
      <c r="B1112" s="1818" t="s">
        <v>1394</v>
      </c>
      <c r="C1112" s="1818" t="s">
        <v>7369</v>
      </c>
      <c r="D1112" s="3463" t="str">
        <f>VLOOKUP(B1112,List_Yield!$G$4:$J$14,4,FALSE)</f>
        <v>Asia (Insular)</v>
      </c>
      <c r="E1112" s="3463" t="str">
        <f t="shared" si="34"/>
        <v>Asia (Insular)Pyrethrum, dried</v>
      </c>
      <c r="F1112" s="2994">
        <v>0</v>
      </c>
      <c r="G1112" s="2994">
        <v>0</v>
      </c>
      <c r="H1112" s="2994">
        <v>0</v>
      </c>
      <c r="I1112" s="2994">
        <v>0</v>
      </c>
      <c r="J1112" s="2994">
        <v>0</v>
      </c>
      <c r="K1112" s="2994">
        <v>0</v>
      </c>
      <c r="L1112" s="2994">
        <v>0</v>
      </c>
      <c r="M1112" s="2994">
        <v>0</v>
      </c>
      <c r="N1112" s="2994">
        <v>0</v>
      </c>
      <c r="O1112" s="2994">
        <v>0</v>
      </c>
      <c r="P1112" s="2994">
        <v>0</v>
      </c>
      <c r="Q1112" s="2994">
        <v>0</v>
      </c>
      <c r="R1112" s="2994">
        <v>0</v>
      </c>
      <c r="S1112" s="2994">
        <v>0</v>
      </c>
      <c r="T1112" s="2994">
        <v>0</v>
      </c>
      <c r="U1112" s="2994">
        <v>0</v>
      </c>
      <c r="V1112" s="2994">
        <v>0</v>
      </c>
      <c r="W1112" s="2994">
        <v>0</v>
      </c>
      <c r="X1112" s="2994">
        <v>0</v>
      </c>
      <c r="Y1112" s="2994">
        <v>0</v>
      </c>
      <c r="Z1112" s="2994">
        <v>0</v>
      </c>
      <c r="AA1112" s="2994">
        <v>0</v>
      </c>
      <c r="AB1112" s="2994">
        <v>0</v>
      </c>
      <c r="AC1112" s="2994">
        <v>0</v>
      </c>
      <c r="AD1112" s="2994">
        <v>0</v>
      </c>
      <c r="AE1112" s="2994">
        <v>0</v>
      </c>
      <c r="AF1112" s="2994">
        <v>0</v>
      </c>
      <c r="AG1112" s="2994">
        <v>0</v>
      </c>
      <c r="AH1112" s="2994">
        <v>0</v>
      </c>
      <c r="AI1112" s="2994">
        <v>0</v>
      </c>
      <c r="AJ1112" s="2994">
        <v>0</v>
      </c>
      <c r="AK1112" s="2994">
        <v>0</v>
      </c>
      <c r="AL1112" s="2994">
        <v>0</v>
      </c>
      <c r="AM1112" s="2994">
        <v>0</v>
      </c>
      <c r="AN1112" s="2994">
        <v>0</v>
      </c>
      <c r="AO1112" s="2994">
        <v>0</v>
      </c>
      <c r="AP1112" s="2994">
        <v>0</v>
      </c>
      <c r="AQ1112" s="2994">
        <v>0</v>
      </c>
      <c r="AR1112" s="2994">
        <v>0</v>
      </c>
      <c r="AS1112" s="2994">
        <v>0</v>
      </c>
      <c r="AT1112" s="2994">
        <v>0</v>
      </c>
      <c r="AU1112" s="2994">
        <v>0</v>
      </c>
      <c r="AV1112" s="2994">
        <v>0</v>
      </c>
      <c r="AW1112" s="2994">
        <v>0</v>
      </c>
      <c r="AX1112" s="2994">
        <v>0</v>
      </c>
      <c r="AY1112" s="2994">
        <v>0</v>
      </c>
      <c r="AZ1112" s="2994">
        <v>0</v>
      </c>
      <c r="BA1112" s="2994">
        <v>0</v>
      </c>
      <c r="BB1112" s="2994">
        <v>0</v>
      </c>
      <c r="BC1112" s="2994">
        <v>0</v>
      </c>
      <c r="BD1112" s="3471">
        <v>0</v>
      </c>
      <c r="BE1112" s="3471">
        <v>0</v>
      </c>
      <c r="BF1112" s="3471">
        <v>0</v>
      </c>
    </row>
    <row r="1113" spans="1:58">
      <c r="A1113" s="1817" t="str">
        <f t="shared" si="35"/>
        <v>South-Eastern AsiaQuinces</v>
      </c>
      <c r="B1113" s="1818" t="s">
        <v>1394</v>
      </c>
      <c r="C1113" s="1818" t="s">
        <v>7370</v>
      </c>
      <c r="D1113" s="3463" t="str">
        <f>VLOOKUP(B1113,List_Yield!$G$4:$J$14,4,FALSE)</f>
        <v>Asia (Insular)</v>
      </c>
      <c r="E1113" s="3463" t="str">
        <f t="shared" si="34"/>
        <v>Asia (Insular)Quinces</v>
      </c>
      <c r="F1113" s="2994">
        <v>0</v>
      </c>
      <c r="G1113" s="2994">
        <v>0</v>
      </c>
      <c r="H1113" s="2994">
        <v>0</v>
      </c>
      <c r="I1113" s="2994">
        <v>0</v>
      </c>
      <c r="J1113" s="2994">
        <v>0</v>
      </c>
      <c r="K1113" s="2994">
        <v>0</v>
      </c>
      <c r="L1113" s="2994">
        <v>0</v>
      </c>
      <c r="M1113" s="2994">
        <v>0</v>
      </c>
      <c r="N1113" s="2994">
        <v>0</v>
      </c>
      <c r="O1113" s="2994">
        <v>0</v>
      </c>
      <c r="P1113" s="2994">
        <v>0</v>
      </c>
      <c r="Q1113" s="2994">
        <v>0</v>
      </c>
      <c r="R1113" s="2994">
        <v>0</v>
      </c>
      <c r="S1113" s="2994">
        <v>0</v>
      </c>
      <c r="T1113" s="2994">
        <v>0</v>
      </c>
      <c r="U1113" s="2994">
        <v>0</v>
      </c>
      <c r="V1113" s="2994">
        <v>0</v>
      </c>
      <c r="W1113" s="2994">
        <v>0</v>
      </c>
      <c r="X1113" s="2994">
        <v>0</v>
      </c>
      <c r="Y1113" s="2994">
        <v>0</v>
      </c>
      <c r="Z1113" s="2994">
        <v>0</v>
      </c>
      <c r="AA1113" s="2994">
        <v>0</v>
      </c>
      <c r="AB1113" s="2994">
        <v>0</v>
      </c>
      <c r="AC1113" s="2994">
        <v>0</v>
      </c>
      <c r="AD1113" s="2994">
        <v>0</v>
      </c>
      <c r="AE1113" s="2994">
        <v>0</v>
      </c>
      <c r="AF1113" s="2994">
        <v>0</v>
      </c>
      <c r="AG1113" s="2994">
        <v>0</v>
      </c>
      <c r="AH1113" s="2994">
        <v>0</v>
      </c>
      <c r="AI1113" s="2994">
        <v>0</v>
      </c>
      <c r="AJ1113" s="2994">
        <v>0</v>
      </c>
      <c r="AK1113" s="2994">
        <v>0</v>
      </c>
      <c r="AL1113" s="2994">
        <v>0</v>
      </c>
      <c r="AM1113" s="2994">
        <v>0</v>
      </c>
      <c r="AN1113" s="2994">
        <v>0</v>
      </c>
      <c r="AO1113" s="2994">
        <v>0</v>
      </c>
      <c r="AP1113" s="2994">
        <v>0</v>
      </c>
      <c r="AQ1113" s="2994">
        <v>0</v>
      </c>
      <c r="AR1113" s="2994">
        <v>0</v>
      </c>
      <c r="AS1113" s="2994">
        <v>0</v>
      </c>
      <c r="AT1113" s="2994">
        <v>0</v>
      </c>
      <c r="AU1113" s="2994">
        <v>0</v>
      </c>
      <c r="AV1113" s="2994">
        <v>0</v>
      </c>
      <c r="AW1113" s="2994">
        <v>0</v>
      </c>
      <c r="AX1113" s="2994">
        <v>0</v>
      </c>
      <c r="AY1113" s="2994">
        <v>0</v>
      </c>
      <c r="AZ1113" s="2994">
        <v>0</v>
      </c>
      <c r="BA1113" s="2994">
        <v>0</v>
      </c>
      <c r="BB1113" s="2994">
        <v>0</v>
      </c>
      <c r="BC1113" s="2994">
        <v>0</v>
      </c>
      <c r="BD1113" s="3471">
        <v>0</v>
      </c>
      <c r="BE1113" s="3471">
        <v>0</v>
      </c>
      <c r="BF1113" s="3471">
        <v>0</v>
      </c>
    </row>
    <row r="1114" spans="1:58">
      <c r="A1114" s="1817" t="str">
        <f t="shared" si="35"/>
        <v>South-Eastern AsiaQuinoa</v>
      </c>
      <c r="B1114" s="1818" t="s">
        <v>1394</v>
      </c>
      <c r="C1114" s="1818" t="s">
        <v>1385</v>
      </c>
      <c r="D1114" s="3463" t="str">
        <f>VLOOKUP(B1114,List_Yield!$G$4:$J$14,4,FALSE)</f>
        <v>Asia (Insular)</v>
      </c>
      <c r="E1114" s="3463" t="str">
        <f t="shared" si="34"/>
        <v>Asia (Insular)Quinoa</v>
      </c>
      <c r="F1114" s="2994">
        <v>0</v>
      </c>
      <c r="G1114" s="2994">
        <v>0</v>
      </c>
      <c r="H1114" s="2994">
        <v>0</v>
      </c>
      <c r="I1114" s="2994">
        <v>0</v>
      </c>
      <c r="J1114" s="2994">
        <v>0</v>
      </c>
      <c r="K1114" s="2994">
        <v>0</v>
      </c>
      <c r="L1114" s="2994">
        <v>0</v>
      </c>
      <c r="M1114" s="2994">
        <v>0</v>
      </c>
      <c r="N1114" s="2994">
        <v>0</v>
      </c>
      <c r="O1114" s="2994">
        <v>0</v>
      </c>
      <c r="P1114" s="2994">
        <v>0</v>
      </c>
      <c r="Q1114" s="2994">
        <v>0</v>
      </c>
      <c r="R1114" s="2994">
        <v>0</v>
      </c>
      <c r="S1114" s="2994">
        <v>0</v>
      </c>
      <c r="T1114" s="2994">
        <v>0</v>
      </c>
      <c r="U1114" s="2994">
        <v>0</v>
      </c>
      <c r="V1114" s="2994">
        <v>0</v>
      </c>
      <c r="W1114" s="2994">
        <v>0</v>
      </c>
      <c r="X1114" s="2994">
        <v>0</v>
      </c>
      <c r="Y1114" s="2994">
        <v>0</v>
      </c>
      <c r="Z1114" s="2994">
        <v>0</v>
      </c>
      <c r="AA1114" s="2994">
        <v>0</v>
      </c>
      <c r="AB1114" s="2994">
        <v>0</v>
      </c>
      <c r="AC1114" s="2994">
        <v>0</v>
      </c>
      <c r="AD1114" s="2994">
        <v>0</v>
      </c>
      <c r="AE1114" s="2994">
        <v>0</v>
      </c>
      <c r="AF1114" s="2994">
        <v>0</v>
      </c>
      <c r="AG1114" s="2994">
        <v>0</v>
      </c>
      <c r="AH1114" s="2994">
        <v>0</v>
      </c>
      <c r="AI1114" s="2994">
        <v>0</v>
      </c>
      <c r="AJ1114" s="2994">
        <v>0</v>
      </c>
      <c r="AK1114" s="2994">
        <v>0</v>
      </c>
      <c r="AL1114" s="2994">
        <v>0</v>
      </c>
      <c r="AM1114" s="2994">
        <v>0</v>
      </c>
      <c r="AN1114" s="2994">
        <v>0</v>
      </c>
      <c r="AO1114" s="2994">
        <v>0</v>
      </c>
      <c r="AP1114" s="2994">
        <v>0</v>
      </c>
      <c r="AQ1114" s="2994">
        <v>0</v>
      </c>
      <c r="AR1114" s="2994">
        <v>0</v>
      </c>
      <c r="AS1114" s="2994">
        <v>0</v>
      </c>
      <c r="AT1114" s="2994">
        <v>0</v>
      </c>
      <c r="AU1114" s="2994">
        <v>0</v>
      </c>
      <c r="AV1114" s="2994">
        <v>0</v>
      </c>
      <c r="AW1114" s="2994">
        <v>0</v>
      </c>
      <c r="AX1114" s="2994">
        <v>0</v>
      </c>
      <c r="AY1114" s="2994">
        <v>0</v>
      </c>
      <c r="AZ1114" s="2994">
        <v>0</v>
      </c>
      <c r="BA1114" s="2994">
        <v>0</v>
      </c>
      <c r="BB1114" s="2994">
        <v>0</v>
      </c>
      <c r="BC1114" s="2994">
        <v>0</v>
      </c>
      <c r="BD1114" s="3471">
        <v>0</v>
      </c>
      <c r="BE1114" s="3471">
        <v>0</v>
      </c>
      <c r="BF1114" s="3471">
        <v>0</v>
      </c>
    </row>
    <row r="1115" spans="1:58">
      <c r="A1115" s="1817" t="str">
        <f t="shared" si="35"/>
        <v>South-Eastern AsiaRamie</v>
      </c>
      <c r="B1115" s="1818" t="s">
        <v>1394</v>
      </c>
      <c r="C1115" s="1818" t="s">
        <v>7371</v>
      </c>
      <c r="D1115" s="3463" t="str">
        <f>VLOOKUP(B1115,List_Yield!$G$4:$J$14,4,FALSE)</f>
        <v>Asia (Insular)</v>
      </c>
      <c r="E1115" s="3463" t="str">
        <f t="shared" si="34"/>
        <v>Asia (Insular)Ramie</v>
      </c>
      <c r="F1115" s="2994">
        <v>0.95650000000000002</v>
      </c>
      <c r="G1115" s="2994">
        <v>1.419</v>
      </c>
      <c r="H1115" s="2994">
        <v>1.6476999999999999</v>
      </c>
      <c r="I1115" s="2994">
        <v>1.5696000000000001</v>
      </c>
      <c r="J1115" s="2994">
        <v>1.6519999999999999</v>
      </c>
      <c r="K1115" s="2994">
        <v>1.43</v>
      </c>
      <c r="L1115" s="2994">
        <v>1.4907999999999999</v>
      </c>
      <c r="M1115" s="2994">
        <v>1.3565</v>
      </c>
      <c r="N1115" s="2994">
        <v>1.2868999999999999</v>
      </c>
      <c r="O1115" s="2994">
        <v>1.2204999999999999</v>
      </c>
      <c r="P1115" s="2994">
        <v>1.2282</v>
      </c>
      <c r="Q1115" s="2994">
        <v>1.2324999999999999</v>
      </c>
      <c r="R1115" s="2994">
        <v>1.2737000000000001</v>
      </c>
      <c r="S1115" s="2994">
        <v>1.2115</v>
      </c>
      <c r="T1115" s="2994">
        <v>0.94330000000000003</v>
      </c>
      <c r="U1115" s="2994">
        <v>1.1966000000000001</v>
      </c>
      <c r="V1115" s="2994">
        <v>1.2211000000000001</v>
      </c>
      <c r="W1115" s="2994">
        <v>2.5667</v>
      </c>
      <c r="X1115" s="2994">
        <v>2.6515</v>
      </c>
      <c r="Y1115" s="2994">
        <v>0.85709999999999997</v>
      </c>
      <c r="Z1115" s="2994">
        <v>1.0742</v>
      </c>
      <c r="AA1115" s="2994">
        <v>1.1397999999999999</v>
      </c>
      <c r="AB1115" s="2994">
        <v>1.2398</v>
      </c>
      <c r="AC1115" s="2994">
        <v>1.1717</v>
      </c>
      <c r="AD1115" s="2994">
        <v>1.8157000000000001</v>
      </c>
      <c r="AE1115" s="2994">
        <v>2.9337</v>
      </c>
      <c r="AF1115" s="2994">
        <v>1.1647000000000001</v>
      </c>
      <c r="AG1115" s="2994">
        <v>1.1034999999999999</v>
      </c>
      <c r="AH1115" s="2994">
        <v>1.103</v>
      </c>
      <c r="AI1115" s="2994">
        <v>1.0346</v>
      </c>
      <c r="AJ1115" s="2994">
        <v>0.77949999999999997</v>
      </c>
      <c r="AK1115" s="2994">
        <v>0.7893</v>
      </c>
      <c r="AL1115" s="2994">
        <v>0.82879999999999998</v>
      </c>
      <c r="AM1115" s="2994">
        <v>0.86250000000000004</v>
      </c>
      <c r="AN1115" s="2994">
        <v>0.83699999999999997</v>
      </c>
      <c r="AO1115" s="2994">
        <v>0.88</v>
      </c>
      <c r="AP1115" s="2994">
        <v>0.9627</v>
      </c>
      <c r="AQ1115" s="2994">
        <v>1.0459000000000001</v>
      </c>
      <c r="AR1115" s="2994">
        <v>1.0470999999999999</v>
      </c>
      <c r="AS1115" s="2994">
        <v>1.1532</v>
      </c>
      <c r="AT1115" s="2994">
        <v>1.0949</v>
      </c>
      <c r="AU1115" s="2994">
        <v>0.94530000000000003</v>
      </c>
      <c r="AV1115" s="2994">
        <v>0.79459999999999997</v>
      </c>
      <c r="AW1115" s="2994">
        <v>0.83799999999999997</v>
      </c>
      <c r="AX1115" s="2994">
        <v>0.95820000000000005</v>
      </c>
      <c r="AY1115" s="2994">
        <v>1.0915999999999999</v>
      </c>
      <c r="AZ1115" s="2994">
        <v>1.0986</v>
      </c>
      <c r="BA1115" s="2994">
        <v>1.1657</v>
      </c>
      <c r="BB1115" s="2994">
        <v>1.129</v>
      </c>
      <c r="BC1115" s="2994">
        <v>1.1763999999999999</v>
      </c>
      <c r="BD1115" s="3471">
        <v>1.1451</v>
      </c>
      <c r="BE1115" s="3471">
        <v>1.1451</v>
      </c>
      <c r="BF1115" s="3471">
        <v>0</v>
      </c>
    </row>
    <row r="1116" spans="1:58">
      <c r="A1116" s="1817" t="str">
        <f t="shared" si="35"/>
        <v>South-Eastern AsiaRapeseed</v>
      </c>
      <c r="B1116" s="1818" t="s">
        <v>1394</v>
      </c>
      <c r="C1116" s="1818" t="s">
        <v>7372</v>
      </c>
      <c r="D1116" s="3463" t="str">
        <f>VLOOKUP(B1116,List_Yield!$G$4:$J$14,4,FALSE)</f>
        <v>Asia (Insular)</v>
      </c>
      <c r="E1116" s="3463" t="str">
        <f t="shared" si="34"/>
        <v>Asia (Insular)Rapeseed</v>
      </c>
      <c r="F1116" s="2994">
        <v>0</v>
      </c>
      <c r="G1116" s="2994">
        <v>0</v>
      </c>
      <c r="H1116" s="2994">
        <v>0</v>
      </c>
      <c r="I1116" s="2994">
        <v>0</v>
      </c>
      <c r="J1116" s="2994">
        <v>0</v>
      </c>
      <c r="K1116" s="2994">
        <v>0</v>
      </c>
      <c r="L1116" s="2994">
        <v>0</v>
      </c>
      <c r="M1116" s="2994">
        <v>0</v>
      </c>
      <c r="N1116" s="2994">
        <v>0</v>
      </c>
      <c r="O1116" s="2994">
        <v>0</v>
      </c>
      <c r="P1116" s="2994">
        <v>0</v>
      </c>
      <c r="Q1116" s="2994">
        <v>0</v>
      </c>
      <c r="R1116" s="2994">
        <v>0</v>
      </c>
      <c r="S1116" s="2994">
        <v>0</v>
      </c>
      <c r="T1116" s="2994">
        <v>0</v>
      </c>
      <c r="U1116" s="2994">
        <v>0</v>
      </c>
      <c r="V1116" s="2994">
        <v>0</v>
      </c>
      <c r="W1116" s="2994">
        <v>0</v>
      </c>
      <c r="X1116" s="2994">
        <v>0</v>
      </c>
      <c r="Y1116" s="2994">
        <v>0</v>
      </c>
      <c r="Z1116" s="2994">
        <v>0</v>
      </c>
      <c r="AA1116" s="2994">
        <v>0</v>
      </c>
      <c r="AB1116" s="2994">
        <v>0</v>
      </c>
      <c r="AC1116" s="2994">
        <v>0</v>
      </c>
      <c r="AD1116" s="2994">
        <v>0</v>
      </c>
      <c r="AE1116" s="2994">
        <v>0</v>
      </c>
      <c r="AF1116" s="2994">
        <v>0</v>
      </c>
      <c r="AG1116" s="2994">
        <v>0</v>
      </c>
      <c r="AH1116" s="2994">
        <v>0</v>
      </c>
      <c r="AI1116" s="2994">
        <v>0</v>
      </c>
      <c r="AJ1116" s="2994">
        <v>0</v>
      </c>
      <c r="AK1116" s="2994">
        <v>0</v>
      </c>
      <c r="AL1116" s="2994">
        <v>0</v>
      </c>
      <c r="AM1116" s="2994">
        <v>0</v>
      </c>
      <c r="AN1116" s="2994">
        <v>0</v>
      </c>
      <c r="AO1116" s="2994">
        <v>0</v>
      </c>
      <c r="AP1116" s="2994">
        <v>0</v>
      </c>
      <c r="AQ1116" s="2994">
        <v>0</v>
      </c>
      <c r="AR1116" s="2994">
        <v>0</v>
      </c>
      <c r="AS1116" s="2994">
        <v>0</v>
      </c>
      <c r="AT1116" s="2994">
        <v>0</v>
      </c>
      <c r="AU1116" s="2994">
        <v>0</v>
      </c>
      <c r="AV1116" s="2994">
        <v>0</v>
      </c>
      <c r="AW1116" s="2994">
        <v>0</v>
      </c>
      <c r="AX1116" s="2994">
        <v>0</v>
      </c>
      <c r="AY1116" s="2994">
        <v>0</v>
      </c>
      <c r="AZ1116" s="2994">
        <v>0</v>
      </c>
      <c r="BA1116" s="2994">
        <v>0</v>
      </c>
      <c r="BB1116" s="2994">
        <v>0</v>
      </c>
      <c r="BC1116" s="2994">
        <v>0</v>
      </c>
      <c r="BD1116" s="3471">
        <v>0</v>
      </c>
      <c r="BE1116" s="3471">
        <v>0</v>
      </c>
      <c r="BF1116" s="3471">
        <v>0</v>
      </c>
    </row>
    <row r="1117" spans="1:58">
      <c r="A1117" s="1817" t="str">
        <f t="shared" si="35"/>
        <v>South-Eastern AsiaRaspberries</v>
      </c>
      <c r="B1117" s="1818" t="s">
        <v>1394</v>
      </c>
      <c r="C1117" s="1818" t="s">
        <v>7373</v>
      </c>
      <c r="D1117" s="3463" t="str">
        <f>VLOOKUP(B1117,List_Yield!$G$4:$J$14,4,FALSE)</f>
        <v>Asia (Insular)</v>
      </c>
      <c r="E1117" s="3463" t="str">
        <f t="shared" si="34"/>
        <v>Asia (Insular)Raspberries</v>
      </c>
      <c r="F1117" s="2994">
        <v>0</v>
      </c>
      <c r="G1117" s="2994">
        <v>0</v>
      </c>
      <c r="H1117" s="2994">
        <v>0</v>
      </c>
      <c r="I1117" s="2994">
        <v>0</v>
      </c>
      <c r="J1117" s="2994">
        <v>0</v>
      </c>
      <c r="K1117" s="2994">
        <v>0</v>
      </c>
      <c r="L1117" s="2994">
        <v>0</v>
      </c>
      <c r="M1117" s="2994">
        <v>0</v>
      </c>
      <c r="N1117" s="2994">
        <v>0</v>
      </c>
      <c r="O1117" s="2994">
        <v>0</v>
      </c>
      <c r="P1117" s="2994">
        <v>0</v>
      </c>
      <c r="Q1117" s="2994">
        <v>0</v>
      </c>
      <c r="R1117" s="2994">
        <v>0</v>
      </c>
      <c r="S1117" s="2994">
        <v>0</v>
      </c>
      <c r="T1117" s="2994">
        <v>0</v>
      </c>
      <c r="U1117" s="2994">
        <v>0</v>
      </c>
      <c r="V1117" s="2994">
        <v>0</v>
      </c>
      <c r="W1117" s="2994">
        <v>0</v>
      </c>
      <c r="X1117" s="2994">
        <v>0</v>
      </c>
      <c r="Y1117" s="2994">
        <v>0</v>
      </c>
      <c r="Z1117" s="2994">
        <v>0</v>
      </c>
      <c r="AA1117" s="2994">
        <v>0</v>
      </c>
      <c r="AB1117" s="2994">
        <v>0</v>
      </c>
      <c r="AC1117" s="2994">
        <v>0</v>
      </c>
      <c r="AD1117" s="2994">
        <v>0</v>
      </c>
      <c r="AE1117" s="2994">
        <v>0</v>
      </c>
      <c r="AF1117" s="2994">
        <v>0</v>
      </c>
      <c r="AG1117" s="2994">
        <v>0</v>
      </c>
      <c r="AH1117" s="2994">
        <v>0</v>
      </c>
      <c r="AI1117" s="2994">
        <v>0</v>
      </c>
      <c r="AJ1117" s="2994">
        <v>0</v>
      </c>
      <c r="AK1117" s="2994">
        <v>0</v>
      </c>
      <c r="AL1117" s="2994">
        <v>0</v>
      </c>
      <c r="AM1117" s="2994">
        <v>0</v>
      </c>
      <c r="AN1117" s="2994">
        <v>0</v>
      </c>
      <c r="AO1117" s="2994">
        <v>0</v>
      </c>
      <c r="AP1117" s="2994">
        <v>0</v>
      </c>
      <c r="AQ1117" s="2994">
        <v>0</v>
      </c>
      <c r="AR1117" s="2994">
        <v>0</v>
      </c>
      <c r="AS1117" s="2994">
        <v>0</v>
      </c>
      <c r="AT1117" s="2994">
        <v>0</v>
      </c>
      <c r="AU1117" s="2994">
        <v>0</v>
      </c>
      <c r="AV1117" s="2994">
        <v>0</v>
      </c>
      <c r="AW1117" s="2994">
        <v>0</v>
      </c>
      <c r="AX1117" s="2994">
        <v>0</v>
      </c>
      <c r="AY1117" s="2994">
        <v>0</v>
      </c>
      <c r="AZ1117" s="2994">
        <v>0</v>
      </c>
      <c r="BA1117" s="2994">
        <v>0</v>
      </c>
      <c r="BB1117" s="2994">
        <v>0</v>
      </c>
      <c r="BC1117" s="2994">
        <v>0</v>
      </c>
      <c r="BD1117" s="3471">
        <v>0</v>
      </c>
      <c r="BE1117" s="3471">
        <v>0</v>
      </c>
      <c r="BF1117" s="3471">
        <v>0</v>
      </c>
    </row>
    <row r="1118" spans="1:58">
      <c r="A1118" s="1817" t="str">
        <f t="shared" si="35"/>
        <v>South-Eastern AsiaRice, paddy</v>
      </c>
      <c r="B1118" s="1818" t="s">
        <v>1394</v>
      </c>
      <c r="C1118" s="1818" t="s">
        <v>1370</v>
      </c>
      <c r="D1118" s="3463" t="str">
        <f>VLOOKUP(B1118,List_Yield!$G$4:$J$14,4,FALSE)</f>
        <v>Asia (Insular)</v>
      </c>
      <c r="E1118" s="3463" t="str">
        <f t="shared" si="34"/>
        <v>Asia (Insular)Rice, paddy</v>
      </c>
      <c r="F1118" s="2994">
        <v>1.6153</v>
      </c>
      <c r="G1118" s="2994">
        <v>1.6465000000000001</v>
      </c>
      <c r="H1118" s="2994">
        <v>1.6969000000000001</v>
      </c>
      <c r="I1118" s="2994">
        <v>1.6733</v>
      </c>
      <c r="J1118" s="2994">
        <v>1.6587000000000001</v>
      </c>
      <c r="K1118" s="2994">
        <v>1.6343000000000001</v>
      </c>
      <c r="L1118" s="2994">
        <v>1.6637999999999999</v>
      </c>
      <c r="M1118" s="2994">
        <v>1.7684</v>
      </c>
      <c r="N1118" s="2994">
        <v>1.8711</v>
      </c>
      <c r="O1118" s="2994">
        <v>2.0165000000000002</v>
      </c>
      <c r="P1118" s="2994">
        <v>2.0083000000000002</v>
      </c>
      <c r="Q1118" s="2994">
        <v>1.9615</v>
      </c>
      <c r="R1118" s="2994">
        <v>2.0491999999999999</v>
      </c>
      <c r="S1118" s="2994">
        <v>2.0577999999999999</v>
      </c>
      <c r="T1118" s="2994">
        <v>2.0537000000000001</v>
      </c>
      <c r="U1118" s="2994">
        <v>2.1385999999999998</v>
      </c>
      <c r="V1118" s="2994">
        <v>2.0453999999999999</v>
      </c>
      <c r="W1118" s="2994">
        <v>2.1724000000000001</v>
      </c>
      <c r="X1118" s="2994">
        <v>2.2585000000000002</v>
      </c>
      <c r="Y1118" s="2994">
        <v>2.4157000000000002</v>
      </c>
      <c r="Z1118" s="2994">
        <v>2.5501999999999998</v>
      </c>
      <c r="AA1118" s="2994">
        <v>2.6880000000000002</v>
      </c>
      <c r="AB1118" s="2994">
        <v>2.7320000000000002</v>
      </c>
      <c r="AC1118" s="2994">
        <v>2.8384</v>
      </c>
      <c r="AD1118" s="2994">
        <v>2.8449</v>
      </c>
      <c r="AE1118" s="2994">
        <v>2.8858000000000001</v>
      </c>
      <c r="AF1118" s="2994">
        <v>2.8706</v>
      </c>
      <c r="AG1118" s="2994">
        <v>2.9205999999999999</v>
      </c>
      <c r="AH1118" s="2994">
        <v>3.0102000000000002</v>
      </c>
      <c r="AI1118" s="2994">
        <v>3.0415000000000001</v>
      </c>
      <c r="AJ1118" s="2994">
        <v>3.0911</v>
      </c>
      <c r="AK1118" s="2994">
        <v>3.157</v>
      </c>
      <c r="AL1118" s="2994">
        <v>3.1886000000000001</v>
      </c>
      <c r="AM1118" s="2994">
        <v>3.2707999999999999</v>
      </c>
      <c r="AN1118" s="2994">
        <v>3.2831999999999999</v>
      </c>
      <c r="AO1118" s="2994">
        <v>3.339</v>
      </c>
      <c r="AP1118" s="2994">
        <v>3.3374999999999999</v>
      </c>
      <c r="AQ1118" s="2994">
        <v>3.3241000000000001</v>
      </c>
      <c r="AR1118" s="2994">
        <v>3.3847</v>
      </c>
      <c r="AS1118" s="2994">
        <v>3.5417999999999998</v>
      </c>
      <c r="AT1118" s="2994">
        <v>3.58</v>
      </c>
      <c r="AU1118" s="2994">
        <v>3.7010999999999998</v>
      </c>
      <c r="AV1118" s="2994">
        <v>3.7431000000000001</v>
      </c>
      <c r="AW1118" s="2994">
        <v>3.8347000000000002</v>
      </c>
      <c r="AX1118" s="2994">
        <v>3.8799000000000001</v>
      </c>
      <c r="AY1118" s="2994">
        <v>3.9016000000000002</v>
      </c>
      <c r="AZ1118" s="2994">
        <v>3.9891999999999999</v>
      </c>
      <c r="BA1118" s="2994">
        <v>4.0949</v>
      </c>
      <c r="BB1118" s="2994">
        <v>4.0979999999999999</v>
      </c>
      <c r="BC1118" s="2994">
        <v>4.1128999999999998</v>
      </c>
      <c r="BD1118" s="3471">
        <v>4.1628999999999996</v>
      </c>
      <c r="BE1118" s="3471">
        <v>4.1570999999999998</v>
      </c>
      <c r="BF1118" s="3471">
        <v>4.2286000000000001</v>
      </c>
    </row>
    <row r="1119" spans="1:58">
      <c r="A1119" s="1817" t="str">
        <f t="shared" si="35"/>
        <v>South-Eastern AsiaRoots and tubers, nes</v>
      </c>
      <c r="B1119" s="1818" t="s">
        <v>1394</v>
      </c>
      <c r="C1119" s="1818" t="s">
        <v>7374</v>
      </c>
      <c r="D1119" s="3463" t="str">
        <f>VLOOKUP(B1119,List_Yield!$G$4:$J$14,4,FALSE)</f>
        <v>Asia (Insular)</v>
      </c>
      <c r="E1119" s="3463" t="str">
        <f t="shared" si="34"/>
        <v>Asia (Insular)Roots and tubers, nes</v>
      </c>
      <c r="F1119" s="2994">
        <v>5.0575999999999999</v>
      </c>
      <c r="G1119" s="2994">
        <v>5.0533999999999999</v>
      </c>
      <c r="H1119" s="2994">
        <v>5.0979999999999999</v>
      </c>
      <c r="I1119" s="2994">
        <v>5.1165000000000003</v>
      </c>
      <c r="J1119" s="2994">
        <v>5.1144999999999996</v>
      </c>
      <c r="K1119" s="2994">
        <v>5.0830000000000002</v>
      </c>
      <c r="L1119" s="2994">
        <v>5.0883000000000003</v>
      </c>
      <c r="M1119" s="2994">
        <v>5.0713999999999997</v>
      </c>
      <c r="N1119" s="2994">
        <v>5.0716999999999999</v>
      </c>
      <c r="O1119" s="2994">
        <v>5.1761999999999997</v>
      </c>
      <c r="P1119" s="2994">
        <v>5.0616000000000003</v>
      </c>
      <c r="Q1119" s="2994">
        <v>5.0940000000000003</v>
      </c>
      <c r="R1119" s="2994">
        <v>5.0509000000000004</v>
      </c>
      <c r="S1119" s="2994">
        <v>5.0425000000000004</v>
      </c>
      <c r="T1119" s="2994">
        <v>5.1722000000000001</v>
      </c>
      <c r="U1119" s="2994">
        <v>5.4028999999999998</v>
      </c>
      <c r="V1119" s="2994">
        <v>5.2030000000000003</v>
      </c>
      <c r="W1119" s="2994">
        <v>5.3562000000000003</v>
      </c>
      <c r="X1119" s="2994">
        <v>5.3155000000000001</v>
      </c>
      <c r="Y1119" s="2994">
        <v>4.9223999999999997</v>
      </c>
      <c r="Z1119" s="2994">
        <v>5.5883000000000003</v>
      </c>
      <c r="AA1119" s="2994">
        <v>5.3239000000000001</v>
      </c>
      <c r="AB1119" s="2994">
        <v>5.399</v>
      </c>
      <c r="AC1119" s="2994">
        <v>5.2950999999999997</v>
      </c>
      <c r="AD1119" s="2994">
        <v>5.3856999999999999</v>
      </c>
      <c r="AE1119" s="2994">
        <v>5.3737000000000004</v>
      </c>
      <c r="AF1119" s="2994">
        <v>5.4010999999999996</v>
      </c>
      <c r="AG1119" s="2994">
        <v>5.3537999999999997</v>
      </c>
      <c r="AH1119" s="2994">
        <v>5.5119999999999996</v>
      </c>
      <c r="AI1119" s="2994">
        <v>5.4863</v>
      </c>
      <c r="AJ1119" s="2994">
        <v>5.3921000000000001</v>
      </c>
      <c r="AK1119" s="2994">
        <v>5.4244000000000003</v>
      </c>
      <c r="AL1119" s="2994">
        <v>5.5816999999999997</v>
      </c>
      <c r="AM1119" s="2994">
        <v>5.7013999999999996</v>
      </c>
      <c r="AN1119" s="2994">
        <v>5.9147999999999996</v>
      </c>
      <c r="AO1119" s="2994">
        <v>6.2130999999999998</v>
      </c>
      <c r="AP1119" s="2994">
        <v>6.1882999999999999</v>
      </c>
      <c r="AQ1119" s="2994">
        <v>6.5816999999999997</v>
      </c>
      <c r="AR1119" s="2994">
        <v>6.4946999999999999</v>
      </c>
      <c r="AS1119" s="2994">
        <v>6.9081999999999999</v>
      </c>
      <c r="AT1119" s="2994">
        <v>7.0603999999999996</v>
      </c>
      <c r="AU1119" s="2994">
        <v>7.0366999999999997</v>
      </c>
      <c r="AV1119" s="2994">
        <v>6.8379000000000003</v>
      </c>
      <c r="AW1119" s="2994">
        <v>7.2423000000000002</v>
      </c>
      <c r="AX1119" s="2994">
        <v>6.758</v>
      </c>
      <c r="AY1119" s="2994">
        <v>7.2259000000000002</v>
      </c>
      <c r="AZ1119" s="2994">
        <v>7.6647999999999996</v>
      </c>
      <c r="BA1119" s="2994">
        <v>7.62</v>
      </c>
      <c r="BB1119" s="2994">
        <v>7.3156999999999996</v>
      </c>
      <c r="BC1119" s="2994">
        <v>7.0147000000000004</v>
      </c>
      <c r="BD1119" s="3471">
        <v>7.0795000000000003</v>
      </c>
      <c r="BE1119" s="3471">
        <v>7.2301000000000002</v>
      </c>
      <c r="BF1119" s="3471">
        <v>7.0909000000000004</v>
      </c>
    </row>
    <row r="1120" spans="1:58">
      <c r="A1120" s="1817" t="str">
        <f t="shared" si="35"/>
        <v>South-Eastern AsiaRubber, natural</v>
      </c>
      <c r="B1120" s="1818" t="s">
        <v>1394</v>
      </c>
      <c r="C1120" s="1818" t="s">
        <v>7375</v>
      </c>
      <c r="D1120" s="3463" t="str">
        <f>VLOOKUP(B1120,List_Yield!$G$4:$J$14,4,FALSE)</f>
        <v>Asia (Insular)</v>
      </c>
      <c r="E1120" s="3463" t="str">
        <f t="shared" si="34"/>
        <v>Asia (Insular)Rubber, natural</v>
      </c>
      <c r="F1120" s="2994">
        <v>0.5464</v>
      </c>
      <c r="G1120" s="2994">
        <v>0.52610000000000001</v>
      </c>
      <c r="H1120" s="2994">
        <v>0.5252</v>
      </c>
      <c r="I1120" s="2994">
        <v>0.53649999999999998</v>
      </c>
      <c r="J1120" s="2994">
        <v>0.52890000000000004</v>
      </c>
      <c r="K1120" s="2994">
        <v>0.56159999999999999</v>
      </c>
      <c r="L1120" s="2994">
        <v>0.55940000000000001</v>
      </c>
      <c r="M1120" s="2994">
        <v>0.60109999999999997</v>
      </c>
      <c r="N1120" s="2994">
        <v>0.60699999999999998</v>
      </c>
      <c r="O1120" s="2994">
        <v>0.62180000000000002</v>
      </c>
      <c r="P1120" s="2994">
        <v>0.59260000000000002</v>
      </c>
      <c r="Q1120" s="2994">
        <v>0.58589999999999998</v>
      </c>
      <c r="R1120" s="2994">
        <v>0.61560000000000004</v>
      </c>
      <c r="S1120" s="2994">
        <v>0.61219999999999997</v>
      </c>
      <c r="T1120" s="2994">
        <v>0.5978</v>
      </c>
      <c r="U1120" s="2994">
        <v>0.63039999999999996</v>
      </c>
      <c r="V1120" s="2994">
        <v>0.63660000000000005</v>
      </c>
      <c r="W1120" s="2994">
        <v>0.64029999999999998</v>
      </c>
      <c r="X1120" s="2994">
        <v>0.64390000000000003</v>
      </c>
      <c r="Y1120" s="2994">
        <v>0.66790000000000005</v>
      </c>
      <c r="Z1120" s="2994">
        <v>0.6633</v>
      </c>
      <c r="AA1120" s="2994">
        <v>0.64129999999999998</v>
      </c>
      <c r="AB1120" s="2994">
        <v>0.68220000000000003</v>
      </c>
      <c r="AC1120" s="2994">
        <v>0.68069999999999997</v>
      </c>
      <c r="AD1120" s="2994">
        <v>0.70799999999999996</v>
      </c>
      <c r="AE1120" s="2994">
        <v>0.7712</v>
      </c>
      <c r="AF1120" s="2994">
        <v>0.78290000000000004</v>
      </c>
      <c r="AG1120" s="2994">
        <v>0.82540000000000002</v>
      </c>
      <c r="AH1120" s="2994">
        <v>0.80549999999999999</v>
      </c>
      <c r="AI1120" s="2994">
        <v>0.80989999999999995</v>
      </c>
      <c r="AJ1120" s="2994">
        <v>0.82550000000000001</v>
      </c>
      <c r="AK1120" s="2994">
        <v>0.85299999999999998</v>
      </c>
      <c r="AL1120" s="2994">
        <v>0.85129999999999995</v>
      </c>
      <c r="AM1120" s="2994">
        <v>0.89470000000000005</v>
      </c>
      <c r="AN1120" s="2994">
        <v>0.88619999999999999</v>
      </c>
      <c r="AO1120" s="2994">
        <v>0.90939999999999999</v>
      </c>
      <c r="AP1120" s="2994">
        <v>0.90359999999999996</v>
      </c>
      <c r="AQ1120" s="2994">
        <v>0.88180000000000003</v>
      </c>
      <c r="AR1120" s="2994">
        <v>0.879</v>
      </c>
      <c r="AS1120" s="2994">
        <v>0.92359999999999998</v>
      </c>
      <c r="AT1120" s="2994">
        <v>0.9506</v>
      </c>
      <c r="AU1120" s="2994">
        <v>0.95740000000000003</v>
      </c>
      <c r="AV1120" s="2994">
        <v>1.0206999999999999</v>
      </c>
      <c r="AW1120" s="2994">
        <v>1.1216999999999999</v>
      </c>
      <c r="AX1120" s="2994">
        <v>1.0436000000000001</v>
      </c>
      <c r="AY1120" s="2994">
        <v>1.2292000000000001</v>
      </c>
      <c r="AZ1120" s="2994">
        <v>1.2155</v>
      </c>
      <c r="BA1120" s="2994">
        <v>1.0996999999999999</v>
      </c>
      <c r="BB1120" s="2994">
        <v>1.0395000000000001</v>
      </c>
      <c r="BC1120" s="2994">
        <v>1.0620000000000001</v>
      </c>
      <c r="BD1120" s="3471">
        <v>1.1193</v>
      </c>
      <c r="BE1120" s="3471">
        <v>1.1407</v>
      </c>
      <c r="BF1120" s="3471">
        <v>0</v>
      </c>
    </row>
    <row r="1121" spans="1:58">
      <c r="A1121" s="1817" t="str">
        <f t="shared" si="35"/>
        <v>South-Eastern AsiaRye</v>
      </c>
      <c r="B1121" s="1818" t="s">
        <v>1394</v>
      </c>
      <c r="C1121" s="1818" t="s">
        <v>1327</v>
      </c>
      <c r="D1121" s="3463" t="str">
        <f>VLOOKUP(B1121,List_Yield!$G$4:$J$14,4,FALSE)</f>
        <v>Asia (Insular)</v>
      </c>
      <c r="E1121" s="3463" t="str">
        <f t="shared" si="34"/>
        <v>Asia (Insular)Rye</v>
      </c>
      <c r="F1121" s="2994">
        <v>0</v>
      </c>
      <c r="G1121" s="2994">
        <v>0</v>
      </c>
      <c r="H1121" s="2994">
        <v>0</v>
      </c>
      <c r="I1121" s="2994">
        <v>0</v>
      </c>
      <c r="J1121" s="2994">
        <v>0</v>
      </c>
      <c r="K1121" s="2994">
        <v>0</v>
      </c>
      <c r="L1121" s="2994">
        <v>0</v>
      </c>
      <c r="M1121" s="2994">
        <v>0</v>
      </c>
      <c r="N1121" s="2994">
        <v>0</v>
      </c>
      <c r="O1121" s="2994">
        <v>0</v>
      </c>
      <c r="P1121" s="2994">
        <v>0</v>
      </c>
      <c r="Q1121" s="2994">
        <v>0</v>
      </c>
      <c r="R1121" s="2994">
        <v>0</v>
      </c>
      <c r="S1121" s="2994">
        <v>0</v>
      </c>
      <c r="T1121" s="2994">
        <v>0</v>
      </c>
      <c r="U1121" s="2994">
        <v>0</v>
      </c>
      <c r="V1121" s="2994">
        <v>0</v>
      </c>
      <c r="W1121" s="2994">
        <v>0</v>
      </c>
      <c r="X1121" s="2994">
        <v>0</v>
      </c>
      <c r="Y1121" s="2994">
        <v>0</v>
      </c>
      <c r="Z1121" s="2994">
        <v>0</v>
      </c>
      <c r="AA1121" s="2994">
        <v>0</v>
      </c>
      <c r="AB1121" s="2994">
        <v>0</v>
      </c>
      <c r="AC1121" s="2994">
        <v>0</v>
      </c>
      <c r="AD1121" s="2994">
        <v>0</v>
      </c>
      <c r="AE1121" s="2994">
        <v>0</v>
      </c>
      <c r="AF1121" s="2994">
        <v>0</v>
      </c>
      <c r="AG1121" s="2994">
        <v>0</v>
      </c>
      <c r="AH1121" s="2994">
        <v>0</v>
      </c>
      <c r="AI1121" s="2994">
        <v>0</v>
      </c>
      <c r="AJ1121" s="2994">
        <v>0</v>
      </c>
      <c r="AK1121" s="2994">
        <v>0</v>
      </c>
      <c r="AL1121" s="2994">
        <v>0</v>
      </c>
      <c r="AM1121" s="2994">
        <v>0</v>
      </c>
      <c r="AN1121" s="2994">
        <v>0</v>
      </c>
      <c r="AO1121" s="2994">
        <v>0</v>
      </c>
      <c r="AP1121" s="2994">
        <v>0</v>
      </c>
      <c r="AQ1121" s="2994">
        <v>0</v>
      </c>
      <c r="AR1121" s="2994">
        <v>0</v>
      </c>
      <c r="AS1121" s="2994">
        <v>0</v>
      </c>
      <c r="AT1121" s="2994">
        <v>0</v>
      </c>
      <c r="AU1121" s="2994">
        <v>0</v>
      </c>
      <c r="AV1121" s="2994">
        <v>0</v>
      </c>
      <c r="AW1121" s="2994">
        <v>0</v>
      </c>
      <c r="AX1121" s="2994">
        <v>0</v>
      </c>
      <c r="AY1121" s="2994">
        <v>0</v>
      </c>
      <c r="AZ1121" s="2994">
        <v>0</v>
      </c>
      <c r="BA1121" s="2994">
        <v>0</v>
      </c>
      <c r="BB1121" s="2994">
        <v>0</v>
      </c>
      <c r="BC1121" s="2994">
        <v>0</v>
      </c>
      <c r="BD1121" s="3471">
        <v>0</v>
      </c>
      <c r="BE1121" s="3471">
        <v>0</v>
      </c>
      <c r="BF1121" s="3471">
        <v>0</v>
      </c>
    </row>
    <row r="1122" spans="1:58">
      <c r="A1122" s="1817" t="str">
        <f t="shared" si="35"/>
        <v>South-Eastern AsiaSafflower seed</v>
      </c>
      <c r="B1122" s="1818" t="s">
        <v>1394</v>
      </c>
      <c r="C1122" s="1818" t="s">
        <v>7376</v>
      </c>
      <c r="D1122" s="3463" t="str">
        <f>VLOOKUP(B1122,List_Yield!$G$4:$J$14,4,FALSE)</f>
        <v>Asia (Insular)</v>
      </c>
      <c r="E1122" s="3463" t="str">
        <f t="shared" si="34"/>
        <v>Asia (Insular)Safflower seed</v>
      </c>
      <c r="F1122" s="2994">
        <v>0</v>
      </c>
      <c r="G1122" s="2994">
        <v>0</v>
      </c>
      <c r="H1122" s="2994">
        <v>0</v>
      </c>
      <c r="I1122" s="2994">
        <v>0</v>
      </c>
      <c r="J1122" s="2994">
        <v>0</v>
      </c>
      <c r="K1122" s="2994">
        <v>0</v>
      </c>
      <c r="L1122" s="2994">
        <v>0</v>
      </c>
      <c r="M1122" s="2994">
        <v>0</v>
      </c>
      <c r="N1122" s="2994">
        <v>0</v>
      </c>
      <c r="O1122" s="2994">
        <v>0</v>
      </c>
      <c r="P1122" s="2994">
        <v>0</v>
      </c>
      <c r="Q1122" s="2994">
        <v>0</v>
      </c>
      <c r="R1122" s="2994">
        <v>0</v>
      </c>
      <c r="S1122" s="2994">
        <v>0</v>
      </c>
      <c r="T1122" s="2994">
        <v>0</v>
      </c>
      <c r="U1122" s="2994">
        <v>0</v>
      </c>
      <c r="V1122" s="2994">
        <v>0</v>
      </c>
      <c r="W1122" s="2994">
        <v>0</v>
      </c>
      <c r="X1122" s="2994">
        <v>0</v>
      </c>
      <c r="Y1122" s="2994">
        <v>0</v>
      </c>
      <c r="Z1122" s="2994">
        <v>0</v>
      </c>
      <c r="AA1122" s="2994">
        <v>0</v>
      </c>
      <c r="AB1122" s="2994">
        <v>0</v>
      </c>
      <c r="AC1122" s="2994">
        <v>0</v>
      </c>
      <c r="AD1122" s="2994">
        <v>0</v>
      </c>
      <c r="AE1122" s="2994">
        <v>0</v>
      </c>
      <c r="AF1122" s="2994">
        <v>0</v>
      </c>
      <c r="AG1122" s="2994">
        <v>0</v>
      </c>
      <c r="AH1122" s="2994">
        <v>0</v>
      </c>
      <c r="AI1122" s="2994">
        <v>0</v>
      </c>
      <c r="AJ1122" s="2994">
        <v>0</v>
      </c>
      <c r="AK1122" s="2994">
        <v>0</v>
      </c>
      <c r="AL1122" s="2994">
        <v>0</v>
      </c>
      <c r="AM1122" s="2994">
        <v>0</v>
      </c>
      <c r="AN1122" s="2994">
        <v>0</v>
      </c>
      <c r="AO1122" s="2994">
        <v>0</v>
      </c>
      <c r="AP1122" s="2994">
        <v>0</v>
      </c>
      <c r="AQ1122" s="2994">
        <v>0</v>
      </c>
      <c r="AR1122" s="2994">
        <v>0</v>
      </c>
      <c r="AS1122" s="2994">
        <v>0</v>
      </c>
      <c r="AT1122" s="2994">
        <v>0</v>
      </c>
      <c r="AU1122" s="2994">
        <v>0</v>
      </c>
      <c r="AV1122" s="2994">
        <v>0</v>
      </c>
      <c r="AW1122" s="2994">
        <v>0</v>
      </c>
      <c r="AX1122" s="2994">
        <v>0</v>
      </c>
      <c r="AY1122" s="2994">
        <v>0</v>
      </c>
      <c r="AZ1122" s="2994">
        <v>0</v>
      </c>
      <c r="BA1122" s="2994">
        <v>0</v>
      </c>
      <c r="BB1122" s="2994">
        <v>0</v>
      </c>
      <c r="BC1122" s="2994">
        <v>0</v>
      </c>
      <c r="BD1122" s="3471">
        <v>0</v>
      </c>
      <c r="BE1122" s="3471">
        <v>0</v>
      </c>
      <c r="BF1122" s="3471">
        <v>0</v>
      </c>
    </row>
    <row r="1123" spans="1:58">
      <c r="A1123" s="1817" t="str">
        <f t="shared" si="35"/>
        <v>South-Eastern AsiaSeed cotton</v>
      </c>
      <c r="B1123" s="1818" t="s">
        <v>1394</v>
      </c>
      <c r="C1123" s="1818" t="s">
        <v>1371</v>
      </c>
      <c r="D1123" s="3463" t="str">
        <f>VLOOKUP(B1123,List_Yield!$G$4:$J$14,4,FALSE)</f>
        <v>Asia (Insular)</v>
      </c>
      <c r="E1123" s="3463" t="str">
        <f t="shared" si="34"/>
        <v>Asia (Insular)Seed cotton</v>
      </c>
      <c r="F1123" s="2994">
        <v>0.47289999999999999</v>
      </c>
      <c r="G1123" s="2994">
        <v>0.39389999999999997</v>
      </c>
      <c r="H1123" s="2994">
        <v>0.38129999999999997</v>
      </c>
      <c r="I1123" s="2994">
        <v>0.3473</v>
      </c>
      <c r="J1123" s="2994">
        <v>0.42020000000000002</v>
      </c>
      <c r="K1123" s="2994">
        <v>0.47370000000000001</v>
      </c>
      <c r="L1123" s="2994">
        <v>0.4677</v>
      </c>
      <c r="M1123" s="2994">
        <v>0.60680000000000001</v>
      </c>
      <c r="N1123" s="2994">
        <v>0.39929999999999999</v>
      </c>
      <c r="O1123" s="2994">
        <v>0.43909999999999999</v>
      </c>
      <c r="P1123" s="2994">
        <v>0.4264</v>
      </c>
      <c r="Q1123" s="2994">
        <v>0.39500000000000002</v>
      </c>
      <c r="R1123" s="2994">
        <v>0.36359999999999998</v>
      </c>
      <c r="S1123" s="2994">
        <v>0.43140000000000001</v>
      </c>
      <c r="T1123" s="2994">
        <v>0.37230000000000002</v>
      </c>
      <c r="U1123" s="2994">
        <v>0.39290000000000003</v>
      </c>
      <c r="V1123" s="2994">
        <v>0.61350000000000005</v>
      </c>
      <c r="W1123" s="2994">
        <v>0.59750000000000003</v>
      </c>
      <c r="X1123" s="2994">
        <v>0.69840000000000002</v>
      </c>
      <c r="Y1123" s="2994">
        <v>0.84799999999999998</v>
      </c>
      <c r="Z1123" s="2994">
        <v>0.74519999999999997</v>
      </c>
      <c r="AA1123" s="2994">
        <v>0.72760000000000002</v>
      </c>
      <c r="AB1123" s="2994">
        <v>0.74380000000000002</v>
      </c>
      <c r="AC1123" s="2994">
        <v>0.67179999999999995</v>
      </c>
      <c r="AD1123" s="2994">
        <v>0.7581</v>
      </c>
      <c r="AE1123" s="2994">
        <v>0.69720000000000004</v>
      </c>
      <c r="AF1123" s="2994">
        <v>0.73240000000000005</v>
      </c>
      <c r="AG1123" s="2994">
        <v>0.77539999999999998</v>
      </c>
      <c r="AH1123" s="2994">
        <v>0.72540000000000004</v>
      </c>
      <c r="AI1123" s="2994">
        <v>0.77810000000000001</v>
      </c>
      <c r="AJ1123" s="2994">
        <v>0.80410000000000004</v>
      </c>
      <c r="AK1123" s="2994">
        <v>0.78459999999999996</v>
      </c>
      <c r="AL1123" s="2994">
        <v>0.7127</v>
      </c>
      <c r="AM1123" s="2994">
        <v>0.74819999999999998</v>
      </c>
      <c r="AN1123" s="2994">
        <v>0.78869999999999996</v>
      </c>
      <c r="AO1123" s="2994">
        <v>0.66900000000000004</v>
      </c>
      <c r="AP1123" s="2994">
        <v>0.6915</v>
      </c>
      <c r="AQ1123" s="2994">
        <v>0.75819999999999999</v>
      </c>
      <c r="AR1123" s="2994">
        <v>0.6482</v>
      </c>
      <c r="AS1123" s="2994">
        <v>0.6482</v>
      </c>
      <c r="AT1123" s="2994">
        <v>0.68859999999999999</v>
      </c>
      <c r="AU1123" s="2994">
        <v>0.66</v>
      </c>
      <c r="AV1123" s="2994">
        <v>0.67549999999999999</v>
      </c>
      <c r="AW1123" s="2994">
        <v>0.70920000000000005</v>
      </c>
      <c r="AX1123" s="2994">
        <v>0.71679999999999999</v>
      </c>
      <c r="AY1123" s="2994">
        <v>0.70960000000000001</v>
      </c>
      <c r="AZ1123" s="2994">
        <v>0.70840000000000003</v>
      </c>
      <c r="BA1123" s="2994">
        <v>0.69069999999999998</v>
      </c>
      <c r="BB1123" s="2994">
        <v>0.86699999999999999</v>
      </c>
      <c r="BC1123" s="2994">
        <v>1.1309</v>
      </c>
      <c r="BD1123" s="3471">
        <v>1.5740000000000001</v>
      </c>
      <c r="BE1123" s="3471">
        <v>1.1436999999999999</v>
      </c>
      <c r="BF1123" s="3471">
        <v>1.2537</v>
      </c>
    </row>
    <row r="1124" spans="1:58">
      <c r="A1124" s="1817" t="str">
        <f t="shared" si="35"/>
        <v>South-Eastern AsiaSesame seed</v>
      </c>
      <c r="B1124" s="1818" t="s">
        <v>1394</v>
      </c>
      <c r="C1124" s="1818" t="s">
        <v>1319</v>
      </c>
      <c r="D1124" s="3463" t="str">
        <f>VLOOKUP(B1124,List_Yield!$G$4:$J$14,4,FALSE)</f>
        <v>Asia (Insular)</v>
      </c>
      <c r="E1124" s="3463" t="str">
        <f t="shared" si="34"/>
        <v>Asia (Insular)Sesame seed</v>
      </c>
      <c r="F1124" s="2994">
        <v>0.1953</v>
      </c>
      <c r="G1124" s="2994">
        <v>0.2195</v>
      </c>
      <c r="H1124" s="2994">
        <v>0.22869999999999999</v>
      </c>
      <c r="I1124" s="2994">
        <v>0.18990000000000001</v>
      </c>
      <c r="J1124" s="2994">
        <v>0.17369999999999999</v>
      </c>
      <c r="K1124" s="2994">
        <v>0.1711</v>
      </c>
      <c r="L1124" s="2994">
        <v>0.16639999999999999</v>
      </c>
      <c r="M1124" s="2994">
        <v>0.2041</v>
      </c>
      <c r="N1124" s="2994">
        <v>0.18990000000000001</v>
      </c>
      <c r="O1124" s="2994">
        <v>0.18959999999999999</v>
      </c>
      <c r="P1124" s="2994">
        <v>0.19589999999999999</v>
      </c>
      <c r="Q1124" s="2994">
        <v>0.19420000000000001</v>
      </c>
      <c r="R1124" s="2994">
        <v>0.1888</v>
      </c>
      <c r="S1124" s="2994">
        <v>0.2331</v>
      </c>
      <c r="T1124" s="2994">
        <v>0.17949999999999999</v>
      </c>
      <c r="U1124" s="2994">
        <v>0.23069999999999999</v>
      </c>
      <c r="V1124" s="2994">
        <v>0.191</v>
      </c>
      <c r="W1124" s="2994">
        <v>0.2215</v>
      </c>
      <c r="X1124" s="2994">
        <v>0.23430000000000001</v>
      </c>
      <c r="Y1124" s="2994">
        <v>0.21010000000000001</v>
      </c>
      <c r="Z1124" s="2994">
        <v>0.25390000000000001</v>
      </c>
      <c r="AA1124" s="2994">
        <v>0.25580000000000003</v>
      </c>
      <c r="AB1124" s="2994">
        <v>0.2263</v>
      </c>
      <c r="AC1124" s="2994">
        <v>0.29160000000000003</v>
      </c>
      <c r="AD1124" s="2994">
        <v>0.27179999999999999</v>
      </c>
      <c r="AE1124" s="2994">
        <v>0.27250000000000002</v>
      </c>
      <c r="AF1124" s="2994">
        <v>0.27550000000000002</v>
      </c>
      <c r="AG1124" s="2994">
        <v>0.29580000000000001</v>
      </c>
      <c r="AH1124" s="2994">
        <v>0.27010000000000001</v>
      </c>
      <c r="AI1124" s="2994">
        <v>0.253</v>
      </c>
      <c r="AJ1124" s="2994">
        <v>0.25459999999999999</v>
      </c>
      <c r="AK1124" s="2994">
        <v>0.25690000000000002</v>
      </c>
      <c r="AL1124" s="2994">
        <v>0.27439999999999998</v>
      </c>
      <c r="AM1124" s="2994">
        <v>0.2727</v>
      </c>
      <c r="AN1124" s="2994">
        <v>0.2979</v>
      </c>
      <c r="AO1124" s="2994">
        <v>0.3372</v>
      </c>
      <c r="AP1124" s="2994">
        <v>0.35770000000000002</v>
      </c>
      <c r="AQ1124" s="2994">
        <v>0.40050000000000002</v>
      </c>
      <c r="AR1124" s="2994">
        <v>0.33410000000000001</v>
      </c>
      <c r="AS1124" s="2994">
        <v>0.33560000000000001</v>
      </c>
      <c r="AT1124" s="2994">
        <v>0.32750000000000001</v>
      </c>
      <c r="AU1124" s="2994">
        <v>0.3639</v>
      </c>
      <c r="AV1124" s="2994">
        <v>0.41389999999999999</v>
      </c>
      <c r="AW1124" s="2994">
        <v>0.44140000000000001</v>
      </c>
      <c r="AX1124" s="2994">
        <v>0.43419999999999997</v>
      </c>
      <c r="AY1124" s="2994">
        <v>0.58340000000000003</v>
      </c>
      <c r="AZ1124" s="2994">
        <v>0.57679999999999998</v>
      </c>
      <c r="BA1124" s="2994">
        <v>0.59350000000000003</v>
      </c>
      <c r="BB1124" s="2994">
        <v>0.55720000000000003</v>
      </c>
      <c r="BC1124" s="2994">
        <v>0.53720000000000001</v>
      </c>
      <c r="BD1124" s="3471">
        <v>0.57779999999999998</v>
      </c>
      <c r="BE1124" s="3471">
        <v>0.56710000000000005</v>
      </c>
      <c r="BF1124" s="3471">
        <v>0.5726</v>
      </c>
    </row>
    <row r="1125" spans="1:58">
      <c r="A1125" s="1817" t="str">
        <f t="shared" si="35"/>
        <v>South-Eastern AsiaSisal</v>
      </c>
      <c r="B1125" s="1818" t="s">
        <v>1394</v>
      </c>
      <c r="C1125" s="1818" t="s">
        <v>1372</v>
      </c>
      <c r="D1125" s="3463" t="str">
        <f>VLOOKUP(B1125,List_Yield!$G$4:$J$14,4,FALSE)</f>
        <v>Asia (Insular)</v>
      </c>
      <c r="E1125" s="3463" t="str">
        <f t="shared" si="34"/>
        <v>Asia (Insular)Sisal</v>
      </c>
      <c r="F1125" s="2994">
        <v>2.6175999999999999</v>
      </c>
      <c r="G1125" s="2994">
        <v>1.6207</v>
      </c>
      <c r="H1125" s="2994">
        <v>0.80359999999999998</v>
      </c>
      <c r="I1125" s="2994">
        <v>0.85709999999999997</v>
      </c>
      <c r="J1125" s="2994">
        <v>0.92</v>
      </c>
      <c r="K1125" s="2994">
        <v>1.4528000000000001</v>
      </c>
      <c r="L1125" s="2994">
        <v>1.4286000000000001</v>
      </c>
      <c r="M1125" s="2994">
        <v>2</v>
      </c>
      <c r="N1125" s="2994">
        <v>2.2353000000000001</v>
      </c>
      <c r="O1125" s="2994">
        <v>2.2898999999999998</v>
      </c>
      <c r="P1125" s="2994">
        <v>1.4773000000000001</v>
      </c>
      <c r="Q1125" s="2994">
        <v>1.3</v>
      </c>
      <c r="R1125" s="2994">
        <v>1.1537999999999999</v>
      </c>
      <c r="S1125" s="2994">
        <v>1.1364000000000001</v>
      </c>
      <c r="T1125" s="2994">
        <v>1.3889</v>
      </c>
      <c r="U1125" s="2994">
        <v>1.48</v>
      </c>
      <c r="V1125" s="2994">
        <v>1.3469</v>
      </c>
      <c r="W1125" s="2994">
        <v>1.5333000000000001</v>
      </c>
      <c r="X1125" s="2994">
        <v>1.5333000000000001</v>
      </c>
      <c r="Y1125" s="2994">
        <v>1.0226999999999999</v>
      </c>
      <c r="Z1125" s="2994">
        <v>1.4286000000000001</v>
      </c>
      <c r="AA1125" s="2994">
        <v>1.5217000000000001</v>
      </c>
      <c r="AB1125" s="2994">
        <v>1.4582999999999999</v>
      </c>
      <c r="AC1125" s="2994">
        <v>1.4815</v>
      </c>
      <c r="AD1125" s="2994">
        <v>1.3793</v>
      </c>
      <c r="AE1125" s="2994">
        <v>1.25</v>
      </c>
      <c r="AF1125" s="2994">
        <v>1.2325999999999999</v>
      </c>
      <c r="AG1125" s="2994">
        <v>1.0956999999999999</v>
      </c>
      <c r="AH1125" s="2994">
        <v>1.0401</v>
      </c>
      <c r="AI1125" s="2994">
        <v>1.5052000000000001</v>
      </c>
      <c r="AJ1125" s="2994">
        <v>1.1574</v>
      </c>
      <c r="AK1125" s="2994">
        <v>1.1204000000000001</v>
      </c>
      <c r="AL1125" s="2994">
        <v>1.0324</v>
      </c>
      <c r="AM1125" s="2994">
        <v>1.3611</v>
      </c>
      <c r="AN1125" s="2994">
        <v>1.3492999999999999</v>
      </c>
      <c r="AO1125" s="2994">
        <v>1.3032999999999999</v>
      </c>
      <c r="AP1125" s="2994">
        <v>1.401</v>
      </c>
      <c r="AQ1125" s="2994">
        <v>1.2275</v>
      </c>
      <c r="AR1125" s="2994">
        <v>1.2479</v>
      </c>
      <c r="AS1125" s="2994">
        <v>1.2153</v>
      </c>
      <c r="AT1125" s="2994">
        <v>1.1970000000000001</v>
      </c>
      <c r="AU1125" s="2994">
        <v>1.4499</v>
      </c>
      <c r="AV1125" s="2994">
        <v>1.4581999999999999</v>
      </c>
      <c r="AW1125" s="2994">
        <v>1.0553999999999999</v>
      </c>
      <c r="AX1125" s="2994">
        <v>1.0516000000000001</v>
      </c>
      <c r="AY1125" s="2994">
        <v>1.0566</v>
      </c>
      <c r="AZ1125" s="2994">
        <v>1.0762</v>
      </c>
      <c r="BA1125" s="2994">
        <v>1.034</v>
      </c>
      <c r="BB1125" s="2994">
        <v>0.95479999999999998</v>
      </c>
      <c r="BC1125" s="2994">
        <v>1.036</v>
      </c>
      <c r="BD1125" s="3471">
        <v>1.0317000000000001</v>
      </c>
      <c r="BE1125" s="3471">
        <v>1.0609</v>
      </c>
      <c r="BF1125" s="3471">
        <v>0</v>
      </c>
    </row>
    <row r="1126" spans="1:58">
      <c r="A1126" s="1817" t="str">
        <f t="shared" si="35"/>
        <v>South-Eastern AsiaSorghum</v>
      </c>
      <c r="B1126" s="1818" t="s">
        <v>1394</v>
      </c>
      <c r="C1126" s="1818" t="s">
        <v>1373</v>
      </c>
      <c r="D1126" s="3463" t="str">
        <f>VLOOKUP(B1126,List_Yield!$G$4:$J$14,4,FALSE)</f>
        <v>Asia (Insular)</v>
      </c>
      <c r="E1126" s="3463" t="str">
        <f t="shared" si="34"/>
        <v>Asia (Insular)Sorghum</v>
      </c>
      <c r="F1126" s="2994">
        <v>2.4390000000000001</v>
      </c>
      <c r="G1126" s="2994">
        <v>2.4390000000000001</v>
      </c>
      <c r="H1126" s="2994">
        <v>2.4390000000000001</v>
      </c>
      <c r="I1126" s="2994">
        <v>2.4390000000000001</v>
      </c>
      <c r="J1126" s="2994">
        <v>2.4333</v>
      </c>
      <c r="K1126" s="2994">
        <v>2.1093999999999999</v>
      </c>
      <c r="L1126" s="2994">
        <v>2.4605999999999999</v>
      </c>
      <c r="M1126" s="2994">
        <v>2.1341999999999999</v>
      </c>
      <c r="N1126" s="2994">
        <v>2.0131000000000001</v>
      </c>
      <c r="O1126" s="2994">
        <v>1.9746999999999999</v>
      </c>
      <c r="P1126" s="2994">
        <v>2.0047999999999999</v>
      </c>
      <c r="Q1126" s="2994">
        <v>1.9064000000000001</v>
      </c>
      <c r="R1126" s="2994">
        <v>1.6922999999999999</v>
      </c>
      <c r="S1126" s="2994">
        <v>1.3956999999999999</v>
      </c>
      <c r="T1126" s="2994">
        <v>1.3669</v>
      </c>
      <c r="U1126" s="2994">
        <v>1.1718</v>
      </c>
      <c r="V1126" s="2994">
        <v>0.95250000000000001</v>
      </c>
      <c r="W1126" s="2994">
        <v>1.5002</v>
      </c>
      <c r="X1126" s="2994">
        <v>1.2966</v>
      </c>
      <c r="Y1126" s="2994">
        <v>1.0490999999999999</v>
      </c>
      <c r="Z1126" s="2994">
        <v>1.0524</v>
      </c>
      <c r="AA1126" s="2994">
        <v>1.0210999999999999</v>
      </c>
      <c r="AB1126" s="2994">
        <v>1.3101</v>
      </c>
      <c r="AC1126" s="2994">
        <v>1.3205</v>
      </c>
      <c r="AD1126" s="2994">
        <v>1.3862000000000001</v>
      </c>
      <c r="AE1126" s="2994">
        <v>1.1503000000000001</v>
      </c>
      <c r="AF1126" s="2994">
        <v>1.2002999999999999</v>
      </c>
      <c r="AG1126" s="2994">
        <v>1.2387999999999999</v>
      </c>
      <c r="AH1126" s="2994">
        <v>1.2978000000000001</v>
      </c>
      <c r="AI1126" s="2994">
        <v>1.2592000000000001</v>
      </c>
      <c r="AJ1126" s="2994">
        <v>1.2992999999999999</v>
      </c>
      <c r="AK1126" s="2994">
        <v>1.4442999999999999</v>
      </c>
      <c r="AL1126" s="2994">
        <v>1.4232</v>
      </c>
      <c r="AM1126" s="2994">
        <v>1.3629</v>
      </c>
      <c r="AN1126" s="2994">
        <v>1.5027999999999999</v>
      </c>
      <c r="AO1126" s="2994">
        <v>1.6716</v>
      </c>
      <c r="AP1126" s="2994">
        <v>0.9143</v>
      </c>
      <c r="AQ1126" s="2994">
        <v>0.874</v>
      </c>
      <c r="AR1126" s="2994">
        <v>0.91039999999999999</v>
      </c>
      <c r="AS1126" s="2994">
        <v>0.93440000000000001</v>
      </c>
      <c r="AT1126" s="2994">
        <v>0.96</v>
      </c>
      <c r="AU1126" s="2994">
        <v>0.97040000000000004</v>
      </c>
      <c r="AV1126" s="2994">
        <v>0.95469999999999999</v>
      </c>
      <c r="AW1126" s="2994">
        <v>0.89780000000000004</v>
      </c>
      <c r="AX1126" s="2994">
        <v>0.97289999999999999</v>
      </c>
      <c r="AY1126" s="2994">
        <v>0.95289999999999997</v>
      </c>
      <c r="AZ1126" s="2994">
        <v>1.0361</v>
      </c>
      <c r="BA1126" s="2994">
        <v>1.0236000000000001</v>
      </c>
      <c r="BB1126" s="2994">
        <v>1.0608</v>
      </c>
      <c r="BC1126" s="2994">
        <v>1.0857000000000001</v>
      </c>
      <c r="BD1126" s="3471">
        <v>1.099</v>
      </c>
      <c r="BE1126" s="3471">
        <v>1.0538000000000001</v>
      </c>
      <c r="BF1126" s="3471">
        <v>1.0544</v>
      </c>
    </row>
    <row r="1127" spans="1:58">
      <c r="A1127" s="1817" t="str">
        <f t="shared" si="35"/>
        <v>South-Eastern AsiaSoybeans</v>
      </c>
      <c r="B1127" s="1818" t="s">
        <v>1394</v>
      </c>
      <c r="C1127" s="1818" t="s">
        <v>1333</v>
      </c>
      <c r="D1127" s="3463" t="str">
        <f>VLOOKUP(B1127,List_Yield!$G$4:$J$14,4,FALSE)</f>
        <v>Asia (Insular)</v>
      </c>
      <c r="E1127" s="3463" t="str">
        <f t="shared" si="34"/>
        <v>Asia (Insular)Soybeans</v>
      </c>
      <c r="F1127" s="2994">
        <v>0.68149999999999999</v>
      </c>
      <c r="G1127" s="2994">
        <v>0.67620000000000002</v>
      </c>
      <c r="H1127" s="2994">
        <v>0.66490000000000005</v>
      </c>
      <c r="I1127" s="2994">
        <v>0.68630000000000002</v>
      </c>
      <c r="J1127" s="2994">
        <v>0.69579999999999997</v>
      </c>
      <c r="K1127" s="2994">
        <v>0.68689999999999996</v>
      </c>
      <c r="L1127" s="2994">
        <v>0.71</v>
      </c>
      <c r="M1127" s="2994">
        <v>0.63690000000000002</v>
      </c>
      <c r="N1127" s="2994">
        <v>0.71389999999999998</v>
      </c>
      <c r="O1127" s="2994">
        <v>0.72309999999999997</v>
      </c>
      <c r="P1127" s="2994">
        <v>0.76629999999999998</v>
      </c>
      <c r="Q1127" s="2994">
        <v>0.75439999999999996</v>
      </c>
      <c r="R1127" s="2994">
        <v>0.75519999999999998</v>
      </c>
      <c r="S1127" s="2994">
        <v>0.78659999999999997</v>
      </c>
      <c r="T1127" s="2994">
        <v>0.80320000000000003</v>
      </c>
      <c r="U1127" s="2994">
        <v>0.83299999999999996</v>
      </c>
      <c r="V1127" s="2994">
        <v>0.78290000000000004</v>
      </c>
      <c r="W1127" s="2994">
        <v>0.86060000000000003</v>
      </c>
      <c r="X1127" s="2994">
        <v>0.86629999999999996</v>
      </c>
      <c r="Y1127" s="2994">
        <v>0.87939999999999996</v>
      </c>
      <c r="Z1127" s="2994">
        <v>0.87680000000000002</v>
      </c>
      <c r="AA1127" s="2994">
        <v>0.871</v>
      </c>
      <c r="AB1127" s="2994">
        <v>0.86719999999999997</v>
      </c>
      <c r="AC1127" s="2994">
        <v>0.94369999999999998</v>
      </c>
      <c r="AD1127" s="2994">
        <v>1.0124</v>
      </c>
      <c r="AE1127" s="2994">
        <v>1.0104</v>
      </c>
      <c r="AF1127" s="2994">
        <v>1.0429999999999999</v>
      </c>
      <c r="AG1127" s="2994">
        <v>1.1113999999999999</v>
      </c>
      <c r="AH1127" s="2994">
        <v>1.1437999999999999</v>
      </c>
      <c r="AI1127" s="2994">
        <v>1.1324000000000001</v>
      </c>
      <c r="AJ1127" s="2994">
        <v>1.1616</v>
      </c>
      <c r="AK1127" s="2994">
        <v>1.1577999999999999</v>
      </c>
      <c r="AL1127" s="2994">
        <v>1.1867000000000001</v>
      </c>
      <c r="AM1127" s="2994">
        <v>1.1349</v>
      </c>
      <c r="AN1127" s="2994">
        <v>1.1916</v>
      </c>
      <c r="AO1127" s="2994">
        <v>1.2056</v>
      </c>
      <c r="AP1127" s="2994">
        <v>1.2315</v>
      </c>
      <c r="AQ1127" s="2994">
        <v>1.2063999999999999</v>
      </c>
      <c r="AR1127" s="2994">
        <v>1.1972</v>
      </c>
      <c r="AS1127" s="2994">
        <v>1.2271000000000001</v>
      </c>
      <c r="AT1127" s="2994">
        <v>1.2243999999999999</v>
      </c>
      <c r="AU1127" s="2994">
        <v>1.2654000000000001</v>
      </c>
      <c r="AV1127" s="2994">
        <v>1.2907</v>
      </c>
      <c r="AW1127" s="2994">
        <v>1.2970999999999999</v>
      </c>
      <c r="AX1127" s="2994">
        <v>1.3579000000000001</v>
      </c>
      <c r="AY1127" s="2994">
        <v>1.3452999999999999</v>
      </c>
      <c r="AZ1127" s="2994">
        <v>1.381</v>
      </c>
      <c r="BA1127" s="2994">
        <v>1.3706</v>
      </c>
      <c r="BB1127" s="2994">
        <v>1.4178999999999999</v>
      </c>
      <c r="BC1127" s="2994">
        <v>1.4776</v>
      </c>
      <c r="BD1127" s="3471">
        <v>1.4628000000000001</v>
      </c>
      <c r="BE1127" s="3471">
        <v>1.4847999999999999</v>
      </c>
      <c r="BF1127" s="3471">
        <v>1.4484999999999999</v>
      </c>
    </row>
    <row r="1128" spans="1:58">
      <c r="A1128" s="1817" t="str">
        <f t="shared" si="35"/>
        <v>South-Eastern AsiaSpices, nes</v>
      </c>
      <c r="B1128" s="1818" t="s">
        <v>1394</v>
      </c>
      <c r="C1128" s="1818" t="s">
        <v>7377</v>
      </c>
      <c r="D1128" s="3463" t="str">
        <f>VLOOKUP(B1128,List_Yield!$G$4:$J$14,4,FALSE)</f>
        <v>Asia (Insular)</v>
      </c>
      <c r="E1128" s="3463" t="str">
        <f t="shared" si="34"/>
        <v>Asia (Insular)Spices, nes</v>
      </c>
      <c r="F1128" s="2994">
        <v>9.52</v>
      </c>
      <c r="G1128" s="2994">
        <v>9.6</v>
      </c>
      <c r="H1128" s="2994">
        <v>10.32</v>
      </c>
      <c r="I1128" s="2994">
        <v>12.72</v>
      </c>
      <c r="J1128" s="2994">
        <v>13.52</v>
      </c>
      <c r="K1128" s="2994">
        <v>11.821199999999999</v>
      </c>
      <c r="L1128" s="2994">
        <v>12.427300000000001</v>
      </c>
      <c r="M1128" s="2994">
        <v>13.640599999999999</v>
      </c>
      <c r="N1128" s="2994">
        <v>13.6424</v>
      </c>
      <c r="O1128" s="2994">
        <v>16.672699999999999</v>
      </c>
      <c r="P1128" s="2994">
        <v>14.51</v>
      </c>
      <c r="Q1128" s="2994">
        <v>15.505000000000001</v>
      </c>
      <c r="R1128" s="2994">
        <v>16.5075</v>
      </c>
      <c r="S1128" s="2994">
        <v>15.878299999999999</v>
      </c>
      <c r="T1128" s="2994">
        <v>16.747800000000002</v>
      </c>
      <c r="U1128" s="2994">
        <v>17.619599999999998</v>
      </c>
      <c r="V1128" s="2994">
        <v>18.926100000000002</v>
      </c>
      <c r="W1128" s="2994">
        <v>16.3093</v>
      </c>
      <c r="X1128" s="2994">
        <v>17.4222</v>
      </c>
      <c r="Y1128" s="2994">
        <v>18.5352</v>
      </c>
      <c r="Z1128" s="2994">
        <v>1.6528</v>
      </c>
      <c r="AA1128" s="2994">
        <v>1.591</v>
      </c>
      <c r="AB1128" s="2994">
        <v>1.532</v>
      </c>
      <c r="AC1128" s="2994">
        <v>1.5932999999999999</v>
      </c>
      <c r="AD1128" s="2994">
        <v>1.72</v>
      </c>
      <c r="AE1128" s="2994">
        <v>1.3117000000000001</v>
      </c>
      <c r="AF1128" s="2994">
        <v>1.3454999999999999</v>
      </c>
      <c r="AG1128" s="2994">
        <v>1.2726999999999999</v>
      </c>
      <c r="AH1128" s="2994">
        <v>1.3946000000000001</v>
      </c>
      <c r="AI1128" s="2994">
        <v>1.2635000000000001</v>
      </c>
      <c r="AJ1128" s="2994">
        <v>1.2723</v>
      </c>
      <c r="AK1128" s="2994">
        <v>1.1293</v>
      </c>
      <c r="AL1128" s="2994">
        <v>1.2492000000000001</v>
      </c>
      <c r="AM1128" s="2994">
        <v>1.3648</v>
      </c>
      <c r="AN1128" s="2994">
        <v>1.2659</v>
      </c>
      <c r="AO1128" s="2994">
        <v>1.3797999999999999</v>
      </c>
      <c r="AP1128" s="2994">
        <v>1.1929000000000001</v>
      </c>
      <c r="AQ1128" s="2994">
        <v>1.2237</v>
      </c>
      <c r="AR1128" s="2994">
        <v>1.2435</v>
      </c>
      <c r="AS1128" s="2994">
        <v>1.1901999999999999</v>
      </c>
      <c r="AT1128" s="2994">
        <v>1.1792</v>
      </c>
      <c r="AU1128" s="2994">
        <v>1.1626000000000001</v>
      </c>
      <c r="AV1128" s="2994">
        <v>1.1456</v>
      </c>
      <c r="AW1128" s="2994">
        <v>1.1240000000000001</v>
      </c>
      <c r="AX1128" s="2994">
        <v>1.1137999999999999</v>
      </c>
      <c r="AY1128" s="2994">
        <v>1.1104000000000001</v>
      </c>
      <c r="AZ1128" s="2994">
        <v>1.173</v>
      </c>
      <c r="BA1128" s="2994">
        <v>1.2192000000000001</v>
      </c>
      <c r="BB1128" s="2994">
        <v>1.2377</v>
      </c>
      <c r="BC1128" s="2994">
        <v>1.1480999999999999</v>
      </c>
      <c r="BD1128" s="3471">
        <v>1.2073</v>
      </c>
      <c r="BE1128" s="3471">
        <v>1.2604</v>
      </c>
      <c r="BF1128" s="3471">
        <v>0</v>
      </c>
    </row>
    <row r="1129" spans="1:58">
      <c r="A1129" s="1817" t="str">
        <f t="shared" si="35"/>
        <v>South-Eastern AsiaSpinach</v>
      </c>
      <c r="B1129" s="1818" t="s">
        <v>1394</v>
      </c>
      <c r="C1129" s="1818" t="s">
        <v>7378</v>
      </c>
      <c r="D1129" s="3463" t="str">
        <f>VLOOKUP(B1129,List_Yield!$G$4:$J$14,4,FALSE)</f>
        <v>Asia (Insular)</v>
      </c>
      <c r="E1129" s="3463" t="str">
        <f t="shared" si="34"/>
        <v>Asia (Insular)Spinach</v>
      </c>
      <c r="F1129" s="2994">
        <v>0</v>
      </c>
      <c r="G1129" s="2994">
        <v>0</v>
      </c>
      <c r="H1129" s="2994">
        <v>0</v>
      </c>
      <c r="I1129" s="2994">
        <v>0</v>
      </c>
      <c r="J1129" s="2994">
        <v>0</v>
      </c>
      <c r="K1129" s="2994">
        <v>0</v>
      </c>
      <c r="L1129" s="2994">
        <v>0</v>
      </c>
      <c r="M1129" s="2994">
        <v>0</v>
      </c>
      <c r="N1129" s="2994">
        <v>0</v>
      </c>
      <c r="O1129" s="2994">
        <v>0</v>
      </c>
      <c r="P1129" s="2994">
        <v>0</v>
      </c>
      <c r="Q1129" s="2994">
        <v>0</v>
      </c>
      <c r="R1129" s="2994">
        <v>0</v>
      </c>
      <c r="S1129" s="2994">
        <v>0</v>
      </c>
      <c r="T1129" s="2994">
        <v>0</v>
      </c>
      <c r="U1129" s="2994">
        <v>0</v>
      </c>
      <c r="V1129" s="2994">
        <v>0</v>
      </c>
      <c r="W1129" s="2994">
        <v>0</v>
      </c>
      <c r="X1129" s="2994">
        <v>0</v>
      </c>
      <c r="Y1129" s="2994">
        <v>0</v>
      </c>
      <c r="Z1129" s="2994">
        <v>0</v>
      </c>
      <c r="AA1129" s="2994">
        <v>1.6009</v>
      </c>
      <c r="AB1129" s="2994">
        <v>1.9995000000000001</v>
      </c>
      <c r="AC1129" s="2994">
        <v>2.7989000000000002</v>
      </c>
      <c r="AD1129" s="2994">
        <v>2.0447000000000002</v>
      </c>
      <c r="AE1129" s="2994">
        <v>2.0249999999999999</v>
      </c>
      <c r="AF1129" s="2994">
        <v>2.4152</v>
      </c>
      <c r="AG1129" s="2994">
        <v>2.0750000000000002</v>
      </c>
      <c r="AH1129" s="2994">
        <v>1.7370000000000001</v>
      </c>
      <c r="AI1129" s="2994">
        <v>2.456</v>
      </c>
      <c r="AJ1129" s="2994">
        <v>2.2654000000000001</v>
      </c>
      <c r="AK1129" s="2994">
        <v>2.3102999999999998</v>
      </c>
      <c r="AL1129" s="2994">
        <v>3.0085999999999999</v>
      </c>
      <c r="AM1129" s="2994">
        <v>2.2298</v>
      </c>
      <c r="AN1129" s="2994">
        <v>3.7665000000000002</v>
      </c>
      <c r="AO1129" s="2994">
        <v>3.1499000000000001</v>
      </c>
      <c r="AP1129" s="2994">
        <v>2.1095999999999999</v>
      </c>
      <c r="AQ1129" s="2994">
        <v>2.57</v>
      </c>
      <c r="AR1129" s="2994">
        <v>2.3576000000000001</v>
      </c>
      <c r="AS1129" s="2994">
        <v>2.1187999999999998</v>
      </c>
      <c r="AT1129" s="2994">
        <v>2.0640999999999998</v>
      </c>
      <c r="AU1129" s="2994">
        <v>2.202</v>
      </c>
      <c r="AV1129" s="2994">
        <v>3.3559000000000001</v>
      </c>
      <c r="AW1129" s="2994">
        <v>3.1838000000000002</v>
      </c>
      <c r="AX1129" s="2994">
        <v>3.3917000000000002</v>
      </c>
      <c r="AY1129" s="2994">
        <v>3.5207000000000002</v>
      </c>
      <c r="AZ1129" s="2994">
        <v>3.6004</v>
      </c>
      <c r="BA1129" s="2994">
        <v>3.6924000000000001</v>
      </c>
      <c r="BB1129" s="2994">
        <v>3.8946000000000001</v>
      </c>
      <c r="BC1129" s="2994">
        <v>3.1488999999999998</v>
      </c>
      <c r="BD1129" s="3471">
        <v>3.4552</v>
      </c>
      <c r="BE1129" s="3471">
        <v>3.4034</v>
      </c>
      <c r="BF1129" s="3471">
        <v>0</v>
      </c>
    </row>
    <row r="1130" spans="1:58">
      <c r="A1130" s="1817" t="str">
        <f t="shared" si="35"/>
        <v>South-Eastern AsiaStrawberries</v>
      </c>
      <c r="B1130" s="1818" t="s">
        <v>1394</v>
      </c>
      <c r="C1130" s="1818" t="s">
        <v>1374</v>
      </c>
      <c r="D1130" s="3463" t="str">
        <f>VLOOKUP(B1130,List_Yield!$G$4:$J$14,4,FALSE)</f>
        <v>Asia (Insular)</v>
      </c>
      <c r="E1130" s="3463" t="str">
        <f t="shared" si="34"/>
        <v>Asia (Insular)Strawberries</v>
      </c>
      <c r="F1130" s="2994">
        <v>0</v>
      </c>
      <c r="G1130" s="2994">
        <v>0</v>
      </c>
      <c r="H1130" s="2994">
        <v>0</v>
      </c>
      <c r="I1130" s="2994">
        <v>0</v>
      </c>
      <c r="J1130" s="2994">
        <v>0</v>
      </c>
      <c r="K1130" s="2994">
        <v>0</v>
      </c>
      <c r="L1130" s="2994">
        <v>0</v>
      </c>
      <c r="M1130" s="2994">
        <v>0</v>
      </c>
      <c r="N1130" s="2994">
        <v>0</v>
      </c>
      <c r="O1130" s="2994">
        <v>0</v>
      </c>
      <c r="P1130" s="2994">
        <v>0</v>
      </c>
      <c r="Q1130" s="2994">
        <v>0</v>
      </c>
      <c r="R1130" s="2994">
        <v>0</v>
      </c>
      <c r="S1130" s="2994">
        <v>0</v>
      </c>
      <c r="T1130" s="2994">
        <v>0</v>
      </c>
      <c r="U1130" s="2994">
        <v>0</v>
      </c>
      <c r="V1130" s="2994">
        <v>0</v>
      </c>
      <c r="W1130" s="2994">
        <v>0</v>
      </c>
      <c r="X1130" s="2994">
        <v>0</v>
      </c>
      <c r="Y1130" s="2994">
        <v>0</v>
      </c>
      <c r="Z1130" s="2994">
        <v>0</v>
      </c>
      <c r="AA1130" s="2994">
        <v>0</v>
      </c>
      <c r="AB1130" s="2994">
        <v>0</v>
      </c>
      <c r="AC1130" s="2994">
        <v>0</v>
      </c>
      <c r="AD1130" s="2994">
        <v>0</v>
      </c>
      <c r="AE1130" s="2994">
        <v>0</v>
      </c>
      <c r="AF1130" s="2994">
        <v>0</v>
      </c>
      <c r="AG1130" s="2994">
        <v>0</v>
      </c>
      <c r="AH1130" s="2994">
        <v>0</v>
      </c>
      <c r="AI1130" s="2994">
        <v>11.9214</v>
      </c>
      <c r="AJ1130" s="2994">
        <v>12.2727</v>
      </c>
      <c r="AK1130" s="2994">
        <v>12.1286</v>
      </c>
      <c r="AL1130" s="2994">
        <v>12.014200000000001</v>
      </c>
      <c r="AM1130" s="2994">
        <v>10.8591</v>
      </c>
      <c r="AN1130" s="2994">
        <v>10.534800000000001</v>
      </c>
      <c r="AO1130" s="2994">
        <v>12</v>
      </c>
      <c r="AP1130" s="2994">
        <v>11.6364</v>
      </c>
      <c r="AQ1130" s="2994">
        <v>12.2</v>
      </c>
      <c r="AR1130" s="2994">
        <v>11.43</v>
      </c>
      <c r="AS1130" s="2994">
        <v>11.872299999999999</v>
      </c>
      <c r="AT1130" s="2994">
        <v>10.838100000000001</v>
      </c>
      <c r="AU1130" s="2994">
        <v>10.5505</v>
      </c>
      <c r="AV1130" s="2994">
        <v>10.6091</v>
      </c>
      <c r="AW1130" s="2994">
        <v>5.2655000000000003</v>
      </c>
      <c r="AX1130" s="2994">
        <v>11.8</v>
      </c>
      <c r="AY1130" s="2994">
        <v>11.22</v>
      </c>
      <c r="AZ1130" s="2994">
        <v>12.1</v>
      </c>
      <c r="BA1130" s="2994">
        <v>6.1402000000000001</v>
      </c>
      <c r="BB1130" s="2994">
        <v>6.1698000000000004</v>
      </c>
      <c r="BC1130" s="2994">
        <v>5.7641999999999998</v>
      </c>
      <c r="BD1130" s="3471">
        <v>5.6018999999999997</v>
      </c>
      <c r="BE1130" s="3471">
        <v>5.8380999999999998</v>
      </c>
      <c r="BF1130" s="3471">
        <v>0</v>
      </c>
    </row>
    <row r="1131" spans="1:58">
      <c r="A1131" s="1817" t="str">
        <f t="shared" si="35"/>
        <v>South-Eastern AsiaString beans</v>
      </c>
      <c r="B1131" s="1818" t="s">
        <v>1394</v>
      </c>
      <c r="C1131" s="1818" t="s">
        <v>7379</v>
      </c>
      <c r="D1131" s="3463" t="str">
        <f>VLOOKUP(B1131,List_Yield!$G$4:$J$14,4,FALSE)</f>
        <v>Asia (Insular)</v>
      </c>
      <c r="E1131" s="3463" t="str">
        <f t="shared" si="34"/>
        <v>Asia (Insular)String beans</v>
      </c>
      <c r="F1131" s="2994">
        <v>0</v>
      </c>
      <c r="G1131" s="2994">
        <v>0</v>
      </c>
      <c r="H1131" s="2994">
        <v>0</v>
      </c>
      <c r="I1131" s="2994">
        <v>0</v>
      </c>
      <c r="J1131" s="2994">
        <v>0</v>
      </c>
      <c r="K1131" s="2994">
        <v>0</v>
      </c>
      <c r="L1131" s="2994">
        <v>0</v>
      </c>
      <c r="M1131" s="2994">
        <v>0</v>
      </c>
      <c r="N1131" s="2994">
        <v>0</v>
      </c>
      <c r="O1131" s="2994">
        <v>0</v>
      </c>
      <c r="P1131" s="2994">
        <v>0</v>
      </c>
      <c r="Q1131" s="2994">
        <v>0</v>
      </c>
      <c r="R1131" s="2994">
        <v>0</v>
      </c>
      <c r="S1131" s="2994">
        <v>0</v>
      </c>
      <c r="T1131" s="2994">
        <v>0</v>
      </c>
      <c r="U1131" s="2994">
        <v>0</v>
      </c>
      <c r="V1131" s="2994">
        <v>0</v>
      </c>
      <c r="W1131" s="2994">
        <v>0</v>
      </c>
      <c r="X1131" s="2994">
        <v>0</v>
      </c>
      <c r="Y1131" s="2994">
        <v>0</v>
      </c>
      <c r="Z1131" s="2994">
        <v>0</v>
      </c>
      <c r="AA1131" s="2994">
        <v>0</v>
      </c>
      <c r="AB1131" s="2994">
        <v>0</v>
      </c>
      <c r="AC1131" s="2994">
        <v>0</v>
      </c>
      <c r="AD1131" s="2994">
        <v>0</v>
      </c>
      <c r="AE1131" s="2994">
        <v>0</v>
      </c>
      <c r="AF1131" s="2994">
        <v>0</v>
      </c>
      <c r="AG1131" s="2994">
        <v>0</v>
      </c>
      <c r="AH1131" s="2994">
        <v>0</v>
      </c>
      <c r="AI1131" s="2994">
        <v>3.1105</v>
      </c>
      <c r="AJ1131" s="2994">
        <v>3.0627</v>
      </c>
      <c r="AK1131" s="2994">
        <v>3.25</v>
      </c>
      <c r="AL1131" s="2994">
        <v>3.2458999999999998</v>
      </c>
      <c r="AM1131" s="2994">
        <v>3.4540000000000002</v>
      </c>
      <c r="AN1131" s="2994">
        <v>3.4131</v>
      </c>
      <c r="AO1131" s="2994">
        <v>3.3757999999999999</v>
      </c>
      <c r="AP1131" s="2994">
        <v>3.3062</v>
      </c>
      <c r="AQ1131" s="2994">
        <v>3.1888000000000001</v>
      </c>
      <c r="AR1131" s="2994">
        <v>3.3506</v>
      </c>
      <c r="AS1131" s="2994">
        <v>3.4243000000000001</v>
      </c>
      <c r="AT1131" s="2994">
        <v>3.5044</v>
      </c>
      <c r="AU1131" s="2994">
        <v>3.6128</v>
      </c>
      <c r="AV1131" s="2994">
        <v>8.1930999999999994</v>
      </c>
      <c r="AW1131" s="2994">
        <v>7.5883000000000003</v>
      </c>
      <c r="AX1131" s="2994">
        <v>7.6191000000000004</v>
      </c>
      <c r="AY1131" s="2994">
        <v>7.6745999999999999</v>
      </c>
      <c r="AZ1131" s="2994">
        <v>7.7843</v>
      </c>
      <c r="BA1131" s="2994">
        <v>8.0775000000000006</v>
      </c>
      <c r="BB1131" s="2994">
        <v>8.0576000000000008</v>
      </c>
      <c r="BC1131" s="2994">
        <v>8.0685000000000002</v>
      </c>
      <c r="BD1131" s="3471">
        <v>8.1341000000000001</v>
      </c>
      <c r="BE1131" s="3471">
        <v>8.2565000000000008</v>
      </c>
      <c r="BF1131" s="3471">
        <v>0</v>
      </c>
    </row>
    <row r="1132" spans="1:58">
      <c r="A1132" s="1817" t="str">
        <f t="shared" si="35"/>
        <v>South-Eastern AsiaSugar beet</v>
      </c>
      <c r="B1132" s="1818" t="s">
        <v>1394</v>
      </c>
      <c r="C1132" s="1818" t="s">
        <v>1332</v>
      </c>
      <c r="D1132" s="3463" t="str">
        <f>VLOOKUP(B1132,List_Yield!$G$4:$J$14,4,FALSE)</f>
        <v>Asia (Insular)</v>
      </c>
      <c r="E1132" s="3463" t="str">
        <f t="shared" si="34"/>
        <v>Asia (Insular)Sugar beet</v>
      </c>
      <c r="F1132" s="2994">
        <v>0</v>
      </c>
      <c r="G1132" s="2994">
        <v>0</v>
      </c>
      <c r="H1132" s="2994">
        <v>0</v>
      </c>
      <c r="I1132" s="2994">
        <v>0</v>
      </c>
      <c r="J1132" s="2994">
        <v>0</v>
      </c>
      <c r="K1132" s="2994">
        <v>0</v>
      </c>
      <c r="L1132" s="2994">
        <v>0</v>
      </c>
      <c r="M1132" s="2994">
        <v>0</v>
      </c>
      <c r="N1132" s="2994">
        <v>0</v>
      </c>
      <c r="O1132" s="2994">
        <v>0</v>
      </c>
      <c r="P1132" s="2994">
        <v>0</v>
      </c>
      <c r="Q1132" s="2994">
        <v>0</v>
      </c>
      <c r="R1132" s="2994">
        <v>0</v>
      </c>
      <c r="S1132" s="2994">
        <v>0</v>
      </c>
      <c r="T1132" s="2994">
        <v>0</v>
      </c>
      <c r="U1132" s="2994">
        <v>0</v>
      </c>
      <c r="V1132" s="2994">
        <v>0</v>
      </c>
      <c r="W1132" s="2994">
        <v>0</v>
      </c>
      <c r="X1132" s="2994">
        <v>0</v>
      </c>
      <c r="Y1132" s="2994">
        <v>0</v>
      </c>
      <c r="Z1132" s="2994">
        <v>0</v>
      </c>
      <c r="AA1132" s="2994">
        <v>0</v>
      </c>
      <c r="AB1132" s="2994">
        <v>0</v>
      </c>
      <c r="AC1132" s="2994">
        <v>0</v>
      </c>
      <c r="AD1132" s="2994">
        <v>0</v>
      </c>
      <c r="AE1132" s="2994">
        <v>0</v>
      </c>
      <c r="AF1132" s="2994">
        <v>0</v>
      </c>
      <c r="AG1132" s="2994">
        <v>0</v>
      </c>
      <c r="AH1132" s="2994">
        <v>0</v>
      </c>
      <c r="AI1132" s="2994">
        <v>0</v>
      </c>
      <c r="AJ1132" s="2994">
        <v>0</v>
      </c>
      <c r="AK1132" s="2994">
        <v>0</v>
      </c>
      <c r="AL1132" s="2994">
        <v>0</v>
      </c>
      <c r="AM1132" s="2994">
        <v>0</v>
      </c>
      <c r="AN1132" s="2994">
        <v>0</v>
      </c>
      <c r="AO1132" s="2994">
        <v>0</v>
      </c>
      <c r="AP1132" s="2994">
        <v>0</v>
      </c>
      <c r="AQ1132" s="2994">
        <v>0</v>
      </c>
      <c r="AR1132" s="2994">
        <v>0</v>
      </c>
      <c r="AS1132" s="2994">
        <v>0</v>
      </c>
      <c r="AT1132" s="2994">
        <v>0</v>
      </c>
      <c r="AU1132" s="2994">
        <v>0</v>
      </c>
      <c r="AV1132" s="2994">
        <v>0</v>
      </c>
      <c r="AW1132" s="2994">
        <v>0</v>
      </c>
      <c r="AX1132" s="2994">
        <v>0</v>
      </c>
      <c r="AY1132" s="2994">
        <v>0</v>
      </c>
      <c r="AZ1132" s="2994">
        <v>0</v>
      </c>
      <c r="BA1132" s="2994">
        <v>0</v>
      </c>
      <c r="BB1132" s="2994">
        <v>0</v>
      </c>
      <c r="BC1132" s="2994">
        <v>0</v>
      </c>
      <c r="BD1132" s="3471">
        <v>0</v>
      </c>
      <c r="BE1132" s="3471">
        <v>0</v>
      </c>
      <c r="BF1132" s="3471">
        <v>0</v>
      </c>
    </row>
    <row r="1133" spans="1:58">
      <c r="A1133" s="1817" t="str">
        <f t="shared" si="35"/>
        <v>South-Eastern AsiaSugar cane</v>
      </c>
      <c r="B1133" s="1818" t="s">
        <v>1394</v>
      </c>
      <c r="C1133" s="1818" t="s">
        <v>1375</v>
      </c>
      <c r="D1133" s="3463" t="str">
        <f>VLOOKUP(B1133,List_Yield!$G$4:$J$14,4,FALSE)</f>
        <v>Asia (Insular)</v>
      </c>
      <c r="E1133" s="3463" t="str">
        <f t="shared" si="34"/>
        <v>Asia (Insular)Sugar cane</v>
      </c>
      <c r="F1133" s="2994">
        <v>72.658500000000004</v>
      </c>
      <c r="G1133" s="2994">
        <v>72.218400000000003</v>
      </c>
      <c r="H1133" s="2994">
        <v>71.676100000000005</v>
      </c>
      <c r="I1133" s="2994">
        <v>74.489599999999996</v>
      </c>
      <c r="J1133" s="2994">
        <v>64.059700000000007</v>
      </c>
      <c r="K1133" s="2994">
        <v>62.645099999999999</v>
      </c>
      <c r="L1133" s="2994">
        <v>69.901700000000005</v>
      </c>
      <c r="M1133" s="2994">
        <v>66.213999999999999</v>
      </c>
      <c r="N1133" s="2994">
        <v>66.024600000000007</v>
      </c>
      <c r="O1133" s="2994">
        <v>69.581199999999995</v>
      </c>
      <c r="P1133" s="2994">
        <v>66.015100000000004</v>
      </c>
      <c r="Q1133" s="2994">
        <v>59.586399999999998</v>
      </c>
      <c r="R1133" s="2994">
        <v>62.262999999999998</v>
      </c>
      <c r="S1133" s="2994">
        <v>68.713499999999996</v>
      </c>
      <c r="T1133" s="2994">
        <v>63.857100000000003</v>
      </c>
      <c r="U1133" s="2994">
        <v>64.638900000000007</v>
      </c>
      <c r="V1133" s="2994">
        <v>60.801499999999997</v>
      </c>
      <c r="W1133" s="2994">
        <v>53.937800000000003</v>
      </c>
      <c r="X1133" s="2994">
        <v>60.23</v>
      </c>
      <c r="Y1133" s="2994">
        <v>55.6892</v>
      </c>
      <c r="Z1133" s="2994">
        <v>65.736900000000006</v>
      </c>
      <c r="AA1133" s="2994">
        <v>64.841499999999996</v>
      </c>
      <c r="AB1133" s="2994">
        <v>59.680599999999998</v>
      </c>
      <c r="AC1133" s="2994">
        <v>64.801500000000004</v>
      </c>
      <c r="AD1133" s="2994">
        <v>57.577399999999997</v>
      </c>
      <c r="AE1133" s="2994">
        <v>58.330800000000004</v>
      </c>
      <c r="AF1133" s="2994">
        <v>59.024099999999997</v>
      </c>
      <c r="AG1133" s="2994">
        <v>62.759500000000003</v>
      </c>
      <c r="AH1133" s="2994">
        <v>66.545500000000004</v>
      </c>
      <c r="AI1133" s="2994">
        <v>61.5503</v>
      </c>
      <c r="AJ1133" s="2994">
        <v>59.648099999999999</v>
      </c>
      <c r="AK1133" s="2994">
        <v>62.464399999999998</v>
      </c>
      <c r="AL1133" s="2994">
        <v>55.745899999999999</v>
      </c>
      <c r="AM1133" s="2994">
        <v>58.329700000000003</v>
      </c>
      <c r="AN1133" s="2994">
        <v>58.9313</v>
      </c>
      <c r="AO1133" s="2994">
        <v>60.741900000000001</v>
      </c>
      <c r="AP1133" s="2994">
        <v>61.789900000000003</v>
      </c>
      <c r="AQ1133" s="2994">
        <v>58.006500000000003</v>
      </c>
      <c r="AR1133" s="2994">
        <v>57.6845</v>
      </c>
      <c r="AS1133" s="2994">
        <v>58.943300000000001</v>
      </c>
      <c r="AT1133" s="2994">
        <v>59.854999999999997</v>
      </c>
      <c r="AU1133" s="2994">
        <v>62.394599999999997</v>
      </c>
      <c r="AV1133" s="2994">
        <v>66.914500000000004</v>
      </c>
      <c r="AW1133" s="2994">
        <v>65.054000000000002</v>
      </c>
      <c r="AX1133" s="2994">
        <v>60.573</v>
      </c>
      <c r="AY1133" s="2994">
        <v>61.425400000000003</v>
      </c>
      <c r="AZ1133" s="2994">
        <v>65.578400000000002</v>
      </c>
      <c r="BA1133" s="2994">
        <v>68.842699999999994</v>
      </c>
      <c r="BB1133" s="2994">
        <v>68.05</v>
      </c>
      <c r="BC1133" s="2994">
        <v>67.570599999999999</v>
      </c>
      <c r="BD1133" s="3471">
        <v>68.334000000000003</v>
      </c>
      <c r="BE1133" s="3471">
        <v>72.079800000000006</v>
      </c>
      <c r="BF1133" s="3471">
        <v>72.432900000000004</v>
      </c>
    </row>
    <row r="1134" spans="1:58">
      <c r="A1134" s="1817" t="str">
        <f t="shared" si="35"/>
        <v>South-Eastern AsiaSugar crops, nes</v>
      </c>
      <c r="B1134" s="1818" t="s">
        <v>1394</v>
      </c>
      <c r="C1134" s="1818" t="s">
        <v>7380</v>
      </c>
      <c r="D1134" s="3463" t="str">
        <f>VLOOKUP(B1134,List_Yield!$G$4:$J$14,4,FALSE)</f>
        <v>Asia (Insular)</v>
      </c>
      <c r="E1134" s="3463" t="str">
        <f t="shared" si="34"/>
        <v>Asia (Insular)Sugar crops, nes</v>
      </c>
      <c r="F1134" s="2994">
        <v>2.6173999999999999</v>
      </c>
      <c r="G1134" s="2994">
        <v>2.6151</v>
      </c>
      <c r="H1134" s="2994">
        <v>2.6137999999999999</v>
      </c>
      <c r="I1134" s="2994">
        <v>2.6055999999999999</v>
      </c>
      <c r="J1134" s="2994">
        <v>2.6046999999999998</v>
      </c>
      <c r="K1134" s="2994">
        <v>2.5985</v>
      </c>
      <c r="L1134" s="2994">
        <v>2.6112000000000002</v>
      </c>
      <c r="M1134" s="2994">
        <v>2.6269</v>
      </c>
      <c r="N1134" s="2994">
        <v>2.6473</v>
      </c>
      <c r="O1134" s="2994">
        <v>2.6756000000000002</v>
      </c>
      <c r="P1134" s="2994">
        <v>2.6768999999999998</v>
      </c>
      <c r="Q1134" s="2994">
        <v>2.6718999999999999</v>
      </c>
      <c r="R1134" s="2994">
        <v>2.7037</v>
      </c>
      <c r="S1134" s="2994">
        <v>2.6758000000000002</v>
      </c>
      <c r="T1134" s="2994">
        <v>2.7749999999999999</v>
      </c>
      <c r="U1134" s="2994">
        <v>2.8106</v>
      </c>
      <c r="V1134" s="2994">
        <v>2.8445999999999998</v>
      </c>
      <c r="W1134" s="2994">
        <v>2.9013</v>
      </c>
      <c r="X1134" s="2994">
        <v>2.9066999999999998</v>
      </c>
      <c r="Y1134" s="2994">
        <v>2.9034</v>
      </c>
      <c r="Z1134" s="2994">
        <v>2.8921000000000001</v>
      </c>
      <c r="AA1134" s="2994">
        <v>2.9001999999999999</v>
      </c>
      <c r="AB1134" s="2994">
        <v>2.9266999999999999</v>
      </c>
      <c r="AC1134" s="2994">
        <v>3.1154999999999999</v>
      </c>
      <c r="AD1134" s="2994">
        <v>3.3109000000000002</v>
      </c>
      <c r="AE1134" s="2994">
        <v>3.7475999999999998</v>
      </c>
      <c r="AF1134" s="2994">
        <v>4.1845999999999997</v>
      </c>
      <c r="AG1134" s="2994">
        <v>4.3959000000000001</v>
      </c>
      <c r="AH1134" s="2994">
        <v>3.9910999999999999</v>
      </c>
      <c r="AI1134" s="2994">
        <v>3.9365000000000001</v>
      </c>
      <c r="AJ1134" s="2994">
        <v>3.9312</v>
      </c>
      <c r="AK1134" s="2994">
        <v>3.9380000000000002</v>
      </c>
      <c r="AL1134" s="2994">
        <v>3.7141999999999999</v>
      </c>
      <c r="AM1134" s="2994">
        <v>3.73</v>
      </c>
      <c r="AN1134" s="2994">
        <v>4.1894</v>
      </c>
      <c r="AO1134" s="2994">
        <v>4.0994999999999999</v>
      </c>
      <c r="AP1134" s="2994">
        <v>4.5799000000000003</v>
      </c>
      <c r="AQ1134" s="2994">
        <v>4.8544</v>
      </c>
      <c r="AR1134" s="2994">
        <v>4.9474999999999998</v>
      </c>
      <c r="AS1134" s="2994">
        <v>4.8090999999999999</v>
      </c>
      <c r="AT1134" s="2994">
        <v>4.8438999999999997</v>
      </c>
      <c r="AU1134" s="2994">
        <v>5.0138999999999996</v>
      </c>
      <c r="AV1134" s="2994">
        <v>5.7611999999999997</v>
      </c>
      <c r="AW1134" s="2994">
        <v>5.4965000000000002</v>
      </c>
      <c r="AX1134" s="2994">
        <v>5.6483999999999996</v>
      </c>
      <c r="AY1134" s="2994">
        <v>5.7051999999999996</v>
      </c>
      <c r="AZ1134" s="2994">
        <v>5.56</v>
      </c>
      <c r="BA1134" s="2994">
        <v>5.6356999999999999</v>
      </c>
      <c r="BB1134" s="2994">
        <v>6.0484</v>
      </c>
      <c r="BC1134" s="2994">
        <v>6.1375999999999999</v>
      </c>
      <c r="BD1134" s="3471">
        <v>5.9112999999999998</v>
      </c>
      <c r="BE1134" s="3471">
        <v>5.8738000000000001</v>
      </c>
      <c r="BF1134" s="3471">
        <v>5.8052000000000001</v>
      </c>
    </row>
    <row r="1135" spans="1:58">
      <c r="A1135" s="1817" t="str">
        <f t="shared" si="35"/>
        <v>South-Eastern AsiaSunflower seed</v>
      </c>
      <c r="B1135" s="1818" t="s">
        <v>1394</v>
      </c>
      <c r="C1135" s="1818" t="s">
        <v>1376</v>
      </c>
      <c r="D1135" s="3463" t="str">
        <f>VLOOKUP(B1135,List_Yield!$G$4:$J$14,4,FALSE)</f>
        <v>Asia (Insular)</v>
      </c>
      <c r="E1135" s="3463" t="str">
        <f t="shared" si="34"/>
        <v>Asia (Insular)Sunflower seed</v>
      </c>
      <c r="F1135" s="2994">
        <v>0.33329999999999999</v>
      </c>
      <c r="G1135" s="2994">
        <v>0.3175</v>
      </c>
      <c r="H1135" s="2994">
        <v>0.30299999999999999</v>
      </c>
      <c r="I1135" s="2994">
        <v>0.32350000000000001</v>
      </c>
      <c r="J1135" s="2994">
        <v>0.34329999999999999</v>
      </c>
      <c r="K1135" s="2994">
        <v>0.27750000000000002</v>
      </c>
      <c r="L1135" s="2994">
        <v>0.27310000000000001</v>
      </c>
      <c r="M1135" s="2994">
        <v>0.28570000000000001</v>
      </c>
      <c r="N1135" s="2994">
        <v>0.28749999999999998</v>
      </c>
      <c r="O1135" s="2994">
        <v>0.33329999999999999</v>
      </c>
      <c r="P1135" s="2994">
        <v>0.44579999999999997</v>
      </c>
      <c r="Q1135" s="2994">
        <v>0.38140000000000002</v>
      </c>
      <c r="R1135" s="2994">
        <v>0.37380000000000002</v>
      </c>
      <c r="S1135" s="2994">
        <v>0.34489999999999998</v>
      </c>
      <c r="T1135" s="2994">
        <v>0.3407</v>
      </c>
      <c r="U1135" s="2994">
        <v>0.34660000000000002</v>
      </c>
      <c r="V1135" s="2994">
        <v>0.3503</v>
      </c>
      <c r="W1135" s="2994">
        <v>0.37469999999999998</v>
      </c>
      <c r="X1135" s="2994">
        <v>0.30149999999999999</v>
      </c>
      <c r="Y1135" s="2994">
        <v>0.5968</v>
      </c>
      <c r="Z1135" s="2994">
        <v>0.67090000000000005</v>
      </c>
      <c r="AA1135" s="2994">
        <v>0.76149999999999995</v>
      </c>
      <c r="AB1135" s="2994">
        <v>0.76970000000000005</v>
      </c>
      <c r="AC1135" s="2994">
        <v>0.88980000000000004</v>
      </c>
      <c r="AD1135" s="2994">
        <v>0.97770000000000001</v>
      </c>
      <c r="AE1135" s="2994">
        <v>1.0306</v>
      </c>
      <c r="AF1135" s="2994">
        <v>1.0860000000000001</v>
      </c>
      <c r="AG1135" s="2994">
        <v>0.96699999999999997</v>
      </c>
      <c r="AH1135" s="2994">
        <v>0.72919999999999996</v>
      </c>
      <c r="AI1135" s="2994">
        <v>0.66639999999999999</v>
      </c>
      <c r="AJ1135" s="2994">
        <v>0.66100000000000003</v>
      </c>
      <c r="AK1135" s="2994">
        <v>0.65529999999999999</v>
      </c>
      <c r="AL1135" s="2994">
        <v>0.66679999999999995</v>
      </c>
      <c r="AM1135" s="2994">
        <v>0.74739999999999995</v>
      </c>
      <c r="AN1135" s="2994">
        <v>0.65210000000000001</v>
      </c>
      <c r="AO1135" s="2994">
        <v>0.72809999999999997</v>
      </c>
      <c r="AP1135" s="2994">
        <v>0.75919999999999999</v>
      </c>
      <c r="AQ1135" s="2994">
        <v>0.77649999999999997</v>
      </c>
      <c r="AR1135" s="2994">
        <v>0.58250000000000002</v>
      </c>
      <c r="AS1135" s="2994">
        <v>0.39979999999999999</v>
      </c>
      <c r="AT1135" s="2994">
        <v>0.55820000000000003</v>
      </c>
      <c r="AU1135" s="2994">
        <v>0.5806</v>
      </c>
      <c r="AV1135" s="2994">
        <v>0.54120000000000001</v>
      </c>
      <c r="AW1135" s="2994">
        <v>0.6673</v>
      </c>
      <c r="AX1135" s="2994">
        <v>0.75570000000000004</v>
      </c>
      <c r="AY1135" s="2994">
        <v>0.83579999999999999</v>
      </c>
      <c r="AZ1135" s="2994">
        <v>0.83989999999999998</v>
      </c>
      <c r="BA1135" s="2994">
        <v>0.78410000000000002</v>
      </c>
      <c r="BB1135" s="2994">
        <v>0.88380000000000003</v>
      </c>
      <c r="BC1135" s="2994">
        <v>0.88560000000000005</v>
      </c>
      <c r="BD1135" s="3471">
        <v>0.88770000000000004</v>
      </c>
      <c r="BE1135" s="3471">
        <v>0.65669999999999995</v>
      </c>
      <c r="BF1135" s="3471">
        <v>0.64059999999999995</v>
      </c>
    </row>
    <row r="1136" spans="1:58">
      <c r="A1136" s="1817" t="str">
        <f t="shared" si="35"/>
        <v>South-Eastern AsiaSweet potatoes</v>
      </c>
      <c r="B1136" s="1818" t="s">
        <v>1394</v>
      </c>
      <c r="C1136" s="1818" t="s">
        <v>1377</v>
      </c>
      <c r="D1136" s="3463" t="str">
        <f>VLOOKUP(B1136,List_Yield!$G$4:$J$14,4,FALSE)</f>
        <v>Asia (Insular)</v>
      </c>
      <c r="E1136" s="3463" t="str">
        <f t="shared" si="34"/>
        <v>Asia (Insular)Sweet potatoes</v>
      </c>
      <c r="F1136" s="2994">
        <v>5.9264000000000001</v>
      </c>
      <c r="G1136" s="2994">
        <v>6.0835999999999997</v>
      </c>
      <c r="H1136" s="2994">
        <v>5.6816000000000004</v>
      </c>
      <c r="I1136" s="2994">
        <v>5.8617999999999997</v>
      </c>
      <c r="J1136" s="2994">
        <v>5.7397</v>
      </c>
      <c r="K1136" s="2994">
        <v>5.6285999999999996</v>
      </c>
      <c r="L1136" s="2994">
        <v>5.5477999999999996</v>
      </c>
      <c r="M1136" s="2994">
        <v>5.4507000000000003</v>
      </c>
      <c r="N1136" s="2994">
        <v>5.6973000000000003</v>
      </c>
      <c r="O1136" s="2994">
        <v>5.6874000000000002</v>
      </c>
      <c r="P1136" s="2994">
        <v>5.6978</v>
      </c>
      <c r="Q1136" s="2994">
        <v>5.4447000000000001</v>
      </c>
      <c r="R1136" s="2994">
        <v>5.6436999999999999</v>
      </c>
      <c r="S1136" s="2994">
        <v>6.0719000000000003</v>
      </c>
      <c r="T1136" s="2994">
        <v>6.1212999999999997</v>
      </c>
      <c r="U1136" s="2994">
        <v>6.2187999999999999</v>
      </c>
      <c r="V1136" s="2994">
        <v>5.6132</v>
      </c>
      <c r="W1136" s="2994">
        <v>5.7039999999999997</v>
      </c>
      <c r="X1136" s="2994">
        <v>5.99</v>
      </c>
      <c r="Y1136" s="2994">
        <v>5.7942</v>
      </c>
      <c r="Z1136" s="2994">
        <v>6.3261000000000003</v>
      </c>
      <c r="AA1136" s="2994">
        <v>6.1604999999999999</v>
      </c>
      <c r="AB1136" s="2994">
        <v>6.1440000000000001</v>
      </c>
      <c r="AC1136" s="2994">
        <v>6.0683999999999996</v>
      </c>
      <c r="AD1136" s="2994">
        <v>6.3845999999999998</v>
      </c>
      <c r="AE1136" s="2994">
        <v>6.4630000000000001</v>
      </c>
      <c r="AF1136" s="2994">
        <v>6.9153000000000002</v>
      </c>
      <c r="AG1136" s="2994">
        <v>6.5681000000000003</v>
      </c>
      <c r="AH1136" s="2994">
        <v>6.7206999999999999</v>
      </c>
      <c r="AI1136" s="2994">
        <v>6.8094999999999999</v>
      </c>
      <c r="AJ1136" s="2994">
        <v>6.7988</v>
      </c>
      <c r="AK1136" s="2994">
        <v>6.9694000000000003</v>
      </c>
      <c r="AL1136" s="2994">
        <v>6.8109999999999999</v>
      </c>
      <c r="AM1136" s="2994">
        <v>6.4122000000000003</v>
      </c>
      <c r="AN1136" s="2994">
        <v>6.6351000000000004</v>
      </c>
      <c r="AO1136" s="2994">
        <v>6.9462000000000002</v>
      </c>
      <c r="AP1136" s="2994">
        <v>6.7660999999999998</v>
      </c>
      <c r="AQ1136" s="2994">
        <v>6.7260999999999997</v>
      </c>
      <c r="AR1136" s="2994">
        <v>6.8216999999999999</v>
      </c>
      <c r="AS1136" s="2994">
        <v>6.8425000000000002</v>
      </c>
      <c r="AT1136" s="2994">
        <v>7.0865999999999998</v>
      </c>
      <c r="AU1136" s="2994">
        <v>7.4161999999999999</v>
      </c>
      <c r="AV1136" s="2994">
        <v>7.5358999999999998</v>
      </c>
      <c r="AW1136" s="2994">
        <v>7.7161</v>
      </c>
      <c r="AX1136" s="2994">
        <v>7.9417999999999997</v>
      </c>
      <c r="AY1136" s="2994">
        <v>8.0924999999999994</v>
      </c>
      <c r="AZ1136" s="2994">
        <v>8.1973000000000003</v>
      </c>
      <c r="BA1136" s="2994">
        <v>8.3559000000000001</v>
      </c>
      <c r="BB1136" s="2994">
        <v>8.5770999999999997</v>
      </c>
      <c r="BC1136" s="2994">
        <v>8.7715999999999994</v>
      </c>
      <c r="BD1136" s="3471">
        <v>9.5295000000000005</v>
      </c>
      <c r="BE1136" s="3471">
        <v>10.2972</v>
      </c>
      <c r="BF1136" s="3471">
        <v>10.6435</v>
      </c>
    </row>
    <row r="1137" spans="1:58">
      <c r="A1137" s="1817" t="str">
        <f t="shared" si="35"/>
        <v>South-Eastern AsiaTallowtree seed</v>
      </c>
      <c r="B1137" s="1818" t="s">
        <v>1394</v>
      </c>
      <c r="C1137" s="1818" t="s">
        <v>7381</v>
      </c>
      <c r="D1137" s="3463" t="str">
        <f>VLOOKUP(B1137,List_Yield!$G$4:$J$14,4,FALSE)</f>
        <v>Asia (Insular)</v>
      </c>
      <c r="E1137" s="3463" t="str">
        <f t="shared" si="34"/>
        <v>Asia (Insular)Tallowtree seed</v>
      </c>
      <c r="F1137" s="2994">
        <v>0</v>
      </c>
      <c r="G1137" s="2994">
        <v>0</v>
      </c>
      <c r="H1137" s="2994">
        <v>0</v>
      </c>
      <c r="I1137" s="2994">
        <v>0</v>
      </c>
      <c r="J1137" s="2994">
        <v>0</v>
      </c>
      <c r="K1137" s="2994">
        <v>0</v>
      </c>
      <c r="L1137" s="2994">
        <v>0</v>
      </c>
      <c r="M1137" s="2994">
        <v>0</v>
      </c>
      <c r="N1137" s="2994">
        <v>0</v>
      </c>
      <c r="O1137" s="2994">
        <v>0</v>
      </c>
      <c r="P1137" s="2994">
        <v>0</v>
      </c>
      <c r="Q1137" s="2994">
        <v>0</v>
      </c>
      <c r="R1137" s="2994">
        <v>0</v>
      </c>
      <c r="S1137" s="2994">
        <v>0</v>
      </c>
      <c r="T1137" s="2994">
        <v>0</v>
      </c>
      <c r="U1137" s="2994">
        <v>0</v>
      </c>
      <c r="V1137" s="2994">
        <v>0</v>
      </c>
      <c r="W1137" s="2994">
        <v>0</v>
      </c>
      <c r="X1137" s="2994">
        <v>0</v>
      </c>
      <c r="Y1137" s="2994">
        <v>0</v>
      </c>
      <c r="Z1137" s="2994">
        <v>0</v>
      </c>
      <c r="AA1137" s="2994">
        <v>0</v>
      </c>
      <c r="AB1137" s="2994">
        <v>0</v>
      </c>
      <c r="AC1137" s="2994">
        <v>0</v>
      </c>
      <c r="AD1137" s="2994">
        <v>0</v>
      </c>
      <c r="AE1137" s="2994">
        <v>0</v>
      </c>
      <c r="AF1137" s="2994">
        <v>0</v>
      </c>
      <c r="AG1137" s="2994">
        <v>0</v>
      </c>
      <c r="AH1137" s="2994">
        <v>0</v>
      </c>
      <c r="AI1137" s="2994">
        <v>0</v>
      </c>
      <c r="AJ1137" s="2994">
        <v>0</v>
      </c>
      <c r="AK1137" s="2994">
        <v>0</v>
      </c>
      <c r="AL1137" s="2994">
        <v>0</v>
      </c>
      <c r="AM1137" s="2994">
        <v>0</v>
      </c>
      <c r="AN1137" s="2994">
        <v>0</v>
      </c>
      <c r="AO1137" s="2994">
        <v>0</v>
      </c>
      <c r="AP1137" s="2994">
        <v>0</v>
      </c>
      <c r="AQ1137" s="2994">
        <v>0</v>
      </c>
      <c r="AR1137" s="2994">
        <v>0</v>
      </c>
      <c r="AS1137" s="2994">
        <v>0</v>
      </c>
      <c r="AT1137" s="2994">
        <v>0</v>
      </c>
      <c r="AU1137" s="2994">
        <v>0</v>
      </c>
      <c r="AV1137" s="2994">
        <v>0</v>
      </c>
      <c r="AW1137" s="2994">
        <v>0</v>
      </c>
      <c r="AX1137" s="2994">
        <v>0</v>
      </c>
      <c r="AY1137" s="2994">
        <v>0</v>
      </c>
      <c r="AZ1137" s="2994">
        <v>0</v>
      </c>
      <c r="BA1137" s="2994">
        <v>0</v>
      </c>
      <c r="BB1137" s="2994">
        <v>0</v>
      </c>
      <c r="BC1137" s="2994">
        <v>0</v>
      </c>
      <c r="BD1137" s="3471">
        <v>0</v>
      </c>
      <c r="BE1137" s="3471">
        <v>0</v>
      </c>
      <c r="BF1137" s="3471">
        <v>0</v>
      </c>
    </row>
    <row r="1138" spans="1:58">
      <c r="A1138" s="1817" t="str">
        <f t="shared" si="35"/>
        <v>South-Eastern AsiaTangerines, mandarins, clementines, satsumas</v>
      </c>
      <c r="B1138" s="1818" t="s">
        <v>1394</v>
      </c>
      <c r="C1138" s="1818" t="s">
        <v>7382</v>
      </c>
      <c r="D1138" s="3463" t="str">
        <f>VLOOKUP(B1138,List_Yield!$G$4:$J$14,4,FALSE)</f>
        <v>Asia (Insular)</v>
      </c>
      <c r="E1138" s="3463" t="str">
        <f t="shared" si="34"/>
        <v>Asia (Insular)Tangerines, mandarins, clementines, satsumas</v>
      </c>
      <c r="F1138" s="2994">
        <v>10.338900000000001</v>
      </c>
      <c r="G1138" s="2994">
        <v>9.3840000000000003</v>
      </c>
      <c r="H1138" s="2994">
        <v>9.3870000000000005</v>
      </c>
      <c r="I1138" s="2994">
        <v>9.3411000000000008</v>
      </c>
      <c r="J1138" s="2994">
        <v>9.5045000000000002</v>
      </c>
      <c r="K1138" s="2994">
        <v>9.5580999999999996</v>
      </c>
      <c r="L1138" s="2994">
        <v>9.5634999999999994</v>
      </c>
      <c r="M1138" s="2994">
        <v>9.6936</v>
      </c>
      <c r="N1138" s="2994">
        <v>10.657299999999999</v>
      </c>
      <c r="O1138" s="2994">
        <v>10.950900000000001</v>
      </c>
      <c r="P1138" s="2994">
        <v>11.517300000000001</v>
      </c>
      <c r="Q1138" s="2994">
        <v>11.869</v>
      </c>
      <c r="R1138" s="2994">
        <v>11.764200000000001</v>
      </c>
      <c r="S1138" s="2994">
        <v>11.902699999999999</v>
      </c>
      <c r="T1138" s="2994">
        <v>11.9123</v>
      </c>
      <c r="U1138" s="2994">
        <v>11.9787</v>
      </c>
      <c r="V1138" s="2994">
        <v>12.2111</v>
      </c>
      <c r="W1138" s="2994">
        <v>11.936500000000001</v>
      </c>
      <c r="X1138" s="2994">
        <v>11.9231</v>
      </c>
      <c r="Y1138" s="2994">
        <v>11.8613</v>
      </c>
      <c r="Z1138" s="2994">
        <v>12.0014</v>
      </c>
      <c r="AA1138" s="2994">
        <v>12.2218</v>
      </c>
      <c r="AB1138" s="2994">
        <v>10.830500000000001</v>
      </c>
      <c r="AC1138" s="2994">
        <v>9.5494000000000003</v>
      </c>
      <c r="AD1138" s="2994">
        <v>12.176600000000001</v>
      </c>
      <c r="AE1138" s="2994">
        <v>12.816599999999999</v>
      </c>
      <c r="AF1138" s="2994">
        <v>14.0334</v>
      </c>
      <c r="AG1138" s="2994">
        <v>13.3368</v>
      </c>
      <c r="AH1138" s="2994">
        <v>15.821</v>
      </c>
      <c r="AI1138" s="2994">
        <v>13.6311</v>
      </c>
      <c r="AJ1138" s="2994">
        <v>13.4064</v>
      </c>
      <c r="AK1138" s="2994">
        <v>14.4214</v>
      </c>
      <c r="AL1138" s="2994">
        <v>15.762600000000001</v>
      </c>
      <c r="AM1138" s="2994">
        <v>14.7882</v>
      </c>
      <c r="AN1138" s="2994">
        <v>14.163</v>
      </c>
      <c r="AO1138" s="2994">
        <v>14.614800000000001</v>
      </c>
      <c r="AP1138" s="2994">
        <v>13.989699999999999</v>
      </c>
      <c r="AQ1138" s="2994">
        <v>14.5246</v>
      </c>
      <c r="AR1138" s="2994">
        <v>17.5031</v>
      </c>
      <c r="AS1138" s="2994">
        <v>11.6943</v>
      </c>
      <c r="AT1138" s="2994">
        <v>11.408200000000001</v>
      </c>
      <c r="AU1138" s="2994">
        <v>9.9258000000000006</v>
      </c>
      <c r="AV1138" s="2994">
        <v>8.9730000000000008</v>
      </c>
      <c r="AW1138" s="2994">
        <v>10.0364</v>
      </c>
      <c r="AX1138" s="2994">
        <v>11.4663</v>
      </c>
      <c r="AY1138" s="2994">
        <v>13.04</v>
      </c>
      <c r="AZ1138" s="2994">
        <v>12.8713</v>
      </c>
      <c r="BA1138" s="2994">
        <v>12.216799999999999</v>
      </c>
      <c r="BB1138" s="2994">
        <v>11.185</v>
      </c>
      <c r="BC1138" s="2994">
        <v>8.9129000000000005</v>
      </c>
      <c r="BD1138" s="3471">
        <v>10.6084</v>
      </c>
      <c r="BE1138" s="3471">
        <v>11.4796</v>
      </c>
      <c r="BF1138" s="3471">
        <v>0</v>
      </c>
    </row>
    <row r="1139" spans="1:58">
      <c r="A1139" s="1817" t="str">
        <f t="shared" si="35"/>
        <v>South-Eastern AsiaTaro (cocoyam)</v>
      </c>
      <c r="B1139" s="1818" t="s">
        <v>1394</v>
      </c>
      <c r="C1139" s="1818" t="s">
        <v>7383</v>
      </c>
      <c r="D1139" s="3463" t="str">
        <f>VLOOKUP(B1139,List_Yield!$G$4:$J$14,4,FALSE)</f>
        <v>Asia (Insular)</v>
      </c>
      <c r="E1139" s="3463" t="str">
        <f t="shared" si="34"/>
        <v>Asia (Insular)Taro (cocoyam)</v>
      </c>
      <c r="F1139" s="2994">
        <v>6.2072000000000003</v>
      </c>
      <c r="G1139" s="2994">
        <v>6.1101000000000001</v>
      </c>
      <c r="H1139" s="2994">
        <v>6.1253000000000002</v>
      </c>
      <c r="I1139" s="2994">
        <v>6.0396999999999998</v>
      </c>
      <c r="J1139" s="2994">
        <v>6.2473999999999998</v>
      </c>
      <c r="K1139" s="2994">
        <v>6.1654999999999998</v>
      </c>
      <c r="L1139" s="2994">
        <v>5.9223999999999997</v>
      </c>
      <c r="M1139" s="2994">
        <v>5.8747999999999996</v>
      </c>
      <c r="N1139" s="2994">
        <v>5.9596</v>
      </c>
      <c r="O1139" s="2994">
        <v>5.6220999999999997</v>
      </c>
      <c r="P1139" s="2994">
        <v>5.4371</v>
      </c>
      <c r="Q1139" s="2994">
        <v>5.1555999999999997</v>
      </c>
      <c r="R1139" s="2994">
        <v>5.3529999999999998</v>
      </c>
      <c r="S1139" s="2994">
        <v>4.9307999999999996</v>
      </c>
      <c r="T1139" s="2994">
        <v>5.2347000000000001</v>
      </c>
      <c r="U1139" s="2994">
        <v>4.4523000000000001</v>
      </c>
      <c r="V1139" s="2994">
        <v>4.6361999999999997</v>
      </c>
      <c r="W1139" s="2994">
        <v>4.8616000000000001</v>
      </c>
      <c r="X1139" s="2994">
        <v>5.1787999999999998</v>
      </c>
      <c r="Y1139" s="2994">
        <v>4.8463000000000003</v>
      </c>
      <c r="Z1139" s="2994">
        <v>4.7251000000000003</v>
      </c>
      <c r="AA1139" s="2994">
        <v>4.3429000000000002</v>
      </c>
      <c r="AB1139" s="2994">
        <v>4.2742000000000004</v>
      </c>
      <c r="AC1139" s="2994">
        <v>4.5042999999999997</v>
      </c>
      <c r="AD1139" s="2994">
        <v>4.2603</v>
      </c>
      <c r="AE1139" s="2994">
        <v>4.5732999999999997</v>
      </c>
      <c r="AF1139" s="2994">
        <v>4.6923000000000004</v>
      </c>
      <c r="AG1139" s="2994">
        <v>4.5514999999999999</v>
      </c>
      <c r="AH1139" s="2994">
        <v>4.5442</v>
      </c>
      <c r="AI1139" s="2994">
        <v>4.4916999999999998</v>
      </c>
      <c r="AJ1139" s="2994">
        <v>4.5046999999999997</v>
      </c>
      <c r="AK1139" s="2994">
        <v>4.6448</v>
      </c>
      <c r="AL1139" s="2994">
        <v>4.5747</v>
      </c>
      <c r="AM1139" s="2994">
        <v>4.6571999999999996</v>
      </c>
      <c r="AN1139" s="2994">
        <v>4.9840999999999998</v>
      </c>
      <c r="AO1139" s="2994">
        <v>5.1113999999999997</v>
      </c>
      <c r="AP1139" s="2994">
        <v>4.9825999999999997</v>
      </c>
      <c r="AQ1139" s="2994">
        <v>7.0372000000000003</v>
      </c>
      <c r="AR1139" s="2994">
        <v>6.5711000000000004</v>
      </c>
      <c r="AS1139" s="2994">
        <v>6.8886000000000003</v>
      </c>
      <c r="AT1139" s="2994">
        <v>6.7298</v>
      </c>
      <c r="AU1139" s="2994">
        <v>6.5187999999999997</v>
      </c>
      <c r="AV1139" s="2994">
        <v>6.6944999999999997</v>
      </c>
      <c r="AW1139" s="2994">
        <v>7.1223000000000001</v>
      </c>
      <c r="AX1139" s="2994">
        <v>7.5008999999999997</v>
      </c>
      <c r="AY1139" s="2994">
        <v>7.3944000000000001</v>
      </c>
      <c r="AZ1139" s="2994">
        <v>7.8151999999999999</v>
      </c>
      <c r="BA1139" s="2994">
        <v>7.6553000000000004</v>
      </c>
      <c r="BB1139" s="2994">
        <v>8.0511999999999997</v>
      </c>
      <c r="BC1139" s="2994">
        <v>7.9329999999999998</v>
      </c>
      <c r="BD1139" s="3471">
        <v>8.0456000000000003</v>
      </c>
      <c r="BE1139" s="3471">
        <v>7.9474</v>
      </c>
      <c r="BF1139" s="3471">
        <v>8.1889000000000003</v>
      </c>
    </row>
    <row r="1140" spans="1:58">
      <c r="A1140" s="1817" t="str">
        <f t="shared" si="35"/>
        <v>South-Eastern AsiaTea</v>
      </c>
      <c r="B1140" s="1818" t="s">
        <v>1394</v>
      </c>
      <c r="C1140" s="1818" t="s">
        <v>1379</v>
      </c>
      <c r="D1140" s="3463" t="str">
        <f>VLOOKUP(B1140,List_Yield!$G$4:$J$14,4,FALSE)</f>
        <v>Asia (Insular)</v>
      </c>
      <c r="E1140" s="3463" t="str">
        <f t="shared" si="34"/>
        <v>Asia (Insular)Tea</v>
      </c>
      <c r="F1140" s="2994">
        <v>0.52039999999999997</v>
      </c>
      <c r="G1140" s="2994">
        <v>0.53390000000000004</v>
      </c>
      <c r="H1140" s="2994">
        <v>0.51449999999999996</v>
      </c>
      <c r="I1140" s="2994">
        <v>0.56489999999999996</v>
      </c>
      <c r="J1140" s="2994">
        <v>0.58819999999999995</v>
      </c>
      <c r="K1140" s="2994">
        <v>0.59040000000000004</v>
      </c>
      <c r="L1140" s="2994">
        <v>0.60460000000000003</v>
      </c>
      <c r="M1140" s="2994">
        <v>0.63500000000000001</v>
      </c>
      <c r="N1140" s="2994">
        <v>0.60870000000000002</v>
      </c>
      <c r="O1140" s="2994">
        <v>0.55049999999999999</v>
      </c>
      <c r="P1140" s="2994">
        <v>0.56069999999999998</v>
      </c>
      <c r="Q1140" s="2994">
        <v>0.55420000000000003</v>
      </c>
      <c r="R1140" s="2994">
        <v>0.59289999999999998</v>
      </c>
      <c r="S1140" s="2994">
        <v>0.56879999999999997</v>
      </c>
      <c r="T1140" s="2994">
        <v>0.59319999999999995</v>
      </c>
      <c r="U1140" s="2994">
        <v>0.66539999999999999</v>
      </c>
      <c r="V1140" s="2994">
        <v>0.71540000000000004</v>
      </c>
      <c r="W1140" s="2994">
        <v>0.75039999999999996</v>
      </c>
      <c r="X1140" s="2994">
        <v>0.75360000000000005</v>
      </c>
      <c r="Y1140" s="2994">
        <v>0.79610000000000003</v>
      </c>
      <c r="Z1140" s="2994">
        <v>0.80779999999999996</v>
      </c>
      <c r="AA1140" s="2994">
        <v>0.71730000000000005</v>
      </c>
      <c r="AB1140" s="2994">
        <v>0.81479999999999997</v>
      </c>
      <c r="AC1140" s="2994">
        <v>1.0357000000000001</v>
      </c>
      <c r="AD1140" s="2994">
        <v>1.044</v>
      </c>
      <c r="AE1140" s="2994">
        <v>0.87050000000000005</v>
      </c>
      <c r="AF1140" s="2994">
        <v>0.84540000000000004</v>
      </c>
      <c r="AG1140" s="2994">
        <v>0.93510000000000004</v>
      </c>
      <c r="AH1140" s="2994">
        <v>0.96179999999999999</v>
      </c>
      <c r="AI1140" s="2994">
        <v>1.0392999999999999</v>
      </c>
      <c r="AJ1140" s="2994">
        <v>0.95289999999999997</v>
      </c>
      <c r="AK1140" s="2994">
        <v>1.0331999999999999</v>
      </c>
      <c r="AL1140" s="2994">
        <v>1.0680000000000001</v>
      </c>
      <c r="AM1140" s="2994">
        <v>0.94520000000000004</v>
      </c>
      <c r="AN1140" s="2994">
        <v>0.99719999999999998</v>
      </c>
      <c r="AO1140" s="2994">
        <v>1.0495000000000001</v>
      </c>
      <c r="AP1140" s="2994">
        <v>1.0216000000000001</v>
      </c>
      <c r="AQ1140" s="2994">
        <v>1.0902000000000001</v>
      </c>
      <c r="AR1140" s="2994">
        <v>1.1324000000000001</v>
      </c>
      <c r="AS1140" s="2994">
        <v>1.0810999999999999</v>
      </c>
      <c r="AT1140" s="2994">
        <v>1.1331</v>
      </c>
      <c r="AU1140" s="2994">
        <v>1.1808000000000001</v>
      </c>
      <c r="AV1140" s="2994">
        <v>1.1972</v>
      </c>
      <c r="AW1140" s="2994">
        <v>1.2255</v>
      </c>
      <c r="AX1140" s="2994">
        <v>1.1412</v>
      </c>
      <c r="AY1140" s="2994">
        <v>1.2508999999999999</v>
      </c>
      <c r="AZ1140" s="2994">
        <v>1.2007000000000001</v>
      </c>
      <c r="BA1140" s="2994">
        <v>1.2787999999999999</v>
      </c>
      <c r="BB1140" s="2994">
        <v>1.3253999999999999</v>
      </c>
      <c r="BC1140" s="2994">
        <v>1.3714</v>
      </c>
      <c r="BD1140" s="3471">
        <v>1.4005000000000001</v>
      </c>
      <c r="BE1140" s="3471">
        <v>1.4301999999999999</v>
      </c>
      <c r="BF1140" s="3471">
        <v>0</v>
      </c>
    </row>
    <row r="1141" spans="1:58">
      <c r="A1141" s="1817" t="str">
        <f t="shared" si="35"/>
        <v>South-Eastern AsiaTobacco, unmanufactured</v>
      </c>
      <c r="B1141" s="1818" t="s">
        <v>1394</v>
      </c>
      <c r="C1141" s="1818" t="s">
        <v>1321</v>
      </c>
      <c r="D1141" s="3463" t="str">
        <f>VLOOKUP(B1141,List_Yield!$G$4:$J$14,4,FALSE)</f>
        <v>Asia (Insular)</v>
      </c>
      <c r="E1141" s="3463" t="str">
        <f t="shared" si="34"/>
        <v>Asia (Insular)Tobacco, unmanufactured</v>
      </c>
      <c r="F1141" s="2994">
        <v>0.56530000000000002</v>
      </c>
      <c r="G1141" s="2994">
        <v>0.62390000000000001</v>
      </c>
      <c r="H1141" s="2994">
        <v>0.51690000000000003</v>
      </c>
      <c r="I1141" s="2994">
        <v>0.59409999999999996</v>
      </c>
      <c r="J1141" s="2994">
        <v>0.58340000000000003</v>
      </c>
      <c r="K1141" s="2994">
        <v>0.68159999999999998</v>
      </c>
      <c r="L1141" s="2994">
        <v>0.72170000000000001</v>
      </c>
      <c r="M1141" s="2994">
        <v>0.72609999999999997</v>
      </c>
      <c r="N1141" s="2994">
        <v>0.67059999999999997</v>
      </c>
      <c r="O1141" s="2994">
        <v>0.73350000000000004</v>
      </c>
      <c r="P1141" s="2994">
        <v>0.64510000000000001</v>
      </c>
      <c r="Q1141" s="2994">
        <v>0.7349</v>
      </c>
      <c r="R1141" s="2994">
        <v>0.63029999999999997</v>
      </c>
      <c r="S1141" s="2994">
        <v>0.62590000000000001</v>
      </c>
      <c r="T1141" s="2994">
        <v>0.58679999999999999</v>
      </c>
      <c r="U1141" s="2994">
        <v>0.60840000000000005</v>
      </c>
      <c r="V1141" s="2994">
        <v>0.64700000000000002</v>
      </c>
      <c r="W1141" s="2994">
        <v>0.63939999999999997</v>
      </c>
      <c r="X1141" s="2994">
        <v>0.76780000000000004</v>
      </c>
      <c r="Y1141" s="2994">
        <v>0.7853</v>
      </c>
      <c r="Z1141" s="2994">
        <v>0.77759999999999996</v>
      </c>
      <c r="AA1141" s="2994">
        <v>0.80900000000000005</v>
      </c>
      <c r="AB1141" s="2994">
        <v>0.85670000000000002</v>
      </c>
      <c r="AC1141" s="2994">
        <v>0.95789999999999997</v>
      </c>
      <c r="AD1141" s="2994">
        <v>0.79620000000000002</v>
      </c>
      <c r="AE1141" s="2994">
        <v>0.8468</v>
      </c>
      <c r="AF1141" s="2994">
        <v>0.83530000000000004</v>
      </c>
      <c r="AG1141" s="2994">
        <v>0.84550000000000003</v>
      </c>
      <c r="AH1141" s="2994">
        <v>0.83579999999999999</v>
      </c>
      <c r="AI1141" s="2994">
        <v>0.92349999999999999</v>
      </c>
      <c r="AJ1141" s="2994">
        <v>0.96599999999999997</v>
      </c>
      <c r="AK1141" s="2994">
        <v>1.0176000000000001</v>
      </c>
      <c r="AL1141" s="2994">
        <v>1.1111</v>
      </c>
      <c r="AM1141" s="2994">
        <v>0.98529999999999995</v>
      </c>
      <c r="AN1141" s="2994">
        <v>0.9052</v>
      </c>
      <c r="AO1141" s="2994">
        <v>0.96630000000000005</v>
      </c>
      <c r="AP1141" s="2994">
        <v>0.97440000000000004</v>
      </c>
      <c r="AQ1141" s="2994">
        <v>1.0944</v>
      </c>
      <c r="AR1141" s="2994">
        <v>1.1106</v>
      </c>
      <c r="AS1141" s="2994">
        <v>1.3686</v>
      </c>
      <c r="AT1141" s="2994">
        <v>1.0886</v>
      </c>
      <c r="AU1141" s="2994">
        <v>1.0879000000000001</v>
      </c>
      <c r="AV1141" s="2994">
        <v>1.0931</v>
      </c>
      <c r="AW1141" s="2994">
        <v>1.2117</v>
      </c>
      <c r="AX1141" s="2994">
        <v>1.208</v>
      </c>
      <c r="AY1141" s="2994">
        <v>1.2512000000000001</v>
      </c>
      <c r="AZ1141" s="2994">
        <v>1.1218999999999999</v>
      </c>
      <c r="BA1141" s="2994">
        <v>1.2206999999999999</v>
      </c>
      <c r="BB1141" s="2994">
        <v>1.1976</v>
      </c>
      <c r="BC1141" s="2994">
        <v>1.1066</v>
      </c>
      <c r="BD1141" s="3471">
        <v>1.3117000000000001</v>
      </c>
      <c r="BE1141" s="3471">
        <v>1.2697000000000001</v>
      </c>
      <c r="BF1141" s="3471">
        <v>0</v>
      </c>
    </row>
    <row r="1142" spans="1:58">
      <c r="A1142" s="1817" t="str">
        <f t="shared" si="35"/>
        <v>South-Eastern AsiaTomatoes</v>
      </c>
      <c r="B1142" s="1818" t="s">
        <v>1394</v>
      </c>
      <c r="C1142" s="1818" t="s">
        <v>1380</v>
      </c>
      <c r="D1142" s="3463" t="str">
        <f>VLOOKUP(B1142,List_Yield!$G$4:$J$14,4,FALSE)</f>
        <v>Asia (Insular)</v>
      </c>
      <c r="E1142" s="3463" t="str">
        <f t="shared" si="34"/>
        <v>Asia (Insular)Tomatoes</v>
      </c>
      <c r="F1142" s="2994">
        <v>3.2071000000000001</v>
      </c>
      <c r="G1142" s="2994">
        <v>3.3252999999999999</v>
      </c>
      <c r="H1142" s="2994">
        <v>3.4563000000000001</v>
      </c>
      <c r="I1142" s="2994">
        <v>3.6072000000000002</v>
      </c>
      <c r="J1142" s="2994">
        <v>4.1646999999999998</v>
      </c>
      <c r="K1142" s="2994">
        <v>4.4802</v>
      </c>
      <c r="L1142" s="2994">
        <v>4.2237</v>
      </c>
      <c r="M1142" s="2994">
        <v>3.7974999999999999</v>
      </c>
      <c r="N1142" s="2994">
        <v>4.1208</v>
      </c>
      <c r="O1142" s="2994">
        <v>4.4542000000000002</v>
      </c>
      <c r="P1142" s="2994">
        <v>4.6997</v>
      </c>
      <c r="Q1142" s="2994">
        <v>4.1814999999999998</v>
      </c>
      <c r="R1142" s="2994">
        <v>5.2651000000000003</v>
      </c>
      <c r="S1142" s="2994">
        <v>6.2583000000000002</v>
      </c>
      <c r="T1142" s="2994">
        <v>6.5557999999999996</v>
      </c>
      <c r="U1142" s="2994">
        <v>6.0461</v>
      </c>
      <c r="V1142" s="2994">
        <v>6.7201000000000004</v>
      </c>
      <c r="W1142" s="2994">
        <v>6.7737999999999996</v>
      </c>
      <c r="X1142" s="2994">
        <v>6.1562000000000001</v>
      </c>
      <c r="Y1142" s="2994">
        <v>6.6577000000000002</v>
      </c>
      <c r="Z1142" s="2994">
        <v>6.5204000000000004</v>
      </c>
      <c r="AA1142" s="2994">
        <v>5.8308</v>
      </c>
      <c r="AB1142" s="2994">
        <v>6.0646000000000004</v>
      </c>
      <c r="AC1142" s="2994">
        <v>5.4157999999999999</v>
      </c>
      <c r="AD1142" s="2994">
        <v>6.0357000000000003</v>
      </c>
      <c r="AE1142" s="2994">
        <v>6.2756999999999996</v>
      </c>
      <c r="AF1142" s="2994">
        <v>5.5437000000000003</v>
      </c>
      <c r="AG1142" s="2994">
        <v>5.0191999999999997</v>
      </c>
      <c r="AH1142" s="2994">
        <v>4.8956999999999997</v>
      </c>
      <c r="AI1142" s="2994">
        <v>7.0019999999999998</v>
      </c>
      <c r="AJ1142" s="2994">
        <v>8.8306000000000004</v>
      </c>
      <c r="AK1142" s="2994">
        <v>7.8711000000000002</v>
      </c>
      <c r="AL1142" s="2994">
        <v>7.3243999999999998</v>
      </c>
      <c r="AM1142" s="2994">
        <v>8.8573000000000004</v>
      </c>
      <c r="AN1142" s="2994">
        <v>13.6088</v>
      </c>
      <c r="AO1142" s="2994">
        <v>12.6806</v>
      </c>
      <c r="AP1142" s="2994">
        <v>11.119300000000001</v>
      </c>
      <c r="AQ1142" s="2994">
        <v>12.505699999999999</v>
      </c>
      <c r="AR1142" s="2994">
        <v>12.797700000000001</v>
      </c>
      <c r="AS1142" s="2994">
        <v>13.678000000000001</v>
      </c>
      <c r="AT1142" s="2994">
        <v>12.504</v>
      </c>
      <c r="AU1142" s="2994">
        <v>11.6973</v>
      </c>
      <c r="AV1142" s="2994">
        <v>14.0261</v>
      </c>
      <c r="AW1142" s="2994">
        <v>13.068899999999999</v>
      </c>
      <c r="AX1142" s="2994">
        <v>13.491199999999999</v>
      </c>
      <c r="AY1142" s="2994">
        <v>12.6052</v>
      </c>
      <c r="AZ1142" s="2994">
        <v>12.851100000000001</v>
      </c>
      <c r="BA1142" s="2994">
        <v>13.9983</v>
      </c>
      <c r="BB1142" s="2994">
        <v>15.191700000000001</v>
      </c>
      <c r="BC1142" s="2994">
        <v>15.9338</v>
      </c>
      <c r="BD1142" s="3471">
        <v>17.447500000000002</v>
      </c>
      <c r="BE1142" s="3471">
        <v>16.834800000000001</v>
      </c>
      <c r="BF1142" s="3471">
        <v>0</v>
      </c>
    </row>
    <row r="1143" spans="1:58">
      <c r="A1143" s="1817" t="str">
        <f t="shared" si="35"/>
        <v>South-Eastern AsiaTriticale</v>
      </c>
      <c r="B1143" s="1818" t="s">
        <v>1394</v>
      </c>
      <c r="C1143" s="1818" t="s">
        <v>1335</v>
      </c>
      <c r="D1143" s="3463" t="str">
        <f>VLOOKUP(B1143,List_Yield!$G$4:$J$14,4,FALSE)</f>
        <v>Asia (Insular)</v>
      </c>
      <c r="E1143" s="3463" t="str">
        <f t="shared" si="34"/>
        <v>Asia (Insular)Triticale</v>
      </c>
      <c r="F1143" s="2994">
        <v>0</v>
      </c>
      <c r="G1143" s="2994">
        <v>0</v>
      </c>
      <c r="H1143" s="2994">
        <v>0</v>
      </c>
      <c r="I1143" s="2994">
        <v>0</v>
      </c>
      <c r="J1143" s="2994">
        <v>0</v>
      </c>
      <c r="K1143" s="2994">
        <v>0</v>
      </c>
      <c r="L1143" s="2994">
        <v>0</v>
      </c>
      <c r="M1143" s="2994">
        <v>0</v>
      </c>
      <c r="N1143" s="2994">
        <v>0</v>
      </c>
      <c r="O1143" s="2994">
        <v>0</v>
      </c>
      <c r="P1143" s="2994">
        <v>0</v>
      </c>
      <c r="Q1143" s="2994">
        <v>0</v>
      </c>
      <c r="R1143" s="2994">
        <v>0</v>
      </c>
      <c r="S1143" s="2994">
        <v>0</v>
      </c>
      <c r="T1143" s="2994">
        <v>0</v>
      </c>
      <c r="U1143" s="2994">
        <v>0</v>
      </c>
      <c r="V1143" s="2994">
        <v>0</v>
      </c>
      <c r="W1143" s="2994">
        <v>0</v>
      </c>
      <c r="X1143" s="2994">
        <v>0</v>
      </c>
      <c r="Y1143" s="2994">
        <v>0</v>
      </c>
      <c r="Z1143" s="2994">
        <v>0</v>
      </c>
      <c r="AA1143" s="2994">
        <v>0</v>
      </c>
      <c r="AB1143" s="2994">
        <v>0</v>
      </c>
      <c r="AC1143" s="2994">
        <v>0</v>
      </c>
      <c r="AD1143" s="2994">
        <v>0</v>
      </c>
      <c r="AE1143" s="2994">
        <v>0</v>
      </c>
      <c r="AF1143" s="2994">
        <v>0</v>
      </c>
      <c r="AG1143" s="2994">
        <v>0</v>
      </c>
      <c r="AH1143" s="2994">
        <v>0</v>
      </c>
      <c r="AI1143" s="2994">
        <v>0</v>
      </c>
      <c r="AJ1143" s="2994">
        <v>0</v>
      </c>
      <c r="AK1143" s="2994">
        <v>0</v>
      </c>
      <c r="AL1143" s="2994">
        <v>0</v>
      </c>
      <c r="AM1143" s="2994">
        <v>0</v>
      </c>
      <c r="AN1143" s="2994">
        <v>0</v>
      </c>
      <c r="AO1143" s="2994">
        <v>0</v>
      </c>
      <c r="AP1143" s="2994">
        <v>0</v>
      </c>
      <c r="AQ1143" s="2994">
        <v>0</v>
      </c>
      <c r="AR1143" s="2994">
        <v>0</v>
      </c>
      <c r="AS1143" s="2994">
        <v>0</v>
      </c>
      <c r="AT1143" s="2994">
        <v>0</v>
      </c>
      <c r="AU1143" s="2994">
        <v>0</v>
      </c>
      <c r="AV1143" s="2994">
        <v>0</v>
      </c>
      <c r="AW1143" s="2994">
        <v>0</v>
      </c>
      <c r="AX1143" s="2994">
        <v>0</v>
      </c>
      <c r="AY1143" s="2994">
        <v>0</v>
      </c>
      <c r="AZ1143" s="2994">
        <v>0</v>
      </c>
      <c r="BA1143" s="2994">
        <v>0</v>
      </c>
      <c r="BB1143" s="2994">
        <v>0</v>
      </c>
      <c r="BC1143" s="2994">
        <v>0</v>
      </c>
      <c r="BD1143" s="3471">
        <v>0</v>
      </c>
      <c r="BE1143" s="3471">
        <v>0</v>
      </c>
      <c r="BF1143" s="3471">
        <v>0</v>
      </c>
    </row>
    <row r="1144" spans="1:58">
      <c r="A1144" s="1817" t="str">
        <f t="shared" si="35"/>
        <v>South-Eastern AsiaTung nuts</v>
      </c>
      <c r="B1144" s="1818" t="s">
        <v>1394</v>
      </c>
      <c r="C1144" s="1818" t="s">
        <v>7384</v>
      </c>
      <c r="D1144" s="3463" t="str">
        <f>VLOOKUP(B1144,List_Yield!$G$4:$J$14,4,FALSE)</f>
        <v>Asia (Insular)</v>
      </c>
      <c r="E1144" s="3463" t="str">
        <f t="shared" si="34"/>
        <v>Asia (Insular)Tung nuts</v>
      </c>
      <c r="F1144" s="2994">
        <v>0</v>
      </c>
      <c r="G1144" s="2994">
        <v>0</v>
      </c>
      <c r="H1144" s="2994">
        <v>0</v>
      </c>
      <c r="I1144" s="2994">
        <v>0</v>
      </c>
      <c r="J1144" s="2994">
        <v>0</v>
      </c>
      <c r="K1144" s="2994">
        <v>0</v>
      </c>
      <c r="L1144" s="2994">
        <v>0</v>
      </c>
      <c r="M1144" s="2994">
        <v>0</v>
      </c>
      <c r="N1144" s="2994">
        <v>0</v>
      </c>
      <c r="O1144" s="2994">
        <v>0</v>
      </c>
      <c r="P1144" s="2994">
        <v>0</v>
      </c>
      <c r="Q1144" s="2994">
        <v>0</v>
      </c>
      <c r="R1144" s="2994">
        <v>0</v>
      </c>
      <c r="S1144" s="2994">
        <v>0</v>
      </c>
      <c r="T1144" s="2994">
        <v>0</v>
      </c>
      <c r="U1144" s="2994">
        <v>0</v>
      </c>
      <c r="V1144" s="2994">
        <v>0</v>
      </c>
      <c r="W1144" s="2994">
        <v>0</v>
      </c>
      <c r="X1144" s="2994">
        <v>0</v>
      </c>
      <c r="Y1144" s="2994">
        <v>0</v>
      </c>
      <c r="Z1144" s="2994">
        <v>0</v>
      </c>
      <c r="AA1144" s="2994">
        <v>0</v>
      </c>
      <c r="AB1144" s="2994">
        <v>0</v>
      </c>
      <c r="AC1144" s="2994">
        <v>0</v>
      </c>
      <c r="AD1144" s="2994">
        <v>0</v>
      </c>
      <c r="AE1144" s="2994">
        <v>0</v>
      </c>
      <c r="AF1144" s="2994">
        <v>0</v>
      </c>
      <c r="AG1144" s="2994">
        <v>0</v>
      </c>
      <c r="AH1144" s="2994">
        <v>0</v>
      </c>
      <c r="AI1144" s="2994">
        <v>0</v>
      </c>
      <c r="AJ1144" s="2994">
        <v>0</v>
      </c>
      <c r="AK1144" s="2994">
        <v>0</v>
      </c>
      <c r="AL1144" s="2994">
        <v>0</v>
      </c>
      <c r="AM1144" s="2994">
        <v>0</v>
      </c>
      <c r="AN1144" s="2994">
        <v>0</v>
      </c>
      <c r="AO1144" s="2994">
        <v>0</v>
      </c>
      <c r="AP1144" s="2994">
        <v>0</v>
      </c>
      <c r="AQ1144" s="2994">
        <v>0</v>
      </c>
      <c r="AR1144" s="2994">
        <v>0</v>
      </c>
      <c r="AS1144" s="2994">
        <v>0</v>
      </c>
      <c r="AT1144" s="2994">
        <v>0</v>
      </c>
      <c r="AU1144" s="2994">
        <v>0</v>
      </c>
      <c r="AV1144" s="2994">
        <v>0</v>
      </c>
      <c r="AW1144" s="2994">
        <v>0</v>
      </c>
      <c r="AX1144" s="2994">
        <v>0</v>
      </c>
      <c r="AY1144" s="2994">
        <v>0</v>
      </c>
      <c r="AZ1144" s="2994">
        <v>0</v>
      </c>
      <c r="BA1144" s="2994">
        <v>0</v>
      </c>
      <c r="BB1144" s="2994">
        <v>0</v>
      </c>
      <c r="BC1144" s="2994">
        <v>0</v>
      </c>
      <c r="BD1144" s="3471">
        <v>0</v>
      </c>
      <c r="BE1144" s="3471">
        <v>0</v>
      </c>
      <c r="BF1144" s="3471">
        <v>0</v>
      </c>
    </row>
    <row r="1145" spans="1:58">
      <c r="A1145" s="1817" t="str">
        <f t="shared" si="35"/>
        <v>South-Eastern AsiaVanilla</v>
      </c>
      <c r="B1145" s="1818" t="s">
        <v>1394</v>
      </c>
      <c r="C1145" s="1818" t="s">
        <v>7385</v>
      </c>
      <c r="D1145" s="3463" t="str">
        <f>VLOOKUP(B1145,List_Yield!$G$4:$J$14,4,FALSE)</f>
        <v>Asia (Insular)</v>
      </c>
      <c r="E1145" s="3463" t="str">
        <f t="shared" si="34"/>
        <v>Asia (Insular)Vanilla</v>
      </c>
      <c r="F1145" s="2994">
        <v>0.125</v>
      </c>
      <c r="G1145" s="2994">
        <v>0.125</v>
      </c>
      <c r="H1145" s="2994">
        <v>0.15</v>
      </c>
      <c r="I1145" s="2994">
        <v>0.15</v>
      </c>
      <c r="J1145" s="2994">
        <v>0.15</v>
      </c>
      <c r="K1145" s="2994">
        <v>0.1333</v>
      </c>
      <c r="L1145" s="2994">
        <v>0.1333</v>
      </c>
      <c r="M1145" s="2994">
        <v>0.1333</v>
      </c>
      <c r="N1145" s="2994">
        <v>0.1333</v>
      </c>
      <c r="O1145" s="2994">
        <v>0.125</v>
      </c>
      <c r="P1145" s="2994">
        <v>0.125</v>
      </c>
      <c r="Q1145" s="2994">
        <v>0.125</v>
      </c>
      <c r="R1145" s="2994">
        <v>0.1429</v>
      </c>
      <c r="S1145" s="2994">
        <v>0.1429</v>
      </c>
      <c r="T1145" s="2994">
        <v>0.13930000000000001</v>
      </c>
      <c r="U1145" s="2994">
        <v>0.14000000000000001</v>
      </c>
      <c r="V1145" s="2994">
        <v>0.14749999999999999</v>
      </c>
      <c r="W1145" s="2994">
        <v>0.19</v>
      </c>
      <c r="X1145" s="2994">
        <v>0.51859999999999995</v>
      </c>
      <c r="Y1145" s="2994">
        <v>0.54359999999999997</v>
      </c>
      <c r="Z1145" s="2994">
        <v>0.42249999999999999</v>
      </c>
      <c r="AA1145" s="2994">
        <v>0.35849999999999999</v>
      </c>
      <c r="AB1145" s="2994">
        <v>0.3629</v>
      </c>
      <c r="AC1145" s="2994">
        <v>0.27510000000000001</v>
      </c>
      <c r="AD1145" s="2994">
        <v>0.39650000000000002</v>
      </c>
      <c r="AE1145" s="2994">
        <v>0.37009999999999998</v>
      </c>
      <c r="AF1145" s="2994">
        <v>0.41349999999999998</v>
      </c>
      <c r="AG1145" s="2994">
        <v>0.49059999999999998</v>
      </c>
      <c r="AH1145" s="2994">
        <v>0.36070000000000002</v>
      </c>
      <c r="AI1145" s="2994">
        <v>0.21540000000000001</v>
      </c>
      <c r="AJ1145" s="2994">
        <v>0.18970000000000001</v>
      </c>
      <c r="AK1145" s="2994">
        <v>0.2258</v>
      </c>
      <c r="AL1145" s="2994">
        <v>0.21829999999999999</v>
      </c>
      <c r="AM1145" s="2994">
        <v>0.23130000000000001</v>
      </c>
      <c r="AN1145" s="2994">
        <v>0.24579999999999999</v>
      </c>
      <c r="AO1145" s="2994">
        <v>0.2261</v>
      </c>
      <c r="AP1145" s="2994">
        <v>0.21690000000000001</v>
      </c>
      <c r="AQ1145" s="2994">
        <v>0.1961</v>
      </c>
      <c r="AR1145" s="2994">
        <v>0.23080000000000001</v>
      </c>
      <c r="AS1145" s="2994">
        <v>0.21279999999999999</v>
      </c>
      <c r="AT1145" s="2994">
        <v>0.25740000000000002</v>
      </c>
      <c r="AU1145" s="2994">
        <v>0.30680000000000002</v>
      </c>
      <c r="AV1145" s="2994">
        <v>0.1797</v>
      </c>
      <c r="AW1145" s="2994">
        <v>0.24440000000000001</v>
      </c>
      <c r="AX1145" s="2994">
        <v>0.26290000000000002</v>
      </c>
      <c r="AY1145" s="2994">
        <v>0.2898</v>
      </c>
      <c r="AZ1145" s="2994">
        <v>0.2888</v>
      </c>
      <c r="BA1145" s="2994">
        <v>0.26550000000000001</v>
      </c>
      <c r="BB1145" s="2994">
        <v>0.26100000000000001</v>
      </c>
      <c r="BC1145" s="2994">
        <v>0.27960000000000002</v>
      </c>
      <c r="BD1145" s="3471">
        <v>0.28000000000000003</v>
      </c>
      <c r="BE1145" s="3471">
        <v>0.26150000000000001</v>
      </c>
      <c r="BF1145" s="3471">
        <v>0</v>
      </c>
    </row>
    <row r="1146" spans="1:58">
      <c r="A1146" s="1817" t="str">
        <f t="shared" si="35"/>
        <v>South-Eastern AsiaVegetables, fresh nes</v>
      </c>
      <c r="B1146" s="1818" t="s">
        <v>1394</v>
      </c>
      <c r="C1146" s="1818" t="s">
        <v>7386</v>
      </c>
      <c r="D1146" s="3463" t="str">
        <f>VLOOKUP(B1146,List_Yield!$G$4:$J$14,4,FALSE)</f>
        <v>Asia (Insular)</v>
      </c>
      <c r="E1146" s="3463" t="str">
        <f t="shared" si="34"/>
        <v>Asia (Insular)Vegetables, fresh nes</v>
      </c>
      <c r="F1146" s="2994">
        <v>5.7369000000000003</v>
      </c>
      <c r="G1146" s="2994">
        <v>5.7948000000000004</v>
      </c>
      <c r="H1146" s="2994">
        <v>5.9034000000000004</v>
      </c>
      <c r="I1146" s="2994">
        <v>5.9531999999999998</v>
      </c>
      <c r="J1146" s="2994">
        <v>5.9661999999999997</v>
      </c>
      <c r="K1146" s="2994">
        <v>6.0580999999999996</v>
      </c>
      <c r="L1146" s="2994">
        <v>6.1009000000000002</v>
      </c>
      <c r="M1146" s="2994">
        <v>6.2247000000000003</v>
      </c>
      <c r="N1146" s="2994">
        <v>6.3924000000000003</v>
      </c>
      <c r="O1146" s="2994">
        <v>6.4903000000000004</v>
      </c>
      <c r="P1146" s="2994">
        <v>6.5265000000000004</v>
      </c>
      <c r="Q1146" s="2994">
        <v>6.9085999999999999</v>
      </c>
      <c r="R1146" s="2994">
        <v>7.0039999999999996</v>
      </c>
      <c r="S1146" s="2994">
        <v>7.0355999999999996</v>
      </c>
      <c r="T1146" s="2994">
        <v>7.0803000000000003</v>
      </c>
      <c r="U1146" s="2994">
        <v>7.2403000000000004</v>
      </c>
      <c r="V1146" s="2994">
        <v>7.4005999999999998</v>
      </c>
      <c r="W1146" s="2994">
        <v>7.6485000000000003</v>
      </c>
      <c r="X1146" s="2994">
        <v>7.6178999999999997</v>
      </c>
      <c r="Y1146" s="2994">
        <v>7.7521000000000004</v>
      </c>
      <c r="Z1146" s="2994">
        <v>7.8582000000000001</v>
      </c>
      <c r="AA1146" s="2994">
        <v>8.0134000000000007</v>
      </c>
      <c r="AB1146" s="2994">
        <v>8.3581000000000003</v>
      </c>
      <c r="AC1146" s="2994">
        <v>8.4185999999999996</v>
      </c>
      <c r="AD1146" s="2994">
        <v>8.1911000000000005</v>
      </c>
      <c r="AE1146" s="2994">
        <v>8.4619</v>
      </c>
      <c r="AF1146" s="2994">
        <v>8.7485999999999997</v>
      </c>
      <c r="AG1146" s="2994">
        <v>8.8308</v>
      </c>
      <c r="AH1146" s="2994">
        <v>9.0594999999999999</v>
      </c>
      <c r="AI1146" s="2994">
        <v>8.9091000000000005</v>
      </c>
      <c r="AJ1146" s="2994">
        <v>9.1615000000000002</v>
      </c>
      <c r="AK1146" s="2994">
        <v>9.2876999999999992</v>
      </c>
      <c r="AL1146" s="2994">
        <v>9.4168000000000003</v>
      </c>
      <c r="AM1146" s="2994">
        <v>9.3274000000000008</v>
      </c>
      <c r="AN1146" s="2994">
        <v>9.3446999999999996</v>
      </c>
      <c r="AO1146" s="2994">
        <v>9.6502999999999997</v>
      </c>
      <c r="AP1146" s="2994">
        <v>9.9391999999999996</v>
      </c>
      <c r="AQ1146" s="2994">
        <v>9.9968000000000004</v>
      </c>
      <c r="AR1146" s="2994">
        <v>9.9208999999999996</v>
      </c>
      <c r="AS1146" s="2994">
        <v>10.117000000000001</v>
      </c>
      <c r="AT1146" s="2994">
        <v>10.2525</v>
      </c>
      <c r="AU1146" s="2994">
        <v>10.3293</v>
      </c>
      <c r="AV1146" s="2994">
        <v>10.2498</v>
      </c>
      <c r="AW1146" s="2994">
        <v>10.4033</v>
      </c>
      <c r="AX1146" s="2994">
        <v>10.604900000000001</v>
      </c>
      <c r="AY1146" s="2994">
        <v>10.160600000000001</v>
      </c>
      <c r="AZ1146" s="2994">
        <v>10.4278</v>
      </c>
      <c r="BA1146" s="2994">
        <v>10.059100000000001</v>
      </c>
      <c r="BB1146" s="2994">
        <v>10.179500000000001</v>
      </c>
      <c r="BC1146" s="2994">
        <v>9.9992999999999999</v>
      </c>
      <c r="BD1146" s="3471">
        <v>9.8630999999999993</v>
      </c>
      <c r="BE1146" s="3471">
        <v>10.233700000000001</v>
      </c>
      <c r="BF1146" s="3471">
        <v>0</v>
      </c>
    </row>
    <row r="1147" spans="1:58">
      <c r="A1147" s="1817" t="str">
        <f t="shared" si="35"/>
        <v>South-Eastern AsiaVegetables, leguminous nes</v>
      </c>
      <c r="B1147" s="1818" t="s">
        <v>1394</v>
      </c>
      <c r="C1147" s="1818" t="s">
        <v>7387</v>
      </c>
      <c r="D1147" s="3463" t="str">
        <f>VLOOKUP(B1147,List_Yield!$G$4:$J$14,4,FALSE)</f>
        <v>Asia (Insular)</v>
      </c>
      <c r="E1147" s="3463" t="str">
        <f t="shared" si="34"/>
        <v>Asia (Insular)Vegetables, leguminous nes</v>
      </c>
      <c r="F1147" s="2994">
        <v>8.3332999999999995</v>
      </c>
      <c r="G1147" s="2994">
        <v>8.5</v>
      </c>
      <c r="H1147" s="2994">
        <v>8.6667000000000005</v>
      </c>
      <c r="I1147" s="2994">
        <v>9</v>
      </c>
      <c r="J1147" s="2994">
        <v>9.3332999999999995</v>
      </c>
      <c r="K1147" s="2994">
        <v>9.6667000000000005</v>
      </c>
      <c r="L1147" s="2994">
        <v>10</v>
      </c>
      <c r="M1147" s="2994">
        <v>10.333299999999999</v>
      </c>
      <c r="N1147" s="2994">
        <v>10.666700000000001</v>
      </c>
      <c r="O1147" s="2994">
        <v>10.666700000000001</v>
      </c>
      <c r="P1147" s="2994">
        <v>9.7142999999999997</v>
      </c>
      <c r="Q1147" s="2994">
        <v>10</v>
      </c>
      <c r="R1147" s="2994">
        <v>10.2857</v>
      </c>
      <c r="S1147" s="2994">
        <v>9.25</v>
      </c>
      <c r="T1147" s="2994">
        <v>9.5</v>
      </c>
      <c r="U1147" s="2994">
        <v>9.75</v>
      </c>
      <c r="V1147" s="2994">
        <v>10</v>
      </c>
      <c r="W1147" s="2994">
        <v>10.25</v>
      </c>
      <c r="X1147" s="2994">
        <v>10.5</v>
      </c>
      <c r="Y1147" s="2994">
        <v>9.5556000000000001</v>
      </c>
      <c r="Z1147" s="2994">
        <v>9.7777999999999992</v>
      </c>
      <c r="AA1147" s="2994">
        <v>10</v>
      </c>
      <c r="AB1147" s="2994">
        <v>9.1999999999999993</v>
      </c>
      <c r="AC1147" s="2994">
        <v>9.4</v>
      </c>
      <c r="AD1147" s="2994">
        <v>9.6</v>
      </c>
      <c r="AE1147" s="2994">
        <v>9.8000000000000007</v>
      </c>
      <c r="AF1147" s="2994">
        <v>10</v>
      </c>
      <c r="AG1147" s="2994">
        <v>10</v>
      </c>
      <c r="AH1147" s="2994">
        <v>10</v>
      </c>
      <c r="AI1147" s="2994">
        <v>9.3030000000000008</v>
      </c>
      <c r="AJ1147" s="2994">
        <v>9.8591999999999995</v>
      </c>
      <c r="AK1147" s="2994">
        <v>9.6341000000000001</v>
      </c>
      <c r="AL1147" s="2994">
        <v>11.0185</v>
      </c>
      <c r="AM1147" s="2994">
        <v>11.84</v>
      </c>
      <c r="AN1147" s="2994">
        <v>7.3133999999999997</v>
      </c>
      <c r="AO1147" s="2994">
        <v>7.2542</v>
      </c>
      <c r="AP1147" s="2994">
        <v>7.7961999999999998</v>
      </c>
      <c r="AQ1147" s="2994">
        <v>7.4</v>
      </c>
      <c r="AR1147" s="2994">
        <v>7.4694000000000003</v>
      </c>
      <c r="AS1147" s="2994">
        <v>7.3413000000000004</v>
      </c>
      <c r="AT1147" s="2994">
        <v>7.1860999999999997</v>
      </c>
      <c r="AU1147" s="2994">
        <v>7.4353999999999996</v>
      </c>
      <c r="AV1147" s="2994">
        <v>7.3415999999999997</v>
      </c>
      <c r="AW1147" s="2994">
        <v>7.5037000000000003</v>
      </c>
      <c r="AX1147" s="2994">
        <v>7.4725000000000001</v>
      </c>
      <c r="AY1147" s="2994">
        <v>7.4631999999999996</v>
      </c>
      <c r="AZ1147" s="2994">
        <v>7.5290999999999997</v>
      </c>
      <c r="BA1147" s="2994">
        <v>7.6307999999999998</v>
      </c>
      <c r="BB1147" s="2994">
        <v>7.5500999999999996</v>
      </c>
      <c r="BC1147" s="2994">
        <v>7.4077999999999999</v>
      </c>
      <c r="BD1147" s="3471">
        <v>7.5132000000000003</v>
      </c>
      <c r="BE1147" s="3471">
        <v>7.3468999999999998</v>
      </c>
      <c r="BF1147" s="3471">
        <v>0</v>
      </c>
    </row>
    <row r="1148" spans="1:58">
      <c r="A1148" s="1817" t="str">
        <f t="shared" si="35"/>
        <v>South-Eastern AsiaVetches</v>
      </c>
      <c r="B1148" s="1818" t="s">
        <v>1394</v>
      </c>
      <c r="C1148" s="1818" t="s">
        <v>1382</v>
      </c>
      <c r="D1148" s="3463" t="str">
        <f>VLOOKUP(B1148,List_Yield!$G$4:$J$14,4,FALSE)</f>
        <v>Asia (Insular)</v>
      </c>
      <c r="E1148" s="3463" t="str">
        <f t="shared" si="34"/>
        <v>Asia (Insular)Vetches</v>
      </c>
      <c r="F1148" s="2994">
        <v>0</v>
      </c>
      <c r="G1148" s="2994">
        <v>0</v>
      </c>
      <c r="H1148" s="2994">
        <v>0</v>
      </c>
      <c r="I1148" s="2994">
        <v>0</v>
      </c>
      <c r="J1148" s="2994">
        <v>0</v>
      </c>
      <c r="K1148" s="2994">
        <v>0</v>
      </c>
      <c r="L1148" s="2994">
        <v>0</v>
      </c>
      <c r="M1148" s="2994">
        <v>0</v>
      </c>
      <c r="N1148" s="2994">
        <v>0</v>
      </c>
      <c r="O1148" s="2994">
        <v>0</v>
      </c>
      <c r="P1148" s="2994">
        <v>0</v>
      </c>
      <c r="Q1148" s="2994">
        <v>0</v>
      </c>
      <c r="R1148" s="2994">
        <v>0</v>
      </c>
      <c r="S1148" s="2994">
        <v>0</v>
      </c>
      <c r="T1148" s="2994">
        <v>0</v>
      </c>
      <c r="U1148" s="2994">
        <v>0</v>
      </c>
      <c r="V1148" s="2994">
        <v>0</v>
      </c>
      <c r="W1148" s="2994">
        <v>0</v>
      </c>
      <c r="X1148" s="2994">
        <v>0</v>
      </c>
      <c r="Y1148" s="2994">
        <v>0</v>
      </c>
      <c r="Z1148" s="2994">
        <v>0</v>
      </c>
      <c r="AA1148" s="2994">
        <v>0</v>
      </c>
      <c r="AB1148" s="2994">
        <v>0</v>
      </c>
      <c r="AC1148" s="2994">
        <v>0</v>
      </c>
      <c r="AD1148" s="2994">
        <v>0</v>
      </c>
      <c r="AE1148" s="2994">
        <v>0</v>
      </c>
      <c r="AF1148" s="2994">
        <v>0</v>
      </c>
      <c r="AG1148" s="2994">
        <v>0</v>
      </c>
      <c r="AH1148" s="2994">
        <v>0</v>
      </c>
      <c r="AI1148" s="2994">
        <v>0</v>
      </c>
      <c r="AJ1148" s="2994">
        <v>0</v>
      </c>
      <c r="AK1148" s="2994">
        <v>0</v>
      </c>
      <c r="AL1148" s="2994">
        <v>0</v>
      </c>
      <c r="AM1148" s="2994">
        <v>0</v>
      </c>
      <c r="AN1148" s="2994">
        <v>0</v>
      </c>
      <c r="AO1148" s="2994">
        <v>0</v>
      </c>
      <c r="AP1148" s="2994">
        <v>0</v>
      </c>
      <c r="AQ1148" s="2994">
        <v>0</v>
      </c>
      <c r="AR1148" s="2994">
        <v>0</v>
      </c>
      <c r="AS1148" s="2994">
        <v>0</v>
      </c>
      <c r="AT1148" s="2994">
        <v>0</v>
      </c>
      <c r="AU1148" s="2994">
        <v>0</v>
      </c>
      <c r="AV1148" s="2994">
        <v>0</v>
      </c>
      <c r="AW1148" s="2994">
        <v>0</v>
      </c>
      <c r="AX1148" s="2994">
        <v>0</v>
      </c>
      <c r="AY1148" s="2994">
        <v>0</v>
      </c>
      <c r="AZ1148" s="2994">
        <v>0</v>
      </c>
      <c r="BA1148" s="2994">
        <v>0</v>
      </c>
      <c r="BB1148" s="2994">
        <v>0</v>
      </c>
      <c r="BC1148" s="2994">
        <v>0</v>
      </c>
      <c r="BD1148" s="3471">
        <v>0</v>
      </c>
      <c r="BE1148" s="3471">
        <v>0</v>
      </c>
      <c r="BF1148" s="3471">
        <v>0</v>
      </c>
    </row>
    <row r="1149" spans="1:58">
      <c r="A1149" s="1817" t="str">
        <f t="shared" si="35"/>
        <v>South-Eastern AsiaWalnuts, with shell</v>
      </c>
      <c r="B1149" s="1818" t="s">
        <v>1394</v>
      </c>
      <c r="C1149" s="1818" t="s">
        <v>7388</v>
      </c>
      <c r="D1149" s="3463" t="str">
        <f>VLOOKUP(B1149,List_Yield!$G$4:$J$14,4,FALSE)</f>
        <v>Asia (Insular)</v>
      </c>
      <c r="E1149" s="3463" t="str">
        <f t="shared" ref="E1149:E1212" si="36">CONCATENATE(D1149,C1149)</f>
        <v>Asia (Insular)Walnuts, with shell</v>
      </c>
      <c r="F1149" s="2994">
        <v>0</v>
      </c>
      <c r="G1149" s="2994">
        <v>0</v>
      </c>
      <c r="H1149" s="2994">
        <v>0</v>
      </c>
      <c r="I1149" s="2994">
        <v>0</v>
      </c>
      <c r="J1149" s="2994">
        <v>0</v>
      </c>
      <c r="K1149" s="2994">
        <v>0</v>
      </c>
      <c r="L1149" s="2994">
        <v>0</v>
      </c>
      <c r="M1149" s="2994">
        <v>0</v>
      </c>
      <c r="N1149" s="2994">
        <v>0</v>
      </c>
      <c r="O1149" s="2994">
        <v>0</v>
      </c>
      <c r="P1149" s="2994">
        <v>0</v>
      </c>
      <c r="Q1149" s="2994">
        <v>0</v>
      </c>
      <c r="R1149" s="2994">
        <v>0</v>
      </c>
      <c r="S1149" s="2994">
        <v>0</v>
      </c>
      <c r="T1149" s="2994">
        <v>0</v>
      </c>
      <c r="U1149" s="2994">
        <v>0</v>
      </c>
      <c r="V1149" s="2994">
        <v>0</v>
      </c>
      <c r="W1149" s="2994">
        <v>0</v>
      </c>
      <c r="X1149" s="2994">
        <v>0</v>
      </c>
      <c r="Y1149" s="2994">
        <v>0</v>
      </c>
      <c r="Z1149" s="2994">
        <v>0</v>
      </c>
      <c r="AA1149" s="2994">
        <v>0</v>
      </c>
      <c r="AB1149" s="2994">
        <v>0</v>
      </c>
      <c r="AC1149" s="2994">
        <v>0</v>
      </c>
      <c r="AD1149" s="2994">
        <v>0</v>
      </c>
      <c r="AE1149" s="2994">
        <v>0</v>
      </c>
      <c r="AF1149" s="2994">
        <v>0</v>
      </c>
      <c r="AG1149" s="2994">
        <v>0</v>
      </c>
      <c r="AH1149" s="2994">
        <v>0</v>
      </c>
      <c r="AI1149" s="2994">
        <v>0</v>
      </c>
      <c r="AJ1149" s="2994">
        <v>0</v>
      </c>
      <c r="AK1149" s="2994">
        <v>0</v>
      </c>
      <c r="AL1149" s="2994">
        <v>0</v>
      </c>
      <c r="AM1149" s="2994">
        <v>0</v>
      </c>
      <c r="AN1149" s="2994">
        <v>0</v>
      </c>
      <c r="AO1149" s="2994">
        <v>0</v>
      </c>
      <c r="AP1149" s="2994">
        <v>0</v>
      </c>
      <c r="AQ1149" s="2994">
        <v>0</v>
      </c>
      <c r="AR1149" s="2994">
        <v>0</v>
      </c>
      <c r="AS1149" s="2994">
        <v>0</v>
      </c>
      <c r="AT1149" s="2994">
        <v>0</v>
      </c>
      <c r="AU1149" s="2994">
        <v>0</v>
      </c>
      <c r="AV1149" s="2994">
        <v>0</v>
      </c>
      <c r="AW1149" s="2994">
        <v>0</v>
      </c>
      <c r="AX1149" s="2994">
        <v>0</v>
      </c>
      <c r="AY1149" s="2994">
        <v>0</v>
      </c>
      <c r="AZ1149" s="2994">
        <v>0</v>
      </c>
      <c r="BA1149" s="2994">
        <v>0</v>
      </c>
      <c r="BB1149" s="2994">
        <v>0</v>
      </c>
      <c r="BC1149" s="2994">
        <v>0</v>
      </c>
      <c r="BD1149" s="3471">
        <v>0</v>
      </c>
      <c r="BE1149" s="3471">
        <v>0</v>
      </c>
      <c r="BF1149" s="3471">
        <v>0</v>
      </c>
    </row>
    <row r="1150" spans="1:58">
      <c r="A1150" s="1817" t="str">
        <f t="shared" si="35"/>
        <v>South-Eastern AsiaWatermelons</v>
      </c>
      <c r="B1150" s="1818" t="s">
        <v>1394</v>
      </c>
      <c r="C1150" s="1818" t="s">
        <v>7389</v>
      </c>
      <c r="D1150" s="3463" t="str">
        <f>VLOOKUP(B1150,List_Yield!$G$4:$J$14,4,FALSE)</f>
        <v>Asia (Insular)</v>
      </c>
      <c r="E1150" s="3463" t="str">
        <f t="shared" si="36"/>
        <v>Asia (Insular)Watermelons</v>
      </c>
      <c r="F1150" s="2994">
        <v>7.2035</v>
      </c>
      <c r="G1150" s="2994">
        <v>7.3811999999999998</v>
      </c>
      <c r="H1150" s="2994">
        <v>7.6696</v>
      </c>
      <c r="I1150" s="2994">
        <v>7.5358999999999998</v>
      </c>
      <c r="J1150" s="2994">
        <v>7.8939000000000004</v>
      </c>
      <c r="K1150" s="2994">
        <v>7.8444000000000003</v>
      </c>
      <c r="L1150" s="2994">
        <v>9.0917999999999992</v>
      </c>
      <c r="M1150" s="2994">
        <v>9.3504000000000005</v>
      </c>
      <c r="N1150" s="2994">
        <v>10.9725</v>
      </c>
      <c r="O1150" s="2994">
        <v>9.1603999999999992</v>
      </c>
      <c r="P1150" s="2994">
        <v>9.9390999999999998</v>
      </c>
      <c r="Q1150" s="2994">
        <v>11.233499999999999</v>
      </c>
      <c r="R1150" s="2994">
        <v>11.391500000000001</v>
      </c>
      <c r="S1150" s="2994">
        <v>10.8096</v>
      </c>
      <c r="T1150" s="2994">
        <v>11.375999999999999</v>
      </c>
      <c r="U1150" s="2994">
        <v>12.0899</v>
      </c>
      <c r="V1150" s="2994">
        <v>13.332000000000001</v>
      </c>
      <c r="W1150" s="2994">
        <v>13.655900000000001</v>
      </c>
      <c r="X1150" s="2994">
        <v>15.1746</v>
      </c>
      <c r="Y1150" s="2994">
        <v>14.641999999999999</v>
      </c>
      <c r="Z1150" s="2994">
        <v>14.757400000000001</v>
      </c>
      <c r="AA1150" s="2994">
        <v>15.0825</v>
      </c>
      <c r="AB1150" s="2994">
        <v>13.9346</v>
      </c>
      <c r="AC1150" s="2994">
        <v>13.699</v>
      </c>
      <c r="AD1150" s="2994">
        <v>13.836499999999999</v>
      </c>
      <c r="AE1150" s="2994">
        <v>14.104100000000001</v>
      </c>
      <c r="AF1150" s="2994">
        <v>14.1625</v>
      </c>
      <c r="AG1150" s="2994">
        <v>14.3672</v>
      </c>
      <c r="AH1150" s="2994">
        <v>13.772</v>
      </c>
      <c r="AI1150" s="2994">
        <v>12.85</v>
      </c>
      <c r="AJ1150" s="2994">
        <v>12.5244</v>
      </c>
      <c r="AK1150" s="2994">
        <v>13.4597</v>
      </c>
      <c r="AL1150" s="2994">
        <v>13.049799999999999</v>
      </c>
      <c r="AM1150" s="2994">
        <v>12.882199999999999</v>
      </c>
      <c r="AN1150" s="2994">
        <v>12.7636</v>
      </c>
      <c r="AO1150" s="2994">
        <v>13.066000000000001</v>
      </c>
      <c r="AP1150" s="2994">
        <v>12.8094</v>
      </c>
      <c r="AQ1150" s="2994">
        <v>13.1295</v>
      </c>
      <c r="AR1150" s="2994">
        <v>13.134600000000001</v>
      </c>
      <c r="AS1150" s="2994">
        <v>12.520200000000001</v>
      </c>
      <c r="AT1150" s="2994">
        <v>13.961399999999999</v>
      </c>
      <c r="AU1150" s="2994">
        <v>15.4735</v>
      </c>
      <c r="AV1150" s="2994">
        <v>10.496</v>
      </c>
      <c r="AW1150" s="2994">
        <v>10.940200000000001</v>
      </c>
      <c r="AX1150" s="2994">
        <v>14.539099999999999</v>
      </c>
      <c r="AY1150" s="2994">
        <v>14.5718</v>
      </c>
      <c r="AZ1150" s="2994">
        <v>13.4899</v>
      </c>
      <c r="BA1150" s="2994">
        <v>14.4254</v>
      </c>
      <c r="BB1150" s="2994">
        <v>14.316800000000001</v>
      </c>
      <c r="BC1150" s="2994">
        <v>13.917199999999999</v>
      </c>
      <c r="BD1150" s="3471">
        <v>14.5883</v>
      </c>
      <c r="BE1150" s="3471">
        <v>14.7437</v>
      </c>
      <c r="BF1150" s="3471">
        <v>0</v>
      </c>
    </row>
    <row r="1151" spans="1:58">
      <c r="A1151" s="1817" t="str">
        <f t="shared" si="35"/>
        <v>South-Eastern AsiaWheat</v>
      </c>
      <c r="B1151" s="1818" t="s">
        <v>1394</v>
      </c>
      <c r="C1151" s="1818" t="s">
        <v>1383</v>
      </c>
      <c r="D1151" s="3463" t="str">
        <f>VLOOKUP(B1151,List_Yield!$G$4:$J$14,4,FALSE)</f>
        <v>Asia (Insular)</v>
      </c>
      <c r="E1151" s="3463" t="str">
        <f t="shared" si="36"/>
        <v>Asia (Insular)Wheat</v>
      </c>
      <c r="F1151" s="2994">
        <v>0.30780000000000002</v>
      </c>
      <c r="G1151" s="2994">
        <v>0.41239999999999999</v>
      </c>
      <c r="H1151" s="2994">
        <v>0.55820000000000003</v>
      </c>
      <c r="I1151" s="2994">
        <v>0.67620000000000002</v>
      </c>
      <c r="J1151" s="2994">
        <v>0.64449999999999996</v>
      </c>
      <c r="K1151" s="2994">
        <v>0.63439999999999996</v>
      </c>
      <c r="L1151" s="2994">
        <v>0.49790000000000001</v>
      </c>
      <c r="M1151" s="2994">
        <v>0.57630000000000003</v>
      </c>
      <c r="N1151" s="2994">
        <v>0.46839999999999998</v>
      </c>
      <c r="O1151" s="2994">
        <v>0.55500000000000005</v>
      </c>
      <c r="P1151" s="2994">
        <v>0.62429999999999997</v>
      </c>
      <c r="Q1151" s="2994">
        <v>0.54990000000000006</v>
      </c>
      <c r="R1151" s="2994">
        <v>0.54790000000000005</v>
      </c>
      <c r="S1151" s="2994">
        <v>0.45550000000000002</v>
      </c>
      <c r="T1151" s="2994">
        <v>0.74519999999999997</v>
      </c>
      <c r="U1151" s="2994">
        <v>0.65259999999999996</v>
      </c>
      <c r="V1151" s="2994">
        <v>0.87829999999999997</v>
      </c>
      <c r="W1151" s="2994">
        <v>1.0256000000000001</v>
      </c>
      <c r="X1151" s="2994">
        <v>0.50370000000000004</v>
      </c>
      <c r="Y1151" s="2994">
        <v>1.1064000000000001</v>
      </c>
      <c r="Z1151" s="2994">
        <v>1.1100000000000001</v>
      </c>
      <c r="AA1151" s="2994">
        <v>1.3341000000000001</v>
      </c>
      <c r="AB1151" s="2994">
        <v>1.2629999999999999</v>
      </c>
      <c r="AC1151" s="2994">
        <v>1.5942000000000001</v>
      </c>
      <c r="AD1151" s="2994">
        <v>1.7431000000000001</v>
      </c>
      <c r="AE1151" s="2994">
        <v>1.7121</v>
      </c>
      <c r="AF1151" s="2994">
        <v>1.7285999999999999</v>
      </c>
      <c r="AG1151" s="2994">
        <v>1.306</v>
      </c>
      <c r="AH1151" s="2994">
        <v>1.0723</v>
      </c>
      <c r="AI1151" s="2994">
        <v>0.95240000000000002</v>
      </c>
      <c r="AJ1151" s="2994">
        <v>0.90169999999999995</v>
      </c>
      <c r="AK1151" s="2994">
        <v>0.97230000000000005</v>
      </c>
      <c r="AL1151" s="2994">
        <v>0.95040000000000002</v>
      </c>
      <c r="AM1151" s="2994">
        <v>0.94610000000000005</v>
      </c>
      <c r="AN1151" s="2994">
        <v>0.83160000000000001</v>
      </c>
      <c r="AO1151" s="2994">
        <v>0.85309999999999997</v>
      </c>
      <c r="AP1151" s="2994">
        <v>0.95320000000000005</v>
      </c>
      <c r="AQ1151" s="2994">
        <v>0.95350000000000001</v>
      </c>
      <c r="AR1151" s="2994">
        <v>1.0866</v>
      </c>
      <c r="AS1151" s="2994">
        <v>1.1517999999999999</v>
      </c>
      <c r="AT1151" s="2994">
        <v>1.1813</v>
      </c>
      <c r="AU1151" s="2994">
        <v>1.2717000000000001</v>
      </c>
      <c r="AV1151" s="2994">
        <v>1.2775000000000001</v>
      </c>
      <c r="AW1151" s="2994">
        <v>1.5683</v>
      </c>
      <c r="AX1151" s="2994">
        <v>1.3886000000000001</v>
      </c>
      <c r="AY1151" s="2994">
        <v>1.5165</v>
      </c>
      <c r="AZ1151" s="2994">
        <v>1.5762</v>
      </c>
      <c r="BA1151" s="2994">
        <v>1.7293000000000001</v>
      </c>
      <c r="BB1151" s="2994">
        <v>1.7524999999999999</v>
      </c>
      <c r="BC1151" s="2994">
        <v>1.8048999999999999</v>
      </c>
      <c r="BD1151" s="3471">
        <v>1.8001</v>
      </c>
      <c r="BE1151" s="3471">
        <v>1.7955000000000001</v>
      </c>
      <c r="BF1151" s="3471">
        <v>1.7927999999999999</v>
      </c>
    </row>
    <row r="1152" spans="1:58">
      <c r="A1152" s="1817" t="str">
        <f t="shared" si="35"/>
        <v>South-Eastern AsiaYams</v>
      </c>
      <c r="B1152" s="1818" t="s">
        <v>1394</v>
      </c>
      <c r="C1152" s="1818" t="s">
        <v>7390</v>
      </c>
      <c r="D1152" s="3463" t="str">
        <f>VLOOKUP(B1152,List_Yield!$G$4:$J$14,4,FALSE)</f>
        <v>Asia (Insular)</v>
      </c>
      <c r="E1152" s="3463" t="str">
        <f t="shared" si="36"/>
        <v>Asia (Insular)Yams</v>
      </c>
      <c r="F1152" s="2994">
        <v>5</v>
      </c>
      <c r="G1152" s="2994">
        <v>4.5025000000000004</v>
      </c>
      <c r="H1152" s="2994">
        <v>6.0103</v>
      </c>
      <c r="I1152" s="2994">
        <v>5.6048999999999998</v>
      </c>
      <c r="J1152" s="2994">
        <v>5.2846000000000002</v>
      </c>
      <c r="K1152" s="2994">
        <v>5.2087000000000003</v>
      </c>
      <c r="L1152" s="2994">
        <v>5.3834999999999997</v>
      </c>
      <c r="M1152" s="2994">
        <v>5.0492999999999997</v>
      </c>
      <c r="N1152" s="2994">
        <v>4.9016999999999999</v>
      </c>
      <c r="O1152" s="2994">
        <v>4.9419000000000004</v>
      </c>
      <c r="P1152" s="2994">
        <v>4.5087000000000002</v>
      </c>
      <c r="Q1152" s="2994">
        <v>3.9834000000000001</v>
      </c>
      <c r="R1152" s="2994">
        <v>4.2812000000000001</v>
      </c>
      <c r="S1152" s="2994">
        <v>4.2499000000000002</v>
      </c>
      <c r="T1152" s="2994">
        <v>4.2481</v>
      </c>
      <c r="U1152" s="2994">
        <v>3.7645</v>
      </c>
      <c r="V1152" s="2994">
        <v>3.2557</v>
      </c>
      <c r="W1152" s="2994">
        <v>3.2671999999999999</v>
      </c>
      <c r="X1152" s="2994">
        <v>3.0960999999999999</v>
      </c>
      <c r="Y1152" s="2994">
        <v>2.2982</v>
      </c>
      <c r="Z1152" s="2994">
        <v>2.2713999999999999</v>
      </c>
      <c r="AA1152" s="2994">
        <v>2.2803</v>
      </c>
      <c r="AB1152" s="2994">
        <v>2.9857</v>
      </c>
      <c r="AC1152" s="2994">
        <v>2.4238</v>
      </c>
      <c r="AD1152" s="2994">
        <v>3.3386999999999998</v>
      </c>
      <c r="AE1152" s="2994">
        <v>3.8921999999999999</v>
      </c>
      <c r="AF1152" s="2994">
        <v>4.3654000000000002</v>
      </c>
      <c r="AG1152" s="2994">
        <v>3.9563999999999999</v>
      </c>
      <c r="AH1152" s="2994">
        <v>4.3395999999999999</v>
      </c>
      <c r="AI1152" s="2994">
        <v>4.8093000000000004</v>
      </c>
      <c r="AJ1152" s="2994">
        <v>4.8526999999999996</v>
      </c>
      <c r="AK1152" s="2994">
        <v>4.7896000000000001</v>
      </c>
      <c r="AL1152" s="2994">
        <v>4.5</v>
      </c>
      <c r="AM1152" s="2994">
        <v>4.4443999999999999</v>
      </c>
      <c r="AN1152" s="2994">
        <v>4.6154000000000002</v>
      </c>
      <c r="AO1152" s="2994">
        <v>4.7142999999999997</v>
      </c>
      <c r="AP1152" s="2994">
        <v>4.7674000000000003</v>
      </c>
      <c r="AQ1152" s="2994">
        <v>4.6154000000000002</v>
      </c>
      <c r="AR1152" s="2994">
        <v>4.8207000000000004</v>
      </c>
      <c r="AS1152" s="2994">
        <v>4.8132000000000001</v>
      </c>
      <c r="AT1152" s="2994">
        <v>4.8357000000000001</v>
      </c>
      <c r="AU1152" s="2994">
        <v>4.7710999999999997</v>
      </c>
      <c r="AV1152" s="2994">
        <v>4.8918999999999997</v>
      </c>
      <c r="AW1152" s="2994">
        <v>4.9131999999999998</v>
      </c>
      <c r="AX1152" s="2994">
        <v>4.9671000000000003</v>
      </c>
      <c r="AY1152" s="2994">
        <v>5.0132000000000003</v>
      </c>
      <c r="AZ1152" s="2994">
        <v>5.0119999999999996</v>
      </c>
      <c r="BA1152" s="2994">
        <v>4.6402999999999999</v>
      </c>
      <c r="BB1152" s="2994">
        <v>4.5784000000000002</v>
      </c>
      <c r="BC1152" s="2994">
        <v>4.6176000000000004</v>
      </c>
      <c r="BD1152" s="3471">
        <v>6</v>
      </c>
      <c r="BE1152" s="3471">
        <v>6.0255999999999998</v>
      </c>
      <c r="BF1152" s="3471">
        <v>5.5411000000000001</v>
      </c>
    </row>
    <row r="1153" spans="1:58">
      <c r="A1153" s="1817" t="str">
        <f t="shared" si="35"/>
        <v>South-Eastern AsiaYautia (cocoyam)</v>
      </c>
      <c r="B1153" s="1818" t="s">
        <v>1394</v>
      </c>
      <c r="C1153" s="1818" t="s">
        <v>7391</v>
      </c>
      <c r="D1153" s="3463" t="str">
        <f>VLOOKUP(B1153,List_Yield!$G$4:$J$14,4,FALSE)</f>
        <v>Asia (Insular)</v>
      </c>
      <c r="E1153" s="3463" t="str">
        <f t="shared" si="36"/>
        <v>Asia (Insular)Yautia (cocoyam)</v>
      </c>
      <c r="F1153" s="2994">
        <v>0</v>
      </c>
      <c r="G1153" s="2994">
        <v>0</v>
      </c>
      <c r="H1153" s="2994">
        <v>0</v>
      </c>
      <c r="I1153" s="2994">
        <v>0</v>
      </c>
      <c r="J1153" s="2994">
        <v>0</v>
      </c>
      <c r="K1153" s="2994">
        <v>0</v>
      </c>
      <c r="L1153" s="2994">
        <v>0</v>
      </c>
      <c r="M1153" s="2994">
        <v>0</v>
      </c>
      <c r="N1153" s="2994">
        <v>0</v>
      </c>
      <c r="O1153" s="2994">
        <v>0</v>
      </c>
      <c r="P1153" s="2994">
        <v>0</v>
      </c>
      <c r="Q1153" s="2994">
        <v>0</v>
      </c>
      <c r="R1153" s="2994">
        <v>0</v>
      </c>
      <c r="S1153" s="2994">
        <v>0</v>
      </c>
      <c r="T1153" s="2994">
        <v>0</v>
      </c>
      <c r="U1153" s="2994">
        <v>0</v>
      </c>
      <c r="V1153" s="2994">
        <v>0</v>
      </c>
      <c r="W1153" s="2994">
        <v>0</v>
      </c>
      <c r="X1153" s="2994">
        <v>0</v>
      </c>
      <c r="Y1153" s="2994">
        <v>0</v>
      </c>
      <c r="Z1153" s="2994">
        <v>0</v>
      </c>
      <c r="AA1153" s="2994">
        <v>0</v>
      </c>
      <c r="AB1153" s="2994">
        <v>0</v>
      </c>
      <c r="AC1153" s="2994">
        <v>0</v>
      </c>
      <c r="AD1153" s="2994">
        <v>0</v>
      </c>
      <c r="AE1153" s="2994">
        <v>0</v>
      </c>
      <c r="AF1153" s="2994">
        <v>0</v>
      </c>
      <c r="AG1153" s="2994">
        <v>0</v>
      </c>
      <c r="AH1153" s="2994">
        <v>0</v>
      </c>
      <c r="AI1153" s="2994">
        <v>0</v>
      </c>
      <c r="AJ1153" s="2994">
        <v>0</v>
      </c>
      <c r="AK1153" s="2994">
        <v>0</v>
      </c>
      <c r="AL1153" s="2994">
        <v>0</v>
      </c>
      <c r="AM1153" s="2994">
        <v>0</v>
      </c>
      <c r="AN1153" s="2994">
        <v>0</v>
      </c>
      <c r="AO1153" s="2994">
        <v>0</v>
      </c>
      <c r="AP1153" s="2994">
        <v>0</v>
      </c>
      <c r="AQ1153" s="2994">
        <v>0</v>
      </c>
      <c r="AR1153" s="2994">
        <v>0</v>
      </c>
      <c r="AS1153" s="2994">
        <v>0</v>
      </c>
      <c r="AT1153" s="2994">
        <v>0</v>
      </c>
      <c r="AU1153" s="2994">
        <v>0</v>
      </c>
      <c r="AV1153" s="2994">
        <v>0</v>
      </c>
      <c r="AW1153" s="2994">
        <v>0</v>
      </c>
      <c r="AX1153" s="2994">
        <v>0</v>
      </c>
      <c r="AY1153" s="2994">
        <v>0</v>
      </c>
      <c r="AZ1153" s="2994">
        <v>0</v>
      </c>
      <c r="BA1153" s="2994">
        <v>0</v>
      </c>
      <c r="BB1153" s="2994">
        <v>0</v>
      </c>
      <c r="BC1153" s="2994">
        <v>0</v>
      </c>
      <c r="BD1153" s="3471">
        <v>0</v>
      </c>
      <c r="BE1153" s="3471">
        <v>0</v>
      </c>
      <c r="BF1153" s="3471">
        <v>0</v>
      </c>
    </row>
    <row r="1154" spans="1:58">
      <c r="A1154" s="1817" t="str">
        <f t="shared" ref="A1154:A1217" si="37">CONCATENATE(B1154,C1154)</f>
        <v>South-Eastern AsiaCereals,Total + (Total)</v>
      </c>
      <c r="B1154" s="1818" t="s">
        <v>1394</v>
      </c>
      <c r="C1154" s="1818" t="s">
        <v>7231</v>
      </c>
      <c r="D1154" s="3463" t="str">
        <f>VLOOKUP(B1154,List_Yield!$G$4:$J$14,4,FALSE)</f>
        <v>Asia (Insular)</v>
      </c>
      <c r="E1154" s="3463" t="str">
        <f t="shared" si="36"/>
        <v>Asia (Insular)Cereals,Total + (Total)</v>
      </c>
      <c r="F1154" s="2994">
        <v>1.4975000000000001</v>
      </c>
      <c r="G1154" s="2994">
        <v>1.5258</v>
      </c>
      <c r="H1154" s="2994">
        <v>1.5710999999999999</v>
      </c>
      <c r="I1154" s="2994">
        <v>1.5447</v>
      </c>
      <c r="J1154" s="2994">
        <v>1.5349999999999999</v>
      </c>
      <c r="K1154" s="2994">
        <v>1.5036</v>
      </c>
      <c r="L1154" s="2994">
        <v>1.5410999999999999</v>
      </c>
      <c r="M1154" s="2994">
        <v>1.6316999999999999</v>
      </c>
      <c r="N1154" s="2994">
        <v>1.7349000000000001</v>
      </c>
      <c r="O1154" s="2994">
        <v>1.8501000000000001</v>
      </c>
      <c r="P1154" s="2994">
        <v>1.8512999999999999</v>
      </c>
      <c r="Q1154" s="2994">
        <v>1.7959000000000001</v>
      </c>
      <c r="R1154" s="2994">
        <v>1.8655999999999999</v>
      </c>
      <c r="S1154" s="2994">
        <v>1.8835</v>
      </c>
      <c r="T1154" s="2994">
        <v>1.8907</v>
      </c>
      <c r="U1154" s="2994">
        <v>1.9646999999999999</v>
      </c>
      <c r="V1154" s="2994">
        <v>1.8667</v>
      </c>
      <c r="W1154" s="2994">
        <v>1.9876</v>
      </c>
      <c r="X1154" s="2994">
        <v>2.0598000000000001</v>
      </c>
      <c r="Y1154" s="2994">
        <v>2.1989999999999998</v>
      </c>
      <c r="Z1154" s="2994">
        <v>2.3115999999999999</v>
      </c>
      <c r="AA1154" s="2994">
        <v>2.4500000000000002</v>
      </c>
      <c r="AB1154" s="2994">
        <v>2.4744999999999999</v>
      </c>
      <c r="AC1154" s="2994">
        <v>2.5680999999999998</v>
      </c>
      <c r="AD1154" s="2994">
        <v>2.5988000000000002</v>
      </c>
      <c r="AE1154" s="2994">
        <v>2.6181999999999999</v>
      </c>
      <c r="AF1154" s="2994">
        <v>2.6061999999999999</v>
      </c>
      <c r="AG1154" s="2994">
        <v>2.6574</v>
      </c>
      <c r="AH1154" s="2994">
        <v>2.7526000000000002</v>
      </c>
      <c r="AI1154" s="2994">
        <v>2.7658</v>
      </c>
      <c r="AJ1154" s="2994">
        <v>2.8275999999999999</v>
      </c>
      <c r="AK1154" s="2994">
        <v>2.8935</v>
      </c>
      <c r="AL1154" s="2994">
        <v>2.9529000000000001</v>
      </c>
      <c r="AM1154" s="2994">
        <v>3.0297000000000001</v>
      </c>
      <c r="AN1154" s="2994">
        <v>3.0634000000000001</v>
      </c>
      <c r="AO1154" s="2994">
        <v>3.1333000000000002</v>
      </c>
      <c r="AP1154" s="2994">
        <v>3.1301000000000001</v>
      </c>
      <c r="AQ1154" s="2994">
        <v>3.1337999999999999</v>
      </c>
      <c r="AR1154" s="2994">
        <v>3.1976</v>
      </c>
      <c r="AS1154" s="2994">
        <v>3.3477000000000001</v>
      </c>
      <c r="AT1154" s="2994">
        <v>3.3959999999999999</v>
      </c>
      <c r="AU1154" s="2994">
        <v>3.5114999999999998</v>
      </c>
      <c r="AV1154" s="2994">
        <v>3.5727000000000002</v>
      </c>
      <c r="AW1154" s="2994">
        <v>3.6650999999999998</v>
      </c>
      <c r="AX1154" s="2994">
        <v>3.7149000000000001</v>
      </c>
      <c r="AY1154" s="2994">
        <v>3.7517999999999998</v>
      </c>
      <c r="AZ1154" s="2994">
        <v>3.8527999999999998</v>
      </c>
      <c r="BA1154" s="2994">
        <v>3.9582999999999999</v>
      </c>
      <c r="BB1154" s="2994">
        <v>4.0019</v>
      </c>
      <c r="BC1154" s="2994">
        <v>4.0293999999999999</v>
      </c>
      <c r="BD1154" s="3471">
        <v>4.0968999999999998</v>
      </c>
      <c r="BE1154" s="3471">
        <v>4.1188000000000002</v>
      </c>
      <c r="BF1154" s="3471">
        <v>4.1779999999999999</v>
      </c>
    </row>
    <row r="1155" spans="1:58">
      <c r="A1155" s="1817" t="str">
        <f t="shared" si="37"/>
        <v>South-Eastern AsiaPulses,Total + (Total)</v>
      </c>
      <c r="B1155" s="1818" t="s">
        <v>1394</v>
      </c>
      <c r="C1155" s="1818" t="s">
        <v>7228</v>
      </c>
      <c r="D1155" s="3463" t="str">
        <f>VLOOKUP(B1155,List_Yield!$G$4:$J$14,4,FALSE)</f>
        <v>Asia (Insular)</v>
      </c>
      <c r="E1155" s="3463" t="str">
        <f t="shared" si="36"/>
        <v>Asia (Insular)Pulses,Total + (Total)</v>
      </c>
      <c r="F1155" s="2994">
        <v>0.64559999999999995</v>
      </c>
      <c r="G1155" s="2994">
        <v>0.69769999999999999</v>
      </c>
      <c r="H1155" s="2994">
        <v>0.68740000000000001</v>
      </c>
      <c r="I1155" s="2994">
        <v>0.6895</v>
      </c>
      <c r="J1155" s="2994">
        <v>0.67669999999999997</v>
      </c>
      <c r="K1155" s="2994">
        <v>0.67249999999999999</v>
      </c>
      <c r="L1155" s="2994">
        <v>0.626</v>
      </c>
      <c r="M1155" s="2994">
        <v>0.67269999999999996</v>
      </c>
      <c r="N1155" s="2994">
        <v>0.66979999999999995</v>
      </c>
      <c r="O1155" s="2994">
        <v>0.63939999999999997</v>
      </c>
      <c r="P1155" s="2994">
        <v>0.70099999999999996</v>
      </c>
      <c r="Q1155" s="2994">
        <v>0.68220000000000003</v>
      </c>
      <c r="R1155" s="2994">
        <v>0.65310000000000001</v>
      </c>
      <c r="S1155" s="2994">
        <v>0.69899999999999995</v>
      </c>
      <c r="T1155" s="2994">
        <v>0.63900000000000001</v>
      </c>
      <c r="U1155" s="2994">
        <v>0.59319999999999995</v>
      </c>
      <c r="V1155" s="2994">
        <v>0.60740000000000005</v>
      </c>
      <c r="W1155" s="2994">
        <v>0.64829999999999999</v>
      </c>
      <c r="X1155" s="2994">
        <v>0.65549999999999997</v>
      </c>
      <c r="Y1155" s="2994">
        <v>0.72989999999999999</v>
      </c>
      <c r="Z1155" s="2994">
        <v>0.65300000000000002</v>
      </c>
      <c r="AA1155" s="2994">
        <v>0.71760000000000002</v>
      </c>
      <c r="AB1155" s="2994">
        <v>0.87690000000000001</v>
      </c>
      <c r="AC1155" s="2994">
        <v>0.8972</v>
      </c>
      <c r="AD1155" s="2994">
        <v>0.86970000000000003</v>
      </c>
      <c r="AE1155" s="2994">
        <v>0.87660000000000005</v>
      </c>
      <c r="AF1155" s="2994">
        <v>0.87619999999999998</v>
      </c>
      <c r="AG1155" s="2994">
        <v>0.90510000000000002</v>
      </c>
      <c r="AH1155" s="2994">
        <v>0.87539999999999996</v>
      </c>
      <c r="AI1155" s="2994">
        <v>0.85129999999999995</v>
      </c>
      <c r="AJ1155" s="2994">
        <v>0.83299999999999996</v>
      </c>
      <c r="AK1155" s="2994">
        <v>0.87970000000000004</v>
      </c>
      <c r="AL1155" s="2994">
        <v>0.85640000000000005</v>
      </c>
      <c r="AM1155" s="2994">
        <v>0.87480000000000002</v>
      </c>
      <c r="AN1155" s="2994">
        <v>0.76359999999999995</v>
      </c>
      <c r="AO1155" s="2994">
        <v>0.72550000000000003</v>
      </c>
      <c r="AP1155" s="2994">
        <v>0.71699999999999997</v>
      </c>
      <c r="AQ1155" s="2994">
        <v>0.79610000000000003</v>
      </c>
      <c r="AR1155" s="2994">
        <v>0.75109999999999999</v>
      </c>
      <c r="AS1155" s="2994">
        <v>0.73709999999999998</v>
      </c>
      <c r="AT1155" s="2994">
        <v>0.80289999999999995</v>
      </c>
      <c r="AU1155" s="2994">
        <v>0.82330000000000003</v>
      </c>
      <c r="AV1155" s="2994">
        <v>0.8871</v>
      </c>
      <c r="AW1155" s="2994">
        <v>0.90310000000000001</v>
      </c>
      <c r="AX1155" s="2994">
        <v>0.96540000000000004</v>
      </c>
      <c r="AY1155" s="2994">
        <v>1.0162</v>
      </c>
      <c r="AZ1155" s="2994">
        <v>1.0644</v>
      </c>
      <c r="BA1155" s="2994">
        <v>1.1254</v>
      </c>
      <c r="BB1155" s="2994">
        <v>1.1729000000000001</v>
      </c>
      <c r="BC1155" s="2994">
        <v>1.2199</v>
      </c>
      <c r="BD1155" s="3471">
        <v>1.2766999999999999</v>
      </c>
      <c r="BE1155" s="3471">
        <v>1.3152999999999999</v>
      </c>
      <c r="BF1155" s="3471">
        <v>1.3088</v>
      </c>
    </row>
    <row r="1156" spans="1:58">
      <c r="A1156" s="1817" t="str">
        <f t="shared" si="37"/>
        <v>South-Eastern AsiaRoots and Tubers,Total + (Total)</v>
      </c>
      <c r="B1156" s="1818" t="s">
        <v>1394</v>
      </c>
      <c r="C1156" s="1818" t="s">
        <v>7234</v>
      </c>
      <c r="D1156" s="3463" t="str">
        <f>VLOOKUP(B1156,List_Yield!$G$4:$J$14,4,FALSE)</f>
        <v>Asia (Insular)</v>
      </c>
      <c r="E1156" s="3463" t="str">
        <f t="shared" si="36"/>
        <v>Asia (Insular)Roots and Tubers,Total + (Total)</v>
      </c>
      <c r="F1156" s="2994">
        <v>7.17</v>
      </c>
      <c r="G1156" s="2994">
        <v>7.3226000000000004</v>
      </c>
      <c r="H1156" s="2994">
        <v>6.9932999999999996</v>
      </c>
      <c r="I1156" s="2994">
        <v>7.0932000000000004</v>
      </c>
      <c r="J1156" s="2994">
        <v>6.8891</v>
      </c>
      <c r="K1156" s="2994">
        <v>7.0152999999999999</v>
      </c>
      <c r="L1156" s="2994">
        <v>6.8353000000000002</v>
      </c>
      <c r="M1156" s="2994">
        <v>7.1433</v>
      </c>
      <c r="N1156" s="2994">
        <v>7.2526999999999999</v>
      </c>
      <c r="O1156" s="2994">
        <v>7.3372000000000002</v>
      </c>
      <c r="P1156" s="2994">
        <v>7.2744999999999997</v>
      </c>
      <c r="Q1156" s="2994">
        <v>7.0327000000000002</v>
      </c>
      <c r="R1156" s="2994">
        <v>7.6836000000000002</v>
      </c>
      <c r="S1156" s="2994">
        <v>8.2250999999999994</v>
      </c>
      <c r="T1156" s="2994">
        <v>8.8609000000000009</v>
      </c>
      <c r="U1156" s="2994">
        <v>9.3742000000000001</v>
      </c>
      <c r="V1156" s="2994">
        <v>9.1629000000000005</v>
      </c>
      <c r="W1156" s="2994">
        <v>9.8590999999999998</v>
      </c>
      <c r="X1156" s="2994">
        <v>9.1326999999999998</v>
      </c>
      <c r="Y1156" s="2994">
        <v>9.6768000000000001</v>
      </c>
      <c r="Z1156" s="2994">
        <v>9.8245000000000005</v>
      </c>
      <c r="AA1156" s="2994">
        <v>10.337999999999999</v>
      </c>
      <c r="AB1156" s="2994">
        <v>10.9344</v>
      </c>
      <c r="AC1156" s="2994">
        <v>10.5983</v>
      </c>
      <c r="AD1156" s="2994">
        <v>10.567299999999999</v>
      </c>
      <c r="AE1156" s="2994">
        <v>10.1998</v>
      </c>
      <c r="AF1156" s="2994">
        <v>11.0997</v>
      </c>
      <c r="AG1156" s="2994">
        <v>11.1709</v>
      </c>
      <c r="AH1156" s="2994">
        <v>11.7209</v>
      </c>
      <c r="AI1156" s="2994">
        <v>11.2103</v>
      </c>
      <c r="AJ1156" s="2994">
        <v>11.081799999999999</v>
      </c>
      <c r="AK1156" s="2994">
        <v>11.2422</v>
      </c>
      <c r="AL1156" s="2994">
        <v>11.275399999999999</v>
      </c>
      <c r="AM1156" s="2994">
        <v>10.8889</v>
      </c>
      <c r="AN1156" s="2994">
        <v>10.6</v>
      </c>
      <c r="AO1156" s="2994">
        <v>11.1496</v>
      </c>
      <c r="AP1156" s="2994">
        <v>11.4665</v>
      </c>
      <c r="AQ1156" s="2994">
        <v>11.286799999999999</v>
      </c>
      <c r="AR1156" s="2994">
        <v>11.6252</v>
      </c>
      <c r="AS1156" s="2994">
        <v>12.168200000000001</v>
      </c>
      <c r="AT1156" s="2994">
        <v>12.712999999999999</v>
      </c>
      <c r="AU1156" s="2994">
        <v>12.760199999999999</v>
      </c>
      <c r="AV1156" s="2994">
        <v>14.1004</v>
      </c>
      <c r="AW1156" s="2994">
        <v>14.838200000000001</v>
      </c>
      <c r="AX1156" s="2994">
        <v>14.259600000000001</v>
      </c>
      <c r="AY1156" s="2994">
        <v>15.8643</v>
      </c>
      <c r="AZ1156" s="2994">
        <v>16.686599999999999</v>
      </c>
      <c r="BA1156" s="2994">
        <v>16.8155</v>
      </c>
      <c r="BB1156" s="2994">
        <v>17.632100000000001</v>
      </c>
      <c r="BC1156" s="2994">
        <v>16.913900000000002</v>
      </c>
      <c r="BD1156" s="3471">
        <v>17.465900000000001</v>
      </c>
      <c r="BE1156" s="3471">
        <v>18.764099999999999</v>
      </c>
      <c r="BF1156" s="3471">
        <v>19.1816</v>
      </c>
    </row>
    <row r="1157" spans="1:58">
      <c r="A1157" s="1817" t="str">
        <f t="shared" si="37"/>
        <v>Eastern EuropeAgave fibres nes</v>
      </c>
      <c r="B1157" s="1818" t="s">
        <v>302</v>
      </c>
      <c r="C1157" s="1818" t="s">
        <v>7282</v>
      </c>
      <c r="D1157" s="3463" t="str">
        <f>VLOOKUP(B1157,List_Yield!$G$4:$J$14,4,FALSE)</f>
        <v>Eastern Europe</v>
      </c>
      <c r="E1157" s="3463" t="str">
        <f t="shared" si="36"/>
        <v>Eastern EuropeAgave fibres nes</v>
      </c>
      <c r="F1157" s="2994">
        <v>0</v>
      </c>
      <c r="G1157" s="2994">
        <v>0</v>
      </c>
      <c r="H1157" s="2994">
        <v>0</v>
      </c>
      <c r="I1157" s="2994">
        <v>0</v>
      </c>
      <c r="J1157" s="2994">
        <v>0</v>
      </c>
      <c r="K1157" s="2994">
        <v>0</v>
      </c>
      <c r="L1157" s="2994">
        <v>0</v>
      </c>
      <c r="M1157" s="2994">
        <v>0</v>
      </c>
      <c r="N1157" s="2994">
        <v>0</v>
      </c>
      <c r="O1157" s="2994">
        <v>0</v>
      </c>
      <c r="P1157" s="2994">
        <v>0</v>
      </c>
      <c r="Q1157" s="2994">
        <v>0</v>
      </c>
      <c r="R1157" s="2994">
        <v>0</v>
      </c>
      <c r="S1157" s="2994">
        <v>0</v>
      </c>
      <c r="T1157" s="2994">
        <v>0</v>
      </c>
      <c r="U1157" s="2994">
        <v>0</v>
      </c>
      <c r="V1157" s="2994">
        <v>0</v>
      </c>
      <c r="W1157" s="2994">
        <v>0</v>
      </c>
      <c r="X1157" s="2994">
        <v>0</v>
      </c>
      <c r="Y1157" s="2994">
        <v>0</v>
      </c>
      <c r="Z1157" s="2994">
        <v>0</v>
      </c>
      <c r="AA1157" s="2994">
        <v>0</v>
      </c>
      <c r="AB1157" s="2994">
        <v>0</v>
      </c>
      <c r="AC1157" s="2994">
        <v>0</v>
      </c>
      <c r="AD1157" s="2994">
        <v>0</v>
      </c>
      <c r="AE1157" s="2994">
        <v>0</v>
      </c>
      <c r="AF1157" s="2994">
        <v>0</v>
      </c>
      <c r="AG1157" s="2994">
        <v>0</v>
      </c>
      <c r="AH1157" s="2994">
        <v>0</v>
      </c>
      <c r="AI1157" s="2994">
        <v>0</v>
      </c>
      <c r="AJ1157" s="2994">
        <v>0</v>
      </c>
      <c r="AK1157" s="2994">
        <v>0</v>
      </c>
      <c r="AL1157" s="2994">
        <v>0</v>
      </c>
      <c r="AM1157" s="2994">
        <v>0</v>
      </c>
      <c r="AN1157" s="2994">
        <v>0</v>
      </c>
      <c r="AO1157" s="2994">
        <v>0</v>
      </c>
      <c r="AP1157" s="2994">
        <v>0</v>
      </c>
      <c r="AQ1157" s="2994">
        <v>0</v>
      </c>
      <c r="AR1157" s="2994">
        <v>0</v>
      </c>
      <c r="AS1157" s="2994">
        <v>0</v>
      </c>
      <c r="AT1157" s="2994">
        <v>0</v>
      </c>
      <c r="AU1157" s="2994">
        <v>0</v>
      </c>
      <c r="AV1157" s="2994">
        <v>0</v>
      </c>
      <c r="AW1157" s="2994">
        <v>0</v>
      </c>
      <c r="AX1157" s="2994">
        <v>0</v>
      </c>
      <c r="AY1157" s="2994">
        <v>0</v>
      </c>
      <c r="AZ1157" s="2994">
        <v>0</v>
      </c>
      <c r="BA1157" s="2994">
        <v>0</v>
      </c>
      <c r="BB1157" s="2994">
        <v>0</v>
      </c>
      <c r="BC1157" s="2994">
        <v>0</v>
      </c>
      <c r="BD1157" s="3471">
        <v>0</v>
      </c>
      <c r="BE1157" s="3471">
        <v>0</v>
      </c>
      <c r="BF1157" s="3471">
        <v>0</v>
      </c>
    </row>
    <row r="1158" spans="1:58">
      <c r="A1158" s="1817" t="str">
        <f t="shared" si="37"/>
        <v>Eastern EuropeAlmonds, with shell</v>
      </c>
      <c r="B1158" s="1818" t="s">
        <v>302</v>
      </c>
      <c r="C1158" s="1818" t="s">
        <v>7283</v>
      </c>
      <c r="D1158" s="3463" t="str">
        <f>VLOOKUP(B1158,List_Yield!$G$4:$J$14,4,FALSE)</f>
        <v>Eastern Europe</v>
      </c>
      <c r="E1158" s="3463" t="str">
        <f t="shared" si="36"/>
        <v>Eastern EuropeAlmonds, with shell</v>
      </c>
      <c r="F1158" s="2994">
        <v>0</v>
      </c>
      <c r="G1158" s="2994">
        <v>0</v>
      </c>
      <c r="H1158" s="2994">
        <v>0</v>
      </c>
      <c r="I1158" s="2994">
        <v>0</v>
      </c>
      <c r="J1158" s="2994">
        <v>0</v>
      </c>
      <c r="K1158" s="2994">
        <v>0</v>
      </c>
      <c r="L1158" s="2994">
        <v>0</v>
      </c>
      <c r="M1158" s="2994">
        <v>0</v>
      </c>
      <c r="N1158" s="2994">
        <v>0</v>
      </c>
      <c r="O1158" s="2994">
        <v>0</v>
      </c>
      <c r="P1158" s="2994">
        <v>0</v>
      </c>
      <c r="Q1158" s="2994">
        <v>0</v>
      </c>
      <c r="R1158" s="2994">
        <v>0</v>
      </c>
      <c r="S1158" s="2994">
        <v>0</v>
      </c>
      <c r="T1158" s="2994">
        <v>0</v>
      </c>
      <c r="U1158" s="2994">
        <v>0</v>
      </c>
      <c r="V1158" s="2994">
        <v>0</v>
      </c>
      <c r="W1158" s="2994">
        <v>0</v>
      </c>
      <c r="X1158" s="2994">
        <v>0</v>
      </c>
      <c r="Y1158" s="2994">
        <v>0</v>
      </c>
      <c r="Z1158" s="2994">
        <v>0</v>
      </c>
      <c r="AA1158" s="2994">
        <v>0</v>
      </c>
      <c r="AB1158" s="2994">
        <v>0</v>
      </c>
      <c r="AC1158" s="2994">
        <v>0</v>
      </c>
      <c r="AD1158" s="2994">
        <v>0.73939999999999995</v>
      </c>
      <c r="AE1158" s="2994">
        <v>0.75090000000000001</v>
      </c>
      <c r="AF1158" s="2994">
        <v>0.73080000000000001</v>
      </c>
      <c r="AG1158" s="2994">
        <v>0.74099999999999999</v>
      </c>
      <c r="AH1158" s="2994">
        <v>0.72829999999999995</v>
      </c>
      <c r="AI1158" s="2994">
        <v>0.73599999999999999</v>
      </c>
      <c r="AJ1158" s="2994">
        <v>0.74270000000000003</v>
      </c>
      <c r="AK1158" s="2994">
        <v>0.42630000000000001</v>
      </c>
      <c r="AL1158" s="2994">
        <v>0.50029999999999997</v>
      </c>
      <c r="AM1158" s="2994">
        <v>0.54720000000000002</v>
      </c>
      <c r="AN1158" s="2994">
        <v>0.44400000000000001</v>
      </c>
      <c r="AO1158" s="2994">
        <v>0.32150000000000001</v>
      </c>
      <c r="AP1158" s="2994">
        <v>0.30570000000000003</v>
      </c>
      <c r="AQ1158" s="2994">
        <v>0.2616</v>
      </c>
      <c r="AR1158" s="2994">
        <v>0.52749999999999997</v>
      </c>
      <c r="AS1158" s="2994">
        <v>0.55310000000000004</v>
      </c>
      <c r="AT1158" s="2994">
        <v>0.49320000000000003</v>
      </c>
      <c r="AU1158" s="2994">
        <v>0.48549999999999999</v>
      </c>
      <c r="AV1158" s="2994">
        <v>0.37169999999999997</v>
      </c>
      <c r="AW1158" s="2994">
        <v>0.49469999999999997</v>
      </c>
      <c r="AX1158" s="2994">
        <v>0.437</v>
      </c>
      <c r="AY1158" s="2994">
        <v>0.41449999999999998</v>
      </c>
      <c r="AZ1158" s="2994">
        <v>0.37459999999999999</v>
      </c>
      <c r="BA1158" s="2994">
        <v>0.30769999999999997</v>
      </c>
      <c r="BB1158" s="2994">
        <v>0.64039999999999997</v>
      </c>
      <c r="BC1158" s="2994">
        <v>0.50409999999999999</v>
      </c>
      <c r="BD1158" s="3471">
        <v>0.81569999999999998</v>
      </c>
      <c r="BE1158" s="3471">
        <v>0.45479999999999998</v>
      </c>
      <c r="BF1158" s="3471">
        <v>0</v>
      </c>
    </row>
    <row r="1159" spans="1:58">
      <c r="A1159" s="1817" t="str">
        <f t="shared" si="37"/>
        <v>Eastern EuropeAnise, badian, fennel, coriander</v>
      </c>
      <c r="B1159" s="1818" t="s">
        <v>302</v>
      </c>
      <c r="C1159" s="1818" t="s">
        <v>7284</v>
      </c>
      <c r="D1159" s="3463" t="str">
        <f>VLOOKUP(B1159,List_Yield!$G$4:$J$14,4,FALSE)</f>
        <v>Eastern Europe</v>
      </c>
      <c r="E1159" s="3463" t="str">
        <f t="shared" si="36"/>
        <v>Eastern EuropeAnise, badian, fennel, coriander</v>
      </c>
      <c r="F1159" s="2994">
        <v>1.9452</v>
      </c>
      <c r="G1159" s="2994">
        <v>1.4634</v>
      </c>
      <c r="H1159" s="2994">
        <v>1.3435999999999999</v>
      </c>
      <c r="I1159" s="2994">
        <v>1.3889</v>
      </c>
      <c r="J1159" s="2994">
        <v>1.0522</v>
      </c>
      <c r="K1159" s="2994">
        <v>0.45469999999999999</v>
      </c>
      <c r="L1159" s="2994">
        <v>1.2884</v>
      </c>
      <c r="M1159" s="2994">
        <v>1.8381000000000001</v>
      </c>
      <c r="N1159" s="2994">
        <v>1.3283</v>
      </c>
      <c r="O1159" s="2994">
        <v>2.3719000000000001</v>
      </c>
      <c r="P1159" s="2994">
        <v>3.4131999999999998</v>
      </c>
      <c r="Q1159" s="2994">
        <v>1.5276000000000001</v>
      </c>
      <c r="R1159" s="2994">
        <v>9.1700000000000004E-2</v>
      </c>
      <c r="S1159" s="2994">
        <v>5.3400000000000003E-2</v>
      </c>
      <c r="T1159" s="2994">
        <v>3.3599999999999998E-2</v>
      </c>
      <c r="U1159" s="2994">
        <v>3.0099999999999998E-2</v>
      </c>
      <c r="V1159" s="2994">
        <v>3.7100000000000001E-2</v>
      </c>
      <c r="W1159" s="2994">
        <v>7.17E-2</v>
      </c>
      <c r="X1159" s="2994">
        <v>8.8900000000000007E-2</v>
      </c>
      <c r="Y1159" s="2994">
        <v>0.1095</v>
      </c>
      <c r="Z1159" s="2994">
        <v>3.3010000000000002</v>
      </c>
      <c r="AA1159" s="2994">
        <v>4.7632000000000003</v>
      </c>
      <c r="AB1159" s="2994">
        <v>3.1797</v>
      </c>
      <c r="AC1159" s="2994">
        <v>0</v>
      </c>
      <c r="AD1159" s="2994">
        <v>0.21820000000000001</v>
      </c>
      <c r="AE1159" s="2994">
        <v>0.60499999999999998</v>
      </c>
      <c r="AF1159" s="2994">
        <v>0.61890000000000001</v>
      </c>
      <c r="AG1159" s="2994">
        <v>0.67649999999999999</v>
      </c>
      <c r="AH1159" s="2994">
        <v>0.82189999999999996</v>
      </c>
      <c r="AI1159" s="2994">
        <v>0.56520000000000004</v>
      </c>
      <c r="AJ1159" s="2994">
        <v>0.67079999999999995</v>
      </c>
      <c r="AK1159" s="2994">
        <v>0.67159999999999997</v>
      </c>
      <c r="AL1159" s="2994">
        <v>0.77280000000000004</v>
      </c>
      <c r="AM1159" s="2994">
        <v>0.80510000000000004</v>
      </c>
      <c r="AN1159" s="2994">
        <v>0.73219999999999996</v>
      </c>
      <c r="AO1159" s="2994">
        <v>0.93200000000000005</v>
      </c>
      <c r="AP1159" s="2994">
        <v>0.92659999999999998</v>
      </c>
      <c r="AQ1159" s="2994">
        <v>0.84289999999999998</v>
      </c>
      <c r="AR1159" s="2994">
        <v>0.9123</v>
      </c>
      <c r="AS1159" s="2994">
        <v>0.79759999999999998</v>
      </c>
      <c r="AT1159" s="2994">
        <v>0.87749999999999995</v>
      </c>
      <c r="AU1159" s="2994">
        <v>1.0250999999999999</v>
      </c>
      <c r="AV1159" s="2994">
        <v>0.85609999999999997</v>
      </c>
      <c r="AW1159" s="2994">
        <v>0.95179999999999998</v>
      </c>
      <c r="AX1159" s="2994">
        <v>0.89100000000000001</v>
      </c>
      <c r="AY1159" s="2994">
        <v>1.0873999999999999</v>
      </c>
      <c r="AZ1159" s="2994">
        <v>0.88929999999999998</v>
      </c>
      <c r="BA1159" s="2994">
        <v>0.9</v>
      </c>
      <c r="BB1159" s="2994">
        <v>0.71519999999999995</v>
      </c>
      <c r="BC1159" s="2994">
        <v>0.78720000000000001</v>
      </c>
      <c r="BD1159" s="3471">
        <v>0.83940000000000003</v>
      </c>
      <c r="BE1159" s="3471">
        <v>0.82650000000000001</v>
      </c>
      <c r="BF1159" s="3471">
        <v>0</v>
      </c>
    </row>
    <row r="1160" spans="1:58">
      <c r="A1160" s="1817" t="str">
        <f t="shared" si="37"/>
        <v>Eastern EuropeApples</v>
      </c>
      <c r="B1160" s="1818" t="s">
        <v>302</v>
      </c>
      <c r="C1160" s="1818" t="s">
        <v>7285</v>
      </c>
      <c r="D1160" s="3463" t="str">
        <f>VLOOKUP(B1160,List_Yield!$G$4:$J$14,4,FALSE)</f>
        <v>Eastern Europe</v>
      </c>
      <c r="E1160" s="3463" t="str">
        <f t="shared" si="36"/>
        <v>Eastern EuropeApples</v>
      </c>
      <c r="F1160" s="2994">
        <v>3.5905</v>
      </c>
      <c r="G1160" s="2994">
        <v>3.3277999999999999</v>
      </c>
      <c r="H1160" s="2994">
        <v>4.2149999999999999</v>
      </c>
      <c r="I1160" s="2994">
        <v>4.8091999999999997</v>
      </c>
      <c r="J1160" s="2994">
        <v>3.8767999999999998</v>
      </c>
      <c r="K1160" s="2994">
        <v>5.0061</v>
      </c>
      <c r="L1160" s="2994">
        <v>5.1698000000000004</v>
      </c>
      <c r="M1160" s="2994">
        <v>5.1029999999999998</v>
      </c>
      <c r="N1160" s="2994">
        <v>5.0254000000000003</v>
      </c>
      <c r="O1160" s="2994">
        <v>4.3307000000000002</v>
      </c>
      <c r="P1160" s="2994">
        <v>4.3285999999999998</v>
      </c>
      <c r="Q1160" s="2994">
        <v>3.9786999999999999</v>
      </c>
      <c r="R1160" s="2994">
        <v>4.7785000000000002</v>
      </c>
      <c r="S1160" s="2994">
        <v>4.2949999999999999</v>
      </c>
      <c r="T1160" s="2994">
        <v>4.7023999999999999</v>
      </c>
      <c r="U1160" s="2994">
        <v>5.6439000000000004</v>
      </c>
      <c r="V1160" s="2994">
        <v>5.9885999999999999</v>
      </c>
      <c r="W1160" s="2994">
        <v>4.9130000000000003</v>
      </c>
      <c r="X1160" s="2994">
        <v>5.6227999999999998</v>
      </c>
      <c r="Y1160" s="2994">
        <v>5.0172999999999996</v>
      </c>
      <c r="Z1160" s="2994">
        <v>6.0258000000000003</v>
      </c>
      <c r="AA1160" s="2994">
        <v>7.2253999999999996</v>
      </c>
      <c r="AB1160" s="2994">
        <v>7.4938000000000002</v>
      </c>
      <c r="AC1160" s="2994">
        <v>6.8170000000000002</v>
      </c>
      <c r="AD1160" s="2994">
        <v>5.6553000000000004</v>
      </c>
      <c r="AE1160" s="2994">
        <v>6.9749999999999996</v>
      </c>
      <c r="AF1160" s="2994">
        <v>4.5479000000000003</v>
      </c>
      <c r="AG1160" s="2994">
        <v>5.4337</v>
      </c>
      <c r="AH1160" s="2994">
        <v>5.8141999999999996</v>
      </c>
      <c r="AI1160" s="2994">
        <v>5.1933999999999996</v>
      </c>
      <c r="AJ1160" s="2994">
        <v>4.8422000000000001</v>
      </c>
      <c r="AK1160" s="2994">
        <v>5.3851000000000004</v>
      </c>
      <c r="AL1160" s="2994">
        <v>6.8715000000000002</v>
      </c>
      <c r="AM1160" s="2994">
        <v>3.9841000000000002</v>
      </c>
      <c r="AN1160" s="2994">
        <v>4.2180999999999997</v>
      </c>
      <c r="AO1160" s="2994">
        <v>5.7567000000000004</v>
      </c>
      <c r="AP1160" s="2994">
        <v>6.5438000000000001</v>
      </c>
      <c r="AQ1160" s="2994">
        <v>4.6757</v>
      </c>
      <c r="AR1160" s="2994">
        <v>3.7004999999999999</v>
      </c>
      <c r="AS1160" s="2994">
        <v>5.3280000000000003</v>
      </c>
      <c r="AT1160" s="2994">
        <v>5.6784999999999997</v>
      </c>
      <c r="AU1160" s="2994">
        <v>5.6041999999999996</v>
      </c>
      <c r="AV1160" s="2994">
        <v>7.1498999999999997</v>
      </c>
      <c r="AW1160" s="2994">
        <v>7.8552</v>
      </c>
      <c r="AX1160" s="2994">
        <v>6.5620000000000003</v>
      </c>
      <c r="AY1160" s="2994">
        <v>7.1612999999999998</v>
      </c>
      <c r="AZ1160" s="2994">
        <v>6.0353000000000003</v>
      </c>
      <c r="BA1160" s="2994">
        <v>9.0372000000000003</v>
      </c>
      <c r="BB1160" s="2994">
        <v>9.6934000000000005</v>
      </c>
      <c r="BC1160" s="2994">
        <v>8.2428000000000008</v>
      </c>
      <c r="BD1160" s="3471">
        <v>8.8797999999999995</v>
      </c>
      <c r="BE1160" s="3471">
        <v>10.686400000000001</v>
      </c>
      <c r="BF1160" s="3471">
        <v>0</v>
      </c>
    </row>
    <row r="1161" spans="1:58">
      <c r="A1161" s="1817" t="str">
        <f t="shared" si="37"/>
        <v>Eastern EuropeApricots</v>
      </c>
      <c r="B1161" s="1818" t="s">
        <v>302</v>
      </c>
      <c r="C1161" s="1818" t="s">
        <v>7286</v>
      </c>
      <c r="D1161" s="3463" t="str">
        <f>VLOOKUP(B1161,List_Yield!$G$4:$J$14,4,FALSE)</f>
        <v>Eastern Europe</v>
      </c>
      <c r="E1161" s="3463" t="str">
        <f t="shared" si="36"/>
        <v>Eastern EuropeApricots</v>
      </c>
      <c r="F1161" s="2994">
        <v>6.6275000000000004</v>
      </c>
      <c r="G1161" s="2994">
        <v>3.9531999999999998</v>
      </c>
      <c r="H1161" s="2994">
        <v>6.0153999999999996</v>
      </c>
      <c r="I1161" s="2994">
        <v>5.8361000000000001</v>
      </c>
      <c r="J1161" s="2994">
        <v>4.6109</v>
      </c>
      <c r="K1161" s="2994">
        <v>5.6017999999999999</v>
      </c>
      <c r="L1161" s="2994">
        <v>9.0922000000000001</v>
      </c>
      <c r="M1161" s="2994">
        <v>5.4226000000000001</v>
      </c>
      <c r="N1161" s="2994">
        <v>6.9954000000000001</v>
      </c>
      <c r="O1161" s="2994">
        <v>4.8670999999999998</v>
      </c>
      <c r="P1161" s="2994">
        <v>4.2464000000000004</v>
      </c>
      <c r="Q1161" s="2994">
        <v>3.762</v>
      </c>
      <c r="R1161" s="2994">
        <v>4.7355</v>
      </c>
      <c r="S1161" s="2994">
        <v>4.2051999999999996</v>
      </c>
      <c r="T1161" s="2994">
        <v>3.9129999999999998</v>
      </c>
      <c r="U1161" s="2994">
        <v>4.6848999999999998</v>
      </c>
      <c r="V1161" s="2994">
        <v>5.3262</v>
      </c>
      <c r="W1161" s="2994">
        <v>3.8988999999999998</v>
      </c>
      <c r="X1161" s="2994">
        <v>5.7628000000000004</v>
      </c>
      <c r="Y1161" s="2994">
        <v>4.8400999999999996</v>
      </c>
      <c r="Z1161" s="2994">
        <v>5.0617000000000001</v>
      </c>
      <c r="AA1161" s="2994">
        <v>6.8407999999999998</v>
      </c>
      <c r="AB1161" s="2994">
        <v>6.7801999999999998</v>
      </c>
      <c r="AC1161" s="2994">
        <v>6.8898999999999999</v>
      </c>
      <c r="AD1161" s="2994">
        <v>4.9424000000000001</v>
      </c>
      <c r="AE1161" s="2994">
        <v>5.0151000000000003</v>
      </c>
      <c r="AF1161" s="2994">
        <v>3.5931999999999999</v>
      </c>
      <c r="AG1161" s="2994">
        <v>4.1215000000000002</v>
      </c>
      <c r="AH1161" s="2994">
        <v>5.3818999999999999</v>
      </c>
      <c r="AI1161" s="2994">
        <v>4.9550999999999998</v>
      </c>
      <c r="AJ1161" s="2994">
        <v>3.5897000000000001</v>
      </c>
      <c r="AK1161" s="2994">
        <v>3.9203000000000001</v>
      </c>
      <c r="AL1161" s="2994">
        <v>3.7057000000000002</v>
      </c>
      <c r="AM1161" s="2994">
        <v>2.5482999999999998</v>
      </c>
      <c r="AN1161" s="2994">
        <v>3.1455000000000002</v>
      </c>
      <c r="AO1161" s="2994">
        <v>5.3528000000000002</v>
      </c>
      <c r="AP1161" s="2994">
        <v>3.4464000000000001</v>
      </c>
      <c r="AQ1161" s="2994">
        <v>3.4455</v>
      </c>
      <c r="AR1161" s="2994">
        <v>3.6004999999999998</v>
      </c>
      <c r="AS1161" s="2994">
        <v>4.3963000000000001</v>
      </c>
      <c r="AT1161" s="2994">
        <v>3.2806000000000002</v>
      </c>
      <c r="AU1161" s="2994">
        <v>3.3460999999999999</v>
      </c>
      <c r="AV1161" s="2994">
        <v>5.2685000000000004</v>
      </c>
      <c r="AW1161" s="2994">
        <v>4.6829000000000001</v>
      </c>
      <c r="AX1161" s="2994">
        <v>5.0312999999999999</v>
      </c>
      <c r="AY1161" s="2994">
        <v>3.4302999999999999</v>
      </c>
      <c r="AZ1161" s="2994">
        <v>4.0358999999999998</v>
      </c>
      <c r="BA1161" s="2994">
        <v>5.6435000000000004</v>
      </c>
      <c r="BB1161" s="2994">
        <v>5.4701000000000004</v>
      </c>
      <c r="BC1161" s="2994">
        <v>4.9889999999999999</v>
      </c>
      <c r="BD1161" s="3471">
        <v>6.6561000000000003</v>
      </c>
      <c r="BE1161" s="3471">
        <v>4.7617000000000003</v>
      </c>
      <c r="BF1161" s="3471">
        <v>0</v>
      </c>
    </row>
    <row r="1162" spans="1:58">
      <c r="A1162" s="1817" t="str">
        <f t="shared" si="37"/>
        <v>Eastern EuropeAreca nuts</v>
      </c>
      <c r="B1162" s="1818" t="s">
        <v>302</v>
      </c>
      <c r="C1162" s="1818" t="s">
        <v>7287</v>
      </c>
      <c r="D1162" s="3463" t="str">
        <f>VLOOKUP(B1162,List_Yield!$G$4:$J$14,4,FALSE)</f>
        <v>Eastern Europe</v>
      </c>
      <c r="E1162" s="3463" t="str">
        <f t="shared" si="36"/>
        <v>Eastern EuropeAreca nuts</v>
      </c>
      <c r="F1162" s="2994">
        <v>0</v>
      </c>
      <c r="G1162" s="2994">
        <v>0</v>
      </c>
      <c r="H1162" s="2994">
        <v>0</v>
      </c>
      <c r="I1162" s="2994">
        <v>0</v>
      </c>
      <c r="J1162" s="2994">
        <v>0</v>
      </c>
      <c r="K1162" s="2994">
        <v>0</v>
      </c>
      <c r="L1162" s="2994">
        <v>0</v>
      </c>
      <c r="M1162" s="2994">
        <v>0</v>
      </c>
      <c r="N1162" s="2994">
        <v>0</v>
      </c>
      <c r="O1162" s="2994">
        <v>0</v>
      </c>
      <c r="P1162" s="2994">
        <v>0</v>
      </c>
      <c r="Q1162" s="2994">
        <v>0</v>
      </c>
      <c r="R1162" s="2994">
        <v>0</v>
      </c>
      <c r="S1162" s="2994">
        <v>0</v>
      </c>
      <c r="T1162" s="2994">
        <v>0</v>
      </c>
      <c r="U1162" s="2994">
        <v>0</v>
      </c>
      <c r="V1162" s="2994">
        <v>0</v>
      </c>
      <c r="W1162" s="2994">
        <v>0</v>
      </c>
      <c r="X1162" s="2994">
        <v>0</v>
      </c>
      <c r="Y1162" s="2994">
        <v>0</v>
      </c>
      <c r="Z1162" s="2994">
        <v>0</v>
      </c>
      <c r="AA1162" s="2994">
        <v>0</v>
      </c>
      <c r="AB1162" s="2994">
        <v>0</v>
      </c>
      <c r="AC1162" s="2994">
        <v>0</v>
      </c>
      <c r="AD1162" s="2994">
        <v>0</v>
      </c>
      <c r="AE1162" s="2994">
        <v>0</v>
      </c>
      <c r="AF1162" s="2994">
        <v>0</v>
      </c>
      <c r="AG1162" s="2994">
        <v>0</v>
      </c>
      <c r="AH1162" s="2994">
        <v>0</v>
      </c>
      <c r="AI1162" s="2994">
        <v>0</v>
      </c>
      <c r="AJ1162" s="2994">
        <v>0</v>
      </c>
      <c r="AK1162" s="2994">
        <v>0</v>
      </c>
      <c r="AL1162" s="2994">
        <v>0</v>
      </c>
      <c r="AM1162" s="2994">
        <v>0</v>
      </c>
      <c r="AN1162" s="2994">
        <v>0</v>
      </c>
      <c r="AO1162" s="2994">
        <v>0</v>
      </c>
      <c r="AP1162" s="2994">
        <v>0</v>
      </c>
      <c r="AQ1162" s="2994">
        <v>0</v>
      </c>
      <c r="AR1162" s="2994">
        <v>0</v>
      </c>
      <c r="AS1162" s="2994">
        <v>0</v>
      </c>
      <c r="AT1162" s="2994">
        <v>0</v>
      </c>
      <c r="AU1162" s="2994">
        <v>0</v>
      </c>
      <c r="AV1162" s="2994">
        <v>0</v>
      </c>
      <c r="AW1162" s="2994">
        <v>0</v>
      </c>
      <c r="AX1162" s="2994">
        <v>0</v>
      </c>
      <c r="AY1162" s="2994">
        <v>0</v>
      </c>
      <c r="AZ1162" s="2994">
        <v>0</v>
      </c>
      <c r="BA1162" s="2994">
        <v>0</v>
      </c>
      <c r="BB1162" s="2994">
        <v>0</v>
      </c>
      <c r="BC1162" s="2994">
        <v>0</v>
      </c>
      <c r="BD1162" s="3471">
        <v>0</v>
      </c>
      <c r="BE1162" s="3471">
        <v>0</v>
      </c>
      <c r="BF1162" s="3471">
        <v>0</v>
      </c>
    </row>
    <row r="1163" spans="1:58">
      <c r="A1163" s="1817" t="str">
        <f t="shared" si="37"/>
        <v>Eastern EuropeArtichokes</v>
      </c>
      <c r="B1163" s="1818" t="s">
        <v>302</v>
      </c>
      <c r="C1163" s="1818" t="s">
        <v>7288</v>
      </c>
      <c r="D1163" s="3463" t="str">
        <f>VLOOKUP(B1163,List_Yield!$G$4:$J$14,4,FALSE)</f>
        <v>Eastern Europe</v>
      </c>
      <c r="E1163" s="3463" t="str">
        <f t="shared" si="36"/>
        <v>Eastern EuropeArtichokes</v>
      </c>
      <c r="F1163" s="2994">
        <v>0</v>
      </c>
      <c r="G1163" s="2994">
        <v>0</v>
      </c>
      <c r="H1163" s="2994">
        <v>0</v>
      </c>
      <c r="I1163" s="2994">
        <v>0</v>
      </c>
      <c r="J1163" s="2994">
        <v>0</v>
      </c>
      <c r="K1163" s="2994">
        <v>0</v>
      </c>
      <c r="L1163" s="2994">
        <v>0</v>
      </c>
      <c r="M1163" s="2994">
        <v>0</v>
      </c>
      <c r="N1163" s="2994">
        <v>0</v>
      </c>
      <c r="O1163" s="2994">
        <v>0</v>
      </c>
      <c r="P1163" s="2994">
        <v>0</v>
      </c>
      <c r="Q1163" s="2994">
        <v>0</v>
      </c>
      <c r="R1163" s="2994">
        <v>0</v>
      </c>
      <c r="S1163" s="2994">
        <v>0</v>
      </c>
      <c r="T1163" s="2994">
        <v>0</v>
      </c>
      <c r="U1163" s="2994">
        <v>0</v>
      </c>
      <c r="V1163" s="2994">
        <v>0</v>
      </c>
      <c r="W1163" s="2994">
        <v>0</v>
      </c>
      <c r="X1163" s="2994">
        <v>0</v>
      </c>
      <c r="Y1163" s="2994">
        <v>0</v>
      </c>
      <c r="Z1163" s="2994">
        <v>0</v>
      </c>
      <c r="AA1163" s="2994">
        <v>0</v>
      </c>
      <c r="AB1163" s="2994">
        <v>0</v>
      </c>
      <c r="AC1163" s="2994">
        <v>0</v>
      </c>
      <c r="AD1163" s="2994">
        <v>0</v>
      </c>
      <c r="AE1163" s="2994">
        <v>0</v>
      </c>
      <c r="AF1163" s="2994">
        <v>0</v>
      </c>
      <c r="AG1163" s="2994">
        <v>0</v>
      </c>
      <c r="AH1163" s="2994">
        <v>0</v>
      </c>
      <c r="AI1163" s="2994">
        <v>0</v>
      </c>
      <c r="AJ1163" s="2994">
        <v>0</v>
      </c>
      <c r="AK1163" s="2994">
        <v>0</v>
      </c>
      <c r="AL1163" s="2994">
        <v>0</v>
      </c>
      <c r="AM1163" s="2994">
        <v>0</v>
      </c>
      <c r="AN1163" s="2994">
        <v>0</v>
      </c>
      <c r="AO1163" s="2994">
        <v>0</v>
      </c>
      <c r="AP1163" s="2994">
        <v>0</v>
      </c>
      <c r="AQ1163" s="2994">
        <v>0</v>
      </c>
      <c r="AR1163" s="2994">
        <v>7.5</v>
      </c>
      <c r="AS1163" s="2994">
        <v>5.9949000000000003</v>
      </c>
      <c r="AT1163" s="2994">
        <v>10.6952</v>
      </c>
      <c r="AU1163" s="2994">
        <v>10.3622</v>
      </c>
      <c r="AV1163" s="2994">
        <v>12.206</v>
      </c>
      <c r="AW1163" s="2994">
        <v>14.1371</v>
      </c>
      <c r="AX1163" s="2994">
        <v>11.811299999999999</v>
      </c>
      <c r="AY1163" s="2994">
        <v>13.333299999999999</v>
      </c>
      <c r="AZ1163" s="2994">
        <v>11.114100000000001</v>
      </c>
      <c r="BA1163" s="2994">
        <v>11</v>
      </c>
      <c r="BB1163" s="2994">
        <v>11</v>
      </c>
      <c r="BC1163" s="2994">
        <v>11.122400000000001</v>
      </c>
      <c r="BD1163" s="3471">
        <v>11.3269</v>
      </c>
      <c r="BE1163" s="3471">
        <v>11.3208</v>
      </c>
      <c r="BF1163" s="3471">
        <v>0</v>
      </c>
    </row>
    <row r="1164" spans="1:58">
      <c r="A1164" s="1817" t="str">
        <f t="shared" si="37"/>
        <v>Eastern EuropeAsparagus</v>
      </c>
      <c r="B1164" s="1818" t="s">
        <v>302</v>
      </c>
      <c r="C1164" s="1818" t="s">
        <v>7289</v>
      </c>
      <c r="D1164" s="3463" t="str">
        <f>VLOOKUP(B1164,List_Yield!$G$4:$J$14,4,FALSE)</f>
        <v>Eastern Europe</v>
      </c>
      <c r="E1164" s="3463" t="str">
        <f t="shared" si="36"/>
        <v>Eastern EuropeAsparagus</v>
      </c>
      <c r="F1164" s="2994">
        <v>0.31080000000000002</v>
      </c>
      <c r="G1164" s="2994">
        <v>0.30249999999999999</v>
      </c>
      <c r="H1164" s="2994">
        <v>0.58330000000000004</v>
      </c>
      <c r="I1164" s="2994">
        <v>0.54379999999999995</v>
      </c>
      <c r="J1164" s="2994">
        <v>0.497</v>
      </c>
      <c r="K1164" s="2994">
        <v>0.70289999999999997</v>
      </c>
      <c r="L1164" s="2994">
        <v>0.92989999999999995</v>
      </c>
      <c r="M1164" s="2994">
        <v>0.80659999999999998</v>
      </c>
      <c r="N1164" s="2994">
        <v>1.8366</v>
      </c>
      <c r="O1164" s="2994">
        <v>1.8785000000000001</v>
      </c>
      <c r="P1164" s="2994">
        <v>1.7463</v>
      </c>
      <c r="Q1164" s="2994">
        <v>1.6067</v>
      </c>
      <c r="R1164" s="2994">
        <v>1.2184999999999999</v>
      </c>
      <c r="S1164" s="2994">
        <v>1.3988</v>
      </c>
      <c r="T1164" s="2994">
        <v>1.2071000000000001</v>
      </c>
      <c r="U1164" s="2994">
        <v>1.3125</v>
      </c>
      <c r="V1164" s="2994">
        <v>1.9603999999999999</v>
      </c>
      <c r="W1164" s="2994">
        <v>1.4714</v>
      </c>
      <c r="X1164" s="2994">
        <v>1.2894000000000001</v>
      </c>
      <c r="Y1164" s="2994">
        <v>1.5367999999999999</v>
      </c>
      <c r="Z1164" s="2994">
        <v>1.4486000000000001</v>
      </c>
      <c r="AA1164" s="2994">
        <v>3.1396999999999999</v>
      </c>
      <c r="AB1164" s="2994">
        <v>2.1295999999999999</v>
      </c>
      <c r="AC1164" s="2994">
        <v>1.9598</v>
      </c>
      <c r="AD1164" s="2994">
        <v>1.4891000000000001</v>
      </c>
      <c r="AE1164" s="2994">
        <v>1.7107000000000001</v>
      </c>
      <c r="AF1164" s="2994">
        <v>1.7811999999999999</v>
      </c>
      <c r="AG1164" s="2994">
        <v>1.4058999999999999</v>
      </c>
      <c r="AH1164" s="2994">
        <v>2.1379999999999999</v>
      </c>
      <c r="AI1164" s="2994">
        <v>6.4741</v>
      </c>
      <c r="AJ1164" s="2994">
        <v>6.2568999999999999</v>
      </c>
      <c r="AK1164" s="2994">
        <v>5.4673999999999996</v>
      </c>
      <c r="AL1164" s="2994">
        <v>6.8493000000000004</v>
      </c>
      <c r="AM1164" s="2994">
        <v>4.319</v>
      </c>
      <c r="AN1164" s="2994">
        <v>4.3099999999999996</v>
      </c>
      <c r="AO1164" s="2994">
        <v>4.7129000000000003</v>
      </c>
      <c r="AP1164" s="2994">
        <v>5.4962</v>
      </c>
      <c r="AQ1164" s="2994">
        <v>5.3631000000000002</v>
      </c>
      <c r="AR1164" s="2994">
        <v>4.9259000000000004</v>
      </c>
      <c r="AS1164" s="2994">
        <v>5.4941000000000004</v>
      </c>
      <c r="AT1164" s="2994">
        <v>4.2648000000000001</v>
      </c>
      <c r="AU1164" s="2994">
        <v>4.2144000000000004</v>
      </c>
      <c r="AV1164" s="2994">
        <v>3.6829999999999998</v>
      </c>
      <c r="AW1164" s="2994">
        <v>4.9714</v>
      </c>
      <c r="AX1164" s="2994">
        <v>4.0734000000000004</v>
      </c>
      <c r="AY1164" s="2994">
        <v>3.0131999999999999</v>
      </c>
      <c r="AZ1164" s="2994">
        <v>3.387</v>
      </c>
      <c r="BA1164" s="2994">
        <v>3.7519</v>
      </c>
      <c r="BB1164" s="2994">
        <v>3.2158000000000002</v>
      </c>
      <c r="BC1164" s="2994">
        <v>4.2176</v>
      </c>
      <c r="BD1164" s="3471">
        <v>4.3239999999999998</v>
      </c>
      <c r="BE1164" s="3471">
        <v>4.1708999999999996</v>
      </c>
      <c r="BF1164" s="3471">
        <v>0</v>
      </c>
    </row>
    <row r="1165" spans="1:58">
      <c r="A1165" s="1817" t="str">
        <f t="shared" si="37"/>
        <v>Eastern EuropeAvocados</v>
      </c>
      <c r="B1165" s="1818" t="s">
        <v>302</v>
      </c>
      <c r="C1165" s="1818" t="s">
        <v>7290</v>
      </c>
      <c r="D1165" s="3463" t="str">
        <f>VLOOKUP(B1165,List_Yield!$G$4:$J$14,4,FALSE)</f>
        <v>Eastern Europe</v>
      </c>
      <c r="E1165" s="3463" t="str">
        <f t="shared" si="36"/>
        <v>Eastern EuropeAvocados</v>
      </c>
      <c r="F1165" s="2994">
        <v>0</v>
      </c>
      <c r="G1165" s="2994">
        <v>0</v>
      </c>
      <c r="H1165" s="2994">
        <v>0</v>
      </c>
      <c r="I1165" s="2994">
        <v>0</v>
      </c>
      <c r="J1165" s="2994">
        <v>0</v>
      </c>
      <c r="K1165" s="2994">
        <v>0</v>
      </c>
      <c r="L1165" s="2994">
        <v>0</v>
      </c>
      <c r="M1165" s="2994">
        <v>0</v>
      </c>
      <c r="N1165" s="2994">
        <v>0</v>
      </c>
      <c r="O1165" s="2994">
        <v>0</v>
      </c>
      <c r="P1165" s="2994">
        <v>0</v>
      </c>
      <c r="Q1165" s="2994">
        <v>0</v>
      </c>
      <c r="R1165" s="2994">
        <v>0</v>
      </c>
      <c r="S1165" s="2994">
        <v>0</v>
      </c>
      <c r="T1165" s="2994">
        <v>0</v>
      </c>
      <c r="U1165" s="2994">
        <v>0</v>
      </c>
      <c r="V1165" s="2994">
        <v>0</v>
      </c>
      <c r="W1165" s="2994">
        <v>0</v>
      </c>
      <c r="X1165" s="2994">
        <v>0</v>
      </c>
      <c r="Y1165" s="2994">
        <v>0</v>
      </c>
      <c r="Z1165" s="2994">
        <v>0</v>
      </c>
      <c r="AA1165" s="2994">
        <v>0</v>
      </c>
      <c r="AB1165" s="2994">
        <v>0</v>
      </c>
      <c r="AC1165" s="2994">
        <v>0</v>
      </c>
      <c r="AD1165" s="2994">
        <v>0</v>
      </c>
      <c r="AE1165" s="2994">
        <v>0</v>
      </c>
      <c r="AF1165" s="2994">
        <v>0</v>
      </c>
      <c r="AG1165" s="2994">
        <v>0</v>
      </c>
      <c r="AH1165" s="2994">
        <v>0</v>
      </c>
      <c r="AI1165" s="2994">
        <v>0</v>
      </c>
      <c r="AJ1165" s="2994">
        <v>0</v>
      </c>
      <c r="AK1165" s="2994">
        <v>0</v>
      </c>
      <c r="AL1165" s="2994">
        <v>0</v>
      </c>
      <c r="AM1165" s="2994">
        <v>0</v>
      </c>
      <c r="AN1165" s="2994">
        <v>0</v>
      </c>
      <c r="AO1165" s="2994">
        <v>0</v>
      </c>
      <c r="AP1165" s="2994">
        <v>0</v>
      </c>
      <c r="AQ1165" s="2994">
        <v>0</v>
      </c>
      <c r="AR1165" s="2994">
        <v>0</v>
      </c>
      <c r="AS1165" s="2994">
        <v>0</v>
      </c>
      <c r="AT1165" s="2994">
        <v>0</v>
      </c>
      <c r="AU1165" s="2994">
        <v>0</v>
      </c>
      <c r="AV1165" s="2994">
        <v>0</v>
      </c>
      <c r="AW1165" s="2994">
        <v>0</v>
      </c>
      <c r="AX1165" s="2994">
        <v>0</v>
      </c>
      <c r="AY1165" s="2994">
        <v>0</v>
      </c>
      <c r="AZ1165" s="2994">
        <v>0</v>
      </c>
      <c r="BA1165" s="2994">
        <v>0</v>
      </c>
      <c r="BB1165" s="2994">
        <v>0</v>
      </c>
      <c r="BC1165" s="2994">
        <v>0</v>
      </c>
      <c r="BD1165" s="3471">
        <v>0</v>
      </c>
      <c r="BE1165" s="3471">
        <v>0</v>
      </c>
      <c r="BF1165" s="3471">
        <v>0</v>
      </c>
    </row>
    <row r="1166" spans="1:58">
      <c r="A1166" s="1817" t="str">
        <f t="shared" si="37"/>
        <v>Eastern EuropeBambara beans</v>
      </c>
      <c r="B1166" s="1818" t="s">
        <v>302</v>
      </c>
      <c r="C1166" s="1818" t="s">
        <v>7291</v>
      </c>
      <c r="D1166" s="3463" t="str">
        <f>VLOOKUP(B1166,List_Yield!$G$4:$J$14,4,FALSE)</f>
        <v>Eastern Europe</v>
      </c>
      <c r="E1166" s="3463" t="str">
        <f t="shared" si="36"/>
        <v>Eastern EuropeBambara beans</v>
      </c>
      <c r="F1166" s="2994">
        <v>0</v>
      </c>
      <c r="G1166" s="2994">
        <v>0</v>
      </c>
      <c r="H1166" s="2994">
        <v>0</v>
      </c>
      <c r="I1166" s="2994">
        <v>0</v>
      </c>
      <c r="J1166" s="2994">
        <v>0</v>
      </c>
      <c r="K1166" s="2994">
        <v>0</v>
      </c>
      <c r="L1166" s="2994">
        <v>0</v>
      </c>
      <c r="M1166" s="2994">
        <v>0</v>
      </c>
      <c r="N1166" s="2994">
        <v>0</v>
      </c>
      <c r="O1166" s="2994">
        <v>0</v>
      </c>
      <c r="P1166" s="2994">
        <v>0</v>
      </c>
      <c r="Q1166" s="2994">
        <v>0</v>
      </c>
      <c r="R1166" s="2994">
        <v>0</v>
      </c>
      <c r="S1166" s="2994">
        <v>0</v>
      </c>
      <c r="T1166" s="2994">
        <v>0</v>
      </c>
      <c r="U1166" s="2994">
        <v>0</v>
      </c>
      <c r="V1166" s="2994">
        <v>0</v>
      </c>
      <c r="W1166" s="2994">
        <v>0</v>
      </c>
      <c r="X1166" s="2994">
        <v>0</v>
      </c>
      <c r="Y1166" s="2994">
        <v>0</v>
      </c>
      <c r="Z1166" s="2994">
        <v>0</v>
      </c>
      <c r="AA1166" s="2994">
        <v>0</v>
      </c>
      <c r="AB1166" s="2994">
        <v>0</v>
      </c>
      <c r="AC1166" s="2994">
        <v>0</v>
      </c>
      <c r="AD1166" s="2994">
        <v>0</v>
      </c>
      <c r="AE1166" s="2994">
        <v>0</v>
      </c>
      <c r="AF1166" s="2994">
        <v>0</v>
      </c>
      <c r="AG1166" s="2994">
        <v>0</v>
      </c>
      <c r="AH1166" s="2994">
        <v>0</v>
      </c>
      <c r="AI1166" s="2994">
        <v>0</v>
      </c>
      <c r="AJ1166" s="2994">
        <v>0</v>
      </c>
      <c r="AK1166" s="2994">
        <v>0</v>
      </c>
      <c r="AL1166" s="2994">
        <v>0</v>
      </c>
      <c r="AM1166" s="2994">
        <v>0</v>
      </c>
      <c r="AN1166" s="2994">
        <v>0</v>
      </c>
      <c r="AO1166" s="2994">
        <v>0</v>
      </c>
      <c r="AP1166" s="2994">
        <v>0</v>
      </c>
      <c r="AQ1166" s="2994">
        <v>0</v>
      </c>
      <c r="AR1166" s="2994">
        <v>0</v>
      </c>
      <c r="AS1166" s="2994">
        <v>0</v>
      </c>
      <c r="AT1166" s="2994">
        <v>0</v>
      </c>
      <c r="AU1166" s="2994">
        <v>0</v>
      </c>
      <c r="AV1166" s="2994">
        <v>0</v>
      </c>
      <c r="AW1166" s="2994">
        <v>0</v>
      </c>
      <c r="AX1166" s="2994">
        <v>0</v>
      </c>
      <c r="AY1166" s="2994">
        <v>0</v>
      </c>
      <c r="AZ1166" s="2994">
        <v>0</v>
      </c>
      <c r="BA1166" s="2994">
        <v>0</v>
      </c>
      <c r="BB1166" s="2994">
        <v>0</v>
      </c>
      <c r="BC1166" s="2994">
        <v>0</v>
      </c>
      <c r="BD1166" s="3471">
        <v>0</v>
      </c>
      <c r="BE1166" s="3471">
        <v>0</v>
      </c>
      <c r="BF1166" s="3471">
        <v>0</v>
      </c>
    </row>
    <row r="1167" spans="1:58">
      <c r="A1167" s="1817" t="str">
        <f t="shared" si="37"/>
        <v>Eastern EuropeBananas</v>
      </c>
      <c r="B1167" s="1818" t="s">
        <v>302</v>
      </c>
      <c r="C1167" s="1818" t="s">
        <v>1336</v>
      </c>
      <c r="D1167" s="3463" t="str">
        <f>VLOOKUP(B1167,List_Yield!$G$4:$J$14,4,FALSE)</f>
        <v>Eastern Europe</v>
      </c>
      <c r="E1167" s="3463" t="str">
        <f t="shared" si="36"/>
        <v>Eastern EuropeBananas</v>
      </c>
      <c r="F1167" s="2994">
        <v>0</v>
      </c>
      <c r="G1167" s="2994">
        <v>0</v>
      </c>
      <c r="H1167" s="2994">
        <v>0</v>
      </c>
      <c r="I1167" s="2994">
        <v>0</v>
      </c>
      <c r="J1167" s="2994">
        <v>0</v>
      </c>
      <c r="K1167" s="2994">
        <v>0</v>
      </c>
      <c r="L1167" s="2994">
        <v>0</v>
      </c>
      <c r="M1167" s="2994">
        <v>0</v>
      </c>
      <c r="N1167" s="2994">
        <v>0</v>
      </c>
      <c r="O1167" s="2994">
        <v>0</v>
      </c>
      <c r="P1167" s="2994">
        <v>0</v>
      </c>
      <c r="Q1167" s="2994">
        <v>0</v>
      </c>
      <c r="R1167" s="2994">
        <v>0</v>
      </c>
      <c r="S1167" s="2994">
        <v>0</v>
      </c>
      <c r="T1167" s="2994">
        <v>0</v>
      </c>
      <c r="U1167" s="2994">
        <v>0</v>
      </c>
      <c r="V1167" s="2994">
        <v>0</v>
      </c>
      <c r="W1167" s="2994">
        <v>0</v>
      </c>
      <c r="X1167" s="2994">
        <v>0</v>
      </c>
      <c r="Y1167" s="2994">
        <v>0</v>
      </c>
      <c r="Z1167" s="2994">
        <v>0</v>
      </c>
      <c r="AA1167" s="2994">
        <v>0</v>
      </c>
      <c r="AB1167" s="2994">
        <v>0</v>
      </c>
      <c r="AC1167" s="2994">
        <v>0</v>
      </c>
      <c r="AD1167" s="2994">
        <v>0</v>
      </c>
      <c r="AE1167" s="2994">
        <v>0</v>
      </c>
      <c r="AF1167" s="2994">
        <v>0</v>
      </c>
      <c r="AG1167" s="2994">
        <v>0</v>
      </c>
      <c r="AH1167" s="2994">
        <v>0</v>
      </c>
      <c r="AI1167" s="2994">
        <v>0</v>
      </c>
      <c r="AJ1167" s="2994">
        <v>0</v>
      </c>
      <c r="AK1167" s="2994">
        <v>0</v>
      </c>
      <c r="AL1167" s="2994">
        <v>0</v>
      </c>
      <c r="AM1167" s="2994">
        <v>0</v>
      </c>
      <c r="AN1167" s="2994">
        <v>0</v>
      </c>
      <c r="AO1167" s="2994">
        <v>0</v>
      </c>
      <c r="AP1167" s="2994">
        <v>0</v>
      </c>
      <c r="AQ1167" s="2994">
        <v>0</v>
      </c>
      <c r="AR1167" s="2994">
        <v>0</v>
      </c>
      <c r="AS1167" s="2994">
        <v>0</v>
      </c>
      <c r="AT1167" s="2994">
        <v>0</v>
      </c>
      <c r="AU1167" s="2994">
        <v>0</v>
      </c>
      <c r="AV1167" s="2994">
        <v>0</v>
      </c>
      <c r="AW1167" s="2994">
        <v>0</v>
      </c>
      <c r="AX1167" s="2994">
        <v>0</v>
      </c>
      <c r="AY1167" s="2994">
        <v>0</v>
      </c>
      <c r="AZ1167" s="2994">
        <v>0</v>
      </c>
      <c r="BA1167" s="2994">
        <v>0</v>
      </c>
      <c r="BB1167" s="2994">
        <v>0</v>
      </c>
      <c r="BC1167" s="2994">
        <v>0</v>
      </c>
      <c r="BD1167" s="3471">
        <v>0</v>
      </c>
      <c r="BE1167" s="3471">
        <v>0</v>
      </c>
      <c r="BF1167" s="3471">
        <v>0</v>
      </c>
    </row>
    <row r="1168" spans="1:58">
      <c r="A1168" s="1817" t="str">
        <f t="shared" si="37"/>
        <v>Eastern EuropeBarley</v>
      </c>
      <c r="B1168" s="1818" t="s">
        <v>302</v>
      </c>
      <c r="C1168" s="1818" t="s">
        <v>1337</v>
      </c>
      <c r="D1168" s="3463" t="str">
        <f>VLOOKUP(B1168,List_Yield!$G$4:$J$14,4,FALSE)</f>
        <v>Eastern Europe</v>
      </c>
      <c r="E1168" s="3463" t="str">
        <f t="shared" si="36"/>
        <v>Eastern EuropeBarley</v>
      </c>
      <c r="F1168" s="2994">
        <v>1.0863</v>
      </c>
      <c r="G1168" s="2994">
        <v>1.2444</v>
      </c>
      <c r="H1168" s="2994">
        <v>1.0085999999999999</v>
      </c>
      <c r="I1168" s="2994">
        <v>1.2796000000000001</v>
      </c>
      <c r="J1168" s="2994">
        <v>1.0772999999999999</v>
      </c>
      <c r="K1168" s="2994">
        <v>1.4201999999999999</v>
      </c>
      <c r="L1168" s="2994">
        <v>1.32</v>
      </c>
      <c r="M1168" s="2994">
        <v>1.4921</v>
      </c>
      <c r="N1168" s="2994">
        <v>1.4665999999999999</v>
      </c>
      <c r="O1168" s="2994">
        <v>1.7410000000000001</v>
      </c>
      <c r="P1168" s="2994">
        <v>1.637</v>
      </c>
      <c r="Q1168" s="2994">
        <v>1.4048</v>
      </c>
      <c r="R1168" s="2994">
        <v>1.8413999999999999</v>
      </c>
      <c r="S1168" s="2994">
        <v>1.7647999999999999</v>
      </c>
      <c r="T1168" s="2994">
        <v>1.1913</v>
      </c>
      <c r="U1168" s="2994">
        <v>1.9779</v>
      </c>
      <c r="V1168" s="2994">
        <v>1.5583</v>
      </c>
      <c r="W1168" s="2994">
        <v>1.9041999999999999</v>
      </c>
      <c r="X1168" s="2994">
        <v>1.3664000000000001</v>
      </c>
      <c r="Y1168" s="2994">
        <v>1.4675</v>
      </c>
      <c r="Z1168" s="2994">
        <v>1.2675000000000001</v>
      </c>
      <c r="AA1168" s="2994">
        <v>1.5837000000000001</v>
      </c>
      <c r="AB1168" s="2994">
        <v>1.6540999999999999</v>
      </c>
      <c r="AC1168" s="2994">
        <v>1.5259</v>
      </c>
      <c r="AD1168" s="2994">
        <v>1.6817</v>
      </c>
      <c r="AE1168" s="2994">
        <v>1.8474999999999999</v>
      </c>
      <c r="AF1168" s="2994">
        <v>1.9302999999999999</v>
      </c>
      <c r="AG1168" s="2994">
        <v>1.6187</v>
      </c>
      <c r="AH1168" s="2994">
        <v>1.9919</v>
      </c>
      <c r="AI1168" s="2994">
        <v>2.2465000000000002</v>
      </c>
      <c r="AJ1168" s="2994">
        <v>1.7161</v>
      </c>
      <c r="AK1168" s="2994">
        <v>2.2549000000000001</v>
      </c>
      <c r="AL1168" s="2994">
        <v>2.2172000000000001</v>
      </c>
      <c r="AM1168" s="2994">
        <v>2.109</v>
      </c>
      <c r="AN1168" s="2994">
        <v>1.6311</v>
      </c>
      <c r="AO1168" s="2994">
        <v>1.7042999999999999</v>
      </c>
      <c r="AP1168" s="2994">
        <v>2.1071</v>
      </c>
      <c r="AQ1168" s="2994">
        <v>1.8573999999999999</v>
      </c>
      <c r="AR1168" s="2994">
        <v>1.8596999999999999</v>
      </c>
      <c r="AS1168" s="2994">
        <v>1.8847</v>
      </c>
      <c r="AT1168" s="2994">
        <v>2.3738000000000001</v>
      </c>
      <c r="AU1168" s="2994">
        <v>2.3037000000000001</v>
      </c>
      <c r="AV1168" s="2994">
        <v>1.9699</v>
      </c>
      <c r="AW1168" s="2994">
        <v>2.3513000000000002</v>
      </c>
      <c r="AX1168" s="2994">
        <v>2.1751999999999998</v>
      </c>
      <c r="AY1168" s="2994">
        <v>2.1524999999999999</v>
      </c>
      <c r="AZ1168" s="2994">
        <v>2.0004</v>
      </c>
      <c r="BA1168" s="2994">
        <v>2.8321999999999998</v>
      </c>
      <c r="BB1168" s="2994">
        <v>2.5569000000000002</v>
      </c>
      <c r="BC1168" s="2994">
        <v>2.1642000000000001</v>
      </c>
      <c r="BD1168" s="3471">
        <v>2.5390999999999999</v>
      </c>
      <c r="BE1168" s="3471">
        <v>2.2475999999999998</v>
      </c>
      <c r="BF1168" s="3471">
        <v>2.3450000000000002</v>
      </c>
    </row>
    <row r="1169" spans="1:58">
      <c r="A1169" s="1817" t="str">
        <f t="shared" si="37"/>
        <v>Eastern EuropeBastfibres, other</v>
      </c>
      <c r="B1169" s="1818" t="s">
        <v>302</v>
      </c>
      <c r="C1169" s="1818" t="s">
        <v>7292</v>
      </c>
      <c r="D1169" s="3463" t="str">
        <f>VLOOKUP(B1169,List_Yield!$G$4:$J$14,4,FALSE)</f>
        <v>Eastern Europe</v>
      </c>
      <c r="E1169" s="3463" t="str">
        <f t="shared" si="36"/>
        <v>Eastern EuropeBastfibres, other</v>
      </c>
      <c r="F1169" s="2994">
        <v>1.58</v>
      </c>
      <c r="G1169" s="2994">
        <v>1.68</v>
      </c>
      <c r="H1169" s="2994">
        <v>1.78</v>
      </c>
      <c r="I1169" s="2994">
        <v>1.536</v>
      </c>
      <c r="J1169" s="2994">
        <v>1.6477999999999999</v>
      </c>
      <c r="K1169" s="2994">
        <v>1.7869999999999999</v>
      </c>
      <c r="L1169" s="2994">
        <v>2.2826</v>
      </c>
      <c r="M1169" s="2994">
        <v>1.9521999999999999</v>
      </c>
      <c r="N1169" s="2994">
        <v>2.2826</v>
      </c>
      <c r="O1169" s="2994">
        <v>2.1739000000000002</v>
      </c>
      <c r="P1169" s="2994">
        <v>2.298</v>
      </c>
      <c r="Q1169" s="2994">
        <v>2.3437999999999999</v>
      </c>
      <c r="R1169" s="2994">
        <v>2.3921000000000001</v>
      </c>
      <c r="S1169" s="2994">
        <v>2.4094000000000002</v>
      </c>
      <c r="T1169" s="2994">
        <v>2.2625000000000002</v>
      </c>
      <c r="U1169" s="2994">
        <v>2.7</v>
      </c>
      <c r="V1169" s="2994">
        <v>2.6</v>
      </c>
      <c r="W1169" s="2994">
        <v>2.5853000000000002</v>
      </c>
      <c r="X1169" s="2994">
        <v>2.6583000000000001</v>
      </c>
      <c r="Y1169" s="2994">
        <v>2.9083000000000001</v>
      </c>
      <c r="Z1169" s="2994">
        <v>2.5</v>
      </c>
      <c r="AA1169" s="2994">
        <v>2.5</v>
      </c>
      <c r="AB1169" s="2994">
        <v>2.5</v>
      </c>
      <c r="AC1169" s="2994">
        <v>2.5</v>
      </c>
      <c r="AD1169" s="2994">
        <v>2.5</v>
      </c>
      <c r="AE1169" s="2994">
        <v>2.5</v>
      </c>
      <c r="AF1169" s="2994">
        <v>2.25</v>
      </c>
      <c r="AG1169" s="2994">
        <v>2.1429</v>
      </c>
      <c r="AH1169" s="2994">
        <v>2.0455000000000001</v>
      </c>
      <c r="AI1169" s="2994">
        <v>2.1798000000000002</v>
      </c>
      <c r="AJ1169" s="2994">
        <v>2.5497000000000001</v>
      </c>
      <c r="AK1169" s="2994">
        <v>2.25</v>
      </c>
      <c r="AL1169" s="2994">
        <v>2.1429</v>
      </c>
      <c r="AM1169" s="2994">
        <v>2.7345000000000002</v>
      </c>
      <c r="AN1169" s="2994">
        <v>2.0207999999999999</v>
      </c>
      <c r="AO1169" s="2994">
        <v>2.2423000000000002</v>
      </c>
      <c r="AP1169" s="2994">
        <v>4.9866999999999999</v>
      </c>
      <c r="AQ1169" s="2994">
        <v>4.9839000000000002</v>
      </c>
      <c r="AR1169" s="2994">
        <v>2.1429</v>
      </c>
      <c r="AS1169" s="2994">
        <v>2.1429</v>
      </c>
      <c r="AT1169" s="2994">
        <v>2.0909</v>
      </c>
      <c r="AU1169" s="2994">
        <v>3.0670999999999999</v>
      </c>
      <c r="AV1169" s="2994">
        <v>2.0870000000000002</v>
      </c>
      <c r="AW1169" s="2994">
        <v>1.8312999999999999</v>
      </c>
      <c r="AX1169" s="2994">
        <v>2.0924</v>
      </c>
      <c r="AY1169" s="2994">
        <v>2.6092</v>
      </c>
      <c r="AZ1169" s="2994">
        <v>2.7172999999999998</v>
      </c>
      <c r="BA1169" s="2994">
        <v>2.8233000000000001</v>
      </c>
      <c r="BB1169" s="2994">
        <v>3.5512000000000001</v>
      </c>
      <c r="BC1169" s="2994">
        <v>3.5032999999999999</v>
      </c>
      <c r="BD1169" s="3471">
        <v>3.8736000000000002</v>
      </c>
      <c r="BE1169" s="3471">
        <v>3.8736000000000002</v>
      </c>
      <c r="BF1169" s="3471">
        <v>0</v>
      </c>
    </row>
    <row r="1170" spans="1:58">
      <c r="A1170" s="1817" t="str">
        <f t="shared" si="37"/>
        <v>Eastern EuropeBeans, dry</v>
      </c>
      <c r="B1170" s="1818" t="s">
        <v>302</v>
      </c>
      <c r="C1170" s="1818" t="s">
        <v>1338</v>
      </c>
      <c r="D1170" s="3463" t="str">
        <f>VLOOKUP(B1170,List_Yield!$G$4:$J$14,4,FALSE)</f>
        <v>Eastern Europe</v>
      </c>
      <c r="E1170" s="3463" t="str">
        <f t="shared" si="36"/>
        <v>Eastern EuropeBeans, dry</v>
      </c>
      <c r="F1170" s="2994">
        <v>0.16769999999999999</v>
      </c>
      <c r="G1170" s="2994">
        <v>0.12870000000000001</v>
      </c>
      <c r="H1170" s="2994">
        <v>0.12479999999999999</v>
      </c>
      <c r="I1170" s="2994">
        <v>0.14050000000000001</v>
      </c>
      <c r="J1170" s="2994">
        <v>0.14369999999999999</v>
      </c>
      <c r="K1170" s="2994">
        <v>0.19800000000000001</v>
      </c>
      <c r="L1170" s="2994">
        <v>0.1845</v>
      </c>
      <c r="M1170" s="2994">
        <v>0.13389999999999999</v>
      </c>
      <c r="N1170" s="2994">
        <v>0.20419999999999999</v>
      </c>
      <c r="O1170" s="2994">
        <v>0.18590000000000001</v>
      </c>
      <c r="P1170" s="2994">
        <v>0.2351</v>
      </c>
      <c r="Q1170" s="2994">
        <v>0.20169999999999999</v>
      </c>
      <c r="R1170" s="2994">
        <v>0.2732</v>
      </c>
      <c r="S1170" s="2994">
        <v>0.22939999999999999</v>
      </c>
      <c r="T1170" s="2994">
        <v>0.2412</v>
      </c>
      <c r="U1170" s="2994">
        <v>0.2379</v>
      </c>
      <c r="V1170" s="2994">
        <v>0.35730000000000001</v>
      </c>
      <c r="W1170" s="2994">
        <v>0.4017</v>
      </c>
      <c r="X1170" s="2994">
        <v>0.48620000000000002</v>
      </c>
      <c r="Y1170" s="2994">
        <v>0.38519999999999999</v>
      </c>
      <c r="Z1170" s="2994">
        <v>0.54549999999999998</v>
      </c>
      <c r="AA1170" s="2994">
        <v>0.66969999999999996</v>
      </c>
      <c r="AB1170" s="2994">
        <v>0.5746</v>
      </c>
      <c r="AC1170" s="2994">
        <v>0.6048</v>
      </c>
      <c r="AD1170" s="2994">
        <v>1.4001999999999999</v>
      </c>
      <c r="AE1170" s="2994">
        <v>1.0448</v>
      </c>
      <c r="AF1170" s="2994">
        <v>0.83050000000000002</v>
      </c>
      <c r="AG1170" s="2994">
        <v>0.87160000000000004</v>
      </c>
      <c r="AH1170" s="2994">
        <v>1.0389999999999999</v>
      </c>
      <c r="AI1170" s="2994">
        <v>1.0069999999999999</v>
      </c>
      <c r="AJ1170" s="2994">
        <v>1.3575999999999999</v>
      </c>
      <c r="AK1170" s="2994">
        <v>1.1545000000000001</v>
      </c>
      <c r="AL1170" s="2994">
        <v>1.4469000000000001</v>
      </c>
      <c r="AM1170" s="2994">
        <v>1.0615000000000001</v>
      </c>
      <c r="AN1170" s="2994">
        <v>1.3545</v>
      </c>
      <c r="AO1170" s="2994">
        <v>1.1944999999999999</v>
      </c>
      <c r="AP1170" s="2994">
        <v>1.5027999999999999</v>
      </c>
      <c r="AQ1170" s="2994">
        <v>1.1611</v>
      </c>
      <c r="AR1170" s="2994">
        <v>1.0825</v>
      </c>
      <c r="AS1170" s="2994">
        <v>1.1991000000000001</v>
      </c>
      <c r="AT1170" s="2994">
        <v>1.5468999999999999</v>
      </c>
      <c r="AU1170" s="2994">
        <v>1.5429999999999999</v>
      </c>
      <c r="AV1170" s="2994">
        <v>1.5185999999999999</v>
      </c>
      <c r="AW1170" s="2994">
        <v>1.6738</v>
      </c>
      <c r="AX1170" s="2994">
        <v>1.5123</v>
      </c>
      <c r="AY1170" s="2994">
        <v>1.2493000000000001</v>
      </c>
      <c r="AZ1170" s="2994">
        <v>1.349</v>
      </c>
      <c r="BA1170" s="2994">
        <v>1.7718</v>
      </c>
      <c r="BB1170" s="2994">
        <v>1.8836999999999999</v>
      </c>
      <c r="BC1170" s="2994">
        <v>1.6486000000000001</v>
      </c>
      <c r="BD1170" s="3471">
        <v>1.9348000000000001</v>
      </c>
      <c r="BE1170" s="3471">
        <v>1.9576</v>
      </c>
      <c r="BF1170" s="3471">
        <v>1.9134</v>
      </c>
    </row>
    <row r="1171" spans="1:58">
      <c r="A1171" s="1817" t="str">
        <f t="shared" si="37"/>
        <v>Eastern EuropeBeans, green</v>
      </c>
      <c r="B1171" s="1818" t="s">
        <v>302</v>
      </c>
      <c r="C1171" s="1818" t="s">
        <v>1339</v>
      </c>
      <c r="D1171" s="3463" t="str">
        <f>VLOOKUP(B1171,List_Yield!$G$4:$J$14,4,FALSE)</f>
        <v>Eastern Europe</v>
      </c>
      <c r="E1171" s="3463" t="str">
        <f t="shared" si="36"/>
        <v>Eastern EuropeBeans, green</v>
      </c>
      <c r="F1171" s="2994">
        <v>2.7458</v>
      </c>
      <c r="G1171" s="2994">
        <v>3.2782</v>
      </c>
      <c r="H1171" s="2994">
        <v>3.1392000000000002</v>
      </c>
      <c r="I1171" s="2994">
        <v>3.3872</v>
      </c>
      <c r="J1171" s="2994">
        <v>2.8643000000000001</v>
      </c>
      <c r="K1171" s="2994">
        <v>3.3717000000000001</v>
      </c>
      <c r="L1171" s="2994">
        <v>3.2178</v>
      </c>
      <c r="M1171" s="2994">
        <v>3.0516000000000001</v>
      </c>
      <c r="N1171" s="2994">
        <v>3.9327000000000001</v>
      </c>
      <c r="O1171" s="2994">
        <v>3.5244</v>
      </c>
      <c r="P1171" s="2994">
        <v>3.4859</v>
      </c>
      <c r="Q1171" s="2994">
        <v>3.5587</v>
      </c>
      <c r="R1171" s="2994">
        <v>3.6945000000000001</v>
      </c>
      <c r="S1171" s="2994">
        <v>3.2225999999999999</v>
      </c>
      <c r="T1171" s="2994">
        <v>3.4348000000000001</v>
      </c>
      <c r="U1171" s="2994">
        <v>3.0752000000000002</v>
      </c>
      <c r="V1171" s="2994">
        <v>3.7387000000000001</v>
      </c>
      <c r="W1171" s="2994">
        <v>3.6623000000000001</v>
      </c>
      <c r="X1171" s="2994">
        <v>3.3767</v>
      </c>
      <c r="Y1171" s="2994">
        <v>3.2307000000000001</v>
      </c>
      <c r="Z1171" s="2994">
        <v>3.6678999999999999</v>
      </c>
      <c r="AA1171" s="2994">
        <v>4.2998000000000003</v>
      </c>
      <c r="AB1171" s="2994">
        <v>4.2853000000000003</v>
      </c>
      <c r="AC1171" s="2994">
        <v>3.9693999999999998</v>
      </c>
      <c r="AD1171" s="2994">
        <v>4.1951999999999998</v>
      </c>
      <c r="AE1171" s="2994">
        <v>3.9921000000000002</v>
      </c>
      <c r="AF1171" s="2994">
        <v>3.0529999999999999</v>
      </c>
      <c r="AG1171" s="2994">
        <v>3.8161</v>
      </c>
      <c r="AH1171" s="2994">
        <v>4.3063000000000002</v>
      </c>
      <c r="AI1171" s="2994">
        <v>4.1455000000000002</v>
      </c>
      <c r="AJ1171" s="2994">
        <v>5.07</v>
      </c>
      <c r="AK1171" s="2994">
        <v>3.9064999999999999</v>
      </c>
      <c r="AL1171" s="2994">
        <v>4.1439000000000004</v>
      </c>
      <c r="AM1171" s="2994">
        <v>3.7633999999999999</v>
      </c>
      <c r="AN1171" s="2994">
        <v>4.1379000000000001</v>
      </c>
      <c r="AO1171" s="2994">
        <v>4.6657000000000002</v>
      </c>
      <c r="AP1171" s="2994">
        <v>4.6969000000000003</v>
      </c>
      <c r="AQ1171" s="2994">
        <v>4.5362999999999998</v>
      </c>
      <c r="AR1171" s="2994">
        <v>4.8745000000000003</v>
      </c>
      <c r="AS1171" s="2994">
        <v>4.3654000000000002</v>
      </c>
      <c r="AT1171" s="2994">
        <v>5.8883000000000001</v>
      </c>
      <c r="AU1171" s="2994">
        <v>5.5803000000000003</v>
      </c>
      <c r="AV1171" s="2994">
        <v>5.6026999999999996</v>
      </c>
      <c r="AW1171" s="2994">
        <v>7.0358000000000001</v>
      </c>
      <c r="AX1171" s="2994">
        <v>5.7446000000000002</v>
      </c>
      <c r="AY1171" s="2994">
        <v>5.8715999999999999</v>
      </c>
      <c r="AZ1171" s="2994">
        <v>5.42</v>
      </c>
      <c r="BA1171" s="2994">
        <v>6.5674999999999999</v>
      </c>
      <c r="BB1171" s="2994">
        <v>6.2106000000000003</v>
      </c>
      <c r="BC1171" s="2994">
        <v>5.8846999999999996</v>
      </c>
      <c r="BD1171" s="3471">
        <v>6.431</v>
      </c>
      <c r="BE1171" s="3471">
        <v>5.7901999999999996</v>
      </c>
      <c r="BF1171" s="3471">
        <v>0</v>
      </c>
    </row>
    <row r="1172" spans="1:58">
      <c r="A1172" s="1817" t="str">
        <f t="shared" si="37"/>
        <v>Eastern EuropeBerries nes</v>
      </c>
      <c r="B1172" s="1818" t="s">
        <v>302</v>
      </c>
      <c r="C1172" s="1818" t="s">
        <v>7293</v>
      </c>
      <c r="D1172" s="3463" t="str">
        <f>VLOOKUP(B1172,List_Yield!$G$4:$J$14,4,FALSE)</f>
        <v>Eastern Europe</v>
      </c>
      <c r="E1172" s="3463" t="str">
        <f t="shared" si="36"/>
        <v>Eastern EuropeBerries nes</v>
      </c>
      <c r="F1172" s="2994">
        <v>0</v>
      </c>
      <c r="G1172" s="2994">
        <v>0</v>
      </c>
      <c r="H1172" s="2994">
        <v>0</v>
      </c>
      <c r="I1172" s="2994">
        <v>0</v>
      </c>
      <c r="J1172" s="2994">
        <v>0</v>
      </c>
      <c r="K1172" s="2994">
        <v>0</v>
      </c>
      <c r="L1172" s="2994">
        <v>0</v>
      </c>
      <c r="M1172" s="2994">
        <v>0</v>
      </c>
      <c r="N1172" s="2994">
        <v>0</v>
      </c>
      <c r="O1172" s="2994">
        <v>0</v>
      </c>
      <c r="P1172" s="2994">
        <v>0</v>
      </c>
      <c r="Q1172" s="2994">
        <v>0</v>
      </c>
      <c r="R1172" s="2994">
        <v>0</v>
      </c>
      <c r="S1172" s="2994">
        <v>0</v>
      </c>
      <c r="T1172" s="2994">
        <v>0</v>
      </c>
      <c r="U1172" s="2994">
        <v>0</v>
      </c>
      <c r="V1172" s="2994">
        <v>0</v>
      </c>
      <c r="W1172" s="2994">
        <v>0</v>
      </c>
      <c r="X1172" s="2994">
        <v>0</v>
      </c>
      <c r="Y1172" s="2994">
        <v>0</v>
      </c>
      <c r="Z1172" s="2994">
        <v>0</v>
      </c>
      <c r="AA1172" s="2994">
        <v>0</v>
      </c>
      <c r="AB1172" s="2994">
        <v>0</v>
      </c>
      <c r="AC1172" s="2994">
        <v>0</v>
      </c>
      <c r="AD1172" s="2994">
        <v>0</v>
      </c>
      <c r="AE1172" s="2994">
        <v>0</v>
      </c>
      <c r="AF1172" s="2994">
        <v>0</v>
      </c>
      <c r="AG1172" s="2994">
        <v>0</v>
      </c>
      <c r="AH1172" s="2994">
        <v>4</v>
      </c>
      <c r="AI1172" s="2994">
        <v>3.8462000000000001</v>
      </c>
      <c r="AJ1172" s="2994">
        <v>3.9912999999999998</v>
      </c>
      <c r="AK1172" s="2994">
        <v>2.2222</v>
      </c>
      <c r="AL1172" s="2994">
        <v>4.3640999999999996</v>
      </c>
      <c r="AM1172" s="2994">
        <v>4.8148999999999997</v>
      </c>
      <c r="AN1172" s="2994">
        <v>2.6758000000000002</v>
      </c>
      <c r="AO1172" s="2994">
        <v>2.6118000000000001</v>
      </c>
      <c r="AP1172" s="2994">
        <v>3.2282000000000002</v>
      </c>
      <c r="AQ1172" s="2994">
        <v>2.6741999999999999</v>
      </c>
      <c r="AR1172" s="2994">
        <v>3.2894000000000001</v>
      </c>
      <c r="AS1172" s="2994">
        <v>4.3197999999999999</v>
      </c>
      <c r="AT1172" s="2994">
        <v>4.1529999999999996</v>
      </c>
      <c r="AU1172" s="2994">
        <v>4.0290999999999997</v>
      </c>
      <c r="AV1172" s="2994">
        <v>4.8305999999999996</v>
      </c>
      <c r="AW1172" s="2994">
        <v>3.6878000000000002</v>
      </c>
      <c r="AX1172" s="2994">
        <v>6.0919999999999996</v>
      </c>
      <c r="AY1172" s="2994">
        <v>6.1730999999999998</v>
      </c>
      <c r="AZ1172" s="2994">
        <v>4.9185999999999996</v>
      </c>
      <c r="BA1172" s="2994">
        <v>6.2473000000000001</v>
      </c>
      <c r="BB1172" s="2994">
        <v>5.6863999999999999</v>
      </c>
      <c r="BC1172" s="2994">
        <v>4.1212999999999997</v>
      </c>
      <c r="BD1172" s="3471">
        <v>5.1005000000000003</v>
      </c>
      <c r="BE1172" s="3471">
        <v>5.0994999999999999</v>
      </c>
      <c r="BF1172" s="3471">
        <v>0</v>
      </c>
    </row>
    <row r="1173" spans="1:58">
      <c r="A1173" s="1817" t="str">
        <f t="shared" si="37"/>
        <v>Eastern EuropeBlueberries</v>
      </c>
      <c r="B1173" s="1818" t="s">
        <v>302</v>
      </c>
      <c r="C1173" s="1818" t="s">
        <v>7294</v>
      </c>
      <c r="D1173" s="3463" t="str">
        <f>VLOOKUP(B1173,List_Yield!$G$4:$J$14,4,FALSE)</f>
        <v>Eastern Europe</v>
      </c>
      <c r="E1173" s="3463" t="str">
        <f t="shared" si="36"/>
        <v>Eastern EuropeBlueberries</v>
      </c>
      <c r="F1173" s="2994">
        <v>0</v>
      </c>
      <c r="G1173" s="2994">
        <v>0</v>
      </c>
      <c r="H1173" s="2994">
        <v>0</v>
      </c>
      <c r="I1173" s="2994">
        <v>0</v>
      </c>
      <c r="J1173" s="2994">
        <v>0</v>
      </c>
      <c r="K1173" s="2994">
        <v>0</v>
      </c>
      <c r="L1173" s="2994">
        <v>0</v>
      </c>
      <c r="M1173" s="2994">
        <v>0</v>
      </c>
      <c r="N1173" s="2994">
        <v>0</v>
      </c>
      <c r="O1173" s="2994">
        <v>0</v>
      </c>
      <c r="P1173" s="2994">
        <v>0</v>
      </c>
      <c r="Q1173" s="2994">
        <v>0</v>
      </c>
      <c r="R1173" s="2994">
        <v>0</v>
      </c>
      <c r="S1173" s="2994">
        <v>0</v>
      </c>
      <c r="T1173" s="2994">
        <v>0</v>
      </c>
      <c r="U1173" s="2994">
        <v>0</v>
      </c>
      <c r="V1173" s="2994">
        <v>0</v>
      </c>
      <c r="W1173" s="2994">
        <v>0</v>
      </c>
      <c r="X1173" s="2994">
        <v>0</v>
      </c>
      <c r="Y1173" s="2994">
        <v>0</v>
      </c>
      <c r="Z1173" s="2994">
        <v>0</v>
      </c>
      <c r="AA1173" s="2994">
        <v>0</v>
      </c>
      <c r="AB1173" s="2994">
        <v>0</v>
      </c>
      <c r="AC1173" s="2994">
        <v>0</v>
      </c>
      <c r="AD1173" s="2994">
        <v>0</v>
      </c>
      <c r="AE1173" s="2994">
        <v>0</v>
      </c>
      <c r="AF1173" s="2994">
        <v>0</v>
      </c>
      <c r="AG1173" s="2994">
        <v>0</v>
      </c>
      <c r="AH1173" s="2994">
        <v>4</v>
      </c>
      <c r="AI1173" s="2994">
        <v>4.0179</v>
      </c>
      <c r="AJ1173" s="2994">
        <v>4.2897999999999996</v>
      </c>
      <c r="AK1173" s="2994">
        <v>4.5255000000000001</v>
      </c>
      <c r="AL1173" s="2994">
        <v>4.7508999999999997</v>
      </c>
      <c r="AM1173" s="2994">
        <v>4.5</v>
      </c>
      <c r="AN1173" s="2994">
        <v>4.3792999999999997</v>
      </c>
      <c r="AO1173" s="2994">
        <v>4.8285999999999998</v>
      </c>
      <c r="AP1173" s="2994">
        <v>5.2145000000000001</v>
      </c>
      <c r="AQ1173" s="2994">
        <v>4.9061000000000003</v>
      </c>
      <c r="AR1173" s="2994">
        <v>5.7954999999999997</v>
      </c>
      <c r="AS1173" s="2994">
        <v>5.6589999999999998</v>
      </c>
      <c r="AT1173" s="2994">
        <v>6.4504999999999999</v>
      </c>
      <c r="AU1173" s="2994">
        <v>5.5369999999999999</v>
      </c>
      <c r="AV1173" s="2994">
        <v>5.9264000000000001</v>
      </c>
      <c r="AW1173" s="2994">
        <v>4.1666999999999996</v>
      </c>
      <c r="AX1173" s="2994">
        <v>4.0579999999999998</v>
      </c>
      <c r="AY1173" s="2994">
        <v>3.6852999999999998</v>
      </c>
      <c r="AZ1173" s="2994">
        <v>3.4478</v>
      </c>
      <c r="BA1173" s="2994">
        <v>4.1387999999999998</v>
      </c>
      <c r="BB1173" s="2994">
        <v>4.7992999999999997</v>
      </c>
      <c r="BC1173" s="2994">
        <v>4.4576000000000002</v>
      </c>
      <c r="BD1173" s="3471">
        <v>4.2445000000000004</v>
      </c>
      <c r="BE1173" s="3471">
        <v>4.2866999999999997</v>
      </c>
      <c r="BF1173" s="3471">
        <v>0</v>
      </c>
    </row>
    <row r="1174" spans="1:58">
      <c r="A1174" s="1817" t="str">
        <f t="shared" si="37"/>
        <v>Eastern EuropeBrazil nuts, with shell</v>
      </c>
      <c r="B1174" s="1818" t="s">
        <v>302</v>
      </c>
      <c r="C1174" s="1818" t="s">
        <v>7295</v>
      </c>
      <c r="D1174" s="3463" t="str">
        <f>VLOOKUP(B1174,List_Yield!$G$4:$J$14,4,FALSE)</f>
        <v>Eastern Europe</v>
      </c>
      <c r="E1174" s="3463" t="str">
        <f t="shared" si="36"/>
        <v>Eastern EuropeBrazil nuts, with shell</v>
      </c>
      <c r="F1174" s="2994">
        <v>0</v>
      </c>
      <c r="G1174" s="2994">
        <v>0</v>
      </c>
      <c r="H1174" s="2994">
        <v>0</v>
      </c>
      <c r="I1174" s="2994">
        <v>0</v>
      </c>
      <c r="J1174" s="2994">
        <v>0</v>
      </c>
      <c r="K1174" s="2994">
        <v>0</v>
      </c>
      <c r="L1174" s="2994">
        <v>0</v>
      </c>
      <c r="M1174" s="2994">
        <v>0</v>
      </c>
      <c r="N1174" s="2994">
        <v>0</v>
      </c>
      <c r="O1174" s="2994">
        <v>0</v>
      </c>
      <c r="P1174" s="2994">
        <v>0</v>
      </c>
      <c r="Q1174" s="2994">
        <v>0</v>
      </c>
      <c r="R1174" s="2994">
        <v>0</v>
      </c>
      <c r="S1174" s="2994">
        <v>0</v>
      </c>
      <c r="T1174" s="2994">
        <v>0</v>
      </c>
      <c r="U1174" s="2994">
        <v>0</v>
      </c>
      <c r="V1174" s="2994">
        <v>0</v>
      </c>
      <c r="W1174" s="2994">
        <v>0</v>
      </c>
      <c r="X1174" s="2994">
        <v>0</v>
      </c>
      <c r="Y1174" s="2994">
        <v>0</v>
      </c>
      <c r="Z1174" s="2994">
        <v>0</v>
      </c>
      <c r="AA1174" s="2994">
        <v>0</v>
      </c>
      <c r="AB1174" s="2994">
        <v>0</v>
      </c>
      <c r="AC1174" s="2994">
        <v>0</v>
      </c>
      <c r="AD1174" s="2994">
        <v>0</v>
      </c>
      <c r="AE1174" s="2994">
        <v>0</v>
      </c>
      <c r="AF1174" s="2994">
        <v>0</v>
      </c>
      <c r="AG1174" s="2994">
        <v>0</v>
      </c>
      <c r="AH1174" s="2994">
        <v>0</v>
      </c>
      <c r="AI1174" s="2994">
        <v>0</v>
      </c>
      <c r="AJ1174" s="2994">
        <v>0</v>
      </c>
      <c r="AK1174" s="2994">
        <v>0</v>
      </c>
      <c r="AL1174" s="2994">
        <v>0</v>
      </c>
      <c r="AM1174" s="2994">
        <v>0</v>
      </c>
      <c r="AN1174" s="2994">
        <v>0</v>
      </c>
      <c r="AO1174" s="2994">
        <v>0</v>
      </c>
      <c r="AP1174" s="2994">
        <v>0</v>
      </c>
      <c r="AQ1174" s="2994">
        <v>0</v>
      </c>
      <c r="AR1174" s="2994">
        <v>0</v>
      </c>
      <c r="AS1174" s="2994">
        <v>0</v>
      </c>
      <c r="AT1174" s="2994">
        <v>0</v>
      </c>
      <c r="AU1174" s="2994">
        <v>0</v>
      </c>
      <c r="AV1174" s="2994">
        <v>0</v>
      </c>
      <c r="AW1174" s="2994">
        <v>0</v>
      </c>
      <c r="AX1174" s="2994">
        <v>0</v>
      </c>
      <c r="AY1174" s="2994">
        <v>0</v>
      </c>
      <c r="AZ1174" s="2994">
        <v>0</v>
      </c>
      <c r="BA1174" s="2994">
        <v>0</v>
      </c>
      <c r="BB1174" s="2994">
        <v>0</v>
      </c>
      <c r="BC1174" s="2994">
        <v>0</v>
      </c>
      <c r="BD1174" s="3471">
        <v>0</v>
      </c>
      <c r="BE1174" s="3471">
        <v>0</v>
      </c>
      <c r="BF1174" s="3471">
        <v>0</v>
      </c>
    </row>
    <row r="1175" spans="1:58">
      <c r="A1175" s="1817" t="str">
        <f t="shared" si="37"/>
        <v>Eastern EuropeBroad beans, horse beans, dry</v>
      </c>
      <c r="B1175" s="1818" t="s">
        <v>302</v>
      </c>
      <c r="C1175" s="1818" t="s">
        <v>7296</v>
      </c>
      <c r="D1175" s="3463" t="str">
        <f>VLOOKUP(B1175,List_Yield!$G$4:$J$14,4,FALSE)</f>
        <v>Eastern Europe</v>
      </c>
      <c r="E1175" s="3463" t="str">
        <f t="shared" si="36"/>
        <v>Eastern EuropeBroad beans, horse beans, dry</v>
      </c>
      <c r="F1175" s="2994">
        <v>1.6594</v>
      </c>
      <c r="G1175" s="2994">
        <v>1.3533999999999999</v>
      </c>
      <c r="H1175" s="2994">
        <v>1.4927999999999999</v>
      </c>
      <c r="I1175" s="2994">
        <v>1.232</v>
      </c>
      <c r="J1175" s="2994">
        <v>1.9138999999999999</v>
      </c>
      <c r="K1175" s="2994">
        <v>1.2637</v>
      </c>
      <c r="L1175" s="2994">
        <v>1.6247</v>
      </c>
      <c r="M1175" s="2994">
        <v>1.3247</v>
      </c>
      <c r="N1175" s="2994">
        <v>1.5644</v>
      </c>
      <c r="O1175" s="2994">
        <v>1.8218000000000001</v>
      </c>
      <c r="P1175" s="2994">
        <v>1.7707999999999999</v>
      </c>
      <c r="Q1175" s="2994">
        <v>2.3380000000000001</v>
      </c>
      <c r="R1175" s="2994">
        <v>2.0209999999999999</v>
      </c>
      <c r="S1175" s="2994">
        <v>1.8625</v>
      </c>
      <c r="T1175" s="2994">
        <v>2.0089999999999999</v>
      </c>
      <c r="U1175" s="2994">
        <v>0.93169999999999997</v>
      </c>
      <c r="V1175" s="2994">
        <v>1.9534</v>
      </c>
      <c r="W1175" s="2994">
        <v>1.9453</v>
      </c>
      <c r="X1175" s="2994">
        <v>1.7518</v>
      </c>
      <c r="Y1175" s="2994">
        <v>1.7401</v>
      </c>
      <c r="Z1175" s="2994">
        <v>1.4047000000000001</v>
      </c>
      <c r="AA1175" s="2994">
        <v>1.5527</v>
      </c>
      <c r="AB1175" s="2994">
        <v>1.7000999999999999</v>
      </c>
      <c r="AC1175" s="2994">
        <v>2.0367999999999999</v>
      </c>
      <c r="AD1175" s="2994">
        <v>2.0800999999999998</v>
      </c>
      <c r="AE1175" s="2994">
        <v>1.4528000000000001</v>
      </c>
      <c r="AF1175" s="2994">
        <v>2.2566000000000002</v>
      </c>
      <c r="AG1175" s="2994">
        <v>1.6294</v>
      </c>
      <c r="AH1175" s="2994">
        <v>1.7162999999999999</v>
      </c>
      <c r="AI1175" s="2994">
        <v>1.786</v>
      </c>
      <c r="AJ1175" s="2994">
        <v>2.165</v>
      </c>
      <c r="AK1175" s="2994">
        <v>1.5998000000000001</v>
      </c>
      <c r="AL1175" s="2994">
        <v>2.2052</v>
      </c>
      <c r="AM1175" s="2994">
        <v>2.1145</v>
      </c>
      <c r="AN1175" s="2994">
        <v>2.4014000000000002</v>
      </c>
      <c r="AO1175" s="2994">
        <v>1.3938999999999999</v>
      </c>
      <c r="AP1175" s="2994">
        <v>1.3005</v>
      </c>
      <c r="AQ1175" s="2994">
        <v>1.1244000000000001</v>
      </c>
      <c r="AR1175" s="2994">
        <v>1.4412</v>
      </c>
      <c r="AS1175" s="2994">
        <v>1.3378000000000001</v>
      </c>
      <c r="AT1175" s="2994">
        <v>1.4550000000000001</v>
      </c>
      <c r="AU1175" s="2994">
        <v>1.3806</v>
      </c>
      <c r="AV1175" s="2994">
        <v>1.4932000000000001</v>
      </c>
      <c r="AW1175" s="2994">
        <v>1.8161</v>
      </c>
      <c r="AX1175" s="2994">
        <v>1.532</v>
      </c>
      <c r="AY1175" s="2994">
        <v>1.4338</v>
      </c>
      <c r="AZ1175" s="2994">
        <v>1.1324000000000001</v>
      </c>
      <c r="BA1175" s="2994">
        <v>1.7624</v>
      </c>
      <c r="BB1175" s="2994">
        <v>1.6212</v>
      </c>
      <c r="BC1175" s="2994">
        <v>1.3818999999999999</v>
      </c>
      <c r="BD1175" s="3471">
        <v>1.5724</v>
      </c>
      <c r="BE1175" s="3471">
        <v>1.3594999999999999</v>
      </c>
      <c r="BF1175" s="3471">
        <v>1.1073</v>
      </c>
    </row>
    <row r="1176" spans="1:58">
      <c r="A1176" s="1817" t="str">
        <f t="shared" si="37"/>
        <v>Eastern EuropeBuckwheat</v>
      </c>
      <c r="B1176" s="1818" t="s">
        <v>302</v>
      </c>
      <c r="C1176" s="1818" t="s">
        <v>7297</v>
      </c>
      <c r="D1176" s="3463" t="str">
        <f>VLOOKUP(B1176,List_Yield!$G$4:$J$14,4,FALSE)</f>
        <v>Eastern Europe</v>
      </c>
      <c r="E1176" s="3463" t="str">
        <f t="shared" si="36"/>
        <v>Eastern EuropeBuckwheat</v>
      </c>
      <c r="F1176" s="2994">
        <v>0.41139999999999999</v>
      </c>
      <c r="G1176" s="2994">
        <v>0.33879999999999999</v>
      </c>
      <c r="H1176" s="2994">
        <v>0.2482</v>
      </c>
      <c r="I1176" s="2994">
        <v>0.45450000000000002</v>
      </c>
      <c r="J1176" s="2994">
        <v>0.46810000000000002</v>
      </c>
      <c r="K1176" s="2994">
        <v>0.4486</v>
      </c>
      <c r="L1176" s="2994">
        <v>0.58830000000000005</v>
      </c>
      <c r="M1176" s="2994">
        <v>0.74839999999999995</v>
      </c>
      <c r="N1176" s="2994">
        <v>0.58550000000000002</v>
      </c>
      <c r="O1176" s="2994">
        <v>0.50629999999999997</v>
      </c>
      <c r="P1176" s="2994">
        <v>0.57479999999999998</v>
      </c>
      <c r="Q1176" s="2994">
        <v>0.41889999999999999</v>
      </c>
      <c r="R1176" s="2994">
        <v>0.68610000000000004</v>
      </c>
      <c r="S1176" s="2994">
        <v>0.53549999999999998</v>
      </c>
      <c r="T1176" s="2994">
        <v>0.2949</v>
      </c>
      <c r="U1176" s="2994">
        <v>0.54530000000000001</v>
      </c>
      <c r="V1176" s="2994">
        <v>0.52310000000000001</v>
      </c>
      <c r="W1176" s="2994">
        <v>0.49480000000000002</v>
      </c>
      <c r="X1176" s="2994">
        <v>0.4652</v>
      </c>
      <c r="Y1176" s="2994">
        <v>0.53180000000000005</v>
      </c>
      <c r="Z1176" s="2994">
        <v>0.31269999999999998</v>
      </c>
      <c r="AA1176" s="2994">
        <v>0.55959999999999999</v>
      </c>
      <c r="AB1176" s="2994">
        <v>0.51619999999999999</v>
      </c>
      <c r="AC1176" s="2994">
        <v>0.58709999999999996</v>
      </c>
      <c r="AD1176" s="2994">
        <v>0.59940000000000004</v>
      </c>
      <c r="AE1176" s="2994">
        <v>0.55869999999999997</v>
      </c>
      <c r="AF1176" s="2994">
        <v>0.70599999999999996</v>
      </c>
      <c r="AG1176" s="2994">
        <v>0.56479999999999997</v>
      </c>
      <c r="AH1176" s="2994">
        <v>0.68159999999999998</v>
      </c>
      <c r="AI1176" s="2994">
        <v>0.76729999999999998</v>
      </c>
      <c r="AJ1176" s="2994">
        <v>0.51980000000000004</v>
      </c>
      <c r="AK1176" s="2994">
        <v>0.64370000000000005</v>
      </c>
      <c r="AL1176" s="2994">
        <v>0.60770000000000002</v>
      </c>
      <c r="AM1176" s="2994">
        <v>0.49719999999999998</v>
      </c>
      <c r="AN1176" s="2994">
        <v>0.47510000000000002</v>
      </c>
      <c r="AO1176" s="2994">
        <v>0.46820000000000001</v>
      </c>
      <c r="AP1176" s="2994">
        <v>0.76919999999999999</v>
      </c>
      <c r="AQ1176" s="2994">
        <v>0.63200000000000001</v>
      </c>
      <c r="AR1176" s="2994">
        <v>0.58389999999999997</v>
      </c>
      <c r="AS1176" s="2994">
        <v>0.76759999999999995</v>
      </c>
      <c r="AT1176" s="2994">
        <v>0.60329999999999995</v>
      </c>
      <c r="AU1176" s="2994">
        <v>0.61040000000000005</v>
      </c>
      <c r="AV1176" s="2994">
        <v>0.87529999999999997</v>
      </c>
      <c r="AW1176" s="2994">
        <v>0.77339999999999998</v>
      </c>
      <c r="AX1176" s="2994">
        <v>0.73580000000000001</v>
      </c>
      <c r="AY1176" s="2994">
        <v>0.75829999999999997</v>
      </c>
      <c r="AZ1176" s="2994">
        <v>0.83120000000000005</v>
      </c>
      <c r="BA1176" s="2994">
        <v>0.91439999999999999</v>
      </c>
      <c r="BB1176" s="2994">
        <v>0.88019999999999998</v>
      </c>
      <c r="BC1176" s="2994">
        <v>0.66839999999999999</v>
      </c>
      <c r="BD1176" s="3471">
        <v>0.98019999999999996</v>
      </c>
      <c r="BE1176" s="3471">
        <v>0.82620000000000005</v>
      </c>
      <c r="BF1176" s="3471">
        <v>0.96560000000000001</v>
      </c>
    </row>
    <row r="1177" spans="1:58">
      <c r="A1177" s="1817" t="str">
        <f t="shared" si="37"/>
        <v>Eastern EuropeCabbages and other brassicas</v>
      </c>
      <c r="B1177" s="1818" t="s">
        <v>302</v>
      </c>
      <c r="C1177" s="1818" t="s">
        <v>7298</v>
      </c>
      <c r="D1177" s="3463" t="str">
        <f>VLOOKUP(B1177,List_Yield!$G$4:$J$14,4,FALSE)</f>
        <v>Eastern Europe</v>
      </c>
      <c r="E1177" s="3463" t="str">
        <f t="shared" si="36"/>
        <v>Eastern EuropeCabbages and other brassicas</v>
      </c>
      <c r="F1177" s="2994">
        <v>18.932400000000001</v>
      </c>
      <c r="G1177" s="2994">
        <v>17.867000000000001</v>
      </c>
      <c r="H1177" s="2994">
        <v>17.608599999999999</v>
      </c>
      <c r="I1177" s="2994">
        <v>20.5807</v>
      </c>
      <c r="J1177" s="2994">
        <v>20.3383</v>
      </c>
      <c r="K1177" s="2994">
        <v>21.2242</v>
      </c>
      <c r="L1177" s="2994">
        <v>22.678599999999999</v>
      </c>
      <c r="M1177" s="2994">
        <v>20.772200000000002</v>
      </c>
      <c r="N1177" s="2994">
        <v>20.2578</v>
      </c>
      <c r="O1177" s="2994">
        <v>21.293900000000001</v>
      </c>
      <c r="P1177" s="2994">
        <v>21.454499999999999</v>
      </c>
      <c r="Q1177" s="2994">
        <v>20.6708</v>
      </c>
      <c r="R1177" s="2994">
        <v>24.9878</v>
      </c>
      <c r="S1177" s="2994">
        <v>23.951000000000001</v>
      </c>
      <c r="T1177" s="2994">
        <v>22.558800000000002</v>
      </c>
      <c r="U1177" s="2994">
        <v>25.0566</v>
      </c>
      <c r="V1177" s="2994">
        <v>23.037099999999999</v>
      </c>
      <c r="W1177" s="2994">
        <v>26.468</v>
      </c>
      <c r="X1177" s="2994">
        <v>23.2636</v>
      </c>
      <c r="Y1177" s="2994">
        <v>23.226900000000001</v>
      </c>
      <c r="Z1177" s="2994">
        <v>22.546199999999999</v>
      </c>
      <c r="AA1177" s="2994">
        <v>26.3703</v>
      </c>
      <c r="AB1177" s="2994">
        <v>25.976700000000001</v>
      </c>
      <c r="AC1177" s="2994">
        <v>29.297499999999999</v>
      </c>
      <c r="AD1177" s="2994">
        <v>27.0351</v>
      </c>
      <c r="AE1177" s="2994">
        <v>25.287199999999999</v>
      </c>
      <c r="AF1177" s="2994">
        <v>21.5107</v>
      </c>
      <c r="AG1177" s="2994">
        <v>24.3201</v>
      </c>
      <c r="AH1177" s="2994">
        <v>23.483699999999999</v>
      </c>
      <c r="AI1177" s="2994">
        <v>23.911899999999999</v>
      </c>
      <c r="AJ1177" s="2994">
        <v>23.853100000000001</v>
      </c>
      <c r="AK1177" s="2994">
        <v>18.565799999999999</v>
      </c>
      <c r="AL1177" s="2994">
        <v>21.591699999999999</v>
      </c>
      <c r="AM1177" s="2994">
        <v>18.3477</v>
      </c>
      <c r="AN1177" s="2994">
        <v>18.786000000000001</v>
      </c>
      <c r="AO1177" s="2994">
        <v>20.235600000000002</v>
      </c>
      <c r="AP1177" s="2994">
        <v>20.872800000000002</v>
      </c>
      <c r="AQ1177" s="2994">
        <v>21.444800000000001</v>
      </c>
      <c r="AR1177" s="2994">
        <v>21.795300000000001</v>
      </c>
      <c r="AS1177" s="2994">
        <v>20.199200000000001</v>
      </c>
      <c r="AT1177" s="2994">
        <v>22.396100000000001</v>
      </c>
      <c r="AU1177" s="2994">
        <v>21.502500000000001</v>
      </c>
      <c r="AV1177" s="2994">
        <v>24.858799999999999</v>
      </c>
      <c r="AW1177" s="2994">
        <v>24.9999</v>
      </c>
      <c r="AX1177" s="2994">
        <v>24.0884</v>
      </c>
      <c r="AY1177" s="2994">
        <v>29.320699999999999</v>
      </c>
      <c r="AZ1177" s="2994">
        <v>24.473299999999998</v>
      </c>
      <c r="BA1177" s="2994">
        <v>26.2121</v>
      </c>
      <c r="BB1177" s="2994">
        <v>26.946000000000002</v>
      </c>
      <c r="BC1177" s="2994">
        <v>24.642399999999999</v>
      </c>
      <c r="BD1177" s="3471">
        <v>28.377600000000001</v>
      </c>
      <c r="BE1177" s="3471">
        <v>27.5138</v>
      </c>
      <c r="BF1177" s="3471">
        <v>0</v>
      </c>
    </row>
    <row r="1178" spans="1:58">
      <c r="A1178" s="1817" t="str">
        <f t="shared" si="37"/>
        <v>Eastern EuropeCanary seed</v>
      </c>
      <c r="B1178" s="1818" t="s">
        <v>302</v>
      </c>
      <c r="C1178" s="1818" t="s">
        <v>7299</v>
      </c>
      <c r="D1178" s="3463" t="str">
        <f>VLOOKUP(B1178,List_Yield!$G$4:$J$14,4,FALSE)</f>
        <v>Eastern Europe</v>
      </c>
      <c r="E1178" s="3463" t="str">
        <f t="shared" si="36"/>
        <v>Eastern EuropeCanary seed</v>
      </c>
      <c r="F1178" s="2994">
        <v>0</v>
      </c>
      <c r="G1178" s="2994">
        <v>0</v>
      </c>
      <c r="H1178" s="2994">
        <v>0</v>
      </c>
      <c r="I1178" s="2994">
        <v>0</v>
      </c>
      <c r="J1178" s="2994">
        <v>0</v>
      </c>
      <c r="K1178" s="2994">
        <v>0</v>
      </c>
      <c r="L1178" s="2994">
        <v>0</v>
      </c>
      <c r="M1178" s="2994">
        <v>0</v>
      </c>
      <c r="N1178" s="2994">
        <v>0</v>
      </c>
      <c r="O1178" s="2994">
        <v>0</v>
      </c>
      <c r="P1178" s="2994">
        <v>0</v>
      </c>
      <c r="Q1178" s="2994">
        <v>0</v>
      </c>
      <c r="R1178" s="2994">
        <v>0</v>
      </c>
      <c r="S1178" s="2994">
        <v>0</v>
      </c>
      <c r="T1178" s="2994">
        <v>0</v>
      </c>
      <c r="U1178" s="2994">
        <v>0</v>
      </c>
      <c r="V1178" s="2994">
        <v>0</v>
      </c>
      <c r="W1178" s="2994">
        <v>0</v>
      </c>
      <c r="X1178" s="2994">
        <v>0</v>
      </c>
      <c r="Y1178" s="2994">
        <v>0</v>
      </c>
      <c r="Z1178" s="2994">
        <v>0</v>
      </c>
      <c r="AA1178" s="2994">
        <v>0</v>
      </c>
      <c r="AB1178" s="2994">
        <v>0</v>
      </c>
      <c r="AC1178" s="2994">
        <v>0</v>
      </c>
      <c r="AD1178" s="2994">
        <v>0</v>
      </c>
      <c r="AE1178" s="2994">
        <v>0</v>
      </c>
      <c r="AF1178" s="2994">
        <v>0</v>
      </c>
      <c r="AG1178" s="2994">
        <v>0</v>
      </c>
      <c r="AH1178" s="2994">
        <v>0</v>
      </c>
      <c r="AI1178" s="2994">
        <v>0</v>
      </c>
      <c r="AJ1178" s="2994">
        <v>1.3462000000000001</v>
      </c>
      <c r="AK1178" s="2994">
        <v>1</v>
      </c>
      <c r="AL1178" s="2994">
        <v>1</v>
      </c>
      <c r="AM1178" s="2994">
        <v>1.4266000000000001</v>
      </c>
      <c r="AN1178" s="2994">
        <v>1</v>
      </c>
      <c r="AO1178" s="2994">
        <v>1.2254</v>
      </c>
      <c r="AP1178" s="2994">
        <v>1.0027999999999999</v>
      </c>
      <c r="AQ1178" s="2994">
        <v>1.2232000000000001</v>
      </c>
      <c r="AR1178" s="2994">
        <v>0.91739999999999999</v>
      </c>
      <c r="AS1178" s="2994">
        <v>0.56210000000000004</v>
      </c>
      <c r="AT1178" s="2994">
        <v>0.90580000000000005</v>
      </c>
      <c r="AU1178" s="2994">
        <v>0.93759999999999999</v>
      </c>
      <c r="AV1178" s="2994">
        <v>0.501</v>
      </c>
      <c r="AW1178" s="2994">
        <v>1.7885</v>
      </c>
      <c r="AX1178" s="2994">
        <v>1.3238000000000001</v>
      </c>
      <c r="AY1178" s="2994">
        <v>1.2423</v>
      </c>
      <c r="AZ1178" s="2994">
        <v>1.0419</v>
      </c>
      <c r="BA1178" s="2994">
        <v>2.0373999999999999</v>
      </c>
      <c r="BB1178" s="2994">
        <v>0.9022</v>
      </c>
      <c r="BC1178" s="2994">
        <v>0.88649999999999995</v>
      </c>
      <c r="BD1178" s="3471">
        <v>1.0058</v>
      </c>
      <c r="BE1178" s="3471">
        <v>1.0891999999999999</v>
      </c>
      <c r="BF1178" s="3471">
        <v>1.4024000000000001</v>
      </c>
    </row>
    <row r="1179" spans="1:58">
      <c r="A1179" s="1817" t="str">
        <f t="shared" si="37"/>
        <v>Eastern EuropeCarobs</v>
      </c>
      <c r="B1179" s="1818" t="s">
        <v>302</v>
      </c>
      <c r="C1179" s="1818" t="s">
        <v>7300</v>
      </c>
      <c r="D1179" s="3463" t="str">
        <f>VLOOKUP(B1179,List_Yield!$G$4:$J$14,4,FALSE)</f>
        <v>Eastern Europe</v>
      </c>
      <c r="E1179" s="3463" t="str">
        <f t="shared" si="36"/>
        <v>Eastern EuropeCarobs</v>
      </c>
      <c r="F1179" s="2994">
        <v>0</v>
      </c>
      <c r="G1179" s="2994">
        <v>0</v>
      </c>
      <c r="H1179" s="2994">
        <v>0</v>
      </c>
      <c r="I1179" s="2994">
        <v>0</v>
      </c>
      <c r="J1179" s="2994">
        <v>0</v>
      </c>
      <c r="K1179" s="2994">
        <v>0</v>
      </c>
      <c r="L1179" s="2994">
        <v>0</v>
      </c>
      <c r="M1179" s="2994">
        <v>0</v>
      </c>
      <c r="N1179" s="2994">
        <v>0</v>
      </c>
      <c r="O1179" s="2994">
        <v>0</v>
      </c>
      <c r="P1179" s="2994">
        <v>0</v>
      </c>
      <c r="Q1179" s="2994">
        <v>0</v>
      </c>
      <c r="R1179" s="2994">
        <v>0</v>
      </c>
      <c r="S1179" s="2994">
        <v>0</v>
      </c>
      <c r="T1179" s="2994">
        <v>0</v>
      </c>
      <c r="U1179" s="2994">
        <v>0</v>
      </c>
      <c r="V1179" s="2994">
        <v>0</v>
      </c>
      <c r="W1179" s="2994">
        <v>0</v>
      </c>
      <c r="X1179" s="2994">
        <v>0</v>
      </c>
      <c r="Y1179" s="2994">
        <v>0</v>
      </c>
      <c r="Z1179" s="2994">
        <v>0</v>
      </c>
      <c r="AA1179" s="2994">
        <v>0</v>
      </c>
      <c r="AB1179" s="2994">
        <v>0</v>
      </c>
      <c r="AC1179" s="2994">
        <v>0</v>
      </c>
      <c r="AD1179" s="2994">
        <v>0</v>
      </c>
      <c r="AE1179" s="2994">
        <v>0</v>
      </c>
      <c r="AF1179" s="2994">
        <v>0</v>
      </c>
      <c r="AG1179" s="2994">
        <v>0</v>
      </c>
      <c r="AH1179" s="2994">
        <v>0</v>
      </c>
      <c r="AI1179" s="2994">
        <v>0</v>
      </c>
      <c r="AJ1179" s="2994">
        <v>0</v>
      </c>
      <c r="AK1179" s="2994">
        <v>1</v>
      </c>
      <c r="AL1179" s="2994">
        <v>1</v>
      </c>
      <c r="AM1179" s="2994">
        <v>1</v>
      </c>
      <c r="AN1179" s="2994">
        <v>1</v>
      </c>
      <c r="AO1179" s="2994">
        <v>1</v>
      </c>
      <c r="AP1179" s="2994">
        <v>1</v>
      </c>
      <c r="AQ1179" s="2994">
        <v>1</v>
      </c>
      <c r="AR1179" s="2994">
        <v>1</v>
      </c>
      <c r="AS1179" s="2994">
        <v>1</v>
      </c>
      <c r="AT1179" s="2994">
        <v>1</v>
      </c>
      <c r="AU1179" s="2994">
        <v>1</v>
      </c>
      <c r="AV1179" s="2994">
        <v>1</v>
      </c>
      <c r="AW1179" s="2994">
        <v>1</v>
      </c>
      <c r="AX1179" s="2994">
        <v>1</v>
      </c>
      <c r="AY1179" s="2994">
        <v>1</v>
      </c>
      <c r="AZ1179" s="2994">
        <v>1</v>
      </c>
      <c r="BA1179" s="2994">
        <v>1</v>
      </c>
      <c r="BB1179" s="2994">
        <v>1</v>
      </c>
      <c r="BC1179" s="2994">
        <v>0.9</v>
      </c>
      <c r="BD1179" s="3471">
        <v>1</v>
      </c>
      <c r="BE1179" s="3471">
        <v>1.5</v>
      </c>
      <c r="BF1179" s="3471">
        <v>0</v>
      </c>
    </row>
    <row r="1180" spans="1:58">
      <c r="A1180" s="1817" t="str">
        <f t="shared" si="37"/>
        <v>Eastern EuropeCarrots and turnips</v>
      </c>
      <c r="B1180" s="1818" t="s">
        <v>302</v>
      </c>
      <c r="C1180" s="1818" t="s">
        <v>1340</v>
      </c>
      <c r="D1180" s="3463" t="str">
        <f>VLOOKUP(B1180,List_Yield!$G$4:$J$14,4,FALSE)</f>
        <v>Eastern Europe</v>
      </c>
      <c r="E1180" s="3463" t="str">
        <f t="shared" si="36"/>
        <v>Eastern EuropeCarrots and turnips</v>
      </c>
      <c r="F1180" s="2994">
        <v>13.670400000000001</v>
      </c>
      <c r="G1180" s="2994">
        <v>12.638</v>
      </c>
      <c r="H1180" s="2994">
        <v>12.8414</v>
      </c>
      <c r="I1180" s="2994">
        <v>14.9064</v>
      </c>
      <c r="J1180" s="2994">
        <v>14.860900000000001</v>
      </c>
      <c r="K1180" s="2994">
        <v>15.0845</v>
      </c>
      <c r="L1180" s="2994">
        <v>16.315000000000001</v>
      </c>
      <c r="M1180" s="2994">
        <v>15.317600000000001</v>
      </c>
      <c r="N1180" s="2994">
        <v>15.1225</v>
      </c>
      <c r="O1180" s="2994">
        <v>15.6487</v>
      </c>
      <c r="P1180" s="2994">
        <v>15.3079</v>
      </c>
      <c r="Q1180" s="2994">
        <v>15.0023</v>
      </c>
      <c r="R1180" s="2994">
        <v>17.179200000000002</v>
      </c>
      <c r="S1180" s="2994">
        <v>15.8972</v>
      </c>
      <c r="T1180" s="2994">
        <v>14.6648</v>
      </c>
      <c r="U1180" s="2994">
        <v>15.521800000000001</v>
      </c>
      <c r="V1180" s="2994">
        <v>17.524000000000001</v>
      </c>
      <c r="W1180" s="2994">
        <v>18.096599999999999</v>
      </c>
      <c r="X1180" s="2994">
        <v>15.0654</v>
      </c>
      <c r="Y1180" s="2994">
        <v>16.8033</v>
      </c>
      <c r="Z1180" s="2994">
        <v>14.725199999999999</v>
      </c>
      <c r="AA1180" s="2994">
        <v>16.257300000000001</v>
      </c>
      <c r="AB1180" s="2994">
        <v>17.181999999999999</v>
      </c>
      <c r="AC1180" s="2994">
        <v>20.7029</v>
      </c>
      <c r="AD1180" s="2994">
        <v>18.363399999999999</v>
      </c>
      <c r="AE1180" s="2994">
        <v>18.8324</v>
      </c>
      <c r="AF1180" s="2994">
        <v>19.0791</v>
      </c>
      <c r="AG1180" s="2994">
        <v>18.0913</v>
      </c>
      <c r="AH1180" s="2994">
        <v>16.8506</v>
      </c>
      <c r="AI1180" s="2994">
        <v>17.566500000000001</v>
      </c>
      <c r="AJ1180" s="2994">
        <v>15.6822</v>
      </c>
      <c r="AK1180" s="2994">
        <v>17.881399999999999</v>
      </c>
      <c r="AL1180" s="2994">
        <v>19.742899999999999</v>
      </c>
      <c r="AM1180" s="2994">
        <v>15.2689</v>
      </c>
      <c r="AN1180" s="2994">
        <v>16.699000000000002</v>
      </c>
      <c r="AO1180" s="2994">
        <v>17.765899999999998</v>
      </c>
      <c r="AP1180" s="2994">
        <v>18.472300000000001</v>
      </c>
      <c r="AQ1180" s="2994">
        <v>18.326499999999999</v>
      </c>
      <c r="AR1180" s="2994">
        <v>18.139199999999999</v>
      </c>
      <c r="AS1180" s="2994">
        <v>18.109300000000001</v>
      </c>
      <c r="AT1180" s="2994">
        <v>18.845300000000002</v>
      </c>
      <c r="AU1180" s="2994">
        <v>17.329799999999999</v>
      </c>
      <c r="AV1180" s="2994">
        <v>19.055800000000001</v>
      </c>
      <c r="AW1180" s="2994">
        <v>20.420500000000001</v>
      </c>
      <c r="AX1180" s="2994">
        <v>20.290700000000001</v>
      </c>
      <c r="AY1180" s="2994">
        <v>20.301500000000001</v>
      </c>
      <c r="AZ1180" s="2994">
        <v>20.6097</v>
      </c>
      <c r="BA1180" s="2994">
        <v>21.522600000000001</v>
      </c>
      <c r="BB1180" s="2994">
        <v>21.825500000000002</v>
      </c>
      <c r="BC1180" s="2994">
        <v>21.0059</v>
      </c>
      <c r="BD1180" s="3471">
        <v>23.351700000000001</v>
      </c>
      <c r="BE1180" s="3471">
        <v>23.0822</v>
      </c>
      <c r="BF1180" s="3471">
        <v>0</v>
      </c>
    </row>
    <row r="1181" spans="1:58">
      <c r="A1181" s="1817" t="str">
        <f t="shared" si="37"/>
        <v>Eastern EuropeCashew nuts, with shell</v>
      </c>
      <c r="B1181" s="1818" t="s">
        <v>302</v>
      </c>
      <c r="C1181" s="1818" t="s">
        <v>1341</v>
      </c>
      <c r="D1181" s="3463" t="str">
        <f>VLOOKUP(B1181,List_Yield!$G$4:$J$14,4,FALSE)</f>
        <v>Eastern Europe</v>
      </c>
      <c r="E1181" s="3463" t="str">
        <f t="shared" si="36"/>
        <v>Eastern EuropeCashew nuts, with shell</v>
      </c>
      <c r="F1181" s="2994">
        <v>0</v>
      </c>
      <c r="G1181" s="2994">
        <v>0</v>
      </c>
      <c r="H1181" s="2994">
        <v>0</v>
      </c>
      <c r="I1181" s="2994">
        <v>0</v>
      </c>
      <c r="J1181" s="2994">
        <v>0</v>
      </c>
      <c r="K1181" s="2994">
        <v>0</v>
      </c>
      <c r="L1181" s="2994">
        <v>0</v>
      </c>
      <c r="M1181" s="2994">
        <v>0</v>
      </c>
      <c r="N1181" s="2994">
        <v>0</v>
      </c>
      <c r="O1181" s="2994">
        <v>0</v>
      </c>
      <c r="P1181" s="2994">
        <v>0</v>
      </c>
      <c r="Q1181" s="2994">
        <v>0</v>
      </c>
      <c r="R1181" s="2994">
        <v>0</v>
      </c>
      <c r="S1181" s="2994">
        <v>0</v>
      </c>
      <c r="T1181" s="2994">
        <v>0</v>
      </c>
      <c r="U1181" s="2994">
        <v>0</v>
      </c>
      <c r="V1181" s="2994">
        <v>0</v>
      </c>
      <c r="W1181" s="2994">
        <v>0</v>
      </c>
      <c r="X1181" s="2994">
        <v>0</v>
      </c>
      <c r="Y1181" s="2994">
        <v>0</v>
      </c>
      <c r="Z1181" s="2994">
        <v>0</v>
      </c>
      <c r="AA1181" s="2994">
        <v>0</v>
      </c>
      <c r="AB1181" s="2994">
        <v>0</v>
      </c>
      <c r="AC1181" s="2994">
        <v>0</v>
      </c>
      <c r="AD1181" s="2994">
        <v>0</v>
      </c>
      <c r="AE1181" s="2994">
        <v>0</v>
      </c>
      <c r="AF1181" s="2994">
        <v>0</v>
      </c>
      <c r="AG1181" s="2994">
        <v>0</v>
      </c>
      <c r="AH1181" s="2994">
        <v>0</v>
      </c>
      <c r="AI1181" s="2994">
        <v>0</v>
      </c>
      <c r="AJ1181" s="2994">
        <v>0</v>
      </c>
      <c r="AK1181" s="2994">
        <v>0</v>
      </c>
      <c r="AL1181" s="2994">
        <v>0</v>
      </c>
      <c r="AM1181" s="2994">
        <v>0</v>
      </c>
      <c r="AN1181" s="2994">
        <v>0</v>
      </c>
      <c r="AO1181" s="2994">
        <v>0</v>
      </c>
      <c r="AP1181" s="2994">
        <v>0</v>
      </c>
      <c r="AQ1181" s="2994">
        <v>0</v>
      </c>
      <c r="AR1181" s="2994">
        <v>0</v>
      </c>
      <c r="AS1181" s="2994">
        <v>0</v>
      </c>
      <c r="AT1181" s="2994">
        <v>0</v>
      </c>
      <c r="AU1181" s="2994">
        <v>0</v>
      </c>
      <c r="AV1181" s="2994">
        <v>0</v>
      </c>
      <c r="AW1181" s="2994">
        <v>0</v>
      </c>
      <c r="AX1181" s="2994">
        <v>0</v>
      </c>
      <c r="AY1181" s="2994">
        <v>0</v>
      </c>
      <c r="AZ1181" s="2994">
        <v>0</v>
      </c>
      <c r="BA1181" s="2994">
        <v>0</v>
      </c>
      <c r="BB1181" s="2994">
        <v>0</v>
      </c>
      <c r="BC1181" s="2994">
        <v>0</v>
      </c>
      <c r="BD1181" s="3471">
        <v>0</v>
      </c>
      <c r="BE1181" s="3471">
        <v>0</v>
      </c>
      <c r="BF1181" s="3471">
        <v>0</v>
      </c>
    </row>
    <row r="1182" spans="1:58">
      <c r="A1182" s="1817" t="str">
        <f t="shared" si="37"/>
        <v>Eastern EuropeCashewapple</v>
      </c>
      <c r="B1182" s="1818" t="s">
        <v>302</v>
      </c>
      <c r="C1182" s="1818" t="s">
        <v>7301</v>
      </c>
      <c r="D1182" s="3463" t="str">
        <f>VLOOKUP(B1182,List_Yield!$G$4:$J$14,4,FALSE)</f>
        <v>Eastern Europe</v>
      </c>
      <c r="E1182" s="3463" t="str">
        <f t="shared" si="36"/>
        <v>Eastern EuropeCashewapple</v>
      </c>
      <c r="F1182" s="2994">
        <v>0</v>
      </c>
      <c r="G1182" s="2994">
        <v>0</v>
      </c>
      <c r="H1182" s="2994">
        <v>0</v>
      </c>
      <c r="I1182" s="2994">
        <v>0</v>
      </c>
      <c r="J1182" s="2994">
        <v>0</v>
      </c>
      <c r="K1182" s="2994">
        <v>0</v>
      </c>
      <c r="L1182" s="2994">
        <v>0</v>
      </c>
      <c r="M1182" s="2994">
        <v>0</v>
      </c>
      <c r="N1182" s="2994">
        <v>0</v>
      </c>
      <c r="O1182" s="2994">
        <v>0</v>
      </c>
      <c r="P1182" s="2994">
        <v>0</v>
      </c>
      <c r="Q1182" s="2994">
        <v>0</v>
      </c>
      <c r="R1182" s="2994">
        <v>0</v>
      </c>
      <c r="S1182" s="2994">
        <v>0</v>
      </c>
      <c r="T1182" s="2994">
        <v>0</v>
      </c>
      <c r="U1182" s="2994">
        <v>0</v>
      </c>
      <c r="V1182" s="2994">
        <v>0</v>
      </c>
      <c r="W1182" s="2994">
        <v>0</v>
      </c>
      <c r="X1182" s="2994">
        <v>0</v>
      </c>
      <c r="Y1182" s="2994">
        <v>0</v>
      </c>
      <c r="Z1182" s="2994">
        <v>0</v>
      </c>
      <c r="AA1182" s="2994">
        <v>0</v>
      </c>
      <c r="AB1182" s="2994">
        <v>0</v>
      </c>
      <c r="AC1182" s="2994">
        <v>0</v>
      </c>
      <c r="AD1182" s="2994">
        <v>0</v>
      </c>
      <c r="AE1182" s="2994">
        <v>0</v>
      </c>
      <c r="AF1182" s="2994">
        <v>0</v>
      </c>
      <c r="AG1182" s="2994">
        <v>0</v>
      </c>
      <c r="AH1182" s="2994">
        <v>0</v>
      </c>
      <c r="AI1182" s="2994">
        <v>0</v>
      </c>
      <c r="AJ1182" s="2994">
        <v>0</v>
      </c>
      <c r="AK1182" s="2994">
        <v>0</v>
      </c>
      <c r="AL1182" s="2994">
        <v>0</v>
      </c>
      <c r="AM1182" s="2994">
        <v>0</v>
      </c>
      <c r="AN1182" s="2994">
        <v>0</v>
      </c>
      <c r="AO1182" s="2994">
        <v>0</v>
      </c>
      <c r="AP1182" s="2994">
        <v>0</v>
      </c>
      <c r="AQ1182" s="2994">
        <v>0</v>
      </c>
      <c r="AR1182" s="2994">
        <v>0</v>
      </c>
      <c r="AS1182" s="2994">
        <v>0</v>
      </c>
      <c r="AT1182" s="2994">
        <v>0</v>
      </c>
      <c r="AU1182" s="2994">
        <v>0</v>
      </c>
      <c r="AV1182" s="2994">
        <v>0</v>
      </c>
      <c r="AW1182" s="2994">
        <v>0</v>
      </c>
      <c r="AX1182" s="2994">
        <v>0</v>
      </c>
      <c r="AY1182" s="2994">
        <v>0</v>
      </c>
      <c r="AZ1182" s="2994">
        <v>0</v>
      </c>
      <c r="BA1182" s="2994">
        <v>0</v>
      </c>
      <c r="BB1182" s="2994">
        <v>0</v>
      </c>
      <c r="BC1182" s="2994">
        <v>0</v>
      </c>
      <c r="BD1182" s="3471">
        <v>0</v>
      </c>
      <c r="BE1182" s="3471">
        <v>0</v>
      </c>
      <c r="BF1182" s="3471">
        <v>0</v>
      </c>
    </row>
    <row r="1183" spans="1:58">
      <c r="A1183" s="1817" t="str">
        <f t="shared" si="37"/>
        <v>Eastern EuropeCassava</v>
      </c>
      <c r="B1183" s="1818" t="s">
        <v>302</v>
      </c>
      <c r="C1183" s="1818" t="s">
        <v>1342</v>
      </c>
      <c r="D1183" s="3463" t="str">
        <f>VLOOKUP(B1183,List_Yield!$G$4:$J$14,4,FALSE)</f>
        <v>Eastern Europe</v>
      </c>
      <c r="E1183" s="3463" t="str">
        <f t="shared" si="36"/>
        <v>Eastern EuropeCassava</v>
      </c>
      <c r="F1183" s="2994">
        <v>0</v>
      </c>
      <c r="G1183" s="2994">
        <v>0</v>
      </c>
      <c r="H1183" s="2994">
        <v>0</v>
      </c>
      <c r="I1183" s="2994">
        <v>0</v>
      </c>
      <c r="J1183" s="2994">
        <v>0</v>
      </c>
      <c r="K1183" s="2994">
        <v>0</v>
      </c>
      <c r="L1183" s="2994">
        <v>0</v>
      </c>
      <c r="M1183" s="2994">
        <v>0</v>
      </c>
      <c r="N1183" s="2994">
        <v>0</v>
      </c>
      <c r="O1183" s="2994">
        <v>0</v>
      </c>
      <c r="P1183" s="2994">
        <v>0</v>
      </c>
      <c r="Q1183" s="2994">
        <v>0</v>
      </c>
      <c r="R1183" s="2994">
        <v>0</v>
      </c>
      <c r="S1183" s="2994">
        <v>0</v>
      </c>
      <c r="T1183" s="2994">
        <v>0</v>
      </c>
      <c r="U1183" s="2994">
        <v>0</v>
      </c>
      <c r="V1183" s="2994">
        <v>0</v>
      </c>
      <c r="W1183" s="2994">
        <v>0</v>
      </c>
      <c r="X1183" s="2994">
        <v>0</v>
      </c>
      <c r="Y1183" s="2994">
        <v>0</v>
      </c>
      <c r="Z1183" s="2994">
        <v>0</v>
      </c>
      <c r="AA1183" s="2994">
        <v>0</v>
      </c>
      <c r="AB1183" s="2994">
        <v>0</v>
      </c>
      <c r="AC1183" s="2994">
        <v>0</v>
      </c>
      <c r="AD1183" s="2994">
        <v>0</v>
      </c>
      <c r="AE1183" s="2994">
        <v>0</v>
      </c>
      <c r="AF1183" s="2994">
        <v>0</v>
      </c>
      <c r="AG1183" s="2994">
        <v>0</v>
      </c>
      <c r="AH1183" s="2994">
        <v>0</v>
      </c>
      <c r="AI1183" s="2994">
        <v>0</v>
      </c>
      <c r="AJ1183" s="2994">
        <v>0</v>
      </c>
      <c r="AK1183" s="2994">
        <v>0</v>
      </c>
      <c r="AL1183" s="2994">
        <v>0</v>
      </c>
      <c r="AM1183" s="2994">
        <v>0</v>
      </c>
      <c r="AN1183" s="2994">
        <v>0</v>
      </c>
      <c r="AO1183" s="2994">
        <v>0</v>
      </c>
      <c r="AP1183" s="2994">
        <v>0</v>
      </c>
      <c r="AQ1183" s="2994">
        <v>0</v>
      </c>
      <c r="AR1183" s="2994">
        <v>0</v>
      </c>
      <c r="AS1183" s="2994">
        <v>0</v>
      </c>
      <c r="AT1183" s="2994">
        <v>0</v>
      </c>
      <c r="AU1183" s="2994">
        <v>0</v>
      </c>
      <c r="AV1183" s="2994">
        <v>0</v>
      </c>
      <c r="AW1183" s="2994">
        <v>0</v>
      </c>
      <c r="AX1183" s="2994">
        <v>0</v>
      </c>
      <c r="AY1183" s="2994">
        <v>0</v>
      </c>
      <c r="AZ1183" s="2994">
        <v>0</v>
      </c>
      <c r="BA1183" s="2994">
        <v>0</v>
      </c>
      <c r="BB1183" s="2994">
        <v>0</v>
      </c>
      <c r="BC1183" s="2994">
        <v>0</v>
      </c>
      <c r="BD1183" s="3471">
        <v>0</v>
      </c>
      <c r="BE1183" s="3471">
        <v>0</v>
      </c>
      <c r="BF1183" s="3471">
        <v>0</v>
      </c>
    </row>
    <row r="1184" spans="1:58">
      <c r="A1184" s="1817" t="str">
        <f t="shared" si="37"/>
        <v>Eastern EuropeCassava leaves</v>
      </c>
      <c r="B1184" s="1818" t="s">
        <v>302</v>
      </c>
      <c r="C1184" s="1818" t="s">
        <v>7302</v>
      </c>
      <c r="D1184" s="3463" t="str">
        <f>VLOOKUP(B1184,List_Yield!$G$4:$J$14,4,FALSE)</f>
        <v>Eastern Europe</v>
      </c>
      <c r="E1184" s="3463" t="str">
        <f t="shared" si="36"/>
        <v>Eastern EuropeCassava leaves</v>
      </c>
      <c r="F1184" s="2994">
        <v>0</v>
      </c>
      <c r="G1184" s="2994">
        <v>0</v>
      </c>
      <c r="H1184" s="2994">
        <v>0</v>
      </c>
      <c r="I1184" s="2994">
        <v>0</v>
      </c>
      <c r="J1184" s="2994">
        <v>0</v>
      </c>
      <c r="K1184" s="2994">
        <v>0</v>
      </c>
      <c r="L1184" s="2994">
        <v>0</v>
      </c>
      <c r="M1184" s="2994">
        <v>0</v>
      </c>
      <c r="N1184" s="2994">
        <v>0</v>
      </c>
      <c r="O1184" s="2994">
        <v>0</v>
      </c>
      <c r="P1184" s="2994">
        <v>0</v>
      </c>
      <c r="Q1184" s="2994">
        <v>0</v>
      </c>
      <c r="R1184" s="2994">
        <v>0</v>
      </c>
      <c r="S1184" s="2994">
        <v>0</v>
      </c>
      <c r="T1184" s="2994">
        <v>0</v>
      </c>
      <c r="U1184" s="2994">
        <v>0</v>
      </c>
      <c r="V1184" s="2994">
        <v>0</v>
      </c>
      <c r="W1184" s="2994">
        <v>0</v>
      </c>
      <c r="X1184" s="2994">
        <v>0</v>
      </c>
      <c r="Y1184" s="2994">
        <v>0</v>
      </c>
      <c r="Z1184" s="2994">
        <v>0</v>
      </c>
      <c r="AA1184" s="2994">
        <v>0</v>
      </c>
      <c r="AB1184" s="2994">
        <v>0</v>
      </c>
      <c r="AC1184" s="2994">
        <v>0</v>
      </c>
      <c r="AD1184" s="2994">
        <v>0</v>
      </c>
      <c r="AE1184" s="2994">
        <v>0</v>
      </c>
      <c r="AF1184" s="2994">
        <v>0</v>
      </c>
      <c r="AG1184" s="2994">
        <v>0</v>
      </c>
      <c r="AH1184" s="2994">
        <v>0</v>
      </c>
      <c r="AI1184" s="2994">
        <v>0</v>
      </c>
      <c r="AJ1184" s="2994">
        <v>0</v>
      </c>
      <c r="AK1184" s="2994">
        <v>0</v>
      </c>
      <c r="AL1184" s="2994">
        <v>0</v>
      </c>
      <c r="AM1184" s="2994">
        <v>0</v>
      </c>
      <c r="AN1184" s="2994">
        <v>0</v>
      </c>
      <c r="AO1184" s="2994">
        <v>0</v>
      </c>
      <c r="AP1184" s="2994">
        <v>0</v>
      </c>
      <c r="AQ1184" s="2994">
        <v>0</v>
      </c>
      <c r="AR1184" s="2994">
        <v>0</v>
      </c>
      <c r="AS1184" s="2994">
        <v>0</v>
      </c>
      <c r="AT1184" s="2994">
        <v>0</v>
      </c>
      <c r="AU1184" s="2994">
        <v>0</v>
      </c>
      <c r="AV1184" s="2994">
        <v>0</v>
      </c>
      <c r="AW1184" s="2994">
        <v>0</v>
      </c>
      <c r="AX1184" s="2994">
        <v>0</v>
      </c>
      <c r="AY1184" s="2994">
        <v>0</v>
      </c>
      <c r="AZ1184" s="2994">
        <v>0</v>
      </c>
      <c r="BA1184" s="2994">
        <v>0</v>
      </c>
      <c r="BB1184" s="2994">
        <v>0</v>
      </c>
      <c r="BC1184" s="2994">
        <v>0</v>
      </c>
      <c r="BD1184" s="3471">
        <v>0</v>
      </c>
      <c r="BE1184" s="3471">
        <v>0</v>
      </c>
      <c r="BF1184" s="3471">
        <v>0</v>
      </c>
    </row>
    <row r="1185" spans="1:58">
      <c r="A1185" s="1817" t="str">
        <f t="shared" si="37"/>
        <v>Eastern EuropeCastor oil seed</v>
      </c>
      <c r="B1185" s="1818" t="s">
        <v>302</v>
      </c>
      <c r="C1185" s="1818" t="s">
        <v>7303</v>
      </c>
      <c r="D1185" s="3463" t="str">
        <f>VLOOKUP(B1185,List_Yield!$G$4:$J$14,4,FALSE)</f>
        <v>Eastern Europe</v>
      </c>
      <c r="E1185" s="3463" t="str">
        <f t="shared" si="36"/>
        <v>Eastern EuropeCastor oil seed</v>
      </c>
      <c r="F1185" s="2994">
        <v>0.36020000000000002</v>
      </c>
      <c r="G1185" s="2994">
        <v>0.2717</v>
      </c>
      <c r="H1185" s="2994">
        <v>0.37819999999999998</v>
      </c>
      <c r="I1185" s="2994">
        <v>0.3382</v>
      </c>
      <c r="J1185" s="2994">
        <v>0.40410000000000001</v>
      </c>
      <c r="K1185" s="2994">
        <v>0.47670000000000001</v>
      </c>
      <c r="L1185" s="2994">
        <v>0.505</v>
      </c>
      <c r="M1185" s="2994">
        <v>0.47470000000000001</v>
      </c>
      <c r="N1185" s="2994">
        <v>0.43149999999999999</v>
      </c>
      <c r="O1185" s="2994">
        <v>0.32150000000000001</v>
      </c>
      <c r="P1185" s="2994">
        <v>0.37709999999999999</v>
      </c>
      <c r="Q1185" s="2994">
        <v>0.27229999999999999</v>
      </c>
      <c r="R1185" s="2994">
        <v>0.44080000000000003</v>
      </c>
      <c r="S1185" s="2994">
        <v>0.39129999999999998</v>
      </c>
      <c r="T1185" s="2994">
        <v>0.33860000000000001</v>
      </c>
      <c r="U1185" s="2994">
        <v>0.2409</v>
      </c>
      <c r="V1185" s="2994">
        <v>0.25629999999999997</v>
      </c>
      <c r="W1185" s="2994">
        <v>0.2964</v>
      </c>
      <c r="X1185" s="2994">
        <v>0.3407</v>
      </c>
      <c r="Y1185" s="2994">
        <v>0.1691</v>
      </c>
      <c r="Z1185" s="2994">
        <v>0.30330000000000001</v>
      </c>
      <c r="AA1185" s="2994">
        <v>0.57830000000000004</v>
      </c>
      <c r="AB1185" s="2994">
        <v>0.40960000000000002</v>
      </c>
      <c r="AC1185" s="2994">
        <v>0.44119999999999998</v>
      </c>
      <c r="AD1185" s="2994">
        <v>0.44819999999999999</v>
      </c>
      <c r="AE1185" s="2994">
        <v>0.49380000000000002</v>
      </c>
      <c r="AF1185" s="2994">
        <v>0.47149999999999997</v>
      </c>
      <c r="AG1185" s="2994">
        <v>0.45850000000000002</v>
      </c>
      <c r="AH1185" s="2994">
        <v>0.4456</v>
      </c>
      <c r="AI1185" s="2994">
        <v>0.67269999999999996</v>
      </c>
      <c r="AJ1185" s="2994">
        <v>0.62019999999999997</v>
      </c>
      <c r="AK1185" s="2994">
        <v>0.57620000000000005</v>
      </c>
      <c r="AL1185" s="2994">
        <v>0.63200000000000001</v>
      </c>
      <c r="AM1185" s="2994">
        <v>0.46189999999999998</v>
      </c>
      <c r="AN1185" s="2994">
        <v>1.0195000000000001</v>
      </c>
      <c r="AO1185" s="2994">
        <v>0.76439999999999997</v>
      </c>
      <c r="AP1185" s="2994">
        <v>0.86850000000000005</v>
      </c>
      <c r="AQ1185" s="2994">
        <v>0.82540000000000002</v>
      </c>
      <c r="AR1185" s="2994">
        <v>0.81620000000000004</v>
      </c>
      <c r="AS1185" s="2994">
        <v>0.875</v>
      </c>
      <c r="AT1185" s="2994">
        <v>0.99029999999999996</v>
      </c>
      <c r="AU1185" s="2994">
        <v>0.98089999999999999</v>
      </c>
      <c r="AV1185" s="2994">
        <v>0.3049</v>
      </c>
      <c r="AW1185" s="2994">
        <v>0.14710000000000001</v>
      </c>
      <c r="AX1185" s="2994">
        <v>0.8367</v>
      </c>
      <c r="AY1185" s="2994">
        <v>0.64329999999999998</v>
      </c>
      <c r="AZ1185" s="2994">
        <v>0.5393</v>
      </c>
      <c r="BA1185" s="2994">
        <v>0.42109999999999997</v>
      </c>
      <c r="BB1185" s="2994">
        <v>0.58330000000000004</v>
      </c>
      <c r="BC1185" s="2994">
        <v>0.71499999999999997</v>
      </c>
      <c r="BD1185" s="3471">
        <v>0.76670000000000005</v>
      </c>
      <c r="BE1185" s="3471">
        <v>0.96799999999999997</v>
      </c>
      <c r="BF1185" s="3471">
        <v>0.99009999999999998</v>
      </c>
    </row>
    <row r="1186" spans="1:58">
      <c r="A1186" s="1817" t="str">
        <f t="shared" si="37"/>
        <v>Eastern EuropeCauliflowers and broccoli</v>
      </c>
      <c r="B1186" s="1818" t="s">
        <v>302</v>
      </c>
      <c r="C1186" s="1818" t="s">
        <v>1343</v>
      </c>
      <c r="D1186" s="3463" t="str">
        <f>VLOOKUP(B1186,List_Yield!$G$4:$J$14,4,FALSE)</f>
        <v>Eastern Europe</v>
      </c>
      <c r="E1186" s="3463" t="str">
        <f t="shared" si="36"/>
        <v>Eastern EuropeCauliflowers and broccoli</v>
      </c>
      <c r="F1186" s="2994">
        <v>12.193</v>
      </c>
      <c r="G1186" s="2994">
        <v>12.636100000000001</v>
      </c>
      <c r="H1186" s="2994">
        <v>13.6821</v>
      </c>
      <c r="I1186" s="2994">
        <v>13.6129</v>
      </c>
      <c r="J1186" s="2994">
        <v>14.437200000000001</v>
      </c>
      <c r="K1186" s="2994">
        <v>13.982900000000001</v>
      </c>
      <c r="L1186" s="2994">
        <v>14.430300000000001</v>
      </c>
      <c r="M1186" s="2994">
        <v>14.5722</v>
      </c>
      <c r="N1186" s="2994">
        <v>13.5755</v>
      </c>
      <c r="O1186" s="2994">
        <v>13.521100000000001</v>
      </c>
      <c r="P1186" s="2994">
        <v>12.5016</v>
      </c>
      <c r="Q1186" s="2994">
        <v>16.247499999999999</v>
      </c>
      <c r="R1186" s="2994">
        <v>13.4552</v>
      </c>
      <c r="S1186" s="2994">
        <v>13.730700000000001</v>
      </c>
      <c r="T1186" s="2994">
        <v>13.8613</v>
      </c>
      <c r="U1186" s="2994">
        <v>13.0238</v>
      </c>
      <c r="V1186" s="2994">
        <v>15.1052</v>
      </c>
      <c r="W1186" s="2994">
        <v>14.4444</v>
      </c>
      <c r="X1186" s="2994">
        <v>14.1509</v>
      </c>
      <c r="Y1186" s="2994">
        <v>13.7409</v>
      </c>
      <c r="Z1186" s="2994">
        <v>13.772500000000001</v>
      </c>
      <c r="AA1186" s="2994">
        <v>12.744300000000001</v>
      </c>
      <c r="AB1186" s="2994">
        <v>12.875400000000001</v>
      </c>
      <c r="AC1186" s="2994">
        <v>15.728999999999999</v>
      </c>
      <c r="AD1186" s="2994">
        <v>14.994400000000001</v>
      </c>
      <c r="AE1186" s="2994">
        <v>15.2155</v>
      </c>
      <c r="AF1186" s="2994">
        <v>15.111000000000001</v>
      </c>
      <c r="AG1186" s="2994">
        <v>15.055199999999999</v>
      </c>
      <c r="AH1186" s="2994">
        <v>15.3888</v>
      </c>
      <c r="AI1186" s="2994">
        <v>15.184100000000001</v>
      </c>
      <c r="AJ1186" s="2994">
        <v>16.4041</v>
      </c>
      <c r="AK1186" s="2994">
        <v>14.450200000000001</v>
      </c>
      <c r="AL1186" s="2994">
        <v>17.2303</v>
      </c>
      <c r="AM1186" s="2994">
        <v>14.934100000000001</v>
      </c>
      <c r="AN1186" s="2994">
        <v>16.739000000000001</v>
      </c>
      <c r="AO1186" s="2994">
        <v>18.292200000000001</v>
      </c>
      <c r="AP1186" s="2994">
        <v>16.61</v>
      </c>
      <c r="AQ1186" s="2994">
        <v>17.804500000000001</v>
      </c>
      <c r="AR1186" s="2994">
        <v>15.885899999999999</v>
      </c>
      <c r="AS1186" s="2994">
        <v>15.961399999999999</v>
      </c>
      <c r="AT1186" s="2994">
        <v>15.8576</v>
      </c>
      <c r="AU1186" s="2994">
        <v>14.2265</v>
      </c>
      <c r="AV1186" s="2994">
        <v>15.011799999999999</v>
      </c>
      <c r="AW1186" s="2994">
        <v>16.348600000000001</v>
      </c>
      <c r="AX1186" s="2994">
        <v>14.8725</v>
      </c>
      <c r="AY1186" s="2994">
        <v>16.003299999999999</v>
      </c>
      <c r="AZ1186" s="2994">
        <v>16.253799999999998</v>
      </c>
      <c r="BA1186" s="2994">
        <v>16.7165</v>
      </c>
      <c r="BB1186" s="2994">
        <v>16.467400000000001</v>
      </c>
      <c r="BC1186" s="2994">
        <v>16.642299999999999</v>
      </c>
      <c r="BD1186" s="3471">
        <v>17.2135</v>
      </c>
      <c r="BE1186" s="3471">
        <v>16.883600000000001</v>
      </c>
      <c r="BF1186" s="3471">
        <v>0</v>
      </c>
    </row>
    <row r="1187" spans="1:58">
      <c r="A1187" s="1817" t="str">
        <f t="shared" si="37"/>
        <v>Eastern EuropeCereals, nes</v>
      </c>
      <c r="B1187" s="1818" t="s">
        <v>302</v>
      </c>
      <c r="C1187" s="1818" t="s">
        <v>1344</v>
      </c>
      <c r="D1187" s="3463" t="str">
        <f>VLOOKUP(B1187,List_Yield!$G$4:$J$14,4,FALSE)</f>
        <v>Eastern Europe</v>
      </c>
      <c r="E1187" s="3463" t="str">
        <f t="shared" si="36"/>
        <v>Eastern EuropeCereals, nes</v>
      </c>
      <c r="F1187" s="2994">
        <v>0.90429999999999999</v>
      </c>
      <c r="G1187" s="2994">
        <v>0.95650000000000002</v>
      </c>
      <c r="H1187" s="2994">
        <v>0.95189999999999997</v>
      </c>
      <c r="I1187" s="2994">
        <v>1.0377000000000001</v>
      </c>
      <c r="J1187" s="2994">
        <v>1.0936999999999999</v>
      </c>
      <c r="K1187" s="2994">
        <v>1.2164999999999999</v>
      </c>
      <c r="L1187" s="2994">
        <v>1.3923000000000001</v>
      </c>
      <c r="M1187" s="2994">
        <v>1.4355</v>
      </c>
      <c r="N1187" s="2994">
        <v>1.4329000000000001</v>
      </c>
      <c r="O1187" s="2994">
        <v>1.6938</v>
      </c>
      <c r="P1187" s="2994">
        <v>1.57</v>
      </c>
      <c r="Q1187" s="2994">
        <v>1.5891</v>
      </c>
      <c r="R1187" s="2994">
        <v>1.5298</v>
      </c>
      <c r="S1187" s="2994">
        <v>1.7858000000000001</v>
      </c>
      <c r="T1187" s="2994">
        <v>1.7014</v>
      </c>
      <c r="U1187" s="2994">
        <v>1.9516</v>
      </c>
      <c r="V1187" s="2994">
        <v>2.2130999999999998</v>
      </c>
      <c r="W1187" s="2994">
        <v>2.7311999999999999</v>
      </c>
      <c r="X1187" s="2994">
        <v>1.6153999999999999</v>
      </c>
      <c r="Y1187" s="2994">
        <v>2.5813000000000001</v>
      </c>
      <c r="Z1187" s="2994">
        <v>2.0548999999999999</v>
      </c>
      <c r="AA1187" s="2994">
        <v>2.1406999999999998</v>
      </c>
      <c r="AB1187" s="2994">
        <v>1.8047</v>
      </c>
      <c r="AC1187" s="2994">
        <v>2.1027</v>
      </c>
      <c r="AD1187" s="2994">
        <v>1.8964000000000001</v>
      </c>
      <c r="AE1187" s="2994">
        <v>2.0375999999999999</v>
      </c>
      <c r="AF1187" s="2994">
        <v>1.9532</v>
      </c>
      <c r="AG1187" s="2994">
        <v>2.1623000000000001</v>
      </c>
      <c r="AH1187" s="2994">
        <v>2.9864000000000002</v>
      </c>
      <c r="AI1187" s="2994">
        <v>3.1179999999999999</v>
      </c>
      <c r="AJ1187" s="2994">
        <v>2.8012000000000001</v>
      </c>
      <c r="AK1187" s="2994">
        <v>1.7007000000000001</v>
      </c>
      <c r="AL1187" s="2994">
        <v>1.2544999999999999</v>
      </c>
      <c r="AM1187" s="2994">
        <v>2.7826</v>
      </c>
      <c r="AN1187" s="2994">
        <v>1.7144999999999999</v>
      </c>
      <c r="AO1187" s="2994">
        <v>1.3048999999999999</v>
      </c>
      <c r="AP1187" s="2994">
        <v>1.4923</v>
      </c>
      <c r="AQ1187" s="2994">
        <v>1.4442999999999999</v>
      </c>
      <c r="AR1187" s="2994">
        <v>1.2965</v>
      </c>
      <c r="AS1187" s="2994">
        <v>1.0396000000000001</v>
      </c>
      <c r="AT1187" s="2994">
        <v>0.93640000000000001</v>
      </c>
      <c r="AU1187" s="2994">
        <v>1.1511</v>
      </c>
      <c r="AV1187" s="2994">
        <v>0.8831</v>
      </c>
      <c r="AW1187" s="2994">
        <v>1.1429</v>
      </c>
      <c r="AX1187" s="2994">
        <v>0.80300000000000005</v>
      </c>
      <c r="AY1187" s="2994">
        <v>1.0099</v>
      </c>
      <c r="AZ1187" s="2994">
        <v>1.1228</v>
      </c>
      <c r="BA1187" s="2994">
        <v>1.2499</v>
      </c>
      <c r="BB1187" s="2994">
        <v>1.2241</v>
      </c>
      <c r="BC1187" s="2994">
        <v>1.2619</v>
      </c>
      <c r="BD1187" s="3471">
        <v>1.4473</v>
      </c>
      <c r="BE1187" s="3471">
        <v>1.4488000000000001</v>
      </c>
      <c r="BF1187" s="3471">
        <v>1.429</v>
      </c>
    </row>
    <row r="1188" spans="1:58">
      <c r="A1188" s="1817" t="str">
        <f t="shared" si="37"/>
        <v>Eastern EuropeCherries</v>
      </c>
      <c r="B1188" s="1818" t="s">
        <v>302</v>
      </c>
      <c r="C1188" s="1818" t="s">
        <v>7304</v>
      </c>
      <c r="D1188" s="3463" t="str">
        <f>VLOOKUP(B1188,List_Yield!$G$4:$J$14,4,FALSE)</f>
        <v>Eastern Europe</v>
      </c>
      <c r="E1188" s="3463" t="str">
        <f t="shared" si="36"/>
        <v>Eastern EuropeCherries</v>
      </c>
      <c r="F1188" s="2994">
        <v>13.0892</v>
      </c>
      <c r="G1188" s="2994">
        <v>10.1364</v>
      </c>
      <c r="H1188" s="2994">
        <v>10.1478</v>
      </c>
      <c r="I1188" s="2994">
        <v>10.241199999999999</v>
      </c>
      <c r="J1188" s="2994">
        <v>8.1836000000000002</v>
      </c>
      <c r="K1188" s="2994">
        <v>13.585800000000001</v>
      </c>
      <c r="L1188" s="2994">
        <v>11.914400000000001</v>
      </c>
      <c r="M1188" s="2994">
        <v>11.335900000000001</v>
      </c>
      <c r="N1188" s="2994">
        <v>10.253</v>
      </c>
      <c r="O1188" s="2994">
        <v>8.5025999999999993</v>
      </c>
      <c r="P1188" s="2994">
        <v>6.4618000000000002</v>
      </c>
      <c r="Q1188" s="2994">
        <v>6.0990000000000002</v>
      </c>
      <c r="R1188" s="2994">
        <v>8.6486000000000001</v>
      </c>
      <c r="S1188" s="2994">
        <v>5.6623999999999999</v>
      </c>
      <c r="T1188" s="2994">
        <v>7.0450999999999997</v>
      </c>
      <c r="U1188" s="2994">
        <v>7.1864999999999997</v>
      </c>
      <c r="V1188" s="2994">
        <v>7.0814000000000004</v>
      </c>
      <c r="W1188" s="2994">
        <v>7.0888</v>
      </c>
      <c r="X1188" s="2994">
        <v>9.4422999999999995</v>
      </c>
      <c r="Y1188" s="2994">
        <v>7.3977000000000004</v>
      </c>
      <c r="Z1188" s="2994">
        <v>8.2401999999999997</v>
      </c>
      <c r="AA1188" s="2994">
        <v>9.7495999999999992</v>
      </c>
      <c r="AB1188" s="2994">
        <v>10.625500000000001</v>
      </c>
      <c r="AC1188" s="2994">
        <v>10.2682</v>
      </c>
      <c r="AD1188" s="2994">
        <v>4.1901000000000002</v>
      </c>
      <c r="AE1188" s="2994">
        <v>4.4832999999999998</v>
      </c>
      <c r="AF1188" s="2994">
        <v>4.0773999999999999</v>
      </c>
      <c r="AG1188" s="2994">
        <v>4.1199000000000003</v>
      </c>
      <c r="AH1188" s="2994">
        <v>4.3394000000000004</v>
      </c>
      <c r="AI1188" s="2994">
        <v>3.8693</v>
      </c>
      <c r="AJ1188" s="2994">
        <v>3.5097</v>
      </c>
      <c r="AK1188" s="2994">
        <v>3.0669</v>
      </c>
      <c r="AL1188" s="2994">
        <v>3.4275000000000002</v>
      </c>
      <c r="AM1188" s="2994">
        <v>3.3944000000000001</v>
      </c>
      <c r="AN1188" s="2994">
        <v>3.4887000000000001</v>
      </c>
      <c r="AO1188" s="2994">
        <v>4.1849999999999996</v>
      </c>
      <c r="AP1188" s="2994">
        <v>3.4380999999999999</v>
      </c>
      <c r="AQ1188" s="2994">
        <v>3.4546000000000001</v>
      </c>
      <c r="AR1188" s="2994">
        <v>3.2235</v>
      </c>
      <c r="AS1188" s="2994">
        <v>4.1360999999999999</v>
      </c>
      <c r="AT1188" s="2994">
        <v>4.1291000000000002</v>
      </c>
      <c r="AU1188" s="2994">
        <v>3.8752</v>
      </c>
      <c r="AV1188" s="2994">
        <v>4.4771999999999998</v>
      </c>
      <c r="AW1188" s="2994">
        <v>4.2122999999999999</v>
      </c>
      <c r="AX1188" s="2994">
        <v>4.9543999999999997</v>
      </c>
      <c r="AY1188" s="2994">
        <v>3.7665999999999999</v>
      </c>
      <c r="AZ1188" s="2994">
        <v>3.8159999999999998</v>
      </c>
      <c r="BA1188" s="2994">
        <v>4.5599999999999996</v>
      </c>
      <c r="BB1188" s="2994">
        <v>4.3583999999999996</v>
      </c>
      <c r="BC1188" s="2994">
        <v>4.2605000000000004</v>
      </c>
      <c r="BD1188" s="3471">
        <v>4.7259000000000002</v>
      </c>
      <c r="BE1188" s="3471">
        <v>4.3026999999999997</v>
      </c>
      <c r="BF1188" s="3471">
        <v>0</v>
      </c>
    </row>
    <row r="1189" spans="1:58">
      <c r="A1189" s="1817" t="str">
        <f t="shared" si="37"/>
        <v>Eastern EuropeCherries, sour</v>
      </c>
      <c r="B1189" s="1818" t="s">
        <v>302</v>
      </c>
      <c r="C1189" s="1818" t="s">
        <v>7305</v>
      </c>
      <c r="D1189" s="3463" t="str">
        <f>VLOOKUP(B1189,List_Yield!$G$4:$J$14,4,FALSE)</f>
        <v>Eastern Europe</v>
      </c>
      <c r="E1189" s="3463" t="str">
        <f t="shared" si="36"/>
        <v>Eastern EuropeCherries, sour</v>
      </c>
      <c r="F1189" s="2994">
        <v>7.4612999999999996</v>
      </c>
      <c r="G1189" s="2994">
        <v>5.5602999999999998</v>
      </c>
      <c r="H1189" s="2994">
        <v>6.2769000000000004</v>
      </c>
      <c r="I1189" s="2994">
        <v>6.1127000000000002</v>
      </c>
      <c r="J1189" s="2994">
        <v>5.1654999999999998</v>
      </c>
      <c r="K1189" s="2994">
        <v>7.0101000000000004</v>
      </c>
      <c r="L1189" s="2994">
        <v>4.8078000000000003</v>
      </c>
      <c r="M1189" s="2994">
        <v>8.1649999999999991</v>
      </c>
      <c r="N1189" s="2994">
        <v>4.9957000000000003</v>
      </c>
      <c r="O1189" s="2994">
        <v>4.3663999999999996</v>
      </c>
      <c r="P1189" s="2994">
        <v>4.1497999999999999</v>
      </c>
      <c r="Q1189" s="2994">
        <v>4.5133000000000001</v>
      </c>
      <c r="R1189" s="2994">
        <v>5.4951999999999996</v>
      </c>
      <c r="S1189" s="2994">
        <v>4.0782999999999996</v>
      </c>
      <c r="T1189" s="2994">
        <v>4.4907000000000004</v>
      </c>
      <c r="U1189" s="2994">
        <v>4.9214000000000002</v>
      </c>
      <c r="V1189" s="2994">
        <v>5.4787999999999997</v>
      </c>
      <c r="W1189" s="2994">
        <v>4.9741</v>
      </c>
      <c r="X1189" s="2994">
        <v>4.9908000000000001</v>
      </c>
      <c r="Y1189" s="2994">
        <v>4.6086999999999998</v>
      </c>
      <c r="Z1189" s="2994">
        <v>5.7469000000000001</v>
      </c>
      <c r="AA1189" s="2994">
        <v>6.0313999999999997</v>
      </c>
      <c r="AB1189" s="2994">
        <v>7.4131</v>
      </c>
      <c r="AC1189" s="2994">
        <v>6.6036000000000001</v>
      </c>
      <c r="AD1189" s="2994">
        <v>3.3788999999999998</v>
      </c>
      <c r="AE1189" s="2994">
        <v>3.9752999999999998</v>
      </c>
      <c r="AF1189" s="2994">
        <v>3.6480999999999999</v>
      </c>
      <c r="AG1189" s="2994">
        <v>4.1292</v>
      </c>
      <c r="AH1189" s="2994">
        <v>4.2632000000000003</v>
      </c>
      <c r="AI1189" s="2994">
        <v>3.8090000000000002</v>
      </c>
      <c r="AJ1189" s="2994">
        <v>3.5796000000000001</v>
      </c>
      <c r="AK1189" s="2994">
        <v>4.0110999999999999</v>
      </c>
      <c r="AL1189" s="2994">
        <v>4.2610999999999999</v>
      </c>
      <c r="AM1189" s="2994">
        <v>3.0596999999999999</v>
      </c>
      <c r="AN1189" s="2994">
        <v>3.3405</v>
      </c>
      <c r="AO1189" s="2994">
        <v>4.1102999999999996</v>
      </c>
      <c r="AP1189" s="2994">
        <v>4.0487000000000002</v>
      </c>
      <c r="AQ1189" s="2994">
        <v>3.4094000000000002</v>
      </c>
      <c r="AR1189" s="2994">
        <v>3.3673999999999999</v>
      </c>
      <c r="AS1189" s="2994">
        <v>3.9851000000000001</v>
      </c>
      <c r="AT1189" s="2994">
        <v>3.6573000000000002</v>
      </c>
      <c r="AU1189" s="2994">
        <v>3.9727999999999999</v>
      </c>
      <c r="AV1189" s="2994">
        <v>4.1589</v>
      </c>
      <c r="AW1189" s="2994">
        <v>4.8564999999999996</v>
      </c>
      <c r="AX1189" s="2994">
        <v>4.4958</v>
      </c>
      <c r="AY1189" s="2994">
        <v>3.9064999999999999</v>
      </c>
      <c r="AZ1189" s="2994">
        <v>4.1509</v>
      </c>
      <c r="BA1189" s="2994">
        <v>5.4759000000000002</v>
      </c>
      <c r="BB1189" s="2994">
        <v>5.5980999999999996</v>
      </c>
      <c r="BC1189" s="2994">
        <v>5.0949999999999998</v>
      </c>
      <c r="BD1189" s="3471">
        <v>5.5324</v>
      </c>
      <c r="BE1189" s="3471">
        <v>5.2807000000000004</v>
      </c>
      <c r="BF1189" s="3471">
        <v>0</v>
      </c>
    </row>
    <row r="1190" spans="1:58">
      <c r="A1190" s="1817" t="str">
        <f t="shared" si="37"/>
        <v>Eastern EuropeChestnut</v>
      </c>
      <c r="B1190" s="1818" t="s">
        <v>302</v>
      </c>
      <c r="C1190" s="1818" t="s">
        <v>7306</v>
      </c>
      <c r="D1190" s="3463" t="str">
        <f>VLOOKUP(B1190,List_Yield!$G$4:$J$14,4,FALSE)</f>
        <v>Eastern Europe</v>
      </c>
      <c r="E1190" s="3463" t="str">
        <f t="shared" si="36"/>
        <v>Eastern EuropeChestnut</v>
      </c>
      <c r="F1190" s="2994">
        <v>0</v>
      </c>
      <c r="G1190" s="2994">
        <v>0</v>
      </c>
      <c r="H1190" s="2994">
        <v>0</v>
      </c>
      <c r="I1190" s="2994">
        <v>0</v>
      </c>
      <c r="J1190" s="2994">
        <v>0</v>
      </c>
      <c r="K1190" s="2994">
        <v>0</v>
      </c>
      <c r="L1190" s="2994">
        <v>0</v>
      </c>
      <c r="M1190" s="2994">
        <v>0</v>
      </c>
      <c r="N1190" s="2994">
        <v>0</v>
      </c>
      <c r="O1190" s="2994">
        <v>0</v>
      </c>
      <c r="P1190" s="2994">
        <v>0</v>
      </c>
      <c r="Q1190" s="2994">
        <v>0</v>
      </c>
      <c r="R1190" s="2994">
        <v>0</v>
      </c>
      <c r="S1190" s="2994">
        <v>0</v>
      </c>
      <c r="T1190" s="2994">
        <v>0</v>
      </c>
      <c r="U1190" s="2994">
        <v>0</v>
      </c>
      <c r="V1190" s="2994">
        <v>0</v>
      </c>
      <c r="W1190" s="2994">
        <v>0</v>
      </c>
      <c r="X1190" s="2994">
        <v>0</v>
      </c>
      <c r="Y1190" s="2994">
        <v>0</v>
      </c>
      <c r="Z1190" s="2994">
        <v>0</v>
      </c>
      <c r="AA1190" s="2994">
        <v>0</v>
      </c>
      <c r="AB1190" s="2994">
        <v>0</v>
      </c>
      <c r="AC1190" s="2994">
        <v>0</v>
      </c>
      <c r="AD1190" s="2994">
        <v>2.2656999999999998</v>
      </c>
      <c r="AE1190" s="2994">
        <v>2.4699</v>
      </c>
      <c r="AF1190" s="2994">
        <v>2.6053999999999999</v>
      </c>
      <c r="AG1190" s="2994">
        <v>2.4155000000000002</v>
      </c>
      <c r="AH1190" s="2994">
        <v>2.3641000000000001</v>
      </c>
      <c r="AI1190" s="2994">
        <v>2.5676999999999999</v>
      </c>
      <c r="AJ1190" s="2994">
        <v>2.7406999999999999</v>
      </c>
      <c r="AK1190" s="2994">
        <v>3.1831999999999998</v>
      </c>
      <c r="AL1190" s="2994">
        <v>4.3429000000000002</v>
      </c>
      <c r="AM1190" s="2994">
        <v>5</v>
      </c>
      <c r="AN1190" s="2994">
        <v>5.9188000000000001</v>
      </c>
      <c r="AO1190" s="2994">
        <v>5.9249999999999998</v>
      </c>
      <c r="AP1190" s="2994">
        <v>6.3872</v>
      </c>
      <c r="AQ1190" s="2994">
        <v>1.2796000000000001</v>
      </c>
      <c r="AR1190" s="2994">
        <v>1.7185999999999999</v>
      </c>
      <c r="AS1190" s="2994">
        <v>1.6819999999999999</v>
      </c>
      <c r="AT1190" s="2994">
        <v>1.5525</v>
      </c>
      <c r="AU1190" s="2994">
        <v>1.9100999999999999</v>
      </c>
      <c r="AV1190" s="2994">
        <v>1.415</v>
      </c>
      <c r="AW1190" s="2994">
        <v>1.1548</v>
      </c>
      <c r="AX1190" s="2994">
        <v>1.0580000000000001</v>
      </c>
      <c r="AY1190" s="2994">
        <v>1.3552999999999999</v>
      </c>
      <c r="AZ1190" s="2994">
        <v>1.0738000000000001</v>
      </c>
      <c r="BA1190" s="2994">
        <v>1.3615999999999999</v>
      </c>
      <c r="BB1190" s="2994">
        <v>1.3531</v>
      </c>
      <c r="BC1190" s="2994">
        <v>1.7387999999999999</v>
      </c>
      <c r="BD1190" s="3471">
        <v>1.5918000000000001</v>
      </c>
      <c r="BE1190" s="3471">
        <v>1.6623000000000001</v>
      </c>
      <c r="BF1190" s="3471">
        <v>0</v>
      </c>
    </row>
    <row r="1191" spans="1:58">
      <c r="A1191" s="1817" t="str">
        <f t="shared" si="37"/>
        <v>Eastern EuropeChick peas</v>
      </c>
      <c r="B1191" s="1818" t="s">
        <v>302</v>
      </c>
      <c r="C1191" s="1818" t="s">
        <v>7307</v>
      </c>
      <c r="D1191" s="3463" t="str">
        <f>VLOOKUP(B1191,List_Yield!$G$4:$J$14,4,FALSE)</f>
        <v>Eastern Europe</v>
      </c>
      <c r="E1191" s="3463" t="str">
        <f t="shared" si="36"/>
        <v>Eastern EuropeChick peas</v>
      </c>
      <c r="F1191" s="2994">
        <v>0.69610000000000005</v>
      </c>
      <c r="G1191" s="2994">
        <v>1.363</v>
      </c>
      <c r="H1191" s="2994">
        <v>1.1861999999999999</v>
      </c>
      <c r="I1191" s="2994">
        <v>0.87649999999999995</v>
      </c>
      <c r="J1191" s="2994">
        <v>1.008</v>
      </c>
      <c r="K1191" s="2994">
        <v>1.5842000000000001</v>
      </c>
      <c r="L1191" s="2994">
        <v>1.4751000000000001</v>
      </c>
      <c r="M1191" s="2994">
        <v>1.0536000000000001</v>
      </c>
      <c r="N1191" s="2994">
        <v>1.2281</v>
      </c>
      <c r="O1191" s="2994">
        <v>1.4067000000000001</v>
      </c>
      <c r="P1191" s="2994">
        <v>1.3151999999999999</v>
      </c>
      <c r="Q1191" s="2994">
        <v>0.98199999999999998</v>
      </c>
      <c r="R1191" s="2994">
        <v>0.96750000000000003</v>
      </c>
      <c r="S1191" s="2994">
        <v>1.0313000000000001</v>
      </c>
      <c r="T1191" s="2994">
        <v>0.85089999999999999</v>
      </c>
      <c r="U1191" s="2994">
        <v>0.99350000000000005</v>
      </c>
      <c r="V1191" s="2994">
        <v>1.0521</v>
      </c>
      <c r="W1191" s="2994">
        <v>0.94079999999999997</v>
      </c>
      <c r="X1191" s="2994">
        <v>0.72360000000000002</v>
      </c>
      <c r="Y1191" s="2994">
        <v>0.79730000000000001</v>
      </c>
      <c r="Z1191" s="2994">
        <v>0.87160000000000004</v>
      </c>
      <c r="AA1191" s="2994">
        <v>0.94669999999999999</v>
      </c>
      <c r="AB1191" s="2994">
        <v>1.0225</v>
      </c>
      <c r="AC1191" s="2994">
        <v>1.0353000000000001</v>
      </c>
      <c r="AD1191" s="2994">
        <v>1.1121000000000001</v>
      </c>
      <c r="AE1191" s="2994">
        <v>1.1897</v>
      </c>
      <c r="AF1191" s="2994">
        <v>1.268</v>
      </c>
      <c r="AG1191" s="2994">
        <v>1.3447</v>
      </c>
      <c r="AH1191" s="2994">
        <v>1.4117999999999999</v>
      </c>
      <c r="AI1191" s="2994">
        <v>1.0651999999999999</v>
      </c>
      <c r="AJ1191" s="2994">
        <v>0.70989999999999998</v>
      </c>
      <c r="AK1191" s="2994">
        <v>1.1992</v>
      </c>
      <c r="AL1191" s="2994">
        <v>0.85370000000000001</v>
      </c>
      <c r="AM1191" s="2994">
        <v>1.0503</v>
      </c>
      <c r="AN1191" s="2994">
        <v>1.1084000000000001</v>
      </c>
      <c r="AO1191" s="2994">
        <v>0.67549999999999999</v>
      </c>
      <c r="AP1191" s="2994">
        <v>1.1909000000000001</v>
      </c>
      <c r="AQ1191" s="2994">
        <v>0.85199999999999998</v>
      </c>
      <c r="AR1191" s="2994">
        <v>0.79210000000000003</v>
      </c>
      <c r="AS1191" s="2994">
        <v>0.94330000000000003</v>
      </c>
      <c r="AT1191" s="2994">
        <v>0.92820000000000003</v>
      </c>
      <c r="AU1191" s="2994">
        <v>1.0165</v>
      </c>
      <c r="AV1191" s="2994">
        <v>0.96589999999999998</v>
      </c>
      <c r="AW1191" s="2994">
        <v>0.93789999999999996</v>
      </c>
      <c r="AX1191" s="2994">
        <v>1.1642999999999999</v>
      </c>
      <c r="AY1191" s="2994">
        <v>1.2414000000000001</v>
      </c>
      <c r="AZ1191" s="2994">
        <v>1.0506</v>
      </c>
      <c r="BA1191" s="2994">
        <v>2.1987999999999999</v>
      </c>
      <c r="BB1191" s="2994">
        <v>3.3087</v>
      </c>
      <c r="BC1191" s="2994">
        <v>3.9872000000000001</v>
      </c>
      <c r="BD1191" s="3471">
        <v>2.5146999999999999</v>
      </c>
      <c r="BE1191" s="3471">
        <v>1.7661</v>
      </c>
      <c r="BF1191" s="3471">
        <v>1.9528000000000001</v>
      </c>
    </row>
    <row r="1192" spans="1:58">
      <c r="A1192" s="1817" t="str">
        <f t="shared" si="37"/>
        <v>Eastern EuropeChicory roots</v>
      </c>
      <c r="B1192" s="1818" t="s">
        <v>302</v>
      </c>
      <c r="C1192" s="1818" t="s">
        <v>7308</v>
      </c>
      <c r="D1192" s="3463" t="str">
        <f>VLOOKUP(B1192,List_Yield!$G$4:$J$14,4,FALSE)</f>
        <v>Eastern Europe</v>
      </c>
      <c r="E1192" s="3463" t="str">
        <f t="shared" si="36"/>
        <v>Eastern EuropeChicory roots</v>
      </c>
      <c r="F1192" s="2994">
        <v>14.3185</v>
      </c>
      <c r="G1192" s="2994">
        <v>13.6282</v>
      </c>
      <c r="H1192" s="2994">
        <v>12.759399999999999</v>
      </c>
      <c r="I1192" s="2994">
        <v>13.325200000000001</v>
      </c>
      <c r="J1192" s="2994">
        <v>15.819000000000001</v>
      </c>
      <c r="K1192" s="2994">
        <v>18.7013</v>
      </c>
      <c r="L1192" s="2994">
        <v>16.456800000000001</v>
      </c>
      <c r="M1192" s="2994">
        <v>21.364000000000001</v>
      </c>
      <c r="N1192" s="2994">
        <v>11.9489</v>
      </c>
      <c r="O1192" s="2994">
        <v>12.7316</v>
      </c>
      <c r="P1192" s="2994">
        <v>12.3787</v>
      </c>
      <c r="Q1192" s="2994">
        <v>13.186500000000001</v>
      </c>
      <c r="R1192" s="2994">
        <v>14.6004</v>
      </c>
      <c r="S1192" s="2994">
        <v>13.621600000000001</v>
      </c>
      <c r="T1192" s="2994">
        <v>16.041399999999999</v>
      </c>
      <c r="U1192" s="2994">
        <v>16.591100000000001</v>
      </c>
      <c r="V1192" s="2994">
        <v>20.598500000000001</v>
      </c>
      <c r="W1192" s="2994">
        <v>32.642899999999997</v>
      </c>
      <c r="X1192" s="2994">
        <v>25.208200000000001</v>
      </c>
      <c r="Y1192" s="2994">
        <v>21.824100000000001</v>
      </c>
      <c r="Z1192" s="2994">
        <v>15.4186</v>
      </c>
      <c r="AA1192" s="2994">
        <v>16.944099999999999</v>
      </c>
      <c r="AB1192" s="2994">
        <v>19.125800000000002</v>
      </c>
      <c r="AC1192" s="2994">
        <v>22.7879</v>
      </c>
      <c r="AD1192" s="2994">
        <v>20.788799999999998</v>
      </c>
      <c r="AE1192" s="2994">
        <v>11.7499</v>
      </c>
      <c r="AF1192" s="2994">
        <v>13.6876</v>
      </c>
      <c r="AG1192" s="2994">
        <v>22.840699999999998</v>
      </c>
      <c r="AH1192" s="2994">
        <v>10.598699999999999</v>
      </c>
      <c r="AI1192" s="2994">
        <v>64.278400000000005</v>
      </c>
      <c r="AJ1192" s="2994">
        <v>45.865600000000001</v>
      </c>
      <c r="AK1192" s="2994">
        <v>266.61540000000002</v>
      </c>
      <c r="AL1192" s="2994">
        <v>205.1026</v>
      </c>
      <c r="AM1192" s="2994">
        <v>129.79150000000001</v>
      </c>
      <c r="AN1192" s="2994">
        <v>109.2097</v>
      </c>
      <c r="AO1192" s="2994">
        <v>96.962699999999998</v>
      </c>
      <c r="AP1192" s="2994">
        <v>84.4709</v>
      </c>
      <c r="AQ1192" s="2994">
        <v>71.090100000000007</v>
      </c>
      <c r="AR1192" s="2994">
        <v>66.828199999999995</v>
      </c>
      <c r="AS1192" s="2994">
        <v>59.691200000000002</v>
      </c>
      <c r="AT1192" s="2994">
        <v>50.896700000000003</v>
      </c>
      <c r="AU1192" s="2994">
        <v>48.710900000000002</v>
      </c>
      <c r="AV1192" s="2994">
        <v>42.134700000000002</v>
      </c>
      <c r="AW1192" s="2994">
        <v>43.912599999999998</v>
      </c>
      <c r="AX1192" s="2994">
        <v>51.978700000000003</v>
      </c>
      <c r="AY1192" s="2994">
        <v>75.396199999999993</v>
      </c>
      <c r="AZ1192" s="2994">
        <v>22.456700000000001</v>
      </c>
      <c r="BA1192" s="2994">
        <v>21.276199999999999</v>
      </c>
      <c r="BB1192" s="2994">
        <v>21.506399999999999</v>
      </c>
      <c r="BC1192" s="2994">
        <v>24.561299999999999</v>
      </c>
      <c r="BD1192" s="3471">
        <v>23.441700000000001</v>
      </c>
      <c r="BE1192" s="3471">
        <v>25.590499999999999</v>
      </c>
      <c r="BF1192" s="3471">
        <v>0</v>
      </c>
    </row>
    <row r="1193" spans="1:58">
      <c r="A1193" s="1817" t="str">
        <f t="shared" si="37"/>
        <v>Eastern EuropeChillies and peppers, dry</v>
      </c>
      <c r="B1193" s="1818" t="s">
        <v>302</v>
      </c>
      <c r="C1193" s="1818" t="s">
        <v>7309</v>
      </c>
      <c r="D1193" s="3463" t="str">
        <f>VLOOKUP(B1193,List_Yield!$G$4:$J$14,4,FALSE)</f>
        <v>Eastern Europe</v>
      </c>
      <c r="E1193" s="3463" t="str">
        <f t="shared" si="36"/>
        <v>Eastern EuropeChillies and peppers, dry</v>
      </c>
      <c r="F1193" s="2994">
        <v>5.5940000000000003</v>
      </c>
      <c r="G1193" s="2994">
        <v>5.7005999999999997</v>
      </c>
      <c r="H1193" s="2994">
        <v>6.2209000000000003</v>
      </c>
      <c r="I1193" s="2994">
        <v>6.3395999999999999</v>
      </c>
      <c r="J1193" s="2994">
        <v>6.125</v>
      </c>
      <c r="K1193" s="2994">
        <v>7.4203000000000001</v>
      </c>
      <c r="L1193" s="2994">
        <v>6.6280000000000001</v>
      </c>
      <c r="M1193" s="2994">
        <v>6.9317000000000002</v>
      </c>
      <c r="N1193" s="2994">
        <v>7.0780000000000003</v>
      </c>
      <c r="O1193" s="2994">
        <v>6.3586999999999998</v>
      </c>
      <c r="P1193" s="2994">
        <v>7.1056999999999997</v>
      </c>
      <c r="Q1193" s="2994">
        <v>5.6448</v>
      </c>
      <c r="R1193" s="2994">
        <v>6.2881999999999998</v>
      </c>
      <c r="S1193" s="2994">
        <v>5.5166000000000004</v>
      </c>
      <c r="T1193" s="2994">
        <v>5.2710999999999997</v>
      </c>
      <c r="U1193" s="2994">
        <v>4.9162999999999997</v>
      </c>
      <c r="V1193" s="2994">
        <v>6.0456000000000003</v>
      </c>
      <c r="W1193" s="2994">
        <v>5.7004000000000001</v>
      </c>
      <c r="X1193" s="2994">
        <v>5.8875999999999999</v>
      </c>
      <c r="Y1193" s="2994">
        <v>5.7172999999999998</v>
      </c>
      <c r="Z1193" s="2994">
        <v>5.0579999999999998</v>
      </c>
      <c r="AA1193" s="2994">
        <v>5.9573</v>
      </c>
      <c r="AB1193" s="2994">
        <v>5.3068999999999997</v>
      </c>
      <c r="AC1193" s="2994">
        <v>4.5449999999999999</v>
      </c>
      <c r="AD1193" s="2994">
        <v>4.9398999999999997</v>
      </c>
      <c r="AE1193" s="2994">
        <v>5.5079000000000002</v>
      </c>
      <c r="AF1193" s="2994">
        <v>5.4572000000000003</v>
      </c>
      <c r="AG1193" s="2994">
        <v>5.5896999999999997</v>
      </c>
      <c r="AH1193" s="2994">
        <v>4.5505000000000004</v>
      </c>
      <c r="AI1193" s="2994">
        <v>6.2182000000000004</v>
      </c>
      <c r="AJ1193" s="2994">
        <v>8.2615999999999996</v>
      </c>
      <c r="AK1193" s="2994">
        <v>1.6835</v>
      </c>
      <c r="AL1193" s="2994">
        <v>1.6396999999999999</v>
      </c>
      <c r="AM1193" s="2994">
        <v>1.5922000000000001</v>
      </c>
      <c r="AN1193" s="2994">
        <v>1.6733</v>
      </c>
      <c r="AO1193" s="2994">
        <v>1.8967000000000001</v>
      </c>
      <c r="AP1193" s="2994">
        <v>2.0497999999999998</v>
      </c>
      <c r="AQ1193" s="2994">
        <v>3.3902000000000001</v>
      </c>
      <c r="AR1193" s="2994">
        <v>2.7900999999999998</v>
      </c>
      <c r="AS1193" s="2994">
        <v>2.4201999999999999</v>
      </c>
      <c r="AT1193" s="2994">
        <v>3.0951</v>
      </c>
      <c r="AU1193" s="2994">
        <v>3.0514000000000001</v>
      </c>
      <c r="AV1193" s="2994">
        <v>2.0689000000000002</v>
      </c>
      <c r="AW1193" s="2994">
        <v>2.9003000000000001</v>
      </c>
      <c r="AX1193" s="2994">
        <v>2.8508</v>
      </c>
      <c r="AY1193" s="2994">
        <v>2.9531000000000001</v>
      </c>
      <c r="AZ1193" s="2994">
        <v>1.369</v>
      </c>
      <c r="BA1193" s="2994">
        <v>0.94769999999999999</v>
      </c>
      <c r="BB1193" s="2994">
        <v>1.0536000000000001</v>
      </c>
      <c r="BC1193" s="2994">
        <v>1.0569</v>
      </c>
      <c r="BD1193" s="3471">
        <v>1.1918</v>
      </c>
      <c r="BE1193" s="3471">
        <v>1.2107000000000001</v>
      </c>
      <c r="BF1193" s="3471">
        <v>0</v>
      </c>
    </row>
    <row r="1194" spans="1:58">
      <c r="A1194" s="1817" t="str">
        <f t="shared" si="37"/>
        <v>Eastern EuropeChillies and peppers, green</v>
      </c>
      <c r="B1194" s="1818" t="s">
        <v>302</v>
      </c>
      <c r="C1194" s="1818" t="s">
        <v>7310</v>
      </c>
      <c r="D1194" s="3463" t="str">
        <f>VLOOKUP(B1194,List_Yield!$G$4:$J$14,4,FALSE)</f>
        <v>Eastern Europe</v>
      </c>
      <c r="E1194" s="3463" t="str">
        <f t="shared" si="36"/>
        <v>Eastern EuropeChillies and peppers, green</v>
      </c>
      <c r="F1194" s="2994">
        <v>11.838800000000001</v>
      </c>
      <c r="G1194" s="2994">
        <v>10.9529</v>
      </c>
      <c r="H1194" s="2994">
        <v>12.840199999999999</v>
      </c>
      <c r="I1194" s="2994">
        <v>12.3071</v>
      </c>
      <c r="J1194" s="2994">
        <v>11.3666</v>
      </c>
      <c r="K1194" s="2994">
        <v>13.01</v>
      </c>
      <c r="L1194" s="2994">
        <v>13.36</v>
      </c>
      <c r="M1194" s="2994">
        <v>12.5524</v>
      </c>
      <c r="N1194" s="2994">
        <v>11.549300000000001</v>
      </c>
      <c r="O1194" s="2994">
        <v>10.9854</v>
      </c>
      <c r="P1194" s="2994">
        <v>11.587899999999999</v>
      </c>
      <c r="Q1194" s="2994">
        <v>11.803599999999999</v>
      </c>
      <c r="R1194" s="2994">
        <v>11.5791</v>
      </c>
      <c r="S1194" s="2994">
        <v>12.4924</v>
      </c>
      <c r="T1194" s="2994">
        <v>13.9412</v>
      </c>
      <c r="U1194" s="2994">
        <v>11.0433</v>
      </c>
      <c r="V1194" s="2994">
        <v>11.943199999999999</v>
      </c>
      <c r="W1194" s="2994">
        <v>10.465199999999999</v>
      </c>
      <c r="X1194" s="2994">
        <v>13.2187</v>
      </c>
      <c r="Y1194" s="2994">
        <v>11.4033</v>
      </c>
      <c r="Z1194" s="2994">
        <v>12.800599999999999</v>
      </c>
      <c r="AA1194" s="2994">
        <v>13.1053</v>
      </c>
      <c r="AB1194" s="2994">
        <v>13.170199999999999</v>
      </c>
      <c r="AC1194" s="2994">
        <v>13.2988</v>
      </c>
      <c r="AD1194" s="2994">
        <v>13.4116</v>
      </c>
      <c r="AE1194" s="2994">
        <v>12.1326</v>
      </c>
      <c r="AF1194" s="2994">
        <v>13.2502</v>
      </c>
      <c r="AG1194" s="2994">
        <v>13.363899999999999</v>
      </c>
      <c r="AH1194" s="2994">
        <v>10.931699999999999</v>
      </c>
      <c r="AI1194" s="2994">
        <v>11.209</v>
      </c>
      <c r="AJ1194" s="2994">
        <v>12.339</v>
      </c>
      <c r="AK1194" s="2994">
        <v>9.2317</v>
      </c>
      <c r="AL1194" s="2994">
        <v>9.3918999999999997</v>
      </c>
      <c r="AM1194" s="2994">
        <v>9.66</v>
      </c>
      <c r="AN1194" s="2994">
        <v>9.9295000000000009</v>
      </c>
      <c r="AO1194" s="2994">
        <v>10.9131</v>
      </c>
      <c r="AP1194" s="2994">
        <v>9.8760999999999992</v>
      </c>
      <c r="AQ1194" s="2994">
        <v>10.6572</v>
      </c>
      <c r="AR1194" s="2994">
        <v>10.7418</v>
      </c>
      <c r="AS1194" s="2994">
        <v>9.8422999999999998</v>
      </c>
      <c r="AT1194" s="2994">
        <v>10.9603</v>
      </c>
      <c r="AU1194" s="2994">
        <v>10.9406</v>
      </c>
      <c r="AV1194" s="2994">
        <v>12.4405</v>
      </c>
      <c r="AW1194" s="2994">
        <v>12.2911</v>
      </c>
      <c r="AX1194" s="2994">
        <v>12.1082</v>
      </c>
      <c r="AY1194" s="2994">
        <v>15.069800000000001</v>
      </c>
      <c r="AZ1194" s="2994">
        <v>13.4702</v>
      </c>
      <c r="BA1194" s="2994">
        <v>13.899699999999999</v>
      </c>
      <c r="BB1194" s="2994">
        <v>14.1897</v>
      </c>
      <c r="BC1194" s="2994">
        <v>12.8759</v>
      </c>
      <c r="BD1194" s="3471">
        <v>14.042999999999999</v>
      </c>
      <c r="BE1194" s="3471">
        <v>12.312900000000001</v>
      </c>
      <c r="BF1194" s="3471">
        <v>0</v>
      </c>
    </row>
    <row r="1195" spans="1:58">
      <c r="A1195" s="1817" t="str">
        <f t="shared" si="37"/>
        <v>Eastern EuropeCinnamon (canella)</v>
      </c>
      <c r="B1195" s="1818" t="s">
        <v>302</v>
      </c>
      <c r="C1195" s="1818" t="s">
        <v>7311</v>
      </c>
      <c r="D1195" s="3463" t="str">
        <f>VLOOKUP(B1195,List_Yield!$G$4:$J$14,4,FALSE)</f>
        <v>Eastern Europe</v>
      </c>
      <c r="E1195" s="3463" t="str">
        <f t="shared" si="36"/>
        <v>Eastern EuropeCinnamon (canella)</v>
      </c>
      <c r="F1195" s="2994">
        <v>0</v>
      </c>
      <c r="G1195" s="2994">
        <v>0</v>
      </c>
      <c r="H1195" s="2994">
        <v>0</v>
      </c>
      <c r="I1195" s="2994">
        <v>0</v>
      </c>
      <c r="J1195" s="2994">
        <v>0</v>
      </c>
      <c r="K1195" s="2994">
        <v>0</v>
      </c>
      <c r="L1195" s="2994">
        <v>0</v>
      </c>
      <c r="M1195" s="2994">
        <v>0</v>
      </c>
      <c r="N1195" s="2994">
        <v>0</v>
      </c>
      <c r="O1195" s="2994">
        <v>0</v>
      </c>
      <c r="P1195" s="2994">
        <v>0</v>
      </c>
      <c r="Q1195" s="2994">
        <v>0</v>
      </c>
      <c r="R1195" s="2994">
        <v>0</v>
      </c>
      <c r="S1195" s="2994">
        <v>0</v>
      </c>
      <c r="T1195" s="2994">
        <v>0</v>
      </c>
      <c r="U1195" s="2994">
        <v>0</v>
      </c>
      <c r="V1195" s="2994">
        <v>0</v>
      </c>
      <c r="W1195" s="2994">
        <v>0</v>
      </c>
      <c r="X1195" s="2994">
        <v>0</v>
      </c>
      <c r="Y1195" s="2994">
        <v>0</v>
      </c>
      <c r="Z1195" s="2994">
        <v>0</v>
      </c>
      <c r="AA1195" s="2994">
        <v>0</v>
      </c>
      <c r="AB1195" s="2994">
        <v>0</v>
      </c>
      <c r="AC1195" s="2994">
        <v>0</v>
      </c>
      <c r="AD1195" s="2994">
        <v>0</v>
      </c>
      <c r="AE1195" s="2994">
        <v>0</v>
      </c>
      <c r="AF1195" s="2994">
        <v>0</v>
      </c>
      <c r="AG1195" s="2994">
        <v>0</v>
      </c>
      <c r="AH1195" s="2994">
        <v>0</v>
      </c>
      <c r="AI1195" s="2994">
        <v>0</v>
      </c>
      <c r="AJ1195" s="2994">
        <v>0</v>
      </c>
      <c r="AK1195" s="2994">
        <v>0</v>
      </c>
      <c r="AL1195" s="2994">
        <v>0</v>
      </c>
      <c r="AM1195" s="2994">
        <v>0</v>
      </c>
      <c r="AN1195" s="2994">
        <v>0</v>
      </c>
      <c r="AO1195" s="2994">
        <v>0</v>
      </c>
      <c r="AP1195" s="2994">
        <v>0</v>
      </c>
      <c r="AQ1195" s="2994">
        <v>0</v>
      </c>
      <c r="AR1195" s="2994">
        <v>0</v>
      </c>
      <c r="AS1195" s="2994">
        <v>0</v>
      </c>
      <c r="AT1195" s="2994">
        <v>0</v>
      </c>
      <c r="AU1195" s="2994">
        <v>0</v>
      </c>
      <c r="AV1195" s="2994">
        <v>0</v>
      </c>
      <c r="AW1195" s="2994">
        <v>0</v>
      </c>
      <c r="AX1195" s="2994">
        <v>0</v>
      </c>
      <c r="AY1195" s="2994">
        <v>0</v>
      </c>
      <c r="AZ1195" s="2994">
        <v>0</v>
      </c>
      <c r="BA1195" s="2994">
        <v>0</v>
      </c>
      <c r="BB1195" s="2994">
        <v>0</v>
      </c>
      <c r="BC1195" s="2994">
        <v>0</v>
      </c>
      <c r="BD1195" s="3471">
        <v>0</v>
      </c>
      <c r="BE1195" s="3471">
        <v>0</v>
      </c>
      <c r="BF1195" s="3471">
        <v>0</v>
      </c>
    </row>
    <row r="1196" spans="1:58">
      <c r="A1196" s="1817" t="str">
        <f t="shared" si="37"/>
        <v>Eastern EuropeCloves</v>
      </c>
      <c r="B1196" s="1818" t="s">
        <v>302</v>
      </c>
      <c r="C1196" s="1818" t="s">
        <v>7312</v>
      </c>
      <c r="D1196" s="3463" t="str">
        <f>VLOOKUP(B1196,List_Yield!$G$4:$J$14,4,FALSE)</f>
        <v>Eastern Europe</v>
      </c>
      <c r="E1196" s="3463" t="str">
        <f t="shared" si="36"/>
        <v>Eastern EuropeCloves</v>
      </c>
      <c r="F1196" s="2994">
        <v>0</v>
      </c>
      <c r="G1196" s="2994">
        <v>0</v>
      </c>
      <c r="H1196" s="2994">
        <v>0</v>
      </c>
      <c r="I1196" s="2994">
        <v>0</v>
      </c>
      <c r="J1196" s="2994">
        <v>0</v>
      </c>
      <c r="K1196" s="2994">
        <v>0</v>
      </c>
      <c r="L1196" s="2994">
        <v>0</v>
      </c>
      <c r="M1196" s="2994">
        <v>0</v>
      </c>
      <c r="N1196" s="2994">
        <v>0</v>
      </c>
      <c r="O1196" s="2994">
        <v>0</v>
      </c>
      <c r="P1196" s="2994">
        <v>0</v>
      </c>
      <c r="Q1196" s="2994">
        <v>0</v>
      </c>
      <c r="R1196" s="2994">
        <v>0</v>
      </c>
      <c r="S1196" s="2994">
        <v>0</v>
      </c>
      <c r="T1196" s="2994">
        <v>0</v>
      </c>
      <c r="U1196" s="2994">
        <v>0</v>
      </c>
      <c r="V1196" s="2994">
        <v>0</v>
      </c>
      <c r="W1196" s="2994">
        <v>0</v>
      </c>
      <c r="X1196" s="2994">
        <v>0</v>
      </c>
      <c r="Y1196" s="2994">
        <v>0</v>
      </c>
      <c r="Z1196" s="2994">
        <v>0</v>
      </c>
      <c r="AA1196" s="2994">
        <v>0</v>
      </c>
      <c r="AB1196" s="2994">
        <v>0</v>
      </c>
      <c r="AC1196" s="2994">
        <v>0</v>
      </c>
      <c r="AD1196" s="2994">
        <v>0</v>
      </c>
      <c r="AE1196" s="2994">
        <v>0</v>
      </c>
      <c r="AF1196" s="2994">
        <v>0</v>
      </c>
      <c r="AG1196" s="2994">
        <v>0</v>
      </c>
      <c r="AH1196" s="2994">
        <v>0</v>
      </c>
      <c r="AI1196" s="2994">
        <v>0</v>
      </c>
      <c r="AJ1196" s="2994">
        <v>0</v>
      </c>
      <c r="AK1196" s="2994">
        <v>0</v>
      </c>
      <c r="AL1196" s="2994">
        <v>0</v>
      </c>
      <c r="AM1196" s="2994">
        <v>0</v>
      </c>
      <c r="AN1196" s="2994">
        <v>0</v>
      </c>
      <c r="AO1196" s="2994">
        <v>0</v>
      </c>
      <c r="AP1196" s="2994">
        <v>0</v>
      </c>
      <c r="AQ1196" s="2994">
        <v>0</v>
      </c>
      <c r="AR1196" s="2994">
        <v>0</v>
      </c>
      <c r="AS1196" s="2994">
        <v>0</v>
      </c>
      <c r="AT1196" s="2994">
        <v>0</v>
      </c>
      <c r="AU1196" s="2994">
        <v>0</v>
      </c>
      <c r="AV1196" s="2994">
        <v>0</v>
      </c>
      <c r="AW1196" s="2994">
        <v>0</v>
      </c>
      <c r="AX1196" s="2994">
        <v>0</v>
      </c>
      <c r="AY1196" s="2994">
        <v>0</v>
      </c>
      <c r="AZ1196" s="2994">
        <v>0</v>
      </c>
      <c r="BA1196" s="2994">
        <v>0</v>
      </c>
      <c r="BB1196" s="2994">
        <v>0</v>
      </c>
      <c r="BC1196" s="2994">
        <v>0</v>
      </c>
      <c r="BD1196" s="3471">
        <v>0</v>
      </c>
      <c r="BE1196" s="3471">
        <v>0</v>
      </c>
      <c r="BF1196" s="3471">
        <v>0</v>
      </c>
    </row>
    <row r="1197" spans="1:58">
      <c r="A1197" s="1817" t="str">
        <f t="shared" si="37"/>
        <v>Eastern EuropeCocoa, beans</v>
      </c>
      <c r="B1197" s="1818" t="s">
        <v>302</v>
      </c>
      <c r="C1197" s="1818" t="s">
        <v>7313</v>
      </c>
      <c r="D1197" s="3463" t="str">
        <f>VLOOKUP(B1197,List_Yield!$G$4:$J$14,4,FALSE)</f>
        <v>Eastern Europe</v>
      </c>
      <c r="E1197" s="3463" t="str">
        <f t="shared" si="36"/>
        <v>Eastern EuropeCocoa, beans</v>
      </c>
      <c r="F1197" s="2994">
        <v>0</v>
      </c>
      <c r="G1197" s="2994">
        <v>0</v>
      </c>
      <c r="H1197" s="2994">
        <v>0</v>
      </c>
      <c r="I1197" s="2994">
        <v>0</v>
      </c>
      <c r="J1197" s="2994">
        <v>0</v>
      </c>
      <c r="K1197" s="2994">
        <v>0</v>
      </c>
      <c r="L1197" s="2994">
        <v>0</v>
      </c>
      <c r="M1197" s="2994">
        <v>0</v>
      </c>
      <c r="N1197" s="2994">
        <v>0</v>
      </c>
      <c r="O1197" s="2994">
        <v>0</v>
      </c>
      <c r="P1197" s="2994">
        <v>0</v>
      </c>
      <c r="Q1197" s="2994">
        <v>0</v>
      </c>
      <c r="R1197" s="2994">
        <v>0</v>
      </c>
      <c r="S1197" s="2994">
        <v>0</v>
      </c>
      <c r="T1197" s="2994">
        <v>0</v>
      </c>
      <c r="U1197" s="2994">
        <v>0</v>
      </c>
      <c r="V1197" s="2994">
        <v>0</v>
      </c>
      <c r="W1197" s="2994">
        <v>0</v>
      </c>
      <c r="X1197" s="2994">
        <v>0</v>
      </c>
      <c r="Y1197" s="2994">
        <v>0</v>
      </c>
      <c r="Z1197" s="2994">
        <v>0</v>
      </c>
      <c r="AA1197" s="2994">
        <v>0</v>
      </c>
      <c r="AB1197" s="2994">
        <v>0</v>
      </c>
      <c r="AC1197" s="2994">
        <v>0</v>
      </c>
      <c r="AD1197" s="2994">
        <v>0</v>
      </c>
      <c r="AE1197" s="2994">
        <v>0</v>
      </c>
      <c r="AF1197" s="2994">
        <v>0</v>
      </c>
      <c r="AG1197" s="2994">
        <v>0</v>
      </c>
      <c r="AH1197" s="2994">
        <v>0</v>
      </c>
      <c r="AI1197" s="2994">
        <v>0</v>
      </c>
      <c r="AJ1197" s="2994">
        <v>0</v>
      </c>
      <c r="AK1197" s="2994">
        <v>0</v>
      </c>
      <c r="AL1197" s="2994">
        <v>0</v>
      </c>
      <c r="AM1197" s="2994">
        <v>0</v>
      </c>
      <c r="AN1197" s="2994">
        <v>0</v>
      </c>
      <c r="AO1197" s="2994">
        <v>0</v>
      </c>
      <c r="AP1197" s="2994">
        <v>0</v>
      </c>
      <c r="AQ1197" s="2994">
        <v>0</v>
      </c>
      <c r="AR1197" s="2994">
        <v>0</v>
      </c>
      <c r="AS1197" s="2994">
        <v>0</v>
      </c>
      <c r="AT1197" s="2994">
        <v>0</v>
      </c>
      <c r="AU1197" s="2994">
        <v>0</v>
      </c>
      <c r="AV1197" s="2994">
        <v>0</v>
      </c>
      <c r="AW1197" s="2994">
        <v>0</v>
      </c>
      <c r="AX1197" s="2994">
        <v>0</v>
      </c>
      <c r="AY1197" s="2994">
        <v>0</v>
      </c>
      <c r="AZ1197" s="2994">
        <v>0</v>
      </c>
      <c r="BA1197" s="2994">
        <v>0</v>
      </c>
      <c r="BB1197" s="2994">
        <v>0</v>
      </c>
      <c r="BC1197" s="2994">
        <v>0</v>
      </c>
      <c r="BD1197" s="3471">
        <v>0</v>
      </c>
      <c r="BE1197" s="3471">
        <v>0</v>
      </c>
      <c r="BF1197" s="3471">
        <v>0</v>
      </c>
    </row>
    <row r="1198" spans="1:58">
      <c r="A1198" s="1817" t="str">
        <f t="shared" si="37"/>
        <v>Eastern EuropeCoconuts</v>
      </c>
      <c r="B1198" s="1818" t="s">
        <v>302</v>
      </c>
      <c r="C1198" s="1818" t="s">
        <v>7314</v>
      </c>
      <c r="D1198" s="3463" t="str">
        <f>VLOOKUP(B1198,List_Yield!$G$4:$J$14,4,FALSE)</f>
        <v>Eastern Europe</v>
      </c>
      <c r="E1198" s="3463" t="str">
        <f t="shared" si="36"/>
        <v>Eastern EuropeCoconuts</v>
      </c>
      <c r="F1198" s="2994">
        <v>0</v>
      </c>
      <c r="G1198" s="2994">
        <v>0</v>
      </c>
      <c r="H1198" s="2994">
        <v>0</v>
      </c>
      <c r="I1198" s="2994">
        <v>0</v>
      </c>
      <c r="J1198" s="2994">
        <v>0</v>
      </c>
      <c r="K1198" s="2994">
        <v>0</v>
      </c>
      <c r="L1198" s="2994">
        <v>0</v>
      </c>
      <c r="M1198" s="2994">
        <v>0</v>
      </c>
      <c r="N1198" s="2994">
        <v>0</v>
      </c>
      <c r="O1198" s="2994">
        <v>0</v>
      </c>
      <c r="P1198" s="2994">
        <v>0</v>
      </c>
      <c r="Q1198" s="2994">
        <v>0</v>
      </c>
      <c r="R1198" s="2994">
        <v>0</v>
      </c>
      <c r="S1198" s="2994">
        <v>0</v>
      </c>
      <c r="T1198" s="2994">
        <v>0</v>
      </c>
      <c r="U1198" s="2994">
        <v>0</v>
      </c>
      <c r="V1198" s="2994">
        <v>0</v>
      </c>
      <c r="W1198" s="2994">
        <v>0</v>
      </c>
      <c r="X1198" s="2994">
        <v>0</v>
      </c>
      <c r="Y1198" s="2994">
        <v>0</v>
      </c>
      <c r="Z1198" s="2994">
        <v>0</v>
      </c>
      <c r="AA1198" s="2994">
        <v>0</v>
      </c>
      <c r="AB1198" s="2994">
        <v>0</v>
      </c>
      <c r="AC1198" s="2994">
        <v>0</v>
      </c>
      <c r="AD1198" s="2994">
        <v>0</v>
      </c>
      <c r="AE1198" s="2994">
        <v>0</v>
      </c>
      <c r="AF1198" s="2994">
        <v>0</v>
      </c>
      <c r="AG1198" s="2994">
        <v>0</v>
      </c>
      <c r="AH1198" s="2994">
        <v>0</v>
      </c>
      <c r="AI1198" s="2994">
        <v>0</v>
      </c>
      <c r="AJ1198" s="2994">
        <v>0</v>
      </c>
      <c r="AK1198" s="2994">
        <v>0</v>
      </c>
      <c r="AL1198" s="2994">
        <v>0</v>
      </c>
      <c r="AM1198" s="2994">
        <v>0</v>
      </c>
      <c r="AN1198" s="2994">
        <v>0</v>
      </c>
      <c r="AO1198" s="2994">
        <v>0</v>
      </c>
      <c r="AP1198" s="2994">
        <v>0</v>
      </c>
      <c r="AQ1198" s="2994">
        <v>0</v>
      </c>
      <c r="AR1198" s="2994">
        <v>0</v>
      </c>
      <c r="AS1198" s="2994">
        <v>0</v>
      </c>
      <c r="AT1198" s="2994">
        <v>0</v>
      </c>
      <c r="AU1198" s="2994">
        <v>0</v>
      </c>
      <c r="AV1198" s="2994">
        <v>0</v>
      </c>
      <c r="AW1198" s="2994">
        <v>0</v>
      </c>
      <c r="AX1198" s="2994">
        <v>0</v>
      </c>
      <c r="AY1198" s="2994">
        <v>0</v>
      </c>
      <c r="AZ1198" s="2994">
        <v>0</v>
      </c>
      <c r="BA1198" s="2994">
        <v>0</v>
      </c>
      <c r="BB1198" s="2994">
        <v>0</v>
      </c>
      <c r="BC1198" s="2994">
        <v>0</v>
      </c>
      <c r="BD1198" s="3471">
        <v>0</v>
      </c>
      <c r="BE1198" s="3471">
        <v>0</v>
      </c>
      <c r="BF1198" s="3471">
        <v>0</v>
      </c>
    </row>
    <row r="1199" spans="1:58">
      <c r="A1199" s="1817" t="str">
        <f t="shared" si="37"/>
        <v>Eastern EuropeCoffee, green</v>
      </c>
      <c r="B1199" s="1818" t="s">
        <v>302</v>
      </c>
      <c r="C1199" s="1818" t="s">
        <v>1347</v>
      </c>
      <c r="D1199" s="3463" t="str">
        <f>VLOOKUP(B1199,List_Yield!$G$4:$J$14,4,FALSE)</f>
        <v>Eastern Europe</v>
      </c>
      <c r="E1199" s="3463" t="str">
        <f t="shared" si="36"/>
        <v>Eastern EuropeCoffee, green</v>
      </c>
      <c r="F1199" s="2994">
        <v>0</v>
      </c>
      <c r="G1199" s="2994">
        <v>0</v>
      </c>
      <c r="H1199" s="2994">
        <v>0</v>
      </c>
      <c r="I1199" s="2994">
        <v>0</v>
      </c>
      <c r="J1199" s="2994">
        <v>0</v>
      </c>
      <c r="K1199" s="2994">
        <v>0</v>
      </c>
      <c r="L1199" s="2994">
        <v>0</v>
      </c>
      <c r="M1199" s="2994">
        <v>0</v>
      </c>
      <c r="N1199" s="2994">
        <v>0</v>
      </c>
      <c r="O1199" s="2994">
        <v>0</v>
      </c>
      <c r="P1199" s="2994">
        <v>0</v>
      </c>
      <c r="Q1199" s="2994">
        <v>0</v>
      </c>
      <c r="R1199" s="2994">
        <v>0</v>
      </c>
      <c r="S1199" s="2994">
        <v>0</v>
      </c>
      <c r="T1199" s="2994">
        <v>0</v>
      </c>
      <c r="U1199" s="2994">
        <v>0</v>
      </c>
      <c r="V1199" s="2994">
        <v>0</v>
      </c>
      <c r="W1199" s="2994">
        <v>0</v>
      </c>
      <c r="X1199" s="2994">
        <v>0</v>
      </c>
      <c r="Y1199" s="2994">
        <v>0</v>
      </c>
      <c r="Z1199" s="2994">
        <v>0</v>
      </c>
      <c r="AA1199" s="2994">
        <v>0</v>
      </c>
      <c r="AB1199" s="2994">
        <v>0</v>
      </c>
      <c r="AC1199" s="2994">
        <v>0</v>
      </c>
      <c r="AD1199" s="2994">
        <v>0</v>
      </c>
      <c r="AE1199" s="2994">
        <v>0</v>
      </c>
      <c r="AF1199" s="2994">
        <v>0</v>
      </c>
      <c r="AG1199" s="2994">
        <v>0</v>
      </c>
      <c r="AH1199" s="2994">
        <v>0</v>
      </c>
      <c r="AI1199" s="2994">
        <v>0</v>
      </c>
      <c r="AJ1199" s="2994">
        <v>0</v>
      </c>
      <c r="AK1199" s="2994">
        <v>0</v>
      </c>
      <c r="AL1199" s="2994">
        <v>0</v>
      </c>
      <c r="AM1199" s="2994">
        <v>0</v>
      </c>
      <c r="AN1199" s="2994">
        <v>0</v>
      </c>
      <c r="AO1199" s="2994">
        <v>0</v>
      </c>
      <c r="AP1199" s="2994">
        <v>0</v>
      </c>
      <c r="AQ1199" s="2994">
        <v>0</v>
      </c>
      <c r="AR1199" s="2994">
        <v>0</v>
      </c>
      <c r="AS1199" s="2994">
        <v>0</v>
      </c>
      <c r="AT1199" s="2994">
        <v>0</v>
      </c>
      <c r="AU1199" s="2994">
        <v>0</v>
      </c>
      <c r="AV1199" s="2994">
        <v>0</v>
      </c>
      <c r="AW1199" s="2994">
        <v>0</v>
      </c>
      <c r="AX1199" s="2994">
        <v>0</v>
      </c>
      <c r="AY1199" s="2994">
        <v>0</v>
      </c>
      <c r="AZ1199" s="2994">
        <v>0</v>
      </c>
      <c r="BA1199" s="2994">
        <v>0</v>
      </c>
      <c r="BB1199" s="2994">
        <v>0</v>
      </c>
      <c r="BC1199" s="2994">
        <v>0</v>
      </c>
      <c r="BD1199" s="3471">
        <v>0</v>
      </c>
      <c r="BE1199" s="3471">
        <v>0</v>
      </c>
      <c r="BF1199" s="3471">
        <v>0</v>
      </c>
    </row>
    <row r="1200" spans="1:58">
      <c r="A1200" s="1817" t="str">
        <f t="shared" si="37"/>
        <v>Eastern EuropeCoir</v>
      </c>
      <c r="B1200" s="1818" t="s">
        <v>302</v>
      </c>
      <c r="C1200" s="1818" t="s">
        <v>7315</v>
      </c>
      <c r="D1200" s="3463" t="str">
        <f>VLOOKUP(B1200,List_Yield!$G$4:$J$14,4,FALSE)</f>
        <v>Eastern Europe</v>
      </c>
      <c r="E1200" s="3463" t="str">
        <f t="shared" si="36"/>
        <v>Eastern EuropeCoir</v>
      </c>
      <c r="F1200" s="2994">
        <v>0</v>
      </c>
      <c r="G1200" s="2994">
        <v>0</v>
      </c>
      <c r="H1200" s="2994">
        <v>0</v>
      </c>
      <c r="I1200" s="2994">
        <v>0</v>
      </c>
      <c r="J1200" s="2994">
        <v>0</v>
      </c>
      <c r="K1200" s="2994">
        <v>0</v>
      </c>
      <c r="L1200" s="2994">
        <v>0</v>
      </c>
      <c r="M1200" s="2994">
        <v>0</v>
      </c>
      <c r="N1200" s="2994">
        <v>0</v>
      </c>
      <c r="O1200" s="2994">
        <v>0</v>
      </c>
      <c r="P1200" s="2994">
        <v>0</v>
      </c>
      <c r="Q1200" s="2994">
        <v>0</v>
      </c>
      <c r="R1200" s="2994">
        <v>0</v>
      </c>
      <c r="S1200" s="2994">
        <v>0</v>
      </c>
      <c r="T1200" s="2994">
        <v>0</v>
      </c>
      <c r="U1200" s="2994">
        <v>0</v>
      </c>
      <c r="V1200" s="2994">
        <v>0</v>
      </c>
      <c r="W1200" s="2994">
        <v>0</v>
      </c>
      <c r="X1200" s="2994">
        <v>0</v>
      </c>
      <c r="Y1200" s="2994">
        <v>0</v>
      </c>
      <c r="Z1200" s="2994">
        <v>0</v>
      </c>
      <c r="AA1200" s="2994">
        <v>0</v>
      </c>
      <c r="AB1200" s="2994">
        <v>0</v>
      </c>
      <c r="AC1200" s="2994">
        <v>0</v>
      </c>
      <c r="AD1200" s="2994">
        <v>0</v>
      </c>
      <c r="AE1200" s="2994">
        <v>0</v>
      </c>
      <c r="AF1200" s="2994">
        <v>0</v>
      </c>
      <c r="AG1200" s="2994">
        <v>0</v>
      </c>
      <c r="AH1200" s="2994">
        <v>0</v>
      </c>
      <c r="AI1200" s="2994">
        <v>0</v>
      </c>
      <c r="AJ1200" s="2994">
        <v>0</v>
      </c>
      <c r="AK1200" s="2994">
        <v>0</v>
      </c>
      <c r="AL1200" s="2994">
        <v>0</v>
      </c>
      <c r="AM1200" s="2994">
        <v>0</v>
      </c>
      <c r="AN1200" s="2994">
        <v>0</v>
      </c>
      <c r="AO1200" s="2994">
        <v>0</v>
      </c>
      <c r="AP1200" s="2994">
        <v>0</v>
      </c>
      <c r="AQ1200" s="2994">
        <v>0</v>
      </c>
      <c r="AR1200" s="2994">
        <v>0</v>
      </c>
      <c r="AS1200" s="2994">
        <v>0</v>
      </c>
      <c r="AT1200" s="2994">
        <v>0</v>
      </c>
      <c r="AU1200" s="2994">
        <v>0</v>
      </c>
      <c r="AV1200" s="2994">
        <v>0</v>
      </c>
      <c r="AW1200" s="2994">
        <v>0</v>
      </c>
      <c r="AX1200" s="2994">
        <v>0</v>
      </c>
      <c r="AY1200" s="2994">
        <v>0</v>
      </c>
      <c r="AZ1200" s="2994">
        <v>0</v>
      </c>
      <c r="BA1200" s="2994">
        <v>0</v>
      </c>
      <c r="BB1200" s="2994">
        <v>0</v>
      </c>
      <c r="BC1200" s="2994">
        <v>0</v>
      </c>
      <c r="BD1200" s="3471">
        <v>0</v>
      </c>
      <c r="BE1200" s="3471">
        <v>0</v>
      </c>
      <c r="BF1200" s="3471">
        <v>0</v>
      </c>
    </row>
    <row r="1201" spans="1:58">
      <c r="A1201" s="1817" t="str">
        <f t="shared" si="37"/>
        <v>Eastern EuropeCow peas, dry</v>
      </c>
      <c r="B1201" s="1818" t="s">
        <v>302</v>
      </c>
      <c r="C1201" s="1818" t="s">
        <v>1329</v>
      </c>
      <c r="D1201" s="3463" t="str">
        <f>VLOOKUP(B1201,List_Yield!$G$4:$J$14,4,FALSE)</f>
        <v>Eastern Europe</v>
      </c>
      <c r="E1201" s="3463" t="str">
        <f t="shared" si="36"/>
        <v>Eastern EuropeCow peas, dry</v>
      </c>
      <c r="F1201" s="2994">
        <v>0</v>
      </c>
      <c r="G1201" s="2994">
        <v>0</v>
      </c>
      <c r="H1201" s="2994">
        <v>0</v>
      </c>
      <c r="I1201" s="2994">
        <v>0</v>
      </c>
      <c r="J1201" s="2994">
        <v>0</v>
      </c>
      <c r="K1201" s="2994">
        <v>0</v>
      </c>
      <c r="L1201" s="2994">
        <v>0</v>
      </c>
      <c r="M1201" s="2994">
        <v>0</v>
      </c>
      <c r="N1201" s="2994">
        <v>0</v>
      </c>
      <c r="O1201" s="2994">
        <v>0</v>
      </c>
      <c r="P1201" s="2994">
        <v>0</v>
      </c>
      <c r="Q1201" s="2994">
        <v>0</v>
      </c>
      <c r="R1201" s="2994">
        <v>0</v>
      </c>
      <c r="S1201" s="2994">
        <v>0</v>
      </c>
      <c r="T1201" s="2994">
        <v>0</v>
      </c>
      <c r="U1201" s="2994">
        <v>0</v>
      </c>
      <c r="V1201" s="2994">
        <v>0</v>
      </c>
      <c r="W1201" s="2994">
        <v>0</v>
      </c>
      <c r="X1201" s="2994">
        <v>0</v>
      </c>
      <c r="Y1201" s="2994">
        <v>0</v>
      </c>
      <c r="Z1201" s="2994">
        <v>0</v>
      </c>
      <c r="AA1201" s="2994">
        <v>0</v>
      </c>
      <c r="AB1201" s="2994">
        <v>0</v>
      </c>
      <c r="AC1201" s="2994">
        <v>0</v>
      </c>
      <c r="AD1201" s="2994">
        <v>0</v>
      </c>
      <c r="AE1201" s="2994">
        <v>0</v>
      </c>
      <c r="AF1201" s="2994">
        <v>0</v>
      </c>
      <c r="AG1201" s="2994">
        <v>0</v>
      </c>
      <c r="AH1201" s="2994">
        <v>0</v>
      </c>
      <c r="AI1201" s="2994">
        <v>0</v>
      </c>
      <c r="AJ1201" s="2994">
        <v>0</v>
      </c>
      <c r="AK1201" s="2994">
        <v>0</v>
      </c>
      <c r="AL1201" s="2994">
        <v>0</v>
      </c>
      <c r="AM1201" s="2994">
        <v>0</v>
      </c>
      <c r="AN1201" s="2994">
        <v>0</v>
      </c>
      <c r="AO1201" s="2994">
        <v>0</v>
      </c>
      <c r="AP1201" s="2994">
        <v>0</v>
      </c>
      <c r="AQ1201" s="2994">
        <v>0</v>
      </c>
      <c r="AR1201" s="2994">
        <v>0</v>
      </c>
      <c r="AS1201" s="2994">
        <v>0</v>
      </c>
      <c r="AT1201" s="2994">
        <v>0</v>
      </c>
      <c r="AU1201" s="2994">
        <v>0</v>
      </c>
      <c r="AV1201" s="2994">
        <v>0</v>
      </c>
      <c r="AW1201" s="2994">
        <v>0</v>
      </c>
      <c r="AX1201" s="2994">
        <v>1.0909</v>
      </c>
      <c r="AY1201" s="2994">
        <v>1</v>
      </c>
      <c r="AZ1201" s="2994">
        <v>0.63639999999999997</v>
      </c>
      <c r="BA1201" s="2994">
        <v>1.1111</v>
      </c>
      <c r="BB1201" s="2994">
        <v>0.875</v>
      </c>
      <c r="BC1201" s="2994">
        <v>0</v>
      </c>
      <c r="BD1201" s="3471">
        <v>0</v>
      </c>
      <c r="BE1201" s="3471">
        <v>0</v>
      </c>
      <c r="BF1201" s="3471">
        <v>0</v>
      </c>
    </row>
    <row r="1202" spans="1:58">
      <c r="A1202" s="1817" t="str">
        <f t="shared" si="37"/>
        <v>Eastern EuropeCranberries</v>
      </c>
      <c r="B1202" s="1818" t="s">
        <v>302</v>
      </c>
      <c r="C1202" s="1818" t="s">
        <v>7316</v>
      </c>
      <c r="D1202" s="3463" t="str">
        <f>VLOOKUP(B1202,List_Yield!$G$4:$J$14,4,FALSE)</f>
        <v>Eastern Europe</v>
      </c>
      <c r="E1202" s="3463" t="str">
        <f t="shared" si="36"/>
        <v>Eastern EuropeCranberries</v>
      </c>
      <c r="F1202" s="2994">
        <v>0</v>
      </c>
      <c r="G1202" s="2994">
        <v>0</v>
      </c>
      <c r="H1202" s="2994">
        <v>0</v>
      </c>
      <c r="I1202" s="2994">
        <v>0</v>
      </c>
      <c r="J1202" s="2994">
        <v>0</v>
      </c>
      <c r="K1202" s="2994">
        <v>0</v>
      </c>
      <c r="L1202" s="2994">
        <v>0</v>
      </c>
      <c r="M1202" s="2994">
        <v>0</v>
      </c>
      <c r="N1202" s="2994">
        <v>0</v>
      </c>
      <c r="O1202" s="2994">
        <v>0</v>
      </c>
      <c r="P1202" s="2994">
        <v>0</v>
      </c>
      <c r="Q1202" s="2994">
        <v>0</v>
      </c>
      <c r="R1202" s="2994">
        <v>0</v>
      </c>
      <c r="S1202" s="2994">
        <v>0</v>
      </c>
      <c r="T1202" s="2994">
        <v>0</v>
      </c>
      <c r="U1202" s="2994">
        <v>0</v>
      </c>
      <c r="V1202" s="2994">
        <v>0</v>
      </c>
      <c r="W1202" s="2994">
        <v>0</v>
      </c>
      <c r="X1202" s="2994">
        <v>0</v>
      </c>
      <c r="Y1202" s="2994">
        <v>0</v>
      </c>
      <c r="Z1202" s="2994">
        <v>0</v>
      </c>
      <c r="AA1202" s="2994">
        <v>0</v>
      </c>
      <c r="AB1202" s="2994">
        <v>0</v>
      </c>
      <c r="AC1202" s="2994">
        <v>0</v>
      </c>
      <c r="AD1202" s="2994">
        <v>0</v>
      </c>
      <c r="AE1202" s="2994">
        <v>0</v>
      </c>
      <c r="AF1202" s="2994">
        <v>0</v>
      </c>
      <c r="AG1202" s="2994">
        <v>0</v>
      </c>
      <c r="AH1202" s="2994">
        <v>6.9930000000000003</v>
      </c>
      <c r="AI1202" s="2994">
        <v>8.1125000000000007</v>
      </c>
      <c r="AJ1202" s="2994">
        <v>8.49</v>
      </c>
      <c r="AK1202" s="2994">
        <v>2.5</v>
      </c>
      <c r="AL1202" s="2994">
        <v>2</v>
      </c>
      <c r="AM1202" s="2994">
        <v>2.5</v>
      </c>
      <c r="AN1202" s="2994">
        <v>2.5</v>
      </c>
      <c r="AO1202" s="2994">
        <v>2</v>
      </c>
      <c r="AP1202" s="2994">
        <v>2.8571</v>
      </c>
      <c r="AQ1202" s="2994">
        <v>2.5</v>
      </c>
      <c r="AR1202" s="2994">
        <v>2.7778</v>
      </c>
      <c r="AS1202" s="2994">
        <v>2</v>
      </c>
      <c r="AT1202" s="2994">
        <v>2.0994999999999999</v>
      </c>
      <c r="AU1202" s="2994">
        <v>2.0062000000000002</v>
      </c>
      <c r="AV1202" s="2994">
        <v>1.8304</v>
      </c>
      <c r="AW1202" s="2994">
        <v>2.7692000000000001</v>
      </c>
      <c r="AX1202" s="2994">
        <v>2.7709999999999999</v>
      </c>
      <c r="AY1202" s="2994">
        <v>3.1518999999999999</v>
      </c>
      <c r="AZ1202" s="2994">
        <v>3.5632999999999999</v>
      </c>
      <c r="BA1202" s="2994">
        <v>4.7568999999999999</v>
      </c>
      <c r="BB1202" s="2994">
        <v>3.6499000000000001</v>
      </c>
      <c r="BC1202" s="2994">
        <v>4.1014999999999997</v>
      </c>
      <c r="BD1202" s="3471">
        <v>4.6928000000000001</v>
      </c>
      <c r="BE1202" s="3471">
        <v>3.8416999999999999</v>
      </c>
      <c r="BF1202" s="3471">
        <v>0</v>
      </c>
    </row>
    <row r="1203" spans="1:58">
      <c r="A1203" s="1817" t="str">
        <f t="shared" si="37"/>
        <v>Eastern EuropeCucumbers and gherkins</v>
      </c>
      <c r="B1203" s="1818" t="s">
        <v>302</v>
      </c>
      <c r="C1203" s="1818" t="s">
        <v>7317</v>
      </c>
      <c r="D1203" s="3463" t="str">
        <f>VLOOKUP(B1203,List_Yield!$G$4:$J$14,4,FALSE)</f>
        <v>Eastern Europe</v>
      </c>
      <c r="E1203" s="3463" t="str">
        <f t="shared" si="36"/>
        <v>Eastern EuropeCucumbers and gherkins</v>
      </c>
      <c r="F1203" s="2994">
        <v>7.4885000000000002</v>
      </c>
      <c r="G1203" s="2994">
        <v>6.1599000000000004</v>
      </c>
      <c r="H1203" s="2994">
        <v>6.9676</v>
      </c>
      <c r="I1203" s="2994">
        <v>7.8202999999999996</v>
      </c>
      <c r="J1203" s="2994">
        <v>7.0027999999999997</v>
      </c>
      <c r="K1203" s="2994">
        <v>7.8491999999999997</v>
      </c>
      <c r="L1203" s="2994">
        <v>8.6003000000000007</v>
      </c>
      <c r="M1203" s="2994">
        <v>8.0488999999999997</v>
      </c>
      <c r="N1203" s="2994">
        <v>7.6159999999999997</v>
      </c>
      <c r="O1203" s="2994">
        <v>8.4761000000000006</v>
      </c>
      <c r="P1203" s="2994">
        <v>8.0410000000000004</v>
      </c>
      <c r="Q1203" s="2994">
        <v>8.2253000000000007</v>
      </c>
      <c r="R1203" s="2994">
        <v>8.8925999999999998</v>
      </c>
      <c r="S1203" s="2994">
        <v>7.6981000000000002</v>
      </c>
      <c r="T1203" s="2994">
        <v>8.3461999999999996</v>
      </c>
      <c r="U1203" s="2994">
        <v>7.3705999999999996</v>
      </c>
      <c r="V1203" s="2994">
        <v>9.0876999999999999</v>
      </c>
      <c r="W1203" s="2994">
        <v>6.8593000000000002</v>
      </c>
      <c r="X1203" s="2994">
        <v>9.8782999999999994</v>
      </c>
      <c r="Y1203" s="2994">
        <v>7.8613</v>
      </c>
      <c r="Z1203" s="2994">
        <v>9.9648000000000003</v>
      </c>
      <c r="AA1203" s="2994">
        <v>10.269299999999999</v>
      </c>
      <c r="AB1203" s="2994">
        <v>10.0555</v>
      </c>
      <c r="AC1203" s="2994">
        <v>9.8153000000000006</v>
      </c>
      <c r="AD1203" s="2994">
        <v>8.8443000000000005</v>
      </c>
      <c r="AE1203" s="2994">
        <v>9.7441999999999993</v>
      </c>
      <c r="AF1203" s="2994">
        <v>9.6905999999999999</v>
      </c>
      <c r="AG1203" s="2994">
        <v>10.3872</v>
      </c>
      <c r="AH1203" s="2994">
        <v>8.5969999999999995</v>
      </c>
      <c r="AI1203" s="2994">
        <v>10.1356</v>
      </c>
      <c r="AJ1203" s="2994">
        <v>10.0342</v>
      </c>
      <c r="AK1203" s="2994">
        <v>8.6166999999999998</v>
      </c>
      <c r="AL1203" s="2994">
        <v>10.0936</v>
      </c>
      <c r="AM1203" s="2994">
        <v>9.2028999999999996</v>
      </c>
      <c r="AN1203" s="2994">
        <v>9.7729999999999997</v>
      </c>
      <c r="AO1203" s="2994">
        <v>10.6365</v>
      </c>
      <c r="AP1203" s="2994">
        <v>11.2357</v>
      </c>
      <c r="AQ1203" s="2994">
        <v>12.3454</v>
      </c>
      <c r="AR1203" s="2994">
        <v>13.109500000000001</v>
      </c>
      <c r="AS1203" s="2994">
        <v>14.370200000000001</v>
      </c>
      <c r="AT1203" s="2994">
        <v>13.6264</v>
      </c>
      <c r="AU1203" s="2994">
        <v>12.4894</v>
      </c>
      <c r="AV1203" s="2994">
        <v>16.210100000000001</v>
      </c>
      <c r="AW1203" s="2994">
        <v>16.308700000000002</v>
      </c>
      <c r="AX1203" s="2994">
        <v>16.558700000000002</v>
      </c>
      <c r="AY1203" s="2994">
        <v>17.468800000000002</v>
      </c>
      <c r="AZ1203" s="2994">
        <v>17.7136</v>
      </c>
      <c r="BA1203" s="2994">
        <v>18.532499999999999</v>
      </c>
      <c r="BB1203" s="2994">
        <v>19.098199999999999</v>
      </c>
      <c r="BC1203" s="2994">
        <v>19.4605</v>
      </c>
      <c r="BD1203" s="3471">
        <v>19.740400000000001</v>
      </c>
      <c r="BE1203" s="3471">
        <v>19.823499999999999</v>
      </c>
      <c r="BF1203" s="3471">
        <v>0</v>
      </c>
    </row>
    <row r="1204" spans="1:58">
      <c r="A1204" s="1817" t="str">
        <f t="shared" si="37"/>
        <v>Eastern EuropeCurrants</v>
      </c>
      <c r="B1204" s="1818" t="s">
        <v>302</v>
      </c>
      <c r="C1204" s="1818" t="s">
        <v>7318</v>
      </c>
      <c r="D1204" s="3463" t="str">
        <f>VLOOKUP(B1204,List_Yield!$G$4:$J$14,4,FALSE)</f>
        <v>Eastern Europe</v>
      </c>
      <c r="E1204" s="3463" t="str">
        <f t="shared" si="36"/>
        <v>Eastern EuropeCurrants</v>
      </c>
      <c r="F1204" s="2994">
        <v>23.444400000000002</v>
      </c>
      <c r="G1204" s="2994">
        <v>19.6296</v>
      </c>
      <c r="H1204" s="2994">
        <v>19.424199999999999</v>
      </c>
      <c r="I1204" s="2994">
        <v>19.017600000000002</v>
      </c>
      <c r="J1204" s="2994">
        <v>19.018799999999999</v>
      </c>
      <c r="K1204" s="2994">
        <v>20.161799999999999</v>
      </c>
      <c r="L1204" s="2994">
        <v>17.674299999999999</v>
      </c>
      <c r="M1204" s="2994">
        <v>19.188600000000001</v>
      </c>
      <c r="N1204" s="2994">
        <v>19.096800000000002</v>
      </c>
      <c r="O1204" s="2994">
        <v>14.7319</v>
      </c>
      <c r="P1204" s="2994">
        <v>12.770799999999999</v>
      </c>
      <c r="Q1204" s="2994">
        <v>12.371</v>
      </c>
      <c r="R1204" s="2994">
        <v>14.103999999999999</v>
      </c>
      <c r="S1204" s="2994">
        <v>14.6511</v>
      </c>
      <c r="T1204" s="2994">
        <v>16.1754</v>
      </c>
      <c r="U1204" s="2994">
        <v>13.985300000000001</v>
      </c>
      <c r="V1204" s="2994">
        <v>17.007400000000001</v>
      </c>
      <c r="W1204" s="2994">
        <v>14.7464</v>
      </c>
      <c r="X1204" s="2994">
        <v>17.709800000000001</v>
      </c>
      <c r="Y1204" s="2994">
        <v>14.1496</v>
      </c>
      <c r="Z1204" s="2994">
        <v>13.2888</v>
      </c>
      <c r="AA1204" s="2994">
        <v>16.9206</v>
      </c>
      <c r="AB1204" s="2994">
        <v>18.459900000000001</v>
      </c>
      <c r="AC1204" s="2994">
        <v>18.8004</v>
      </c>
      <c r="AD1204" s="2994">
        <v>5.7558999999999996</v>
      </c>
      <c r="AE1204" s="2994">
        <v>5.4672999999999998</v>
      </c>
      <c r="AF1204" s="2994">
        <v>5.3131000000000004</v>
      </c>
      <c r="AG1204" s="2994">
        <v>5.5914000000000001</v>
      </c>
      <c r="AH1204" s="2994">
        <v>5.6406000000000001</v>
      </c>
      <c r="AI1204" s="2994">
        <v>4.9158999999999997</v>
      </c>
      <c r="AJ1204" s="2994">
        <v>5.4580000000000002</v>
      </c>
      <c r="AK1204" s="2994">
        <v>6.2191000000000001</v>
      </c>
      <c r="AL1204" s="2994">
        <v>6.1291000000000002</v>
      </c>
      <c r="AM1204" s="2994">
        <v>5.8437999999999999</v>
      </c>
      <c r="AN1204" s="2994">
        <v>5.5960999999999999</v>
      </c>
      <c r="AO1204" s="2994">
        <v>5.7972999999999999</v>
      </c>
      <c r="AP1204" s="2994">
        <v>5.6155999999999997</v>
      </c>
      <c r="AQ1204" s="2994">
        <v>5.8319000000000001</v>
      </c>
      <c r="AR1204" s="2994">
        <v>5.0275999999999996</v>
      </c>
      <c r="AS1204" s="2994">
        <v>4.8699000000000003</v>
      </c>
      <c r="AT1204" s="2994">
        <v>5.1105999999999998</v>
      </c>
      <c r="AU1204" s="2994">
        <v>4.4107000000000003</v>
      </c>
      <c r="AV1204" s="2994">
        <v>4.7454999999999998</v>
      </c>
      <c r="AW1204" s="2994">
        <v>5.2271000000000001</v>
      </c>
      <c r="AX1204" s="2994">
        <v>5.0423</v>
      </c>
      <c r="AY1204" s="2994">
        <v>5.6283000000000003</v>
      </c>
      <c r="AZ1204" s="2994">
        <v>5.1430999999999996</v>
      </c>
      <c r="BA1204" s="2994">
        <v>5.5979000000000001</v>
      </c>
      <c r="BB1204" s="2994">
        <v>5.7305000000000001</v>
      </c>
      <c r="BC1204" s="2994">
        <v>5.2283999999999997</v>
      </c>
      <c r="BD1204" s="3471">
        <v>5.8075000000000001</v>
      </c>
      <c r="BE1204" s="3471">
        <v>5.8021000000000003</v>
      </c>
      <c r="BF1204" s="3471">
        <v>0</v>
      </c>
    </row>
    <row r="1205" spans="1:58">
      <c r="A1205" s="1817" t="str">
        <f t="shared" si="37"/>
        <v>Eastern EuropeDates</v>
      </c>
      <c r="B1205" s="1818" t="s">
        <v>302</v>
      </c>
      <c r="C1205" s="1818" t="s">
        <v>1348</v>
      </c>
      <c r="D1205" s="3463" t="str">
        <f>VLOOKUP(B1205,List_Yield!$G$4:$J$14,4,FALSE)</f>
        <v>Eastern Europe</v>
      </c>
      <c r="E1205" s="3463" t="str">
        <f t="shared" si="36"/>
        <v>Eastern EuropeDates</v>
      </c>
      <c r="F1205" s="2994">
        <v>0</v>
      </c>
      <c r="G1205" s="2994">
        <v>0</v>
      </c>
      <c r="H1205" s="2994">
        <v>0</v>
      </c>
      <c r="I1205" s="2994">
        <v>0</v>
      </c>
      <c r="J1205" s="2994">
        <v>0</v>
      </c>
      <c r="K1205" s="2994">
        <v>0</v>
      </c>
      <c r="L1205" s="2994">
        <v>0</v>
      </c>
      <c r="M1205" s="2994">
        <v>0</v>
      </c>
      <c r="N1205" s="2994">
        <v>0</v>
      </c>
      <c r="O1205" s="2994">
        <v>0</v>
      </c>
      <c r="P1205" s="2994">
        <v>0</v>
      </c>
      <c r="Q1205" s="2994">
        <v>0</v>
      </c>
      <c r="R1205" s="2994">
        <v>0</v>
      </c>
      <c r="S1205" s="2994">
        <v>0</v>
      </c>
      <c r="T1205" s="2994">
        <v>0</v>
      </c>
      <c r="U1205" s="2994">
        <v>0</v>
      </c>
      <c r="V1205" s="2994">
        <v>0</v>
      </c>
      <c r="W1205" s="2994">
        <v>0</v>
      </c>
      <c r="X1205" s="2994">
        <v>0</v>
      </c>
      <c r="Y1205" s="2994">
        <v>0</v>
      </c>
      <c r="Z1205" s="2994">
        <v>0</v>
      </c>
      <c r="AA1205" s="2994">
        <v>0</v>
      </c>
      <c r="AB1205" s="2994">
        <v>0</v>
      </c>
      <c r="AC1205" s="2994">
        <v>0</v>
      </c>
      <c r="AD1205" s="2994">
        <v>0</v>
      </c>
      <c r="AE1205" s="2994">
        <v>0</v>
      </c>
      <c r="AF1205" s="2994">
        <v>0</v>
      </c>
      <c r="AG1205" s="2994">
        <v>0</v>
      </c>
      <c r="AH1205" s="2994">
        <v>0</v>
      </c>
      <c r="AI1205" s="2994">
        <v>0</v>
      </c>
      <c r="AJ1205" s="2994">
        <v>0</v>
      </c>
      <c r="AK1205" s="2994">
        <v>0</v>
      </c>
      <c r="AL1205" s="2994">
        <v>0</v>
      </c>
      <c r="AM1205" s="2994">
        <v>0</v>
      </c>
      <c r="AN1205" s="2994">
        <v>0</v>
      </c>
      <c r="AO1205" s="2994">
        <v>0</v>
      </c>
      <c r="AP1205" s="2994">
        <v>0</v>
      </c>
      <c r="AQ1205" s="2994">
        <v>0</v>
      </c>
      <c r="AR1205" s="2994">
        <v>0</v>
      </c>
      <c r="AS1205" s="2994">
        <v>0</v>
      </c>
      <c r="AT1205" s="2994">
        <v>0</v>
      </c>
      <c r="AU1205" s="2994">
        <v>0</v>
      </c>
      <c r="AV1205" s="2994">
        <v>0</v>
      </c>
      <c r="AW1205" s="2994">
        <v>0</v>
      </c>
      <c r="AX1205" s="2994">
        <v>0</v>
      </c>
      <c r="AY1205" s="2994">
        <v>0</v>
      </c>
      <c r="AZ1205" s="2994">
        <v>0</v>
      </c>
      <c r="BA1205" s="2994">
        <v>0</v>
      </c>
      <c r="BB1205" s="2994">
        <v>0</v>
      </c>
      <c r="BC1205" s="2994">
        <v>0</v>
      </c>
      <c r="BD1205" s="3471">
        <v>0</v>
      </c>
      <c r="BE1205" s="3471">
        <v>0</v>
      </c>
      <c r="BF1205" s="3471">
        <v>0</v>
      </c>
    </row>
    <row r="1206" spans="1:58">
      <c r="A1206" s="1817" t="str">
        <f t="shared" si="37"/>
        <v>Eastern EuropeEggplants (aubergines)</v>
      </c>
      <c r="B1206" s="1818" t="s">
        <v>302</v>
      </c>
      <c r="C1206" s="1818" t="s">
        <v>1349</v>
      </c>
      <c r="D1206" s="3463" t="str">
        <f>VLOOKUP(B1206,List_Yield!$G$4:$J$14,4,FALSE)</f>
        <v>Eastern Europe</v>
      </c>
      <c r="E1206" s="3463" t="str">
        <f t="shared" si="36"/>
        <v>Eastern EuropeEggplants (aubergines)</v>
      </c>
      <c r="F1206" s="2994">
        <v>21.333300000000001</v>
      </c>
      <c r="G1206" s="2994">
        <v>21.025600000000001</v>
      </c>
      <c r="H1206" s="2994">
        <v>21.025600000000001</v>
      </c>
      <c r="I1206" s="2994">
        <v>21</v>
      </c>
      <c r="J1206" s="2994">
        <v>21</v>
      </c>
      <c r="K1206" s="2994">
        <v>20.9877</v>
      </c>
      <c r="L1206" s="2994">
        <v>24.312899999999999</v>
      </c>
      <c r="M1206" s="2994">
        <v>27.7653</v>
      </c>
      <c r="N1206" s="2994">
        <v>28.9284</v>
      </c>
      <c r="O1206" s="2994">
        <v>26.213100000000001</v>
      </c>
      <c r="P1206" s="2994">
        <v>31.383199999999999</v>
      </c>
      <c r="Q1206" s="2994">
        <v>31.723700000000001</v>
      </c>
      <c r="R1206" s="2994">
        <v>30.0183</v>
      </c>
      <c r="S1206" s="2994">
        <v>29.9178</v>
      </c>
      <c r="T1206" s="2994">
        <v>21.773099999999999</v>
      </c>
      <c r="U1206" s="2994">
        <v>21.785699999999999</v>
      </c>
      <c r="V1206" s="2994">
        <v>19.081700000000001</v>
      </c>
      <c r="W1206" s="2994">
        <v>23.683499999999999</v>
      </c>
      <c r="X1206" s="2994">
        <v>24.669799999999999</v>
      </c>
      <c r="Y1206" s="2994">
        <v>17.398199999999999</v>
      </c>
      <c r="Z1206" s="2994">
        <v>22.660599999999999</v>
      </c>
      <c r="AA1206" s="2994">
        <v>20.921299999999999</v>
      </c>
      <c r="AB1206" s="2994">
        <v>19.450800000000001</v>
      </c>
      <c r="AC1206" s="2994">
        <v>21.466100000000001</v>
      </c>
      <c r="AD1206" s="2994">
        <v>21.526199999999999</v>
      </c>
      <c r="AE1206" s="2994">
        <v>21.131399999999999</v>
      </c>
      <c r="AF1206" s="2994">
        <v>20.923999999999999</v>
      </c>
      <c r="AG1206" s="2994">
        <v>21.8444</v>
      </c>
      <c r="AH1206" s="2994">
        <v>48.744199999999999</v>
      </c>
      <c r="AI1206" s="2994">
        <v>9.3461999999999996</v>
      </c>
      <c r="AJ1206" s="2994">
        <v>7.1082000000000001</v>
      </c>
      <c r="AK1206" s="2994">
        <v>6.6910999999999996</v>
      </c>
      <c r="AL1206" s="2994">
        <v>6.0323000000000002</v>
      </c>
      <c r="AM1206" s="2994">
        <v>7.0369999999999999</v>
      </c>
      <c r="AN1206" s="2994">
        <v>6.6406999999999998</v>
      </c>
      <c r="AO1206" s="2994">
        <v>6.4103000000000003</v>
      </c>
      <c r="AP1206" s="2994">
        <v>6.6551999999999998</v>
      </c>
      <c r="AQ1206" s="2994">
        <v>7.72</v>
      </c>
      <c r="AR1206" s="2994">
        <v>13.335699999999999</v>
      </c>
      <c r="AS1206" s="2994">
        <v>13.1395</v>
      </c>
      <c r="AT1206" s="2994">
        <v>14.2265</v>
      </c>
      <c r="AU1206" s="2994">
        <v>14.0503</v>
      </c>
      <c r="AV1206" s="2994">
        <v>12.5814</v>
      </c>
      <c r="AW1206" s="2994">
        <v>14.008599999999999</v>
      </c>
      <c r="AX1206" s="2994">
        <v>11.9169</v>
      </c>
      <c r="AY1206" s="2994">
        <v>12.528600000000001</v>
      </c>
      <c r="AZ1206" s="2994">
        <v>11.1295</v>
      </c>
      <c r="BA1206" s="2994">
        <v>13.5815</v>
      </c>
      <c r="BB1206" s="2994">
        <v>15.3588</v>
      </c>
      <c r="BC1206" s="2994">
        <v>13.029</v>
      </c>
      <c r="BD1206" s="3471">
        <v>14.276999999999999</v>
      </c>
      <c r="BE1206" s="3471">
        <v>12.9025</v>
      </c>
      <c r="BF1206" s="3471">
        <v>0</v>
      </c>
    </row>
    <row r="1207" spans="1:58">
      <c r="A1207" s="1817" t="str">
        <f t="shared" si="37"/>
        <v>Eastern EuropeFibre crops nes</v>
      </c>
      <c r="B1207" s="1818" t="s">
        <v>302</v>
      </c>
      <c r="C1207" s="1818" t="s">
        <v>7319</v>
      </c>
      <c r="D1207" s="3463" t="str">
        <f>VLOOKUP(B1207,List_Yield!$G$4:$J$14,4,FALSE)</f>
        <v>Eastern Europe</v>
      </c>
      <c r="E1207" s="3463" t="str">
        <f t="shared" si="36"/>
        <v>Eastern EuropeFibre crops nes</v>
      </c>
      <c r="F1207" s="2994">
        <v>0</v>
      </c>
      <c r="G1207" s="2994">
        <v>0</v>
      </c>
      <c r="H1207" s="2994">
        <v>0</v>
      </c>
      <c r="I1207" s="2994">
        <v>0</v>
      </c>
      <c r="J1207" s="2994">
        <v>0</v>
      </c>
      <c r="K1207" s="2994">
        <v>0</v>
      </c>
      <c r="L1207" s="2994">
        <v>0</v>
      </c>
      <c r="M1207" s="2994">
        <v>0</v>
      </c>
      <c r="N1207" s="2994">
        <v>0</v>
      </c>
      <c r="O1207" s="2994">
        <v>0</v>
      </c>
      <c r="P1207" s="2994">
        <v>0</v>
      </c>
      <c r="Q1207" s="2994">
        <v>0</v>
      </c>
      <c r="R1207" s="2994">
        <v>0</v>
      </c>
      <c r="S1207" s="2994">
        <v>0</v>
      </c>
      <c r="T1207" s="2994">
        <v>0</v>
      </c>
      <c r="U1207" s="2994">
        <v>0</v>
      </c>
      <c r="V1207" s="2994">
        <v>0</v>
      </c>
      <c r="W1207" s="2994">
        <v>0</v>
      </c>
      <c r="X1207" s="2994">
        <v>0</v>
      </c>
      <c r="Y1207" s="2994">
        <v>0</v>
      </c>
      <c r="Z1207" s="2994">
        <v>0</v>
      </c>
      <c r="AA1207" s="2994">
        <v>0</v>
      </c>
      <c r="AB1207" s="2994">
        <v>0</v>
      </c>
      <c r="AC1207" s="2994">
        <v>0</v>
      </c>
      <c r="AD1207" s="2994">
        <v>0</v>
      </c>
      <c r="AE1207" s="2994">
        <v>0</v>
      </c>
      <c r="AF1207" s="2994">
        <v>0</v>
      </c>
      <c r="AG1207" s="2994">
        <v>0</v>
      </c>
      <c r="AH1207" s="2994">
        <v>0</v>
      </c>
      <c r="AI1207" s="2994">
        <v>0</v>
      </c>
      <c r="AJ1207" s="2994">
        <v>0</v>
      </c>
      <c r="AK1207" s="2994">
        <v>0</v>
      </c>
      <c r="AL1207" s="2994">
        <v>0</v>
      </c>
      <c r="AM1207" s="2994">
        <v>0</v>
      </c>
      <c r="AN1207" s="2994">
        <v>0</v>
      </c>
      <c r="AO1207" s="2994">
        <v>0</v>
      </c>
      <c r="AP1207" s="2994">
        <v>0</v>
      </c>
      <c r="AQ1207" s="2994">
        <v>0</v>
      </c>
      <c r="AR1207" s="2994">
        <v>0</v>
      </c>
      <c r="AS1207" s="2994">
        <v>0</v>
      </c>
      <c r="AT1207" s="2994">
        <v>0</v>
      </c>
      <c r="AU1207" s="2994">
        <v>0</v>
      </c>
      <c r="AV1207" s="2994">
        <v>0</v>
      </c>
      <c r="AW1207" s="2994">
        <v>0</v>
      </c>
      <c r="AX1207" s="2994">
        <v>0</v>
      </c>
      <c r="AY1207" s="2994">
        <v>0</v>
      </c>
      <c r="AZ1207" s="2994">
        <v>0</v>
      </c>
      <c r="BA1207" s="2994">
        <v>0</v>
      </c>
      <c r="BB1207" s="2994">
        <v>0</v>
      </c>
      <c r="BC1207" s="2994">
        <v>0</v>
      </c>
      <c r="BD1207" s="3471">
        <v>0</v>
      </c>
      <c r="BE1207" s="3471">
        <v>0</v>
      </c>
      <c r="BF1207" s="3471">
        <v>0</v>
      </c>
    </row>
    <row r="1208" spans="1:58">
      <c r="A1208" s="1817" t="str">
        <f t="shared" si="37"/>
        <v>Eastern EuropeFigs</v>
      </c>
      <c r="B1208" s="1818" t="s">
        <v>302</v>
      </c>
      <c r="C1208" s="1818" t="s">
        <v>7320</v>
      </c>
      <c r="D1208" s="3463" t="str">
        <f>VLOOKUP(B1208,List_Yield!$G$4:$J$14,4,FALSE)</f>
        <v>Eastern Europe</v>
      </c>
      <c r="E1208" s="3463" t="str">
        <f t="shared" si="36"/>
        <v>Eastern EuropeFigs</v>
      </c>
      <c r="F1208" s="2994">
        <v>0</v>
      </c>
      <c r="G1208" s="2994">
        <v>0</v>
      </c>
      <c r="H1208" s="2994">
        <v>0</v>
      </c>
      <c r="I1208" s="2994">
        <v>0</v>
      </c>
      <c r="J1208" s="2994">
        <v>0</v>
      </c>
      <c r="K1208" s="2994">
        <v>0</v>
      </c>
      <c r="L1208" s="2994">
        <v>0</v>
      </c>
      <c r="M1208" s="2994">
        <v>0</v>
      </c>
      <c r="N1208" s="2994">
        <v>0</v>
      </c>
      <c r="O1208" s="2994">
        <v>0</v>
      </c>
      <c r="P1208" s="2994">
        <v>0</v>
      </c>
      <c r="Q1208" s="2994">
        <v>0</v>
      </c>
      <c r="R1208" s="2994">
        <v>0</v>
      </c>
      <c r="S1208" s="2994">
        <v>0</v>
      </c>
      <c r="T1208" s="2994">
        <v>0</v>
      </c>
      <c r="U1208" s="2994">
        <v>0</v>
      </c>
      <c r="V1208" s="2994">
        <v>0</v>
      </c>
      <c r="W1208" s="2994">
        <v>0</v>
      </c>
      <c r="X1208" s="2994">
        <v>0</v>
      </c>
      <c r="Y1208" s="2994">
        <v>0</v>
      </c>
      <c r="Z1208" s="2994">
        <v>0</v>
      </c>
      <c r="AA1208" s="2994">
        <v>0</v>
      </c>
      <c r="AB1208" s="2994">
        <v>0</v>
      </c>
      <c r="AC1208" s="2994">
        <v>0</v>
      </c>
      <c r="AD1208" s="2994">
        <v>0</v>
      </c>
      <c r="AE1208" s="2994">
        <v>0</v>
      </c>
      <c r="AF1208" s="2994">
        <v>0</v>
      </c>
      <c r="AG1208" s="2994">
        <v>0</v>
      </c>
      <c r="AH1208" s="2994">
        <v>0</v>
      </c>
      <c r="AI1208" s="2994">
        <v>0</v>
      </c>
      <c r="AJ1208" s="2994">
        <v>0</v>
      </c>
      <c r="AK1208" s="2994">
        <v>0</v>
      </c>
      <c r="AL1208" s="2994">
        <v>0</v>
      </c>
      <c r="AM1208" s="2994">
        <v>0</v>
      </c>
      <c r="AN1208" s="2994">
        <v>0</v>
      </c>
      <c r="AO1208" s="2994">
        <v>0</v>
      </c>
      <c r="AP1208" s="2994">
        <v>0</v>
      </c>
      <c r="AQ1208" s="2994">
        <v>0</v>
      </c>
      <c r="AR1208" s="2994">
        <v>0</v>
      </c>
      <c r="AS1208" s="2994">
        <v>0</v>
      </c>
      <c r="AT1208" s="2994">
        <v>0</v>
      </c>
      <c r="AU1208" s="2994">
        <v>0</v>
      </c>
      <c r="AV1208" s="2994">
        <v>0</v>
      </c>
      <c r="AW1208" s="2994">
        <v>0</v>
      </c>
      <c r="AX1208" s="2994">
        <v>0</v>
      </c>
      <c r="AY1208" s="2994">
        <v>0</v>
      </c>
      <c r="AZ1208" s="2994">
        <v>0</v>
      </c>
      <c r="BA1208" s="2994">
        <v>0</v>
      </c>
      <c r="BB1208" s="2994">
        <v>0</v>
      </c>
      <c r="BC1208" s="2994">
        <v>0</v>
      </c>
      <c r="BD1208" s="3471">
        <v>0</v>
      </c>
      <c r="BE1208" s="3471">
        <v>0</v>
      </c>
      <c r="BF1208" s="3471">
        <v>0</v>
      </c>
    </row>
    <row r="1209" spans="1:58">
      <c r="A1209" s="1817" t="str">
        <f t="shared" si="37"/>
        <v>Eastern EuropeFlax fibre and tow</v>
      </c>
      <c r="B1209" s="1818" t="s">
        <v>302</v>
      </c>
      <c r="C1209" s="1818" t="s">
        <v>7321</v>
      </c>
      <c r="D1209" s="3463" t="str">
        <f>VLOOKUP(B1209,List_Yield!$G$4:$J$14,4,FALSE)</f>
        <v>Eastern Europe</v>
      </c>
      <c r="E1209" s="3463" t="str">
        <f t="shared" si="36"/>
        <v>Eastern EuropeFlax fibre and tow</v>
      </c>
      <c r="F1209" s="2994">
        <v>0.27129999999999999</v>
      </c>
      <c r="G1209" s="2994">
        <v>0.2828</v>
      </c>
      <c r="H1209" s="2994">
        <v>0.28739999999999999</v>
      </c>
      <c r="I1209" s="2994">
        <v>0.247</v>
      </c>
      <c r="J1209" s="2994">
        <v>0.3488</v>
      </c>
      <c r="K1209" s="2994">
        <v>0.35699999999999998</v>
      </c>
      <c r="L1209" s="2994">
        <v>0.38340000000000002</v>
      </c>
      <c r="M1209" s="2994">
        <v>0.3266</v>
      </c>
      <c r="N1209" s="2994">
        <v>0.39379999999999998</v>
      </c>
      <c r="O1209" s="2994">
        <v>0.37669999999999998</v>
      </c>
      <c r="P1209" s="2994">
        <v>0.4194</v>
      </c>
      <c r="Q1209" s="2994">
        <v>0.3916</v>
      </c>
      <c r="R1209" s="2994">
        <v>0.37540000000000001</v>
      </c>
      <c r="S1209" s="2994">
        <v>0.3619</v>
      </c>
      <c r="T1209" s="2994">
        <v>0.43640000000000001</v>
      </c>
      <c r="U1209" s="2994">
        <v>0.44969999999999999</v>
      </c>
      <c r="V1209" s="2994">
        <v>0.41210000000000002</v>
      </c>
      <c r="W1209" s="2994">
        <v>0.36520000000000002</v>
      </c>
      <c r="X1209" s="2994">
        <v>0.33560000000000001</v>
      </c>
      <c r="Y1209" s="2994">
        <v>0.30059999999999998</v>
      </c>
      <c r="Z1209" s="2994">
        <v>0.2999</v>
      </c>
      <c r="AA1209" s="2994">
        <v>0.41170000000000001</v>
      </c>
      <c r="AB1209" s="2994">
        <v>0.4541</v>
      </c>
      <c r="AC1209" s="2994">
        <v>0.4017</v>
      </c>
      <c r="AD1209" s="2994">
        <v>0.36990000000000001</v>
      </c>
      <c r="AE1209" s="2994">
        <v>0.36520000000000002</v>
      </c>
      <c r="AF1209" s="2994">
        <v>0.45040000000000002</v>
      </c>
      <c r="AG1209" s="2994">
        <v>0.36820000000000003</v>
      </c>
      <c r="AH1209" s="2994">
        <v>0.42020000000000002</v>
      </c>
      <c r="AI1209" s="2994">
        <v>0.35149999999999998</v>
      </c>
      <c r="AJ1209" s="2994">
        <v>0.47439999999999999</v>
      </c>
      <c r="AK1209" s="2994">
        <v>0.4073</v>
      </c>
      <c r="AL1209" s="2994">
        <v>0.43540000000000001</v>
      </c>
      <c r="AM1209" s="2994">
        <v>0.57850000000000001</v>
      </c>
      <c r="AN1209" s="2994">
        <v>0.55569999999999997</v>
      </c>
      <c r="AO1209" s="2994">
        <v>0.50539999999999996</v>
      </c>
      <c r="AP1209" s="2994">
        <v>0.30759999999999998</v>
      </c>
      <c r="AQ1209" s="2994">
        <v>0.42680000000000001</v>
      </c>
      <c r="AR1209" s="2994">
        <v>0.43559999999999999</v>
      </c>
      <c r="AS1209" s="2994">
        <v>0.58160000000000001</v>
      </c>
      <c r="AT1209" s="2994">
        <v>0.5645</v>
      </c>
      <c r="AU1209" s="2994">
        <v>0.55669999999999997</v>
      </c>
      <c r="AV1209" s="2994">
        <v>0.63900000000000001</v>
      </c>
      <c r="AW1209" s="2994">
        <v>0.68969999999999998</v>
      </c>
      <c r="AX1209" s="2994">
        <v>0.69030000000000002</v>
      </c>
      <c r="AY1209" s="2994">
        <v>0.57420000000000004</v>
      </c>
      <c r="AZ1209" s="2994">
        <v>0.63660000000000005</v>
      </c>
      <c r="BA1209" s="2994">
        <v>0.76500000000000001</v>
      </c>
      <c r="BB1209" s="2994">
        <v>0.76880000000000004</v>
      </c>
      <c r="BC1209" s="2994">
        <v>0.78610000000000002</v>
      </c>
      <c r="BD1209" s="3471">
        <v>0.8125</v>
      </c>
      <c r="BE1209" s="3471">
        <v>0.90290000000000004</v>
      </c>
      <c r="BF1209" s="3471">
        <v>0</v>
      </c>
    </row>
    <row r="1210" spans="1:58">
      <c r="A1210" s="1817" t="str">
        <f t="shared" si="37"/>
        <v>Eastern EuropeFonio</v>
      </c>
      <c r="B1210" s="1818" t="s">
        <v>302</v>
      </c>
      <c r="C1210" s="1818" t="s">
        <v>7322</v>
      </c>
      <c r="D1210" s="3463" t="str">
        <f>VLOOKUP(B1210,List_Yield!$G$4:$J$14,4,FALSE)</f>
        <v>Eastern Europe</v>
      </c>
      <c r="E1210" s="3463" t="str">
        <f t="shared" si="36"/>
        <v>Eastern EuropeFonio</v>
      </c>
      <c r="F1210" s="2994">
        <v>0</v>
      </c>
      <c r="G1210" s="2994">
        <v>0</v>
      </c>
      <c r="H1210" s="2994">
        <v>0</v>
      </c>
      <c r="I1210" s="2994">
        <v>0</v>
      </c>
      <c r="J1210" s="2994">
        <v>0</v>
      </c>
      <c r="K1210" s="2994">
        <v>0</v>
      </c>
      <c r="L1210" s="2994">
        <v>0</v>
      </c>
      <c r="M1210" s="2994">
        <v>0</v>
      </c>
      <c r="N1210" s="2994">
        <v>0</v>
      </c>
      <c r="O1210" s="2994">
        <v>0</v>
      </c>
      <c r="P1210" s="2994">
        <v>0</v>
      </c>
      <c r="Q1210" s="2994">
        <v>0</v>
      </c>
      <c r="R1210" s="2994">
        <v>0</v>
      </c>
      <c r="S1210" s="2994">
        <v>0</v>
      </c>
      <c r="T1210" s="2994">
        <v>0</v>
      </c>
      <c r="U1210" s="2994">
        <v>0</v>
      </c>
      <c r="V1210" s="2994">
        <v>0</v>
      </c>
      <c r="W1210" s="2994">
        <v>0</v>
      </c>
      <c r="X1210" s="2994">
        <v>0</v>
      </c>
      <c r="Y1210" s="2994">
        <v>0</v>
      </c>
      <c r="Z1210" s="2994">
        <v>0</v>
      </c>
      <c r="AA1210" s="2994">
        <v>0</v>
      </c>
      <c r="AB1210" s="2994">
        <v>0</v>
      </c>
      <c r="AC1210" s="2994">
        <v>0</v>
      </c>
      <c r="AD1210" s="2994">
        <v>0</v>
      </c>
      <c r="AE1210" s="2994">
        <v>0</v>
      </c>
      <c r="AF1210" s="2994">
        <v>0</v>
      </c>
      <c r="AG1210" s="2994">
        <v>0</v>
      </c>
      <c r="AH1210" s="2994">
        <v>0</v>
      </c>
      <c r="AI1210" s="2994">
        <v>0</v>
      </c>
      <c r="AJ1210" s="2994">
        <v>0</v>
      </c>
      <c r="AK1210" s="2994">
        <v>0</v>
      </c>
      <c r="AL1210" s="2994">
        <v>0</v>
      </c>
      <c r="AM1210" s="2994">
        <v>0</v>
      </c>
      <c r="AN1210" s="2994">
        <v>0</v>
      </c>
      <c r="AO1210" s="2994">
        <v>0</v>
      </c>
      <c r="AP1210" s="2994">
        <v>0</v>
      </c>
      <c r="AQ1210" s="2994">
        <v>0</v>
      </c>
      <c r="AR1210" s="2994">
        <v>0</v>
      </c>
      <c r="AS1210" s="2994">
        <v>0</v>
      </c>
      <c r="AT1210" s="2994">
        <v>0</v>
      </c>
      <c r="AU1210" s="2994">
        <v>0</v>
      </c>
      <c r="AV1210" s="2994">
        <v>0</v>
      </c>
      <c r="AW1210" s="2994">
        <v>0</v>
      </c>
      <c r="AX1210" s="2994">
        <v>0</v>
      </c>
      <c r="AY1210" s="2994">
        <v>0</v>
      </c>
      <c r="AZ1210" s="2994">
        <v>0</v>
      </c>
      <c r="BA1210" s="2994">
        <v>0</v>
      </c>
      <c r="BB1210" s="2994">
        <v>0</v>
      </c>
      <c r="BC1210" s="2994">
        <v>0</v>
      </c>
      <c r="BD1210" s="3471">
        <v>0</v>
      </c>
      <c r="BE1210" s="3471">
        <v>0</v>
      </c>
      <c r="BF1210" s="3471">
        <v>0</v>
      </c>
    </row>
    <row r="1211" spans="1:58">
      <c r="A1211" s="1817" t="str">
        <f t="shared" si="37"/>
        <v>Eastern EuropeFruit, citrus nes</v>
      </c>
      <c r="B1211" s="1818" t="s">
        <v>302</v>
      </c>
      <c r="C1211" s="1818" t="s">
        <v>7323</v>
      </c>
      <c r="D1211" s="3463" t="str">
        <f>VLOOKUP(B1211,List_Yield!$G$4:$J$14,4,FALSE)</f>
        <v>Eastern Europe</v>
      </c>
      <c r="E1211" s="3463" t="str">
        <f t="shared" si="36"/>
        <v>Eastern EuropeFruit, citrus nes</v>
      </c>
      <c r="F1211" s="2994">
        <v>0</v>
      </c>
      <c r="G1211" s="2994">
        <v>0</v>
      </c>
      <c r="H1211" s="2994">
        <v>0</v>
      </c>
      <c r="I1211" s="2994">
        <v>0</v>
      </c>
      <c r="J1211" s="2994">
        <v>0</v>
      </c>
      <c r="K1211" s="2994">
        <v>0</v>
      </c>
      <c r="L1211" s="2994">
        <v>0</v>
      </c>
      <c r="M1211" s="2994">
        <v>0</v>
      </c>
      <c r="N1211" s="2994">
        <v>0</v>
      </c>
      <c r="O1211" s="2994">
        <v>0</v>
      </c>
      <c r="P1211" s="2994">
        <v>0</v>
      </c>
      <c r="Q1211" s="2994">
        <v>0</v>
      </c>
      <c r="R1211" s="2994">
        <v>0</v>
      </c>
      <c r="S1211" s="2994">
        <v>0</v>
      </c>
      <c r="T1211" s="2994">
        <v>0</v>
      </c>
      <c r="U1211" s="2994">
        <v>0</v>
      </c>
      <c r="V1211" s="2994">
        <v>0</v>
      </c>
      <c r="W1211" s="2994">
        <v>0</v>
      </c>
      <c r="X1211" s="2994">
        <v>0</v>
      </c>
      <c r="Y1211" s="2994">
        <v>0</v>
      </c>
      <c r="Z1211" s="2994">
        <v>0</v>
      </c>
      <c r="AA1211" s="2994">
        <v>0</v>
      </c>
      <c r="AB1211" s="2994">
        <v>0</v>
      </c>
      <c r="AC1211" s="2994">
        <v>0</v>
      </c>
      <c r="AD1211" s="2994">
        <v>0</v>
      </c>
      <c r="AE1211" s="2994">
        <v>0</v>
      </c>
      <c r="AF1211" s="2994">
        <v>0</v>
      </c>
      <c r="AG1211" s="2994">
        <v>0</v>
      </c>
      <c r="AH1211" s="2994">
        <v>0</v>
      </c>
      <c r="AI1211" s="2994">
        <v>0</v>
      </c>
      <c r="AJ1211" s="2994">
        <v>0</v>
      </c>
      <c r="AK1211" s="2994">
        <v>0</v>
      </c>
      <c r="AL1211" s="2994">
        <v>0</v>
      </c>
      <c r="AM1211" s="2994">
        <v>0</v>
      </c>
      <c r="AN1211" s="2994">
        <v>0</v>
      </c>
      <c r="AO1211" s="2994">
        <v>0</v>
      </c>
      <c r="AP1211" s="2994">
        <v>0</v>
      </c>
      <c r="AQ1211" s="2994">
        <v>0</v>
      </c>
      <c r="AR1211" s="2994">
        <v>0</v>
      </c>
      <c r="AS1211" s="2994">
        <v>0</v>
      </c>
      <c r="AT1211" s="2994">
        <v>0</v>
      </c>
      <c r="AU1211" s="2994">
        <v>0</v>
      </c>
      <c r="AV1211" s="2994">
        <v>0</v>
      </c>
      <c r="AW1211" s="2994">
        <v>0</v>
      </c>
      <c r="AX1211" s="2994">
        <v>0</v>
      </c>
      <c r="AY1211" s="2994">
        <v>0</v>
      </c>
      <c r="AZ1211" s="2994">
        <v>0</v>
      </c>
      <c r="BA1211" s="2994">
        <v>0</v>
      </c>
      <c r="BB1211" s="2994">
        <v>0</v>
      </c>
      <c r="BC1211" s="2994">
        <v>0</v>
      </c>
      <c r="BD1211" s="3471">
        <v>0</v>
      </c>
      <c r="BE1211" s="3471">
        <v>0</v>
      </c>
      <c r="BF1211" s="3471">
        <v>0</v>
      </c>
    </row>
    <row r="1212" spans="1:58">
      <c r="A1212" s="1817" t="str">
        <f t="shared" si="37"/>
        <v>Eastern EuropeFruit, fresh nes</v>
      </c>
      <c r="B1212" s="1818" t="s">
        <v>302</v>
      </c>
      <c r="C1212" s="1818" t="s">
        <v>7324</v>
      </c>
      <c r="D1212" s="3463" t="str">
        <f>VLOOKUP(B1212,List_Yield!$G$4:$J$14,4,FALSE)</f>
        <v>Eastern Europe</v>
      </c>
      <c r="E1212" s="3463" t="str">
        <f t="shared" si="36"/>
        <v>Eastern EuropeFruit, fresh nes</v>
      </c>
      <c r="F1212" s="2994">
        <v>4.5321999999999996</v>
      </c>
      <c r="G1212" s="2994">
        <v>4.3280000000000003</v>
      </c>
      <c r="H1212" s="2994">
        <v>4.9103000000000003</v>
      </c>
      <c r="I1212" s="2994">
        <v>4.7815000000000003</v>
      </c>
      <c r="J1212" s="2994">
        <v>4.6980000000000004</v>
      </c>
      <c r="K1212" s="2994">
        <v>5.2358000000000002</v>
      </c>
      <c r="L1212" s="2994">
        <v>4.5964999999999998</v>
      </c>
      <c r="M1212" s="2994">
        <v>5.3465999999999996</v>
      </c>
      <c r="N1212" s="2994">
        <v>5.4028</v>
      </c>
      <c r="O1212" s="2994">
        <v>6.2519999999999998</v>
      </c>
      <c r="P1212" s="2994">
        <v>5.6483999999999996</v>
      </c>
      <c r="Q1212" s="2994">
        <v>5.5785</v>
      </c>
      <c r="R1212" s="2994">
        <v>8.1843000000000004</v>
      </c>
      <c r="S1212" s="2994">
        <v>7.0694999999999997</v>
      </c>
      <c r="T1212" s="2994">
        <v>5.625</v>
      </c>
      <c r="U1212" s="2994">
        <v>7.6265999999999998</v>
      </c>
      <c r="V1212" s="2994">
        <v>8.5954999999999995</v>
      </c>
      <c r="W1212" s="2994">
        <v>8.4929000000000006</v>
      </c>
      <c r="X1212" s="2994">
        <v>10.0412</v>
      </c>
      <c r="Y1212" s="2994">
        <v>9.5000999999999998</v>
      </c>
      <c r="Z1212" s="2994">
        <v>8.9274000000000004</v>
      </c>
      <c r="AA1212" s="2994">
        <v>9.3150999999999993</v>
      </c>
      <c r="AB1212" s="2994">
        <v>8.8720999999999997</v>
      </c>
      <c r="AC1212" s="2994">
        <v>8.4156999999999993</v>
      </c>
      <c r="AD1212" s="2994">
        <v>4.8669000000000002</v>
      </c>
      <c r="AE1212" s="2994">
        <v>4.9428999999999998</v>
      </c>
      <c r="AF1212" s="2994">
        <v>4.4219999999999997</v>
      </c>
      <c r="AG1212" s="2994">
        <v>4.6886000000000001</v>
      </c>
      <c r="AH1212" s="2994">
        <v>5.0998999999999999</v>
      </c>
      <c r="AI1212" s="2994">
        <v>4.8902000000000001</v>
      </c>
      <c r="AJ1212" s="2994">
        <v>4.5650000000000004</v>
      </c>
      <c r="AK1212" s="2994">
        <v>2.1613000000000002</v>
      </c>
      <c r="AL1212" s="2994">
        <v>2.3494000000000002</v>
      </c>
      <c r="AM1212" s="2994">
        <v>2.3999000000000001</v>
      </c>
      <c r="AN1212" s="2994">
        <v>1.8855999999999999</v>
      </c>
      <c r="AO1212" s="2994">
        <v>2.7900999999999998</v>
      </c>
      <c r="AP1212" s="2994">
        <v>3.4327000000000001</v>
      </c>
      <c r="AQ1212" s="2994">
        <v>3.5590999999999999</v>
      </c>
      <c r="AR1212" s="2994">
        <v>3.0459000000000001</v>
      </c>
      <c r="AS1212" s="2994">
        <v>3.3412000000000002</v>
      </c>
      <c r="AT1212" s="2994">
        <v>3.8302</v>
      </c>
      <c r="AU1212" s="2994">
        <v>4.8731</v>
      </c>
      <c r="AV1212" s="2994">
        <v>4.5229999999999997</v>
      </c>
      <c r="AW1212" s="2994">
        <v>3.3367</v>
      </c>
      <c r="AX1212" s="2994">
        <v>4.4149000000000003</v>
      </c>
      <c r="AY1212" s="2994">
        <v>4.2252000000000001</v>
      </c>
      <c r="AZ1212" s="2994">
        <v>4.2053000000000003</v>
      </c>
      <c r="BA1212" s="2994">
        <v>4.8357000000000001</v>
      </c>
      <c r="BB1212" s="2994">
        <v>5.3613</v>
      </c>
      <c r="BC1212" s="2994">
        <v>4.9668000000000001</v>
      </c>
      <c r="BD1212" s="3471">
        <v>5.4405000000000001</v>
      </c>
      <c r="BE1212" s="3471">
        <v>5.5511999999999997</v>
      </c>
      <c r="BF1212" s="3471">
        <v>0</v>
      </c>
    </row>
    <row r="1213" spans="1:58">
      <c r="A1213" s="1817" t="str">
        <f t="shared" si="37"/>
        <v>Eastern EuropeFruit, pome nes</v>
      </c>
      <c r="B1213" s="1818" t="s">
        <v>302</v>
      </c>
      <c r="C1213" s="1818" t="s">
        <v>7325</v>
      </c>
      <c r="D1213" s="3463" t="str">
        <f>VLOOKUP(B1213,List_Yield!$G$4:$J$14,4,FALSE)</f>
        <v>Eastern Europe</v>
      </c>
      <c r="E1213" s="3463" t="str">
        <f t="shared" ref="E1213:E1276" si="38">CONCATENATE(D1213,C1213)</f>
        <v>Eastern EuropeFruit, pome nes</v>
      </c>
      <c r="F1213" s="2994">
        <v>0</v>
      </c>
      <c r="G1213" s="2994">
        <v>0</v>
      </c>
      <c r="H1213" s="2994">
        <v>0</v>
      </c>
      <c r="I1213" s="2994">
        <v>0</v>
      </c>
      <c r="J1213" s="2994">
        <v>0</v>
      </c>
      <c r="K1213" s="2994">
        <v>0</v>
      </c>
      <c r="L1213" s="2994">
        <v>0</v>
      </c>
      <c r="M1213" s="2994">
        <v>0</v>
      </c>
      <c r="N1213" s="2994">
        <v>0</v>
      </c>
      <c r="O1213" s="2994">
        <v>0</v>
      </c>
      <c r="P1213" s="2994">
        <v>0</v>
      </c>
      <c r="Q1213" s="2994">
        <v>0</v>
      </c>
      <c r="R1213" s="2994">
        <v>0</v>
      </c>
      <c r="S1213" s="2994">
        <v>0</v>
      </c>
      <c r="T1213" s="2994">
        <v>0</v>
      </c>
      <c r="U1213" s="2994">
        <v>0</v>
      </c>
      <c r="V1213" s="2994">
        <v>0</v>
      </c>
      <c r="W1213" s="2994">
        <v>0</v>
      </c>
      <c r="X1213" s="2994">
        <v>0</v>
      </c>
      <c r="Y1213" s="2994">
        <v>0</v>
      </c>
      <c r="Z1213" s="2994">
        <v>0</v>
      </c>
      <c r="AA1213" s="2994">
        <v>0</v>
      </c>
      <c r="AB1213" s="2994">
        <v>0</v>
      </c>
      <c r="AC1213" s="2994">
        <v>0</v>
      </c>
      <c r="AD1213" s="2994">
        <v>0</v>
      </c>
      <c r="AE1213" s="2994">
        <v>0</v>
      </c>
      <c r="AF1213" s="2994">
        <v>0</v>
      </c>
      <c r="AG1213" s="2994">
        <v>0</v>
      </c>
      <c r="AH1213" s="2994">
        <v>0</v>
      </c>
      <c r="AI1213" s="2994">
        <v>0</v>
      </c>
      <c r="AJ1213" s="2994">
        <v>0</v>
      </c>
      <c r="AK1213" s="2994">
        <v>0</v>
      </c>
      <c r="AL1213" s="2994">
        <v>0</v>
      </c>
      <c r="AM1213" s="2994">
        <v>0</v>
      </c>
      <c r="AN1213" s="2994">
        <v>0</v>
      </c>
      <c r="AO1213" s="2994">
        <v>0</v>
      </c>
      <c r="AP1213" s="2994">
        <v>0</v>
      </c>
      <c r="AQ1213" s="2994">
        <v>0</v>
      </c>
      <c r="AR1213" s="2994">
        <v>0</v>
      </c>
      <c r="AS1213" s="2994">
        <v>0</v>
      </c>
      <c r="AT1213" s="2994">
        <v>0</v>
      </c>
      <c r="AU1213" s="2994">
        <v>0</v>
      </c>
      <c r="AV1213" s="2994">
        <v>0.2</v>
      </c>
      <c r="AW1213" s="2994">
        <v>1</v>
      </c>
      <c r="AX1213" s="2994">
        <v>0.57140000000000002</v>
      </c>
      <c r="AY1213" s="2994">
        <v>0.66669999999999996</v>
      </c>
      <c r="AZ1213" s="2994">
        <v>1</v>
      </c>
      <c r="BA1213" s="2994">
        <v>1.6667000000000001</v>
      </c>
      <c r="BB1213" s="2994">
        <v>0.8</v>
      </c>
      <c r="BC1213" s="2994">
        <v>0.66669999999999996</v>
      </c>
      <c r="BD1213" s="3471">
        <v>0.3</v>
      </c>
      <c r="BE1213" s="3471">
        <v>0.625</v>
      </c>
      <c r="BF1213" s="3471">
        <v>0</v>
      </c>
    </row>
    <row r="1214" spans="1:58">
      <c r="A1214" s="1817" t="str">
        <f t="shared" si="37"/>
        <v>Eastern EuropeFruit, stone nes</v>
      </c>
      <c r="B1214" s="1818" t="s">
        <v>302</v>
      </c>
      <c r="C1214" s="1818" t="s">
        <v>7326</v>
      </c>
      <c r="D1214" s="3463" t="str">
        <f>VLOOKUP(B1214,List_Yield!$G$4:$J$14,4,FALSE)</f>
        <v>Eastern Europe</v>
      </c>
      <c r="E1214" s="3463" t="str">
        <f t="shared" si="38"/>
        <v>Eastern EuropeFruit, stone nes</v>
      </c>
      <c r="F1214" s="2994">
        <v>130.15710000000001</v>
      </c>
      <c r="G1214" s="2994">
        <v>34.764699999999998</v>
      </c>
      <c r="H1214" s="2994">
        <v>25.9</v>
      </c>
      <c r="I1214" s="2994">
        <v>21.164999999999999</v>
      </c>
      <c r="J1214" s="2994">
        <v>30.666699999999999</v>
      </c>
      <c r="K1214" s="2994">
        <v>75.569199999999995</v>
      </c>
      <c r="L1214" s="2994">
        <v>40.104300000000002</v>
      </c>
      <c r="M1214" s="2994">
        <v>38.678100000000001</v>
      </c>
      <c r="N1214" s="2994">
        <v>45.283999999999999</v>
      </c>
      <c r="O1214" s="2994">
        <v>42.023800000000001</v>
      </c>
      <c r="P1214" s="2994">
        <v>36.321100000000001</v>
      </c>
      <c r="Q1214" s="2994">
        <v>22.4773</v>
      </c>
      <c r="R1214" s="2994">
        <v>30.186800000000002</v>
      </c>
      <c r="S1214" s="2994">
        <v>17.618500000000001</v>
      </c>
      <c r="T1214" s="2994">
        <v>27.709700000000002</v>
      </c>
      <c r="U1214" s="2994">
        <v>39.840000000000003</v>
      </c>
      <c r="V1214" s="2994">
        <v>77.13</v>
      </c>
      <c r="W1214" s="2994">
        <v>45.581299999999999</v>
      </c>
      <c r="X1214" s="2994">
        <v>63.158299999999997</v>
      </c>
      <c r="Y1214" s="2994">
        <v>187.82859999999999</v>
      </c>
      <c r="Z1214" s="2994">
        <v>1681.2</v>
      </c>
      <c r="AA1214" s="2994">
        <v>967.75</v>
      </c>
      <c r="AB1214" s="2994">
        <v>833.4</v>
      </c>
      <c r="AC1214" s="2994">
        <v>825.08</v>
      </c>
      <c r="AD1214" s="2994">
        <v>2.2505000000000002</v>
      </c>
      <c r="AE1214" s="2994">
        <v>4.2923</v>
      </c>
      <c r="AF1214" s="2994">
        <v>1.6513</v>
      </c>
      <c r="AG1214" s="2994">
        <v>3.0278</v>
      </c>
      <c r="AH1214" s="2994">
        <v>3.2498999999999998</v>
      </c>
      <c r="AI1214" s="2994">
        <v>2.1650999999999998</v>
      </c>
      <c r="AJ1214" s="2994">
        <v>2.4599000000000002</v>
      </c>
      <c r="AK1214" s="2994">
        <v>4.2558999999999996</v>
      </c>
      <c r="AL1214" s="2994">
        <v>5.1226000000000003</v>
      </c>
      <c r="AM1214" s="2994">
        <v>3.6981000000000002</v>
      </c>
      <c r="AN1214" s="2994">
        <v>4.2187999999999999</v>
      </c>
      <c r="AO1214" s="2994">
        <v>4.1529999999999996</v>
      </c>
      <c r="AP1214" s="2994">
        <v>4.7134999999999998</v>
      </c>
      <c r="AQ1214" s="2994">
        <v>4.6806000000000001</v>
      </c>
      <c r="AR1214" s="2994">
        <v>4.6429</v>
      </c>
      <c r="AS1214" s="2994">
        <v>4.1555999999999997</v>
      </c>
      <c r="AT1214" s="2994">
        <v>3.8308</v>
      </c>
      <c r="AU1214" s="2994">
        <v>4.75</v>
      </c>
      <c r="AV1214" s="2994">
        <v>3.2372999999999998</v>
      </c>
      <c r="AW1214" s="2994">
        <v>4.7826000000000004</v>
      </c>
      <c r="AX1214" s="2994">
        <v>4.125</v>
      </c>
      <c r="AY1214" s="2994">
        <v>3.8811</v>
      </c>
      <c r="AZ1214" s="2994">
        <v>3.7555000000000001</v>
      </c>
      <c r="BA1214" s="2994">
        <v>4.8670999999999998</v>
      </c>
      <c r="BB1214" s="2994">
        <v>4.4081999999999999</v>
      </c>
      <c r="BC1214" s="2994">
        <v>4.7309000000000001</v>
      </c>
      <c r="BD1214" s="3471">
        <v>4.8369999999999997</v>
      </c>
      <c r="BE1214" s="3471">
        <v>4.84</v>
      </c>
      <c r="BF1214" s="3471">
        <v>0</v>
      </c>
    </row>
    <row r="1215" spans="1:58">
      <c r="A1215" s="1817" t="str">
        <f t="shared" si="37"/>
        <v>Eastern EuropeFruit, tropical fresh nes</v>
      </c>
      <c r="B1215" s="1818" t="s">
        <v>302</v>
      </c>
      <c r="C1215" s="1818" t="s">
        <v>7327</v>
      </c>
      <c r="D1215" s="3463" t="str">
        <f>VLOOKUP(B1215,List_Yield!$G$4:$J$14,4,FALSE)</f>
        <v>Eastern Europe</v>
      </c>
      <c r="E1215" s="3463" t="str">
        <f t="shared" si="38"/>
        <v>Eastern EuropeFruit, tropical fresh nes</v>
      </c>
      <c r="F1215" s="2994">
        <v>0</v>
      </c>
      <c r="G1215" s="2994">
        <v>0</v>
      </c>
      <c r="H1215" s="2994">
        <v>0</v>
      </c>
      <c r="I1215" s="2994">
        <v>0</v>
      </c>
      <c r="J1215" s="2994">
        <v>0</v>
      </c>
      <c r="K1215" s="2994">
        <v>0</v>
      </c>
      <c r="L1215" s="2994">
        <v>0</v>
      </c>
      <c r="M1215" s="2994">
        <v>0</v>
      </c>
      <c r="N1215" s="2994">
        <v>0</v>
      </c>
      <c r="O1215" s="2994">
        <v>0</v>
      </c>
      <c r="P1215" s="2994">
        <v>0</v>
      </c>
      <c r="Q1215" s="2994">
        <v>0</v>
      </c>
      <c r="R1215" s="2994">
        <v>0</v>
      </c>
      <c r="S1215" s="2994">
        <v>0</v>
      </c>
      <c r="T1215" s="2994">
        <v>0</v>
      </c>
      <c r="U1215" s="2994">
        <v>0</v>
      </c>
      <c r="V1215" s="2994">
        <v>0</v>
      </c>
      <c r="W1215" s="2994">
        <v>0</v>
      </c>
      <c r="X1215" s="2994">
        <v>0</v>
      </c>
      <c r="Y1215" s="2994">
        <v>0</v>
      </c>
      <c r="Z1215" s="2994">
        <v>0</v>
      </c>
      <c r="AA1215" s="2994">
        <v>0</v>
      </c>
      <c r="AB1215" s="2994">
        <v>0</v>
      </c>
      <c r="AC1215" s="2994">
        <v>0</v>
      </c>
      <c r="AD1215" s="2994">
        <v>0</v>
      </c>
      <c r="AE1215" s="2994">
        <v>0</v>
      </c>
      <c r="AF1215" s="2994">
        <v>0</v>
      </c>
      <c r="AG1215" s="2994">
        <v>0</v>
      </c>
      <c r="AH1215" s="2994">
        <v>0</v>
      </c>
      <c r="AI1215" s="2994">
        <v>0</v>
      </c>
      <c r="AJ1215" s="2994">
        <v>0</v>
      </c>
      <c r="AK1215" s="2994">
        <v>0</v>
      </c>
      <c r="AL1215" s="2994">
        <v>0</v>
      </c>
      <c r="AM1215" s="2994">
        <v>0</v>
      </c>
      <c r="AN1215" s="2994">
        <v>0</v>
      </c>
      <c r="AO1215" s="2994">
        <v>0</v>
      </c>
      <c r="AP1215" s="2994">
        <v>0</v>
      </c>
      <c r="AQ1215" s="2994">
        <v>0</v>
      </c>
      <c r="AR1215" s="2994">
        <v>0</v>
      </c>
      <c r="AS1215" s="2994">
        <v>0</v>
      </c>
      <c r="AT1215" s="2994">
        <v>0</v>
      </c>
      <c r="AU1215" s="2994">
        <v>0</v>
      </c>
      <c r="AV1215" s="2994">
        <v>0</v>
      </c>
      <c r="AW1215" s="2994">
        <v>0</v>
      </c>
      <c r="AX1215" s="2994">
        <v>0</v>
      </c>
      <c r="AY1215" s="2994">
        <v>0</v>
      </c>
      <c r="AZ1215" s="2994">
        <v>0</v>
      </c>
      <c r="BA1215" s="2994">
        <v>0</v>
      </c>
      <c r="BB1215" s="2994">
        <v>0</v>
      </c>
      <c r="BC1215" s="2994">
        <v>0</v>
      </c>
      <c r="BD1215" s="3471">
        <v>0</v>
      </c>
      <c r="BE1215" s="3471">
        <v>0</v>
      </c>
      <c r="BF1215" s="3471">
        <v>0</v>
      </c>
    </row>
    <row r="1216" spans="1:58">
      <c r="A1216" s="1817" t="str">
        <f t="shared" si="37"/>
        <v>Eastern EuropeGarlic</v>
      </c>
      <c r="B1216" s="1818" t="s">
        <v>302</v>
      </c>
      <c r="C1216" s="1818" t="s">
        <v>7328</v>
      </c>
      <c r="D1216" s="3463" t="str">
        <f>VLOOKUP(B1216,List_Yield!$G$4:$J$14,4,FALSE)</f>
        <v>Eastern Europe</v>
      </c>
      <c r="E1216" s="3463" t="str">
        <f t="shared" si="38"/>
        <v>Eastern EuropeGarlic</v>
      </c>
      <c r="F1216" s="2994">
        <v>2.5897999999999999</v>
      </c>
      <c r="G1216" s="2994">
        <v>2.2000000000000002</v>
      </c>
      <c r="H1216" s="2994">
        <v>2.3368000000000002</v>
      </c>
      <c r="I1216" s="2994">
        <v>2.5550000000000002</v>
      </c>
      <c r="J1216" s="2994">
        <v>2.5756000000000001</v>
      </c>
      <c r="K1216" s="2994">
        <v>2.8363</v>
      </c>
      <c r="L1216" s="2994">
        <v>2.8660000000000001</v>
      </c>
      <c r="M1216" s="2994">
        <v>2.1642000000000001</v>
      </c>
      <c r="N1216" s="2994">
        <v>2.3176999999999999</v>
      </c>
      <c r="O1216" s="2994">
        <v>2.8462999999999998</v>
      </c>
      <c r="P1216" s="2994">
        <v>2.9108999999999998</v>
      </c>
      <c r="Q1216" s="2994">
        <v>2.5268999999999999</v>
      </c>
      <c r="R1216" s="2994">
        <v>2.8481999999999998</v>
      </c>
      <c r="S1216" s="2994">
        <v>2.7259000000000002</v>
      </c>
      <c r="T1216" s="2994">
        <v>2.8035999999999999</v>
      </c>
      <c r="U1216" s="2994">
        <v>2.9106999999999998</v>
      </c>
      <c r="V1216" s="2994">
        <v>3.0253000000000001</v>
      </c>
      <c r="W1216" s="2994">
        <v>3.3723000000000001</v>
      </c>
      <c r="X1216" s="2994">
        <v>2.6453000000000002</v>
      </c>
      <c r="Y1216" s="2994">
        <v>2.3828999999999998</v>
      </c>
      <c r="Z1216" s="2994">
        <v>2.6951999999999998</v>
      </c>
      <c r="AA1216" s="2994">
        <v>3.6116000000000001</v>
      </c>
      <c r="AB1216" s="2994">
        <v>3.7351000000000001</v>
      </c>
      <c r="AC1216" s="2994">
        <v>4.4650999999999996</v>
      </c>
      <c r="AD1216" s="2994">
        <v>4.3983999999999996</v>
      </c>
      <c r="AE1216" s="2994">
        <v>3.9613999999999998</v>
      </c>
      <c r="AF1216" s="2994">
        <v>3.7098</v>
      </c>
      <c r="AG1216" s="2994">
        <v>4.1779999999999999</v>
      </c>
      <c r="AH1216" s="2994">
        <v>3.9239999999999999</v>
      </c>
      <c r="AI1216" s="2994">
        <v>3.0661</v>
      </c>
      <c r="AJ1216" s="2994">
        <v>3.2469999999999999</v>
      </c>
      <c r="AK1216" s="2994">
        <v>4.6867000000000001</v>
      </c>
      <c r="AL1216" s="2994">
        <v>4.1669999999999998</v>
      </c>
      <c r="AM1216" s="2994">
        <v>3.9251</v>
      </c>
      <c r="AN1216" s="2994">
        <v>4.7</v>
      </c>
      <c r="AO1216" s="2994">
        <v>4.4874999999999998</v>
      </c>
      <c r="AP1216" s="2994">
        <v>5.0384000000000002</v>
      </c>
      <c r="AQ1216" s="2994">
        <v>5.1833999999999998</v>
      </c>
      <c r="AR1216" s="2994">
        <v>5.3826000000000001</v>
      </c>
      <c r="AS1216" s="2994">
        <v>5.6275000000000004</v>
      </c>
      <c r="AT1216" s="2994">
        <v>6.2306999999999997</v>
      </c>
      <c r="AU1216" s="2994">
        <v>6.3586</v>
      </c>
      <c r="AV1216" s="2994">
        <v>6.1116999999999999</v>
      </c>
      <c r="AW1216" s="2994">
        <v>7.3536999999999999</v>
      </c>
      <c r="AX1216" s="2994">
        <v>7.5662000000000003</v>
      </c>
      <c r="AY1216" s="2994">
        <v>7.6315</v>
      </c>
      <c r="AZ1216" s="2994">
        <v>7.2773000000000003</v>
      </c>
      <c r="BA1216" s="2994">
        <v>7.7408000000000001</v>
      </c>
      <c r="BB1216" s="2994">
        <v>7.4706000000000001</v>
      </c>
      <c r="BC1216" s="2994">
        <v>7.5279999999999996</v>
      </c>
      <c r="BD1216" s="3471">
        <v>7.7103000000000002</v>
      </c>
      <c r="BE1216" s="3471">
        <v>7.4570999999999996</v>
      </c>
      <c r="BF1216" s="3471">
        <v>0</v>
      </c>
    </row>
    <row r="1217" spans="1:58">
      <c r="A1217" s="1817" t="str">
        <f t="shared" si="37"/>
        <v>Eastern EuropeGinger</v>
      </c>
      <c r="B1217" s="1818" t="s">
        <v>302</v>
      </c>
      <c r="C1217" s="1818" t="s">
        <v>7329</v>
      </c>
      <c r="D1217" s="3463" t="str">
        <f>VLOOKUP(B1217,List_Yield!$G$4:$J$14,4,FALSE)</f>
        <v>Eastern Europe</v>
      </c>
      <c r="E1217" s="3463" t="str">
        <f t="shared" si="38"/>
        <v>Eastern EuropeGinger</v>
      </c>
      <c r="F1217" s="2994">
        <v>0</v>
      </c>
      <c r="G1217" s="2994">
        <v>0</v>
      </c>
      <c r="H1217" s="2994">
        <v>0</v>
      </c>
      <c r="I1217" s="2994">
        <v>0</v>
      </c>
      <c r="J1217" s="2994">
        <v>0</v>
      </c>
      <c r="K1217" s="2994">
        <v>0</v>
      </c>
      <c r="L1217" s="2994">
        <v>0</v>
      </c>
      <c r="M1217" s="2994">
        <v>0</v>
      </c>
      <c r="N1217" s="2994">
        <v>0</v>
      </c>
      <c r="O1217" s="2994">
        <v>0</v>
      </c>
      <c r="P1217" s="2994">
        <v>0</v>
      </c>
      <c r="Q1217" s="2994">
        <v>0</v>
      </c>
      <c r="R1217" s="2994">
        <v>0</v>
      </c>
      <c r="S1217" s="2994">
        <v>0</v>
      </c>
      <c r="T1217" s="2994">
        <v>0</v>
      </c>
      <c r="U1217" s="2994">
        <v>0</v>
      </c>
      <c r="V1217" s="2994">
        <v>0</v>
      </c>
      <c r="W1217" s="2994">
        <v>0</v>
      </c>
      <c r="X1217" s="2994">
        <v>0</v>
      </c>
      <c r="Y1217" s="2994">
        <v>0</v>
      </c>
      <c r="Z1217" s="2994">
        <v>0</v>
      </c>
      <c r="AA1217" s="2994">
        <v>0</v>
      </c>
      <c r="AB1217" s="2994">
        <v>0</v>
      </c>
      <c r="AC1217" s="2994">
        <v>0</v>
      </c>
      <c r="AD1217" s="2994">
        <v>0</v>
      </c>
      <c r="AE1217" s="2994">
        <v>0</v>
      </c>
      <c r="AF1217" s="2994">
        <v>0</v>
      </c>
      <c r="AG1217" s="2994">
        <v>0</v>
      </c>
      <c r="AH1217" s="2994">
        <v>0</v>
      </c>
      <c r="AI1217" s="2994">
        <v>0</v>
      </c>
      <c r="AJ1217" s="2994">
        <v>0</v>
      </c>
      <c r="AK1217" s="2994">
        <v>0</v>
      </c>
      <c r="AL1217" s="2994">
        <v>0</v>
      </c>
      <c r="AM1217" s="2994">
        <v>0</v>
      </c>
      <c r="AN1217" s="2994">
        <v>0</v>
      </c>
      <c r="AO1217" s="2994">
        <v>0</v>
      </c>
      <c r="AP1217" s="2994">
        <v>0</v>
      </c>
      <c r="AQ1217" s="2994">
        <v>0</v>
      </c>
      <c r="AR1217" s="2994">
        <v>0</v>
      </c>
      <c r="AS1217" s="2994">
        <v>0</v>
      </c>
      <c r="AT1217" s="2994">
        <v>0</v>
      </c>
      <c r="AU1217" s="2994">
        <v>0</v>
      </c>
      <c r="AV1217" s="2994">
        <v>0</v>
      </c>
      <c r="AW1217" s="2994">
        <v>0</v>
      </c>
      <c r="AX1217" s="2994">
        <v>0</v>
      </c>
      <c r="AY1217" s="2994">
        <v>0</v>
      </c>
      <c r="AZ1217" s="2994">
        <v>0</v>
      </c>
      <c r="BA1217" s="2994">
        <v>0</v>
      </c>
      <c r="BB1217" s="2994">
        <v>0</v>
      </c>
      <c r="BC1217" s="2994">
        <v>0</v>
      </c>
      <c r="BD1217" s="3471">
        <v>0</v>
      </c>
      <c r="BE1217" s="3471">
        <v>0</v>
      </c>
      <c r="BF1217" s="3471">
        <v>0</v>
      </c>
    </row>
    <row r="1218" spans="1:58">
      <c r="A1218" s="1817" t="str">
        <f t="shared" ref="A1218:A1281" si="39">CONCATENATE(B1218,C1218)</f>
        <v>Eastern EuropeGooseberries</v>
      </c>
      <c r="B1218" s="1818" t="s">
        <v>302</v>
      </c>
      <c r="C1218" s="1818" t="s">
        <v>7330</v>
      </c>
      <c r="D1218" s="3463" t="str">
        <f>VLOOKUP(B1218,List_Yield!$G$4:$J$14,4,FALSE)</f>
        <v>Eastern Europe</v>
      </c>
      <c r="E1218" s="3463" t="str">
        <f t="shared" si="38"/>
        <v>Eastern EuropeGooseberries</v>
      </c>
      <c r="F1218" s="2994">
        <v>6.06</v>
      </c>
      <c r="G1218" s="2994">
        <v>6.16</v>
      </c>
      <c r="H1218" s="2994">
        <v>6.5332999999999997</v>
      </c>
      <c r="I1218" s="2994">
        <v>6.1379999999999999</v>
      </c>
      <c r="J1218" s="2994">
        <v>6.2996999999999996</v>
      </c>
      <c r="K1218" s="2994">
        <v>6.0125999999999999</v>
      </c>
      <c r="L1218" s="2994">
        <v>6.7385999999999999</v>
      </c>
      <c r="M1218" s="2994">
        <v>6.9862000000000002</v>
      </c>
      <c r="N1218" s="2994">
        <v>8.1183999999999994</v>
      </c>
      <c r="O1218" s="2994">
        <v>6.6654</v>
      </c>
      <c r="P1218" s="2994">
        <v>6.8960999999999997</v>
      </c>
      <c r="Q1218" s="2994">
        <v>7.0781000000000001</v>
      </c>
      <c r="R1218" s="2994">
        <v>7.3777999999999997</v>
      </c>
      <c r="S1218" s="2994">
        <v>8.0440000000000005</v>
      </c>
      <c r="T1218" s="2994">
        <v>7.6893000000000002</v>
      </c>
      <c r="U1218" s="2994">
        <v>7.577</v>
      </c>
      <c r="V1218" s="2994">
        <v>6.8437999999999999</v>
      </c>
      <c r="W1218" s="2994">
        <v>8.0264000000000006</v>
      </c>
      <c r="X1218" s="2994">
        <v>8.7182999999999993</v>
      </c>
      <c r="Y1218" s="2994">
        <v>7.9490999999999996</v>
      </c>
      <c r="Z1218" s="2994">
        <v>8.7578999999999994</v>
      </c>
      <c r="AA1218" s="2994">
        <v>10.58</v>
      </c>
      <c r="AB1218" s="2994">
        <v>10.5685</v>
      </c>
      <c r="AC1218" s="2994">
        <v>11.9024</v>
      </c>
      <c r="AD1218" s="2994">
        <v>5.7171000000000003</v>
      </c>
      <c r="AE1218" s="2994">
        <v>5.6203000000000003</v>
      </c>
      <c r="AF1218" s="2994">
        <v>5.8079999999999998</v>
      </c>
      <c r="AG1218" s="2994">
        <v>5.8212000000000002</v>
      </c>
      <c r="AH1218" s="2994">
        <v>5.9688999999999997</v>
      </c>
      <c r="AI1218" s="2994">
        <v>5.4325999999999999</v>
      </c>
      <c r="AJ1218" s="2994">
        <v>5.8620999999999999</v>
      </c>
      <c r="AK1218" s="2994">
        <v>5.8760000000000003</v>
      </c>
      <c r="AL1218" s="2994">
        <v>6.2274000000000003</v>
      </c>
      <c r="AM1218" s="2994">
        <v>6.2035999999999998</v>
      </c>
      <c r="AN1218" s="2994">
        <v>5.7896999999999998</v>
      </c>
      <c r="AO1218" s="2994">
        <v>5.78</v>
      </c>
      <c r="AP1218" s="2994">
        <v>5.5620000000000003</v>
      </c>
      <c r="AQ1218" s="2994">
        <v>6.1943000000000001</v>
      </c>
      <c r="AR1218" s="2994">
        <v>5.6824000000000003</v>
      </c>
      <c r="AS1218" s="2994">
        <v>5.2103999999999999</v>
      </c>
      <c r="AT1218" s="2994">
        <v>4.6341000000000001</v>
      </c>
      <c r="AU1218" s="2994">
        <v>4.2667000000000002</v>
      </c>
      <c r="AV1218" s="2994">
        <v>4.1970000000000001</v>
      </c>
      <c r="AW1218" s="2994">
        <v>4.1700999999999997</v>
      </c>
      <c r="AX1218" s="2994">
        <v>4.2877999999999998</v>
      </c>
      <c r="AY1218" s="2994">
        <v>4.3883999999999999</v>
      </c>
      <c r="AZ1218" s="2994">
        <v>4.3331</v>
      </c>
      <c r="BA1218" s="2994">
        <v>4.5781000000000001</v>
      </c>
      <c r="BB1218" s="2994">
        <v>4.6753999999999998</v>
      </c>
      <c r="BC1218" s="2994">
        <v>4.1757</v>
      </c>
      <c r="BD1218" s="3471">
        <v>4.6703999999999999</v>
      </c>
      <c r="BE1218" s="3471">
        <v>4.8895</v>
      </c>
      <c r="BF1218" s="3471">
        <v>0</v>
      </c>
    </row>
    <row r="1219" spans="1:58">
      <c r="A1219" s="1817" t="str">
        <f t="shared" si="39"/>
        <v>Eastern EuropeGrain, mixed</v>
      </c>
      <c r="B1219" s="1818" t="s">
        <v>302</v>
      </c>
      <c r="C1219" s="1818" t="s">
        <v>7331</v>
      </c>
      <c r="D1219" s="3463" t="str">
        <f>VLOOKUP(B1219,List_Yield!$G$4:$J$14,4,FALSE)</f>
        <v>Eastern Europe</v>
      </c>
      <c r="E1219" s="3463" t="str">
        <f t="shared" si="38"/>
        <v>Eastern EuropeGrain, mixed</v>
      </c>
      <c r="F1219" s="2994">
        <v>1.2467999999999999</v>
      </c>
      <c r="G1219" s="2994">
        <v>1.2942</v>
      </c>
      <c r="H1219" s="2994">
        <v>1.2212000000000001</v>
      </c>
      <c r="I1219" s="2994">
        <v>1.3406</v>
      </c>
      <c r="J1219" s="2994">
        <v>1.6855</v>
      </c>
      <c r="K1219" s="2994">
        <v>1.6426000000000001</v>
      </c>
      <c r="L1219" s="2994">
        <v>1.7815000000000001</v>
      </c>
      <c r="M1219" s="2994">
        <v>1.8944000000000001</v>
      </c>
      <c r="N1219" s="2994">
        <v>1.8980999999999999</v>
      </c>
      <c r="O1219" s="2994">
        <v>1.9037999999999999</v>
      </c>
      <c r="P1219" s="2994">
        <v>2.2069999999999999</v>
      </c>
      <c r="Q1219" s="2994">
        <v>2.1880000000000002</v>
      </c>
      <c r="R1219" s="2994">
        <v>2.573</v>
      </c>
      <c r="S1219" s="2994">
        <v>2.8008999999999999</v>
      </c>
      <c r="T1219" s="2994">
        <v>2.3056999999999999</v>
      </c>
      <c r="U1219" s="2994">
        <v>2.5716999999999999</v>
      </c>
      <c r="V1219" s="2994">
        <v>2.4437000000000002</v>
      </c>
      <c r="W1219" s="2994">
        <v>2.4992999999999999</v>
      </c>
      <c r="X1219" s="2994">
        <v>2.1760000000000002</v>
      </c>
      <c r="Y1219" s="2994">
        <v>2.3643999999999998</v>
      </c>
      <c r="Z1219" s="2994">
        <v>2.4598</v>
      </c>
      <c r="AA1219" s="2994">
        <v>2.5550000000000002</v>
      </c>
      <c r="AB1219" s="2994">
        <v>2.3914</v>
      </c>
      <c r="AC1219" s="2994">
        <v>2.7296</v>
      </c>
      <c r="AD1219" s="2994">
        <v>2.7071000000000001</v>
      </c>
      <c r="AE1219" s="2994">
        <v>2.8203999999999998</v>
      </c>
      <c r="AF1219" s="2994">
        <v>2.9266000000000001</v>
      </c>
      <c r="AG1219" s="2994">
        <v>2.6776</v>
      </c>
      <c r="AH1219" s="2994">
        <v>2.8407</v>
      </c>
      <c r="AI1219" s="2994">
        <v>2.9388000000000001</v>
      </c>
      <c r="AJ1219" s="2994">
        <v>2.9563999999999999</v>
      </c>
      <c r="AK1219" s="2994">
        <v>2.0724999999999998</v>
      </c>
      <c r="AL1219" s="2994">
        <v>2.5491000000000001</v>
      </c>
      <c r="AM1219" s="2994">
        <v>2.3138999999999998</v>
      </c>
      <c r="AN1219" s="2994">
        <v>2.8115000000000001</v>
      </c>
      <c r="AO1219" s="2994">
        <v>2.7839999999999998</v>
      </c>
      <c r="AP1219" s="2994">
        <v>2.8679999999999999</v>
      </c>
      <c r="AQ1219" s="2994">
        <v>2.9232999999999998</v>
      </c>
      <c r="AR1219" s="2994">
        <v>2.8250000000000002</v>
      </c>
      <c r="AS1219" s="2994">
        <v>2.0857000000000001</v>
      </c>
      <c r="AT1219" s="2994">
        <v>2.7545000000000002</v>
      </c>
      <c r="AU1219" s="2994">
        <v>2.8056999999999999</v>
      </c>
      <c r="AV1219" s="2994">
        <v>2.4794999999999998</v>
      </c>
      <c r="AW1219" s="2994">
        <v>2.9529999999999998</v>
      </c>
      <c r="AX1219" s="2994">
        <v>2.7197</v>
      </c>
      <c r="AY1219" s="2994">
        <v>2.1819000000000002</v>
      </c>
      <c r="AZ1219" s="2994">
        <v>2.8256000000000001</v>
      </c>
      <c r="BA1219" s="2994">
        <v>2.5419</v>
      </c>
      <c r="BB1219" s="2994">
        <v>2.8734000000000002</v>
      </c>
      <c r="BC1219" s="2994">
        <v>3.0257000000000001</v>
      </c>
      <c r="BD1219" s="3471">
        <v>2.7892000000000001</v>
      </c>
      <c r="BE1219" s="3471">
        <v>3.0571000000000002</v>
      </c>
      <c r="BF1219" s="3471">
        <v>2.9769999999999999</v>
      </c>
    </row>
    <row r="1220" spans="1:58">
      <c r="A1220" s="1817" t="str">
        <f t="shared" si="39"/>
        <v>Eastern EuropeGrapefruit (inc. pomelos)</v>
      </c>
      <c r="B1220" s="1818" t="s">
        <v>302</v>
      </c>
      <c r="C1220" s="1818" t="s">
        <v>1351</v>
      </c>
      <c r="D1220" s="3463" t="str">
        <f>VLOOKUP(B1220,List_Yield!$G$4:$J$14,4,FALSE)</f>
        <v>Eastern Europe</v>
      </c>
      <c r="E1220" s="3463" t="str">
        <f t="shared" si="38"/>
        <v>Eastern EuropeGrapefruit (inc. pomelos)</v>
      </c>
      <c r="F1220" s="2994">
        <v>0</v>
      </c>
      <c r="G1220" s="2994">
        <v>0</v>
      </c>
      <c r="H1220" s="2994">
        <v>0</v>
      </c>
      <c r="I1220" s="2994">
        <v>0</v>
      </c>
      <c r="J1220" s="2994">
        <v>0</v>
      </c>
      <c r="K1220" s="2994">
        <v>0</v>
      </c>
      <c r="L1220" s="2994">
        <v>0</v>
      </c>
      <c r="M1220" s="2994">
        <v>0</v>
      </c>
      <c r="N1220" s="2994">
        <v>0</v>
      </c>
      <c r="O1220" s="2994">
        <v>0</v>
      </c>
      <c r="P1220" s="2994">
        <v>0</v>
      </c>
      <c r="Q1220" s="2994">
        <v>0</v>
      </c>
      <c r="R1220" s="2994">
        <v>0</v>
      </c>
      <c r="S1220" s="2994">
        <v>0</v>
      </c>
      <c r="T1220" s="2994">
        <v>0</v>
      </c>
      <c r="U1220" s="2994">
        <v>0</v>
      </c>
      <c r="V1220" s="2994">
        <v>0</v>
      </c>
      <c r="W1220" s="2994">
        <v>0</v>
      </c>
      <c r="X1220" s="2994">
        <v>0</v>
      </c>
      <c r="Y1220" s="2994">
        <v>0</v>
      </c>
      <c r="Z1220" s="2994">
        <v>0</v>
      </c>
      <c r="AA1220" s="2994">
        <v>0</v>
      </c>
      <c r="AB1220" s="2994">
        <v>0</v>
      </c>
      <c r="AC1220" s="2994">
        <v>0</v>
      </c>
      <c r="AD1220" s="2994">
        <v>0</v>
      </c>
      <c r="AE1220" s="2994">
        <v>0</v>
      </c>
      <c r="AF1220" s="2994">
        <v>0</v>
      </c>
      <c r="AG1220" s="2994">
        <v>0</v>
      </c>
      <c r="AH1220" s="2994">
        <v>0</v>
      </c>
      <c r="AI1220" s="2994">
        <v>0</v>
      </c>
      <c r="AJ1220" s="2994">
        <v>0</v>
      </c>
      <c r="AK1220" s="2994">
        <v>0</v>
      </c>
      <c r="AL1220" s="2994">
        <v>0</v>
      </c>
      <c r="AM1220" s="2994">
        <v>0</v>
      </c>
      <c r="AN1220" s="2994">
        <v>0</v>
      </c>
      <c r="AO1220" s="2994">
        <v>0</v>
      </c>
      <c r="AP1220" s="2994">
        <v>0</v>
      </c>
      <c r="AQ1220" s="2994">
        <v>0</v>
      </c>
      <c r="AR1220" s="2994">
        <v>0</v>
      </c>
      <c r="AS1220" s="2994">
        <v>0</v>
      </c>
      <c r="AT1220" s="2994">
        <v>0</v>
      </c>
      <c r="AU1220" s="2994">
        <v>0</v>
      </c>
      <c r="AV1220" s="2994">
        <v>0</v>
      </c>
      <c r="AW1220" s="2994">
        <v>0</v>
      </c>
      <c r="AX1220" s="2994">
        <v>0</v>
      </c>
      <c r="AY1220" s="2994">
        <v>0</v>
      </c>
      <c r="AZ1220" s="2994">
        <v>0</v>
      </c>
      <c r="BA1220" s="2994">
        <v>0</v>
      </c>
      <c r="BB1220" s="2994">
        <v>0</v>
      </c>
      <c r="BC1220" s="2994">
        <v>0</v>
      </c>
      <c r="BD1220" s="3471">
        <v>0</v>
      </c>
      <c r="BE1220" s="3471">
        <v>0</v>
      </c>
      <c r="BF1220" s="3471">
        <v>0</v>
      </c>
    </row>
    <row r="1221" spans="1:58">
      <c r="A1221" s="1817" t="str">
        <f t="shared" si="39"/>
        <v>Eastern EuropeGrapes</v>
      </c>
      <c r="B1221" s="1818" t="s">
        <v>302</v>
      </c>
      <c r="C1221" s="1818" t="s">
        <v>1352</v>
      </c>
      <c r="D1221" s="3463" t="str">
        <f>VLOOKUP(B1221,List_Yield!$G$4:$J$14,4,FALSE)</f>
        <v>Eastern Europe</v>
      </c>
      <c r="E1221" s="3463" t="str">
        <f t="shared" si="38"/>
        <v>Eastern EuropeGrapes</v>
      </c>
      <c r="F1221" s="2994">
        <v>3.5044</v>
      </c>
      <c r="G1221" s="2994">
        <v>4.3304999999999998</v>
      </c>
      <c r="H1221" s="2994">
        <v>3.9119000000000002</v>
      </c>
      <c r="I1221" s="2994">
        <v>3.641</v>
      </c>
      <c r="J1221" s="2994">
        <v>4.1951000000000001</v>
      </c>
      <c r="K1221" s="2994">
        <v>3.8611</v>
      </c>
      <c r="L1221" s="2994">
        <v>3.8811</v>
      </c>
      <c r="M1221" s="2994">
        <v>4.9668000000000001</v>
      </c>
      <c r="N1221" s="2994">
        <v>4.9172000000000002</v>
      </c>
      <c r="O1221" s="2994">
        <v>4.3764000000000003</v>
      </c>
      <c r="P1221" s="2994">
        <v>4.7244000000000002</v>
      </c>
      <c r="Q1221" s="2994">
        <v>3.7681</v>
      </c>
      <c r="R1221" s="2994">
        <v>5.7910000000000004</v>
      </c>
      <c r="S1221" s="2994">
        <v>5.1208999999999998</v>
      </c>
      <c r="T1221" s="2994">
        <v>5.5989000000000004</v>
      </c>
      <c r="U1221" s="2994">
        <v>6.0129000000000001</v>
      </c>
      <c r="V1221" s="2994">
        <v>5.0747999999999998</v>
      </c>
      <c r="W1221" s="2994">
        <v>5.9082999999999997</v>
      </c>
      <c r="X1221" s="2994">
        <v>6.4579000000000004</v>
      </c>
      <c r="Y1221" s="2994">
        <v>6.5366999999999997</v>
      </c>
      <c r="Z1221" s="2994">
        <v>6.9234999999999998</v>
      </c>
      <c r="AA1221" s="2994">
        <v>7.9112</v>
      </c>
      <c r="AB1221" s="2994">
        <v>6.5553999999999997</v>
      </c>
      <c r="AC1221" s="2994">
        <v>7.5891000000000002</v>
      </c>
      <c r="AD1221" s="2994">
        <v>5.2039</v>
      </c>
      <c r="AE1221" s="2994">
        <v>6.7455999999999996</v>
      </c>
      <c r="AF1221" s="2994">
        <v>5.9917999999999996</v>
      </c>
      <c r="AG1221" s="2994">
        <v>6.1102999999999996</v>
      </c>
      <c r="AH1221" s="2994">
        <v>5.1906999999999996</v>
      </c>
      <c r="AI1221" s="2994">
        <v>6.1063999999999998</v>
      </c>
      <c r="AJ1221" s="2994">
        <v>5.4093</v>
      </c>
      <c r="AK1221" s="2994">
        <v>4.8978999999999999</v>
      </c>
      <c r="AL1221" s="2994">
        <v>5.0618999999999996</v>
      </c>
      <c r="AM1221" s="2994">
        <v>4.0796000000000001</v>
      </c>
      <c r="AN1221" s="2994">
        <v>4.8795000000000002</v>
      </c>
      <c r="AO1221" s="2994">
        <v>5.2237</v>
      </c>
      <c r="AP1221" s="2994">
        <v>4.1452999999999998</v>
      </c>
      <c r="AQ1221" s="2994">
        <v>3.5215000000000001</v>
      </c>
      <c r="AR1221" s="2994">
        <v>3.9830999999999999</v>
      </c>
      <c r="AS1221" s="2994">
        <v>5.2076000000000002</v>
      </c>
      <c r="AT1221" s="2994">
        <v>4.5547000000000004</v>
      </c>
      <c r="AU1221" s="2994">
        <v>4.3994</v>
      </c>
      <c r="AV1221" s="2994">
        <v>4.9630000000000001</v>
      </c>
      <c r="AW1221" s="2994">
        <v>5.2995999999999999</v>
      </c>
      <c r="AX1221" s="2994">
        <v>3.8736999999999999</v>
      </c>
      <c r="AY1221" s="2994">
        <v>4.1931000000000003</v>
      </c>
      <c r="AZ1221" s="2994">
        <v>4.9307999999999996</v>
      </c>
      <c r="BA1221" s="2994">
        <v>5.2313000000000001</v>
      </c>
      <c r="BB1221" s="2994">
        <v>5.3262999999999998</v>
      </c>
      <c r="BC1221" s="2994">
        <v>4.2403000000000004</v>
      </c>
      <c r="BD1221" s="3471">
        <v>5.4082999999999997</v>
      </c>
      <c r="BE1221" s="3471">
        <v>4.5336999999999996</v>
      </c>
      <c r="BF1221" s="3471">
        <v>0</v>
      </c>
    </row>
    <row r="1222" spans="1:58">
      <c r="A1222" s="1817" t="str">
        <f t="shared" si="39"/>
        <v>Eastern EuropeGroundnuts, with shell</v>
      </c>
      <c r="B1222" s="1818" t="s">
        <v>302</v>
      </c>
      <c r="C1222" s="1818" t="s">
        <v>1353</v>
      </c>
      <c r="D1222" s="3463" t="str">
        <f>VLOOKUP(B1222,List_Yield!$G$4:$J$14,4,FALSE)</f>
        <v>Eastern Europe</v>
      </c>
      <c r="E1222" s="3463" t="str">
        <f t="shared" si="38"/>
        <v>Eastern EuropeGroundnuts, with shell</v>
      </c>
      <c r="F1222" s="2994">
        <v>0.81299999999999994</v>
      </c>
      <c r="G1222" s="2994">
        <v>1.0864</v>
      </c>
      <c r="H1222" s="2994">
        <v>0.95960000000000001</v>
      </c>
      <c r="I1222" s="2994">
        <v>1.4094</v>
      </c>
      <c r="J1222" s="2994">
        <v>1.0693999999999999</v>
      </c>
      <c r="K1222" s="2994">
        <v>1.4668000000000001</v>
      </c>
      <c r="L1222" s="2994">
        <v>1.2794000000000001</v>
      </c>
      <c r="M1222" s="2994">
        <v>1.129</v>
      </c>
      <c r="N1222" s="2994">
        <v>0.9244</v>
      </c>
      <c r="O1222" s="2994">
        <v>0.93930000000000002</v>
      </c>
      <c r="P1222" s="2994">
        <v>1.0992999999999999</v>
      </c>
      <c r="Q1222" s="2994">
        <v>1.7632000000000001</v>
      </c>
      <c r="R1222" s="2994">
        <v>1.8762000000000001</v>
      </c>
      <c r="S1222" s="2994">
        <v>1.6619999999999999</v>
      </c>
      <c r="T1222" s="2994">
        <v>2.0989</v>
      </c>
      <c r="U1222" s="2994">
        <v>1.1014999999999999</v>
      </c>
      <c r="V1222" s="2994">
        <v>1.3092999999999999</v>
      </c>
      <c r="W1222" s="2994">
        <v>0.86460000000000004</v>
      </c>
      <c r="X1222" s="2994">
        <v>1.2081999999999999</v>
      </c>
      <c r="Y1222" s="2994">
        <v>1.3611</v>
      </c>
      <c r="Z1222" s="2994">
        <v>1.5169999999999999</v>
      </c>
      <c r="AA1222" s="2994">
        <v>1.5943000000000001</v>
      </c>
      <c r="AB1222" s="2994">
        <v>1.5265</v>
      </c>
      <c r="AC1222" s="2994">
        <v>1.4713000000000001</v>
      </c>
      <c r="AD1222" s="2994">
        <v>1.1720999999999999</v>
      </c>
      <c r="AE1222" s="2994">
        <v>1.4410000000000001</v>
      </c>
      <c r="AF1222" s="2994">
        <v>1.2224999999999999</v>
      </c>
      <c r="AG1222" s="2994">
        <v>0.98170000000000002</v>
      </c>
      <c r="AH1222" s="2994">
        <v>1.0430999999999999</v>
      </c>
      <c r="AI1222" s="2994">
        <v>1.0047999999999999</v>
      </c>
      <c r="AJ1222" s="2994">
        <v>1.1940999999999999</v>
      </c>
      <c r="AK1222" s="2994">
        <v>1.2189000000000001</v>
      </c>
      <c r="AL1222" s="2994">
        <v>0.77159999999999995</v>
      </c>
      <c r="AM1222" s="2994">
        <v>0.6956</v>
      </c>
      <c r="AN1222" s="2994">
        <v>1.0411999999999999</v>
      </c>
      <c r="AO1222" s="2994">
        <v>0.81769999999999998</v>
      </c>
      <c r="AP1222" s="2994">
        <v>0.97729999999999995</v>
      </c>
      <c r="AQ1222" s="2994">
        <v>0.91620000000000001</v>
      </c>
      <c r="AR1222" s="2994">
        <v>0.90910000000000002</v>
      </c>
      <c r="AS1222" s="2994">
        <v>0.8</v>
      </c>
      <c r="AT1222" s="2994">
        <v>0.6</v>
      </c>
      <c r="AU1222" s="2994">
        <v>0.7</v>
      </c>
      <c r="AV1222" s="2994">
        <v>0.70030000000000003</v>
      </c>
      <c r="AW1222" s="2994">
        <v>0.77839999999999998</v>
      </c>
      <c r="AX1222" s="2994">
        <v>0.70030000000000003</v>
      </c>
      <c r="AY1222" s="2994">
        <v>0.70030000000000003</v>
      </c>
      <c r="AZ1222" s="2994">
        <v>0.70020000000000004</v>
      </c>
      <c r="BA1222" s="2994">
        <v>0.70020000000000004</v>
      </c>
      <c r="BB1222" s="2994">
        <v>0.70069999999999999</v>
      </c>
      <c r="BC1222" s="2994">
        <v>0.7006</v>
      </c>
      <c r="BD1222" s="3471">
        <v>0.7006</v>
      </c>
      <c r="BE1222" s="3471">
        <v>0.70040000000000002</v>
      </c>
      <c r="BF1222" s="3471">
        <v>0.70030000000000003</v>
      </c>
    </row>
    <row r="1223" spans="1:58">
      <c r="A1223" s="1817" t="str">
        <f t="shared" si="39"/>
        <v>Eastern EuropeHazelnuts, with shell</v>
      </c>
      <c r="B1223" s="1818" t="s">
        <v>302</v>
      </c>
      <c r="C1223" s="1818" t="s">
        <v>7332</v>
      </c>
      <c r="D1223" s="3463" t="str">
        <f>VLOOKUP(B1223,List_Yield!$G$4:$J$14,4,FALSE)</f>
        <v>Eastern Europe</v>
      </c>
      <c r="E1223" s="3463" t="str">
        <f t="shared" si="38"/>
        <v>Eastern EuropeHazelnuts, with shell</v>
      </c>
      <c r="F1223" s="2994">
        <v>0</v>
      </c>
      <c r="G1223" s="2994">
        <v>0</v>
      </c>
      <c r="H1223" s="2994">
        <v>0</v>
      </c>
      <c r="I1223" s="2994">
        <v>0</v>
      </c>
      <c r="J1223" s="2994">
        <v>0</v>
      </c>
      <c r="K1223" s="2994">
        <v>0</v>
      </c>
      <c r="L1223" s="2994">
        <v>0</v>
      </c>
      <c r="M1223" s="2994">
        <v>0</v>
      </c>
      <c r="N1223" s="2994">
        <v>0</v>
      </c>
      <c r="O1223" s="2994">
        <v>0</v>
      </c>
      <c r="P1223" s="2994">
        <v>0</v>
      </c>
      <c r="Q1223" s="2994">
        <v>0</v>
      </c>
      <c r="R1223" s="2994">
        <v>0</v>
      </c>
      <c r="S1223" s="2994">
        <v>0</v>
      </c>
      <c r="T1223" s="2994">
        <v>0</v>
      </c>
      <c r="U1223" s="2994">
        <v>0</v>
      </c>
      <c r="V1223" s="2994">
        <v>0</v>
      </c>
      <c r="W1223" s="2994">
        <v>0</v>
      </c>
      <c r="X1223" s="2994">
        <v>0</v>
      </c>
      <c r="Y1223" s="2994">
        <v>0</v>
      </c>
      <c r="Z1223" s="2994">
        <v>0</v>
      </c>
      <c r="AA1223" s="2994">
        <v>0</v>
      </c>
      <c r="AB1223" s="2994">
        <v>0</v>
      </c>
      <c r="AC1223" s="2994">
        <v>0</v>
      </c>
      <c r="AD1223" s="2994">
        <v>1.2554000000000001</v>
      </c>
      <c r="AE1223" s="2994">
        <v>1.2604</v>
      </c>
      <c r="AF1223" s="2994">
        <v>1.276</v>
      </c>
      <c r="AG1223" s="2994">
        <v>1.2654000000000001</v>
      </c>
      <c r="AH1223" s="2994">
        <v>1.2786999999999999</v>
      </c>
      <c r="AI1223" s="2994">
        <v>1.2751999999999999</v>
      </c>
      <c r="AJ1223" s="2994">
        <v>1.2678</v>
      </c>
      <c r="AK1223" s="2994">
        <v>1.2137</v>
      </c>
      <c r="AL1223" s="2994">
        <v>1.1368</v>
      </c>
      <c r="AM1223" s="2994">
        <v>0.92830000000000001</v>
      </c>
      <c r="AN1223" s="2994">
        <v>0.87090000000000001</v>
      </c>
      <c r="AO1223" s="2994">
        <v>1.0066999999999999</v>
      </c>
      <c r="AP1223" s="2994">
        <v>1.234</v>
      </c>
      <c r="AQ1223" s="2994">
        <v>1.6831</v>
      </c>
      <c r="AR1223" s="2994">
        <v>1.357</v>
      </c>
      <c r="AS1223" s="2994">
        <v>1.2428999999999999</v>
      </c>
      <c r="AT1223" s="2994">
        <v>1.3684000000000001</v>
      </c>
      <c r="AU1223" s="2994">
        <v>1.1560999999999999</v>
      </c>
      <c r="AV1223" s="2994">
        <v>1.3028</v>
      </c>
      <c r="AW1223" s="2994">
        <v>1.1376999999999999</v>
      </c>
      <c r="AX1223" s="2994">
        <v>1.0174000000000001</v>
      </c>
      <c r="AY1223" s="2994">
        <v>0.95320000000000005</v>
      </c>
      <c r="AZ1223" s="2994">
        <v>0.81710000000000005</v>
      </c>
      <c r="BA1223" s="2994">
        <v>0.82640000000000002</v>
      </c>
      <c r="BB1223" s="2994">
        <v>0.88370000000000004</v>
      </c>
      <c r="BC1223" s="2994">
        <v>0.76019999999999999</v>
      </c>
      <c r="BD1223" s="3471">
        <v>0.79300000000000004</v>
      </c>
      <c r="BE1223" s="3471">
        <v>0.78590000000000004</v>
      </c>
      <c r="BF1223" s="3471">
        <v>0</v>
      </c>
    </row>
    <row r="1224" spans="1:58">
      <c r="A1224" s="1817" t="str">
        <f t="shared" si="39"/>
        <v>Eastern EuropeHemp tow waste</v>
      </c>
      <c r="B1224" s="1818" t="s">
        <v>302</v>
      </c>
      <c r="C1224" s="1818" t="s">
        <v>7333</v>
      </c>
      <c r="D1224" s="3463" t="str">
        <f>VLOOKUP(B1224,List_Yield!$G$4:$J$14,4,FALSE)</f>
        <v>Eastern Europe</v>
      </c>
      <c r="E1224" s="3463" t="str">
        <f t="shared" si="38"/>
        <v>Eastern EuropeHemp tow waste</v>
      </c>
      <c r="F1224" s="2994">
        <v>0.58420000000000005</v>
      </c>
      <c r="G1224" s="2994">
        <v>0.54969999999999997</v>
      </c>
      <c r="H1224" s="2994">
        <v>0.5706</v>
      </c>
      <c r="I1224" s="2994">
        <v>0.5494</v>
      </c>
      <c r="J1224" s="2994">
        <v>0.50590000000000002</v>
      </c>
      <c r="K1224" s="2994">
        <v>0.59240000000000004</v>
      </c>
      <c r="L1224" s="2994">
        <v>0.60319999999999996</v>
      </c>
      <c r="M1224" s="2994">
        <v>0.58120000000000005</v>
      </c>
      <c r="N1224" s="2994">
        <v>0.58579999999999999</v>
      </c>
      <c r="O1224" s="2994">
        <v>0.55989999999999995</v>
      </c>
      <c r="P1224" s="2994">
        <v>0.62080000000000002</v>
      </c>
      <c r="Q1224" s="2994">
        <v>0.59019999999999995</v>
      </c>
      <c r="R1224" s="2994">
        <v>0.62050000000000005</v>
      </c>
      <c r="S1224" s="2994">
        <v>0.58130000000000004</v>
      </c>
      <c r="T1224" s="2994">
        <v>0.55359999999999998</v>
      </c>
      <c r="U1224" s="2994">
        <v>0.57050000000000001</v>
      </c>
      <c r="V1224" s="2994">
        <v>0.60289999999999999</v>
      </c>
      <c r="W1224" s="2994">
        <v>0.47060000000000002</v>
      </c>
      <c r="X1224" s="2994">
        <v>0.4471</v>
      </c>
      <c r="Y1224" s="2994">
        <v>0.37519999999999998</v>
      </c>
      <c r="Z1224" s="2994">
        <v>0.40810000000000002</v>
      </c>
      <c r="AA1224" s="2994">
        <v>0.45029999999999998</v>
      </c>
      <c r="AB1224" s="2994">
        <v>0.51239999999999997</v>
      </c>
      <c r="AC1224" s="2994">
        <v>0.5212</v>
      </c>
      <c r="AD1224" s="2994">
        <v>0.43259999999999998</v>
      </c>
      <c r="AE1224" s="2994">
        <v>0.433</v>
      </c>
      <c r="AF1224" s="2994">
        <v>0.49690000000000001</v>
      </c>
      <c r="AG1224" s="2994">
        <v>0.46710000000000002</v>
      </c>
      <c r="AH1224" s="2994">
        <v>0.56659999999999999</v>
      </c>
      <c r="AI1224" s="2994">
        <v>0.47889999999999999</v>
      </c>
      <c r="AJ1224" s="2994">
        <v>0.57079999999999997</v>
      </c>
      <c r="AK1224" s="2994">
        <v>0.49170000000000003</v>
      </c>
      <c r="AL1224" s="2994">
        <v>0.37309999999999999</v>
      </c>
      <c r="AM1224" s="2994">
        <v>0.42699999999999999</v>
      </c>
      <c r="AN1224" s="2994">
        <v>0.59309999999999996</v>
      </c>
      <c r="AO1224" s="2994">
        <v>1.1515</v>
      </c>
      <c r="AP1224" s="2994">
        <v>1.052</v>
      </c>
      <c r="AQ1224" s="2994">
        <v>1.3406</v>
      </c>
      <c r="AR1224" s="2994">
        <v>0.94910000000000005</v>
      </c>
      <c r="AS1224" s="2994">
        <v>0.51770000000000005</v>
      </c>
      <c r="AT1224" s="2994">
        <v>0.52990000000000004</v>
      </c>
      <c r="AU1224" s="2994">
        <v>0.9546</v>
      </c>
      <c r="AV1224" s="2994">
        <v>0.87849999999999995</v>
      </c>
      <c r="AW1224" s="2994">
        <v>0.66710000000000003</v>
      </c>
      <c r="AX1224" s="2994">
        <v>0.91500000000000004</v>
      </c>
      <c r="AY1224" s="2994">
        <v>0.6925</v>
      </c>
      <c r="AZ1224" s="2994">
        <v>0.7591</v>
      </c>
      <c r="BA1224" s="2994">
        <v>0.7591</v>
      </c>
      <c r="BB1224" s="2994">
        <v>0.7591</v>
      </c>
      <c r="BC1224" s="2994">
        <v>0.7591</v>
      </c>
      <c r="BD1224" s="3471">
        <v>0.79900000000000004</v>
      </c>
      <c r="BE1224" s="3471">
        <v>0.79710000000000003</v>
      </c>
      <c r="BF1224" s="3471">
        <v>0</v>
      </c>
    </row>
    <row r="1225" spans="1:58">
      <c r="A1225" s="1817" t="str">
        <f t="shared" si="39"/>
        <v>Eastern EuropeHempseed</v>
      </c>
      <c r="B1225" s="1818" t="s">
        <v>302</v>
      </c>
      <c r="C1225" s="1818" t="s">
        <v>7334</v>
      </c>
      <c r="D1225" s="3463" t="str">
        <f>VLOOKUP(B1225,List_Yield!$G$4:$J$14,4,FALSE)</f>
        <v>Eastern Europe</v>
      </c>
      <c r="E1225" s="3463" t="str">
        <f t="shared" si="38"/>
        <v>Eastern EuropeHempseed</v>
      </c>
      <c r="F1225" s="2994">
        <v>0.2442</v>
      </c>
      <c r="G1225" s="2994">
        <v>0.25030000000000002</v>
      </c>
      <c r="H1225" s="2994">
        <v>0.25669999999999998</v>
      </c>
      <c r="I1225" s="2994">
        <v>0.2485</v>
      </c>
      <c r="J1225" s="2994">
        <v>0.28210000000000002</v>
      </c>
      <c r="K1225" s="2994">
        <v>0.26679999999999998</v>
      </c>
      <c r="L1225" s="2994">
        <v>0.26800000000000002</v>
      </c>
      <c r="M1225" s="2994">
        <v>0.25559999999999999</v>
      </c>
      <c r="N1225" s="2994">
        <v>0.23910000000000001</v>
      </c>
      <c r="O1225" s="2994">
        <v>0.2361</v>
      </c>
      <c r="P1225" s="2994">
        <v>0.2326</v>
      </c>
      <c r="Q1225" s="2994">
        <v>0.21990000000000001</v>
      </c>
      <c r="R1225" s="2994">
        <v>0.2346</v>
      </c>
      <c r="S1225" s="2994">
        <v>0.2213</v>
      </c>
      <c r="T1225" s="2994">
        <v>0.21740000000000001</v>
      </c>
      <c r="U1225" s="2994">
        <v>0.20899999999999999</v>
      </c>
      <c r="V1225" s="2994">
        <v>0.18759999999999999</v>
      </c>
      <c r="W1225" s="2994">
        <v>0.1736</v>
      </c>
      <c r="X1225" s="2994">
        <v>0.1915</v>
      </c>
      <c r="Y1225" s="2994">
        <v>0.152</v>
      </c>
      <c r="Z1225" s="2994">
        <v>0.13159999999999999</v>
      </c>
      <c r="AA1225" s="2994">
        <v>0.15079999999999999</v>
      </c>
      <c r="AB1225" s="2994">
        <v>0.15340000000000001</v>
      </c>
      <c r="AC1225" s="2994">
        <v>0.15409999999999999</v>
      </c>
      <c r="AD1225" s="2994">
        <v>0.10290000000000001</v>
      </c>
      <c r="AE1225" s="2994">
        <v>0.1167</v>
      </c>
      <c r="AF1225" s="2994">
        <v>0.12239999999999999</v>
      </c>
      <c r="AG1225" s="2994">
        <v>9.9400000000000002E-2</v>
      </c>
      <c r="AH1225" s="2994">
        <v>0.1187</v>
      </c>
      <c r="AI1225" s="2994">
        <v>0.1971</v>
      </c>
      <c r="AJ1225" s="2994">
        <v>0.16550000000000001</v>
      </c>
      <c r="AK1225" s="2994">
        <v>0.15920000000000001</v>
      </c>
      <c r="AL1225" s="2994">
        <v>0.17349999999999999</v>
      </c>
      <c r="AM1225" s="2994">
        <v>0.1482</v>
      </c>
      <c r="AN1225" s="2994">
        <v>0.3054</v>
      </c>
      <c r="AO1225" s="2994">
        <v>0.20469999999999999</v>
      </c>
      <c r="AP1225" s="2994">
        <v>0.18459999999999999</v>
      </c>
      <c r="AQ1225" s="2994">
        <v>0.19339999999999999</v>
      </c>
      <c r="AR1225" s="2994">
        <v>0.26540000000000002</v>
      </c>
      <c r="AS1225" s="2994">
        <v>0.40970000000000001</v>
      </c>
      <c r="AT1225" s="2994">
        <v>0.33310000000000001</v>
      </c>
      <c r="AU1225" s="2994">
        <v>0.30149999999999999</v>
      </c>
      <c r="AV1225" s="2994">
        <v>0.24840000000000001</v>
      </c>
      <c r="AW1225" s="2994">
        <v>0.309</v>
      </c>
      <c r="AX1225" s="2994">
        <v>0.30320000000000003</v>
      </c>
      <c r="AY1225" s="2994">
        <v>0.3342</v>
      </c>
      <c r="AZ1225" s="2994">
        <v>0.3357</v>
      </c>
      <c r="BA1225" s="2994">
        <v>0.33910000000000001</v>
      </c>
      <c r="BB1225" s="2994">
        <v>0.31619999999999998</v>
      </c>
      <c r="BC1225" s="2994">
        <v>0.3009</v>
      </c>
      <c r="BD1225" s="3471">
        <v>0.30759999999999998</v>
      </c>
      <c r="BE1225" s="3471">
        <v>0.30769999999999997</v>
      </c>
      <c r="BF1225" s="3471">
        <v>0.3266</v>
      </c>
    </row>
    <row r="1226" spans="1:58">
      <c r="A1226" s="1817" t="str">
        <f t="shared" si="39"/>
        <v>Eastern EuropeHops</v>
      </c>
      <c r="B1226" s="1818" t="s">
        <v>302</v>
      </c>
      <c r="C1226" s="1818" t="s">
        <v>7335</v>
      </c>
      <c r="D1226" s="3463" t="str">
        <f>VLOOKUP(B1226,List_Yield!$G$4:$J$14,4,FALSE)</f>
        <v>Eastern Europe</v>
      </c>
      <c r="E1226" s="3463" t="str">
        <f t="shared" si="38"/>
        <v>Eastern EuropeHops</v>
      </c>
      <c r="F1226" s="2994">
        <v>0.81799999999999995</v>
      </c>
      <c r="G1226" s="2994">
        <v>0.84799999999999998</v>
      </c>
      <c r="H1226" s="2994">
        <v>0.73599999999999999</v>
      </c>
      <c r="I1226" s="2994">
        <v>0.83050000000000002</v>
      </c>
      <c r="J1226" s="2994">
        <v>0.68630000000000002</v>
      </c>
      <c r="K1226" s="2994">
        <v>0.83499999999999996</v>
      </c>
      <c r="L1226" s="2994">
        <v>0.8296</v>
      </c>
      <c r="M1226" s="2994">
        <v>0.82140000000000002</v>
      </c>
      <c r="N1226" s="2994">
        <v>0.88519999999999999</v>
      </c>
      <c r="O1226" s="2994">
        <v>0.9173</v>
      </c>
      <c r="P1226" s="2994">
        <v>0.78110000000000002</v>
      </c>
      <c r="Q1226" s="2994">
        <v>0.92130000000000001</v>
      </c>
      <c r="R1226" s="2994">
        <v>0.9859</v>
      </c>
      <c r="S1226" s="2994">
        <v>0.8216</v>
      </c>
      <c r="T1226" s="2994">
        <v>0.82089999999999996</v>
      </c>
      <c r="U1226" s="2994">
        <v>0.75619999999999998</v>
      </c>
      <c r="V1226" s="2994">
        <v>0.97130000000000005</v>
      </c>
      <c r="W1226" s="2994">
        <v>0.60929999999999995</v>
      </c>
      <c r="X1226" s="2994">
        <v>0.74829999999999997</v>
      </c>
      <c r="Y1226" s="2994">
        <v>0.5857</v>
      </c>
      <c r="Z1226" s="2994">
        <v>0.77239999999999998</v>
      </c>
      <c r="AA1226" s="2994">
        <v>0.77210000000000001</v>
      </c>
      <c r="AB1226" s="2994">
        <v>0.71889999999999998</v>
      </c>
      <c r="AC1226" s="2994">
        <v>0.80279999999999996</v>
      </c>
      <c r="AD1226" s="2994">
        <v>0.88219999999999998</v>
      </c>
      <c r="AE1226" s="2994">
        <v>0.73419999999999996</v>
      </c>
      <c r="AF1226" s="2994">
        <v>0.81230000000000002</v>
      </c>
      <c r="AG1226" s="2994">
        <v>0.97319999999999995</v>
      </c>
      <c r="AH1226" s="2994">
        <v>0.88390000000000002</v>
      </c>
      <c r="AI1226" s="2994">
        <v>0.85019999999999996</v>
      </c>
      <c r="AJ1226" s="2994">
        <v>0.83420000000000005</v>
      </c>
      <c r="AK1226" s="2994">
        <v>0.77900000000000003</v>
      </c>
      <c r="AL1226" s="2994">
        <v>0.8105</v>
      </c>
      <c r="AM1226" s="2994">
        <v>0.69410000000000005</v>
      </c>
      <c r="AN1226" s="2994">
        <v>0.8458</v>
      </c>
      <c r="AO1226" s="2994">
        <v>0.79890000000000005</v>
      </c>
      <c r="AP1226" s="2994">
        <v>0.77259999999999995</v>
      </c>
      <c r="AQ1226" s="2994">
        <v>0.70079999999999998</v>
      </c>
      <c r="AR1226" s="2994">
        <v>0.85409999999999997</v>
      </c>
      <c r="AS1226" s="2994">
        <v>0.71099999999999997</v>
      </c>
      <c r="AT1226" s="2994">
        <v>0.86980000000000002</v>
      </c>
      <c r="AU1226" s="2994">
        <v>0.70950000000000002</v>
      </c>
      <c r="AV1226" s="2994">
        <v>0.84119999999999995</v>
      </c>
      <c r="AW1226" s="2994">
        <v>0.90490000000000004</v>
      </c>
      <c r="AX1226" s="2994">
        <v>1.1228</v>
      </c>
      <c r="AY1226" s="2994">
        <v>0.96989999999999998</v>
      </c>
      <c r="AZ1226" s="2994">
        <v>1.1214</v>
      </c>
      <c r="BA1226" s="2994">
        <v>1.2324999999999999</v>
      </c>
      <c r="BB1226" s="2994">
        <v>1.3205</v>
      </c>
      <c r="BC1226" s="2994">
        <v>1.3374999999999999</v>
      </c>
      <c r="BD1226" s="3471">
        <v>1.2981</v>
      </c>
      <c r="BE1226" s="3471">
        <v>1.0717000000000001</v>
      </c>
      <c r="BF1226" s="3471">
        <v>0</v>
      </c>
    </row>
    <row r="1227" spans="1:58">
      <c r="A1227" s="1817" t="str">
        <f t="shared" si="39"/>
        <v>Eastern EuropeJojoba seed</v>
      </c>
      <c r="B1227" s="1818" t="s">
        <v>302</v>
      </c>
      <c r="C1227" s="1818" t="s">
        <v>7336</v>
      </c>
      <c r="D1227" s="3463" t="str">
        <f>VLOOKUP(B1227,List_Yield!$G$4:$J$14,4,FALSE)</f>
        <v>Eastern Europe</v>
      </c>
      <c r="E1227" s="3463" t="str">
        <f t="shared" si="38"/>
        <v>Eastern EuropeJojoba seed</v>
      </c>
      <c r="F1227" s="2994">
        <v>0</v>
      </c>
      <c r="G1227" s="2994">
        <v>0</v>
      </c>
      <c r="H1227" s="2994">
        <v>0</v>
      </c>
      <c r="I1227" s="2994">
        <v>0</v>
      </c>
      <c r="J1227" s="2994">
        <v>0</v>
      </c>
      <c r="K1227" s="2994">
        <v>0</v>
      </c>
      <c r="L1227" s="2994">
        <v>0</v>
      </c>
      <c r="M1227" s="2994">
        <v>0</v>
      </c>
      <c r="N1227" s="2994">
        <v>0</v>
      </c>
      <c r="O1227" s="2994">
        <v>0</v>
      </c>
      <c r="P1227" s="2994">
        <v>0</v>
      </c>
      <c r="Q1227" s="2994">
        <v>0</v>
      </c>
      <c r="R1227" s="2994">
        <v>0</v>
      </c>
      <c r="S1227" s="2994">
        <v>0</v>
      </c>
      <c r="T1227" s="2994">
        <v>0</v>
      </c>
      <c r="U1227" s="2994">
        <v>0</v>
      </c>
      <c r="V1227" s="2994">
        <v>0</v>
      </c>
      <c r="W1227" s="2994">
        <v>0</v>
      </c>
      <c r="X1227" s="2994">
        <v>0</v>
      </c>
      <c r="Y1227" s="2994">
        <v>0</v>
      </c>
      <c r="Z1227" s="2994">
        <v>0</v>
      </c>
      <c r="AA1227" s="2994">
        <v>0</v>
      </c>
      <c r="AB1227" s="2994">
        <v>0</v>
      </c>
      <c r="AC1227" s="2994">
        <v>0</v>
      </c>
      <c r="AD1227" s="2994">
        <v>0</v>
      </c>
      <c r="AE1227" s="2994">
        <v>0</v>
      </c>
      <c r="AF1227" s="2994">
        <v>0</v>
      </c>
      <c r="AG1227" s="2994">
        <v>0</v>
      </c>
      <c r="AH1227" s="2994">
        <v>0</v>
      </c>
      <c r="AI1227" s="2994">
        <v>0</v>
      </c>
      <c r="AJ1227" s="2994">
        <v>0</v>
      </c>
      <c r="AK1227" s="2994">
        <v>0</v>
      </c>
      <c r="AL1227" s="2994">
        <v>0</v>
      </c>
      <c r="AM1227" s="2994">
        <v>0</v>
      </c>
      <c r="AN1227" s="2994">
        <v>0</v>
      </c>
      <c r="AO1227" s="2994">
        <v>0</v>
      </c>
      <c r="AP1227" s="2994">
        <v>0</v>
      </c>
      <c r="AQ1227" s="2994">
        <v>0</v>
      </c>
      <c r="AR1227" s="2994">
        <v>0</v>
      </c>
      <c r="AS1227" s="2994">
        <v>0</v>
      </c>
      <c r="AT1227" s="2994">
        <v>0</v>
      </c>
      <c r="AU1227" s="2994">
        <v>0</v>
      </c>
      <c r="AV1227" s="2994">
        <v>0</v>
      </c>
      <c r="AW1227" s="2994">
        <v>0</v>
      </c>
      <c r="AX1227" s="2994">
        <v>0</v>
      </c>
      <c r="AY1227" s="2994">
        <v>0</v>
      </c>
      <c r="AZ1227" s="2994">
        <v>0</v>
      </c>
      <c r="BA1227" s="2994">
        <v>0</v>
      </c>
      <c r="BB1227" s="2994">
        <v>0</v>
      </c>
      <c r="BC1227" s="2994">
        <v>0</v>
      </c>
      <c r="BD1227" s="3471">
        <v>0</v>
      </c>
      <c r="BE1227" s="3471">
        <v>0</v>
      </c>
      <c r="BF1227" s="3471">
        <v>0</v>
      </c>
    </row>
    <row r="1228" spans="1:58">
      <c r="A1228" s="1817" t="str">
        <f t="shared" si="39"/>
        <v>Eastern EuropeJute</v>
      </c>
      <c r="B1228" s="1818" t="s">
        <v>302</v>
      </c>
      <c r="C1228" s="1818" t="s">
        <v>7337</v>
      </c>
      <c r="D1228" s="3463" t="str">
        <f>VLOOKUP(B1228,List_Yield!$G$4:$J$14,4,FALSE)</f>
        <v>Eastern Europe</v>
      </c>
      <c r="E1228" s="3463" t="str">
        <f t="shared" si="38"/>
        <v>Eastern EuropeJute</v>
      </c>
      <c r="F1228" s="2994">
        <v>0</v>
      </c>
      <c r="G1228" s="2994">
        <v>0</v>
      </c>
      <c r="H1228" s="2994">
        <v>0</v>
      </c>
      <c r="I1228" s="2994">
        <v>0</v>
      </c>
      <c r="J1228" s="2994">
        <v>0</v>
      </c>
      <c r="K1228" s="2994">
        <v>0</v>
      </c>
      <c r="L1228" s="2994">
        <v>0</v>
      </c>
      <c r="M1228" s="2994">
        <v>0</v>
      </c>
      <c r="N1228" s="2994">
        <v>0</v>
      </c>
      <c r="O1228" s="2994">
        <v>0</v>
      </c>
      <c r="P1228" s="2994">
        <v>0</v>
      </c>
      <c r="Q1228" s="2994">
        <v>0</v>
      </c>
      <c r="R1228" s="2994">
        <v>0</v>
      </c>
      <c r="S1228" s="2994">
        <v>0</v>
      </c>
      <c r="T1228" s="2994">
        <v>0</v>
      </c>
      <c r="U1228" s="2994">
        <v>0</v>
      </c>
      <c r="V1228" s="2994">
        <v>0</v>
      </c>
      <c r="W1228" s="2994">
        <v>0</v>
      </c>
      <c r="X1228" s="2994">
        <v>0</v>
      </c>
      <c r="Y1228" s="2994">
        <v>0</v>
      </c>
      <c r="Z1228" s="2994">
        <v>0</v>
      </c>
      <c r="AA1228" s="2994">
        <v>0</v>
      </c>
      <c r="AB1228" s="2994">
        <v>0</v>
      </c>
      <c r="AC1228" s="2994">
        <v>0</v>
      </c>
      <c r="AD1228" s="2994">
        <v>0</v>
      </c>
      <c r="AE1228" s="2994">
        <v>0</v>
      </c>
      <c r="AF1228" s="2994">
        <v>0</v>
      </c>
      <c r="AG1228" s="2994">
        <v>0</v>
      </c>
      <c r="AH1228" s="2994">
        <v>0</v>
      </c>
      <c r="AI1228" s="2994">
        <v>0</v>
      </c>
      <c r="AJ1228" s="2994">
        <v>0</v>
      </c>
      <c r="AK1228" s="2994">
        <v>0</v>
      </c>
      <c r="AL1228" s="2994">
        <v>0</v>
      </c>
      <c r="AM1228" s="2994">
        <v>0</v>
      </c>
      <c r="AN1228" s="2994">
        <v>0</v>
      </c>
      <c r="AO1228" s="2994">
        <v>0</v>
      </c>
      <c r="AP1228" s="2994">
        <v>0</v>
      </c>
      <c r="AQ1228" s="2994">
        <v>0</v>
      </c>
      <c r="AR1228" s="2994">
        <v>0</v>
      </c>
      <c r="AS1228" s="2994">
        <v>0</v>
      </c>
      <c r="AT1228" s="2994">
        <v>0</v>
      </c>
      <c r="AU1228" s="2994">
        <v>0</v>
      </c>
      <c r="AV1228" s="2994">
        <v>0</v>
      </c>
      <c r="AW1228" s="2994">
        <v>0</v>
      </c>
      <c r="AX1228" s="2994">
        <v>0</v>
      </c>
      <c r="AY1228" s="2994">
        <v>0</v>
      </c>
      <c r="AZ1228" s="2994">
        <v>0</v>
      </c>
      <c r="BA1228" s="2994">
        <v>0</v>
      </c>
      <c r="BB1228" s="2994">
        <v>0</v>
      </c>
      <c r="BC1228" s="2994">
        <v>0</v>
      </c>
      <c r="BD1228" s="3471">
        <v>0</v>
      </c>
      <c r="BE1228" s="3471">
        <v>0</v>
      </c>
      <c r="BF1228" s="3471">
        <v>0</v>
      </c>
    </row>
    <row r="1229" spans="1:58">
      <c r="A1229" s="1817" t="str">
        <f t="shared" si="39"/>
        <v>Eastern EuropeKapok fruit</v>
      </c>
      <c r="B1229" s="1818" t="s">
        <v>302</v>
      </c>
      <c r="C1229" s="1818" t="s">
        <v>7338</v>
      </c>
      <c r="D1229" s="3463" t="str">
        <f>VLOOKUP(B1229,List_Yield!$G$4:$J$14,4,FALSE)</f>
        <v>Eastern Europe</v>
      </c>
      <c r="E1229" s="3463" t="str">
        <f t="shared" si="38"/>
        <v>Eastern EuropeKapok fruit</v>
      </c>
      <c r="F1229" s="2994">
        <v>0</v>
      </c>
      <c r="G1229" s="2994">
        <v>0</v>
      </c>
      <c r="H1229" s="2994">
        <v>0</v>
      </c>
      <c r="I1229" s="2994">
        <v>0</v>
      </c>
      <c r="J1229" s="2994">
        <v>0</v>
      </c>
      <c r="K1229" s="2994">
        <v>0</v>
      </c>
      <c r="L1229" s="2994">
        <v>0</v>
      </c>
      <c r="M1229" s="2994">
        <v>0</v>
      </c>
      <c r="N1229" s="2994">
        <v>0</v>
      </c>
      <c r="O1229" s="2994">
        <v>0</v>
      </c>
      <c r="P1229" s="2994">
        <v>0</v>
      </c>
      <c r="Q1229" s="2994">
        <v>0</v>
      </c>
      <c r="R1229" s="2994">
        <v>0</v>
      </c>
      <c r="S1229" s="2994">
        <v>0</v>
      </c>
      <c r="T1229" s="2994">
        <v>0</v>
      </c>
      <c r="U1229" s="2994">
        <v>0</v>
      </c>
      <c r="V1229" s="2994">
        <v>0</v>
      </c>
      <c r="W1229" s="2994">
        <v>0</v>
      </c>
      <c r="X1229" s="2994">
        <v>0</v>
      </c>
      <c r="Y1229" s="2994">
        <v>0</v>
      </c>
      <c r="Z1229" s="2994">
        <v>0</v>
      </c>
      <c r="AA1229" s="2994">
        <v>0</v>
      </c>
      <c r="AB1229" s="2994">
        <v>0</v>
      </c>
      <c r="AC1229" s="2994">
        <v>0</v>
      </c>
      <c r="AD1229" s="2994">
        <v>0</v>
      </c>
      <c r="AE1229" s="2994">
        <v>0</v>
      </c>
      <c r="AF1229" s="2994">
        <v>0</v>
      </c>
      <c r="AG1229" s="2994">
        <v>0</v>
      </c>
      <c r="AH1229" s="2994">
        <v>0</v>
      </c>
      <c r="AI1229" s="2994">
        <v>0</v>
      </c>
      <c r="AJ1229" s="2994">
        <v>0</v>
      </c>
      <c r="AK1229" s="2994">
        <v>0</v>
      </c>
      <c r="AL1229" s="2994">
        <v>0</v>
      </c>
      <c r="AM1229" s="2994">
        <v>0</v>
      </c>
      <c r="AN1229" s="2994">
        <v>0</v>
      </c>
      <c r="AO1229" s="2994">
        <v>0</v>
      </c>
      <c r="AP1229" s="2994">
        <v>0</v>
      </c>
      <c r="AQ1229" s="2994">
        <v>0</v>
      </c>
      <c r="AR1229" s="2994">
        <v>0</v>
      </c>
      <c r="AS1229" s="2994">
        <v>0</v>
      </c>
      <c r="AT1229" s="2994">
        <v>0</v>
      </c>
      <c r="AU1229" s="2994">
        <v>0</v>
      </c>
      <c r="AV1229" s="2994">
        <v>0</v>
      </c>
      <c r="AW1229" s="2994">
        <v>0</v>
      </c>
      <c r="AX1229" s="2994">
        <v>0</v>
      </c>
      <c r="AY1229" s="2994">
        <v>0</v>
      </c>
      <c r="AZ1229" s="2994">
        <v>0</v>
      </c>
      <c r="BA1229" s="2994">
        <v>0</v>
      </c>
      <c r="BB1229" s="2994">
        <v>0</v>
      </c>
      <c r="BC1229" s="2994">
        <v>0</v>
      </c>
      <c r="BD1229" s="3471">
        <v>0</v>
      </c>
      <c r="BE1229" s="3471">
        <v>0</v>
      </c>
      <c r="BF1229" s="3471">
        <v>0</v>
      </c>
    </row>
    <row r="1230" spans="1:58">
      <c r="A1230" s="1817" t="str">
        <f t="shared" si="39"/>
        <v>Eastern EuropeKarite nuts (sheanuts)</v>
      </c>
      <c r="B1230" s="1818" t="s">
        <v>302</v>
      </c>
      <c r="C1230" s="1818" t="s">
        <v>7339</v>
      </c>
      <c r="D1230" s="3463" t="str">
        <f>VLOOKUP(B1230,List_Yield!$G$4:$J$14,4,FALSE)</f>
        <v>Eastern Europe</v>
      </c>
      <c r="E1230" s="3463" t="str">
        <f t="shared" si="38"/>
        <v>Eastern EuropeKarite nuts (sheanuts)</v>
      </c>
      <c r="F1230" s="2994">
        <v>0</v>
      </c>
      <c r="G1230" s="2994">
        <v>0</v>
      </c>
      <c r="H1230" s="2994">
        <v>0</v>
      </c>
      <c r="I1230" s="2994">
        <v>0</v>
      </c>
      <c r="J1230" s="2994">
        <v>0</v>
      </c>
      <c r="K1230" s="2994">
        <v>0</v>
      </c>
      <c r="L1230" s="2994">
        <v>0</v>
      </c>
      <c r="M1230" s="2994">
        <v>0</v>
      </c>
      <c r="N1230" s="2994">
        <v>0</v>
      </c>
      <c r="O1230" s="2994">
        <v>0</v>
      </c>
      <c r="P1230" s="2994">
        <v>0</v>
      </c>
      <c r="Q1230" s="2994">
        <v>0</v>
      </c>
      <c r="R1230" s="2994">
        <v>0</v>
      </c>
      <c r="S1230" s="2994">
        <v>0</v>
      </c>
      <c r="T1230" s="2994">
        <v>0</v>
      </c>
      <c r="U1230" s="2994">
        <v>0</v>
      </c>
      <c r="V1230" s="2994">
        <v>0</v>
      </c>
      <c r="W1230" s="2994">
        <v>0</v>
      </c>
      <c r="X1230" s="2994">
        <v>0</v>
      </c>
      <c r="Y1230" s="2994">
        <v>0</v>
      </c>
      <c r="Z1230" s="2994">
        <v>0</v>
      </c>
      <c r="AA1230" s="2994">
        <v>0</v>
      </c>
      <c r="AB1230" s="2994">
        <v>0</v>
      </c>
      <c r="AC1230" s="2994">
        <v>0</v>
      </c>
      <c r="AD1230" s="2994">
        <v>0</v>
      </c>
      <c r="AE1230" s="2994">
        <v>0</v>
      </c>
      <c r="AF1230" s="2994">
        <v>0</v>
      </c>
      <c r="AG1230" s="2994">
        <v>0</v>
      </c>
      <c r="AH1230" s="2994">
        <v>0</v>
      </c>
      <c r="AI1230" s="2994">
        <v>0</v>
      </c>
      <c r="AJ1230" s="2994">
        <v>0</v>
      </c>
      <c r="AK1230" s="2994">
        <v>0</v>
      </c>
      <c r="AL1230" s="2994">
        <v>0</v>
      </c>
      <c r="AM1230" s="2994">
        <v>0</v>
      </c>
      <c r="AN1230" s="2994">
        <v>0</v>
      </c>
      <c r="AO1230" s="2994">
        <v>0</v>
      </c>
      <c r="AP1230" s="2994">
        <v>0</v>
      </c>
      <c r="AQ1230" s="2994">
        <v>0</v>
      </c>
      <c r="AR1230" s="2994">
        <v>0</v>
      </c>
      <c r="AS1230" s="2994">
        <v>0</v>
      </c>
      <c r="AT1230" s="2994">
        <v>0</v>
      </c>
      <c r="AU1230" s="2994">
        <v>0</v>
      </c>
      <c r="AV1230" s="2994">
        <v>0</v>
      </c>
      <c r="AW1230" s="2994">
        <v>0</v>
      </c>
      <c r="AX1230" s="2994">
        <v>0</v>
      </c>
      <c r="AY1230" s="2994">
        <v>0</v>
      </c>
      <c r="AZ1230" s="2994">
        <v>0</v>
      </c>
      <c r="BA1230" s="2994">
        <v>0</v>
      </c>
      <c r="BB1230" s="2994">
        <v>0</v>
      </c>
      <c r="BC1230" s="2994">
        <v>0</v>
      </c>
      <c r="BD1230" s="3471">
        <v>0</v>
      </c>
      <c r="BE1230" s="3471">
        <v>0</v>
      </c>
      <c r="BF1230" s="3471">
        <v>0</v>
      </c>
    </row>
    <row r="1231" spans="1:58">
      <c r="A1231" s="1817" t="str">
        <f t="shared" si="39"/>
        <v>Eastern EuropeKiwi fruit</v>
      </c>
      <c r="B1231" s="1818" t="s">
        <v>302</v>
      </c>
      <c r="C1231" s="1818" t="s">
        <v>7340</v>
      </c>
      <c r="D1231" s="3463" t="str">
        <f>VLOOKUP(B1231,List_Yield!$G$4:$J$14,4,FALSE)</f>
        <v>Eastern Europe</v>
      </c>
      <c r="E1231" s="3463" t="str">
        <f t="shared" si="38"/>
        <v>Eastern EuropeKiwi fruit</v>
      </c>
      <c r="F1231" s="2994">
        <v>0</v>
      </c>
      <c r="G1231" s="2994">
        <v>0</v>
      </c>
      <c r="H1231" s="2994">
        <v>0</v>
      </c>
      <c r="I1231" s="2994">
        <v>0</v>
      </c>
      <c r="J1231" s="2994">
        <v>0</v>
      </c>
      <c r="K1231" s="2994">
        <v>0</v>
      </c>
      <c r="L1231" s="2994">
        <v>0</v>
      </c>
      <c r="M1231" s="2994">
        <v>0</v>
      </c>
      <c r="N1231" s="2994">
        <v>0</v>
      </c>
      <c r="O1231" s="2994">
        <v>0</v>
      </c>
      <c r="P1231" s="2994">
        <v>0</v>
      </c>
      <c r="Q1231" s="2994">
        <v>0</v>
      </c>
      <c r="R1231" s="2994">
        <v>0</v>
      </c>
      <c r="S1231" s="2994">
        <v>0</v>
      </c>
      <c r="T1231" s="2994">
        <v>0</v>
      </c>
      <c r="U1231" s="2994">
        <v>0</v>
      </c>
      <c r="V1231" s="2994">
        <v>0</v>
      </c>
      <c r="W1231" s="2994">
        <v>0</v>
      </c>
      <c r="X1231" s="2994">
        <v>0</v>
      </c>
      <c r="Y1231" s="2994">
        <v>0</v>
      </c>
      <c r="Z1231" s="2994">
        <v>0</v>
      </c>
      <c r="AA1231" s="2994">
        <v>0</v>
      </c>
      <c r="AB1231" s="2994">
        <v>0</v>
      </c>
      <c r="AC1231" s="2994">
        <v>0</v>
      </c>
      <c r="AD1231" s="2994">
        <v>0</v>
      </c>
      <c r="AE1231" s="2994">
        <v>0</v>
      </c>
      <c r="AF1231" s="2994">
        <v>0</v>
      </c>
      <c r="AG1231" s="2994">
        <v>0</v>
      </c>
      <c r="AH1231" s="2994">
        <v>0</v>
      </c>
      <c r="AI1231" s="2994">
        <v>0</v>
      </c>
      <c r="AJ1231" s="2994">
        <v>0</v>
      </c>
      <c r="AK1231" s="2994">
        <v>0</v>
      </c>
      <c r="AL1231" s="2994">
        <v>0</v>
      </c>
      <c r="AM1231" s="2994">
        <v>0</v>
      </c>
      <c r="AN1231" s="2994">
        <v>0</v>
      </c>
      <c r="AO1231" s="2994">
        <v>0</v>
      </c>
      <c r="AP1231" s="2994">
        <v>0</v>
      </c>
      <c r="AQ1231" s="2994">
        <v>0</v>
      </c>
      <c r="AR1231" s="2994">
        <v>0</v>
      </c>
      <c r="AS1231" s="2994">
        <v>0</v>
      </c>
      <c r="AT1231" s="2994">
        <v>0</v>
      </c>
      <c r="AU1231" s="2994">
        <v>0</v>
      </c>
      <c r="AV1231" s="2994">
        <v>0.8</v>
      </c>
      <c r="AW1231" s="2994">
        <v>0.875</v>
      </c>
      <c r="AX1231" s="2994">
        <v>0.88890000000000002</v>
      </c>
      <c r="AY1231" s="2994">
        <v>0.57140000000000002</v>
      </c>
      <c r="AZ1231" s="2994">
        <v>1.6667000000000001</v>
      </c>
      <c r="BA1231" s="2994">
        <v>0</v>
      </c>
      <c r="BB1231" s="2994">
        <v>6.2352999999999996</v>
      </c>
      <c r="BC1231" s="2994">
        <v>2</v>
      </c>
      <c r="BD1231" s="3471">
        <v>7.8235000000000001</v>
      </c>
      <c r="BE1231" s="3471">
        <v>7.95</v>
      </c>
      <c r="BF1231" s="3471">
        <v>0</v>
      </c>
    </row>
    <row r="1232" spans="1:58">
      <c r="A1232" s="1817" t="str">
        <f t="shared" si="39"/>
        <v>Eastern EuropeKola nuts</v>
      </c>
      <c r="B1232" s="1818" t="s">
        <v>302</v>
      </c>
      <c r="C1232" s="1818" t="s">
        <v>7341</v>
      </c>
      <c r="D1232" s="3463" t="str">
        <f>VLOOKUP(B1232,List_Yield!$G$4:$J$14,4,FALSE)</f>
        <v>Eastern Europe</v>
      </c>
      <c r="E1232" s="3463" t="str">
        <f t="shared" si="38"/>
        <v>Eastern EuropeKola nuts</v>
      </c>
      <c r="F1232" s="2994">
        <v>0</v>
      </c>
      <c r="G1232" s="2994">
        <v>0</v>
      </c>
      <c r="H1232" s="2994">
        <v>0</v>
      </c>
      <c r="I1232" s="2994">
        <v>0</v>
      </c>
      <c r="J1232" s="2994">
        <v>0</v>
      </c>
      <c r="K1232" s="2994">
        <v>0</v>
      </c>
      <c r="L1232" s="2994">
        <v>0</v>
      </c>
      <c r="M1232" s="2994">
        <v>0</v>
      </c>
      <c r="N1232" s="2994">
        <v>0</v>
      </c>
      <c r="O1232" s="2994">
        <v>0</v>
      </c>
      <c r="P1232" s="2994">
        <v>0</v>
      </c>
      <c r="Q1232" s="2994">
        <v>0</v>
      </c>
      <c r="R1232" s="2994">
        <v>0</v>
      </c>
      <c r="S1232" s="2994">
        <v>0</v>
      </c>
      <c r="T1232" s="2994">
        <v>0</v>
      </c>
      <c r="U1232" s="2994">
        <v>0</v>
      </c>
      <c r="V1232" s="2994">
        <v>0</v>
      </c>
      <c r="W1232" s="2994">
        <v>0</v>
      </c>
      <c r="X1232" s="2994">
        <v>0</v>
      </c>
      <c r="Y1232" s="2994">
        <v>0</v>
      </c>
      <c r="Z1232" s="2994">
        <v>0</v>
      </c>
      <c r="AA1232" s="2994">
        <v>0</v>
      </c>
      <c r="AB1232" s="2994">
        <v>0</v>
      </c>
      <c r="AC1232" s="2994">
        <v>0</v>
      </c>
      <c r="AD1232" s="2994">
        <v>0</v>
      </c>
      <c r="AE1232" s="2994">
        <v>0</v>
      </c>
      <c r="AF1232" s="2994">
        <v>0</v>
      </c>
      <c r="AG1232" s="2994">
        <v>0</v>
      </c>
      <c r="AH1232" s="2994">
        <v>0</v>
      </c>
      <c r="AI1232" s="2994">
        <v>0</v>
      </c>
      <c r="AJ1232" s="2994">
        <v>0</v>
      </c>
      <c r="AK1232" s="2994">
        <v>0</v>
      </c>
      <c r="AL1232" s="2994">
        <v>0</v>
      </c>
      <c r="AM1232" s="2994">
        <v>0</v>
      </c>
      <c r="AN1232" s="2994">
        <v>0</v>
      </c>
      <c r="AO1232" s="2994">
        <v>0</v>
      </c>
      <c r="AP1232" s="2994">
        <v>0</v>
      </c>
      <c r="AQ1232" s="2994">
        <v>0</v>
      </c>
      <c r="AR1232" s="2994">
        <v>0</v>
      </c>
      <c r="AS1232" s="2994">
        <v>0</v>
      </c>
      <c r="AT1232" s="2994">
        <v>0</v>
      </c>
      <c r="AU1232" s="2994">
        <v>0</v>
      </c>
      <c r="AV1232" s="2994">
        <v>0</v>
      </c>
      <c r="AW1232" s="2994">
        <v>0</v>
      </c>
      <c r="AX1232" s="2994">
        <v>0</v>
      </c>
      <c r="AY1232" s="2994">
        <v>0</v>
      </c>
      <c r="AZ1232" s="2994">
        <v>0</v>
      </c>
      <c r="BA1232" s="2994">
        <v>0</v>
      </c>
      <c r="BB1232" s="2994">
        <v>0</v>
      </c>
      <c r="BC1232" s="2994">
        <v>0</v>
      </c>
      <c r="BD1232" s="3471">
        <v>0</v>
      </c>
      <c r="BE1232" s="3471">
        <v>0</v>
      </c>
      <c r="BF1232" s="3471">
        <v>0</v>
      </c>
    </row>
    <row r="1233" spans="1:58">
      <c r="A1233" s="1817" t="str">
        <f t="shared" si="39"/>
        <v>Eastern EuropeLeeks, other alliaceous vegetables</v>
      </c>
      <c r="B1233" s="1818" t="s">
        <v>302</v>
      </c>
      <c r="C1233" s="1818" t="s">
        <v>7342</v>
      </c>
      <c r="D1233" s="3463" t="str">
        <f>VLOOKUP(B1233,List_Yield!$G$4:$J$14,4,FALSE)</f>
        <v>Eastern Europe</v>
      </c>
      <c r="E1233" s="3463" t="str">
        <f t="shared" si="38"/>
        <v>Eastern EuropeLeeks, other alliaceous vegetables</v>
      </c>
      <c r="F1233" s="2994">
        <v>0</v>
      </c>
      <c r="G1233" s="2994">
        <v>0</v>
      </c>
      <c r="H1233" s="2994">
        <v>0</v>
      </c>
      <c r="I1233" s="2994">
        <v>0</v>
      </c>
      <c r="J1233" s="2994">
        <v>0</v>
      </c>
      <c r="K1233" s="2994">
        <v>0</v>
      </c>
      <c r="L1233" s="2994">
        <v>0</v>
      </c>
      <c r="M1233" s="2994">
        <v>0</v>
      </c>
      <c r="N1233" s="2994">
        <v>0</v>
      </c>
      <c r="O1233" s="2994">
        <v>0</v>
      </c>
      <c r="P1233" s="2994">
        <v>0</v>
      </c>
      <c r="Q1233" s="2994">
        <v>0</v>
      </c>
      <c r="R1233" s="2994">
        <v>0</v>
      </c>
      <c r="S1233" s="2994">
        <v>0</v>
      </c>
      <c r="T1233" s="2994">
        <v>0</v>
      </c>
      <c r="U1233" s="2994">
        <v>0</v>
      </c>
      <c r="V1233" s="2994">
        <v>0</v>
      </c>
      <c r="W1233" s="2994">
        <v>0</v>
      </c>
      <c r="X1233" s="2994">
        <v>0</v>
      </c>
      <c r="Y1233" s="2994">
        <v>0</v>
      </c>
      <c r="Z1233" s="2994">
        <v>0</v>
      </c>
      <c r="AA1233" s="2994">
        <v>0</v>
      </c>
      <c r="AB1233" s="2994">
        <v>0</v>
      </c>
      <c r="AC1233" s="2994">
        <v>0</v>
      </c>
      <c r="AD1233" s="2994">
        <v>0</v>
      </c>
      <c r="AE1233" s="2994">
        <v>0</v>
      </c>
      <c r="AF1233" s="2994">
        <v>0</v>
      </c>
      <c r="AG1233" s="2994">
        <v>0</v>
      </c>
      <c r="AH1233" s="2994">
        <v>0</v>
      </c>
      <c r="AI1233" s="2994">
        <v>15.066700000000001</v>
      </c>
      <c r="AJ1233" s="2994">
        <v>15</v>
      </c>
      <c r="AK1233" s="2994">
        <v>11.971299999999999</v>
      </c>
      <c r="AL1233" s="2994">
        <v>15.103899999999999</v>
      </c>
      <c r="AM1233" s="2994">
        <v>13.3673</v>
      </c>
      <c r="AN1233" s="2994">
        <v>14.184799999999999</v>
      </c>
      <c r="AO1233" s="2994">
        <v>15.281700000000001</v>
      </c>
      <c r="AP1233" s="2994">
        <v>15.181900000000001</v>
      </c>
      <c r="AQ1233" s="2994">
        <v>12.6799</v>
      </c>
      <c r="AR1233" s="2994">
        <v>15.670500000000001</v>
      </c>
      <c r="AS1233" s="2994">
        <v>15.6394</v>
      </c>
      <c r="AT1233" s="2994">
        <v>15.700699999999999</v>
      </c>
      <c r="AU1233" s="2994">
        <v>18.760200000000001</v>
      </c>
      <c r="AV1233" s="2994">
        <v>16.136099999999999</v>
      </c>
      <c r="AW1233" s="2994">
        <v>17.366</v>
      </c>
      <c r="AX1233" s="2994">
        <v>15.9659</v>
      </c>
      <c r="AY1233" s="2994">
        <v>15.1646</v>
      </c>
      <c r="AZ1233" s="2994">
        <v>16.524999999999999</v>
      </c>
      <c r="BA1233" s="2994">
        <v>16.3858</v>
      </c>
      <c r="BB1233" s="2994">
        <v>17.0261</v>
      </c>
      <c r="BC1233" s="2994">
        <v>19.216899999999999</v>
      </c>
      <c r="BD1233" s="3471">
        <v>18.834</v>
      </c>
      <c r="BE1233" s="3471">
        <v>19.785299999999999</v>
      </c>
      <c r="BF1233" s="3471">
        <v>0</v>
      </c>
    </row>
    <row r="1234" spans="1:58">
      <c r="A1234" s="1817" t="str">
        <f t="shared" si="39"/>
        <v>Eastern EuropeLemons and limes</v>
      </c>
      <c r="B1234" s="1818" t="s">
        <v>302</v>
      </c>
      <c r="C1234" s="1818" t="s">
        <v>7343</v>
      </c>
      <c r="D1234" s="3463" t="str">
        <f>VLOOKUP(B1234,List_Yield!$G$4:$J$14,4,FALSE)</f>
        <v>Eastern Europe</v>
      </c>
      <c r="E1234" s="3463" t="str">
        <f t="shared" si="38"/>
        <v>Eastern EuropeLemons and limes</v>
      </c>
      <c r="F1234" s="2994">
        <v>0</v>
      </c>
      <c r="G1234" s="2994">
        <v>0</v>
      </c>
      <c r="H1234" s="2994">
        <v>0</v>
      </c>
      <c r="I1234" s="2994">
        <v>0</v>
      </c>
      <c r="J1234" s="2994">
        <v>0</v>
      </c>
      <c r="K1234" s="2994">
        <v>0</v>
      </c>
      <c r="L1234" s="2994">
        <v>0</v>
      </c>
      <c r="M1234" s="2994">
        <v>0</v>
      </c>
      <c r="N1234" s="2994">
        <v>0</v>
      </c>
      <c r="O1234" s="2994">
        <v>0</v>
      </c>
      <c r="P1234" s="2994">
        <v>0</v>
      </c>
      <c r="Q1234" s="2994">
        <v>0</v>
      </c>
      <c r="R1234" s="2994">
        <v>0</v>
      </c>
      <c r="S1234" s="2994">
        <v>0</v>
      </c>
      <c r="T1234" s="2994">
        <v>0</v>
      </c>
      <c r="U1234" s="2994">
        <v>0</v>
      </c>
      <c r="V1234" s="2994">
        <v>0</v>
      </c>
      <c r="W1234" s="2994">
        <v>0</v>
      </c>
      <c r="X1234" s="2994">
        <v>0</v>
      </c>
      <c r="Y1234" s="2994">
        <v>0</v>
      </c>
      <c r="Z1234" s="2994">
        <v>0</v>
      </c>
      <c r="AA1234" s="2994">
        <v>0</v>
      </c>
      <c r="AB1234" s="2994">
        <v>0</v>
      </c>
      <c r="AC1234" s="2994">
        <v>0</v>
      </c>
      <c r="AD1234" s="2994">
        <v>0</v>
      </c>
      <c r="AE1234" s="2994">
        <v>0</v>
      </c>
      <c r="AF1234" s="2994">
        <v>0</v>
      </c>
      <c r="AG1234" s="2994">
        <v>0</v>
      </c>
      <c r="AH1234" s="2994">
        <v>0</v>
      </c>
      <c r="AI1234" s="2994">
        <v>0</v>
      </c>
      <c r="AJ1234" s="2994">
        <v>0</v>
      </c>
      <c r="AK1234" s="2994">
        <v>0</v>
      </c>
      <c r="AL1234" s="2994">
        <v>0</v>
      </c>
      <c r="AM1234" s="2994">
        <v>0</v>
      </c>
      <c r="AN1234" s="2994">
        <v>0</v>
      </c>
      <c r="AO1234" s="2994">
        <v>0</v>
      </c>
      <c r="AP1234" s="2994">
        <v>0</v>
      </c>
      <c r="AQ1234" s="2994">
        <v>0</v>
      </c>
      <c r="AR1234" s="2994">
        <v>0</v>
      </c>
      <c r="AS1234" s="2994">
        <v>0</v>
      </c>
      <c r="AT1234" s="2994">
        <v>0</v>
      </c>
      <c r="AU1234" s="2994">
        <v>0</v>
      </c>
      <c r="AV1234" s="2994">
        <v>0</v>
      </c>
      <c r="AW1234" s="2994">
        <v>0</v>
      </c>
      <c r="AX1234" s="2994">
        <v>0</v>
      </c>
      <c r="AY1234" s="2994">
        <v>0</v>
      </c>
      <c r="AZ1234" s="2994">
        <v>0</v>
      </c>
      <c r="BA1234" s="2994">
        <v>0</v>
      </c>
      <c r="BB1234" s="2994">
        <v>0</v>
      </c>
      <c r="BC1234" s="2994">
        <v>0</v>
      </c>
      <c r="BD1234" s="3471">
        <v>0</v>
      </c>
      <c r="BE1234" s="3471">
        <v>0</v>
      </c>
      <c r="BF1234" s="3471">
        <v>0</v>
      </c>
    </row>
    <row r="1235" spans="1:58">
      <c r="A1235" s="1817" t="str">
        <f t="shared" si="39"/>
        <v>Eastern EuropeLentils</v>
      </c>
      <c r="B1235" s="1818" t="s">
        <v>302</v>
      </c>
      <c r="C1235" s="1818" t="s">
        <v>7344</v>
      </c>
      <c r="D1235" s="3463" t="str">
        <f>VLOOKUP(B1235,List_Yield!$G$4:$J$14,4,FALSE)</f>
        <v>Eastern Europe</v>
      </c>
      <c r="E1235" s="3463" t="str">
        <f t="shared" si="38"/>
        <v>Eastern EuropeLentils</v>
      </c>
      <c r="F1235" s="2994">
        <v>0.57869999999999999</v>
      </c>
      <c r="G1235" s="2994">
        <v>0.59970000000000001</v>
      </c>
      <c r="H1235" s="2994">
        <v>0.59450000000000003</v>
      </c>
      <c r="I1235" s="2994">
        <v>0.54510000000000003</v>
      </c>
      <c r="J1235" s="2994">
        <v>0.53820000000000001</v>
      </c>
      <c r="K1235" s="2994">
        <v>0.78820000000000001</v>
      </c>
      <c r="L1235" s="2994">
        <v>1.1005</v>
      </c>
      <c r="M1235" s="2994">
        <v>1.1618999999999999</v>
      </c>
      <c r="N1235" s="2994">
        <v>0.996</v>
      </c>
      <c r="O1235" s="2994">
        <v>1.0227999999999999</v>
      </c>
      <c r="P1235" s="2994">
        <v>0.85219999999999996</v>
      </c>
      <c r="Q1235" s="2994">
        <v>0.59109999999999996</v>
      </c>
      <c r="R1235" s="2994">
        <v>1.3633</v>
      </c>
      <c r="S1235" s="2994">
        <v>1.0169999999999999</v>
      </c>
      <c r="T1235" s="2994">
        <v>0.25800000000000001</v>
      </c>
      <c r="U1235" s="2994">
        <v>0.16009999999999999</v>
      </c>
      <c r="V1235" s="2994">
        <v>0.50070000000000003</v>
      </c>
      <c r="W1235" s="2994">
        <v>0.3886</v>
      </c>
      <c r="X1235" s="2994">
        <v>0.28549999999999998</v>
      </c>
      <c r="Y1235" s="2994">
        <v>0.82120000000000004</v>
      </c>
      <c r="Z1235" s="2994">
        <v>0.52049999999999996</v>
      </c>
      <c r="AA1235" s="2994">
        <v>0.66010000000000002</v>
      </c>
      <c r="AB1235" s="2994">
        <v>0.52549999999999997</v>
      </c>
      <c r="AC1235" s="2994">
        <v>0.54330000000000001</v>
      </c>
      <c r="AD1235" s="2994">
        <v>0.50760000000000005</v>
      </c>
      <c r="AE1235" s="2994">
        <v>0.4662</v>
      </c>
      <c r="AF1235" s="2994">
        <v>0.87470000000000003</v>
      </c>
      <c r="AG1235" s="2994">
        <v>0.69220000000000004</v>
      </c>
      <c r="AH1235" s="2994">
        <v>0.72150000000000003</v>
      </c>
      <c r="AI1235" s="2994">
        <v>0.53649999999999998</v>
      </c>
      <c r="AJ1235" s="2994">
        <v>0.75470000000000004</v>
      </c>
      <c r="AK1235" s="2994">
        <v>0.86729999999999996</v>
      </c>
      <c r="AL1235" s="2994">
        <v>0.4763</v>
      </c>
      <c r="AM1235" s="2994">
        <v>0.75490000000000002</v>
      </c>
      <c r="AN1235" s="2994">
        <v>0.86080000000000001</v>
      </c>
      <c r="AO1235" s="2994">
        <v>0.77</v>
      </c>
      <c r="AP1235" s="2994">
        <v>0.6744</v>
      </c>
      <c r="AQ1235" s="2994">
        <v>0.73970000000000002</v>
      </c>
      <c r="AR1235" s="2994">
        <v>0.83550000000000002</v>
      </c>
      <c r="AS1235" s="2994">
        <v>0.6784</v>
      </c>
      <c r="AT1235" s="2994">
        <v>0.85509999999999997</v>
      </c>
      <c r="AU1235" s="2994">
        <v>0.84960000000000002</v>
      </c>
      <c r="AV1235" s="2994">
        <v>0.85970000000000002</v>
      </c>
      <c r="AW1235" s="2994">
        <v>0.80569999999999997</v>
      </c>
      <c r="AX1235" s="2994">
        <v>0.94799999999999995</v>
      </c>
      <c r="AY1235" s="2994">
        <v>1.1877</v>
      </c>
      <c r="AZ1235" s="2994">
        <v>0.66539999999999999</v>
      </c>
      <c r="BA1235" s="2994">
        <v>0.83879999999999999</v>
      </c>
      <c r="BB1235" s="2994">
        <v>0.71950000000000003</v>
      </c>
      <c r="BC1235" s="2994">
        <v>0.58150000000000002</v>
      </c>
      <c r="BD1235" s="3471">
        <v>1.1234999999999999</v>
      </c>
      <c r="BE1235" s="3471">
        <v>0.69159999999999999</v>
      </c>
      <c r="BF1235" s="3471">
        <v>0.753</v>
      </c>
    </row>
    <row r="1236" spans="1:58">
      <c r="A1236" s="1817" t="str">
        <f t="shared" si="39"/>
        <v>Eastern EuropeLettuce and chicory</v>
      </c>
      <c r="B1236" s="1818" t="s">
        <v>302</v>
      </c>
      <c r="C1236" s="1818" t="s">
        <v>7345</v>
      </c>
      <c r="D1236" s="3463" t="str">
        <f>VLOOKUP(B1236,List_Yield!$G$4:$J$14,4,FALSE)</f>
        <v>Eastern Europe</v>
      </c>
      <c r="E1236" s="3463" t="str">
        <f t="shared" si="38"/>
        <v>Eastern EuropeLettuce and chicory</v>
      </c>
      <c r="F1236" s="2994">
        <v>10.0245</v>
      </c>
      <c r="G1236" s="2994">
        <v>10.7163</v>
      </c>
      <c r="H1236" s="2994">
        <v>10.4596</v>
      </c>
      <c r="I1236" s="2994">
        <v>12.241099999999999</v>
      </c>
      <c r="J1236" s="2994">
        <v>10.761699999999999</v>
      </c>
      <c r="K1236" s="2994">
        <v>10.446300000000001</v>
      </c>
      <c r="L1236" s="2994">
        <v>10.6327</v>
      </c>
      <c r="M1236" s="2994">
        <v>10.5283</v>
      </c>
      <c r="N1236" s="2994">
        <v>9.8917000000000002</v>
      </c>
      <c r="O1236" s="2994">
        <v>9.1785999999999994</v>
      </c>
      <c r="P1236" s="2994">
        <v>9.1275999999999993</v>
      </c>
      <c r="Q1236" s="2994">
        <v>9.6290999999999993</v>
      </c>
      <c r="R1236" s="2994">
        <v>9.1582000000000008</v>
      </c>
      <c r="S1236" s="2994">
        <v>9.9842999999999993</v>
      </c>
      <c r="T1236" s="2994">
        <v>8.8010000000000002</v>
      </c>
      <c r="U1236" s="2994">
        <v>8.4596</v>
      </c>
      <c r="V1236" s="2994">
        <v>8.7454000000000001</v>
      </c>
      <c r="W1236" s="2994">
        <v>8.8887999999999998</v>
      </c>
      <c r="X1236" s="2994">
        <v>8.6989000000000001</v>
      </c>
      <c r="Y1236" s="2994">
        <v>9.1242999999999999</v>
      </c>
      <c r="Z1236" s="2994">
        <v>8.9981000000000009</v>
      </c>
      <c r="AA1236" s="2994">
        <v>10.277799999999999</v>
      </c>
      <c r="AB1236" s="2994">
        <v>9.8488000000000007</v>
      </c>
      <c r="AC1236" s="2994">
        <v>9.4583999999999993</v>
      </c>
      <c r="AD1236" s="2994">
        <v>9.3133999999999997</v>
      </c>
      <c r="AE1236" s="2994">
        <v>9.8686000000000007</v>
      </c>
      <c r="AF1236" s="2994">
        <v>9.1972000000000005</v>
      </c>
      <c r="AG1236" s="2994">
        <v>7.8898999999999999</v>
      </c>
      <c r="AH1236" s="2994">
        <v>9.7075999999999993</v>
      </c>
      <c r="AI1236" s="2994">
        <v>9.7185000000000006</v>
      </c>
      <c r="AJ1236" s="2994">
        <v>9.9105000000000008</v>
      </c>
      <c r="AK1236" s="2994">
        <v>8.6780000000000008</v>
      </c>
      <c r="AL1236" s="2994">
        <v>9.4231999999999996</v>
      </c>
      <c r="AM1236" s="2994">
        <v>9.8884000000000007</v>
      </c>
      <c r="AN1236" s="2994">
        <v>11.061199999999999</v>
      </c>
      <c r="AO1236" s="2994">
        <v>10.454700000000001</v>
      </c>
      <c r="AP1236" s="2994">
        <v>10.5467</v>
      </c>
      <c r="AQ1236" s="2994">
        <v>11.1877</v>
      </c>
      <c r="AR1236" s="2994">
        <v>12.2471</v>
      </c>
      <c r="AS1236" s="2994">
        <v>11.5038</v>
      </c>
      <c r="AT1236" s="2994">
        <v>13.258699999999999</v>
      </c>
      <c r="AU1236" s="2994">
        <v>15.476900000000001</v>
      </c>
      <c r="AV1236" s="2994">
        <v>15.683999999999999</v>
      </c>
      <c r="AW1236" s="2994">
        <v>16.429400000000001</v>
      </c>
      <c r="AX1236" s="2994">
        <v>14.99</v>
      </c>
      <c r="AY1236" s="2994">
        <v>14.7333</v>
      </c>
      <c r="AZ1236" s="2994">
        <v>15.725899999999999</v>
      </c>
      <c r="BA1236" s="2994">
        <v>17.760400000000001</v>
      </c>
      <c r="BB1236" s="2994">
        <v>18.257000000000001</v>
      </c>
      <c r="BC1236" s="2994">
        <v>19.839200000000002</v>
      </c>
      <c r="BD1236" s="3471">
        <v>20.308399999999999</v>
      </c>
      <c r="BE1236" s="3471">
        <v>21.785</v>
      </c>
      <c r="BF1236" s="3471">
        <v>0</v>
      </c>
    </row>
    <row r="1237" spans="1:58">
      <c r="A1237" s="1817" t="str">
        <f t="shared" si="39"/>
        <v>Eastern EuropeLinseed</v>
      </c>
      <c r="B1237" s="1818" t="s">
        <v>302</v>
      </c>
      <c r="C1237" s="1818" t="s">
        <v>1355</v>
      </c>
      <c r="D1237" s="3463" t="str">
        <f>VLOOKUP(B1237,List_Yield!$G$4:$J$14,4,FALSE)</f>
        <v>Eastern Europe</v>
      </c>
      <c r="E1237" s="3463" t="str">
        <f t="shared" si="38"/>
        <v>Eastern EuropeLinseed</v>
      </c>
      <c r="F1237" s="2994">
        <v>0.25790000000000002</v>
      </c>
      <c r="G1237" s="2994">
        <v>0.2571</v>
      </c>
      <c r="H1237" s="2994">
        <v>0.26269999999999999</v>
      </c>
      <c r="I1237" s="2994">
        <v>0.2394</v>
      </c>
      <c r="J1237" s="2994">
        <v>0.29160000000000003</v>
      </c>
      <c r="K1237" s="2994">
        <v>0.3921</v>
      </c>
      <c r="L1237" s="2994">
        <v>0.34839999999999999</v>
      </c>
      <c r="M1237" s="2994">
        <v>0.33019999999999999</v>
      </c>
      <c r="N1237" s="2994">
        <v>0.32569999999999999</v>
      </c>
      <c r="O1237" s="2994">
        <v>0.3654</v>
      </c>
      <c r="P1237" s="2994">
        <v>0.37730000000000002</v>
      </c>
      <c r="Q1237" s="2994">
        <v>0.32450000000000001</v>
      </c>
      <c r="R1237" s="2994">
        <v>0.31680000000000003</v>
      </c>
      <c r="S1237" s="2994">
        <v>0.25319999999999998</v>
      </c>
      <c r="T1237" s="2994">
        <v>0.28320000000000001</v>
      </c>
      <c r="U1237" s="2994">
        <v>0.29239999999999999</v>
      </c>
      <c r="V1237" s="2994">
        <v>0.25359999999999999</v>
      </c>
      <c r="W1237" s="2994">
        <v>0.25409999999999999</v>
      </c>
      <c r="X1237" s="2994">
        <v>0.2492</v>
      </c>
      <c r="Y1237" s="2994">
        <v>0.19789999999999999</v>
      </c>
      <c r="Z1237" s="2994">
        <v>0.2278</v>
      </c>
      <c r="AA1237" s="2994">
        <v>0.26650000000000001</v>
      </c>
      <c r="AB1237" s="2994">
        <v>0.23980000000000001</v>
      </c>
      <c r="AC1237" s="2994">
        <v>0.24879999999999999</v>
      </c>
      <c r="AD1237" s="2994">
        <v>0.1961</v>
      </c>
      <c r="AE1237" s="2994">
        <v>0.23250000000000001</v>
      </c>
      <c r="AF1237" s="2994">
        <v>0.26240000000000002</v>
      </c>
      <c r="AG1237" s="2994">
        <v>0.25719999999999998</v>
      </c>
      <c r="AH1237" s="2994">
        <v>0.28299999999999997</v>
      </c>
      <c r="AI1237" s="2994">
        <v>0.27210000000000001</v>
      </c>
      <c r="AJ1237" s="2994">
        <v>0.253</v>
      </c>
      <c r="AK1237" s="2994">
        <v>0.2331</v>
      </c>
      <c r="AL1237" s="2994">
        <v>0.28349999999999997</v>
      </c>
      <c r="AM1237" s="2994">
        <v>0.35299999999999998</v>
      </c>
      <c r="AN1237" s="2994">
        <v>0.35370000000000001</v>
      </c>
      <c r="AO1237" s="2994">
        <v>0.3402</v>
      </c>
      <c r="AP1237" s="2994">
        <v>0.2475</v>
      </c>
      <c r="AQ1237" s="2994">
        <v>0.30969999999999998</v>
      </c>
      <c r="AR1237" s="2994">
        <v>0.3165</v>
      </c>
      <c r="AS1237" s="2994">
        <v>0.4103</v>
      </c>
      <c r="AT1237" s="2994">
        <v>0.41620000000000001</v>
      </c>
      <c r="AU1237" s="2994">
        <v>0.37980000000000003</v>
      </c>
      <c r="AV1237" s="2994">
        <v>0.52649999999999997</v>
      </c>
      <c r="AW1237" s="2994">
        <v>0.61939999999999995</v>
      </c>
      <c r="AX1237" s="2994">
        <v>0.69630000000000003</v>
      </c>
      <c r="AY1237" s="2994">
        <v>0.77249999999999996</v>
      </c>
      <c r="AZ1237" s="2994">
        <v>0.65849999999999997</v>
      </c>
      <c r="BA1237" s="2994">
        <v>0.89170000000000005</v>
      </c>
      <c r="BB1237" s="2994">
        <v>0.87549999999999994</v>
      </c>
      <c r="BC1237" s="2994">
        <v>1.0210999999999999</v>
      </c>
      <c r="BD1237" s="3471">
        <v>1.431</v>
      </c>
      <c r="BE1237" s="3471">
        <v>1.0471999999999999</v>
      </c>
      <c r="BF1237" s="3471">
        <v>0.75880000000000003</v>
      </c>
    </row>
    <row r="1238" spans="1:58">
      <c r="A1238" s="1817" t="str">
        <f t="shared" si="39"/>
        <v>Eastern EuropeLupins</v>
      </c>
      <c r="B1238" s="1818" t="s">
        <v>302</v>
      </c>
      <c r="C1238" s="1818" t="s">
        <v>7346</v>
      </c>
      <c r="D1238" s="3463" t="str">
        <f>VLOOKUP(B1238,List_Yield!$G$4:$J$14,4,FALSE)</f>
        <v>Eastern Europe</v>
      </c>
      <c r="E1238" s="3463" t="str">
        <f t="shared" si="38"/>
        <v>Eastern EuropeLupins</v>
      </c>
      <c r="F1238" s="2994">
        <v>0.59750000000000003</v>
      </c>
      <c r="G1238" s="2994">
        <v>0.47489999999999999</v>
      </c>
      <c r="H1238" s="2994">
        <v>0.34239999999999998</v>
      </c>
      <c r="I1238" s="2994">
        <v>0.50539999999999996</v>
      </c>
      <c r="J1238" s="2994">
        <v>0.97199999999999998</v>
      </c>
      <c r="K1238" s="2994">
        <v>0.89729999999999999</v>
      </c>
      <c r="L1238" s="2994">
        <v>0.8649</v>
      </c>
      <c r="M1238" s="2994">
        <v>0.88759999999999994</v>
      </c>
      <c r="N1238" s="2994">
        <v>0.88360000000000005</v>
      </c>
      <c r="O1238" s="2994">
        <v>0.89180000000000004</v>
      </c>
      <c r="P1238" s="2994">
        <v>0.95750000000000002</v>
      </c>
      <c r="Q1238" s="2994">
        <v>0.86799999999999999</v>
      </c>
      <c r="R1238" s="2994">
        <v>0.98540000000000005</v>
      </c>
      <c r="S1238" s="2994">
        <v>0.96719999999999995</v>
      </c>
      <c r="T1238" s="2994">
        <v>0.61809999999999998</v>
      </c>
      <c r="U1238" s="2994">
        <v>0.81210000000000004</v>
      </c>
      <c r="V1238" s="2994">
        <v>0.91269999999999996</v>
      </c>
      <c r="W1238" s="2994">
        <v>0.80679999999999996</v>
      </c>
      <c r="X1238" s="2994">
        <v>0.42670000000000002</v>
      </c>
      <c r="Y1238" s="2994">
        <v>0.54869999999999997</v>
      </c>
      <c r="Z1238" s="2994">
        <v>0.3836</v>
      </c>
      <c r="AA1238" s="2994">
        <v>0.70220000000000005</v>
      </c>
      <c r="AB1238" s="2994">
        <v>1.0437000000000001</v>
      </c>
      <c r="AC1238" s="2994">
        <v>1.1614</v>
      </c>
      <c r="AD1238" s="2994">
        <v>1.4362999999999999</v>
      </c>
      <c r="AE1238" s="2994">
        <v>0.67459999999999998</v>
      </c>
      <c r="AF1238" s="2994">
        <v>0.87280000000000002</v>
      </c>
      <c r="AG1238" s="2994">
        <v>0.87960000000000005</v>
      </c>
      <c r="AH1238" s="2994">
        <v>0.88759999999999994</v>
      </c>
      <c r="AI1238" s="2994">
        <v>1.52</v>
      </c>
      <c r="AJ1238" s="2994">
        <v>1.2698</v>
      </c>
      <c r="AK1238" s="2994">
        <v>0.56910000000000005</v>
      </c>
      <c r="AL1238" s="2994">
        <v>0.92269999999999996</v>
      </c>
      <c r="AM1238" s="2994">
        <v>0.73409999999999997</v>
      </c>
      <c r="AN1238" s="2994">
        <v>0.88919999999999999</v>
      </c>
      <c r="AO1238" s="2994">
        <v>0.9677</v>
      </c>
      <c r="AP1238" s="2994">
        <v>0.91269999999999996</v>
      </c>
      <c r="AQ1238" s="2994">
        <v>1.4521999999999999</v>
      </c>
      <c r="AR1238" s="2994">
        <v>1.1186</v>
      </c>
      <c r="AS1238" s="2994">
        <v>1.1487000000000001</v>
      </c>
      <c r="AT1238" s="2994">
        <v>1.2145999999999999</v>
      </c>
      <c r="AU1238" s="2994">
        <v>1.3142</v>
      </c>
      <c r="AV1238" s="2994">
        <v>1.4822</v>
      </c>
      <c r="AW1238" s="2994">
        <v>1.8802000000000001</v>
      </c>
      <c r="AX1238" s="2994">
        <v>1.6537999999999999</v>
      </c>
      <c r="AY1238" s="2994">
        <v>1.1392</v>
      </c>
      <c r="AZ1238" s="2994">
        <v>1.3241000000000001</v>
      </c>
      <c r="BA1238" s="2994">
        <v>1.7950999999999999</v>
      </c>
      <c r="BB1238" s="2994">
        <v>1.6807000000000001</v>
      </c>
      <c r="BC1238" s="2994">
        <v>1.5378000000000001</v>
      </c>
      <c r="BD1238" s="3471">
        <v>1.5387</v>
      </c>
      <c r="BE1238" s="3471">
        <v>1.6485000000000001</v>
      </c>
      <c r="BF1238" s="3471">
        <v>1.6754</v>
      </c>
    </row>
    <row r="1239" spans="1:58">
      <c r="A1239" s="1817" t="str">
        <f t="shared" si="39"/>
        <v>Eastern EuropeMaize</v>
      </c>
      <c r="B1239" s="1818" t="s">
        <v>302</v>
      </c>
      <c r="C1239" s="1818" t="s">
        <v>1356</v>
      </c>
      <c r="D1239" s="3463" t="str">
        <f>VLOOKUP(B1239,List_Yield!$G$4:$J$14,4,FALSE)</f>
        <v>Eastern Europe</v>
      </c>
      <c r="E1239" s="3463" t="str">
        <f t="shared" si="38"/>
        <v>Eastern EuropeMaize</v>
      </c>
      <c r="F1239" s="2994">
        <v>2.1562999999999999</v>
      </c>
      <c r="G1239" s="2994">
        <v>2.0960000000000001</v>
      </c>
      <c r="H1239" s="2994">
        <v>1.8402000000000001</v>
      </c>
      <c r="I1239" s="2994">
        <v>2.5371000000000001</v>
      </c>
      <c r="J1239" s="2994">
        <v>2.2759</v>
      </c>
      <c r="K1239" s="2994">
        <v>2.7181999999999999</v>
      </c>
      <c r="L1239" s="2994">
        <v>2.5369000000000002</v>
      </c>
      <c r="M1239" s="2994">
        <v>2.5364</v>
      </c>
      <c r="N1239" s="2994">
        <v>2.8997000000000002</v>
      </c>
      <c r="O1239" s="2994">
        <v>2.7275999999999998</v>
      </c>
      <c r="P1239" s="2994">
        <v>2.8206000000000002</v>
      </c>
      <c r="Q1239" s="2994">
        <v>3.0531000000000001</v>
      </c>
      <c r="R1239" s="2994">
        <v>3.1354000000000002</v>
      </c>
      <c r="S1239" s="2994">
        <v>3.0905999999999998</v>
      </c>
      <c r="T1239" s="2994">
        <v>3.3492000000000002</v>
      </c>
      <c r="U1239" s="2994">
        <v>3.4203000000000001</v>
      </c>
      <c r="V1239" s="2994">
        <v>3.4443999999999999</v>
      </c>
      <c r="W1239" s="2994">
        <v>3.6339000000000001</v>
      </c>
      <c r="X1239" s="2994">
        <v>3.8687999999999998</v>
      </c>
      <c r="Y1239" s="2994">
        <v>3.5966999999999998</v>
      </c>
      <c r="Z1239" s="2994">
        <v>3.2614999999999998</v>
      </c>
      <c r="AA1239" s="2994">
        <v>4.2324999999999999</v>
      </c>
      <c r="AB1239" s="2994">
        <v>3.8843999999999999</v>
      </c>
      <c r="AC1239" s="2994">
        <v>3.8386999999999998</v>
      </c>
      <c r="AD1239" s="2994">
        <v>3.8302999999999998</v>
      </c>
      <c r="AE1239" s="2994">
        <v>3.8294999999999999</v>
      </c>
      <c r="AF1239" s="2994">
        <v>3.5331000000000001</v>
      </c>
      <c r="AG1239" s="2994">
        <v>3.6318999999999999</v>
      </c>
      <c r="AH1239" s="2994">
        <v>3.7170000000000001</v>
      </c>
      <c r="AI1239" s="2994">
        <v>3.3081999999999998</v>
      </c>
      <c r="AJ1239" s="2994">
        <v>4.2687999999999997</v>
      </c>
      <c r="AK1239" s="2994">
        <v>2.5796999999999999</v>
      </c>
      <c r="AL1239" s="2994">
        <v>2.9127000000000001</v>
      </c>
      <c r="AM1239" s="2994">
        <v>3.0339999999999998</v>
      </c>
      <c r="AN1239" s="2994">
        <v>3.3858000000000001</v>
      </c>
      <c r="AO1239" s="2994">
        <v>3.2677</v>
      </c>
      <c r="AP1239" s="2994">
        <v>4.1944999999999997</v>
      </c>
      <c r="AQ1239" s="2994">
        <v>3.2629000000000001</v>
      </c>
      <c r="AR1239" s="2994">
        <v>3.9138000000000002</v>
      </c>
      <c r="AS1239" s="2994">
        <v>2.5032999999999999</v>
      </c>
      <c r="AT1239" s="2994">
        <v>3.6697000000000002</v>
      </c>
      <c r="AU1239" s="2994">
        <v>3.734</v>
      </c>
      <c r="AV1239" s="2994">
        <v>3.3839999999999999</v>
      </c>
      <c r="AW1239" s="2994">
        <v>4.6787999999999998</v>
      </c>
      <c r="AX1239" s="2994">
        <v>4.7872000000000003</v>
      </c>
      <c r="AY1239" s="2994">
        <v>4.2218999999999998</v>
      </c>
      <c r="AZ1239" s="2994">
        <v>2.9971000000000001</v>
      </c>
      <c r="BA1239" s="2994">
        <v>4.5616000000000003</v>
      </c>
      <c r="BB1239" s="2994">
        <v>4.5460000000000003</v>
      </c>
      <c r="BC1239" s="2994">
        <v>4.6466000000000003</v>
      </c>
      <c r="BD1239" s="3471">
        <v>5.5433000000000003</v>
      </c>
      <c r="BE1239" s="3471">
        <v>4.0269000000000004</v>
      </c>
      <c r="BF1239" s="3471">
        <v>5.5077999999999996</v>
      </c>
    </row>
    <row r="1240" spans="1:58">
      <c r="A1240" s="1817" t="str">
        <f t="shared" si="39"/>
        <v>Eastern EuropeMaize, green</v>
      </c>
      <c r="B1240" s="1818" t="s">
        <v>302</v>
      </c>
      <c r="C1240" s="1818" t="s">
        <v>1357</v>
      </c>
      <c r="D1240" s="3463" t="str">
        <f>VLOOKUP(B1240,List_Yield!$G$4:$J$14,4,FALSE)</f>
        <v>Eastern Europe</v>
      </c>
      <c r="E1240" s="3463" t="str">
        <f t="shared" si="38"/>
        <v>Eastern EuropeMaize, green</v>
      </c>
      <c r="F1240" s="2994">
        <v>0</v>
      </c>
      <c r="G1240" s="2994">
        <v>0</v>
      </c>
      <c r="H1240" s="2994">
        <v>0</v>
      </c>
      <c r="I1240" s="2994">
        <v>0</v>
      </c>
      <c r="J1240" s="2994">
        <v>0</v>
      </c>
      <c r="K1240" s="2994">
        <v>0</v>
      </c>
      <c r="L1240" s="2994">
        <v>0</v>
      </c>
      <c r="M1240" s="2994">
        <v>0</v>
      </c>
      <c r="N1240" s="2994">
        <v>0</v>
      </c>
      <c r="O1240" s="2994">
        <v>0</v>
      </c>
      <c r="P1240" s="2994">
        <v>0</v>
      </c>
      <c r="Q1240" s="2994">
        <v>0</v>
      </c>
      <c r="R1240" s="2994">
        <v>0</v>
      </c>
      <c r="S1240" s="2994">
        <v>0</v>
      </c>
      <c r="T1240" s="2994">
        <v>0</v>
      </c>
      <c r="U1240" s="2994">
        <v>0</v>
      </c>
      <c r="V1240" s="2994">
        <v>0</v>
      </c>
      <c r="W1240" s="2994">
        <v>0</v>
      </c>
      <c r="X1240" s="2994">
        <v>0</v>
      </c>
      <c r="Y1240" s="2994">
        <v>0</v>
      </c>
      <c r="Z1240" s="2994">
        <v>0</v>
      </c>
      <c r="AA1240" s="2994">
        <v>7.2454000000000001</v>
      </c>
      <c r="AB1240" s="2994">
        <v>5.5365000000000002</v>
      </c>
      <c r="AC1240" s="2994">
        <v>5.9135999999999997</v>
      </c>
      <c r="AD1240" s="2994">
        <v>6.25</v>
      </c>
      <c r="AE1240" s="2994">
        <v>6.4211999999999998</v>
      </c>
      <c r="AF1240" s="2994">
        <v>6.7436999999999996</v>
      </c>
      <c r="AG1240" s="2994">
        <v>8.6441999999999997</v>
      </c>
      <c r="AH1240" s="2994">
        <v>7.7778</v>
      </c>
      <c r="AI1240" s="2994">
        <v>8.7139000000000006</v>
      </c>
      <c r="AJ1240" s="2994">
        <v>8.8444000000000003</v>
      </c>
      <c r="AK1240" s="2994">
        <v>7.4325000000000001</v>
      </c>
      <c r="AL1240" s="2994">
        <v>9.0330999999999992</v>
      </c>
      <c r="AM1240" s="2994">
        <v>10.199</v>
      </c>
      <c r="AN1240" s="2994">
        <v>8.9693000000000005</v>
      </c>
      <c r="AO1240" s="2994">
        <v>11.4711</v>
      </c>
      <c r="AP1240" s="2994">
        <v>11.6226</v>
      </c>
      <c r="AQ1240" s="2994">
        <v>12.158799999999999</v>
      </c>
      <c r="AR1240" s="2994">
        <v>12.9877</v>
      </c>
      <c r="AS1240" s="2994">
        <v>12.7874</v>
      </c>
      <c r="AT1240" s="2994">
        <v>15.5662</v>
      </c>
      <c r="AU1240" s="2994">
        <v>13.8108</v>
      </c>
      <c r="AV1240" s="2994">
        <v>14.0358</v>
      </c>
      <c r="AW1240" s="2994">
        <v>15.7988</v>
      </c>
      <c r="AX1240" s="2994">
        <v>12.7925</v>
      </c>
      <c r="AY1240" s="2994">
        <v>15.041399999999999</v>
      </c>
      <c r="AZ1240" s="2994">
        <v>15.520200000000001</v>
      </c>
      <c r="BA1240" s="2994">
        <v>16.486799999999999</v>
      </c>
      <c r="BB1240" s="2994">
        <v>14.6381</v>
      </c>
      <c r="BC1240" s="2994">
        <v>12.9374</v>
      </c>
      <c r="BD1240" s="3471">
        <v>15.0343</v>
      </c>
      <c r="BE1240" s="3471">
        <v>13.872299999999999</v>
      </c>
      <c r="BF1240" s="3471">
        <v>0</v>
      </c>
    </row>
    <row r="1241" spans="1:58">
      <c r="A1241" s="1817" t="str">
        <f t="shared" si="39"/>
        <v>Eastern EuropeMangoes, mangosteens, guavas</v>
      </c>
      <c r="B1241" s="1818" t="s">
        <v>302</v>
      </c>
      <c r="C1241" s="1818" t="s">
        <v>1358</v>
      </c>
      <c r="D1241" s="3463" t="str">
        <f>VLOOKUP(B1241,List_Yield!$G$4:$J$14,4,FALSE)</f>
        <v>Eastern Europe</v>
      </c>
      <c r="E1241" s="3463" t="str">
        <f t="shared" si="38"/>
        <v>Eastern EuropeMangoes, mangosteens, guavas</v>
      </c>
      <c r="F1241" s="2994">
        <v>0</v>
      </c>
      <c r="G1241" s="2994">
        <v>0</v>
      </c>
      <c r="H1241" s="2994">
        <v>0</v>
      </c>
      <c r="I1241" s="2994">
        <v>0</v>
      </c>
      <c r="J1241" s="2994">
        <v>0</v>
      </c>
      <c r="K1241" s="2994">
        <v>0</v>
      </c>
      <c r="L1241" s="2994">
        <v>0</v>
      </c>
      <c r="M1241" s="2994">
        <v>0</v>
      </c>
      <c r="N1241" s="2994">
        <v>0</v>
      </c>
      <c r="O1241" s="2994">
        <v>0</v>
      </c>
      <c r="P1241" s="2994">
        <v>0</v>
      </c>
      <c r="Q1241" s="2994">
        <v>0</v>
      </c>
      <c r="R1241" s="2994">
        <v>0</v>
      </c>
      <c r="S1241" s="2994">
        <v>0</v>
      </c>
      <c r="T1241" s="2994">
        <v>0</v>
      </c>
      <c r="U1241" s="2994">
        <v>0</v>
      </c>
      <c r="V1241" s="2994">
        <v>0</v>
      </c>
      <c r="W1241" s="2994">
        <v>0</v>
      </c>
      <c r="X1241" s="2994">
        <v>0</v>
      </c>
      <c r="Y1241" s="2994">
        <v>0</v>
      </c>
      <c r="Z1241" s="2994">
        <v>0</v>
      </c>
      <c r="AA1241" s="2994">
        <v>0</v>
      </c>
      <c r="AB1241" s="2994">
        <v>0</v>
      </c>
      <c r="AC1241" s="2994">
        <v>0</v>
      </c>
      <c r="AD1241" s="2994">
        <v>0</v>
      </c>
      <c r="AE1241" s="2994">
        <v>0</v>
      </c>
      <c r="AF1241" s="2994">
        <v>0</v>
      </c>
      <c r="AG1241" s="2994">
        <v>0</v>
      </c>
      <c r="AH1241" s="2994">
        <v>0</v>
      </c>
      <c r="AI1241" s="2994">
        <v>0</v>
      </c>
      <c r="AJ1241" s="2994">
        <v>0</v>
      </c>
      <c r="AK1241" s="2994">
        <v>0</v>
      </c>
      <c r="AL1241" s="2994">
        <v>0</v>
      </c>
      <c r="AM1241" s="2994">
        <v>0</v>
      </c>
      <c r="AN1241" s="2994">
        <v>0</v>
      </c>
      <c r="AO1241" s="2994">
        <v>0</v>
      </c>
      <c r="AP1241" s="2994">
        <v>0</v>
      </c>
      <c r="AQ1241" s="2994">
        <v>0</v>
      </c>
      <c r="AR1241" s="2994">
        <v>0</v>
      </c>
      <c r="AS1241" s="2994">
        <v>0</v>
      </c>
      <c r="AT1241" s="2994">
        <v>0</v>
      </c>
      <c r="AU1241" s="2994">
        <v>0</v>
      </c>
      <c r="AV1241" s="2994">
        <v>0</v>
      </c>
      <c r="AW1241" s="2994">
        <v>0</v>
      </c>
      <c r="AX1241" s="2994">
        <v>0</v>
      </c>
      <c r="AY1241" s="2994">
        <v>0</v>
      </c>
      <c r="AZ1241" s="2994">
        <v>0</v>
      </c>
      <c r="BA1241" s="2994">
        <v>0</v>
      </c>
      <c r="BB1241" s="2994">
        <v>0</v>
      </c>
      <c r="BC1241" s="2994">
        <v>0</v>
      </c>
      <c r="BD1241" s="3471">
        <v>0</v>
      </c>
      <c r="BE1241" s="3471">
        <v>0</v>
      </c>
      <c r="BF1241" s="3471">
        <v>0</v>
      </c>
    </row>
    <row r="1242" spans="1:58">
      <c r="A1242" s="1817" t="str">
        <f t="shared" si="39"/>
        <v>Eastern EuropeManila fibre (abaca)</v>
      </c>
      <c r="B1242" s="1818" t="s">
        <v>302</v>
      </c>
      <c r="C1242" s="1818" t="s">
        <v>7347</v>
      </c>
      <c r="D1242" s="3463" t="str">
        <f>VLOOKUP(B1242,List_Yield!$G$4:$J$14,4,FALSE)</f>
        <v>Eastern Europe</v>
      </c>
      <c r="E1242" s="3463" t="str">
        <f t="shared" si="38"/>
        <v>Eastern EuropeManila fibre (abaca)</v>
      </c>
      <c r="F1242" s="2994">
        <v>0</v>
      </c>
      <c r="G1242" s="2994">
        <v>0</v>
      </c>
      <c r="H1242" s="2994">
        <v>0</v>
      </c>
      <c r="I1242" s="2994">
        <v>0</v>
      </c>
      <c r="J1242" s="2994">
        <v>0</v>
      </c>
      <c r="K1242" s="2994">
        <v>0</v>
      </c>
      <c r="L1242" s="2994">
        <v>0</v>
      </c>
      <c r="M1242" s="2994">
        <v>0</v>
      </c>
      <c r="N1242" s="2994">
        <v>0</v>
      </c>
      <c r="O1242" s="2994">
        <v>0</v>
      </c>
      <c r="P1242" s="2994">
        <v>0</v>
      </c>
      <c r="Q1242" s="2994">
        <v>0</v>
      </c>
      <c r="R1242" s="2994">
        <v>0</v>
      </c>
      <c r="S1242" s="2994">
        <v>0</v>
      </c>
      <c r="T1242" s="2994">
        <v>0</v>
      </c>
      <c r="U1242" s="2994">
        <v>0</v>
      </c>
      <c r="V1242" s="2994">
        <v>0</v>
      </c>
      <c r="W1242" s="2994">
        <v>0</v>
      </c>
      <c r="X1242" s="2994">
        <v>0</v>
      </c>
      <c r="Y1242" s="2994">
        <v>0</v>
      </c>
      <c r="Z1242" s="2994">
        <v>0</v>
      </c>
      <c r="AA1242" s="2994">
        <v>0</v>
      </c>
      <c r="AB1242" s="2994">
        <v>0</v>
      </c>
      <c r="AC1242" s="2994">
        <v>0</v>
      </c>
      <c r="AD1242" s="2994">
        <v>0</v>
      </c>
      <c r="AE1242" s="2994">
        <v>0</v>
      </c>
      <c r="AF1242" s="2994">
        <v>0</v>
      </c>
      <c r="AG1242" s="2994">
        <v>0</v>
      </c>
      <c r="AH1242" s="2994">
        <v>0</v>
      </c>
      <c r="AI1242" s="2994">
        <v>0</v>
      </c>
      <c r="AJ1242" s="2994">
        <v>0</v>
      </c>
      <c r="AK1242" s="2994">
        <v>0</v>
      </c>
      <c r="AL1242" s="2994">
        <v>0</v>
      </c>
      <c r="AM1242" s="2994">
        <v>0</v>
      </c>
      <c r="AN1242" s="2994">
        <v>0</v>
      </c>
      <c r="AO1242" s="2994">
        <v>0</v>
      </c>
      <c r="AP1242" s="2994">
        <v>0</v>
      </c>
      <c r="AQ1242" s="2994">
        <v>0</v>
      </c>
      <c r="AR1242" s="2994">
        <v>0</v>
      </c>
      <c r="AS1242" s="2994">
        <v>0</v>
      </c>
      <c r="AT1242" s="2994">
        <v>0</v>
      </c>
      <c r="AU1242" s="2994">
        <v>0</v>
      </c>
      <c r="AV1242" s="2994">
        <v>0</v>
      </c>
      <c r="AW1242" s="2994">
        <v>0</v>
      </c>
      <c r="AX1242" s="2994">
        <v>0</v>
      </c>
      <c r="AY1242" s="2994">
        <v>0</v>
      </c>
      <c r="AZ1242" s="2994">
        <v>0</v>
      </c>
      <c r="BA1242" s="2994">
        <v>0</v>
      </c>
      <c r="BB1242" s="2994">
        <v>0</v>
      </c>
      <c r="BC1242" s="2994">
        <v>0</v>
      </c>
      <c r="BD1242" s="3471">
        <v>0</v>
      </c>
      <c r="BE1242" s="3471">
        <v>0</v>
      </c>
      <c r="BF1242" s="3471">
        <v>0</v>
      </c>
    </row>
    <row r="1243" spans="1:58">
      <c r="A1243" s="1817" t="str">
        <f t="shared" si="39"/>
        <v>Eastern EuropeMaté</v>
      </c>
      <c r="B1243" s="1818" t="s">
        <v>302</v>
      </c>
      <c r="C1243" s="1818" t="s">
        <v>2268</v>
      </c>
      <c r="D1243" s="3463" t="str">
        <f>VLOOKUP(B1243,List_Yield!$G$4:$J$14,4,FALSE)</f>
        <v>Eastern Europe</v>
      </c>
      <c r="E1243" s="3463" t="str">
        <f t="shared" si="38"/>
        <v>Eastern EuropeMaté</v>
      </c>
      <c r="F1243" s="2994">
        <v>0</v>
      </c>
      <c r="G1243" s="2994">
        <v>0</v>
      </c>
      <c r="H1243" s="2994">
        <v>0</v>
      </c>
      <c r="I1243" s="2994">
        <v>0</v>
      </c>
      <c r="J1243" s="2994">
        <v>0</v>
      </c>
      <c r="K1243" s="2994">
        <v>0</v>
      </c>
      <c r="L1243" s="2994">
        <v>0</v>
      </c>
      <c r="M1243" s="2994">
        <v>0</v>
      </c>
      <c r="N1243" s="2994">
        <v>0</v>
      </c>
      <c r="O1243" s="2994">
        <v>0</v>
      </c>
      <c r="P1243" s="2994">
        <v>0</v>
      </c>
      <c r="Q1243" s="2994">
        <v>0</v>
      </c>
      <c r="R1243" s="2994">
        <v>0</v>
      </c>
      <c r="S1243" s="2994">
        <v>0</v>
      </c>
      <c r="T1243" s="2994">
        <v>0</v>
      </c>
      <c r="U1243" s="2994">
        <v>0</v>
      </c>
      <c r="V1243" s="2994">
        <v>0</v>
      </c>
      <c r="W1243" s="2994">
        <v>0</v>
      </c>
      <c r="X1243" s="2994">
        <v>0</v>
      </c>
      <c r="Y1243" s="2994">
        <v>0</v>
      </c>
      <c r="Z1243" s="2994">
        <v>0</v>
      </c>
      <c r="AA1243" s="2994">
        <v>0</v>
      </c>
      <c r="AB1243" s="2994">
        <v>0</v>
      </c>
      <c r="AC1243" s="2994">
        <v>0</v>
      </c>
      <c r="AD1243" s="2994">
        <v>0</v>
      </c>
      <c r="AE1243" s="2994">
        <v>0</v>
      </c>
      <c r="AF1243" s="2994">
        <v>0</v>
      </c>
      <c r="AG1243" s="2994">
        <v>0</v>
      </c>
      <c r="AH1243" s="2994">
        <v>0</v>
      </c>
      <c r="AI1243" s="2994">
        <v>0</v>
      </c>
      <c r="AJ1243" s="2994">
        <v>0</v>
      </c>
      <c r="AK1243" s="2994">
        <v>0</v>
      </c>
      <c r="AL1243" s="2994">
        <v>0</v>
      </c>
      <c r="AM1243" s="2994">
        <v>0</v>
      </c>
      <c r="AN1243" s="2994">
        <v>0</v>
      </c>
      <c r="AO1243" s="2994">
        <v>0</v>
      </c>
      <c r="AP1243" s="2994">
        <v>0</v>
      </c>
      <c r="AQ1243" s="2994">
        <v>0</v>
      </c>
      <c r="AR1243" s="2994">
        <v>0</v>
      </c>
      <c r="AS1243" s="2994">
        <v>0</v>
      </c>
      <c r="AT1243" s="2994">
        <v>0</v>
      </c>
      <c r="AU1243" s="2994">
        <v>0</v>
      </c>
      <c r="AV1243" s="2994">
        <v>0</v>
      </c>
      <c r="AW1243" s="2994">
        <v>0</v>
      </c>
      <c r="AX1243" s="2994">
        <v>0</v>
      </c>
      <c r="AY1243" s="2994">
        <v>0</v>
      </c>
      <c r="AZ1243" s="2994">
        <v>0</v>
      </c>
      <c r="BA1243" s="2994">
        <v>0</v>
      </c>
      <c r="BB1243" s="2994">
        <v>0</v>
      </c>
      <c r="BC1243" s="2994">
        <v>0</v>
      </c>
      <c r="BD1243" s="3471">
        <v>0</v>
      </c>
      <c r="BE1243" s="3471">
        <v>0</v>
      </c>
      <c r="BF1243" s="3471">
        <v>0</v>
      </c>
    </row>
    <row r="1244" spans="1:58">
      <c r="A1244" s="1817" t="str">
        <f t="shared" si="39"/>
        <v>Eastern EuropeMelons, other (inc.cantaloupes)</v>
      </c>
      <c r="B1244" s="1818" t="s">
        <v>302</v>
      </c>
      <c r="C1244" s="1818" t="s">
        <v>7348</v>
      </c>
      <c r="D1244" s="3463" t="str">
        <f>VLOOKUP(B1244,List_Yield!$G$4:$J$14,4,FALSE)</f>
        <v>Eastern Europe</v>
      </c>
      <c r="E1244" s="3463" t="str">
        <f t="shared" si="38"/>
        <v>Eastern EuropeMelons, other (inc.cantaloupes)</v>
      </c>
      <c r="F1244" s="2994">
        <v>8.5274000000000001</v>
      </c>
      <c r="G1244" s="2994">
        <v>7.0144000000000002</v>
      </c>
      <c r="H1244" s="2994">
        <v>10.365500000000001</v>
      </c>
      <c r="I1244" s="2994">
        <v>8.4126999999999992</v>
      </c>
      <c r="J1244" s="2994">
        <v>7.3829000000000002</v>
      </c>
      <c r="K1244" s="2994">
        <v>9.3513999999999999</v>
      </c>
      <c r="L1244" s="2994">
        <v>10.6784</v>
      </c>
      <c r="M1244" s="2994">
        <v>7.0654000000000003</v>
      </c>
      <c r="N1244" s="2994">
        <v>7.3334000000000001</v>
      </c>
      <c r="O1244" s="2994">
        <v>7.3811999999999998</v>
      </c>
      <c r="P1244" s="2994">
        <v>9.7035</v>
      </c>
      <c r="Q1244" s="2994">
        <v>9.0571999999999999</v>
      </c>
      <c r="R1244" s="2994">
        <v>9.7361000000000004</v>
      </c>
      <c r="S1244" s="2994">
        <v>11.948700000000001</v>
      </c>
      <c r="T1244" s="2994">
        <v>12.212999999999999</v>
      </c>
      <c r="U1244" s="2994">
        <v>8.0809999999999995</v>
      </c>
      <c r="V1244" s="2994">
        <v>10.0505</v>
      </c>
      <c r="W1244" s="2994">
        <v>9.9641999999999999</v>
      </c>
      <c r="X1244" s="2994">
        <v>11.682</v>
      </c>
      <c r="Y1244" s="2994">
        <v>10.2018</v>
      </c>
      <c r="Z1244" s="2994">
        <v>10.659599999999999</v>
      </c>
      <c r="AA1244" s="2994">
        <v>11.1882</v>
      </c>
      <c r="AB1244" s="2994">
        <v>10.0623</v>
      </c>
      <c r="AC1244" s="2994">
        <v>14.2317</v>
      </c>
      <c r="AD1244" s="2994">
        <v>18.2395</v>
      </c>
      <c r="AE1244" s="2994">
        <v>16.496099999999998</v>
      </c>
      <c r="AF1244" s="2994">
        <v>16.498100000000001</v>
      </c>
      <c r="AG1244" s="2994">
        <v>18.597200000000001</v>
      </c>
      <c r="AH1244" s="2994">
        <v>10.0001</v>
      </c>
      <c r="AI1244" s="2994">
        <v>11.511699999999999</v>
      </c>
      <c r="AJ1244" s="2994">
        <v>15.6897</v>
      </c>
      <c r="AK1244" s="2994">
        <v>13.097899999999999</v>
      </c>
      <c r="AL1244" s="2994">
        <v>12.862</v>
      </c>
      <c r="AM1244" s="2994">
        <v>13.722</v>
      </c>
      <c r="AN1244" s="2994">
        <v>11.859500000000001</v>
      </c>
      <c r="AO1244" s="2994">
        <v>12.390599999999999</v>
      </c>
      <c r="AP1244" s="2994">
        <v>12.461399999999999</v>
      </c>
      <c r="AQ1244" s="2994">
        <v>13.058</v>
      </c>
      <c r="AR1244" s="2994">
        <v>7.0491999999999999</v>
      </c>
      <c r="AS1244" s="2994">
        <v>5.2252999999999998</v>
      </c>
      <c r="AT1244" s="2994">
        <v>5.13</v>
      </c>
      <c r="AU1244" s="2994">
        <v>6.3007</v>
      </c>
      <c r="AV1244" s="2994">
        <v>6.2718999999999996</v>
      </c>
      <c r="AW1244" s="2994">
        <v>7.9817999999999998</v>
      </c>
      <c r="AX1244" s="2994">
        <v>8.5498999999999992</v>
      </c>
      <c r="AY1244" s="2994">
        <v>8.6904000000000003</v>
      </c>
      <c r="AZ1244" s="2994">
        <v>6.4721000000000002</v>
      </c>
      <c r="BA1244" s="2994">
        <v>6.8159000000000001</v>
      </c>
      <c r="BB1244" s="2994">
        <v>6.9305000000000003</v>
      </c>
      <c r="BC1244" s="2994">
        <v>7.4025999999999996</v>
      </c>
      <c r="BD1244" s="3471">
        <v>7.0060000000000002</v>
      </c>
      <c r="BE1244" s="3471">
        <v>8.8132999999999999</v>
      </c>
      <c r="BF1244" s="3471">
        <v>0</v>
      </c>
    </row>
    <row r="1245" spans="1:58">
      <c r="A1245" s="1817" t="str">
        <f t="shared" si="39"/>
        <v>Eastern EuropeMelonseed</v>
      </c>
      <c r="B1245" s="1818" t="s">
        <v>302</v>
      </c>
      <c r="C1245" s="1818" t="s">
        <v>7349</v>
      </c>
      <c r="D1245" s="3463" t="str">
        <f>VLOOKUP(B1245,List_Yield!$G$4:$J$14,4,FALSE)</f>
        <v>Eastern Europe</v>
      </c>
      <c r="E1245" s="3463" t="str">
        <f t="shared" si="38"/>
        <v>Eastern EuropeMelonseed</v>
      </c>
      <c r="F1245" s="2994">
        <v>0</v>
      </c>
      <c r="G1245" s="2994">
        <v>0</v>
      </c>
      <c r="H1245" s="2994">
        <v>0</v>
      </c>
      <c r="I1245" s="2994">
        <v>0</v>
      </c>
      <c r="J1245" s="2994">
        <v>0</v>
      </c>
      <c r="K1245" s="2994">
        <v>0</v>
      </c>
      <c r="L1245" s="2994">
        <v>0</v>
      </c>
      <c r="M1245" s="2994">
        <v>0</v>
      </c>
      <c r="N1245" s="2994">
        <v>0</v>
      </c>
      <c r="O1245" s="2994">
        <v>0</v>
      </c>
      <c r="P1245" s="2994">
        <v>0</v>
      </c>
      <c r="Q1245" s="2994">
        <v>0</v>
      </c>
      <c r="R1245" s="2994">
        <v>0</v>
      </c>
      <c r="S1245" s="2994">
        <v>0</v>
      </c>
      <c r="T1245" s="2994">
        <v>0</v>
      </c>
      <c r="U1245" s="2994">
        <v>0</v>
      </c>
      <c r="V1245" s="2994">
        <v>0</v>
      </c>
      <c r="W1245" s="2994">
        <v>0</v>
      </c>
      <c r="X1245" s="2994">
        <v>0</v>
      </c>
      <c r="Y1245" s="2994">
        <v>0</v>
      </c>
      <c r="Z1245" s="2994">
        <v>0</v>
      </c>
      <c r="AA1245" s="2994">
        <v>0</v>
      </c>
      <c r="AB1245" s="2994">
        <v>0</v>
      </c>
      <c r="AC1245" s="2994">
        <v>0</v>
      </c>
      <c r="AD1245" s="2994">
        <v>0</v>
      </c>
      <c r="AE1245" s="2994">
        <v>0</v>
      </c>
      <c r="AF1245" s="2994">
        <v>0</v>
      </c>
      <c r="AG1245" s="2994">
        <v>0</v>
      </c>
      <c r="AH1245" s="2994">
        <v>0</v>
      </c>
      <c r="AI1245" s="2994">
        <v>0</v>
      </c>
      <c r="AJ1245" s="2994">
        <v>0</v>
      </c>
      <c r="AK1245" s="2994">
        <v>0</v>
      </c>
      <c r="AL1245" s="2994">
        <v>0</v>
      </c>
      <c r="AM1245" s="2994">
        <v>0</v>
      </c>
      <c r="AN1245" s="2994">
        <v>0</v>
      </c>
      <c r="AO1245" s="2994">
        <v>0</v>
      </c>
      <c r="AP1245" s="2994">
        <v>0</v>
      </c>
      <c r="AQ1245" s="2994">
        <v>0</v>
      </c>
      <c r="AR1245" s="2994">
        <v>0</v>
      </c>
      <c r="AS1245" s="2994">
        <v>0</v>
      </c>
      <c r="AT1245" s="2994">
        <v>0</v>
      </c>
      <c r="AU1245" s="2994">
        <v>0</v>
      </c>
      <c r="AV1245" s="2994">
        <v>0</v>
      </c>
      <c r="AW1245" s="2994">
        <v>0</v>
      </c>
      <c r="AX1245" s="2994">
        <v>0</v>
      </c>
      <c r="AY1245" s="2994">
        <v>0</v>
      </c>
      <c r="AZ1245" s="2994">
        <v>0</v>
      </c>
      <c r="BA1245" s="2994">
        <v>0</v>
      </c>
      <c r="BB1245" s="2994">
        <v>0</v>
      </c>
      <c r="BC1245" s="2994">
        <v>0</v>
      </c>
      <c r="BD1245" s="3471">
        <v>0</v>
      </c>
      <c r="BE1245" s="3471">
        <v>0</v>
      </c>
      <c r="BF1245" s="3471">
        <v>0</v>
      </c>
    </row>
    <row r="1246" spans="1:58">
      <c r="A1246" s="1817" t="str">
        <f t="shared" si="39"/>
        <v>Eastern EuropeMillet</v>
      </c>
      <c r="B1246" s="1818" t="s">
        <v>302</v>
      </c>
      <c r="C1246" s="1818" t="s">
        <v>1359</v>
      </c>
      <c r="D1246" s="3463" t="str">
        <f>VLOOKUP(B1246,List_Yield!$G$4:$J$14,4,FALSE)</f>
        <v>Eastern Europe</v>
      </c>
      <c r="E1246" s="3463" t="str">
        <f t="shared" si="38"/>
        <v>Eastern EuropeMillet</v>
      </c>
      <c r="F1246" s="2994">
        <v>0.70350000000000001</v>
      </c>
      <c r="G1246" s="2994">
        <v>0.5988</v>
      </c>
      <c r="H1246" s="2994">
        <v>0.43219999999999997</v>
      </c>
      <c r="I1246" s="2994">
        <v>0.90369999999999995</v>
      </c>
      <c r="J1246" s="2994">
        <v>0.62860000000000005</v>
      </c>
      <c r="K1246" s="2994">
        <v>0.87790000000000001</v>
      </c>
      <c r="L1246" s="2994">
        <v>0.78149999999999997</v>
      </c>
      <c r="M1246" s="2994">
        <v>0.80630000000000002</v>
      </c>
      <c r="N1246" s="2994">
        <v>0.89829999999999999</v>
      </c>
      <c r="O1246" s="2994">
        <v>0.72170000000000001</v>
      </c>
      <c r="P1246" s="2994">
        <v>0.78839999999999999</v>
      </c>
      <c r="Q1246" s="2994">
        <v>0.71950000000000003</v>
      </c>
      <c r="R1246" s="2994">
        <v>1.4276</v>
      </c>
      <c r="S1246" s="2994">
        <v>0.90200000000000002</v>
      </c>
      <c r="T1246" s="2994">
        <v>0.37790000000000001</v>
      </c>
      <c r="U1246" s="2994">
        <v>0.98150000000000004</v>
      </c>
      <c r="V1246" s="2994">
        <v>0.60819999999999996</v>
      </c>
      <c r="W1246" s="2994">
        <v>0.69540000000000002</v>
      </c>
      <c r="X1246" s="2994">
        <v>0.51529999999999998</v>
      </c>
      <c r="Y1246" s="2994">
        <v>0.59850000000000003</v>
      </c>
      <c r="Z1246" s="2994">
        <v>0.64300000000000002</v>
      </c>
      <c r="AA1246" s="2994">
        <v>0.83330000000000004</v>
      </c>
      <c r="AB1246" s="2994">
        <v>0.80179999999999996</v>
      </c>
      <c r="AC1246" s="2994">
        <v>0.66759999999999997</v>
      </c>
      <c r="AD1246" s="2994">
        <v>0.96389999999999998</v>
      </c>
      <c r="AE1246" s="2994">
        <v>0.89039999999999997</v>
      </c>
      <c r="AF1246" s="2994">
        <v>1.3117000000000001</v>
      </c>
      <c r="AG1246" s="2994">
        <v>1.1125</v>
      </c>
      <c r="AH1246" s="2994">
        <v>1.3539000000000001</v>
      </c>
      <c r="AI1246" s="2994">
        <v>1.1088</v>
      </c>
      <c r="AJ1246" s="2994">
        <v>0.53869999999999996</v>
      </c>
      <c r="AK1246" s="2994">
        <v>0.872</v>
      </c>
      <c r="AL1246" s="2994">
        <v>0.87729999999999997</v>
      </c>
      <c r="AM1246" s="2994">
        <v>0.78210000000000002</v>
      </c>
      <c r="AN1246" s="2994">
        <v>0.89080000000000004</v>
      </c>
      <c r="AO1246" s="2994">
        <v>0.45350000000000001</v>
      </c>
      <c r="AP1246" s="2994">
        <v>1.3067</v>
      </c>
      <c r="AQ1246" s="2994">
        <v>0.89559999999999995</v>
      </c>
      <c r="AR1246" s="2994">
        <v>0.9395</v>
      </c>
      <c r="AS1246" s="2994">
        <v>0.89339999999999997</v>
      </c>
      <c r="AT1246" s="2994">
        <v>0.8669</v>
      </c>
      <c r="AU1246" s="2994">
        <v>0.91290000000000004</v>
      </c>
      <c r="AV1246" s="2994">
        <v>1.3715999999999999</v>
      </c>
      <c r="AW1246" s="2994">
        <v>1.208</v>
      </c>
      <c r="AX1246" s="2994">
        <v>1.1499999999999999</v>
      </c>
      <c r="AY1246" s="2994">
        <v>1.0454000000000001</v>
      </c>
      <c r="AZ1246" s="2994">
        <v>1.0799000000000001</v>
      </c>
      <c r="BA1246" s="2994">
        <v>1.4240999999999999</v>
      </c>
      <c r="BB1246" s="2994">
        <v>1.1187</v>
      </c>
      <c r="BC1246" s="2994">
        <v>1.0446</v>
      </c>
      <c r="BD1246" s="3471">
        <v>1.4618</v>
      </c>
      <c r="BE1246" s="3471">
        <v>1.0543</v>
      </c>
      <c r="BF1246" s="3471">
        <v>1.2202</v>
      </c>
    </row>
    <row r="1247" spans="1:58">
      <c r="A1247" s="1817" t="str">
        <f t="shared" si="39"/>
        <v>Eastern EuropeMushrooms and truffles</v>
      </c>
      <c r="B1247" s="1818" t="s">
        <v>302</v>
      </c>
      <c r="C1247" s="1818" t="s">
        <v>7350</v>
      </c>
      <c r="D1247" s="3463" t="str">
        <f>VLOOKUP(B1247,List_Yield!$G$4:$J$14,4,FALSE)</f>
        <v>Eastern Europe</v>
      </c>
      <c r="E1247" s="3463" t="str">
        <f t="shared" si="38"/>
        <v>Eastern EuropeMushrooms and truffles</v>
      </c>
      <c r="F1247" s="2994">
        <v>0</v>
      </c>
      <c r="G1247" s="2994">
        <v>0</v>
      </c>
      <c r="H1247" s="2994">
        <v>0</v>
      </c>
      <c r="I1247" s="2994">
        <v>0</v>
      </c>
      <c r="J1247" s="2994">
        <v>0</v>
      </c>
      <c r="K1247" s="2994">
        <v>0</v>
      </c>
      <c r="L1247" s="2994">
        <v>0</v>
      </c>
      <c r="M1247" s="2994">
        <v>0</v>
      </c>
      <c r="N1247" s="2994">
        <v>0</v>
      </c>
      <c r="O1247" s="2994">
        <v>0</v>
      </c>
      <c r="P1247" s="2994">
        <v>0</v>
      </c>
      <c r="Q1247" s="2994">
        <v>0</v>
      </c>
      <c r="R1247" s="2994">
        <v>0</v>
      </c>
      <c r="S1247" s="2994">
        <v>0</v>
      </c>
      <c r="T1247" s="2994">
        <v>0</v>
      </c>
      <c r="U1247" s="2994">
        <v>0</v>
      </c>
      <c r="V1247" s="2994">
        <v>0</v>
      </c>
      <c r="W1247" s="2994">
        <v>0</v>
      </c>
      <c r="X1247" s="2994">
        <v>0</v>
      </c>
      <c r="Y1247" s="2994">
        <v>0</v>
      </c>
      <c r="Z1247" s="2994">
        <v>0</v>
      </c>
      <c r="AA1247" s="2994">
        <v>0</v>
      </c>
      <c r="AB1247" s="2994">
        <v>0</v>
      </c>
      <c r="AC1247" s="2994">
        <v>0</v>
      </c>
      <c r="AD1247" s="2994">
        <v>0</v>
      </c>
      <c r="AE1247" s="2994">
        <v>0</v>
      </c>
      <c r="AF1247" s="2994">
        <v>0</v>
      </c>
      <c r="AG1247" s="2994">
        <v>0</v>
      </c>
      <c r="AH1247" s="2994">
        <v>0</v>
      </c>
      <c r="AI1247" s="2994">
        <v>0</v>
      </c>
      <c r="AJ1247" s="2994">
        <v>0</v>
      </c>
      <c r="AK1247" s="2994">
        <v>0</v>
      </c>
      <c r="AL1247" s="2994">
        <v>0</v>
      </c>
      <c r="AM1247" s="2994">
        <v>0</v>
      </c>
      <c r="AN1247" s="2994">
        <v>0</v>
      </c>
      <c r="AO1247" s="2994">
        <v>0</v>
      </c>
      <c r="AP1247" s="2994">
        <v>0</v>
      </c>
      <c r="AQ1247" s="2994">
        <v>0</v>
      </c>
      <c r="AR1247" s="2994">
        <v>0</v>
      </c>
      <c r="AS1247" s="2994">
        <v>0</v>
      </c>
      <c r="AT1247" s="2994">
        <v>0</v>
      </c>
      <c r="AU1247" s="2994">
        <v>0</v>
      </c>
      <c r="AV1247" s="2994">
        <v>0</v>
      </c>
      <c r="AW1247" s="2994">
        <v>0</v>
      </c>
      <c r="AX1247" s="2994">
        <v>0</v>
      </c>
      <c r="AY1247" s="2994">
        <v>0</v>
      </c>
      <c r="AZ1247" s="2994">
        <v>0</v>
      </c>
      <c r="BA1247" s="2994">
        <v>0</v>
      </c>
      <c r="BB1247" s="2994">
        <v>0</v>
      </c>
      <c r="BC1247" s="2994">
        <v>0</v>
      </c>
      <c r="BD1247" s="3471">
        <v>0</v>
      </c>
      <c r="BE1247" s="3471">
        <v>0</v>
      </c>
      <c r="BF1247" s="3471">
        <v>0</v>
      </c>
    </row>
    <row r="1248" spans="1:58">
      <c r="A1248" s="1817" t="str">
        <f t="shared" si="39"/>
        <v>Eastern EuropeMustard seed</v>
      </c>
      <c r="B1248" s="1818" t="s">
        <v>302</v>
      </c>
      <c r="C1248" s="1818" t="s">
        <v>7351</v>
      </c>
      <c r="D1248" s="3463" t="str">
        <f>VLOOKUP(B1248,List_Yield!$G$4:$J$14,4,FALSE)</f>
        <v>Eastern Europe</v>
      </c>
      <c r="E1248" s="3463" t="str">
        <f t="shared" si="38"/>
        <v>Eastern EuropeMustard seed</v>
      </c>
      <c r="F1248" s="2994">
        <v>0.35980000000000001</v>
      </c>
      <c r="G1248" s="2994">
        <v>0.31069999999999998</v>
      </c>
      <c r="H1248" s="2994">
        <v>0.30570000000000003</v>
      </c>
      <c r="I1248" s="2994">
        <v>0.31309999999999999</v>
      </c>
      <c r="J1248" s="2994">
        <v>0.2</v>
      </c>
      <c r="K1248" s="2994">
        <v>0.31380000000000002</v>
      </c>
      <c r="L1248" s="2994">
        <v>0.40670000000000001</v>
      </c>
      <c r="M1248" s="2994">
        <v>0.3458</v>
      </c>
      <c r="N1248" s="2994">
        <v>0.1346</v>
      </c>
      <c r="O1248" s="2994">
        <v>0.39389999999999997</v>
      </c>
      <c r="P1248" s="2994">
        <v>0.2606</v>
      </c>
      <c r="Q1248" s="2994">
        <v>9.1600000000000001E-2</v>
      </c>
      <c r="R1248" s="2994">
        <v>0.53490000000000004</v>
      </c>
      <c r="S1248" s="2994">
        <v>0.48370000000000002</v>
      </c>
      <c r="T1248" s="2994">
        <v>8.0100000000000005E-2</v>
      </c>
      <c r="U1248" s="2994">
        <v>0.42249999999999999</v>
      </c>
      <c r="V1248" s="2994">
        <v>0.25480000000000003</v>
      </c>
      <c r="W1248" s="2994">
        <v>0.45950000000000002</v>
      </c>
      <c r="X1248" s="2994">
        <v>0.2581</v>
      </c>
      <c r="Y1248" s="2994">
        <v>0.25519999999999998</v>
      </c>
      <c r="Z1248" s="2994">
        <v>0.1898</v>
      </c>
      <c r="AA1248" s="2994">
        <v>0.37280000000000002</v>
      </c>
      <c r="AB1248" s="2994">
        <v>0.36170000000000002</v>
      </c>
      <c r="AC1248" s="2994">
        <v>0.1646</v>
      </c>
      <c r="AD1248" s="2994">
        <v>0.36420000000000002</v>
      </c>
      <c r="AE1248" s="2994">
        <v>0.2034</v>
      </c>
      <c r="AF1248" s="2994">
        <v>0.18559999999999999</v>
      </c>
      <c r="AG1248" s="2994">
        <v>0.24779999999999999</v>
      </c>
      <c r="AH1248" s="2994">
        <v>0.67449999999999999</v>
      </c>
      <c r="AI1248" s="2994">
        <v>0.84389999999999998</v>
      </c>
      <c r="AJ1248" s="2994">
        <v>0.52049999999999996</v>
      </c>
      <c r="AK1248" s="2994">
        <v>0.50260000000000005</v>
      </c>
      <c r="AL1248" s="2994">
        <v>0.81859999999999999</v>
      </c>
      <c r="AM1248" s="2994">
        <v>0.50149999999999995</v>
      </c>
      <c r="AN1248" s="2994">
        <v>0.26910000000000001</v>
      </c>
      <c r="AO1248" s="2994">
        <v>0.32879999999999998</v>
      </c>
      <c r="AP1248" s="2994">
        <v>0.60760000000000003</v>
      </c>
      <c r="AQ1248" s="2994">
        <v>0.70150000000000001</v>
      </c>
      <c r="AR1248" s="2994">
        <v>0.7</v>
      </c>
      <c r="AS1248" s="2994">
        <v>0.49509999999999998</v>
      </c>
      <c r="AT1248" s="2994">
        <v>0.7046</v>
      </c>
      <c r="AU1248" s="2994">
        <v>0.64349999999999996</v>
      </c>
      <c r="AV1248" s="2994">
        <v>0.64419999999999999</v>
      </c>
      <c r="AW1248" s="2994">
        <v>0.8004</v>
      </c>
      <c r="AX1248" s="2994">
        <v>0.66910000000000003</v>
      </c>
      <c r="AY1248" s="2994">
        <v>0.68569999999999998</v>
      </c>
      <c r="AZ1248" s="2994">
        <v>0.4486</v>
      </c>
      <c r="BA1248" s="2994">
        <v>0.7056</v>
      </c>
      <c r="BB1248" s="2994">
        <v>0.67479999999999996</v>
      </c>
      <c r="BC1248" s="2994">
        <v>0.56130000000000002</v>
      </c>
      <c r="BD1248" s="3471">
        <v>0.76629999999999998</v>
      </c>
      <c r="BE1248" s="3471">
        <v>0.60609999999999997</v>
      </c>
      <c r="BF1248" s="3471">
        <v>0.55220000000000002</v>
      </c>
    </row>
    <row r="1249" spans="1:58">
      <c r="A1249" s="1817" t="str">
        <f t="shared" si="39"/>
        <v>Eastern EuropeNutmeg, mace and cardamoms</v>
      </c>
      <c r="B1249" s="1818" t="s">
        <v>302</v>
      </c>
      <c r="C1249" s="1818" t="s">
        <v>7352</v>
      </c>
      <c r="D1249" s="3463" t="str">
        <f>VLOOKUP(B1249,List_Yield!$G$4:$J$14,4,FALSE)</f>
        <v>Eastern Europe</v>
      </c>
      <c r="E1249" s="3463" t="str">
        <f t="shared" si="38"/>
        <v>Eastern EuropeNutmeg, mace and cardamoms</v>
      </c>
      <c r="F1249" s="2994">
        <v>0</v>
      </c>
      <c r="G1249" s="2994">
        <v>0</v>
      </c>
      <c r="H1249" s="2994">
        <v>0</v>
      </c>
      <c r="I1249" s="2994">
        <v>0</v>
      </c>
      <c r="J1249" s="2994">
        <v>0</v>
      </c>
      <c r="K1249" s="2994">
        <v>0</v>
      </c>
      <c r="L1249" s="2994">
        <v>0</v>
      </c>
      <c r="M1249" s="2994">
        <v>0</v>
      </c>
      <c r="N1249" s="2994">
        <v>0</v>
      </c>
      <c r="O1249" s="2994">
        <v>0</v>
      </c>
      <c r="P1249" s="2994">
        <v>0</v>
      </c>
      <c r="Q1249" s="2994">
        <v>0</v>
      </c>
      <c r="R1249" s="2994">
        <v>0</v>
      </c>
      <c r="S1249" s="2994">
        <v>0</v>
      </c>
      <c r="T1249" s="2994">
        <v>0</v>
      </c>
      <c r="U1249" s="2994">
        <v>0</v>
      </c>
      <c r="V1249" s="2994">
        <v>0</v>
      </c>
      <c r="W1249" s="2994">
        <v>0</v>
      </c>
      <c r="X1249" s="2994">
        <v>0</v>
      </c>
      <c r="Y1249" s="2994">
        <v>0</v>
      </c>
      <c r="Z1249" s="2994">
        <v>0</v>
      </c>
      <c r="AA1249" s="2994">
        <v>0</v>
      </c>
      <c r="AB1249" s="2994">
        <v>0</v>
      </c>
      <c r="AC1249" s="2994">
        <v>0</v>
      </c>
      <c r="AD1249" s="2994">
        <v>0</v>
      </c>
      <c r="AE1249" s="2994">
        <v>0</v>
      </c>
      <c r="AF1249" s="2994">
        <v>0</v>
      </c>
      <c r="AG1249" s="2994">
        <v>0</v>
      </c>
      <c r="AH1249" s="2994">
        <v>0</v>
      </c>
      <c r="AI1249" s="2994">
        <v>0</v>
      </c>
      <c r="AJ1249" s="2994">
        <v>0</v>
      </c>
      <c r="AK1249" s="2994">
        <v>0</v>
      </c>
      <c r="AL1249" s="2994">
        <v>0</v>
      </c>
      <c r="AM1249" s="2994">
        <v>0</v>
      </c>
      <c r="AN1249" s="2994">
        <v>0</v>
      </c>
      <c r="AO1249" s="2994">
        <v>0</v>
      </c>
      <c r="AP1249" s="2994">
        <v>0</v>
      </c>
      <c r="AQ1249" s="2994">
        <v>0</v>
      </c>
      <c r="AR1249" s="2994">
        <v>0</v>
      </c>
      <c r="AS1249" s="2994">
        <v>0</v>
      </c>
      <c r="AT1249" s="2994">
        <v>0</v>
      </c>
      <c r="AU1249" s="2994">
        <v>0</v>
      </c>
      <c r="AV1249" s="2994">
        <v>0</v>
      </c>
      <c r="AW1249" s="2994">
        <v>0</v>
      </c>
      <c r="AX1249" s="2994">
        <v>0</v>
      </c>
      <c r="AY1249" s="2994">
        <v>0</v>
      </c>
      <c r="AZ1249" s="2994">
        <v>0</v>
      </c>
      <c r="BA1249" s="2994">
        <v>0</v>
      </c>
      <c r="BB1249" s="2994">
        <v>0</v>
      </c>
      <c r="BC1249" s="2994">
        <v>0</v>
      </c>
      <c r="BD1249" s="3471">
        <v>0</v>
      </c>
      <c r="BE1249" s="3471">
        <v>0</v>
      </c>
      <c r="BF1249" s="3471">
        <v>0</v>
      </c>
    </row>
    <row r="1250" spans="1:58">
      <c r="A1250" s="1817" t="str">
        <f t="shared" si="39"/>
        <v>Eastern EuropeNuts, nes</v>
      </c>
      <c r="B1250" s="1818" t="s">
        <v>302</v>
      </c>
      <c r="C1250" s="1818" t="s">
        <v>7353</v>
      </c>
      <c r="D1250" s="3463" t="str">
        <f>VLOOKUP(B1250,List_Yield!$G$4:$J$14,4,FALSE)</f>
        <v>Eastern Europe</v>
      </c>
      <c r="E1250" s="3463" t="str">
        <f t="shared" si="38"/>
        <v>Eastern EuropeNuts, nes</v>
      </c>
      <c r="F1250" s="2994">
        <v>21.071400000000001</v>
      </c>
      <c r="G1250" s="2994">
        <v>12.5</v>
      </c>
      <c r="H1250" s="2994">
        <v>22.5</v>
      </c>
      <c r="I1250" s="2994">
        <v>17.045500000000001</v>
      </c>
      <c r="J1250" s="2994">
        <v>10.7143</v>
      </c>
      <c r="K1250" s="2994">
        <v>6.375</v>
      </c>
      <c r="L1250" s="2994">
        <v>8.4375</v>
      </c>
      <c r="M1250" s="2994">
        <v>6.8939000000000004</v>
      </c>
      <c r="N1250" s="2994">
        <v>6.8723000000000001</v>
      </c>
      <c r="O1250" s="2994">
        <v>8.7936999999999994</v>
      </c>
      <c r="P1250" s="2994">
        <v>6.6144999999999996</v>
      </c>
      <c r="Q1250" s="2994">
        <v>6.5587</v>
      </c>
      <c r="R1250" s="2994">
        <v>7.6218000000000004</v>
      </c>
      <c r="S1250" s="2994">
        <v>6.0378999999999996</v>
      </c>
      <c r="T1250" s="2994">
        <v>7.9097</v>
      </c>
      <c r="U1250" s="2994">
        <v>6.3381999999999996</v>
      </c>
      <c r="V1250" s="2994">
        <v>7.8758999999999997</v>
      </c>
      <c r="W1250" s="2994">
        <v>8.3396000000000008</v>
      </c>
      <c r="X1250" s="2994">
        <v>8.5183999999999997</v>
      </c>
      <c r="Y1250" s="2994">
        <v>8.8079999999999998</v>
      </c>
      <c r="Z1250" s="2994">
        <v>9.3285999999999998</v>
      </c>
      <c r="AA1250" s="2994">
        <v>9.3431999999999995</v>
      </c>
      <c r="AB1250" s="2994">
        <v>10.075799999999999</v>
      </c>
      <c r="AC1250" s="2994">
        <v>10.6044</v>
      </c>
      <c r="AD1250" s="2994">
        <v>1.8720000000000001</v>
      </c>
      <c r="AE1250" s="2994">
        <v>2.0407999999999999</v>
      </c>
      <c r="AF1250" s="2994">
        <v>2.0543999999999998</v>
      </c>
      <c r="AG1250" s="2994">
        <v>2.0878999999999999</v>
      </c>
      <c r="AH1250" s="2994">
        <v>2.0680000000000001</v>
      </c>
      <c r="AI1250" s="2994">
        <v>2.0695000000000001</v>
      </c>
      <c r="AJ1250" s="2994">
        <v>2.1052</v>
      </c>
      <c r="AK1250" s="2994">
        <v>1.6037999999999999</v>
      </c>
      <c r="AL1250" s="2994">
        <v>1.6963999999999999</v>
      </c>
      <c r="AM1250" s="2994">
        <v>1.4384999999999999</v>
      </c>
      <c r="AN1250" s="2994">
        <v>1.5989</v>
      </c>
      <c r="AO1250" s="2994">
        <v>1.6671</v>
      </c>
      <c r="AP1250" s="2994">
        <v>1.7202</v>
      </c>
      <c r="AQ1250" s="2994">
        <v>1.8666</v>
      </c>
      <c r="AR1250" s="2994">
        <v>2.2391999999999999</v>
      </c>
      <c r="AS1250" s="2994">
        <v>2.8896999999999999</v>
      </c>
      <c r="AT1250" s="2994">
        <v>3.1469999999999998</v>
      </c>
      <c r="AU1250" s="2994">
        <v>2.3429000000000002</v>
      </c>
      <c r="AV1250" s="2994">
        <v>2.2471999999999999</v>
      </c>
      <c r="AW1250" s="2994">
        <v>3.1095999999999999</v>
      </c>
      <c r="AX1250" s="2994">
        <v>2.0865999999999998</v>
      </c>
      <c r="AY1250" s="2994">
        <v>1.8124</v>
      </c>
      <c r="AZ1250" s="2994">
        <v>2.3380999999999998</v>
      </c>
      <c r="BA1250" s="2994">
        <v>1.3241000000000001</v>
      </c>
      <c r="BB1250" s="2994">
        <v>1.5861000000000001</v>
      </c>
      <c r="BC1250" s="2994">
        <v>1.5325</v>
      </c>
      <c r="BD1250" s="3471">
        <v>1.6541999999999999</v>
      </c>
      <c r="BE1250" s="3471">
        <v>1.7663</v>
      </c>
      <c r="BF1250" s="3471">
        <v>0</v>
      </c>
    </row>
    <row r="1251" spans="1:58">
      <c r="A1251" s="1817" t="str">
        <f t="shared" si="39"/>
        <v>Eastern EuropeOats</v>
      </c>
      <c r="B1251" s="1818" t="s">
        <v>302</v>
      </c>
      <c r="C1251" s="1818" t="s">
        <v>1323</v>
      </c>
      <c r="D1251" s="3463" t="str">
        <f>VLOOKUP(B1251,List_Yield!$G$4:$J$14,4,FALSE)</f>
        <v>Eastern Europe</v>
      </c>
      <c r="E1251" s="3463" t="str">
        <f t="shared" si="38"/>
        <v>Eastern EuropeOats</v>
      </c>
      <c r="F1251" s="2994">
        <v>0.88729999999999998</v>
      </c>
      <c r="G1251" s="2994">
        <v>0.98119999999999996</v>
      </c>
      <c r="H1251" s="2994">
        <v>0.92349999999999999</v>
      </c>
      <c r="I1251" s="2994">
        <v>1.0186999999999999</v>
      </c>
      <c r="J1251" s="2994">
        <v>1.0427999999999999</v>
      </c>
      <c r="K1251" s="2994">
        <v>1.3029999999999999</v>
      </c>
      <c r="L1251" s="2994">
        <v>1.3461000000000001</v>
      </c>
      <c r="M1251" s="2994">
        <v>1.3055000000000001</v>
      </c>
      <c r="N1251" s="2994">
        <v>1.421</v>
      </c>
      <c r="O1251" s="2994">
        <v>1.4942</v>
      </c>
      <c r="P1251" s="2994">
        <v>1.5306</v>
      </c>
      <c r="Q1251" s="2994">
        <v>1.2670999999999999</v>
      </c>
      <c r="R1251" s="2994">
        <v>1.4633</v>
      </c>
      <c r="S1251" s="2994">
        <v>1.3727</v>
      </c>
      <c r="T1251" s="2994">
        <v>1.0860000000000001</v>
      </c>
      <c r="U1251" s="2994">
        <v>1.5445</v>
      </c>
      <c r="V1251" s="2994">
        <v>1.3715999999999999</v>
      </c>
      <c r="W1251" s="2994">
        <v>1.4854000000000001</v>
      </c>
      <c r="X1251" s="2994">
        <v>1.2012</v>
      </c>
      <c r="Y1251" s="2994">
        <v>1.2910999999999999</v>
      </c>
      <c r="Z1251" s="2994">
        <v>1.0374000000000001</v>
      </c>
      <c r="AA1251" s="2994">
        <v>1.427</v>
      </c>
      <c r="AB1251" s="2994">
        <v>1.4562999999999999</v>
      </c>
      <c r="AC1251" s="2994">
        <v>1.4641999999999999</v>
      </c>
      <c r="AD1251" s="2994">
        <v>1.5667</v>
      </c>
      <c r="AE1251" s="2994">
        <v>1.5387999999999999</v>
      </c>
      <c r="AF1251" s="2994">
        <v>1.4708000000000001</v>
      </c>
      <c r="AG1251" s="2994">
        <v>1.3392999999999999</v>
      </c>
      <c r="AH1251" s="2994">
        <v>1.5124</v>
      </c>
      <c r="AI1251" s="2994">
        <v>1.5972999999999999</v>
      </c>
      <c r="AJ1251" s="2994">
        <v>1.3260000000000001</v>
      </c>
      <c r="AK1251" s="2994">
        <v>1.4753000000000001</v>
      </c>
      <c r="AL1251" s="2994">
        <v>1.5767</v>
      </c>
      <c r="AM1251" s="2994">
        <v>1.444</v>
      </c>
      <c r="AN1251" s="2994">
        <v>1.2857000000000001</v>
      </c>
      <c r="AO1251" s="2994">
        <v>1.3861000000000001</v>
      </c>
      <c r="AP1251" s="2994">
        <v>1.7695000000000001</v>
      </c>
      <c r="AQ1251" s="2994">
        <v>1.4207000000000001</v>
      </c>
      <c r="AR1251" s="2994">
        <v>1.3676999999999999</v>
      </c>
      <c r="AS1251" s="2994">
        <v>1.5497000000000001</v>
      </c>
      <c r="AT1251" s="2994">
        <v>1.8214999999999999</v>
      </c>
      <c r="AU1251" s="2994">
        <v>1.7318</v>
      </c>
      <c r="AV1251" s="2994">
        <v>1.7847999999999999</v>
      </c>
      <c r="AW1251" s="2994">
        <v>1.8542000000000001</v>
      </c>
      <c r="AX1251" s="2994">
        <v>1.6879999999999999</v>
      </c>
      <c r="AY1251" s="2994">
        <v>1.6081000000000001</v>
      </c>
      <c r="AZ1251" s="2994">
        <v>1.7698</v>
      </c>
      <c r="BA1251" s="2994">
        <v>1.9146000000000001</v>
      </c>
      <c r="BB1251" s="2994">
        <v>1.9559</v>
      </c>
      <c r="BC1251" s="2994">
        <v>1.6983999999999999</v>
      </c>
      <c r="BD1251" s="3471">
        <v>1.984</v>
      </c>
      <c r="BE1251" s="3471">
        <v>1.758</v>
      </c>
      <c r="BF1251" s="3471">
        <v>1.8581000000000001</v>
      </c>
    </row>
    <row r="1252" spans="1:58">
      <c r="A1252" s="1817" t="str">
        <f t="shared" si="39"/>
        <v>Eastern EuropeOil, palm fruit</v>
      </c>
      <c r="B1252" s="1818" t="s">
        <v>302</v>
      </c>
      <c r="C1252" s="1818" t="s">
        <v>7354</v>
      </c>
      <c r="D1252" s="3463" t="str">
        <f>VLOOKUP(B1252,List_Yield!$G$4:$J$14,4,FALSE)</f>
        <v>Eastern Europe</v>
      </c>
      <c r="E1252" s="3463" t="str">
        <f t="shared" si="38"/>
        <v>Eastern EuropeOil, palm fruit</v>
      </c>
      <c r="F1252" s="2994">
        <v>0</v>
      </c>
      <c r="G1252" s="2994">
        <v>0</v>
      </c>
      <c r="H1252" s="2994">
        <v>0</v>
      </c>
      <c r="I1252" s="2994">
        <v>0</v>
      </c>
      <c r="J1252" s="2994">
        <v>0</v>
      </c>
      <c r="K1252" s="2994">
        <v>0</v>
      </c>
      <c r="L1252" s="2994">
        <v>0</v>
      </c>
      <c r="M1252" s="2994">
        <v>0</v>
      </c>
      <c r="N1252" s="2994">
        <v>0</v>
      </c>
      <c r="O1252" s="2994">
        <v>0</v>
      </c>
      <c r="P1252" s="2994">
        <v>0</v>
      </c>
      <c r="Q1252" s="2994">
        <v>0</v>
      </c>
      <c r="R1252" s="2994">
        <v>0</v>
      </c>
      <c r="S1252" s="2994">
        <v>0</v>
      </c>
      <c r="T1252" s="2994">
        <v>0</v>
      </c>
      <c r="U1252" s="2994">
        <v>0</v>
      </c>
      <c r="V1252" s="2994">
        <v>0</v>
      </c>
      <c r="W1252" s="2994">
        <v>0</v>
      </c>
      <c r="X1252" s="2994">
        <v>0</v>
      </c>
      <c r="Y1252" s="2994">
        <v>0</v>
      </c>
      <c r="Z1252" s="2994">
        <v>0</v>
      </c>
      <c r="AA1252" s="2994">
        <v>0</v>
      </c>
      <c r="AB1252" s="2994">
        <v>0</v>
      </c>
      <c r="AC1252" s="2994">
        <v>0</v>
      </c>
      <c r="AD1252" s="2994">
        <v>0</v>
      </c>
      <c r="AE1252" s="2994">
        <v>0</v>
      </c>
      <c r="AF1252" s="2994">
        <v>0</v>
      </c>
      <c r="AG1252" s="2994">
        <v>0</v>
      </c>
      <c r="AH1252" s="2994">
        <v>0</v>
      </c>
      <c r="AI1252" s="2994">
        <v>0</v>
      </c>
      <c r="AJ1252" s="2994">
        <v>0</v>
      </c>
      <c r="AK1252" s="2994">
        <v>0</v>
      </c>
      <c r="AL1252" s="2994">
        <v>0</v>
      </c>
      <c r="AM1252" s="2994">
        <v>0</v>
      </c>
      <c r="AN1252" s="2994">
        <v>0</v>
      </c>
      <c r="AO1252" s="2994">
        <v>0</v>
      </c>
      <c r="AP1252" s="2994">
        <v>0</v>
      </c>
      <c r="AQ1252" s="2994">
        <v>0</v>
      </c>
      <c r="AR1252" s="2994">
        <v>0</v>
      </c>
      <c r="AS1252" s="2994">
        <v>0</v>
      </c>
      <c r="AT1252" s="2994">
        <v>0</v>
      </c>
      <c r="AU1252" s="2994">
        <v>0</v>
      </c>
      <c r="AV1252" s="2994">
        <v>0</v>
      </c>
      <c r="AW1252" s="2994">
        <v>0</v>
      </c>
      <c r="AX1252" s="2994">
        <v>0</v>
      </c>
      <c r="AY1252" s="2994">
        <v>0</v>
      </c>
      <c r="AZ1252" s="2994">
        <v>0</v>
      </c>
      <c r="BA1252" s="2994">
        <v>0</v>
      </c>
      <c r="BB1252" s="2994">
        <v>0</v>
      </c>
      <c r="BC1252" s="2994">
        <v>0</v>
      </c>
      <c r="BD1252" s="3471">
        <v>0</v>
      </c>
      <c r="BE1252" s="3471">
        <v>0</v>
      </c>
      <c r="BF1252" s="3471">
        <v>0</v>
      </c>
    </row>
    <row r="1253" spans="1:58">
      <c r="A1253" s="1817" t="str">
        <f t="shared" si="39"/>
        <v>Eastern EuropeOilseeds nes</v>
      </c>
      <c r="B1253" s="1818" t="s">
        <v>302</v>
      </c>
      <c r="C1253" s="1818" t="s">
        <v>7355</v>
      </c>
      <c r="D1253" s="3463" t="str">
        <f>VLOOKUP(B1253,List_Yield!$G$4:$J$14,4,FALSE)</f>
        <v>Eastern Europe</v>
      </c>
      <c r="E1253" s="3463" t="str">
        <f t="shared" si="38"/>
        <v>Eastern EuropeOilseeds nes</v>
      </c>
      <c r="F1253" s="2994">
        <v>0.58069999999999999</v>
      </c>
      <c r="G1253" s="2994">
        <v>0.53690000000000004</v>
      </c>
      <c r="H1253" s="2994">
        <v>0.55120000000000002</v>
      </c>
      <c r="I1253" s="2994">
        <v>0.8135</v>
      </c>
      <c r="J1253" s="2994">
        <v>0.92879999999999996</v>
      </c>
      <c r="K1253" s="2994">
        <v>0.91269999999999996</v>
      </c>
      <c r="L1253" s="2994">
        <v>1.1034999999999999</v>
      </c>
      <c r="M1253" s="2994">
        <v>0.97760000000000002</v>
      </c>
      <c r="N1253" s="2994">
        <v>0.8327</v>
      </c>
      <c r="O1253" s="2994">
        <v>0.91969999999999996</v>
      </c>
      <c r="P1253" s="2994">
        <v>0.80420000000000003</v>
      </c>
      <c r="Q1253" s="2994">
        <v>0.86270000000000002</v>
      </c>
      <c r="R1253" s="2994">
        <v>0.89900000000000002</v>
      </c>
      <c r="S1253" s="2994">
        <v>0.76270000000000004</v>
      </c>
      <c r="T1253" s="2994">
        <v>1.0201</v>
      </c>
      <c r="U1253" s="2994">
        <v>0.96450000000000002</v>
      </c>
      <c r="V1253" s="2994">
        <v>0.83020000000000005</v>
      </c>
      <c r="W1253" s="2994">
        <v>1.0045999999999999</v>
      </c>
      <c r="X1253" s="2994">
        <v>0.86599999999999999</v>
      </c>
      <c r="Y1253" s="2994">
        <v>0.91859999999999997</v>
      </c>
      <c r="Z1253" s="2994">
        <v>0.98960000000000004</v>
      </c>
      <c r="AA1253" s="2994">
        <v>0.98480000000000001</v>
      </c>
      <c r="AB1253" s="2994">
        <v>0.99160000000000004</v>
      </c>
      <c r="AC1253" s="2994">
        <v>0.97419999999999995</v>
      </c>
      <c r="AD1253" s="2994">
        <v>1.0209999999999999</v>
      </c>
      <c r="AE1253" s="2994">
        <v>0.97860000000000003</v>
      </c>
      <c r="AF1253" s="2994">
        <v>1.0486</v>
      </c>
      <c r="AG1253" s="2994">
        <v>0.74950000000000006</v>
      </c>
      <c r="AH1253" s="2994">
        <v>1.1692</v>
      </c>
      <c r="AI1253" s="2994">
        <v>1.0041</v>
      </c>
      <c r="AJ1253" s="2994">
        <v>1.0016</v>
      </c>
      <c r="AK1253" s="2994">
        <v>0.98950000000000005</v>
      </c>
      <c r="AL1253" s="2994">
        <v>1.1389</v>
      </c>
      <c r="AM1253" s="2994">
        <v>0.93340000000000001</v>
      </c>
      <c r="AN1253" s="2994">
        <v>0.92169999999999996</v>
      </c>
      <c r="AO1253" s="2994">
        <v>1.1102000000000001</v>
      </c>
      <c r="AP1253" s="2994">
        <v>1.056</v>
      </c>
      <c r="AQ1253" s="2994">
        <v>1.2078</v>
      </c>
      <c r="AR1253" s="2994">
        <v>1.1215999999999999</v>
      </c>
      <c r="AS1253" s="2994">
        <v>1.0479000000000001</v>
      </c>
      <c r="AT1253" s="2994">
        <v>1.0593999999999999</v>
      </c>
      <c r="AU1253" s="2994">
        <v>1.0197000000000001</v>
      </c>
      <c r="AV1253" s="2994">
        <v>0.95979999999999999</v>
      </c>
      <c r="AW1253" s="2994">
        <v>0.82110000000000005</v>
      </c>
      <c r="AX1253" s="2994">
        <v>0.88180000000000003</v>
      </c>
      <c r="AY1253" s="2994">
        <v>0.85570000000000002</v>
      </c>
      <c r="AZ1253" s="2994">
        <v>0.74680000000000002</v>
      </c>
      <c r="BA1253" s="2994">
        <v>0.80830000000000002</v>
      </c>
      <c r="BB1253" s="2994">
        <v>0.99639999999999995</v>
      </c>
      <c r="BC1253" s="2994">
        <v>0.84440000000000004</v>
      </c>
      <c r="BD1253" s="3471">
        <v>0.83889999999999998</v>
      </c>
      <c r="BE1253" s="3471">
        <v>0.73129999999999995</v>
      </c>
      <c r="BF1253" s="3471">
        <v>0.71950000000000003</v>
      </c>
    </row>
    <row r="1254" spans="1:58">
      <c r="A1254" s="1817" t="str">
        <f t="shared" si="39"/>
        <v>Eastern EuropeOkra</v>
      </c>
      <c r="B1254" s="1818" t="s">
        <v>302</v>
      </c>
      <c r="C1254" s="1818" t="s">
        <v>7356</v>
      </c>
      <c r="D1254" s="3463" t="str">
        <f>VLOOKUP(B1254,List_Yield!$G$4:$J$14,4,FALSE)</f>
        <v>Eastern Europe</v>
      </c>
      <c r="E1254" s="3463" t="str">
        <f t="shared" si="38"/>
        <v>Eastern EuropeOkra</v>
      </c>
      <c r="F1254" s="2994">
        <v>0</v>
      </c>
      <c r="G1254" s="2994">
        <v>0</v>
      </c>
      <c r="H1254" s="2994">
        <v>0</v>
      </c>
      <c r="I1254" s="2994">
        <v>0</v>
      </c>
      <c r="J1254" s="2994">
        <v>0</v>
      </c>
      <c r="K1254" s="2994">
        <v>0</v>
      </c>
      <c r="L1254" s="2994">
        <v>0</v>
      </c>
      <c r="M1254" s="2994">
        <v>0</v>
      </c>
      <c r="N1254" s="2994">
        <v>0</v>
      </c>
      <c r="O1254" s="2994">
        <v>0</v>
      </c>
      <c r="P1254" s="2994">
        <v>0</v>
      </c>
      <c r="Q1254" s="2994">
        <v>0</v>
      </c>
      <c r="R1254" s="2994">
        <v>0</v>
      </c>
      <c r="S1254" s="2994">
        <v>0</v>
      </c>
      <c r="T1254" s="2994">
        <v>0</v>
      </c>
      <c r="U1254" s="2994">
        <v>0</v>
      </c>
      <c r="V1254" s="2994">
        <v>0</v>
      </c>
      <c r="W1254" s="2994">
        <v>0</v>
      </c>
      <c r="X1254" s="2994">
        <v>0</v>
      </c>
      <c r="Y1254" s="2994">
        <v>0</v>
      </c>
      <c r="Z1254" s="2994">
        <v>0</v>
      </c>
      <c r="AA1254" s="2994">
        <v>0</v>
      </c>
      <c r="AB1254" s="2994">
        <v>0</v>
      </c>
      <c r="AC1254" s="2994">
        <v>0</v>
      </c>
      <c r="AD1254" s="2994">
        <v>0</v>
      </c>
      <c r="AE1254" s="2994">
        <v>0</v>
      </c>
      <c r="AF1254" s="2994">
        <v>0</v>
      </c>
      <c r="AG1254" s="2994">
        <v>0</v>
      </c>
      <c r="AH1254" s="2994">
        <v>0</v>
      </c>
      <c r="AI1254" s="2994">
        <v>0</v>
      </c>
      <c r="AJ1254" s="2994">
        <v>0</v>
      </c>
      <c r="AK1254" s="2994">
        <v>0</v>
      </c>
      <c r="AL1254" s="2994">
        <v>0</v>
      </c>
      <c r="AM1254" s="2994">
        <v>0</v>
      </c>
      <c r="AN1254" s="2994">
        <v>0</v>
      </c>
      <c r="AO1254" s="2994">
        <v>0</v>
      </c>
      <c r="AP1254" s="2994">
        <v>0</v>
      </c>
      <c r="AQ1254" s="2994">
        <v>0</v>
      </c>
      <c r="AR1254" s="2994">
        <v>0</v>
      </c>
      <c r="AS1254" s="2994">
        <v>0</v>
      </c>
      <c r="AT1254" s="2994">
        <v>0</v>
      </c>
      <c r="AU1254" s="2994">
        <v>0</v>
      </c>
      <c r="AV1254" s="2994">
        <v>0</v>
      </c>
      <c r="AW1254" s="2994">
        <v>0</v>
      </c>
      <c r="AX1254" s="2994">
        <v>0</v>
      </c>
      <c r="AY1254" s="2994">
        <v>0</v>
      </c>
      <c r="AZ1254" s="2994">
        <v>0</v>
      </c>
      <c r="BA1254" s="2994">
        <v>0</v>
      </c>
      <c r="BB1254" s="2994">
        <v>0</v>
      </c>
      <c r="BC1254" s="2994">
        <v>0</v>
      </c>
      <c r="BD1254" s="3471">
        <v>0</v>
      </c>
      <c r="BE1254" s="3471">
        <v>0</v>
      </c>
      <c r="BF1254" s="3471">
        <v>0</v>
      </c>
    </row>
    <row r="1255" spans="1:58">
      <c r="A1255" s="1817" t="str">
        <f t="shared" si="39"/>
        <v>Eastern EuropeOlives</v>
      </c>
      <c r="B1255" s="1818" t="s">
        <v>302</v>
      </c>
      <c r="C1255" s="1818" t="s">
        <v>1361</v>
      </c>
      <c r="D1255" s="3463" t="str">
        <f>VLOOKUP(B1255,List_Yield!$G$4:$J$14,4,FALSE)</f>
        <v>Eastern Europe</v>
      </c>
      <c r="E1255" s="3463" t="str">
        <f t="shared" si="38"/>
        <v>Eastern EuropeOlives</v>
      </c>
      <c r="F1255" s="2994">
        <v>0</v>
      </c>
      <c r="G1255" s="2994">
        <v>0</v>
      </c>
      <c r="H1255" s="2994">
        <v>0</v>
      </c>
      <c r="I1255" s="2994">
        <v>0</v>
      </c>
      <c r="J1255" s="2994">
        <v>0</v>
      </c>
      <c r="K1255" s="2994">
        <v>0</v>
      </c>
      <c r="L1255" s="2994">
        <v>0</v>
      </c>
      <c r="M1255" s="2994">
        <v>0</v>
      </c>
      <c r="N1255" s="2994">
        <v>0</v>
      </c>
      <c r="O1255" s="2994">
        <v>0</v>
      </c>
      <c r="P1255" s="2994">
        <v>0</v>
      </c>
      <c r="Q1255" s="2994">
        <v>0</v>
      </c>
      <c r="R1255" s="2994">
        <v>0</v>
      </c>
      <c r="S1255" s="2994">
        <v>0</v>
      </c>
      <c r="T1255" s="2994">
        <v>0</v>
      </c>
      <c r="U1255" s="2994">
        <v>0</v>
      </c>
      <c r="V1255" s="2994">
        <v>0</v>
      </c>
      <c r="W1255" s="2994">
        <v>0</v>
      </c>
      <c r="X1255" s="2994">
        <v>0</v>
      </c>
      <c r="Y1255" s="2994">
        <v>0</v>
      </c>
      <c r="Z1255" s="2994">
        <v>0</v>
      </c>
      <c r="AA1255" s="2994">
        <v>0</v>
      </c>
      <c r="AB1255" s="2994">
        <v>0</v>
      </c>
      <c r="AC1255" s="2994">
        <v>0</v>
      </c>
      <c r="AD1255" s="2994">
        <v>0</v>
      </c>
      <c r="AE1255" s="2994">
        <v>0</v>
      </c>
      <c r="AF1255" s="2994">
        <v>0</v>
      </c>
      <c r="AG1255" s="2994">
        <v>0</v>
      </c>
      <c r="AH1255" s="2994">
        <v>0</v>
      </c>
      <c r="AI1255" s="2994">
        <v>0</v>
      </c>
      <c r="AJ1255" s="2994">
        <v>0</v>
      </c>
      <c r="AK1255" s="2994">
        <v>0</v>
      </c>
      <c r="AL1255" s="2994">
        <v>0</v>
      </c>
      <c r="AM1255" s="2994">
        <v>0</v>
      </c>
      <c r="AN1255" s="2994">
        <v>0</v>
      </c>
      <c r="AO1255" s="2994">
        <v>0</v>
      </c>
      <c r="AP1255" s="2994">
        <v>0</v>
      </c>
      <c r="AQ1255" s="2994">
        <v>0</v>
      </c>
      <c r="AR1255" s="2994">
        <v>0</v>
      </c>
      <c r="AS1255" s="2994">
        <v>0</v>
      </c>
      <c r="AT1255" s="2994">
        <v>0</v>
      </c>
      <c r="AU1255" s="2994">
        <v>0</v>
      </c>
      <c r="AV1255" s="2994">
        <v>0</v>
      </c>
      <c r="AW1255" s="2994">
        <v>0</v>
      </c>
      <c r="AX1255" s="2994">
        <v>0</v>
      </c>
      <c r="AY1255" s="2994">
        <v>0</v>
      </c>
      <c r="AZ1255" s="2994">
        <v>0</v>
      </c>
      <c r="BA1255" s="2994">
        <v>0</v>
      </c>
      <c r="BB1255" s="2994">
        <v>0</v>
      </c>
      <c r="BC1255" s="2994">
        <v>0</v>
      </c>
      <c r="BD1255" s="3471">
        <v>0</v>
      </c>
      <c r="BE1255" s="3471">
        <v>0</v>
      </c>
      <c r="BF1255" s="3471">
        <v>0</v>
      </c>
    </row>
    <row r="1256" spans="1:58">
      <c r="A1256" s="1817" t="str">
        <f t="shared" si="39"/>
        <v>Eastern EuropeOnions, dry</v>
      </c>
      <c r="B1256" s="1818" t="s">
        <v>302</v>
      </c>
      <c r="C1256" s="1818" t="s">
        <v>1362</v>
      </c>
      <c r="D1256" s="3463" t="str">
        <f>VLOOKUP(B1256,List_Yield!$G$4:$J$14,4,FALSE)</f>
        <v>Eastern Europe</v>
      </c>
      <c r="E1256" s="3463" t="str">
        <f t="shared" si="38"/>
        <v>Eastern EuropeOnions, dry</v>
      </c>
      <c r="F1256" s="2994">
        <v>8.4260000000000002</v>
      </c>
      <c r="G1256" s="2994">
        <v>6.5621999999999998</v>
      </c>
      <c r="H1256" s="2994">
        <v>7.4001000000000001</v>
      </c>
      <c r="I1256" s="2994">
        <v>7.9744000000000002</v>
      </c>
      <c r="J1256" s="2994">
        <v>7.2805999999999997</v>
      </c>
      <c r="K1256" s="2994">
        <v>9.4372000000000007</v>
      </c>
      <c r="L1256" s="2994">
        <v>8.6887000000000008</v>
      </c>
      <c r="M1256" s="2994">
        <v>7.9450000000000003</v>
      </c>
      <c r="N1256" s="2994">
        <v>7.8482000000000003</v>
      </c>
      <c r="O1256" s="2994">
        <v>8.3991000000000007</v>
      </c>
      <c r="P1256" s="2994">
        <v>8.6710999999999991</v>
      </c>
      <c r="Q1256" s="2994">
        <v>8.7515999999999998</v>
      </c>
      <c r="R1256" s="2994">
        <v>9.9595000000000002</v>
      </c>
      <c r="S1256" s="2994">
        <v>10.061999999999999</v>
      </c>
      <c r="T1256" s="2994">
        <v>8.8598999999999997</v>
      </c>
      <c r="U1256" s="2994">
        <v>9.9093</v>
      </c>
      <c r="V1256" s="2994">
        <v>9.8820999999999994</v>
      </c>
      <c r="W1256" s="2994">
        <v>12.0153</v>
      </c>
      <c r="X1256" s="2994">
        <v>11.2018</v>
      </c>
      <c r="Y1256" s="2994">
        <v>10.904400000000001</v>
      </c>
      <c r="Z1256" s="2994">
        <v>10.8865</v>
      </c>
      <c r="AA1256" s="2994">
        <v>12.549099999999999</v>
      </c>
      <c r="AB1256" s="2994">
        <v>12.0052</v>
      </c>
      <c r="AC1256" s="2994">
        <v>13.473599999999999</v>
      </c>
      <c r="AD1256" s="2994">
        <v>12.611800000000001</v>
      </c>
      <c r="AE1256" s="2994">
        <v>14.8055</v>
      </c>
      <c r="AF1256" s="2994">
        <v>14.494899999999999</v>
      </c>
      <c r="AG1256" s="2994">
        <v>13.964700000000001</v>
      </c>
      <c r="AH1256" s="2994">
        <v>13.854100000000001</v>
      </c>
      <c r="AI1256" s="2994">
        <v>14.1027</v>
      </c>
      <c r="AJ1256" s="2994">
        <v>12.8896</v>
      </c>
      <c r="AK1256" s="2994">
        <v>11.761100000000001</v>
      </c>
      <c r="AL1256" s="2994">
        <v>11.5825</v>
      </c>
      <c r="AM1256" s="2994">
        <v>10.0901</v>
      </c>
      <c r="AN1256" s="2994">
        <v>10.962999999999999</v>
      </c>
      <c r="AO1256" s="2994">
        <v>11.126799999999999</v>
      </c>
      <c r="AP1256" s="2994">
        <v>11.454499999999999</v>
      </c>
      <c r="AQ1256" s="2994">
        <v>11.450100000000001</v>
      </c>
      <c r="AR1256" s="2994">
        <v>10.8864</v>
      </c>
      <c r="AS1256" s="2994">
        <v>11.228899999999999</v>
      </c>
      <c r="AT1256" s="2994">
        <v>12.3835</v>
      </c>
      <c r="AU1256" s="2994">
        <v>12.148</v>
      </c>
      <c r="AV1256" s="2994">
        <v>12.7026</v>
      </c>
      <c r="AW1256" s="2994">
        <v>14.540699999999999</v>
      </c>
      <c r="AX1256" s="2994">
        <v>14.411199999999999</v>
      </c>
      <c r="AY1256" s="2994">
        <v>14.6693</v>
      </c>
      <c r="AZ1256" s="2994">
        <v>14.4276</v>
      </c>
      <c r="BA1256" s="2994">
        <v>17.194099999999999</v>
      </c>
      <c r="BB1256" s="2994">
        <v>16.768000000000001</v>
      </c>
      <c r="BC1256" s="2994">
        <v>16.4115</v>
      </c>
      <c r="BD1256" s="3471">
        <v>19.2987</v>
      </c>
      <c r="BE1256" s="3471">
        <v>19.220400000000001</v>
      </c>
      <c r="BF1256" s="3471">
        <v>0</v>
      </c>
    </row>
    <row r="1257" spans="1:58">
      <c r="A1257" s="1817" t="str">
        <f t="shared" si="39"/>
        <v>Eastern EuropeOnions, shallots, green</v>
      </c>
      <c r="B1257" s="1818" t="s">
        <v>302</v>
      </c>
      <c r="C1257" s="1818" t="s">
        <v>7357</v>
      </c>
      <c r="D1257" s="3463" t="str">
        <f>VLOOKUP(B1257,List_Yield!$G$4:$J$14,4,FALSE)</f>
        <v>Eastern Europe</v>
      </c>
      <c r="E1257" s="3463" t="str">
        <f t="shared" si="38"/>
        <v>Eastern EuropeOnions, shallots, green</v>
      </c>
      <c r="F1257" s="2994">
        <v>9.0341000000000005</v>
      </c>
      <c r="G1257" s="2994">
        <v>8.0992999999999995</v>
      </c>
      <c r="H1257" s="2994">
        <v>8.3931000000000004</v>
      </c>
      <c r="I1257" s="2994">
        <v>9.0269999999999992</v>
      </c>
      <c r="J1257" s="2994">
        <v>9.1900999999999993</v>
      </c>
      <c r="K1257" s="2994">
        <v>10.9338</v>
      </c>
      <c r="L1257" s="2994">
        <v>10.2729</v>
      </c>
      <c r="M1257" s="2994">
        <v>9.4109999999999996</v>
      </c>
      <c r="N1257" s="2994">
        <v>9.7826000000000004</v>
      </c>
      <c r="O1257" s="2994">
        <v>8.5770999999999997</v>
      </c>
      <c r="P1257" s="2994">
        <v>8.7194000000000003</v>
      </c>
      <c r="Q1257" s="2994">
        <v>8.4172999999999991</v>
      </c>
      <c r="R1257" s="2994">
        <v>9.1341999999999999</v>
      </c>
      <c r="S1257" s="2994">
        <v>8.3646999999999991</v>
      </c>
      <c r="T1257" s="2994">
        <v>10.7248</v>
      </c>
      <c r="U1257" s="2994">
        <v>9.1651000000000007</v>
      </c>
      <c r="V1257" s="2994">
        <v>8.0074000000000005</v>
      </c>
      <c r="W1257" s="2994">
        <v>11.456200000000001</v>
      </c>
      <c r="X1257" s="2994">
        <v>9.0169999999999995</v>
      </c>
      <c r="Y1257" s="2994">
        <v>8.1951000000000001</v>
      </c>
      <c r="Z1257" s="2994">
        <v>8.1822999999999997</v>
      </c>
      <c r="AA1257" s="2994">
        <v>8.7769999999999992</v>
      </c>
      <c r="AB1257" s="2994">
        <v>7.9077000000000002</v>
      </c>
      <c r="AC1257" s="2994">
        <v>9.4234000000000009</v>
      </c>
      <c r="AD1257" s="2994">
        <v>7.8761000000000001</v>
      </c>
      <c r="AE1257" s="2994">
        <v>9.4842999999999993</v>
      </c>
      <c r="AF1257" s="2994">
        <v>9.2880000000000003</v>
      </c>
      <c r="AG1257" s="2994">
        <v>11.8329</v>
      </c>
      <c r="AH1257" s="2994">
        <v>10.742100000000001</v>
      </c>
      <c r="AI1257" s="2994">
        <v>11.606999999999999</v>
      </c>
      <c r="AJ1257" s="2994">
        <v>10.025600000000001</v>
      </c>
      <c r="AK1257" s="2994">
        <v>8.4857999999999993</v>
      </c>
      <c r="AL1257" s="2994">
        <v>7.2560000000000002</v>
      </c>
      <c r="AM1257" s="2994">
        <v>6.6989000000000001</v>
      </c>
      <c r="AN1257" s="2994">
        <v>6.8045999999999998</v>
      </c>
      <c r="AO1257" s="2994">
        <v>6.9920999999999998</v>
      </c>
      <c r="AP1257" s="2994">
        <v>10.4595</v>
      </c>
      <c r="AQ1257" s="2994">
        <v>10.402200000000001</v>
      </c>
      <c r="AR1257" s="2994">
        <v>10.751200000000001</v>
      </c>
      <c r="AS1257" s="2994">
        <v>10.428599999999999</v>
      </c>
      <c r="AT1257" s="2994">
        <v>10.347200000000001</v>
      </c>
      <c r="AU1257" s="2994">
        <v>10.1838</v>
      </c>
      <c r="AV1257" s="2994">
        <v>6.6401000000000003</v>
      </c>
      <c r="AW1257" s="2994">
        <v>8.6279000000000003</v>
      </c>
      <c r="AX1257" s="2994">
        <v>8.5010999999999992</v>
      </c>
      <c r="AY1257" s="2994">
        <v>9.8302999999999994</v>
      </c>
      <c r="AZ1257" s="2994">
        <v>8.8844999999999992</v>
      </c>
      <c r="BA1257" s="2994">
        <v>9.9659999999999993</v>
      </c>
      <c r="BB1257" s="2994">
        <v>10.7707</v>
      </c>
      <c r="BC1257" s="2994">
        <v>9.9978999999999996</v>
      </c>
      <c r="BD1257" s="3471">
        <v>9.6207999999999991</v>
      </c>
      <c r="BE1257" s="3471">
        <v>9.3597999999999999</v>
      </c>
      <c r="BF1257" s="3471">
        <v>0</v>
      </c>
    </row>
    <row r="1258" spans="1:58">
      <c r="A1258" s="1817" t="str">
        <f t="shared" si="39"/>
        <v>Eastern EuropeOranges</v>
      </c>
      <c r="B1258" s="1818" t="s">
        <v>302</v>
      </c>
      <c r="C1258" s="1818" t="s">
        <v>1363</v>
      </c>
      <c r="D1258" s="3463" t="str">
        <f>VLOOKUP(B1258,List_Yield!$G$4:$J$14,4,FALSE)</f>
        <v>Eastern Europe</v>
      </c>
      <c r="E1258" s="3463" t="str">
        <f t="shared" si="38"/>
        <v>Eastern EuropeOranges</v>
      </c>
      <c r="F1258" s="2994">
        <v>5.5556000000000001</v>
      </c>
      <c r="G1258" s="2994">
        <v>6.2222</v>
      </c>
      <c r="H1258" s="2994">
        <v>7.0675999999999997</v>
      </c>
      <c r="I1258" s="2994">
        <v>2.1175999999999999</v>
      </c>
      <c r="J1258" s="2994">
        <v>4.8714000000000004</v>
      </c>
      <c r="K1258" s="2994">
        <v>7.1429</v>
      </c>
      <c r="L1258" s="2994">
        <v>5</v>
      </c>
      <c r="M1258" s="2994">
        <v>4.7142999999999997</v>
      </c>
      <c r="N1258" s="2994">
        <v>6</v>
      </c>
      <c r="O1258" s="2994">
        <v>17.538499999999999</v>
      </c>
      <c r="P1258" s="2994">
        <v>4.75</v>
      </c>
      <c r="Q1258" s="2994">
        <v>6.5</v>
      </c>
      <c r="R1258" s="2994">
        <v>6.75</v>
      </c>
      <c r="S1258" s="2994">
        <v>13.5556</v>
      </c>
      <c r="T1258" s="2994">
        <v>16.041699999999999</v>
      </c>
      <c r="U1258" s="2994">
        <v>12.8</v>
      </c>
      <c r="V1258" s="2994">
        <v>22.6</v>
      </c>
      <c r="W1258" s="2994">
        <v>17.7273</v>
      </c>
      <c r="X1258" s="2994">
        <v>33</v>
      </c>
      <c r="Y1258" s="2994">
        <v>12.5</v>
      </c>
      <c r="Z1258" s="2994">
        <v>24.32</v>
      </c>
      <c r="AA1258" s="2994">
        <v>21.666699999999999</v>
      </c>
      <c r="AB1258" s="2994">
        <v>28.439699999999998</v>
      </c>
      <c r="AC1258" s="2994">
        <v>18.393799999999999</v>
      </c>
      <c r="AD1258" s="2994">
        <v>7.5789</v>
      </c>
      <c r="AE1258" s="2994">
        <v>18.1921</v>
      </c>
      <c r="AF1258" s="2994">
        <v>10.3955</v>
      </c>
      <c r="AG1258" s="2994">
        <v>24.8889</v>
      </c>
      <c r="AH1258" s="2994">
        <v>5.6989000000000001</v>
      </c>
      <c r="AI1258" s="2994">
        <v>15.956300000000001</v>
      </c>
      <c r="AJ1258" s="2994">
        <v>13.8889</v>
      </c>
      <c r="AK1258" s="2994">
        <v>0</v>
      </c>
      <c r="AL1258" s="2994">
        <v>0</v>
      </c>
      <c r="AM1258" s="2994">
        <v>0</v>
      </c>
      <c r="AN1258" s="2994">
        <v>0</v>
      </c>
      <c r="AO1258" s="2994">
        <v>0</v>
      </c>
      <c r="AP1258" s="2994">
        <v>0</v>
      </c>
      <c r="AQ1258" s="2994">
        <v>0</v>
      </c>
      <c r="AR1258" s="2994">
        <v>0</v>
      </c>
      <c r="AS1258" s="2994">
        <v>0</v>
      </c>
      <c r="AT1258" s="2994">
        <v>0</v>
      </c>
      <c r="AU1258" s="2994">
        <v>0</v>
      </c>
      <c r="AV1258" s="2994">
        <v>0</v>
      </c>
      <c r="AW1258" s="2994">
        <v>2.2000000000000002</v>
      </c>
      <c r="AX1258" s="2994">
        <v>3.5</v>
      </c>
      <c r="AY1258" s="2994">
        <v>3.8</v>
      </c>
      <c r="AZ1258" s="2994">
        <v>2.7</v>
      </c>
      <c r="BA1258" s="2994">
        <v>1.75</v>
      </c>
      <c r="BB1258" s="2994">
        <v>0.84509999999999996</v>
      </c>
      <c r="BC1258" s="2994">
        <v>4.1935000000000002</v>
      </c>
      <c r="BD1258" s="3471">
        <v>3.3332999999999999</v>
      </c>
      <c r="BE1258" s="3471">
        <v>3.6667000000000001</v>
      </c>
      <c r="BF1258" s="3471">
        <v>0</v>
      </c>
    </row>
    <row r="1259" spans="1:58">
      <c r="A1259" s="1817" t="str">
        <f t="shared" si="39"/>
        <v>Eastern EuropePapayas</v>
      </c>
      <c r="B1259" s="1818" t="s">
        <v>302</v>
      </c>
      <c r="C1259" s="1818" t="s">
        <v>7358</v>
      </c>
      <c r="D1259" s="3463" t="str">
        <f>VLOOKUP(B1259,List_Yield!$G$4:$J$14,4,FALSE)</f>
        <v>Eastern Europe</v>
      </c>
      <c r="E1259" s="3463" t="str">
        <f t="shared" si="38"/>
        <v>Eastern EuropePapayas</v>
      </c>
      <c r="F1259" s="2994">
        <v>0</v>
      </c>
      <c r="G1259" s="2994">
        <v>0</v>
      </c>
      <c r="H1259" s="2994">
        <v>0</v>
      </c>
      <c r="I1259" s="2994">
        <v>0</v>
      </c>
      <c r="J1259" s="2994">
        <v>0</v>
      </c>
      <c r="K1259" s="2994">
        <v>0</v>
      </c>
      <c r="L1259" s="2994">
        <v>0</v>
      </c>
      <c r="M1259" s="2994">
        <v>0</v>
      </c>
      <c r="N1259" s="2994">
        <v>0</v>
      </c>
      <c r="O1259" s="2994">
        <v>0</v>
      </c>
      <c r="P1259" s="2994">
        <v>0</v>
      </c>
      <c r="Q1259" s="2994">
        <v>0</v>
      </c>
      <c r="R1259" s="2994">
        <v>0</v>
      </c>
      <c r="S1259" s="2994">
        <v>0</v>
      </c>
      <c r="T1259" s="2994">
        <v>0</v>
      </c>
      <c r="U1259" s="2994">
        <v>0</v>
      </c>
      <c r="V1259" s="2994">
        <v>0</v>
      </c>
      <c r="W1259" s="2994">
        <v>0</v>
      </c>
      <c r="X1259" s="2994">
        <v>0</v>
      </c>
      <c r="Y1259" s="2994">
        <v>0</v>
      </c>
      <c r="Z1259" s="2994">
        <v>0</v>
      </c>
      <c r="AA1259" s="2994">
        <v>0</v>
      </c>
      <c r="AB1259" s="2994">
        <v>0</v>
      </c>
      <c r="AC1259" s="2994">
        <v>0</v>
      </c>
      <c r="AD1259" s="2994">
        <v>0</v>
      </c>
      <c r="AE1259" s="2994">
        <v>0</v>
      </c>
      <c r="AF1259" s="2994">
        <v>0</v>
      </c>
      <c r="AG1259" s="2994">
        <v>0</v>
      </c>
      <c r="AH1259" s="2994">
        <v>0</v>
      </c>
      <c r="AI1259" s="2994">
        <v>0</v>
      </c>
      <c r="AJ1259" s="2994">
        <v>0</v>
      </c>
      <c r="AK1259" s="2994">
        <v>0</v>
      </c>
      <c r="AL1259" s="2994">
        <v>0</v>
      </c>
      <c r="AM1259" s="2994">
        <v>0</v>
      </c>
      <c r="AN1259" s="2994">
        <v>0</v>
      </c>
      <c r="AO1259" s="2994">
        <v>0</v>
      </c>
      <c r="AP1259" s="2994">
        <v>0</v>
      </c>
      <c r="AQ1259" s="2994">
        <v>0</v>
      </c>
      <c r="AR1259" s="2994">
        <v>0</v>
      </c>
      <c r="AS1259" s="2994">
        <v>0</v>
      </c>
      <c r="AT1259" s="2994">
        <v>0</v>
      </c>
      <c r="AU1259" s="2994">
        <v>0</v>
      </c>
      <c r="AV1259" s="2994">
        <v>0</v>
      </c>
      <c r="AW1259" s="2994">
        <v>0</v>
      </c>
      <c r="AX1259" s="2994">
        <v>0</v>
      </c>
      <c r="AY1259" s="2994">
        <v>0</v>
      </c>
      <c r="AZ1259" s="2994">
        <v>0</v>
      </c>
      <c r="BA1259" s="2994">
        <v>0</v>
      </c>
      <c r="BB1259" s="2994">
        <v>0</v>
      </c>
      <c r="BC1259" s="2994">
        <v>0</v>
      </c>
      <c r="BD1259" s="3471">
        <v>0</v>
      </c>
      <c r="BE1259" s="3471">
        <v>0</v>
      </c>
      <c r="BF1259" s="3471">
        <v>0</v>
      </c>
    </row>
    <row r="1260" spans="1:58">
      <c r="A1260" s="1817" t="str">
        <f t="shared" si="39"/>
        <v>Eastern EuropePeaches and nectarines</v>
      </c>
      <c r="B1260" s="1818" t="s">
        <v>302</v>
      </c>
      <c r="C1260" s="1818" t="s">
        <v>1364</v>
      </c>
      <c r="D1260" s="3463" t="str">
        <f>VLOOKUP(B1260,List_Yield!$G$4:$J$14,4,FALSE)</f>
        <v>Eastern Europe</v>
      </c>
      <c r="E1260" s="3463" t="str">
        <f t="shared" si="38"/>
        <v>Eastern EuropePeaches and nectarines</v>
      </c>
      <c r="F1260" s="2994">
        <v>6.6043000000000003</v>
      </c>
      <c r="G1260" s="2994">
        <v>5.8872999999999998</v>
      </c>
      <c r="H1260" s="2994">
        <v>5.8159000000000001</v>
      </c>
      <c r="I1260" s="2994">
        <v>5.8536999999999999</v>
      </c>
      <c r="J1260" s="2994">
        <v>5.1078999999999999</v>
      </c>
      <c r="K1260" s="2994">
        <v>6.5439999999999996</v>
      </c>
      <c r="L1260" s="2994">
        <v>6.6829999999999998</v>
      </c>
      <c r="M1260" s="2994">
        <v>6.2961999999999998</v>
      </c>
      <c r="N1260" s="2994">
        <v>6.2803000000000004</v>
      </c>
      <c r="O1260" s="2994">
        <v>5.6817000000000002</v>
      </c>
      <c r="P1260" s="2994">
        <v>5.0233999999999996</v>
      </c>
      <c r="Q1260" s="2994">
        <v>4.6543000000000001</v>
      </c>
      <c r="R1260" s="2994">
        <v>5.5256999999999996</v>
      </c>
      <c r="S1260" s="2994">
        <v>5.1212999999999997</v>
      </c>
      <c r="T1260" s="2994">
        <v>5.0587999999999997</v>
      </c>
      <c r="U1260" s="2994">
        <v>5.6074000000000002</v>
      </c>
      <c r="V1260" s="2994">
        <v>5.7107000000000001</v>
      </c>
      <c r="W1260" s="2994">
        <v>5.3719999999999999</v>
      </c>
      <c r="X1260" s="2994">
        <v>5.7076000000000002</v>
      </c>
      <c r="Y1260" s="2994">
        <v>5.6250999999999998</v>
      </c>
      <c r="Z1260" s="2994">
        <v>6.2986000000000004</v>
      </c>
      <c r="AA1260" s="2994">
        <v>7.1909000000000001</v>
      </c>
      <c r="AB1260" s="2994">
        <v>7.2897999999999996</v>
      </c>
      <c r="AC1260" s="2994">
        <v>6.6215999999999999</v>
      </c>
      <c r="AD1260" s="2994">
        <v>5.8968999999999996</v>
      </c>
      <c r="AE1260" s="2994">
        <v>6.4408000000000003</v>
      </c>
      <c r="AF1260" s="2994">
        <v>4.1948999999999996</v>
      </c>
      <c r="AG1260" s="2994">
        <v>4.3784999999999998</v>
      </c>
      <c r="AH1260" s="2994">
        <v>5.4737999999999998</v>
      </c>
      <c r="AI1260" s="2994">
        <v>4.891</v>
      </c>
      <c r="AJ1260" s="2994">
        <v>4.2087000000000003</v>
      </c>
      <c r="AK1260" s="2994">
        <v>4.4146999999999998</v>
      </c>
      <c r="AL1260" s="2994">
        <v>4.4782000000000002</v>
      </c>
      <c r="AM1260" s="2994">
        <v>3.7402000000000002</v>
      </c>
      <c r="AN1260" s="2994">
        <v>4.0720999999999998</v>
      </c>
      <c r="AO1260" s="2994">
        <v>4.3146000000000004</v>
      </c>
      <c r="AP1260" s="2994">
        <v>2.8778999999999999</v>
      </c>
      <c r="AQ1260" s="2994">
        <v>3.4373</v>
      </c>
      <c r="AR1260" s="2994">
        <v>2.9685999999999999</v>
      </c>
      <c r="AS1260" s="2994">
        <v>4.0359999999999996</v>
      </c>
      <c r="AT1260" s="2994">
        <v>3.1242000000000001</v>
      </c>
      <c r="AU1260" s="2994">
        <v>2.9619</v>
      </c>
      <c r="AV1260" s="2994">
        <v>3.5758999999999999</v>
      </c>
      <c r="AW1260" s="2994">
        <v>4.7934000000000001</v>
      </c>
      <c r="AX1260" s="2994">
        <v>4.2466999999999997</v>
      </c>
      <c r="AY1260" s="2994">
        <v>3.6812999999999998</v>
      </c>
      <c r="AZ1260" s="2994">
        <v>3.5777000000000001</v>
      </c>
      <c r="BA1260" s="2994">
        <v>4.4081999999999999</v>
      </c>
      <c r="BB1260" s="2994">
        <v>4.8798000000000004</v>
      </c>
      <c r="BC1260" s="2994">
        <v>4.8026</v>
      </c>
      <c r="BD1260" s="3471">
        <v>5.3186999999999998</v>
      </c>
      <c r="BE1260" s="3471">
        <v>3.8106</v>
      </c>
      <c r="BF1260" s="3471">
        <v>0</v>
      </c>
    </row>
    <row r="1261" spans="1:58">
      <c r="A1261" s="1817" t="str">
        <f t="shared" si="39"/>
        <v>Eastern EuropePears</v>
      </c>
      <c r="B1261" s="1818" t="s">
        <v>302</v>
      </c>
      <c r="C1261" s="1818" t="s">
        <v>7359</v>
      </c>
      <c r="D1261" s="3463" t="str">
        <f>VLOOKUP(B1261,List_Yield!$G$4:$J$14,4,FALSE)</f>
        <v>Eastern Europe</v>
      </c>
      <c r="E1261" s="3463" t="str">
        <f t="shared" si="38"/>
        <v>Eastern EuropePears</v>
      </c>
      <c r="F1261" s="2994">
        <v>3.7559999999999998</v>
      </c>
      <c r="G1261" s="2994">
        <v>5.0255999999999998</v>
      </c>
      <c r="H1261" s="2994">
        <v>4.5911</v>
      </c>
      <c r="I1261" s="2994">
        <v>5.5978000000000003</v>
      </c>
      <c r="J1261" s="2994">
        <v>4.8060999999999998</v>
      </c>
      <c r="K1261" s="2994">
        <v>6.0511999999999997</v>
      </c>
      <c r="L1261" s="2994">
        <v>4.8262999999999998</v>
      </c>
      <c r="M1261" s="2994">
        <v>7.4668999999999999</v>
      </c>
      <c r="N1261" s="2994">
        <v>5.4352999999999998</v>
      </c>
      <c r="O1261" s="2994">
        <v>5.2740999999999998</v>
      </c>
      <c r="P1261" s="2994">
        <v>4.8871000000000002</v>
      </c>
      <c r="Q1261" s="2994">
        <v>3.6977000000000002</v>
      </c>
      <c r="R1261" s="2994">
        <v>5.5128000000000004</v>
      </c>
      <c r="S1261" s="2994">
        <v>3.5735000000000001</v>
      </c>
      <c r="T1261" s="2994">
        <v>5.3963000000000001</v>
      </c>
      <c r="U1261" s="2994">
        <v>5.8068999999999997</v>
      </c>
      <c r="V1261" s="2994">
        <v>7.3657000000000004</v>
      </c>
      <c r="W1261" s="2994">
        <v>6.5121000000000002</v>
      </c>
      <c r="X1261" s="2994">
        <v>6.3882000000000003</v>
      </c>
      <c r="Y1261" s="2994">
        <v>5.3353999999999999</v>
      </c>
      <c r="Z1261" s="2994">
        <v>6.3882000000000003</v>
      </c>
      <c r="AA1261" s="2994">
        <v>7.7423000000000002</v>
      </c>
      <c r="AB1261" s="2994">
        <v>8.0457000000000001</v>
      </c>
      <c r="AC1261" s="2994">
        <v>7.5308999999999999</v>
      </c>
      <c r="AD1261" s="2994">
        <v>5.3813000000000004</v>
      </c>
      <c r="AE1261" s="2994">
        <v>6.0063000000000004</v>
      </c>
      <c r="AF1261" s="2994">
        <v>4.4683999999999999</v>
      </c>
      <c r="AG1261" s="2994">
        <v>5.1520999999999999</v>
      </c>
      <c r="AH1261" s="2994">
        <v>5.1748000000000003</v>
      </c>
      <c r="AI1261" s="2994">
        <v>4.8821000000000003</v>
      </c>
      <c r="AJ1261" s="2994">
        <v>4.6097999999999999</v>
      </c>
      <c r="AK1261" s="2994">
        <v>4.8076999999999996</v>
      </c>
      <c r="AL1261" s="2994">
        <v>6.0026999999999999</v>
      </c>
      <c r="AM1261" s="2994">
        <v>3.4434</v>
      </c>
      <c r="AN1261" s="2994">
        <v>5.8708999999999998</v>
      </c>
      <c r="AO1261" s="2994">
        <v>5.2066999999999997</v>
      </c>
      <c r="AP1261" s="2994">
        <v>5.8228</v>
      </c>
      <c r="AQ1261" s="2994">
        <v>6.1211000000000002</v>
      </c>
      <c r="AR1261" s="2994">
        <v>5.4744999999999999</v>
      </c>
      <c r="AS1261" s="2994">
        <v>6.9432</v>
      </c>
      <c r="AT1261" s="2994">
        <v>5.3521000000000001</v>
      </c>
      <c r="AU1261" s="2994">
        <v>7.1936</v>
      </c>
      <c r="AV1261" s="2994">
        <v>7.7111000000000001</v>
      </c>
      <c r="AW1261" s="2994">
        <v>6.9504000000000001</v>
      </c>
      <c r="AX1261" s="2994">
        <v>7.5437000000000003</v>
      </c>
      <c r="AY1261" s="2994">
        <v>6.4573999999999998</v>
      </c>
      <c r="AZ1261" s="2994">
        <v>6.8216000000000001</v>
      </c>
      <c r="BA1261" s="2994">
        <v>7.4977</v>
      </c>
      <c r="BB1261" s="2994">
        <v>9.1068999999999996</v>
      </c>
      <c r="BC1261" s="2994">
        <v>8.5531000000000006</v>
      </c>
      <c r="BD1261" s="3471">
        <v>8.7844999999999995</v>
      </c>
      <c r="BE1261" s="3471">
        <v>7.8300999999999998</v>
      </c>
      <c r="BF1261" s="3471">
        <v>0</v>
      </c>
    </row>
    <row r="1262" spans="1:58">
      <c r="A1262" s="1817" t="str">
        <f t="shared" si="39"/>
        <v>Eastern EuropePeas, dry</v>
      </c>
      <c r="B1262" s="1818" t="s">
        <v>302</v>
      </c>
      <c r="C1262" s="1818" t="s">
        <v>1365</v>
      </c>
      <c r="D1262" s="3463" t="str">
        <f>VLOOKUP(B1262,List_Yield!$G$4:$J$14,4,FALSE)</f>
        <v>Eastern Europe</v>
      </c>
      <c r="E1262" s="3463" t="str">
        <f t="shared" si="38"/>
        <v>Eastern EuropePeas, dry</v>
      </c>
      <c r="F1262" s="2994">
        <v>1.0315000000000001</v>
      </c>
      <c r="G1262" s="2994">
        <v>1.1153999999999999</v>
      </c>
      <c r="H1262" s="2994">
        <v>0.77800000000000002</v>
      </c>
      <c r="I1262" s="2994">
        <v>0.99739999999999995</v>
      </c>
      <c r="J1262" s="2994">
        <v>0.95050000000000001</v>
      </c>
      <c r="K1262" s="2994">
        <v>1.1718</v>
      </c>
      <c r="L1262" s="2994">
        <v>1.1568000000000001</v>
      </c>
      <c r="M1262" s="2994">
        <v>1.3620000000000001</v>
      </c>
      <c r="N1262" s="2994">
        <v>1.4635</v>
      </c>
      <c r="O1262" s="2994">
        <v>1.4392</v>
      </c>
      <c r="P1262" s="2994">
        <v>1.2523</v>
      </c>
      <c r="Q1262" s="2994">
        <v>1.1633</v>
      </c>
      <c r="R1262" s="2994">
        <v>1.3033999999999999</v>
      </c>
      <c r="S1262" s="2994">
        <v>1.4544999999999999</v>
      </c>
      <c r="T1262" s="2994">
        <v>0.95279999999999998</v>
      </c>
      <c r="U1262" s="2994">
        <v>1.6586000000000001</v>
      </c>
      <c r="V1262" s="2994">
        <v>1.3673999999999999</v>
      </c>
      <c r="W1262" s="2994">
        <v>1.5859000000000001</v>
      </c>
      <c r="X1262" s="2994">
        <v>0.81059999999999999</v>
      </c>
      <c r="Y1262" s="2994">
        <v>1.3465</v>
      </c>
      <c r="Z1262" s="2994">
        <v>0.77700000000000002</v>
      </c>
      <c r="AA1262" s="2994">
        <v>1.2871999999999999</v>
      </c>
      <c r="AB1262" s="2994">
        <v>1.3162</v>
      </c>
      <c r="AC1262" s="2994">
        <v>1.2223999999999999</v>
      </c>
      <c r="AD1262" s="2994">
        <v>1.3090999999999999</v>
      </c>
      <c r="AE1262" s="2994">
        <v>1.0634999999999999</v>
      </c>
      <c r="AF1262" s="2994">
        <v>1.4550000000000001</v>
      </c>
      <c r="AG1262" s="2994">
        <v>1.3221000000000001</v>
      </c>
      <c r="AH1262" s="2994">
        <v>1.5361</v>
      </c>
      <c r="AI1262" s="2994">
        <v>1.7406999999999999</v>
      </c>
      <c r="AJ1262" s="2994">
        <v>1.1042000000000001</v>
      </c>
      <c r="AK1262" s="2994">
        <v>1.7926</v>
      </c>
      <c r="AL1262" s="2994">
        <v>1.8501000000000001</v>
      </c>
      <c r="AM1262" s="2994">
        <v>1.7557</v>
      </c>
      <c r="AN1262" s="2994">
        <v>1.1820999999999999</v>
      </c>
      <c r="AO1262" s="2994">
        <v>1.3687</v>
      </c>
      <c r="AP1262" s="2994">
        <v>1.5559000000000001</v>
      </c>
      <c r="AQ1262" s="2994">
        <v>1.401</v>
      </c>
      <c r="AR1262" s="2994">
        <v>1.3</v>
      </c>
      <c r="AS1262" s="2994">
        <v>1.6025</v>
      </c>
      <c r="AT1262" s="2994">
        <v>2.0089999999999999</v>
      </c>
      <c r="AU1262" s="2994">
        <v>1.7584</v>
      </c>
      <c r="AV1262" s="2994">
        <v>1.3928</v>
      </c>
      <c r="AW1262" s="2994">
        <v>2.0209000000000001</v>
      </c>
      <c r="AX1262" s="2994">
        <v>1.7865</v>
      </c>
      <c r="AY1262" s="2994">
        <v>1.7881</v>
      </c>
      <c r="AZ1262" s="2994">
        <v>1.3608</v>
      </c>
      <c r="BA1262" s="2994">
        <v>2.0670999999999999</v>
      </c>
      <c r="BB1262" s="2994">
        <v>1.782</v>
      </c>
      <c r="BC1262" s="2994">
        <v>1.5573999999999999</v>
      </c>
      <c r="BD1262" s="3471">
        <v>1.8028999999999999</v>
      </c>
      <c r="BE1262" s="3471">
        <v>1.5063</v>
      </c>
      <c r="BF1262" s="3471">
        <v>1.417</v>
      </c>
    </row>
    <row r="1263" spans="1:58">
      <c r="A1263" s="1817" t="str">
        <f t="shared" si="39"/>
        <v>Eastern EuropePeas, green</v>
      </c>
      <c r="B1263" s="1818" t="s">
        <v>302</v>
      </c>
      <c r="C1263" s="1818" t="s">
        <v>1366</v>
      </c>
      <c r="D1263" s="3463" t="str">
        <f>VLOOKUP(B1263,List_Yield!$G$4:$J$14,4,FALSE)</f>
        <v>Eastern Europe</v>
      </c>
      <c r="E1263" s="3463" t="str">
        <f t="shared" si="38"/>
        <v>Eastern EuropePeas, green</v>
      </c>
      <c r="F1263" s="2994">
        <v>2.6396000000000002</v>
      </c>
      <c r="G1263" s="2994">
        <v>2.5897000000000001</v>
      </c>
      <c r="H1263" s="2994">
        <v>2.5958000000000001</v>
      </c>
      <c r="I1263" s="2994">
        <v>2.3744999999999998</v>
      </c>
      <c r="J1263" s="2994">
        <v>2.5868000000000002</v>
      </c>
      <c r="K1263" s="2994">
        <v>2.9851999999999999</v>
      </c>
      <c r="L1263" s="2994">
        <v>3.3589000000000002</v>
      </c>
      <c r="M1263" s="2994">
        <v>2.6162999999999998</v>
      </c>
      <c r="N1263" s="2994">
        <v>3.3290999999999999</v>
      </c>
      <c r="O1263" s="2994">
        <v>3.6924000000000001</v>
      </c>
      <c r="P1263" s="2994">
        <v>3.8812000000000002</v>
      </c>
      <c r="Q1263" s="2994">
        <v>3.6924999999999999</v>
      </c>
      <c r="R1263" s="2994">
        <v>4.2380000000000004</v>
      </c>
      <c r="S1263" s="2994">
        <v>4.5602999999999998</v>
      </c>
      <c r="T1263" s="2994">
        <v>3.9049</v>
      </c>
      <c r="U1263" s="2994">
        <v>4.3304999999999998</v>
      </c>
      <c r="V1263" s="2994">
        <v>4.4119999999999999</v>
      </c>
      <c r="W1263" s="2994">
        <v>4.6477000000000004</v>
      </c>
      <c r="X1263" s="2994">
        <v>3.7709000000000001</v>
      </c>
      <c r="Y1263" s="2994">
        <v>4.4524999999999997</v>
      </c>
      <c r="Z1263" s="2994">
        <v>3.9460999999999999</v>
      </c>
      <c r="AA1263" s="2994">
        <v>4.4782999999999999</v>
      </c>
      <c r="AB1263" s="2994">
        <v>4.2721</v>
      </c>
      <c r="AC1263" s="2994">
        <v>5.1379999999999999</v>
      </c>
      <c r="AD1263" s="2994">
        <v>5.2801</v>
      </c>
      <c r="AE1263" s="2994">
        <v>5.1871</v>
      </c>
      <c r="AF1263" s="2994">
        <v>4.1436000000000002</v>
      </c>
      <c r="AG1263" s="2994">
        <v>4.6101999999999999</v>
      </c>
      <c r="AH1263" s="2994">
        <v>4.8981000000000003</v>
      </c>
      <c r="AI1263" s="2994">
        <v>4.4691000000000001</v>
      </c>
      <c r="AJ1263" s="2994">
        <v>3.8603000000000001</v>
      </c>
      <c r="AK1263" s="2994">
        <v>4.5486000000000004</v>
      </c>
      <c r="AL1263" s="2994">
        <v>4.2499000000000002</v>
      </c>
      <c r="AM1263" s="2994">
        <v>5.1512000000000002</v>
      </c>
      <c r="AN1263" s="2994">
        <v>4.8255999999999997</v>
      </c>
      <c r="AO1263" s="2994">
        <v>5.8587999999999996</v>
      </c>
      <c r="AP1263" s="2994">
        <v>5.7446999999999999</v>
      </c>
      <c r="AQ1263" s="2994">
        <v>6.5292000000000003</v>
      </c>
      <c r="AR1263" s="2994">
        <v>5.8827999999999996</v>
      </c>
      <c r="AS1263" s="2994">
        <v>5.6611000000000002</v>
      </c>
      <c r="AT1263" s="2994">
        <v>4.8944000000000001</v>
      </c>
      <c r="AU1263" s="2994">
        <v>4.2595999999999998</v>
      </c>
      <c r="AV1263" s="2994">
        <v>3.3527</v>
      </c>
      <c r="AW1263" s="2994">
        <v>5.1603000000000003</v>
      </c>
      <c r="AX1263" s="2994">
        <v>4.7781000000000002</v>
      </c>
      <c r="AY1263" s="2994">
        <v>4.5541999999999998</v>
      </c>
      <c r="AZ1263" s="2994">
        <v>3.8153999999999999</v>
      </c>
      <c r="BA1263" s="2994">
        <v>5.0585000000000004</v>
      </c>
      <c r="BB1263" s="2994">
        <v>4.5193000000000003</v>
      </c>
      <c r="BC1263" s="2994">
        <v>4.0343999999999998</v>
      </c>
      <c r="BD1263" s="3471">
        <v>4.8952</v>
      </c>
      <c r="BE1263" s="3471">
        <v>4.4581</v>
      </c>
      <c r="BF1263" s="3471">
        <v>0</v>
      </c>
    </row>
    <row r="1264" spans="1:58">
      <c r="A1264" s="1817" t="str">
        <f t="shared" si="39"/>
        <v>Eastern EuropePepper (piper spp.)</v>
      </c>
      <c r="B1264" s="1818" t="s">
        <v>302</v>
      </c>
      <c r="C1264" s="1818" t="s">
        <v>7360</v>
      </c>
      <c r="D1264" s="3463" t="str">
        <f>VLOOKUP(B1264,List_Yield!$G$4:$J$14,4,FALSE)</f>
        <v>Eastern Europe</v>
      </c>
      <c r="E1264" s="3463" t="str">
        <f t="shared" si="38"/>
        <v>Eastern EuropePepper (piper spp.)</v>
      </c>
      <c r="F1264" s="2994">
        <v>0</v>
      </c>
      <c r="G1264" s="2994">
        <v>0</v>
      </c>
      <c r="H1264" s="2994">
        <v>0</v>
      </c>
      <c r="I1264" s="2994">
        <v>0</v>
      </c>
      <c r="J1264" s="2994">
        <v>0</v>
      </c>
      <c r="K1264" s="2994">
        <v>0</v>
      </c>
      <c r="L1264" s="2994">
        <v>0</v>
      </c>
      <c r="M1264" s="2994">
        <v>0</v>
      </c>
      <c r="N1264" s="2994">
        <v>0</v>
      </c>
      <c r="O1264" s="2994">
        <v>0</v>
      </c>
      <c r="P1264" s="2994">
        <v>0</v>
      </c>
      <c r="Q1264" s="2994">
        <v>0</v>
      </c>
      <c r="R1264" s="2994">
        <v>0</v>
      </c>
      <c r="S1264" s="2994">
        <v>0</v>
      </c>
      <c r="T1264" s="2994">
        <v>0</v>
      </c>
      <c r="U1264" s="2994">
        <v>0</v>
      </c>
      <c r="V1264" s="2994">
        <v>0</v>
      </c>
      <c r="W1264" s="2994">
        <v>0</v>
      </c>
      <c r="X1264" s="2994">
        <v>0</v>
      </c>
      <c r="Y1264" s="2994">
        <v>0</v>
      </c>
      <c r="Z1264" s="2994">
        <v>0</v>
      </c>
      <c r="AA1264" s="2994">
        <v>0</v>
      </c>
      <c r="AB1264" s="2994">
        <v>0</v>
      </c>
      <c r="AC1264" s="2994">
        <v>0</v>
      </c>
      <c r="AD1264" s="2994">
        <v>0</v>
      </c>
      <c r="AE1264" s="2994">
        <v>0</v>
      </c>
      <c r="AF1264" s="2994">
        <v>0</v>
      </c>
      <c r="AG1264" s="2994">
        <v>0</v>
      </c>
      <c r="AH1264" s="2994">
        <v>0</v>
      </c>
      <c r="AI1264" s="2994">
        <v>0</v>
      </c>
      <c r="AJ1264" s="2994">
        <v>0</v>
      </c>
      <c r="AK1264" s="2994">
        <v>0</v>
      </c>
      <c r="AL1264" s="2994">
        <v>0</v>
      </c>
      <c r="AM1264" s="2994">
        <v>0</v>
      </c>
      <c r="AN1264" s="2994">
        <v>0</v>
      </c>
      <c r="AO1264" s="2994">
        <v>0</v>
      </c>
      <c r="AP1264" s="2994">
        <v>0</v>
      </c>
      <c r="AQ1264" s="2994">
        <v>0</v>
      </c>
      <c r="AR1264" s="2994">
        <v>0</v>
      </c>
      <c r="AS1264" s="2994">
        <v>0</v>
      </c>
      <c r="AT1264" s="2994">
        <v>0</v>
      </c>
      <c r="AU1264" s="2994">
        <v>0</v>
      </c>
      <c r="AV1264" s="2994">
        <v>0</v>
      </c>
      <c r="AW1264" s="2994">
        <v>0</v>
      </c>
      <c r="AX1264" s="2994">
        <v>0</v>
      </c>
      <c r="AY1264" s="2994">
        <v>0</v>
      </c>
      <c r="AZ1264" s="2994">
        <v>0</v>
      </c>
      <c r="BA1264" s="2994">
        <v>0</v>
      </c>
      <c r="BB1264" s="2994">
        <v>0</v>
      </c>
      <c r="BC1264" s="2994">
        <v>0</v>
      </c>
      <c r="BD1264" s="3471">
        <v>0</v>
      </c>
      <c r="BE1264" s="3471">
        <v>0</v>
      </c>
      <c r="BF1264" s="3471">
        <v>0</v>
      </c>
    </row>
    <row r="1265" spans="1:58">
      <c r="A1265" s="1817" t="str">
        <f t="shared" si="39"/>
        <v>Eastern EuropePeppermint</v>
      </c>
      <c r="B1265" s="1818" t="s">
        <v>302</v>
      </c>
      <c r="C1265" s="1818" t="s">
        <v>7361</v>
      </c>
      <c r="D1265" s="3463" t="str">
        <f>VLOOKUP(B1265,List_Yield!$G$4:$J$14,4,FALSE)</f>
        <v>Eastern Europe</v>
      </c>
      <c r="E1265" s="3463" t="str">
        <f t="shared" si="38"/>
        <v>Eastern EuropePeppermint</v>
      </c>
      <c r="F1265" s="2994">
        <v>0</v>
      </c>
      <c r="G1265" s="2994">
        <v>0</v>
      </c>
      <c r="H1265" s="2994">
        <v>0</v>
      </c>
      <c r="I1265" s="2994">
        <v>0</v>
      </c>
      <c r="J1265" s="2994">
        <v>0</v>
      </c>
      <c r="K1265" s="2994">
        <v>0</v>
      </c>
      <c r="L1265" s="2994">
        <v>0</v>
      </c>
      <c r="M1265" s="2994">
        <v>0</v>
      </c>
      <c r="N1265" s="2994">
        <v>0</v>
      </c>
      <c r="O1265" s="2994">
        <v>0</v>
      </c>
      <c r="P1265" s="2994">
        <v>0</v>
      </c>
      <c r="Q1265" s="2994">
        <v>0</v>
      </c>
      <c r="R1265" s="2994">
        <v>0</v>
      </c>
      <c r="S1265" s="2994">
        <v>0</v>
      </c>
      <c r="T1265" s="2994">
        <v>0</v>
      </c>
      <c r="U1265" s="2994">
        <v>0</v>
      </c>
      <c r="V1265" s="2994">
        <v>0</v>
      </c>
      <c r="W1265" s="2994">
        <v>0</v>
      </c>
      <c r="X1265" s="2994">
        <v>0</v>
      </c>
      <c r="Y1265" s="2994">
        <v>0</v>
      </c>
      <c r="Z1265" s="2994">
        <v>0</v>
      </c>
      <c r="AA1265" s="2994">
        <v>0</v>
      </c>
      <c r="AB1265" s="2994">
        <v>0</v>
      </c>
      <c r="AC1265" s="2994">
        <v>0</v>
      </c>
      <c r="AD1265" s="2994">
        <v>0</v>
      </c>
      <c r="AE1265" s="2994">
        <v>0</v>
      </c>
      <c r="AF1265" s="2994">
        <v>0</v>
      </c>
      <c r="AG1265" s="2994">
        <v>0</v>
      </c>
      <c r="AH1265" s="2994">
        <v>0</v>
      </c>
      <c r="AI1265" s="2994">
        <v>0</v>
      </c>
      <c r="AJ1265" s="2994">
        <v>0</v>
      </c>
      <c r="AK1265" s="2994">
        <v>0</v>
      </c>
      <c r="AL1265" s="2994">
        <v>0</v>
      </c>
      <c r="AM1265" s="2994">
        <v>0</v>
      </c>
      <c r="AN1265" s="2994">
        <v>0</v>
      </c>
      <c r="AO1265" s="2994">
        <v>0</v>
      </c>
      <c r="AP1265" s="2994">
        <v>0</v>
      </c>
      <c r="AQ1265" s="2994">
        <v>0</v>
      </c>
      <c r="AR1265" s="2994">
        <v>0</v>
      </c>
      <c r="AS1265" s="2994">
        <v>0</v>
      </c>
      <c r="AT1265" s="2994">
        <v>0</v>
      </c>
      <c r="AU1265" s="2994">
        <v>0</v>
      </c>
      <c r="AV1265" s="2994">
        <v>0</v>
      </c>
      <c r="AW1265" s="2994">
        <v>0</v>
      </c>
      <c r="AX1265" s="2994">
        <v>0</v>
      </c>
      <c r="AY1265" s="2994">
        <v>0</v>
      </c>
      <c r="AZ1265" s="2994">
        <v>0</v>
      </c>
      <c r="BA1265" s="2994">
        <v>0</v>
      </c>
      <c r="BB1265" s="2994">
        <v>7</v>
      </c>
      <c r="BC1265" s="2994">
        <v>8.7218999999999998</v>
      </c>
      <c r="BD1265" s="3471">
        <v>1.9036999999999999</v>
      </c>
      <c r="BE1265" s="3471">
        <v>2.3774000000000002</v>
      </c>
      <c r="BF1265" s="3471">
        <v>0</v>
      </c>
    </row>
    <row r="1266" spans="1:58">
      <c r="A1266" s="1817" t="str">
        <f t="shared" si="39"/>
        <v>Eastern EuropePersimmons</v>
      </c>
      <c r="B1266" s="1818" t="s">
        <v>302</v>
      </c>
      <c r="C1266" s="1818" t="s">
        <v>7362</v>
      </c>
      <c r="D1266" s="3463" t="str">
        <f>VLOOKUP(B1266,List_Yield!$G$4:$J$14,4,FALSE)</f>
        <v>Eastern Europe</v>
      </c>
      <c r="E1266" s="3463" t="str">
        <f t="shared" si="38"/>
        <v>Eastern EuropePersimmons</v>
      </c>
      <c r="F1266" s="2994">
        <v>0</v>
      </c>
      <c r="G1266" s="2994">
        <v>0</v>
      </c>
      <c r="H1266" s="2994">
        <v>0</v>
      </c>
      <c r="I1266" s="2994">
        <v>0</v>
      </c>
      <c r="J1266" s="2994">
        <v>0</v>
      </c>
      <c r="K1266" s="2994">
        <v>0</v>
      </c>
      <c r="L1266" s="2994">
        <v>0</v>
      </c>
      <c r="M1266" s="2994">
        <v>0</v>
      </c>
      <c r="N1266" s="2994">
        <v>0</v>
      </c>
      <c r="O1266" s="2994">
        <v>0</v>
      </c>
      <c r="P1266" s="2994">
        <v>0</v>
      </c>
      <c r="Q1266" s="2994">
        <v>0</v>
      </c>
      <c r="R1266" s="2994">
        <v>0</v>
      </c>
      <c r="S1266" s="2994">
        <v>0</v>
      </c>
      <c r="T1266" s="2994">
        <v>0</v>
      </c>
      <c r="U1266" s="2994">
        <v>0</v>
      </c>
      <c r="V1266" s="2994">
        <v>0</v>
      </c>
      <c r="W1266" s="2994">
        <v>0</v>
      </c>
      <c r="X1266" s="2994">
        <v>0</v>
      </c>
      <c r="Y1266" s="2994">
        <v>0</v>
      </c>
      <c r="Z1266" s="2994">
        <v>0</v>
      </c>
      <c r="AA1266" s="2994">
        <v>0</v>
      </c>
      <c r="AB1266" s="2994">
        <v>0</v>
      </c>
      <c r="AC1266" s="2994">
        <v>0</v>
      </c>
      <c r="AD1266" s="2994">
        <v>0</v>
      </c>
      <c r="AE1266" s="2994">
        <v>0</v>
      </c>
      <c r="AF1266" s="2994">
        <v>0</v>
      </c>
      <c r="AG1266" s="2994">
        <v>0</v>
      </c>
      <c r="AH1266" s="2994">
        <v>0</v>
      </c>
      <c r="AI1266" s="2994">
        <v>0</v>
      </c>
      <c r="AJ1266" s="2994">
        <v>0</v>
      </c>
      <c r="AK1266" s="2994">
        <v>0</v>
      </c>
      <c r="AL1266" s="2994">
        <v>0</v>
      </c>
      <c r="AM1266" s="2994">
        <v>0</v>
      </c>
      <c r="AN1266" s="2994">
        <v>0</v>
      </c>
      <c r="AO1266" s="2994">
        <v>0</v>
      </c>
      <c r="AP1266" s="2994">
        <v>0</v>
      </c>
      <c r="AQ1266" s="2994">
        <v>0</v>
      </c>
      <c r="AR1266" s="2994">
        <v>0</v>
      </c>
      <c r="AS1266" s="2994">
        <v>0</v>
      </c>
      <c r="AT1266" s="2994">
        <v>0</v>
      </c>
      <c r="AU1266" s="2994">
        <v>0</v>
      </c>
      <c r="AV1266" s="2994">
        <v>0</v>
      </c>
      <c r="AW1266" s="2994">
        <v>0</v>
      </c>
      <c r="AX1266" s="2994">
        <v>0</v>
      </c>
      <c r="AY1266" s="2994">
        <v>0</v>
      </c>
      <c r="AZ1266" s="2994">
        <v>0</v>
      </c>
      <c r="BA1266" s="2994">
        <v>0</v>
      </c>
      <c r="BB1266" s="2994">
        <v>0</v>
      </c>
      <c r="BC1266" s="2994">
        <v>0</v>
      </c>
      <c r="BD1266" s="3471">
        <v>0</v>
      </c>
      <c r="BE1266" s="3471">
        <v>0</v>
      </c>
      <c r="BF1266" s="3471">
        <v>0</v>
      </c>
    </row>
    <row r="1267" spans="1:58">
      <c r="A1267" s="1817" t="str">
        <f t="shared" si="39"/>
        <v>Eastern EuropePigeon peas</v>
      </c>
      <c r="B1267" s="1818" t="s">
        <v>302</v>
      </c>
      <c r="C1267" s="1818" t="s">
        <v>7363</v>
      </c>
      <c r="D1267" s="3463" t="str">
        <f>VLOOKUP(B1267,List_Yield!$G$4:$J$14,4,FALSE)</f>
        <v>Eastern Europe</v>
      </c>
      <c r="E1267" s="3463" t="str">
        <f t="shared" si="38"/>
        <v>Eastern EuropePigeon peas</v>
      </c>
      <c r="F1267" s="2994">
        <v>0</v>
      </c>
      <c r="G1267" s="2994">
        <v>0</v>
      </c>
      <c r="H1267" s="2994">
        <v>0</v>
      </c>
      <c r="I1267" s="2994">
        <v>0</v>
      </c>
      <c r="J1267" s="2994">
        <v>0</v>
      </c>
      <c r="K1267" s="2994">
        <v>0</v>
      </c>
      <c r="L1267" s="2994">
        <v>0</v>
      </c>
      <c r="M1267" s="2994">
        <v>0</v>
      </c>
      <c r="N1267" s="2994">
        <v>0</v>
      </c>
      <c r="O1267" s="2994">
        <v>0</v>
      </c>
      <c r="P1267" s="2994">
        <v>0</v>
      </c>
      <c r="Q1267" s="2994">
        <v>0</v>
      </c>
      <c r="R1267" s="2994">
        <v>0</v>
      </c>
      <c r="S1267" s="2994">
        <v>0</v>
      </c>
      <c r="T1267" s="2994">
        <v>0</v>
      </c>
      <c r="U1267" s="2994">
        <v>0</v>
      </c>
      <c r="V1267" s="2994">
        <v>0</v>
      </c>
      <c r="W1267" s="2994">
        <v>0</v>
      </c>
      <c r="X1267" s="2994">
        <v>0</v>
      </c>
      <c r="Y1267" s="2994">
        <v>0</v>
      </c>
      <c r="Z1267" s="2994">
        <v>0</v>
      </c>
      <c r="AA1267" s="2994">
        <v>0</v>
      </c>
      <c r="AB1267" s="2994">
        <v>0</v>
      </c>
      <c r="AC1267" s="2994">
        <v>0</v>
      </c>
      <c r="AD1267" s="2994">
        <v>0</v>
      </c>
      <c r="AE1267" s="2994">
        <v>0</v>
      </c>
      <c r="AF1267" s="2994">
        <v>0</v>
      </c>
      <c r="AG1267" s="2994">
        <v>0</v>
      </c>
      <c r="AH1267" s="2994">
        <v>0</v>
      </c>
      <c r="AI1267" s="2994">
        <v>0</v>
      </c>
      <c r="AJ1267" s="2994">
        <v>0</v>
      </c>
      <c r="AK1267" s="2994">
        <v>0</v>
      </c>
      <c r="AL1267" s="2994">
        <v>0</v>
      </c>
      <c r="AM1267" s="2994">
        <v>0</v>
      </c>
      <c r="AN1267" s="2994">
        <v>0</v>
      </c>
      <c r="AO1267" s="2994">
        <v>0</v>
      </c>
      <c r="AP1267" s="2994">
        <v>0</v>
      </c>
      <c r="AQ1267" s="2994">
        <v>0</v>
      </c>
      <c r="AR1267" s="2994">
        <v>0</v>
      </c>
      <c r="AS1267" s="2994">
        <v>0</v>
      </c>
      <c r="AT1267" s="2994">
        <v>0</v>
      </c>
      <c r="AU1267" s="2994">
        <v>0</v>
      </c>
      <c r="AV1267" s="2994">
        <v>0</v>
      </c>
      <c r="AW1267" s="2994">
        <v>0</v>
      </c>
      <c r="AX1267" s="2994">
        <v>0</v>
      </c>
      <c r="AY1267" s="2994">
        <v>0</v>
      </c>
      <c r="AZ1267" s="2994">
        <v>0</v>
      </c>
      <c r="BA1267" s="2994">
        <v>0</v>
      </c>
      <c r="BB1267" s="2994">
        <v>0</v>
      </c>
      <c r="BC1267" s="2994">
        <v>0</v>
      </c>
      <c r="BD1267" s="3471">
        <v>0</v>
      </c>
      <c r="BE1267" s="3471">
        <v>0</v>
      </c>
      <c r="BF1267" s="3471">
        <v>0</v>
      </c>
    </row>
    <row r="1268" spans="1:58">
      <c r="A1268" s="1817" t="str">
        <f t="shared" si="39"/>
        <v>Eastern EuropePineapples</v>
      </c>
      <c r="B1268" s="1818" t="s">
        <v>302</v>
      </c>
      <c r="C1268" s="1818" t="s">
        <v>1325</v>
      </c>
      <c r="D1268" s="3463" t="str">
        <f>VLOOKUP(B1268,List_Yield!$G$4:$J$14,4,FALSE)</f>
        <v>Eastern Europe</v>
      </c>
      <c r="E1268" s="3463" t="str">
        <f t="shared" si="38"/>
        <v>Eastern EuropePineapples</v>
      </c>
      <c r="F1268" s="2994">
        <v>0</v>
      </c>
      <c r="G1268" s="2994">
        <v>0</v>
      </c>
      <c r="H1268" s="2994">
        <v>0</v>
      </c>
      <c r="I1268" s="2994">
        <v>0</v>
      </c>
      <c r="J1268" s="2994">
        <v>0</v>
      </c>
      <c r="K1268" s="2994">
        <v>0</v>
      </c>
      <c r="L1268" s="2994">
        <v>0</v>
      </c>
      <c r="M1268" s="2994">
        <v>0</v>
      </c>
      <c r="N1268" s="2994">
        <v>0</v>
      </c>
      <c r="O1268" s="2994">
        <v>0</v>
      </c>
      <c r="P1268" s="2994">
        <v>0</v>
      </c>
      <c r="Q1268" s="2994">
        <v>0</v>
      </c>
      <c r="R1268" s="2994">
        <v>0</v>
      </c>
      <c r="S1268" s="2994">
        <v>0</v>
      </c>
      <c r="T1268" s="2994">
        <v>0</v>
      </c>
      <c r="U1268" s="2994">
        <v>0</v>
      </c>
      <c r="V1268" s="2994">
        <v>0</v>
      </c>
      <c r="W1268" s="2994">
        <v>0</v>
      </c>
      <c r="X1268" s="2994">
        <v>0</v>
      </c>
      <c r="Y1268" s="2994">
        <v>0</v>
      </c>
      <c r="Z1268" s="2994">
        <v>0</v>
      </c>
      <c r="AA1268" s="2994">
        <v>0</v>
      </c>
      <c r="AB1268" s="2994">
        <v>0</v>
      </c>
      <c r="AC1268" s="2994">
        <v>0</v>
      </c>
      <c r="AD1268" s="2994">
        <v>0</v>
      </c>
      <c r="AE1268" s="2994">
        <v>0</v>
      </c>
      <c r="AF1268" s="2994">
        <v>0</v>
      </c>
      <c r="AG1268" s="2994">
        <v>0</v>
      </c>
      <c r="AH1268" s="2994">
        <v>0</v>
      </c>
      <c r="AI1268" s="2994">
        <v>0</v>
      </c>
      <c r="AJ1268" s="2994">
        <v>0</v>
      </c>
      <c r="AK1268" s="2994">
        <v>0</v>
      </c>
      <c r="AL1268" s="2994">
        <v>0</v>
      </c>
      <c r="AM1268" s="2994">
        <v>0</v>
      </c>
      <c r="AN1268" s="2994">
        <v>0</v>
      </c>
      <c r="AO1268" s="2994">
        <v>0</v>
      </c>
      <c r="AP1268" s="2994">
        <v>0</v>
      </c>
      <c r="AQ1268" s="2994">
        <v>0</v>
      </c>
      <c r="AR1268" s="2994">
        <v>0</v>
      </c>
      <c r="AS1268" s="2994">
        <v>0</v>
      </c>
      <c r="AT1268" s="2994">
        <v>0</v>
      </c>
      <c r="AU1268" s="2994">
        <v>0</v>
      </c>
      <c r="AV1268" s="2994">
        <v>0</v>
      </c>
      <c r="AW1268" s="2994">
        <v>0</v>
      </c>
      <c r="AX1268" s="2994">
        <v>0</v>
      </c>
      <c r="AY1268" s="2994">
        <v>0</v>
      </c>
      <c r="AZ1268" s="2994">
        <v>0</v>
      </c>
      <c r="BA1268" s="2994">
        <v>0</v>
      </c>
      <c r="BB1268" s="2994">
        <v>0</v>
      </c>
      <c r="BC1268" s="2994">
        <v>0</v>
      </c>
      <c r="BD1268" s="3471">
        <v>0</v>
      </c>
      <c r="BE1268" s="3471">
        <v>0</v>
      </c>
      <c r="BF1268" s="3471">
        <v>0</v>
      </c>
    </row>
    <row r="1269" spans="1:58">
      <c r="A1269" s="1817" t="str">
        <f t="shared" si="39"/>
        <v>Eastern EuropePistachios</v>
      </c>
      <c r="B1269" s="1818" t="s">
        <v>302</v>
      </c>
      <c r="C1269" s="1818" t="s">
        <v>7364</v>
      </c>
      <c r="D1269" s="3463" t="str">
        <f>VLOOKUP(B1269,List_Yield!$G$4:$J$14,4,FALSE)</f>
        <v>Eastern Europe</v>
      </c>
      <c r="E1269" s="3463" t="str">
        <f t="shared" si="38"/>
        <v>Eastern EuropePistachios</v>
      </c>
      <c r="F1269" s="2994">
        <v>0</v>
      </c>
      <c r="G1269" s="2994">
        <v>0</v>
      </c>
      <c r="H1269" s="2994">
        <v>0</v>
      </c>
      <c r="I1269" s="2994">
        <v>0</v>
      </c>
      <c r="J1269" s="2994">
        <v>0</v>
      </c>
      <c r="K1269" s="2994">
        <v>0</v>
      </c>
      <c r="L1269" s="2994">
        <v>0</v>
      </c>
      <c r="M1269" s="2994">
        <v>0</v>
      </c>
      <c r="N1269" s="2994">
        <v>0</v>
      </c>
      <c r="O1269" s="2994">
        <v>0</v>
      </c>
      <c r="P1269" s="2994">
        <v>0</v>
      </c>
      <c r="Q1269" s="2994">
        <v>0</v>
      </c>
      <c r="R1269" s="2994">
        <v>0</v>
      </c>
      <c r="S1269" s="2994">
        <v>0</v>
      </c>
      <c r="T1269" s="2994">
        <v>0</v>
      </c>
      <c r="U1269" s="2994">
        <v>0</v>
      </c>
      <c r="V1269" s="2994">
        <v>0</v>
      </c>
      <c r="W1269" s="2994">
        <v>0</v>
      </c>
      <c r="X1269" s="2994">
        <v>0</v>
      </c>
      <c r="Y1269" s="2994">
        <v>0</v>
      </c>
      <c r="Z1269" s="2994">
        <v>0</v>
      </c>
      <c r="AA1269" s="2994">
        <v>0</v>
      </c>
      <c r="AB1269" s="2994">
        <v>0</v>
      </c>
      <c r="AC1269" s="2994">
        <v>0</v>
      </c>
      <c r="AD1269" s="2994">
        <v>0</v>
      </c>
      <c r="AE1269" s="2994">
        <v>0</v>
      </c>
      <c r="AF1269" s="2994">
        <v>0</v>
      </c>
      <c r="AG1269" s="2994">
        <v>0</v>
      </c>
      <c r="AH1269" s="2994">
        <v>0</v>
      </c>
      <c r="AI1269" s="2994">
        <v>0</v>
      </c>
      <c r="AJ1269" s="2994">
        <v>0</v>
      </c>
      <c r="AK1269" s="2994">
        <v>0</v>
      </c>
      <c r="AL1269" s="2994">
        <v>0</v>
      </c>
      <c r="AM1269" s="2994">
        <v>0</v>
      </c>
      <c r="AN1269" s="2994">
        <v>0</v>
      </c>
      <c r="AO1269" s="2994">
        <v>0</v>
      </c>
      <c r="AP1269" s="2994">
        <v>0</v>
      </c>
      <c r="AQ1269" s="2994">
        <v>0</v>
      </c>
      <c r="AR1269" s="2994">
        <v>0</v>
      </c>
      <c r="AS1269" s="2994">
        <v>0</v>
      </c>
      <c r="AT1269" s="2994">
        <v>0</v>
      </c>
      <c r="AU1269" s="2994">
        <v>0</v>
      </c>
      <c r="AV1269" s="2994">
        <v>0</v>
      </c>
      <c r="AW1269" s="2994">
        <v>0</v>
      </c>
      <c r="AX1269" s="2994">
        <v>0</v>
      </c>
      <c r="AY1269" s="2994">
        <v>0</v>
      </c>
      <c r="AZ1269" s="2994">
        <v>0</v>
      </c>
      <c r="BA1269" s="2994">
        <v>0</v>
      </c>
      <c r="BB1269" s="2994">
        <v>0</v>
      </c>
      <c r="BC1269" s="2994">
        <v>0</v>
      </c>
      <c r="BD1269" s="3471">
        <v>0</v>
      </c>
      <c r="BE1269" s="3471">
        <v>0</v>
      </c>
      <c r="BF1269" s="3471">
        <v>0</v>
      </c>
    </row>
    <row r="1270" spans="1:58">
      <c r="A1270" s="1817" t="str">
        <f t="shared" si="39"/>
        <v>Eastern EuropePlantains</v>
      </c>
      <c r="B1270" s="1818" t="s">
        <v>302</v>
      </c>
      <c r="C1270" s="1818" t="s">
        <v>1367</v>
      </c>
      <c r="D1270" s="3463" t="str">
        <f>VLOOKUP(B1270,List_Yield!$G$4:$J$14,4,FALSE)</f>
        <v>Eastern Europe</v>
      </c>
      <c r="E1270" s="3463" t="str">
        <f t="shared" si="38"/>
        <v>Eastern EuropePlantains</v>
      </c>
      <c r="F1270" s="2994">
        <v>0</v>
      </c>
      <c r="G1270" s="2994">
        <v>0</v>
      </c>
      <c r="H1270" s="2994">
        <v>0</v>
      </c>
      <c r="I1270" s="2994">
        <v>0</v>
      </c>
      <c r="J1270" s="2994">
        <v>0</v>
      </c>
      <c r="K1270" s="2994">
        <v>0</v>
      </c>
      <c r="L1270" s="2994">
        <v>0</v>
      </c>
      <c r="M1270" s="2994">
        <v>0</v>
      </c>
      <c r="N1270" s="2994">
        <v>0</v>
      </c>
      <c r="O1270" s="2994">
        <v>0</v>
      </c>
      <c r="P1270" s="2994">
        <v>0</v>
      </c>
      <c r="Q1270" s="2994">
        <v>0</v>
      </c>
      <c r="R1270" s="2994">
        <v>0</v>
      </c>
      <c r="S1270" s="2994">
        <v>0</v>
      </c>
      <c r="T1270" s="2994">
        <v>0</v>
      </c>
      <c r="U1270" s="2994">
        <v>0</v>
      </c>
      <c r="V1270" s="2994">
        <v>0</v>
      </c>
      <c r="W1270" s="2994">
        <v>0</v>
      </c>
      <c r="X1270" s="2994">
        <v>0</v>
      </c>
      <c r="Y1270" s="2994">
        <v>0</v>
      </c>
      <c r="Z1270" s="2994">
        <v>0</v>
      </c>
      <c r="AA1270" s="2994">
        <v>0</v>
      </c>
      <c r="AB1270" s="2994">
        <v>0</v>
      </c>
      <c r="AC1270" s="2994">
        <v>0</v>
      </c>
      <c r="AD1270" s="2994">
        <v>0</v>
      </c>
      <c r="AE1270" s="2994">
        <v>0</v>
      </c>
      <c r="AF1270" s="2994">
        <v>0</v>
      </c>
      <c r="AG1270" s="2994">
        <v>0</v>
      </c>
      <c r="AH1270" s="2994">
        <v>0</v>
      </c>
      <c r="AI1270" s="2994">
        <v>0</v>
      </c>
      <c r="AJ1270" s="2994">
        <v>0</v>
      </c>
      <c r="AK1270" s="2994">
        <v>0</v>
      </c>
      <c r="AL1270" s="2994">
        <v>0</v>
      </c>
      <c r="AM1270" s="2994">
        <v>0</v>
      </c>
      <c r="AN1270" s="2994">
        <v>0</v>
      </c>
      <c r="AO1270" s="2994">
        <v>0</v>
      </c>
      <c r="AP1270" s="2994">
        <v>0</v>
      </c>
      <c r="AQ1270" s="2994">
        <v>0</v>
      </c>
      <c r="AR1270" s="2994">
        <v>0</v>
      </c>
      <c r="AS1270" s="2994">
        <v>0</v>
      </c>
      <c r="AT1270" s="2994">
        <v>0</v>
      </c>
      <c r="AU1270" s="2994">
        <v>0</v>
      </c>
      <c r="AV1270" s="2994">
        <v>0</v>
      </c>
      <c r="AW1270" s="2994">
        <v>0</v>
      </c>
      <c r="AX1270" s="2994">
        <v>0</v>
      </c>
      <c r="AY1270" s="2994">
        <v>0</v>
      </c>
      <c r="AZ1270" s="2994">
        <v>0</v>
      </c>
      <c r="BA1270" s="2994">
        <v>0</v>
      </c>
      <c r="BB1270" s="2994">
        <v>0</v>
      </c>
      <c r="BC1270" s="2994">
        <v>0</v>
      </c>
      <c r="BD1270" s="3471">
        <v>0</v>
      </c>
      <c r="BE1270" s="3471">
        <v>0</v>
      </c>
      <c r="BF1270" s="3471">
        <v>0</v>
      </c>
    </row>
    <row r="1271" spans="1:58">
      <c r="A1271" s="1817" t="str">
        <f t="shared" si="39"/>
        <v>Eastern EuropePlums and sloes</v>
      </c>
      <c r="B1271" s="1818" t="s">
        <v>302</v>
      </c>
      <c r="C1271" s="1818" t="s">
        <v>7365</v>
      </c>
      <c r="D1271" s="3463" t="str">
        <f>VLOOKUP(B1271,List_Yield!$G$4:$J$14,4,FALSE)</f>
        <v>Eastern Europe</v>
      </c>
      <c r="E1271" s="3463" t="str">
        <f t="shared" si="38"/>
        <v>Eastern EuropePlums and sloes</v>
      </c>
      <c r="F1271" s="2994">
        <v>12.049099999999999</v>
      </c>
      <c r="G1271" s="2994">
        <v>6.7961999999999998</v>
      </c>
      <c r="H1271" s="2994">
        <v>10.4543</v>
      </c>
      <c r="I1271" s="2994">
        <v>7.4950999999999999</v>
      </c>
      <c r="J1271" s="2994">
        <v>9.2773000000000003</v>
      </c>
      <c r="K1271" s="2994">
        <v>11.213900000000001</v>
      </c>
      <c r="L1271" s="2994">
        <v>9.1376000000000008</v>
      </c>
      <c r="M1271" s="2994">
        <v>9.6039999999999992</v>
      </c>
      <c r="N1271" s="2994">
        <v>10.800599999999999</v>
      </c>
      <c r="O1271" s="2994">
        <v>7.6981000000000002</v>
      </c>
      <c r="P1271" s="2994">
        <v>7.1115000000000004</v>
      </c>
      <c r="Q1271" s="2994">
        <v>7.1494</v>
      </c>
      <c r="R1271" s="2994">
        <v>6.1444999999999999</v>
      </c>
      <c r="S1271" s="2994">
        <v>6.3579999999999997</v>
      </c>
      <c r="T1271" s="2994">
        <v>6.407</v>
      </c>
      <c r="U1271" s="2994">
        <v>8.3370999999999995</v>
      </c>
      <c r="V1271" s="2994">
        <v>7.8914</v>
      </c>
      <c r="W1271" s="2994">
        <v>7.6096000000000004</v>
      </c>
      <c r="X1271" s="2994">
        <v>11.119300000000001</v>
      </c>
      <c r="Y1271" s="2994">
        <v>6.8865999999999996</v>
      </c>
      <c r="Z1271" s="2994">
        <v>6.6883999999999997</v>
      </c>
      <c r="AA1271" s="2994">
        <v>9.0709999999999997</v>
      </c>
      <c r="AB1271" s="2994">
        <v>9.5516000000000005</v>
      </c>
      <c r="AC1271" s="2994">
        <v>9.5099</v>
      </c>
      <c r="AD1271" s="2994">
        <v>5.4570999999999996</v>
      </c>
      <c r="AE1271" s="2994">
        <v>5.2473999999999998</v>
      </c>
      <c r="AF1271" s="2994">
        <v>4.3379000000000003</v>
      </c>
      <c r="AG1271" s="2994">
        <v>4.6970999999999998</v>
      </c>
      <c r="AH1271" s="2994">
        <v>4.6620999999999997</v>
      </c>
      <c r="AI1271" s="2994">
        <v>4.2625999999999999</v>
      </c>
      <c r="AJ1271" s="2994">
        <v>4.0667</v>
      </c>
      <c r="AK1271" s="2994">
        <v>3.8896999999999999</v>
      </c>
      <c r="AL1271" s="2994">
        <v>5.2008000000000001</v>
      </c>
      <c r="AM1271" s="2994">
        <v>3.4676999999999998</v>
      </c>
      <c r="AN1271" s="2994">
        <v>2.923</v>
      </c>
      <c r="AO1271" s="2994">
        <v>4.4561999999999999</v>
      </c>
      <c r="AP1271" s="2994">
        <v>4.1375999999999999</v>
      </c>
      <c r="AQ1271" s="2994">
        <v>3.3138000000000001</v>
      </c>
      <c r="AR1271" s="2994">
        <v>3.2791999999999999</v>
      </c>
      <c r="AS1271" s="2994">
        <v>4.2809999999999997</v>
      </c>
      <c r="AT1271" s="2994">
        <v>4.5471000000000004</v>
      </c>
      <c r="AU1271" s="2994">
        <v>2.9672000000000001</v>
      </c>
      <c r="AV1271" s="2994">
        <v>5.7321999999999997</v>
      </c>
      <c r="AW1271" s="2994">
        <v>4.4462999999999999</v>
      </c>
      <c r="AX1271" s="2994">
        <v>4.7751000000000001</v>
      </c>
      <c r="AY1271" s="2994">
        <v>4.9245999999999999</v>
      </c>
      <c r="AZ1271" s="2994">
        <v>3.6219999999999999</v>
      </c>
      <c r="BA1271" s="2994">
        <v>5.1417999999999999</v>
      </c>
      <c r="BB1271" s="2994">
        <v>5.4739000000000004</v>
      </c>
      <c r="BC1271" s="2994">
        <v>6.2511999999999999</v>
      </c>
      <c r="BD1271" s="3471">
        <v>5.8422999999999998</v>
      </c>
      <c r="BE1271" s="3471">
        <v>4.8925999999999998</v>
      </c>
      <c r="BF1271" s="3471">
        <v>0</v>
      </c>
    </row>
    <row r="1272" spans="1:58">
      <c r="A1272" s="1817" t="str">
        <f t="shared" si="39"/>
        <v>Eastern EuropePopcorn</v>
      </c>
      <c r="B1272" s="1818" t="s">
        <v>302</v>
      </c>
      <c r="C1272" s="1818" t="s">
        <v>7366</v>
      </c>
      <c r="D1272" s="3463" t="str">
        <f>VLOOKUP(B1272,List_Yield!$G$4:$J$14,4,FALSE)</f>
        <v>Eastern Europe</v>
      </c>
      <c r="E1272" s="3463" t="str">
        <f t="shared" si="38"/>
        <v>Eastern EuropePopcorn</v>
      </c>
      <c r="F1272" s="2994">
        <v>0</v>
      </c>
      <c r="G1272" s="2994">
        <v>0</v>
      </c>
      <c r="H1272" s="2994">
        <v>0</v>
      </c>
      <c r="I1272" s="2994">
        <v>0</v>
      </c>
      <c r="J1272" s="2994">
        <v>0</v>
      </c>
      <c r="K1272" s="2994">
        <v>0</v>
      </c>
      <c r="L1272" s="2994">
        <v>0</v>
      </c>
      <c r="M1272" s="2994">
        <v>0</v>
      </c>
      <c r="N1272" s="2994">
        <v>0</v>
      </c>
      <c r="O1272" s="2994">
        <v>0</v>
      </c>
      <c r="P1272" s="2994">
        <v>0</v>
      </c>
      <c r="Q1272" s="2994">
        <v>0</v>
      </c>
      <c r="R1272" s="2994">
        <v>0</v>
      </c>
      <c r="S1272" s="2994">
        <v>0</v>
      </c>
      <c r="T1272" s="2994">
        <v>0</v>
      </c>
      <c r="U1272" s="2994">
        <v>0</v>
      </c>
      <c r="V1272" s="2994">
        <v>0</v>
      </c>
      <c r="W1272" s="2994">
        <v>0</v>
      </c>
      <c r="X1272" s="2994">
        <v>0</v>
      </c>
      <c r="Y1272" s="2994">
        <v>0</v>
      </c>
      <c r="Z1272" s="2994">
        <v>0</v>
      </c>
      <c r="AA1272" s="2994">
        <v>0</v>
      </c>
      <c r="AB1272" s="2994">
        <v>0</v>
      </c>
      <c r="AC1272" s="2994">
        <v>0</v>
      </c>
      <c r="AD1272" s="2994">
        <v>0</v>
      </c>
      <c r="AE1272" s="2994">
        <v>0</v>
      </c>
      <c r="AF1272" s="2994">
        <v>0</v>
      </c>
      <c r="AG1272" s="2994">
        <v>0</v>
      </c>
      <c r="AH1272" s="2994">
        <v>0</v>
      </c>
      <c r="AI1272" s="2994">
        <v>0</v>
      </c>
      <c r="AJ1272" s="2994">
        <v>0</v>
      </c>
      <c r="AK1272" s="2994">
        <v>0</v>
      </c>
      <c r="AL1272" s="2994">
        <v>0</v>
      </c>
      <c r="AM1272" s="2994">
        <v>0</v>
      </c>
      <c r="AN1272" s="2994">
        <v>0</v>
      </c>
      <c r="AO1272" s="2994">
        <v>0</v>
      </c>
      <c r="AP1272" s="2994">
        <v>0</v>
      </c>
      <c r="AQ1272" s="2994">
        <v>0</v>
      </c>
      <c r="AR1272" s="2994">
        <v>0</v>
      </c>
      <c r="AS1272" s="2994">
        <v>0</v>
      </c>
      <c r="AT1272" s="2994">
        <v>0</v>
      </c>
      <c r="AU1272" s="2994">
        <v>0</v>
      </c>
      <c r="AV1272" s="2994">
        <v>0</v>
      </c>
      <c r="AW1272" s="2994">
        <v>0</v>
      </c>
      <c r="AX1272" s="2994">
        <v>0</v>
      </c>
      <c r="AY1272" s="2994">
        <v>0</v>
      </c>
      <c r="AZ1272" s="2994">
        <v>0</v>
      </c>
      <c r="BA1272" s="2994">
        <v>0</v>
      </c>
      <c r="BB1272" s="2994">
        <v>0</v>
      </c>
      <c r="BC1272" s="2994">
        <v>0</v>
      </c>
      <c r="BD1272" s="3471">
        <v>0</v>
      </c>
      <c r="BE1272" s="3471">
        <v>0</v>
      </c>
      <c r="BF1272" s="3471">
        <v>0</v>
      </c>
    </row>
    <row r="1273" spans="1:58">
      <c r="A1273" s="1817" t="str">
        <f t="shared" si="39"/>
        <v>Eastern EuropePoppy seed</v>
      </c>
      <c r="B1273" s="1818" t="s">
        <v>302</v>
      </c>
      <c r="C1273" s="1818" t="s">
        <v>7367</v>
      </c>
      <c r="D1273" s="3463" t="str">
        <f>VLOOKUP(B1273,List_Yield!$G$4:$J$14,4,FALSE)</f>
        <v>Eastern Europe</v>
      </c>
      <c r="E1273" s="3463" t="str">
        <f t="shared" si="38"/>
        <v>Eastern EuropePoppy seed</v>
      </c>
      <c r="F1273" s="2994">
        <v>0.50280000000000002</v>
      </c>
      <c r="G1273" s="2994">
        <v>0.46050000000000002</v>
      </c>
      <c r="H1273" s="2994">
        <v>0.45300000000000001</v>
      </c>
      <c r="I1273" s="2994">
        <v>0.3533</v>
      </c>
      <c r="J1273" s="2994">
        <v>0.35560000000000003</v>
      </c>
      <c r="K1273" s="2994">
        <v>0.40739999999999998</v>
      </c>
      <c r="L1273" s="2994">
        <v>0.47839999999999999</v>
      </c>
      <c r="M1273" s="2994">
        <v>0.37609999999999999</v>
      </c>
      <c r="N1273" s="2994">
        <v>0.47949999999999998</v>
      </c>
      <c r="O1273" s="2994">
        <v>0.47320000000000001</v>
      </c>
      <c r="P1273" s="2994">
        <v>0.53600000000000003</v>
      </c>
      <c r="Q1273" s="2994">
        <v>0.5464</v>
      </c>
      <c r="R1273" s="2994">
        <v>0.51570000000000005</v>
      </c>
      <c r="S1273" s="2994">
        <v>0.62590000000000001</v>
      </c>
      <c r="T1273" s="2994">
        <v>0.42020000000000002</v>
      </c>
      <c r="U1273" s="2994">
        <v>0.3972</v>
      </c>
      <c r="V1273" s="2994">
        <v>0.5393</v>
      </c>
      <c r="W1273" s="2994">
        <v>0.58260000000000001</v>
      </c>
      <c r="X1273" s="2994">
        <v>0.3664</v>
      </c>
      <c r="Y1273" s="2994">
        <v>0.50419999999999998</v>
      </c>
      <c r="Z1273" s="2994">
        <v>0.31490000000000001</v>
      </c>
      <c r="AA1273" s="2994">
        <v>0.3841</v>
      </c>
      <c r="AB1273" s="2994">
        <v>0.49790000000000001</v>
      </c>
      <c r="AC1273" s="2994">
        <v>0.60160000000000002</v>
      </c>
      <c r="AD1273" s="2994">
        <v>0.56000000000000005</v>
      </c>
      <c r="AE1273" s="2994">
        <v>0.54969999999999997</v>
      </c>
      <c r="AF1273" s="2994">
        <v>0.62949999999999995</v>
      </c>
      <c r="AG1273" s="2994">
        <v>0.62919999999999998</v>
      </c>
      <c r="AH1273" s="2994">
        <v>0.79749999999999999</v>
      </c>
      <c r="AI1273" s="2994">
        <v>1.0274000000000001</v>
      </c>
      <c r="AJ1273" s="2994">
        <v>0.73829999999999996</v>
      </c>
      <c r="AK1273" s="2994">
        <v>0.66759999999999997</v>
      </c>
      <c r="AL1273" s="2994">
        <v>0.70760000000000001</v>
      </c>
      <c r="AM1273" s="2994">
        <v>0.60299999999999998</v>
      </c>
      <c r="AN1273" s="2994">
        <v>0.67359999999999998</v>
      </c>
      <c r="AO1273" s="2994">
        <v>0.69679999999999997</v>
      </c>
      <c r="AP1273" s="2994">
        <v>0.61639999999999995</v>
      </c>
      <c r="AQ1273" s="2994">
        <v>0.6139</v>
      </c>
      <c r="AR1273" s="2994">
        <v>0.60650000000000004</v>
      </c>
      <c r="AS1273" s="2994">
        <v>0.43909999999999999</v>
      </c>
      <c r="AT1273" s="2994">
        <v>0.62890000000000001</v>
      </c>
      <c r="AU1273" s="2994">
        <v>0.56610000000000005</v>
      </c>
      <c r="AV1273" s="2994">
        <v>0.50539999999999996</v>
      </c>
      <c r="AW1273" s="2994">
        <v>0.86960000000000004</v>
      </c>
      <c r="AX1273" s="2994">
        <v>0.77749999999999997</v>
      </c>
      <c r="AY1273" s="2994">
        <v>0.54669999999999996</v>
      </c>
      <c r="AZ1273" s="2994">
        <v>0.57179999999999997</v>
      </c>
      <c r="BA1273" s="2994">
        <v>0.71020000000000005</v>
      </c>
      <c r="BB1273" s="2994">
        <v>0.61919999999999997</v>
      </c>
      <c r="BC1273" s="2994">
        <v>0.52190000000000003</v>
      </c>
      <c r="BD1273" s="3471">
        <v>0.84660000000000002</v>
      </c>
      <c r="BE1273" s="3471">
        <v>0.70709999999999995</v>
      </c>
      <c r="BF1273" s="3471">
        <v>0.72699999999999998</v>
      </c>
    </row>
    <row r="1274" spans="1:58">
      <c r="A1274" s="1817" t="str">
        <f t="shared" si="39"/>
        <v>Eastern EuropePotatoes</v>
      </c>
      <c r="B1274" s="1818" t="s">
        <v>302</v>
      </c>
      <c r="C1274" s="1818" t="s">
        <v>1368</v>
      </c>
      <c r="D1274" s="3463" t="str">
        <f>VLOOKUP(B1274,List_Yield!$G$4:$J$14,4,FALSE)</f>
        <v>Eastern Europe</v>
      </c>
      <c r="E1274" s="3463" t="str">
        <f t="shared" si="38"/>
        <v>Eastern EuropePotatoes</v>
      </c>
      <c r="F1274" s="2994">
        <v>10.9191</v>
      </c>
      <c r="G1274" s="2994">
        <v>9.2685999999999993</v>
      </c>
      <c r="H1274" s="2994">
        <v>10.307399999999999</v>
      </c>
      <c r="I1274" s="2994">
        <v>12.391</v>
      </c>
      <c r="J1274" s="2994">
        <v>11.4201</v>
      </c>
      <c r="K1274" s="2994">
        <v>12.0525</v>
      </c>
      <c r="L1274" s="2994">
        <v>12.8752</v>
      </c>
      <c r="M1274" s="2994">
        <v>13.796200000000001</v>
      </c>
      <c r="N1274" s="2994">
        <v>12.545999999999999</v>
      </c>
      <c r="O1274" s="2994">
        <v>13.4138</v>
      </c>
      <c r="P1274" s="2994">
        <v>12.565099999999999</v>
      </c>
      <c r="Q1274" s="2994">
        <v>12.0776</v>
      </c>
      <c r="R1274" s="2994">
        <v>14.809699999999999</v>
      </c>
      <c r="S1274" s="2994">
        <v>12.2781</v>
      </c>
      <c r="T1274" s="2994">
        <v>12.790699999999999</v>
      </c>
      <c r="U1274" s="2994">
        <v>14.240600000000001</v>
      </c>
      <c r="V1274" s="2994">
        <v>13.2151</v>
      </c>
      <c r="W1274" s="2994">
        <v>14.237500000000001</v>
      </c>
      <c r="X1274" s="2994">
        <v>15.000400000000001</v>
      </c>
      <c r="Y1274" s="2994">
        <v>10.2956</v>
      </c>
      <c r="Z1274" s="2994">
        <v>12.847099999999999</v>
      </c>
      <c r="AA1274" s="2994">
        <v>12.480399999999999</v>
      </c>
      <c r="AB1274" s="2994">
        <v>13.197900000000001</v>
      </c>
      <c r="AC1274" s="2994">
        <v>14.0962</v>
      </c>
      <c r="AD1274" s="2994">
        <v>13.2402</v>
      </c>
      <c r="AE1274" s="2994">
        <v>15.1877</v>
      </c>
      <c r="AF1274" s="2994">
        <v>13.7662</v>
      </c>
      <c r="AG1274" s="2994">
        <v>12.2073</v>
      </c>
      <c r="AH1274" s="2994">
        <v>13.655200000000001</v>
      </c>
      <c r="AI1274" s="2994">
        <v>13.0341</v>
      </c>
      <c r="AJ1274" s="2994">
        <v>12.1012</v>
      </c>
      <c r="AK1274" s="2994">
        <v>12.007099999999999</v>
      </c>
      <c r="AL1274" s="2994">
        <v>14.141299999999999</v>
      </c>
      <c r="AM1274" s="2994">
        <v>11.233000000000001</v>
      </c>
      <c r="AN1274" s="2994">
        <v>12.5481</v>
      </c>
      <c r="AO1274" s="2994">
        <v>13.6729</v>
      </c>
      <c r="AP1274" s="2994">
        <v>11.899800000000001</v>
      </c>
      <c r="AQ1274" s="2994">
        <v>12.053900000000001</v>
      </c>
      <c r="AR1274" s="2994">
        <v>10.935499999999999</v>
      </c>
      <c r="AS1274" s="2994">
        <v>12.8116</v>
      </c>
      <c r="AT1274" s="2994">
        <v>12.164400000000001</v>
      </c>
      <c r="AU1274" s="2994">
        <v>12.0357</v>
      </c>
      <c r="AV1274" s="2994">
        <v>12.9194</v>
      </c>
      <c r="AW1274" s="2994">
        <v>13.887700000000001</v>
      </c>
      <c r="AX1274" s="2994">
        <v>13.487299999999999</v>
      </c>
      <c r="AY1274" s="2994">
        <v>13.914300000000001</v>
      </c>
      <c r="AZ1274" s="2994">
        <v>14.509499999999999</v>
      </c>
      <c r="BA1274" s="2994">
        <v>15.2226</v>
      </c>
      <c r="BB1274" s="2994">
        <v>15.185700000000001</v>
      </c>
      <c r="BC1274" s="2994">
        <v>13.013</v>
      </c>
      <c r="BD1274" s="3471">
        <v>16.577400000000001</v>
      </c>
      <c r="BE1274" s="3471">
        <v>15.6182</v>
      </c>
      <c r="BF1274" s="3471">
        <v>15.735300000000001</v>
      </c>
    </row>
    <row r="1275" spans="1:58">
      <c r="A1275" s="1817" t="str">
        <f t="shared" si="39"/>
        <v>Eastern EuropePulses, nes</v>
      </c>
      <c r="B1275" s="1818" t="s">
        <v>302</v>
      </c>
      <c r="C1275" s="1818" t="s">
        <v>1369</v>
      </c>
      <c r="D1275" s="3463" t="str">
        <f>VLOOKUP(B1275,List_Yield!$G$4:$J$14,4,FALSE)</f>
        <v>Eastern Europe</v>
      </c>
      <c r="E1275" s="3463" t="str">
        <f t="shared" si="38"/>
        <v>Eastern EuropePulses, nes</v>
      </c>
      <c r="F1275" s="2994">
        <v>1.0785</v>
      </c>
      <c r="G1275" s="2994">
        <v>1.0481</v>
      </c>
      <c r="H1275" s="2994">
        <v>0.84660000000000002</v>
      </c>
      <c r="I1275" s="2994">
        <v>0.87660000000000005</v>
      </c>
      <c r="J1275" s="2994">
        <v>0.99339999999999995</v>
      </c>
      <c r="K1275" s="2994">
        <v>0.97819999999999996</v>
      </c>
      <c r="L1275" s="2994">
        <v>1.0175000000000001</v>
      </c>
      <c r="M1275" s="2994">
        <v>1.0476000000000001</v>
      </c>
      <c r="N1275" s="2994">
        <v>0.996</v>
      </c>
      <c r="O1275" s="2994">
        <v>1.1547000000000001</v>
      </c>
      <c r="P1275" s="2994">
        <v>1.1487000000000001</v>
      </c>
      <c r="Q1275" s="2994">
        <v>1.0517000000000001</v>
      </c>
      <c r="R1275" s="2994">
        <v>1.1852</v>
      </c>
      <c r="S1275" s="2994">
        <v>1.1783999999999999</v>
      </c>
      <c r="T1275" s="2994">
        <v>0.84319999999999995</v>
      </c>
      <c r="U1275" s="2994">
        <v>1.2181999999999999</v>
      </c>
      <c r="V1275" s="2994">
        <v>0.94830000000000003</v>
      </c>
      <c r="W1275" s="2994">
        <v>1.3168</v>
      </c>
      <c r="X1275" s="2994">
        <v>1.1191</v>
      </c>
      <c r="Y1275" s="2994">
        <v>0.99450000000000005</v>
      </c>
      <c r="Z1275" s="2994">
        <v>1.0185</v>
      </c>
      <c r="AA1275" s="2994">
        <v>1.2445999999999999</v>
      </c>
      <c r="AB1275" s="2994">
        <v>1.3693</v>
      </c>
      <c r="AC1275" s="2994">
        <v>1.7185999999999999</v>
      </c>
      <c r="AD1275" s="2994">
        <v>1.6875</v>
      </c>
      <c r="AE1275" s="2994">
        <v>1.5289999999999999</v>
      </c>
      <c r="AF1275" s="2994">
        <v>1.6850000000000001</v>
      </c>
      <c r="AG1275" s="2994">
        <v>1.536</v>
      </c>
      <c r="AH1275" s="2994">
        <v>1.5494000000000001</v>
      </c>
      <c r="AI1275" s="2994">
        <v>2.0194000000000001</v>
      </c>
      <c r="AJ1275" s="2994">
        <v>2.2881999999999998</v>
      </c>
      <c r="AK1275" s="2994">
        <v>1.2679</v>
      </c>
      <c r="AL1275" s="2994">
        <v>2.3485</v>
      </c>
      <c r="AM1275" s="2994">
        <v>1.6543000000000001</v>
      </c>
      <c r="AN1275" s="2994">
        <v>2.1208999999999998</v>
      </c>
      <c r="AO1275" s="2994">
        <v>2.1135000000000002</v>
      </c>
      <c r="AP1275" s="2994">
        <v>2.08</v>
      </c>
      <c r="AQ1275" s="2994">
        <v>1.6736</v>
      </c>
      <c r="AR1275" s="2994">
        <v>2.0815999999999999</v>
      </c>
      <c r="AS1275" s="2994">
        <v>1.8726</v>
      </c>
      <c r="AT1275" s="2994">
        <v>1.9220999999999999</v>
      </c>
      <c r="AU1275" s="2994">
        <v>2.1800000000000002</v>
      </c>
      <c r="AV1275" s="2994">
        <v>1.5397000000000001</v>
      </c>
      <c r="AW1275" s="2994">
        <v>1.8426</v>
      </c>
      <c r="AX1275" s="2994">
        <v>1.9643999999999999</v>
      </c>
      <c r="AY1275" s="2994">
        <v>1.7569999999999999</v>
      </c>
      <c r="AZ1275" s="2994">
        <v>1.6749000000000001</v>
      </c>
      <c r="BA1275" s="2994">
        <v>1.5674999999999999</v>
      </c>
      <c r="BB1275" s="2994">
        <v>1.5892999999999999</v>
      </c>
      <c r="BC1275" s="2994">
        <v>1.5016</v>
      </c>
      <c r="BD1275" s="3471">
        <v>1.3306</v>
      </c>
      <c r="BE1275" s="3471">
        <v>1.3109</v>
      </c>
      <c r="BF1275" s="3471">
        <v>1.1133</v>
      </c>
    </row>
    <row r="1276" spans="1:58">
      <c r="A1276" s="1817" t="str">
        <f t="shared" si="39"/>
        <v>Eastern EuropePumpkins, squash and gourds</v>
      </c>
      <c r="B1276" s="1818" t="s">
        <v>302</v>
      </c>
      <c r="C1276" s="1818" t="s">
        <v>7368</v>
      </c>
      <c r="D1276" s="3463" t="str">
        <f>VLOOKUP(B1276,List_Yield!$G$4:$J$14,4,FALSE)</f>
        <v>Eastern Europe</v>
      </c>
      <c r="E1276" s="3463" t="str">
        <f t="shared" si="38"/>
        <v>Eastern EuropePumpkins, squash and gourds</v>
      </c>
      <c r="F1276" s="2994">
        <v>1.9831000000000001</v>
      </c>
      <c r="G1276" s="2994">
        <v>1.2149000000000001</v>
      </c>
      <c r="H1276" s="2994">
        <v>1.036</v>
      </c>
      <c r="I1276" s="2994">
        <v>0.95109999999999995</v>
      </c>
      <c r="J1276" s="2994">
        <v>0.755</v>
      </c>
      <c r="K1276" s="2994">
        <v>1.4644999999999999</v>
      </c>
      <c r="L1276" s="2994">
        <v>1.3831</v>
      </c>
      <c r="M1276" s="2994">
        <v>1.8671</v>
      </c>
      <c r="N1276" s="2994">
        <v>2.1057999999999999</v>
      </c>
      <c r="O1276" s="2994">
        <v>1.8854</v>
      </c>
      <c r="P1276" s="2994">
        <v>2.4142999999999999</v>
      </c>
      <c r="Q1276" s="2994">
        <v>2.6246999999999998</v>
      </c>
      <c r="R1276" s="2994">
        <v>2.3925999999999998</v>
      </c>
      <c r="S1276" s="2994">
        <v>2.7256</v>
      </c>
      <c r="T1276" s="2994">
        <v>3.4563000000000001</v>
      </c>
      <c r="U1276" s="2994">
        <v>2.9611999999999998</v>
      </c>
      <c r="V1276" s="2994">
        <v>3.1930000000000001</v>
      </c>
      <c r="W1276" s="2994">
        <v>2.8226</v>
      </c>
      <c r="X1276" s="2994">
        <v>3.5958999999999999</v>
      </c>
      <c r="Y1276" s="2994">
        <v>3.3311000000000002</v>
      </c>
      <c r="Z1276" s="2994">
        <v>3.8008000000000002</v>
      </c>
      <c r="AA1276" s="2994">
        <v>4.1593999999999998</v>
      </c>
      <c r="AB1276" s="2994">
        <v>3.9584999999999999</v>
      </c>
      <c r="AC1276" s="2994">
        <v>5.8845999999999998</v>
      </c>
      <c r="AD1276" s="2994">
        <v>5.0712000000000002</v>
      </c>
      <c r="AE1276" s="2994">
        <v>5.1456</v>
      </c>
      <c r="AF1276" s="2994">
        <v>5.2980999999999998</v>
      </c>
      <c r="AG1276" s="2994">
        <v>5.7596999999999996</v>
      </c>
      <c r="AH1276" s="2994">
        <v>8.5528999999999993</v>
      </c>
      <c r="AI1276" s="2994">
        <v>8.9796999999999993</v>
      </c>
      <c r="AJ1276" s="2994">
        <v>9.8711000000000002</v>
      </c>
      <c r="AK1276" s="2994">
        <v>13.3248</v>
      </c>
      <c r="AL1276" s="2994">
        <v>14.791700000000001</v>
      </c>
      <c r="AM1276" s="2994">
        <v>14.227</v>
      </c>
      <c r="AN1276" s="2994">
        <v>16.590900000000001</v>
      </c>
      <c r="AO1276" s="2994">
        <v>17.6585</v>
      </c>
      <c r="AP1276" s="2994">
        <v>18.623899999999999</v>
      </c>
      <c r="AQ1276" s="2994">
        <v>18.5761</v>
      </c>
      <c r="AR1276" s="2994">
        <v>17.524699999999999</v>
      </c>
      <c r="AS1276" s="2994">
        <v>16.4269</v>
      </c>
      <c r="AT1276" s="2994">
        <v>17.922799999999999</v>
      </c>
      <c r="AU1276" s="2994">
        <v>16.727699999999999</v>
      </c>
      <c r="AV1276" s="2994">
        <v>17.133500000000002</v>
      </c>
      <c r="AW1276" s="2994">
        <v>15.05</v>
      </c>
      <c r="AX1276" s="2994">
        <v>19.392399999999999</v>
      </c>
      <c r="AY1276" s="2994">
        <v>19.212299999999999</v>
      </c>
      <c r="AZ1276" s="2994">
        <v>18.2516</v>
      </c>
      <c r="BA1276" s="2994">
        <v>19.2559</v>
      </c>
      <c r="BB1276" s="2994">
        <v>20.394200000000001</v>
      </c>
      <c r="BC1276" s="2994">
        <v>18.667000000000002</v>
      </c>
      <c r="BD1276" s="3471">
        <v>20.745999999999999</v>
      </c>
      <c r="BE1276" s="3471">
        <v>19.9726</v>
      </c>
      <c r="BF1276" s="3471">
        <v>0</v>
      </c>
    </row>
    <row r="1277" spans="1:58">
      <c r="A1277" s="1817" t="str">
        <f t="shared" si="39"/>
        <v>Eastern EuropePyrethrum, dried</v>
      </c>
      <c r="B1277" s="1818" t="s">
        <v>302</v>
      </c>
      <c r="C1277" s="1818" t="s">
        <v>7369</v>
      </c>
      <c r="D1277" s="3463" t="str">
        <f>VLOOKUP(B1277,List_Yield!$G$4:$J$14,4,FALSE)</f>
        <v>Eastern Europe</v>
      </c>
      <c r="E1277" s="3463" t="str">
        <f t="shared" ref="E1277:E1292" si="40">CONCATENATE(D1277,C1277)</f>
        <v>Eastern EuropePyrethrum, dried</v>
      </c>
      <c r="F1277" s="2994">
        <v>0</v>
      </c>
      <c r="G1277" s="2994">
        <v>0</v>
      </c>
      <c r="H1277" s="2994">
        <v>0</v>
      </c>
      <c r="I1277" s="2994">
        <v>0</v>
      </c>
      <c r="J1277" s="2994">
        <v>0</v>
      </c>
      <c r="K1277" s="2994">
        <v>0</v>
      </c>
      <c r="L1277" s="2994">
        <v>0</v>
      </c>
      <c r="M1277" s="2994">
        <v>0</v>
      </c>
      <c r="N1277" s="2994">
        <v>0</v>
      </c>
      <c r="O1277" s="2994">
        <v>0</v>
      </c>
      <c r="P1277" s="2994">
        <v>0</v>
      </c>
      <c r="Q1277" s="2994">
        <v>0</v>
      </c>
      <c r="R1277" s="2994">
        <v>0</v>
      </c>
      <c r="S1277" s="2994">
        <v>0</v>
      </c>
      <c r="T1277" s="2994">
        <v>0</v>
      </c>
      <c r="U1277" s="2994">
        <v>0</v>
      </c>
      <c r="V1277" s="2994">
        <v>0</v>
      </c>
      <c r="W1277" s="2994">
        <v>0</v>
      </c>
      <c r="X1277" s="2994">
        <v>0</v>
      </c>
      <c r="Y1277" s="2994">
        <v>0</v>
      </c>
      <c r="Z1277" s="2994">
        <v>0</v>
      </c>
      <c r="AA1277" s="2994">
        <v>0</v>
      </c>
      <c r="AB1277" s="2994">
        <v>0</v>
      </c>
      <c r="AC1277" s="2994">
        <v>0</v>
      </c>
      <c r="AD1277" s="2994">
        <v>0</v>
      </c>
      <c r="AE1277" s="2994">
        <v>0</v>
      </c>
      <c r="AF1277" s="2994">
        <v>0</v>
      </c>
      <c r="AG1277" s="2994">
        <v>0</v>
      </c>
      <c r="AH1277" s="2994">
        <v>0</v>
      </c>
      <c r="AI1277" s="2994">
        <v>0</v>
      </c>
      <c r="AJ1277" s="2994">
        <v>0</v>
      </c>
      <c r="AK1277" s="2994">
        <v>0</v>
      </c>
      <c r="AL1277" s="2994">
        <v>0</v>
      </c>
      <c r="AM1277" s="2994">
        <v>0</v>
      </c>
      <c r="AN1277" s="2994">
        <v>0</v>
      </c>
      <c r="AO1277" s="2994">
        <v>0</v>
      </c>
      <c r="AP1277" s="2994">
        <v>0</v>
      </c>
      <c r="AQ1277" s="2994">
        <v>0</v>
      </c>
      <c r="AR1277" s="2994">
        <v>0</v>
      </c>
      <c r="AS1277" s="2994">
        <v>0</v>
      </c>
      <c r="AT1277" s="2994">
        <v>0</v>
      </c>
      <c r="AU1277" s="2994">
        <v>0</v>
      </c>
      <c r="AV1277" s="2994">
        <v>0</v>
      </c>
      <c r="AW1277" s="2994">
        <v>0</v>
      </c>
      <c r="AX1277" s="2994">
        <v>0</v>
      </c>
      <c r="AY1277" s="2994">
        <v>0</v>
      </c>
      <c r="AZ1277" s="2994">
        <v>0</v>
      </c>
      <c r="BA1277" s="2994">
        <v>0</v>
      </c>
      <c r="BB1277" s="2994">
        <v>0</v>
      </c>
      <c r="BC1277" s="2994">
        <v>0</v>
      </c>
      <c r="BD1277" s="3471">
        <v>0</v>
      </c>
      <c r="BE1277" s="3471">
        <v>0</v>
      </c>
      <c r="BF1277" s="3471">
        <v>0</v>
      </c>
    </row>
    <row r="1278" spans="1:58">
      <c r="A1278" s="1817" t="str">
        <f t="shared" si="39"/>
        <v>Eastern EuropeQuinces</v>
      </c>
      <c r="B1278" s="1818" t="s">
        <v>302</v>
      </c>
      <c r="C1278" s="1818" t="s">
        <v>7370</v>
      </c>
      <c r="D1278" s="3463" t="str">
        <f>VLOOKUP(B1278,List_Yield!$G$4:$J$14,4,FALSE)</f>
        <v>Eastern Europe</v>
      </c>
      <c r="E1278" s="3463" t="str">
        <f t="shared" si="40"/>
        <v>Eastern EuropeQuinces</v>
      </c>
      <c r="F1278" s="2994">
        <v>7.5805999999999996</v>
      </c>
      <c r="G1278" s="2994">
        <v>7.0193000000000003</v>
      </c>
      <c r="H1278" s="2994">
        <v>6.1364000000000001</v>
      </c>
      <c r="I1278" s="2994">
        <v>6.4340999999999999</v>
      </c>
      <c r="J1278" s="2994">
        <v>7.1962999999999999</v>
      </c>
      <c r="K1278" s="2994">
        <v>6.6398000000000001</v>
      </c>
      <c r="L1278" s="2994">
        <v>7.9429999999999996</v>
      </c>
      <c r="M1278" s="2994">
        <v>9.9120000000000008</v>
      </c>
      <c r="N1278" s="2994">
        <v>9.0045999999999999</v>
      </c>
      <c r="O1278" s="2994">
        <v>5.3464</v>
      </c>
      <c r="P1278" s="2994">
        <v>5.1553000000000004</v>
      </c>
      <c r="Q1278" s="2994">
        <v>5.1580000000000004</v>
      </c>
      <c r="R1278" s="2994">
        <v>4.6471999999999998</v>
      </c>
      <c r="S1278" s="2994">
        <v>4.2915000000000001</v>
      </c>
      <c r="T1278" s="2994">
        <v>5.0484999999999998</v>
      </c>
      <c r="U1278" s="2994">
        <v>4.1101999999999999</v>
      </c>
      <c r="V1278" s="2994">
        <v>4.0907999999999998</v>
      </c>
      <c r="W1278" s="2994">
        <v>4.3171999999999997</v>
      </c>
      <c r="X1278" s="2994">
        <v>5.5724</v>
      </c>
      <c r="Y1278" s="2994">
        <v>8.5898000000000003</v>
      </c>
      <c r="Z1278" s="2994">
        <v>5.5614999999999997</v>
      </c>
      <c r="AA1278" s="2994">
        <v>8.6477000000000004</v>
      </c>
      <c r="AB1278" s="2994">
        <v>5.6711</v>
      </c>
      <c r="AC1278" s="2994">
        <v>5.6942000000000004</v>
      </c>
      <c r="AD1278" s="2994">
        <v>5.4794999999999998</v>
      </c>
      <c r="AE1278" s="2994">
        <v>5.4993999999999996</v>
      </c>
      <c r="AF1278" s="2994">
        <v>4.3666</v>
      </c>
      <c r="AG1278" s="2994">
        <v>4.0736999999999997</v>
      </c>
      <c r="AH1278" s="2994">
        <v>4.6097999999999999</v>
      </c>
      <c r="AI1278" s="2994">
        <v>4.4306999999999999</v>
      </c>
      <c r="AJ1278" s="2994">
        <v>3.7461000000000002</v>
      </c>
      <c r="AK1278" s="2994">
        <v>6.3075999999999999</v>
      </c>
      <c r="AL1278" s="2994">
        <v>4.6172000000000004</v>
      </c>
      <c r="AM1278" s="2994">
        <v>4.7968000000000002</v>
      </c>
      <c r="AN1278" s="2994">
        <v>3.9213</v>
      </c>
      <c r="AO1278" s="2994">
        <v>4.7146999999999997</v>
      </c>
      <c r="AP1278" s="2994">
        <v>5.4047999999999998</v>
      </c>
      <c r="AQ1278" s="2994">
        <v>5.7778</v>
      </c>
      <c r="AR1278" s="2994">
        <v>5.4942000000000002</v>
      </c>
      <c r="AS1278" s="2994">
        <v>6.6839000000000004</v>
      </c>
      <c r="AT1278" s="2994">
        <v>6.6577000000000002</v>
      </c>
      <c r="AU1278" s="2994">
        <v>5.9745999999999997</v>
      </c>
      <c r="AV1278" s="2994">
        <v>5.5038</v>
      </c>
      <c r="AW1278" s="2994">
        <v>3.6267999999999998</v>
      </c>
      <c r="AX1278" s="2994">
        <v>5.6722000000000001</v>
      </c>
      <c r="AY1278" s="2994">
        <v>5.4819000000000004</v>
      </c>
      <c r="AZ1278" s="2994">
        <v>6.0636999999999999</v>
      </c>
      <c r="BA1278" s="2994">
        <v>6.6497999999999999</v>
      </c>
      <c r="BB1278" s="2994">
        <v>7.2565</v>
      </c>
      <c r="BC1278" s="2994">
        <v>7.0392000000000001</v>
      </c>
      <c r="BD1278" s="3471">
        <v>7.8710000000000004</v>
      </c>
      <c r="BE1278" s="3471">
        <v>8.3637999999999995</v>
      </c>
      <c r="BF1278" s="3471">
        <v>0</v>
      </c>
    </row>
    <row r="1279" spans="1:58">
      <c r="A1279" s="1817" t="str">
        <f t="shared" si="39"/>
        <v>Eastern EuropeQuinoa</v>
      </c>
      <c r="B1279" s="1818" t="s">
        <v>302</v>
      </c>
      <c r="C1279" s="1818" t="s">
        <v>1385</v>
      </c>
      <c r="D1279" s="3463" t="str">
        <f>VLOOKUP(B1279,List_Yield!$G$4:$J$14,4,FALSE)</f>
        <v>Eastern Europe</v>
      </c>
      <c r="E1279" s="3463" t="str">
        <f t="shared" si="40"/>
        <v>Eastern EuropeQuinoa</v>
      </c>
      <c r="F1279" s="2994">
        <v>0</v>
      </c>
      <c r="G1279" s="2994">
        <v>0</v>
      </c>
      <c r="H1279" s="2994">
        <v>0</v>
      </c>
      <c r="I1279" s="2994">
        <v>0</v>
      </c>
      <c r="J1279" s="2994">
        <v>0</v>
      </c>
      <c r="K1279" s="2994">
        <v>0</v>
      </c>
      <c r="L1279" s="2994">
        <v>0</v>
      </c>
      <c r="M1279" s="2994">
        <v>0</v>
      </c>
      <c r="N1279" s="2994">
        <v>0</v>
      </c>
      <c r="O1279" s="2994">
        <v>0</v>
      </c>
      <c r="P1279" s="2994">
        <v>0</v>
      </c>
      <c r="Q1279" s="2994">
        <v>0</v>
      </c>
      <c r="R1279" s="2994">
        <v>0</v>
      </c>
      <c r="S1279" s="2994">
        <v>0</v>
      </c>
      <c r="T1279" s="2994">
        <v>0</v>
      </c>
      <c r="U1279" s="2994">
        <v>0</v>
      </c>
      <c r="V1279" s="2994">
        <v>0</v>
      </c>
      <c r="W1279" s="2994">
        <v>0</v>
      </c>
      <c r="X1279" s="2994">
        <v>0</v>
      </c>
      <c r="Y1279" s="2994">
        <v>0</v>
      </c>
      <c r="Z1279" s="2994">
        <v>0</v>
      </c>
      <c r="AA1279" s="2994">
        <v>0</v>
      </c>
      <c r="AB1279" s="2994">
        <v>0</v>
      </c>
      <c r="AC1279" s="2994">
        <v>0</v>
      </c>
      <c r="AD1279" s="2994">
        <v>0</v>
      </c>
      <c r="AE1279" s="2994">
        <v>0</v>
      </c>
      <c r="AF1279" s="2994">
        <v>0</v>
      </c>
      <c r="AG1279" s="2994">
        <v>0</v>
      </c>
      <c r="AH1279" s="2994">
        <v>0</v>
      </c>
      <c r="AI1279" s="2994">
        <v>0</v>
      </c>
      <c r="AJ1279" s="2994">
        <v>0</v>
      </c>
      <c r="AK1279" s="2994">
        <v>0</v>
      </c>
      <c r="AL1279" s="2994">
        <v>0</v>
      </c>
      <c r="AM1279" s="2994">
        <v>0</v>
      </c>
      <c r="AN1279" s="2994">
        <v>0</v>
      </c>
      <c r="AO1279" s="2994">
        <v>0</v>
      </c>
      <c r="AP1279" s="2994">
        <v>0</v>
      </c>
      <c r="AQ1279" s="2994">
        <v>0</v>
      </c>
      <c r="AR1279" s="2994">
        <v>0</v>
      </c>
      <c r="AS1279" s="2994">
        <v>0</v>
      </c>
      <c r="AT1279" s="2994">
        <v>0</v>
      </c>
      <c r="AU1279" s="2994">
        <v>0</v>
      </c>
      <c r="AV1279" s="2994">
        <v>0</v>
      </c>
      <c r="AW1279" s="2994">
        <v>0</v>
      </c>
      <c r="AX1279" s="2994">
        <v>0</v>
      </c>
      <c r="AY1279" s="2994">
        <v>0</v>
      </c>
      <c r="AZ1279" s="2994">
        <v>0</v>
      </c>
      <c r="BA1279" s="2994">
        <v>0</v>
      </c>
      <c r="BB1279" s="2994">
        <v>0</v>
      </c>
      <c r="BC1279" s="2994">
        <v>0</v>
      </c>
      <c r="BD1279" s="3471">
        <v>0</v>
      </c>
      <c r="BE1279" s="3471">
        <v>0</v>
      </c>
      <c r="BF1279" s="3471">
        <v>0</v>
      </c>
    </row>
    <row r="1280" spans="1:58">
      <c r="A1280" s="1817" t="str">
        <f t="shared" si="39"/>
        <v>Eastern EuropeRamie</v>
      </c>
      <c r="B1280" s="1818" t="s">
        <v>302</v>
      </c>
      <c r="C1280" s="1818" t="s">
        <v>7371</v>
      </c>
      <c r="D1280" s="3463" t="str">
        <f>VLOOKUP(B1280,List_Yield!$G$4:$J$14,4,FALSE)</f>
        <v>Eastern Europe</v>
      </c>
      <c r="E1280" s="3463" t="str">
        <f t="shared" si="40"/>
        <v>Eastern EuropeRamie</v>
      </c>
      <c r="F1280" s="2994">
        <v>0</v>
      </c>
      <c r="G1280" s="2994">
        <v>0</v>
      </c>
      <c r="H1280" s="2994">
        <v>0</v>
      </c>
      <c r="I1280" s="2994">
        <v>0</v>
      </c>
      <c r="J1280" s="2994">
        <v>0</v>
      </c>
      <c r="K1280" s="2994">
        <v>0</v>
      </c>
      <c r="L1280" s="2994">
        <v>0</v>
      </c>
      <c r="M1280" s="2994">
        <v>0</v>
      </c>
      <c r="N1280" s="2994">
        <v>0</v>
      </c>
      <c r="O1280" s="2994">
        <v>0</v>
      </c>
      <c r="P1280" s="2994">
        <v>0</v>
      </c>
      <c r="Q1280" s="2994">
        <v>0</v>
      </c>
      <c r="R1280" s="2994">
        <v>0</v>
      </c>
      <c r="S1280" s="2994">
        <v>0</v>
      </c>
      <c r="T1280" s="2994">
        <v>0</v>
      </c>
      <c r="U1280" s="2994">
        <v>0</v>
      </c>
      <c r="V1280" s="2994">
        <v>0</v>
      </c>
      <c r="W1280" s="2994">
        <v>0</v>
      </c>
      <c r="X1280" s="2994">
        <v>0</v>
      </c>
      <c r="Y1280" s="2994">
        <v>0</v>
      </c>
      <c r="Z1280" s="2994">
        <v>0</v>
      </c>
      <c r="AA1280" s="2994">
        <v>0</v>
      </c>
      <c r="AB1280" s="2994">
        <v>0</v>
      </c>
      <c r="AC1280" s="2994">
        <v>0</v>
      </c>
      <c r="AD1280" s="2994">
        <v>0</v>
      </c>
      <c r="AE1280" s="2994">
        <v>0</v>
      </c>
      <c r="AF1280" s="2994">
        <v>0</v>
      </c>
      <c r="AG1280" s="2994">
        <v>0</v>
      </c>
      <c r="AH1280" s="2994">
        <v>0</v>
      </c>
      <c r="AI1280" s="2994">
        <v>0</v>
      </c>
      <c r="AJ1280" s="2994">
        <v>0</v>
      </c>
      <c r="AK1280" s="2994">
        <v>0</v>
      </c>
      <c r="AL1280" s="2994">
        <v>0</v>
      </c>
      <c r="AM1280" s="2994">
        <v>0</v>
      </c>
      <c r="AN1280" s="2994">
        <v>0</v>
      </c>
      <c r="AO1280" s="2994">
        <v>0</v>
      </c>
      <c r="AP1280" s="2994">
        <v>0</v>
      </c>
      <c r="AQ1280" s="2994">
        <v>0</v>
      </c>
      <c r="AR1280" s="2994">
        <v>0</v>
      </c>
      <c r="AS1280" s="2994">
        <v>0</v>
      </c>
      <c r="AT1280" s="2994">
        <v>0</v>
      </c>
      <c r="AU1280" s="2994">
        <v>0</v>
      </c>
      <c r="AV1280" s="2994">
        <v>0</v>
      </c>
      <c r="AW1280" s="2994">
        <v>0</v>
      </c>
      <c r="AX1280" s="2994">
        <v>0</v>
      </c>
      <c r="AY1280" s="2994">
        <v>0</v>
      </c>
      <c r="AZ1280" s="2994">
        <v>0</v>
      </c>
      <c r="BA1280" s="2994">
        <v>0</v>
      </c>
      <c r="BB1280" s="2994">
        <v>0</v>
      </c>
      <c r="BC1280" s="2994">
        <v>0</v>
      </c>
      <c r="BD1280" s="3471">
        <v>0</v>
      </c>
      <c r="BE1280" s="3471">
        <v>0</v>
      </c>
      <c r="BF1280" s="3471">
        <v>0</v>
      </c>
    </row>
    <row r="1281" spans="1:58">
      <c r="A1281" s="1817" t="str">
        <f t="shared" si="39"/>
        <v>Eastern EuropeRapeseed</v>
      </c>
      <c r="B1281" s="1818" t="s">
        <v>302</v>
      </c>
      <c r="C1281" s="1818" t="s">
        <v>7372</v>
      </c>
      <c r="D1281" s="3463" t="str">
        <f>VLOOKUP(B1281,List_Yield!$G$4:$J$14,4,FALSE)</f>
        <v>Eastern Europe</v>
      </c>
      <c r="E1281" s="3463" t="str">
        <f t="shared" si="40"/>
        <v>Eastern EuropeRapeseed</v>
      </c>
      <c r="F1281" s="2994">
        <v>1.3726</v>
      </c>
      <c r="G1281" s="2994">
        <v>1.3453999999999999</v>
      </c>
      <c r="H1281" s="2994">
        <v>1.1254</v>
      </c>
      <c r="I1281" s="2994">
        <v>1.0873999999999999</v>
      </c>
      <c r="J1281" s="2994">
        <v>1.7273000000000001</v>
      </c>
      <c r="K1281" s="2994">
        <v>1.6087</v>
      </c>
      <c r="L1281" s="2994">
        <v>1.9489000000000001</v>
      </c>
      <c r="M1281" s="2994">
        <v>1.3877999999999999</v>
      </c>
      <c r="N1281" s="2994">
        <v>1.3604000000000001</v>
      </c>
      <c r="O1281" s="2994">
        <v>1.8582000000000001</v>
      </c>
      <c r="P1281" s="2994">
        <v>1.6733</v>
      </c>
      <c r="Q1281" s="2994">
        <v>1.5457000000000001</v>
      </c>
      <c r="R1281" s="2994">
        <v>1.6331</v>
      </c>
      <c r="S1281" s="2994">
        <v>1.9293</v>
      </c>
      <c r="T1281" s="2994">
        <v>2.1335999999999999</v>
      </c>
      <c r="U1281" s="2994">
        <v>2.2608999999999999</v>
      </c>
      <c r="V1281" s="2994">
        <v>1.7737000000000001</v>
      </c>
      <c r="W1281" s="2994">
        <v>1.9483999999999999</v>
      </c>
      <c r="X1281" s="2994">
        <v>1.3085</v>
      </c>
      <c r="Y1281" s="2994">
        <v>1.8527</v>
      </c>
      <c r="Z1281" s="2994">
        <v>1.6259999999999999</v>
      </c>
      <c r="AA1281" s="2994">
        <v>1.4409000000000001</v>
      </c>
      <c r="AB1281" s="2994">
        <v>1.8028</v>
      </c>
      <c r="AC1281" s="2994">
        <v>1.9528000000000001</v>
      </c>
      <c r="AD1281" s="2994">
        <v>1.8889</v>
      </c>
      <c r="AE1281" s="2994">
        <v>2.1467999999999998</v>
      </c>
      <c r="AF1281" s="2994">
        <v>1.7603</v>
      </c>
      <c r="AG1281" s="2994">
        <v>1.6647000000000001</v>
      </c>
      <c r="AH1281" s="2994">
        <v>1.9532</v>
      </c>
      <c r="AI1281" s="2994">
        <v>1.9020999999999999</v>
      </c>
      <c r="AJ1281" s="2994">
        <v>1.8594999999999999</v>
      </c>
      <c r="AK1281" s="2994">
        <v>1.7895000000000001</v>
      </c>
      <c r="AL1281" s="2994">
        <v>1.6213</v>
      </c>
      <c r="AM1281" s="2994">
        <v>1.8077000000000001</v>
      </c>
      <c r="AN1281" s="2994">
        <v>1.8325</v>
      </c>
      <c r="AO1281" s="2994">
        <v>1.5346</v>
      </c>
      <c r="AP1281" s="2994">
        <v>1.8374999999999999</v>
      </c>
      <c r="AQ1281" s="2994">
        <v>1.9298</v>
      </c>
      <c r="AR1281" s="2994">
        <v>1.7019</v>
      </c>
      <c r="AS1281" s="2994">
        <v>1.7206999999999999</v>
      </c>
      <c r="AT1281" s="2994">
        <v>2.0449999999999999</v>
      </c>
      <c r="AU1281" s="2994">
        <v>1.7968</v>
      </c>
      <c r="AV1281" s="2994">
        <v>1.4565999999999999</v>
      </c>
      <c r="AW1281" s="2994">
        <v>2.5152999999999999</v>
      </c>
      <c r="AX1281" s="2994">
        <v>2.1610999999999998</v>
      </c>
      <c r="AY1281" s="2994">
        <v>2.0390000000000001</v>
      </c>
      <c r="AZ1281" s="2994">
        <v>1.8502000000000001</v>
      </c>
      <c r="BA1281" s="2994">
        <v>2.1688000000000001</v>
      </c>
      <c r="BB1281" s="2994">
        <v>2.1113</v>
      </c>
      <c r="BC1281" s="2994">
        <v>1.9016999999999999</v>
      </c>
      <c r="BD1281" s="3471">
        <v>1.8645</v>
      </c>
      <c r="BE1281" s="3471">
        <v>1.9429000000000001</v>
      </c>
      <c r="BF1281" s="3471">
        <v>2.2648000000000001</v>
      </c>
    </row>
    <row r="1282" spans="1:58">
      <c r="A1282" s="1817" t="str">
        <f t="shared" ref="A1282:A1345" si="41">CONCATENATE(B1282,C1282)</f>
        <v>Eastern EuropeRaspberries</v>
      </c>
      <c r="B1282" s="1818" t="s">
        <v>302</v>
      </c>
      <c r="C1282" s="1818" t="s">
        <v>7373</v>
      </c>
      <c r="D1282" s="3463" t="str">
        <f>VLOOKUP(B1282,List_Yield!$G$4:$J$14,4,FALSE)</f>
        <v>Eastern Europe</v>
      </c>
      <c r="E1282" s="3463" t="str">
        <f t="shared" si="40"/>
        <v>Eastern EuropeRaspberries</v>
      </c>
      <c r="F1282" s="2994">
        <v>4.6166999999999998</v>
      </c>
      <c r="G1282" s="2994">
        <v>5.1261000000000001</v>
      </c>
      <c r="H1282" s="2994">
        <v>6.0743999999999998</v>
      </c>
      <c r="I1282" s="2994">
        <v>6.1756000000000002</v>
      </c>
      <c r="J1282" s="2994">
        <v>4.3600000000000003</v>
      </c>
      <c r="K1282" s="2994">
        <v>4.2579000000000002</v>
      </c>
      <c r="L1282" s="2994">
        <v>4.8734999999999999</v>
      </c>
      <c r="M1282" s="2994">
        <v>3.9531000000000001</v>
      </c>
      <c r="N1282" s="2994">
        <v>4.1722000000000001</v>
      </c>
      <c r="O1282" s="2994">
        <v>4.5026000000000002</v>
      </c>
      <c r="P1282" s="2994">
        <v>4.1139000000000001</v>
      </c>
      <c r="Q1282" s="2994">
        <v>4.2980999999999998</v>
      </c>
      <c r="R1282" s="2994">
        <v>5.2374999999999998</v>
      </c>
      <c r="S1282" s="2994">
        <v>4.3807</v>
      </c>
      <c r="T1282" s="2994">
        <v>5.3342999999999998</v>
      </c>
      <c r="U1282" s="2994">
        <v>4.6077000000000004</v>
      </c>
      <c r="V1282" s="2994">
        <v>4.7558999999999996</v>
      </c>
      <c r="W1282" s="2994">
        <v>4.7455999999999996</v>
      </c>
      <c r="X1282" s="2994">
        <v>4.7030000000000003</v>
      </c>
      <c r="Y1282" s="2994">
        <v>4.4381000000000004</v>
      </c>
      <c r="Z1282" s="2994">
        <v>5.2092999999999998</v>
      </c>
      <c r="AA1282" s="2994">
        <v>4.8970000000000002</v>
      </c>
      <c r="AB1282" s="2994">
        <v>4.9128999999999996</v>
      </c>
      <c r="AC1282" s="2994">
        <v>5.2683</v>
      </c>
      <c r="AD1282" s="2994">
        <v>4.6867999999999999</v>
      </c>
      <c r="AE1282" s="2994">
        <v>4.5616000000000003</v>
      </c>
      <c r="AF1282" s="2994">
        <v>4.0250000000000004</v>
      </c>
      <c r="AG1282" s="2994">
        <v>4.9410999999999996</v>
      </c>
      <c r="AH1282" s="2994">
        <v>5.0590000000000002</v>
      </c>
      <c r="AI1282" s="2994">
        <v>4.5072999999999999</v>
      </c>
      <c r="AJ1282" s="2994">
        <v>4.3235999999999999</v>
      </c>
      <c r="AK1282" s="2994">
        <v>4.3742999999999999</v>
      </c>
      <c r="AL1282" s="2994">
        <v>4.6162000000000001</v>
      </c>
      <c r="AM1282" s="2994">
        <v>4.8394000000000004</v>
      </c>
      <c r="AN1282" s="2994">
        <v>4.8502999999999998</v>
      </c>
      <c r="AO1282" s="2994">
        <v>4.7782999999999998</v>
      </c>
      <c r="AP1282" s="2994">
        <v>4.9386999999999999</v>
      </c>
      <c r="AQ1282" s="2994">
        <v>5.1920999999999999</v>
      </c>
      <c r="AR1282" s="2994">
        <v>5.0869</v>
      </c>
      <c r="AS1282" s="2994">
        <v>5.0991</v>
      </c>
      <c r="AT1282" s="2994">
        <v>4.3974000000000002</v>
      </c>
      <c r="AU1282" s="2994">
        <v>4.5148000000000001</v>
      </c>
      <c r="AV1282" s="2994">
        <v>4.2420999999999998</v>
      </c>
      <c r="AW1282" s="2994">
        <v>4.8986000000000001</v>
      </c>
      <c r="AX1282" s="2994">
        <v>4.6562999999999999</v>
      </c>
      <c r="AY1282" s="2994">
        <v>4.4969999999999999</v>
      </c>
      <c r="AZ1282" s="2994">
        <v>4.1966999999999999</v>
      </c>
      <c r="BA1282" s="2994">
        <v>4.6162999999999998</v>
      </c>
      <c r="BB1282" s="2994">
        <v>4.6776999999999997</v>
      </c>
      <c r="BC1282" s="2994">
        <v>3.9973000000000001</v>
      </c>
      <c r="BD1282" s="3471">
        <v>4.7</v>
      </c>
      <c r="BE1282" s="3471">
        <v>4.8213999999999997</v>
      </c>
      <c r="BF1282" s="3471">
        <v>0</v>
      </c>
    </row>
    <row r="1283" spans="1:58">
      <c r="A1283" s="1817" t="str">
        <f t="shared" si="41"/>
        <v>Eastern EuropeRice, paddy</v>
      </c>
      <c r="B1283" s="1818" t="s">
        <v>302</v>
      </c>
      <c r="C1283" s="1818" t="s">
        <v>1370</v>
      </c>
      <c r="D1283" s="3463" t="str">
        <f>VLOOKUP(B1283,List_Yield!$G$4:$J$14,4,FALSE)</f>
        <v>Eastern Europe</v>
      </c>
      <c r="E1283" s="3463" t="str">
        <f t="shared" si="40"/>
        <v>Eastern EuropeRice, paddy</v>
      </c>
      <c r="F1283" s="2994">
        <v>2.0815000000000001</v>
      </c>
      <c r="G1283" s="2994">
        <v>2.2263000000000002</v>
      </c>
      <c r="H1283" s="2994">
        <v>2.5680000000000001</v>
      </c>
      <c r="I1283" s="2994">
        <v>2.323</v>
      </c>
      <c r="J1283" s="2994">
        <v>2.4382000000000001</v>
      </c>
      <c r="K1283" s="2994">
        <v>2.6598999999999999</v>
      </c>
      <c r="L1283" s="2994">
        <v>2.9722</v>
      </c>
      <c r="M1283" s="2994">
        <v>3.0356999999999998</v>
      </c>
      <c r="N1283" s="2994">
        <v>3.0552999999999999</v>
      </c>
      <c r="O1283" s="2994">
        <v>3.2641</v>
      </c>
      <c r="P1283" s="2994">
        <v>3.3189000000000002</v>
      </c>
      <c r="Q1283" s="2994">
        <v>3.4645000000000001</v>
      </c>
      <c r="R1283" s="2994">
        <v>3.4430999999999998</v>
      </c>
      <c r="S1283" s="2994">
        <v>3.4535</v>
      </c>
      <c r="T1283" s="2994">
        <v>3.6674000000000002</v>
      </c>
      <c r="U1283" s="2994">
        <v>3.3405</v>
      </c>
      <c r="V1283" s="2994">
        <v>3.6173999999999999</v>
      </c>
      <c r="W1283" s="2994">
        <v>3.2795999999999998</v>
      </c>
      <c r="X1283" s="2994">
        <v>3.5960999999999999</v>
      </c>
      <c r="Y1283" s="2994">
        <v>3.7940999999999998</v>
      </c>
      <c r="Z1283" s="2994">
        <v>3.6200999999999999</v>
      </c>
      <c r="AA1283" s="2994">
        <v>3.5448</v>
      </c>
      <c r="AB1283" s="2994">
        <v>3.7271000000000001</v>
      </c>
      <c r="AC1283" s="2994">
        <v>3.6568000000000001</v>
      </c>
      <c r="AD1283" s="2994">
        <v>3.5880000000000001</v>
      </c>
      <c r="AE1283" s="2994">
        <v>3.8712</v>
      </c>
      <c r="AF1283" s="2994">
        <v>3.6160000000000001</v>
      </c>
      <c r="AG1283" s="2994">
        <v>3.7761999999999998</v>
      </c>
      <c r="AH1283" s="2994">
        <v>3.2744</v>
      </c>
      <c r="AI1283" s="2994">
        <v>3.3974000000000002</v>
      </c>
      <c r="AJ1283" s="2994">
        <v>3.2279</v>
      </c>
      <c r="AK1283" s="2994">
        <v>2.8969</v>
      </c>
      <c r="AL1283" s="2994">
        <v>2.6869000000000001</v>
      </c>
      <c r="AM1283" s="2994">
        <v>2.8224999999999998</v>
      </c>
      <c r="AN1283" s="2994">
        <v>3.2860999999999998</v>
      </c>
      <c r="AO1283" s="2994">
        <v>2.6263999999999998</v>
      </c>
      <c r="AP1283" s="2994">
        <v>2.4439000000000002</v>
      </c>
      <c r="AQ1283" s="2994">
        <v>3.0318999999999998</v>
      </c>
      <c r="AR1283" s="2994">
        <v>2.7761</v>
      </c>
      <c r="AS1283" s="2994">
        <v>3.5179999999999998</v>
      </c>
      <c r="AT1283" s="2994">
        <v>3.5230000000000001</v>
      </c>
      <c r="AU1283" s="2994">
        <v>3.8115000000000001</v>
      </c>
      <c r="AV1283" s="2994">
        <v>3.2812000000000001</v>
      </c>
      <c r="AW1283" s="2994">
        <v>3.8079999999999998</v>
      </c>
      <c r="AX1283" s="2994">
        <v>4.2183000000000002</v>
      </c>
      <c r="AY1283" s="2994">
        <v>4.3414999999999999</v>
      </c>
      <c r="AZ1283" s="2994">
        <v>4.5351999999999997</v>
      </c>
      <c r="BA1283" s="2994">
        <v>4.7374000000000001</v>
      </c>
      <c r="BB1283" s="2994">
        <v>5.2695999999999996</v>
      </c>
      <c r="BC1283" s="2994">
        <v>5.1974999999999998</v>
      </c>
      <c r="BD1283" s="3471">
        <v>5.1481000000000003</v>
      </c>
      <c r="BE1283" s="3471">
        <v>5.4972000000000003</v>
      </c>
      <c r="BF1283" s="3471">
        <v>5.0549999999999997</v>
      </c>
    </row>
    <row r="1284" spans="1:58">
      <c r="A1284" s="1817" t="str">
        <f t="shared" si="41"/>
        <v>Eastern EuropeRoots and tubers, nes</v>
      </c>
      <c r="B1284" s="1818" t="s">
        <v>302</v>
      </c>
      <c r="C1284" s="1818" t="s">
        <v>7374</v>
      </c>
      <c r="D1284" s="3463" t="str">
        <f>VLOOKUP(B1284,List_Yield!$G$4:$J$14,4,FALSE)</f>
        <v>Eastern Europe</v>
      </c>
      <c r="E1284" s="3463" t="str">
        <f t="shared" si="40"/>
        <v>Eastern EuropeRoots and tubers, nes</v>
      </c>
      <c r="F1284" s="2994">
        <v>8</v>
      </c>
      <c r="G1284" s="2994">
        <v>10</v>
      </c>
      <c r="H1284" s="2994">
        <v>10</v>
      </c>
      <c r="I1284" s="2994">
        <v>12.222200000000001</v>
      </c>
      <c r="J1284" s="2994">
        <v>10</v>
      </c>
      <c r="K1284" s="2994">
        <v>8.8888999999999996</v>
      </c>
      <c r="L1284" s="2994">
        <v>8.8888999999999996</v>
      </c>
      <c r="M1284" s="2994">
        <v>10</v>
      </c>
      <c r="N1284" s="2994">
        <v>10</v>
      </c>
      <c r="O1284" s="2994">
        <v>10</v>
      </c>
      <c r="P1284" s="2994">
        <v>10</v>
      </c>
      <c r="Q1284" s="2994">
        <v>10</v>
      </c>
      <c r="R1284" s="2994">
        <v>10</v>
      </c>
      <c r="S1284" s="2994">
        <v>10</v>
      </c>
      <c r="T1284" s="2994">
        <v>10</v>
      </c>
      <c r="U1284" s="2994">
        <v>10</v>
      </c>
      <c r="V1284" s="2994">
        <v>10</v>
      </c>
      <c r="W1284" s="2994">
        <v>10</v>
      </c>
      <c r="X1284" s="2994">
        <v>12</v>
      </c>
      <c r="Y1284" s="2994">
        <v>10</v>
      </c>
      <c r="Z1284" s="2994">
        <v>16</v>
      </c>
      <c r="AA1284" s="2994">
        <v>12</v>
      </c>
      <c r="AB1284" s="2994">
        <v>13.333299999999999</v>
      </c>
      <c r="AC1284" s="2994">
        <v>18</v>
      </c>
      <c r="AD1284" s="2994">
        <v>16.5</v>
      </c>
      <c r="AE1284" s="2994">
        <v>17.5</v>
      </c>
      <c r="AF1284" s="2994">
        <v>18</v>
      </c>
      <c r="AG1284" s="2994">
        <v>16</v>
      </c>
      <c r="AH1284" s="2994">
        <v>16</v>
      </c>
      <c r="AI1284" s="2994">
        <v>14</v>
      </c>
      <c r="AJ1284" s="2994">
        <v>12.5</v>
      </c>
      <c r="AK1284" s="2994">
        <v>14.5405</v>
      </c>
      <c r="AL1284" s="2994">
        <v>0</v>
      </c>
      <c r="AM1284" s="2994">
        <v>0</v>
      </c>
      <c r="AN1284" s="2994">
        <v>0</v>
      </c>
      <c r="AO1284" s="2994">
        <v>0</v>
      </c>
      <c r="AP1284" s="2994">
        <v>0</v>
      </c>
      <c r="AQ1284" s="2994">
        <v>0</v>
      </c>
      <c r="AR1284" s="2994">
        <v>0</v>
      </c>
      <c r="AS1284" s="2994">
        <v>0</v>
      </c>
      <c r="AT1284" s="2994">
        <v>0</v>
      </c>
      <c r="AU1284" s="2994">
        <v>0</v>
      </c>
      <c r="AV1284" s="2994">
        <v>0</v>
      </c>
      <c r="AW1284" s="2994">
        <v>0</v>
      </c>
      <c r="AX1284" s="2994">
        <v>0</v>
      </c>
      <c r="AY1284" s="2994">
        <v>0</v>
      </c>
      <c r="AZ1284" s="2994">
        <v>0</v>
      </c>
      <c r="BA1284" s="2994">
        <v>0</v>
      </c>
      <c r="BB1284" s="2994">
        <v>0</v>
      </c>
      <c r="BC1284" s="2994">
        <v>0</v>
      </c>
      <c r="BD1284" s="3471">
        <v>0</v>
      </c>
      <c r="BE1284" s="3471">
        <v>0</v>
      </c>
      <c r="BF1284" s="3471">
        <v>0</v>
      </c>
    </row>
    <row r="1285" spans="1:58">
      <c r="A1285" s="1817" t="str">
        <f t="shared" si="41"/>
        <v>Eastern EuropeRubber, natural</v>
      </c>
      <c r="B1285" s="1818" t="s">
        <v>302</v>
      </c>
      <c r="C1285" s="1818" t="s">
        <v>7375</v>
      </c>
      <c r="D1285" s="3463" t="str">
        <f>VLOOKUP(B1285,List_Yield!$G$4:$J$14,4,FALSE)</f>
        <v>Eastern Europe</v>
      </c>
      <c r="E1285" s="3463" t="str">
        <f t="shared" si="40"/>
        <v>Eastern EuropeRubber, natural</v>
      </c>
      <c r="F1285" s="2994">
        <v>0</v>
      </c>
      <c r="G1285" s="2994">
        <v>0</v>
      </c>
      <c r="H1285" s="2994">
        <v>0</v>
      </c>
      <c r="I1285" s="2994">
        <v>0</v>
      </c>
      <c r="J1285" s="2994">
        <v>0</v>
      </c>
      <c r="K1285" s="2994">
        <v>0</v>
      </c>
      <c r="L1285" s="2994">
        <v>0</v>
      </c>
      <c r="M1285" s="2994">
        <v>0</v>
      </c>
      <c r="N1285" s="2994">
        <v>0</v>
      </c>
      <c r="O1285" s="2994">
        <v>0</v>
      </c>
      <c r="P1285" s="2994">
        <v>0</v>
      </c>
      <c r="Q1285" s="2994">
        <v>0</v>
      </c>
      <c r="R1285" s="2994">
        <v>0</v>
      </c>
      <c r="S1285" s="2994">
        <v>0</v>
      </c>
      <c r="T1285" s="2994">
        <v>0</v>
      </c>
      <c r="U1285" s="2994">
        <v>0</v>
      </c>
      <c r="V1285" s="2994">
        <v>0</v>
      </c>
      <c r="W1285" s="2994">
        <v>0</v>
      </c>
      <c r="X1285" s="2994">
        <v>0</v>
      </c>
      <c r="Y1285" s="2994">
        <v>0</v>
      </c>
      <c r="Z1285" s="2994">
        <v>0</v>
      </c>
      <c r="AA1285" s="2994">
        <v>0</v>
      </c>
      <c r="AB1285" s="2994">
        <v>0</v>
      </c>
      <c r="AC1285" s="2994">
        <v>0</v>
      </c>
      <c r="AD1285" s="2994">
        <v>0</v>
      </c>
      <c r="AE1285" s="2994">
        <v>0</v>
      </c>
      <c r="AF1285" s="2994">
        <v>0</v>
      </c>
      <c r="AG1285" s="2994">
        <v>0</v>
      </c>
      <c r="AH1285" s="2994">
        <v>0</v>
      </c>
      <c r="AI1285" s="2994">
        <v>0</v>
      </c>
      <c r="AJ1285" s="2994">
        <v>0</v>
      </c>
      <c r="AK1285" s="2994">
        <v>0</v>
      </c>
      <c r="AL1285" s="2994">
        <v>0</v>
      </c>
      <c r="AM1285" s="2994">
        <v>0</v>
      </c>
      <c r="AN1285" s="2994">
        <v>0</v>
      </c>
      <c r="AO1285" s="2994">
        <v>0</v>
      </c>
      <c r="AP1285" s="2994">
        <v>0</v>
      </c>
      <c r="AQ1285" s="2994">
        <v>0</v>
      </c>
      <c r="AR1285" s="2994">
        <v>0</v>
      </c>
      <c r="AS1285" s="2994">
        <v>0</v>
      </c>
      <c r="AT1285" s="2994">
        <v>0</v>
      </c>
      <c r="AU1285" s="2994">
        <v>0</v>
      </c>
      <c r="AV1285" s="2994">
        <v>0</v>
      </c>
      <c r="AW1285" s="2994">
        <v>0</v>
      </c>
      <c r="AX1285" s="2994">
        <v>0</v>
      </c>
      <c r="AY1285" s="2994">
        <v>0</v>
      </c>
      <c r="AZ1285" s="2994">
        <v>0</v>
      </c>
      <c r="BA1285" s="2994">
        <v>0</v>
      </c>
      <c r="BB1285" s="2994">
        <v>0</v>
      </c>
      <c r="BC1285" s="2994">
        <v>0</v>
      </c>
      <c r="BD1285" s="3471">
        <v>0</v>
      </c>
      <c r="BE1285" s="3471">
        <v>0</v>
      </c>
      <c r="BF1285" s="3471">
        <v>0</v>
      </c>
    </row>
    <row r="1286" spans="1:58">
      <c r="A1286" s="1817" t="str">
        <f t="shared" si="41"/>
        <v>Eastern EuropeRye</v>
      </c>
      <c r="B1286" s="1818" t="s">
        <v>302</v>
      </c>
      <c r="C1286" s="1818" t="s">
        <v>1327</v>
      </c>
      <c r="D1286" s="3463" t="str">
        <f>VLOOKUP(B1286,List_Yield!$G$4:$J$14,4,FALSE)</f>
        <v>Eastern Europe</v>
      </c>
      <c r="E1286" s="3463" t="str">
        <f t="shared" si="40"/>
        <v>Eastern EuropeRye</v>
      </c>
      <c r="F1286" s="2994">
        <v>1.1031</v>
      </c>
      <c r="G1286" s="2994">
        <v>1.0366</v>
      </c>
      <c r="H1286" s="2994">
        <v>0.94369999999999998</v>
      </c>
      <c r="I1286" s="2994">
        <v>0.93179999999999996</v>
      </c>
      <c r="J1286" s="2994">
        <v>1.1347</v>
      </c>
      <c r="K1286" s="2994">
        <v>1.1093999999999999</v>
      </c>
      <c r="L1286" s="2994">
        <v>1.1758999999999999</v>
      </c>
      <c r="M1286" s="2994">
        <v>1.2977000000000001</v>
      </c>
      <c r="N1286" s="2994">
        <v>1.3644000000000001</v>
      </c>
      <c r="O1286" s="2994">
        <v>1.2826</v>
      </c>
      <c r="P1286" s="2994">
        <v>1.4821</v>
      </c>
      <c r="Q1286" s="2994">
        <v>1.4616</v>
      </c>
      <c r="R1286" s="2994">
        <v>1.7464999999999999</v>
      </c>
      <c r="S1286" s="2994">
        <v>1.6889000000000001</v>
      </c>
      <c r="T1286" s="2994">
        <v>1.3608</v>
      </c>
      <c r="U1286" s="2994">
        <v>1.6505000000000001</v>
      </c>
      <c r="V1286" s="2994">
        <v>1.4516</v>
      </c>
      <c r="W1286" s="2994">
        <v>1.8567</v>
      </c>
      <c r="X1286" s="2994">
        <v>1.3664000000000001</v>
      </c>
      <c r="Y1286" s="2994">
        <v>1.3645</v>
      </c>
      <c r="Z1286" s="2994">
        <v>1.4807999999999999</v>
      </c>
      <c r="AA1286" s="2994">
        <v>1.6577999999999999</v>
      </c>
      <c r="AB1286" s="2994">
        <v>1.8183</v>
      </c>
      <c r="AC1286" s="2994">
        <v>1.7548999999999999</v>
      </c>
      <c r="AD1286" s="2994">
        <v>1.7635000000000001</v>
      </c>
      <c r="AE1286" s="2994">
        <v>1.8378000000000001</v>
      </c>
      <c r="AF1286" s="2994">
        <v>1.871</v>
      </c>
      <c r="AG1286" s="2994">
        <v>1.8298000000000001</v>
      </c>
      <c r="AH1286" s="2994">
        <v>1.9186000000000001</v>
      </c>
      <c r="AI1286" s="2994">
        <v>2.2181000000000002</v>
      </c>
      <c r="AJ1286" s="2994">
        <v>1.9186000000000001</v>
      </c>
      <c r="AK1286" s="2994">
        <v>1.9994000000000001</v>
      </c>
      <c r="AL1286" s="2994">
        <v>1.8909</v>
      </c>
      <c r="AM1286" s="2994">
        <v>1.8703000000000001</v>
      </c>
      <c r="AN1286" s="2994">
        <v>1.9104000000000001</v>
      </c>
      <c r="AO1286" s="2994">
        <v>1.8110999999999999</v>
      </c>
      <c r="AP1286" s="2994">
        <v>2.0703999999999998</v>
      </c>
      <c r="AQ1286" s="2994">
        <v>1.6719999999999999</v>
      </c>
      <c r="AR1286" s="2994">
        <v>1.7650999999999999</v>
      </c>
      <c r="AS1286" s="2994">
        <v>1.7110000000000001</v>
      </c>
      <c r="AT1286" s="2994">
        <v>2.0484</v>
      </c>
      <c r="AU1286" s="2994">
        <v>2.0849000000000002</v>
      </c>
      <c r="AV1286" s="2994">
        <v>1.9681</v>
      </c>
      <c r="AW1286" s="2994">
        <v>2.2061999999999999</v>
      </c>
      <c r="AX1286" s="2994">
        <v>1.9312</v>
      </c>
      <c r="AY1286" s="2994">
        <v>1.8733</v>
      </c>
      <c r="AZ1286" s="2994">
        <v>2.1097999999999999</v>
      </c>
      <c r="BA1286" s="2994">
        <v>2.3481000000000001</v>
      </c>
      <c r="BB1286" s="2994">
        <v>2.3401000000000001</v>
      </c>
      <c r="BC1286" s="2994">
        <v>1.8889</v>
      </c>
      <c r="BD1286" s="3471">
        <v>2.1829999999999998</v>
      </c>
      <c r="BE1286" s="3471">
        <v>2.1791999999999998</v>
      </c>
      <c r="BF1286" s="3471">
        <v>2.2959999999999998</v>
      </c>
    </row>
    <row r="1287" spans="1:58">
      <c r="A1287" s="1817" t="str">
        <f t="shared" si="41"/>
        <v>Eastern EuropeSafflower seed</v>
      </c>
      <c r="B1287" s="1818" t="s">
        <v>302</v>
      </c>
      <c r="C1287" s="1818" t="s">
        <v>7376</v>
      </c>
      <c r="D1287" s="3463" t="str">
        <f>VLOOKUP(B1287,List_Yield!$G$4:$J$14,4,FALSE)</f>
        <v>Eastern Europe</v>
      </c>
      <c r="E1287" s="3463" t="str">
        <f t="shared" si="40"/>
        <v>Eastern EuropeSafflower seed</v>
      </c>
      <c r="F1287" s="2994">
        <v>0.45</v>
      </c>
      <c r="G1287" s="2994">
        <v>0.45</v>
      </c>
      <c r="H1287" s="2994">
        <v>0.45</v>
      </c>
      <c r="I1287" s="2994">
        <v>0.45</v>
      </c>
      <c r="J1287" s="2994">
        <v>0.2545</v>
      </c>
      <c r="K1287" s="2994">
        <v>0.39229999999999998</v>
      </c>
      <c r="L1287" s="2994">
        <v>0.51819999999999999</v>
      </c>
      <c r="M1287" s="2994">
        <v>0.46429999999999999</v>
      </c>
      <c r="N1287" s="2994">
        <v>0.48180000000000001</v>
      </c>
      <c r="O1287" s="2994">
        <v>0.43330000000000002</v>
      </c>
      <c r="P1287" s="2994">
        <v>0.37059999999999998</v>
      </c>
      <c r="Q1287" s="2994">
        <v>0.59230000000000005</v>
      </c>
      <c r="R1287" s="2994">
        <v>0.44</v>
      </c>
      <c r="S1287" s="2994">
        <v>0.42859999999999998</v>
      </c>
      <c r="T1287" s="2994">
        <v>0.33329999999999999</v>
      </c>
      <c r="U1287" s="2994">
        <v>0.46</v>
      </c>
      <c r="V1287" s="2994">
        <v>0.46250000000000002</v>
      </c>
      <c r="W1287" s="2994">
        <v>0.53639999999999999</v>
      </c>
      <c r="X1287" s="2994">
        <v>0.42859999999999998</v>
      </c>
      <c r="Y1287" s="2994">
        <v>0.4667</v>
      </c>
      <c r="Z1287" s="2994">
        <v>0.5333</v>
      </c>
      <c r="AA1287" s="2994">
        <v>0.26</v>
      </c>
      <c r="AB1287" s="2994">
        <v>0.57269999999999999</v>
      </c>
      <c r="AC1287" s="2994">
        <v>0.2205</v>
      </c>
      <c r="AD1287" s="2994">
        <v>0.37269999999999998</v>
      </c>
      <c r="AE1287" s="2994">
        <v>0.45450000000000002</v>
      </c>
      <c r="AF1287" s="2994">
        <v>0.31669999999999998</v>
      </c>
      <c r="AG1287" s="2994">
        <v>0.52859999999999996</v>
      </c>
      <c r="AH1287" s="2994">
        <v>0.77270000000000005</v>
      </c>
      <c r="AI1287" s="2994">
        <v>0.5625</v>
      </c>
      <c r="AJ1287" s="2994">
        <v>0.58169999999999999</v>
      </c>
      <c r="AK1287" s="2994">
        <v>0.87809999999999999</v>
      </c>
      <c r="AL1287" s="2994">
        <v>0.80920000000000003</v>
      </c>
      <c r="AM1287" s="2994">
        <v>0.82609999999999995</v>
      </c>
      <c r="AN1287" s="2994">
        <v>0.6744</v>
      </c>
      <c r="AO1287" s="2994">
        <v>0.96409999999999996</v>
      </c>
      <c r="AP1287" s="2994">
        <v>1.357</v>
      </c>
      <c r="AQ1287" s="2994">
        <v>1.3461000000000001</v>
      </c>
      <c r="AR1287" s="2994">
        <v>0.35099999999999998</v>
      </c>
      <c r="AS1287" s="2994">
        <v>0.26840000000000003</v>
      </c>
      <c r="AT1287" s="2994">
        <v>0.47589999999999999</v>
      </c>
      <c r="AU1287" s="2994">
        <v>1.1175999999999999</v>
      </c>
      <c r="AV1287" s="2994">
        <v>0.39579999999999999</v>
      </c>
      <c r="AW1287" s="2994">
        <v>0.75339999999999996</v>
      </c>
      <c r="AX1287" s="2994">
        <v>0.7843</v>
      </c>
      <c r="AY1287" s="2994">
        <v>0.64410000000000001</v>
      </c>
      <c r="AZ1287" s="2994">
        <v>0.47160000000000002</v>
      </c>
      <c r="BA1287" s="2994">
        <v>0.52759999999999996</v>
      </c>
      <c r="BB1287" s="2994">
        <v>0.48680000000000001</v>
      </c>
      <c r="BC1287" s="2994">
        <v>0.60799999999999998</v>
      </c>
      <c r="BD1287" s="3471">
        <v>0.68189999999999995</v>
      </c>
      <c r="BE1287" s="3471">
        <v>0.60770000000000002</v>
      </c>
      <c r="BF1287" s="3471">
        <v>0.59930000000000005</v>
      </c>
    </row>
    <row r="1288" spans="1:58">
      <c r="A1288" s="1817" t="str">
        <f t="shared" si="41"/>
        <v>Eastern EuropeSeed cotton</v>
      </c>
      <c r="B1288" s="1818" t="s">
        <v>302</v>
      </c>
      <c r="C1288" s="1818" t="s">
        <v>1371</v>
      </c>
      <c r="D1288" s="3463" t="str">
        <f>VLOOKUP(B1288,List_Yield!$G$4:$J$14,4,FALSE)</f>
        <v>Eastern Europe</v>
      </c>
      <c r="E1288" s="3463" t="str">
        <f t="shared" si="40"/>
        <v>Eastern EuropeSeed cotton</v>
      </c>
      <c r="F1288" s="2994">
        <v>1.8959999999999999</v>
      </c>
      <c r="G1288" s="2994">
        <v>1.7777000000000001</v>
      </c>
      <c r="H1288" s="2994">
        <v>2.0735000000000001</v>
      </c>
      <c r="I1288" s="2994">
        <v>2.1255000000000002</v>
      </c>
      <c r="J1288" s="2994">
        <v>2.2911000000000001</v>
      </c>
      <c r="K1288" s="2994">
        <v>2.4077999999999999</v>
      </c>
      <c r="L1288" s="2994">
        <v>2.4173</v>
      </c>
      <c r="M1288" s="2994">
        <v>2.4020999999999999</v>
      </c>
      <c r="N1288" s="2994">
        <v>2.2248999999999999</v>
      </c>
      <c r="O1288" s="2994">
        <v>2.4843000000000002</v>
      </c>
      <c r="P1288" s="2994">
        <v>2.5405000000000002</v>
      </c>
      <c r="Q1288" s="2994">
        <v>2.6497000000000002</v>
      </c>
      <c r="R1288" s="2994">
        <v>2.7705000000000002</v>
      </c>
      <c r="S1288" s="2994">
        <v>2.8919999999999999</v>
      </c>
      <c r="T1288" s="2994">
        <v>2.6728000000000001</v>
      </c>
      <c r="U1288" s="2994">
        <v>2.7795000000000001</v>
      </c>
      <c r="V1288" s="2994">
        <v>2.9116</v>
      </c>
      <c r="W1288" s="2994">
        <v>2.7847</v>
      </c>
      <c r="X1288" s="2994">
        <v>2.9535999999999998</v>
      </c>
      <c r="Y1288" s="2994">
        <v>2.8832</v>
      </c>
      <c r="Z1288" s="2994">
        <v>3.0365000000000002</v>
      </c>
      <c r="AA1288" s="2994">
        <v>2.9062000000000001</v>
      </c>
      <c r="AB1288" s="2994">
        <v>2.8792</v>
      </c>
      <c r="AC1288" s="2994">
        <v>2.5724999999999998</v>
      </c>
      <c r="AD1288" s="2994">
        <v>2.6295000000000002</v>
      </c>
      <c r="AE1288" s="2994">
        <v>2.3618000000000001</v>
      </c>
      <c r="AF1288" s="2994">
        <v>2.2871000000000001</v>
      </c>
      <c r="AG1288" s="2994">
        <v>2.5554000000000001</v>
      </c>
      <c r="AH1288" s="2994">
        <v>2.5303</v>
      </c>
      <c r="AI1288" s="2994">
        <v>2.6139000000000001</v>
      </c>
      <c r="AJ1288" s="2994">
        <v>2.5853999999999999</v>
      </c>
      <c r="AK1288" s="2994">
        <v>0.61519999999999997</v>
      </c>
      <c r="AL1288" s="2994">
        <v>0.68149999999999999</v>
      </c>
      <c r="AM1288" s="2994">
        <v>0.74</v>
      </c>
      <c r="AN1288" s="2994">
        <v>1.2125999999999999</v>
      </c>
      <c r="AO1288" s="2994">
        <v>0.91759999999999997</v>
      </c>
      <c r="AP1288" s="2994">
        <v>0.63439999999999996</v>
      </c>
      <c r="AQ1288" s="2994">
        <v>0.70120000000000005</v>
      </c>
      <c r="AR1288" s="2994">
        <v>1.1963999999999999</v>
      </c>
      <c r="AS1288" s="2994">
        <v>0.69950000000000001</v>
      </c>
      <c r="AT1288" s="2994">
        <v>0.68969999999999998</v>
      </c>
      <c r="AU1288" s="2994">
        <v>1.5940000000000001</v>
      </c>
      <c r="AV1288" s="2994">
        <v>1.3246</v>
      </c>
      <c r="AW1288" s="2994">
        <v>1.1503000000000001</v>
      </c>
      <c r="AX1288" s="2994">
        <v>1.1488</v>
      </c>
      <c r="AY1288" s="2994">
        <v>1.0435000000000001</v>
      </c>
      <c r="AZ1288" s="2994">
        <v>0.98819999999999997</v>
      </c>
      <c r="BA1288" s="2994">
        <v>0.98299999999999998</v>
      </c>
      <c r="BB1288" s="2994">
        <v>0.98380000000000001</v>
      </c>
      <c r="BC1288" s="2994">
        <v>1.5895999999999999</v>
      </c>
      <c r="BD1288" s="3471">
        <v>0.99760000000000004</v>
      </c>
      <c r="BE1288" s="3471">
        <v>0.67559999999999998</v>
      </c>
      <c r="BF1288" s="3471">
        <v>1</v>
      </c>
    </row>
    <row r="1289" spans="1:58">
      <c r="A1289" s="1817" t="str">
        <f t="shared" si="41"/>
        <v>Eastern EuropeSesame seed</v>
      </c>
      <c r="B1289" s="1818" t="s">
        <v>302</v>
      </c>
      <c r="C1289" s="1818" t="s">
        <v>1319</v>
      </c>
      <c r="D1289" s="3463" t="str">
        <f>VLOOKUP(B1289,List_Yield!$G$4:$J$14,4,FALSE)</f>
        <v>Eastern Europe</v>
      </c>
      <c r="E1289" s="3463" t="str">
        <f t="shared" si="40"/>
        <v>Eastern EuropeSesame seed</v>
      </c>
      <c r="F1289" s="2994">
        <v>6.8900000000000003E-2</v>
      </c>
      <c r="G1289" s="2994">
        <v>6.2399999999999997E-2</v>
      </c>
      <c r="H1289" s="2994">
        <v>8.7499999999999994E-2</v>
      </c>
      <c r="I1289" s="2994">
        <v>0.1207</v>
      </c>
      <c r="J1289" s="2994">
        <v>7.7100000000000002E-2</v>
      </c>
      <c r="K1289" s="2994">
        <v>0.1336</v>
      </c>
      <c r="L1289" s="2994">
        <v>0.20949999999999999</v>
      </c>
      <c r="M1289" s="2994">
        <v>0.1346</v>
      </c>
      <c r="N1289" s="2994">
        <v>7.2300000000000003E-2</v>
      </c>
      <c r="O1289" s="2994">
        <v>0.129</v>
      </c>
      <c r="P1289" s="2994">
        <v>6.0400000000000002E-2</v>
      </c>
      <c r="Q1289" s="2994">
        <v>9.4700000000000006E-2</v>
      </c>
      <c r="R1289" s="2994">
        <v>9.9400000000000002E-2</v>
      </c>
      <c r="S1289" s="2994">
        <v>0.1192</v>
      </c>
      <c r="T1289" s="2994">
        <v>6.4600000000000005E-2</v>
      </c>
      <c r="U1289" s="2994">
        <v>3.0499999999999999E-2</v>
      </c>
      <c r="V1289" s="2994">
        <v>3.5200000000000002E-2</v>
      </c>
      <c r="W1289" s="2994">
        <v>6.5600000000000006E-2</v>
      </c>
      <c r="X1289" s="2994">
        <v>8.2699999999999996E-2</v>
      </c>
      <c r="Y1289" s="2994">
        <v>0.2</v>
      </c>
      <c r="Z1289" s="2994">
        <v>1</v>
      </c>
      <c r="AA1289" s="2994">
        <v>1</v>
      </c>
      <c r="AB1289" s="2994">
        <v>1</v>
      </c>
      <c r="AC1289" s="2994">
        <v>1</v>
      </c>
      <c r="AD1289" s="2994">
        <v>1</v>
      </c>
      <c r="AE1289" s="2994">
        <v>2.3256000000000001</v>
      </c>
      <c r="AF1289" s="2994">
        <v>1</v>
      </c>
      <c r="AG1289" s="2994">
        <v>1.05</v>
      </c>
      <c r="AH1289" s="2994">
        <v>1.05</v>
      </c>
      <c r="AI1289" s="2994">
        <v>1.1224000000000001</v>
      </c>
      <c r="AJ1289" s="2994">
        <v>1.25</v>
      </c>
      <c r="AK1289" s="2994">
        <v>0</v>
      </c>
      <c r="AL1289" s="2994">
        <v>0</v>
      </c>
      <c r="AM1289" s="2994">
        <v>0</v>
      </c>
      <c r="AN1289" s="2994">
        <v>0</v>
      </c>
      <c r="AO1289" s="2994">
        <v>0</v>
      </c>
      <c r="AP1289" s="2994">
        <v>0</v>
      </c>
      <c r="AQ1289" s="2994">
        <v>0</v>
      </c>
      <c r="AR1289" s="2994">
        <v>0</v>
      </c>
      <c r="AS1289" s="2994">
        <v>0</v>
      </c>
      <c r="AT1289" s="2994">
        <v>0</v>
      </c>
      <c r="AU1289" s="2994">
        <v>0</v>
      </c>
      <c r="AV1289" s="2994">
        <v>0</v>
      </c>
      <c r="AW1289" s="2994">
        <v>0</v>
      </c>
      <c r="AX1289" s="2994">
        <v>0</v>
      </c>
      <c r="AY1289" s="2994">
        <v>0</v>
      </c>
      <c r="AZ1289" s="2994">
        <v>0</v>
      </c>
      <c r="BA1289" s="2994">
        <v>0</v>
      </c>
      <c r="BB1289" s="2994">
        <v>0</v>
      </c>
      <c r="BC1289" s="2994">
        <v>0</v>
      </c>
      <c r="BD1289" s="3471">
        <v>0</v>
      </c>
      <c r="BE1289" s="3471">
        <v>0</v>
      </c>
      <c r="BF1289" s="3471">
        <v>0</v>
      </c>
    </row>
    <row r="1290" spans="1:58">
      <c r="A1290" s="1817" t="str">
        <f t="shared" si="41"/>
        <v>Eastern EuropeSisal</v>
      </c>
      <c r="B1290" s="1818" t="s">
        <v>302</v>
      </c>
      <c r="C1290" s="1818" t="s">
        <v>1372</v>
      </c>
      <c r="D1290" s="3463" t="str">
        <f>VLOOKUP(B1290,List_Yield!$G$4:$J$14,4,FALSE)</f>
        <v>Eastern Europe</v>
      </c>
      <c r="E1290" s="3463" t="str">
        <f t="shared" si="40"/>
        <v>Eastern EuropeSisal</v>
      </c>
      <c r="F1290" s="2994">
        <v>0</v>
      </c>
      <c r="G1290" s="2994">
        <v>0</v>
      </c>
      <c r="H1290" s="2994">
        <v>0</v>
      </c>
      <c r="I1290" s="2994">
        <v>0</v>
      </c>
      <c r="J1290" s="2994">
        <v>0</v>
      </c>
      <c r="K1290" s="2994">
        <v>0</v>
      </c>
      <c r="L1290" s="2994">
        <v>0</v>
      </c>
      <c r="M1290" s="2994">
        <v>0</v>
      </c>
      <c r="N1290" s="2994">
        <v>0</v>
      </c>
      <c r="O1290" s="2994">
        <v>0</v>
      </c>
      <c r="P1290" s="2994">
        <v>0</v>
      </c>
      <c r="Q1290" s="2994">
        <v>0</v>
      </c>
      <c r="R1290" s="2994">
        <v>0</v>
      </c>
      <c r="S1290" s="2994">
        <v>0</v>
      </c>
      <c r="T1290" s="2994">
        <v>0</v>
      </c>
      <c r="U1290" s="2994">
        <v>0</v>
      </c>
      <c r="V1290" s="2994">
        <v>0</v>
      </c>
      <c r="W1290" s="2994">
        <v>0</v>
      </c>
      <c r="X1290" s="2994">
        <v>0</v>
      </c>
      <c r="Y1290" s="2994">
        <v>0</v>
      </c>
      <c r="Z1290" s="2994">
        <v>0</v>
      </c>
      <c r="AA1290" s="2994">
        <v>0</v>
      </c>
      <c r="AB1290" s="2994">
        <v>0</v>
      </c>
      <c r="AC1290" s="2994">
        <v>0</v>
      </c>
      <c r="AD1290" s="2994">
        <v>0</v>
      </c>
      <c r="AE1290" s="2994">
        <v>0</v>
      </c>
      <c r="AF1290" s="2994">
        <v>0</v>
      </c>
      <c r="AG1290" s="2994">
        <v>0</v>
      </c>
      <c r="AH1290" s="2994">
        <v>0</v>
      </c>
      <c r="AI1290" s="2994">
        <v>0</v>
      </c>
      <c r="AJ1290" s="2994">
        <v>0</v>
      </c>
      <c r="AK1290" s="2994">
        <v>0</v>
      </c>
      <c r="AL1290" s="2994">
        <v>0</v>
      </c>
      <c r="AM1290" s="2994">
        <v>0</v>
      </c>
      <c r="AN1290" s="2994">
        <v>0</v>
      </c>
      <c r="AO1290" s="2994">
        <v>0</v>
      </c>
      <c r="AP1290" s="2994">
        <v>0</v>
      </c>
      <c r="AQ1290" s="2994">
        <v>0</v>
      </c>
      <c r="AR1290" s="2994">
        <v>0</v>
      </c>
      <c r="AS1290" s="2994">
        <v>0</v>
      </c>
      <c r="AT1290" s="2994">
        <v>0</v>
      </c>
      <c r="AU1290" s="2994">
        <v>0</v>
      </c>
      <c r="AV1290" s="2994">
        <v>0</v>
      </c>
      <c r="AW1290" s="2994">
        <v>0</v>
      </c>
      <c r="AX1290" s="2994">
        <v>0</v>
      </c>
      <c r="AY1290" s="2994">
        <v>0</v>
      </c>
      <c r="AZ1290" s="2994">
        <v>0</v>
      </c>
      <c r="BA1290" s="2994">
        <v>0</v>
      </c>
      <c r="BB1290" s="2994">
        <v>0</v>
      </c>
      <c r="BC1290" s="2994">
        <v>0</v>
      </c>
      <c r="BD1290" s="3471">
        <v>0</v>
      </c>
      <c r="BE1290" s="3471">
        <v>0</v>
      </c>
      <c r="BF1290" s="3471">
        <v>0</v>
      </c>
    </row>
    <row r="1291" spans="1:58">
      <c r="A1291" s="1817" t="str">
        <f t="shared" si="41"/>
        <v>Eastern EuropeSorghum</v>
      </c>
      <c r="B1291" s="1818" t="s">
        <v>302</v>
      </c>
      <c r="C1291" s="1818" t="s">
        <v>1373</v>
      </c>
      <c r="D1291" s="3463" t="str">
        <f>VLOOKUP(B1291,List_Yield!$G$4:$J$14,4,FALSE)</f>
        <v>Eastern Europe</v>
      </c>
      <c r="E1291" s="3463" t="str">
        <f t="shared" si="40"/>
        <v>Eastern EuropeSorghum</v>
      </c>
      <c r="F1291" s="2994">
        <v>0.88859999999999995</v>
      </c>
      <c r="G1291" s="2994">
        <v>0.75290000000000001</v>
      </c>
      <c r="H1291" s="2994">
        <v>0.97299999999999998</v>
      </c>
      <c r="I1291" s="2994">
        <v>0.94040000000000001</v>
      </c>
      <c r="J1291" s="2994">
        <v>0.98350000000000004</v>
      </c>
      <c r="K1291" s="2994">
        <v>1.7037</v>
      </c>
      <c r="L1291" s="2994">
        <v>1.5468999999999999</v>
      </c>
      <c r="M1291" s="2994">
        <v>1.3976</v>
      </c>
      <c r="N1291" s="2994">
        <v>1.5656000000000001</v>
      </c>
      <c r="O1291" s="2994">
        <v>1.4137</v>
      </c>
      <c r="P1291" s="2994">
        <v>1.7104999999999999</v>
      </c>
      <c r="Q1291" s="2994">
        <v>1.1865000000000001</v>
      </c>
      <c r="R1291" s="2994">
        <v>1.1236999999999999</v>
      </c>
      <c r="S1291" s="2994">
        <v>1.6711</v>
      </c>
      <c r="T1291" s="2994">
        <v>1.5949</v>
      </c>
      <c r="U1291" s="2994">
        <v>1.0419</v>
      </c>
      <c r="V1291" s="2994">
        <v>1.6091</v>
      </c>
      <c r="W1291" s="2994">
        <v>1.2854000000000001</v>
      </c>
      <c r="X1291" s="2994">
        <v>1.4182999999999999</v>
      </c>
      <c r="Y1291" s="2994">
        <v>1.3293999999999999</v>
      </c>
      <c r="Z1291" s="2994">
        <v>1.4003000000000001</v>
      </c>
      <c r="AA1291" s="2994">
        <v>1.0654999999999999</v>
      </c>
      <c r="AB1291" s="2994">
        <v>1.0672999999999999</v>
      </c>
      <c r="AC1291" s="2994">
        <v>1.3234999999999999</v>
      </c>
      <c r="AD1291" s="2994">
        <v>1.1017999999999999</v>
      </c>
      <c r="AE1291" s="2994">
        <v>1.2122999999999999</v>
      </c>
      <c r="AF1291" s="2994">
        <v>1.331</v>
      </c>
      <c r="AG1291" s="2994">
        <v>1.4051</v>
      </c>
      <c r="AH1291" s="2994">
        <v>1.3854</v>
      </c>
      <c r="AI1291" s="2994">
        <v>1.1303000000000001</v>
      </c>
      <c r="AJ1291" s="2994">
        <v>1.5099</v>
      </c>
      <c r="AK1291" s="2994">
        <v>1.0674999999999999</v>
      </c>
      <c r="AL1291" s="2994">
        <v>1.2830999999999999</v>
      </c>
      <c r="AM1291" s="2994">
        <v>1.2244999999999999</v>
      </c>
      <c r="AN1291" s="2994">
        <v>1.1545000000000001</v>
      </c>
      <c r="AO1291" s="2994">
        <v>0.87990000000000002</v>
      </c>
      <c r="AP1291" s="2994">
        <v>1.3848</v>
      </c>
      <c r="AQ1291" s="2994">
        <v>1.4346000000000001</v>
      </c>
      <c r="AR1291" s="2994">
        <v>1.1718</v>
      </c>
      <c r="AS1291" s="2994">
        <v>0.96789999999999998</v>
      </c>
      <c r="AT1291" s="2994">
        <v>0.95020000000000004</v>
      </c>
      <c r="AU1291" s="2994">
        <v>1.329</v>
      </c>
      <c r="AV1291" s="2994">
        <v>1.3741000000000001</v>
      </c>
      <c r="AW1291" s="2994">
        <v>1.9121999999999999</v>
      </c>
      <c r="AX1291" s="2994">
        <v>2.113</v>
      </c>
      <c r="AY1291" s="2994">
        <v>1.5702</v>
      </c>
      <c r="AZ1291" s="2994">
        <v>1.5197000000000001</v>
      </c>
      <c r="BA1291" s="2994">
        <v>1.8171999999999999</v>
      </c>
      <c r="BB1291" s="2994">
        <v>1.8452999999999999</v>
      </c>
      <c r="BC1291" s="2994">
        <v>1.8792</v>
      </c>
      <c r="BD1291" s="3471">
        <v>1.8865000000000001</v>
      </c>
      <c r="BE1291" s="3471">
        <v>2.2717999999999998</v>
      </c>
      <c r="BF1291" s="3471">
        <v>2.4127999999999998</v>
      </c>
    </row>
    <row r="1292" spans="1:58">
      <c r="A1292" s="1817" t="str">
        <f t="shared" si="41"/>
        <v>Eastern EuropeSoybeans</v>
      </c>
      <c r="B1292" s="1818" t="s">
        <v>302</v>
      </c>
      <c r="C1292" s="1818" t="s">
        <v>1333</v>
      </c>
      <c r="D1292" s="3463" t="str">
        <f>VLOOKUP(B1292,List_Yield!$G$4:$J$14,4,FALSE)</f>
        <v>Eastern Europe</v>
      </c>
      <c r="E1292" s="3463" t="str">
        <f t="shared" si="40"/>
        <v>Eastern EuropeSoybeans</v>
      </c>
      <c r="F1292" s="2994">
        <v>0.48920000000000002</v>
      </c>
      <c r="G1292" s="2994">
        <v>0.57369999999999999</v>
      </c>
      <c r="H1292" s="2994">
        <v>0.4995</v>
      </c>
      <c r="I1292" s="2994">
        <v>0.32200000000000001</v>
      </c>
      <c r="J1292" s="2994">
        <v>0.49390000000000001</v>
      </c>
      <c r="K1292" s="2994">
        <v>0.69469999999999998</v>
      </c>
      <c r="L1292" s="2994">
        <v>0.65</v>
      </c>
      <c r="M1292" s="2994">
        <v>0.6371</v>
      </c>
      <c r="N1292" s="2994">
        <v>0.53680000000000005</v>
      </c>
      <c r="O1292" s="2994">
        <v>0.73019999999999996</v>
      </c>
      <c r="P1292" s="2994">
        <v>0.69310000000000005</v>
      </c>
      <c r="Q1292" s="2994">
        <v>0.44479999999999997</v>
      </c>
      <c r="R1292" s="2994">
        <v>0.67720000000000002</v>
      </c>
      <c r="S1292" s="2994">
        <v>0.63790000000000002</v>
      </c>
      <c r="T1292" s="2994">
        <v>1.1202000000000001</v>
      </c>
      <c r="U1292" s="2994">
        <v>0.82379999999999998</v>
      </c>
      <c r="V1292" s="2994">
        <v>0.81710000000000005</v>
      </c>
      <c r="W1292" s="2994">
        <v>0.89119999999999999</v>
      </c>
      <c r="X1292" s="2994">
        <v>0.82940000000000003</v>
      </c>
      <c r="Y1292" s="2994">
        <v>0.82930000000000004</v>
      </c>
      <c r="Z1292" s="2994">
        <v>0.70230000000000004</v>
      </c>
      <c r="AA1292" s="2994">
        <v>0.81369999999999998</v>
      </c>
      <c r="AB1292" s="2994">
        <v>0.78690000000000004</v>
      </c>
      <c r="AC1292" s="2994">
        <v>0.85819999999999996</v>
      </c>
      <c r="AD1292" s="2994">
        <v>0.74239999999999995</v>
      </c>
      <c r="AE1292" s="2994">
        <v>1.0528999999999999</v>
      </c>
      <c r="AF1292" s="2994">
        <v>0.96970000000000001</v>
      </c>
      <c r="AG1292" s="2994">
        <v>1.0311999999999999</v>
      </c>
      <c r="AH1292" s="2994">
        <v>0.99019999999999997</v>
      </c>
      <c r="AI1292" s="2994">
        <v>1.0113000000000001</v>
      </c>
      <c r="AJ1292" s="2994">
        <v>1.129</v>
      </c>
      <c r="AK1292" s="2994">
        <v>0.84340000000000004</v>
      </c>
      <c r="AL1292" s="2994">
        <v>0.86240000000000006</v>
      </c>
      <c r="AM1292" s="2994">
        <v>0.81789999999999996</v>
      </c>
      <c r="AN1292" s="2994">
        <v>0.74390000000000001</v>
      </c>
      <c r="AO1292" s="2994">
        <v>0.73560000000000003</v>
      </c>
      <c r="AP1292" s="2994">
        <v>1.1014999999999999</v>
      </c>
      <c r="AQ1292" s="2994">
        <v>1.0016</v>
      </c>
      <c r="AR1292" s="2994">
        <v>1.0980000000000001</v>
      </c>
      <c r="AS1292" s="2994">
        <v>0.9425</v>
      </c>
      <c r="AT1292" s="2994">
        <v>1.0632999999999999</v>
      </c>
      <c r="AU1292" s="2994">
        <v>1.3561000000000001</v>
      </c>
      <c r="AV1292" s="2994">
        <v>1.2117</v>
      </c>
      <c r="AW1292" s="2994">
        <v>1.3526</v>
      </c>
      <c r="AX1292" s="2994">
        <v>1.3833</v>
      </c>
      <c r="AY1292" s="2994">
        <v>1.2349000000000001</v>
      </c>
      <c r="AZ1292" s="2994">
        <v>1.0839000000000001</v>
      </c>
      <c r="BA1292" s="2994">
        <v>1.3204</v>
      </c>
      <c r="BB1292" s="2994">
        <v>1.4300999999999999</v>
      </c>
      <c r="BC1292" s="2994">
        <v>1.4581</v>
      </c>
      <c r="BD1292" s="3471">
        <v>1.7597</v>
      </c>
      <c r="BE1292" s="3471">
        <v>1.5018</v>
      </c>
      <c r="BF1292" s="3471">
        <v>1.7378</v>
      </c>
    </row>
    <row r="1293" spans="1:58">
      <c r="A1293" s="1817" t="str">
        <f t="shared" si="41"/>
        <v>Eastern EuropeSpices, nes</v>
      </c>
      <c r="B1293" s="1818" t="s">
        <v>302</v>
      </c>
      <c r="C1293" s="1818" t="s">
        <v>7377</v>
      </c>
      <c r="D1293" s="3463" t="str">
        <f>VLOOKUP(B1293,List_Yield!$G$4:$J$14,4,FALSE)</f>
        <v>Eastern Europe</v>
      </c>
      <c r="E1293" s="3463" t="str">
        <f t="shared" ref="E1293:E1356" si="42">CONCATENATE(D1293,C1293)</f>
        <v>Eastern EuropeSpices, nes</v>
      </c>
      <c r="F1293" s="2994">
        <v>0</v>
      </c>
      <c r="G1293" s="2994">
        <v>0</v>
      </c>
      <c r="H1293" s="2994">
        <v>0</v>
      </c>
      <c r="I1293" s="2994">
        <v>0</v>
      </c>
      <c r="J1293" s="2994">
        <v>0</v>
      </c>
      <c r="K1293" s="2994">
        <v>0</v>
      </c>
      <c r="L1293" s="2994">
        <v>0</v>
      </c>
      <c r="M1293" s="2994">
        <v>0</v>
      </c>
      <c r="N1293" s="2994">
        <v>0</v>
      </c>
      <c r="O1293" s="2994">
        <v>0</v>
      </c>
      <c r="P1293" s="2994">
        <v>0</v>
      </c>
      <c r="Q1293" s="2994">
        <v>0</v>
      </c>
      <c r="R1293" s="2994">
        <v>0</v>
      </c>
      <c r="S1293" s="2994">
        <v>0</v>
      </c>
      <c r="T1293" s="2994">
        <v>0</v>
      </c>
      <c r="U1293" s="2994">
        <v>0</v>
      </c>
      <c r="V1293" s="2994">
        <v>0</v>
      </c>
      <c r="W1293" s="2994">
        <v>0</v>
      </c>
      <c r="X1293" s="2994">
        <v>0</v>
      </c>
      <c r="Y1293" s="2994">
        <v>0</v>
      </c>
      <c r="Z1293" s="2994">
        <v>0</v>
      </c>
      <c r="AA1293" s="2994">
        <v>0</v>
      </c>
      <c r="AB1293" s="2994">
        <v>0</v>
      </c>
      <c r="AC1293" s="2994">
        <v>0</v>
      </c>
      <c r="AD1293" s="2994">
        <v>1</v>
      </c>
      <c r="AE1293" s="2994">
        <v>1</v>
      </c>
      <c r="AF1293" s="2994">
        <v>1.2</v>
      </c>
      <c r="AG1293" s="2994">
        <v>1.6</v>
      </c>
      <c r="AH1293" s="2994">
        <v>1.8462000000000001</v>
      </c>
      <c r="AI1293" s="2994">
        <v>1.6949000000000001</v>
      </c>
      <c r="AJ1293" s="2994">
        <v>2.0693999999999999</v>
      </c>
      <c r="AK1293" s="2994">
        <v>3.22</v>
      </c>
      <c r="AL1293" s="2994">
        <v>1.528</v>
      </c>
      <c r="AM1293" s="2994">
        <v>1.4626999999999999</v>
      </c>
      <c r="AN1293" s="2994">
        <v>1.8741000000000001</v>
      </c>
      <c r="AO1293" s="2994">
        <v>1.76</v>
      </c>
      <c r="AP1293" s="2994">
        <v>1.9123000000000001</v>
      </c>
      <c r="AQ1293" s="2994">
        <v>2.6120999999999999</v>
      </c>
      <c r="AR1293" s="2994">
        <v>3.2151000000000001</v>
      </c>
      <c r="AS1293" s="2994">
        <v>3.1539999999999999</v>
      </c>
      <c r="AT1293" s="2994">
        <v>1.9311</v>
      </c>
      <c r="AU1293" s="2994">
        <v>2.4657</v>
      </c>
      <c r="AV1293" s="2994">
        <v>1.5778000000000001</v>
      </c>
      <c r="AW1293" s="2994">
        <v>1.2357</v>
      </c>
      <c r="AX1293" s="2994">
        <v>1.37</v>
      </c>
      <c r="AY1293" s="2994">
        <v>1.7717000000000001</v>
      </c>
      <c r="AZ1293" s="2994">
        <v>1.2155</v>
      </c>
      <c r="BA1293" s="2994">
        <v>1.2123999999999999</v>
      </c>
      <c r="BB1293" s="2994">
        <v>1.1918</v>
      </c>
      <c r="BC1293" s="2994">
        <v>1.6592</v>
      </c>
      <c r="BD1293" s="3471">
        <v>1.7365999999999999</v>
      </c>
      <c r="BE1293" s="3471">
        <v>1.7824</v>
      </c>
      <c r="BF1293" s="3471">
        <v>0</v>
      </c>
    </row>
    <row r="1294" spans="1:58">
      <c r="A1294" s="1817" t="str">
        <f t="shared" si="41"/>
        <v>Eastern EuropeSpinach</v>
      </c>
      <c r="B1294" s="1818" t="s">
        <v>302</v>
      </c>
      <c r="C1294" s="1818" t="s">
        <v>7378</v>
      </c>
      <c r="D1294" s="3463" t="str">
        <f>VLOOKUP(B1294,List_Yield!$G$4:$J$14,4,FALSE)</f>
        <v>Eastern Europe</v>
      </c>
      <c r="E1294" s="3463" t="str">
        <f t="shared" si="42"/>
        <v>Eastern EuropeSpinach</v>
      </c>
      <c r="F1294" s="2994">
        <v>3.0895000000000001</v>
      </c>
      <c r="G1294" s="2994">
        <v>3.5041000000000002</v>
      </c>
      <c r="H1294" s="2994">
        <v>4.9744999999999999</v>
      </c>
      <c r="I1294" s="2994">
        <v>5.1009000000000002</v>
      </c>
      <c r="J1294" s="2994">
        <v>6.5102000000000002</v>
      </c>
      <c r="K1294" s="2994">
        <v>7.5366</v>
      </c>
      <c r="L1294" s="2994">
        <v>7.7309999999999999</v>
      </c>
      <c r="M1294" s="2994">
        <v>8.4756</v>
      </c>
      <c r="N1294" s="2994">
        <v>6.4348999999999998</v>
      </c>
      <c r="O1294" s="2994">
        <v>7.0918999999999999</v>
      </c>
      <c r="P1294" s="2994">
        <v>7.6627999999999998</v>
      </c>
      <c r="Q1294" s="2994">
        <v>7.8434999999999997</v>
      </c>
      <c r="R1294" s="2994">
        <v>8.6233000000000004</v>
      </c>
      <c r="S1294" s="2994">
        <v>9.1540999999999997</v>
      </c>
      <c r="T1294" s="2994">
        <v>8.8612000000000002</v>
      </c>
      <c r="U1294" s="2994">
        <v>9.2997999999999994</v>
      </c>
      <c r="V1294" s="2994">
        <v>9.4421999999999997</v>
      </c>
      <c r="W1294" s="2994">
        <v>9.7373999999999992</v>
      </c>
      <c r="X1294" s="2994">
        <v>7.8196000000000003</v>
      </c>
      <c r="Y1294" s="2994">
        <v>11.796099999999999</v>
      </c>
      <c r="Z1294" s="2994">
        <v>11.0945</v>
      </c>
      <c r="AA1294" s="2994">
        <v>10.4838</v>
      </c>
      <c r="AB1294" s="2994">
        <v>11.364699999999999</v>
      </c>
      <c r="AC1294" s="2994">
        <v>13.5867</v>
      </c>
      <c r="AD1294" s="2994">
        <v>11.644600000000001</v>
      </c>
      <c r="AE1294" s="2994">
        <v>10.208399999999999</v>
      </c>
      <c r="AF1294" s="2994">
        <v>9.2660999999999998</v>
      </c>
      <c r="AG1294" s="2994">
        <v>8.3897999999999993</v>
      </c>
      <c r="AH1294" s="2994">
        <v>11.7843</v>
      </c>
      <c r="AI1294" s="2994">
        <v>9.5297999999999998</v>
      </c>
      <c r="AJ1294" s="2994">
        <v>10.438700000000001</v>
      </c>
      <c r="AK1294" s="2994">
        <v>8.0371000000000006</v>
      </c>
      <c r="AL1294" s="2994">
        <v>10.419700000000001</v>
      </c>
      <c r="AM1294" s="2994">
        <v>10.279400000000001</v>
      </c>
      <c r="AN1294" s="2994">
        <v>10.2279</v>
      </c>
      <c r="AO1294" s="2994">
        <v>11.2889</v>
      </c>
      <c r="AP1294" s="2994">
        <v>10.420199999999999</v>
      </c>
      <c r="AQ1294" s="2994">
        <v>10.5251</v>
      </c>
      <c r="AR1294" s="2994">
        <v>9.4911999999999992</v>
      </c>
      <c r="AS1294" s="2994">
        <v>9.15</v>
      </c>
      <c r="AT1294" s="2994">
        <v>12.582700000000001</v>
      </c>
      <c r="AU1294" s="2994">
        <v>8.4689999999999994</v>
      </c>
      <c r="AV1294" s="2994">
        <v>12.217599999999999</v>
      </c>
      <c r="AW1294" s="2994">
        <v>11.282999999999999</v>
      </c>
      <c r="AX1294" s="2994">
        <v>8.0545000000000009</v>
      </c>
      <c r="AY1294" s="2994">
        <v>7.9462999999999999</v>
      </c>
      <c r="AZ1294" s="2994">
        <v>9.3573000000000004</v>
      </c>
      <c r="BA1294" s="2994">
        <v>10.542999999999999</v>
      </c>
      <c r="BB1294" s="2994">
        <v>8.9320000000000004</v>
      </c>
      <c r="BC1294" s="2994">
        <v>8.7990999999999993</v>
      </c>
      <c r="BD1294" s="3471">
        <v>12.239800000000001</v>
      </c>
      <c r="BE1294" s="3471">
        <v>12.130599999999999</v>
      </c>
      <c r="BF1294" s="3471">
        <v>0</v>
      </c>
    </row>
    <row r="1295" spans="1:58">
      <c r="A1295" s="1817" t="str">
        <f t="shared" si="41"/>
        <v>Eastern EuropeStrawberries</v>
      </c>
      <c r="B1295" s="1818" t="s">
        <v>302</v>
      </c>
      <c r="C1295" s="1818" t="s">
        <v>1374</v>
      </c>
      <c r="D1295" s="3463" t="str">
        <f>VLOOKUP(B1295,List_Yield!$G$4:$J$14,4,FALSE)</f>
        <v>Eastern Europe</v>
      </c>
      <c r="E1295" s="3463" t="str">
        <f t="shared" si="42"/>
        <v>Eastern EuropeStrawberries</v>
      </c>
      <c r="F1295" s="2994">
        <v>9.6898999999999997</v>
      </c>
      <c r="G1295" s="2994">
        <v>8.4898000000000007</v>
      </c>
      <c r="H1295" s="2994">
        <v>11.4772</v>
      </c>
      <c r="I1295" s="2994">
        <v>11.775600000000001</v>
      </c>
      <c r="J1295" s="2994">
        <v>6.4606000000000003</v>
      </c>
      <c r="K1295" s="2994">
        <v>5.7622</v>
      </c>
      <c r="L1295" s="2994">
        <v>5.9926000000000004</v>
      </c>
      <c r="M1295" s="2994">
        <v>5.5157999999999996</v>
      </c>
      <c r="N1295" s="2994">
        <v>5.0898000000000003</v>
      </c>
      <c r="O1295" s="2994">
        <v>6.5396000000000001</v>
      </c>
      <c r="P1295" s="2994">
        <v>5.3868999999999998</v>
      </c>
      <c r="Q1295" s="2994">
        <v>4.8509000000000002</v>
      </c>
      <c r="R1295" s="2994">
        <v>5.6429999999999998</v>
      </c>
      <c r="S1295" s="2994">
        <v>5.431</v>
      </c>
      <c r="T1295" s="2994">
        <v>4.9598000000000004</v>
      </c>
      <c r="U1295" s="2994">
        <v>4.8311999999999999</v>
      </c>
      <c r="V1295" s="2994">
        <v>5.93</v>
      </c>
      <c r="W1295" s="2994">
        <v>5.7051999999999996</v>
      </c>
      <c r="X1295" s="2994">
        <v>5.6032999999999999</v>
      </c>
      <c r="Y1295" s="2994">
        <v>5.2013999999999996</v>
      </c>
      <c r="Z1295" s="2994">
        <v>6.1375000000000002</v>
      </c>
      <c r="AA1295" s="2994">
        <v>6.1706000000000003</v>
      </c>
      <c r="AB1295" s="2994">
        <v>6.1974999999999998</v>
      </c>
      <c r="AC1295" s="2994">
        <v>5.9516999999999998</v>
      </c>
      <c r="AD1295" s="2994">
        <v>5.7877000000000001</v>
      </c>
      <c r="AE1295" s="2994">
        <v>5.8554000000000004</v>
      </c>
      <c r="AF1295" s="2994">
        <v>6.6357999999999997</v>
      </c>
      <c r="AG1295" s="2994">
        <v>5.72</v>
      </c>
      <c r="AH1295" s="2994">
        <v>5.9173999999999998</v>
      </c>
      <c r="AI1295" s="2994">
        <v>5.1946000000000003</v>
      </c>
      <c r="AJ1295" s="2994">
        <v>5.1035000000000004</v>
      </c>
      <c r="AK1295" s="2994">
        <v>4.1755000000000004</v>
      </c>
      <c r="AL1295" s="2994">
        <v>4.4401999999999999</v>
      </c>
      <c r="AM1295" s="2994">
        <v>4.3720999999999997</v>
      </c>
      <c r="AN1295" s="2994">
        <v>4.4726999999999997</v>
      </c>
      <c r="AO1295" s="2994">
        <v>4.6984000000000004</v>
      </c>
      <c r="AP1295" s="2994">
        <v>4.7485999999999997</v>
      </c>
      <c r="AQ1295" s="2994">
        <v>4.4272</v>
      </c>
      <c r="AR1295" s="2994">
        <v>4.3795000000000002</v>
      </c>
      <c r="AS1295" s="2994">
        <v>3.9975000000000001</v>
      </c>
      <c r="AT1295" s="2994">
        <v>4.6397000000000004</v>
      </c>
      <c r="AU1295" s="2994">
        <v>4.9920999999999998</v>
      </c>
      <c r="AV1295" s="2994">
        <v>4.2474999999999996</v>
      </c>
      <c r="AW1295" s="2994">
        <v>4.6676000000000002</v>
      </c>
      <c r="AX1295" s="2994">
        <v>4.6971999999999996</v>
      </c>
      <c r="AY1295" s="2994">
        <v>5.0888</v>
      </c>
      <c r="AZ1295" s="2994">
        <v>4.8075000000000001</v>
      </c>
      <c r="BA1295" s="2994">
        <v>5.2062999999999997</v>
      </c>
      <c r="BB1295" s="2994">
        <v>5.4085999999999999</v>
      </c>
      <c r="BC1295" s="2994">
        <v>5.7111999999999998</v>
      </c>
      <c r="BD1295" s="3471">
        <v>5.0392000000000001</v>
      </c>
      <c r="BE1295" s="3471">
        <v>4.9348000000000001</v>
      </c>
      <c r="BF1295" s="3471">
        <v>0</v>
      </c>
    </row>
    <row r="1296" spans="1:58">
      <c r="A1296" s="1817" t="str">
        <f t="shared" si="41"/>
        <v>Eastern EuropeString beans</v>
      </c>
      <c r="B1296" s="1818" t="s">
        <v>302</v>
      </c>
      <c r="C1296" s="1818" t="s">
        <v>7379</v>
      </c>
      <c r="D1296" s="3463" t="str">
        <f>VLOOKUP(B1296,List_Yield!$G$4:$J$14,4,FALSE)</f>
        <v>Eastern Europe</v>
      </c>
      <c r="E1296" s="3463" t="str">
        <f t="shared" si="42"/>
        <v>Eastern EuropeString beans</v>
      </c>
      <c r="F1296" s="2994">
        <v>0</v>
      </c>
      <c r="G1296" s="2994">
        <v>0</v>
      </c>
      <c r="H1296" s="2994">
        <v>0</v>
      </c>
      <c r="I1296" s="2994">
        <v>0</v>
      </c>
      <c r="J1296" s="2994">
        <v>0</v>
      </c>
      <c r="K1296" s="2994">
        <v>0</v>
      </c>
      <c r="L1296" s="2994">
        <v>0</v>
      </c>
      <c r="M1296" s="2994">
        <v>0</v>
      </c>
      <c r="N1296" s="2994">
        <v>0</v>
      </c>
      <c r="O1296" s="2994">
        <v>0</v>
      </c>
      <c r="P1296" s="2994">
        <v>0</v>
      </c>
      <c r="Q1296" s="2994">
        <v>0</v>
      </c>
      <c r="R1296" s="2994">
        <v>0</v>
      </c>
      <c r="S1296" s="2994">
        <v>0</v>
      </c>
      <c r="T1296" s="2994">
        <v>0</v>
      </c>
      <c r="U1296" s="2994">
        <v>0</v>
      </c>
      <c r="V1296" s="2994">
        <v>0</v>
      </c>
      <c r="W1296" s="2994">
        <v>0</v>
      </c>
      <c r="X1296" s="2994">
        <v>0</v>
      </c>
      <c r="Y1296" s="2994">
        <v>0</v>
      </c>
      <c r="Z1296" s="2994">
        <v>0</v>
      </c>
      <c r="AA1296" s="2994">
        <v>0</v>
      </c>
      <c r="AB1296" s="2994">
        <v>0</v>
      </c>
      <c r="AC1296" s="2994">
        <v>0</v>
      </c>
      <c r="AD1296" s="2994">
        <v>0</v>
      </c>
      <c r="AE1296" s="2994">
        <v>0</v>
      </c>
      <c r="AF1296" s="2994">
        <v>0</v>
      </c>
      <c r="AG1296" s="2994">
        <v>0</v>
      </c>
      <c r="AH1296" s="2994">
        <v>0</v>
      </c>
      <c r="AI1296" s="2994">
        <v>8.1943999999999999</v>
      </c>
      <c r="AJ1296" s="2994">
        <v>8.2895000000000003</v>
      </c>
      <c r="AK1296" s="2994">
        <v>6.4</v>
      </c>
      <c r="AL1296" s="2994">
        <v>8.6842000000000006</v>
      </c>
      <c r="AM1296" s="2994">
        <v>5.9523999999999999</v>
      </c>
      <c r="AN1296" s="2994">
        <v>7.9486999999999997</v>
      </c>
      <c r="AO1296" s="2994">
        <v>8.3824000000000005</v>
      </c>
      <c r="AP1296" s="2994">
        <v>8.1084999999999994</v>
      </c>
      <c r="AQ1296" s="2994">
        <v>5.5556000000000001</v>
      </c>
      <c r="AR1296" s="2994">
        <v>8.5294000000000008</v>
      </c>
      <c r="AS1296" s="2994">
        <v>8.8571000000000009</v>
      </c>
      <c r="AT1296" s="2994">
        <v>8.5294000000000008</v>
      </c>
      <c r="AU1296" s="2994">
        <v>9.8000000000000007</v>
      </c>
      <c r="AV1296" s="2994">
        <v>8.7864000000000004</v>
      </c>
      <c r="AW1296" s="2994">
        <v>8.6275999999999993</v>
      </c>
      <c r="AX1296" s="2994">
        <v>8.9237000000000002</v>
      </c>
      <c r="AY1296" s="2994">
        <v>7.1517999999999997</v>
      </c>
      <c r="AZ1296" s="2994">
        <v>8.8826999999999998</v>
      </c>
      <c r="BA1296" s="2994">
        <v>8.5203000000000007</v>
      </c>
      <c r="BB1296" s="2994">
        <v>8.9138000000000002</v>
      </c>
      <c r="BC1296" s="2994">
        <v>10.7279</v>
      </c>
      <c r="BD1296" s="3471">
        <v>9.4423999999999992</v>
      </c>
      <c r="BE1296" s="3471">
        <v>8.5231999999999992</v>
      </c>
      <c r="BF1296" s="3471">
        <v>0</v>
      </c>
    </row>
    <row r="1297" spans="1:58">
      <c r="A1297" s="1817" t="str">
        <f t="shared" si="41"/>
        <v>Eastern EuropeSugar beet</v>
      </c>
      <c r="B1297" s="1818" t="s">
        <v>302</v>
      </c>
      <c r="C1297" s="1818" t="s">
        <v>1332</v>
      </c>
      <c r="D1297" s="3463" t="str">
        <f>VLOOKUP(B1297,List_Yield!$G$4:$J$14,4,FALSE)</f>
        <v>Eastern Europe</v>
      </c>
      <c r="E1297" s="3463" t="str">
        <f t="shared" si="42"/>
        <v>Eastern EuropeSugar beet</v>
      </c>
      <c r="F1297" s="2994">
        <v>18.4239</v>
      </c>
      <c r="G1297" s="2994">
        <v>16.594799999999999</v>
      </c>
      <c r="H1297" s="2994">
        <v>14.688499999999999</v>
      </c>
      <c r="I1297" s="2994">
        <v>21.217700000000001</v>
      </c>
      <c r="J1297" s="2994">
        <v>19.7986</v>
      </c>
      <c r="K1297" s="2994">
        <v>21.916499999999999</v>
      </c>
      <c r="L1297" s="2994">
        <v>25.032499999999999</v>
      </c>
      <c r="M1297" s="2994">
        <v>27.939900000000002</v>
      </c>
      <c r="N1297" s="2994">
        <v>22.462199999999999</v>
      </c>
      <c r="O1297" s="2994">
        <v>24.6829</v>
      </c>
      <c r="P1297" s="2994">
        <v>23.221399999999999</v>
      </c>
      <c r="Q1297" s="2994">
        <v>24.311</v>
      </c>
      <c r="R1297" s="2994">
        <v>25.243500000000001</v>
      </c>
      <c r="S1297" s="2994">
        <v>23.6112</v>
      </c>
      <c r="T1297" s="2994">
        <v>20.808800000000002</v>
      </c>
      <c r="U1297" s="2994">
        <v>26.907699999999998</v>
      </c>
      <c r="V1297" s="2994">
        <v>25.994</v>
      </c>
      <c r="W1297" s="2994">
        <v>25.936900000000001</v>
      </c>
      <c r="X1297" s="2994">
        <v>22.808199999999999</v>
      </c>
      <c r="Y1297" s="2994">
        <v>22.946300000000001</v>
      </c>
      <c r="Z1297" s="2994">
        <v>19.945399999999999</v>
      </c>
      <c r="AA1297" s="2994">
        <v>23.100200000000001</v>
      </c>
      <c r="AB1297" s="2994">
        <v>24.767700000000001</v>
      </c>
      <c r="AC1297" s="2994">
        <v>26.5046</v>
      </c>
      <c r="AD1297" s="2994">
        <v>25.779399999999999</v>
      </c>
      <c r="AE1297" s="2994">
        <v>24.974499999999999</v>
      </c>
      <c r="AF1297" s="2994">
        <v>27.355599999999999</v>
      </c>
      <c r="AG1297" s="2994">
        <v>27.029900000000001</v>
      </c>
      <c r="AH1297" s="2994">
        <v>30.0428</v>
      </c>
      <c r="AI1297" s="2994">
        <v>26.947399999999998</v>
      </c>
      <c r="AJ1297" s="2994">
        <v>23.037500000000001</v>
      </c>
      <c r="AK1297" s="2994">
        <v>20.473400000000002</v>
      </c>
      <c r="AL1297" s="2994">
        <v>23.559799999999999</v>
      </c>
      <c r="AM1297" s="2994">
        <v>19.386700000000001</v>
      </c>
      <c r="AN1297" s="2994">
        <v>22.3156</v>
      </c>
      <c r="AO1297" s="2994">
        <v>22.233599999999999</v>
      </c>
      <c r="AP1297" s="2994">
        <v>23.447700000000001</v>
      </c>
      <c r="AQ1297" s="2994">
        <v>22.5077</v>
      </c>
      <c r="AR1297" s="2994">
        <v>21.547499999999999</v>
      </c>
      <c r="AS1297" s="2994">
        <v>22.9909</v>
      </c>
      <c r="AT1297" s="2994">
        <v>23.691800000000001</v>
      </c>
      <c r="AU1297" s="2994">
        <v>25.970600000000001</v>
      </c>
      <c r="AV1297" s="2994">
        <v>25.730399999999999</v>
      </c>
      <c r="AW1297" s="2994">
        <v>30.862200000000001</v>
      </c>
      <c r="AX1297" s="2994">
        <v>31.398099999999999</v>
      </c>
      <c r="AY1297" s="2994">
        <v>33.613599999999998</v>
      </c>
      <c r="AZ1297" s="2994">
        <v>33.054000000000002</v>
      </c>
      <c r="BA1297" s="2994">
        <v>38.780099999999997</v>
      </c>
      <c r="BB1297" s="2994">
        <v>37.044600000000003</v>
      </c>
      <c r="BC1297" s="2994">
        <v>30.3644</v>
      </c>
      <c r="BD1297" s="3471">
        <v>41.3508</v>
      </c>
      <c r="BE1297" s="3471">
        <v>43.354900000000001</v>
      </c>
      <c r="BF1297" s="3471">
        <v>45.259300000000003</v>
      </c>
    </row>
    <row r="1298" spans="1:58">
      <c r="A1298" s="1817" t="str">
        <f t="shared" si="41"/>
        <v>Eastern EuropeSugar cane</v>
      </c>
      <c r="B1298" s="1818" t="s">
        <v>302</v>
      </c>
      <c r="C1298" s="1818" t="s">
        <v>1375</v>
      </c>
      <c r="D1298" s="3463" t="str">
        <f>VLOOKUP(B1298,List_Yield!$G$4:$J$14,4,FALSE)</f>
        <v>Eastern Europe</v>
      </c>
      <c r="E1298" s="3463" t="str">
        <f t="shared" si="42"/>
        <v>Eastern EuropeSugar cane</v>
      </c>
      <c r="F1298" s="2994">
        <v>0</v>
      </c>
      <c r="G1298" s="2994">
        <v>0</v>
      </c>
      <c r="H1298" s="2994">
        <v>0</v>
      </c>
      <c r="I1298" s="2994">
        <v>0</v>
      </c>
      <c r="J1298" s="2994">
        <v>0</v>
      </c>
      <c r="K1298" s="2994">
        <v>0</v>
      </c>
      <c r="L1298" s="2994">
        <v>0</v>
      </c>
      <c r="M1298" s="2994">
        <v>0</v>
      </c>
      <c r="N1298" s="2994">
        <v>0</v>
      </c>
      <c r="O1298" s="2994">
        <v>0</v>
      </c>
      <c r="P1298" s="2994">
        <v>0</v>
      </c>
      <c r="Q1298" s="2994">
        <v>0</v>
      </c>
      <c r="R1298" s="2994">
        <v>0</v>
      </c>
      <c r="S1298" s="2994">
        <v>0</v>
      </c>
      <c r="T1298" s="2994">
        <v>0</v>
      </c>
      <c r="U1298" s="2994">
        <v>0</v>
      </c>
      <c r="V1298" s="2994">
        <v>0</v>
      </c>
      <c r="W1298" s="2994">
        <v>0</v>
      </c>
      <c r="X1298" s="2994">
        <v>0</v>
      </c>
      <c r="Y1298" s="2994">
        <v>0</v>
      </c>
      <c r="Z1298" s="2994">
        <v>0</v>
      </c>
      <c r="AA1298" s="2994">
        <v>0</v>
      </c>
      <c r="AB1298" s="2994">
        <v>0</v>
      </c>
      <c r="AC1298" s="2994">
        <v>0</v>
      </c>
      <c r="AD1298" s="2994">
        <v>0</v>
      </c>
      <c r="AE1298" s="2994">
        <v>0</v>
      </c>
      <c r="AF1298" s="2994">
        <v>0</v>
      </c>
      <c r="AG1298" s="2994">
        <v>0</v>
      </c>
      <c r="AH1298" s="2994">
        <v>0</v>
      </c>
      <c r="AI1298" s="2994">
        <v>0</v>
      </c>
      <c r="AJ1298" s="2994">
        <v>0</v>
      </c>
      <c r="AK1298" s="2994">
        <v>0</v>
      </c>
      <c r="AL1298" s="2994">
        <v>0</v>
      </c>
      <c r="AM1298" s="2994">
        <v>0</v>
      </c>
      <c r="AN1298" s="2994">
        <v>0</v>
      </c>
      <c r="AO1298" s="2994">
        <v>0</v>
      </c>
      <c r="AP1298" s="2994">
        <v>0</v>
      </c>
      <c r="AQ1298" s="2994">
        <v>0</v>
      </c>
      <c r="AR1298" s="2994">
        <v>0</v>
      </c>
      <c r="AS1298" s="2994">
        <v>0</v>
      </c>
      <c r="AT1298" s="2994">
        <v>0</v>
      </c>
      <c r="AU1298" s="2994">
        <v>0</v>
      </c>
      <c r="AV1298" s="2994">
        <v>0</v>
      </c>
      <c r="AW1298" s="2994">
        <v>0</v>
      </c>
      <c r="AX1298" s="2994">
        <v>0</v>
      </c>
      <c r="AY1298" s="2994">
        <v>0</v>
      </c>
      <c r="AZ1298" s="2994">
        <v>0</v>
      </c>
      <c r="BA1298" s="2994">
        <v>0</v>
      </c>
      <c r="BB1298" s="2994">
        <v>0</v>
      </c>
      <c r="BC1298" s="2994">
        <v>0</v>
      </c>
      <c r="BD1298" s="3471">
        <v>0</v>
      </c>
      <c r="BE1298" s="3471">
        <v>0</v>
      </c>
      <c r="BF1298" s="3471">
        <v>0</v>
      </c>
    </row>
    <row r="1299" spans="1:58">
      <c r="A1299" s="1817" t="str">
        <f t="shared" si="41"/>
        <v>Eastern EuropeSugar crops, nes</v>
      </c>
      <c r="B1299" s="1818" t="s">
        <v>302</v>
      </c>
      <c r="C1299" s="1818" t="s">
        <v>7380</v>
      </c>
      <c r="D1299" s="3463" t="str">
        <f>VLOOKUP(B1299,List_Yield!$G$4:$J$14,4,FALSE)</f>
        <v>Eastern Europe</v>
      </c>
      <c r="E1299" s="3463" t="str">
        <f t="shared" si="42"/>
        <v>Eastern EuropeSugar crops, nes</v>
      </c>
      <c r="F1299" s="2994">
        <v>0</v>
      </c>
      <c r="G1299" s="2994">
        <v>0</v>
      </c>
      <c r="H1299" s="2994">
        <v>0</v>
      </c>
      <c r="I1299" s="2994">
        <v>0</v>
      </c>
      <c r="J1299" s="2994">
        <v>0</v>
      </c>
      <c r="K1299" s="2994">
        <v>0</v>
      </c>
      <c r="L1299" s="2994">
        <v>0</v>
      </c>
      <c r="M1299" s="2994">
        <v>0</v>
      </c>
      <c r="N1299" s="2994">
        <v>0</v>
      </c>
      <c r="O1299" s="2994">
        <v>0</v>
      </c>
      <c r="P1299" s="2994">
        <v>0</v>
      </c>
      <c r="Q1299" s="2994">
        <v>0</v>
      </c>
      <c r="R1299" s="2994">
        <v>0</v>
      </c>
      <c r="S1299" s="2994">
        <v>0</v>
      </c>
      <c r="T1299" s="2994">
        <v>0</v>
      </c>
      <c r="U1299" s="2994">
        <v>0</v>
      </c>
      <c r="V1299" s="2994">
        <v>0</v>
      </c>
      <c r="W1299" s="2994">
        <v>0</v>
      </c>
      <c r="X1299" s="2994">
        <v>0</v>
      </c>
      <c r="Y1299" s="2994">
        <v>0</v>
      </c>
      <c r="Z1299" s="2994">
        <v>0</v>
      </c>
      <c r="AA1299" s="2994">
        <v>0</v>
      </c>
      <c r="AB1299" s="2994">
        <v>0</v>
      </c>
      <c r="AC1299" s="2994">
        <v>0</v>
      </c>
      <c r="AD1299" s="2994">
        <v>0</v>
      </c>
      <c r="AE1299" s="2994">
        <v>0</v>
      </c>
      <c r="AF1299" s="2994">
        <v>0</v>
      </c>
      <c r="AG1299" s="2994">
        <v>0</v>
      </c>
      <c r="AH1299" s="2994">
        <v>0</v>
      </c>
      <c r="AI1299" s="2994">
        <v>0</v>
      </c>
      <c r="AJ1299" s="2994">
        <v>0</v>
      </c>
      <c r="AK1299" s="2994">
        <v>0</v>
      </c>
      <c r="AL1299" s="2994">
        <v>0</v>
      </c>
      <c r="AM1299" s="2994">
        <v>0</v>
      </c>
      <c r="AN1299" s="2994">
        <v>0</v>
      </c>
      <c r="AO1299" s="2994">
        <v>0</v>
      </c>
      <c r="AP1299" s="2994">
        <v>0</v>
      </c>
      <c r="AQ1299" s="2994">
        <v>0</v>
      </c>
      <c r="AR1299" s="2994">
        <v>0</v>
      </c>
      <c r="AS1299" s="2994">
        <v>0</v>
      </c>
      <c r="AT1299" s="2994">
        <v>0</v>
      </c>
      <c r="AU1299" s="2994">
        <v>0</v>
      </c>
      <c r="AV1299" s="2994">
        <v>0</v>
      </c>
      <c r="AW1299" s="2994">
        <v>0</v>
      </c>
      <c r="AX1299" s="2994">
        <v>0</v>
      </c>
      <c r="AY1299" s="2994">
        <v>0</v>
      </c>
      <c r="AZ1299" s="2994">
        <v>0</v>
      </c>
      <c r="BA1299" s="2994">
        <v>0</v>
      </c>
      <c r="BB1299" s="2994">
        <v>0</v>
      </c>
      <c r="BC1299" s="2994">
        <v>0</v>
      </c>
      <c r="BD1299" s="3471">
        <v>0</v>
      </c>
      <c r="BE1299" s="3471">
        <v>0</v>
      </c>
      <c r="BF1299" s="3471">
        <v>0</v>
      </c>
    </row>
    <row r="1300" spans="1:58">
      <c r="A1300" s="1817" t="str">
        <f t="shared" si="41"/>
        <v>Eastern EuropeSunflower seed</v>
      </c>
      <c r="B1300" s="1818" t="s">
        <v>302</v>
      </c>
      <c r="C1300" s="1818" t="s">
        <v>1376</v>
      </c>
      <c r="D1300" s="3463" t="str">
        <f>VLOOKUP(B1300,List_Yield!$G$4:$J$14,4,FALSE)</f>
        <v>Eastern Europe</v>
      </c>
      <c r="E1300" s="3463" t="str">
        <f t="shared" si="42"/>
        <v>Eastern EuropeSunflower seed</v>
      </c>
      <c r="F1300" s="2994">
        <v>1.1253</v>
      </c>
      <c r="G1300" s="2994">
        <v>1.101</v>
      </c>
      <c r="H1300" s="2994">
        <v>1.0046999999999999</v>
      </c>
      <c r="I1300" s="2994">
        <v>1.2967</v>
      </c>
      <c r="J1300" s="2994">
        <v>1.1324000000000001</v>
      </c>
      <c r="K1300" s="2994">
        <v>1.2626999999999999</v>
      </c>
      <c r="L1300" s="2994">
        <v>1.4091</v>
      </c>
      <c r="M1300" s="2994">
        <v>1.3886000000000001</v>
      </c>
      <c r="N1300" s="2994">
        <v>1.3684000000000001</v>
      </c>
      <c r="O1300" s="2994">
        <v>1.2897000000000001</v>
      </c>
      <c r="P1300" s="2994">
        <v>1.3012999999999999</v>
      </c>
      <c r="Q1300" s="2994">
        <v>1.2245999999999999</v>
      </c>
      <c r="R1300" s="2994">
        <v>1.5578000000000001</v>
      </c>
      <c r="S1300" s="2994">
        <v>1.4278999999999999</v>
      </c>
      <c r="T1300" s="2994">
        <v>1.2766</v>
      </c>
      <c r="U1300" s="2994">
        <v>1.2192000000000001</v>
      </c>
      <c r="V1300" s="2994">
        <v>1.3452</v>
      </c>
      <c r="W1300" s="2994">
        <v>1.238</v>
      </c>
      <c r="X1300" s="2994">
        <v>1.3495999999999999</v>
      </c>
      <c r="Y1300" s="2994">
        <v>1.1666000000000001</v>
      </c>
      <c r="Z1300" s="2994">
        <v>1.2397</v>
      </c>
      <c r="AA1300" s="2994">
        <v>1.3704000000000001</v>
      </c>
      <c r="AB1300" s="2994">
        <v>1.286</v>
      </c>
      <c r="AC1300" s="2994">
        <v>1.3008</v>
      </c>
      <c r="AD1300" s="2994">
        <v>1.3661000000000001</v>
      </c>
      <c r="AE1300" s="2994">
        <v>1.5145999999999999</v>
      </c>
      <c r="AF1300" s="2994">
        <v>1.5266</v>
      </c>
      <c r="AG1300" s="2994">
        <v>1.4906999999999999</v>
      </c>
      <c r="AH1300" s="2994">
        <v>1.6212</v>
      </c>
      <c r="AI1300" s="2994">
        <v>1.4186000000000001</v>
      </c>
      <c r="AJ1300" s="2994">
        <v>1.3176000000000001</v>
      </c>
      <c r="AK1300" s="2994">
        <v>1.2319</v>
      </c>
      <c r="AL1300" s="2994">
        <v>1.1244000000000001</v>
      </c>
      <c r="AM1300" s="2994">
        <v>0.97699999999999998</v>
      </c>
      <c r="AN1300" s="2994">
        <v>1.2132000000000001</v>
      </c>
      <c r="AO1300" s="2994">
        <v>0.96960000000000002</v>
      </c>
      <c r="AP1300" s="2994">
        <v>1.0092000000000001</v>
      </c>
      <c r="AQ1300" s="2994">
        <v>0.96540000000000004</v>
      </c>
      <c r="AR1300" s="2994">
        <v>0.98550000000000004</v>
      </c>
      <c r="AS1300" s="2994">
        <v>1.026</v>
      </c>
      <c r="AT1300" s="2994">
        <v>0.94479999999999997</v>
      </c>
      <c r="AU1300" s="2994">
        <v>1.1491</v>
      </c>
      <c r="AV1300" s="2994">
        <v>1.1409</v>
      </c>
      <c r="AW1300" s="2994">
        <v>1.1675</v>
      </c>
      <c r="AX1300" s="2994">
        <v>1.3053999999999999</v>
      </c>
      <c r="AY1300" s="2994">
        <v>1.3280000000000001</v>
      </c>
      <c r="AZ1300" s="2994">
        <v>1.1665000000000001</v>
      </c>
      <c r="BA1300" s="2994">
        <v>1.4503999999999999</v>
      </c>
      <c r="BB1300" s="2994">
        <v>1.4069</v>
      </c>
      <c r="BC1300" s="2994">
        <v>1.3206</v>
      </c>
      <c r="BD1300" s="3471">
        <v>1.6157999999999999</v>
      </c>
      <c r="BE1300" s="3471">
        <v>1.4896</v>
      </c>
      <c r="BF1300" s="3471">
        <v>1.8844000000000001</v>
      </c>
    </row>
    <row r="1301" spans="1:58">
      <c r="A1301" s="1817" t="str">
        <f t="shared" si="41"/>
        <v>Eastern EuropeSweet potatoes</v>
      </c>
      <c r="B1301" s="1818" t="s">
        <v>302</v>
      </c>
      <c r="C1301" s="1818" t="s">
        <v>1377</v>
      </c>
      <c r="D1301" s="3463" t="str">
        <f>VLOOKUP(B1301,List_Yield!$G$4:$J$14,4,FALSE)</f>
        <v>Eastern Europe</v>
      </c>
      <c r="E1301" s="3463" t="str">
        <f t="shared" si="42"/>
        <v>Eastern EuropeSweet potatoes</v>
      </c>
      <c r="F1301" s="2994">
        <v>0</v>
      </c>
      <c r="G1301" s="2994">
        <v>0</v>
      </c>
      <c r="H1301" s="2994">
        <v>0</v>
      </c>
      <c r="I1301" s="2994">
        <v>0</v>
      </c>
      <c r="J1301" s="2994">
        <v>0</v>
      </c>
      <c r="K1301" s="2994">
        <v>0</v>
      </c>
      <c r="L1301" s="2994">
        <v>0</v>
      </c>
      <c r="M1301" s="2994">
        <v>0</v>
      </c>
      <c r="N1301" s="2994">
        <v>0</v>
      </c>
      <c r="O1301" s="2994">
        <v>0</v>
      </c>
      <c r="P1301" s="2994">
        <v>0</v>
      </c>
      <c r="Q1301" s="2994">
        <v>0</v>
      </c>
      <c r="R1301" s="2994">
        <v>0</v>
      </c>
      <c r="S1301" s="2994">
        <v>0</v>
      </c>
      <c r="T1301" s="2994">
        <v>0</v>
      </c>
      <c r="U1301" s="2994">
        <v>0</v>
      </c>
      <c r="V1301" s="2994">
        <v>0</v>
      </c>
      <c r="W1301" s="2994">
        <v>0</v>
      </c>
      <c r="X1301" s="2994">
        <v>0</v>
      </c>
      <c r="Y1301" s="2994">
        <v>0</v>
      </c>
      <c r="Z1301" s="2994">
        <v>0</v>
      </c>
      <c r="AA1301" s="2994">
        <v>0</v>
      </c>
      <c r="AB1301" s="2994">
        <v>0</v>
      </c>
      <c r="AC1301" s="2994">
        <v>0</v>
      </c>
      <c r="AD1301" s="2994">
        <v>0</v>
      </c>
      <c r="AE1301" s="2994">
        <v>0</v>
      </c>
      <c r="AF1301" s="2994">
        <v>0</v>
      </c>
      <c r="AG1301" s="2994">
        <v>0</v>
      </c>
      <c r="AH1301" s="2994">
        <v>0</v>
      </c>
      <c r="AI1301" s="2994">
        <v>0</v>
      </c>
      <c r="AJ1301" s="2994">
        <v>0</v>
      </c>
      <c r="AK1301" s="2994">
        <v>0</v>
      </c>
      <c r="AL1301" s="2994">
        <v>0</v>
      </c>
      <c r="AM1301" s="2994">
        <v>0</v>
      </c>
      <c r="AN1301" s="2994">
        <v>0</v>
      </c>
      <c r="AO1301" s="2994">
        <v>0</v>
      </c>
      <c r="AP1301" s="2994">
        <v>0</v>
      </c>
      <c r="AQ1301" s="2994">
        <v>0</v>
      </c>
      <c r="AR1301" s="2994">
        <v>0</v>
      </c>
      <c r="AS1301" s="2994">
        <v>0</v>
      </c>
      <c r="AT1301" s="2994">
        <v>0</v>
      </c>
      <c r="AU1301" s="2994">
        <v>0</v>
      </c>
      <c r="AV1301" s="2994">
        <v>0</v>
      </c>
      <c r="AW1301" s="2994">
        <v>0</v>
      </c>
      <c r="AX1301" s="2994">
        <v>0</v>
      </c>
      <c r="AY1301" s="2994">
        <v>0</v>
      </c>
      <c r="AZ1301" s="2994">
        <v>0</v>
      </c>
      <c r="BA1301" s="2994">
        <v>0</v>
      </c>
      <c r="BB1301" s="2994">
        <v>0</v>
      </c>
      <c r="BC1301" s="2994">
        <v>0</v>
      </c>
      <c r="BD1301" s="3471">
        <v>0</v>
      </c>
      <c r="BE1301" s="3471">
        <v>0</v>
      </c>
      <c r="BF1301" s="3471">
        <v>0</v>
      </c>
    </row>
    <row r="1302" spans="1:58">
      <c r="A1302" s="1817" t="str">
        <f t="shared" si="41"/>
        <v>Eastern EuropeTallowtree seed</v>
      </c>
      <c r="B1302" s="1818" t="s">
        <v>302</v>
      </c>
      <c r="C1302" s="1818" t="s">
        <v>7381</v>
      </c>
      <c r="D1302" s="3463" t="str">
        <f>VLOOKUP(B1302,List_Yield!$G$4:$J$14,4,FALSE)</f>
        <v>Eastern Europe</v>
      </c>
      <c r="E1302" s="3463" t="str">
        <f t="shared" si="42"/>
        <v>Eastern EuropeTallowtree seed</v>
      </c>
      <c r="F1302" s="2994">
        <v>0</v>
      </c>
      <c r="G1302" s="2994">
        <v>0</v>
      </c>
      <c r="H1302" s="2994">
        <v>0</v>
      </c>
      <c r="I1302" s="2994">
        <v>0</v>
      </c>
      <c r="J1302" s="2994">
        <v>0</v>
      </c>
      <c r="K1302" s="2994">
        <v>0</v>
      </c>
      <c r="L1302" s="2994">
        <v>0</v>
      </c>
      <c r="M1302" s="2994">
        <v>0</v>
      </c>
      <c r="N1302" s="2994">
        <v>0</v>
      </c>
      <c r="O1302" s="2994">
        <v>0</v>
      </c>
      <c r="P1302" s="2994">
        <v>0</v>
      </c>
      <c r="Q1302" s="2994">
        <v>0</v>
      </c>
      <c r="R1302" s="2994">
        <v>0</v>
      </c>
      <c r="S1302" s="2994">
        <v>0</v>
      </c>
      <c r="T1302" s="2994">
        <v>0</v>
      </c>
      <c r="U1302" s="2994">
        <v>0</v>
      </c>
      <c r="V1302" s="2994">
        <v>0</v>
      </c>
      <c r="W1302" s="2994">
        <v>0</v>
      </c>
      <c r="X1302" s="2994">
        <v>0</v>
      </c>
      <c r="Y1302" s="2994">
        <v>0</v>
      </c>
      <c r="Z1302" s="2994">
        <v>0</v>
      </c>
      <c r="AA1302" s="2994">
        <v>0</v>
      </c>
      <c r="AB1302" s="2994">
        <v>0</v>
      </c>
      <c r="AC1302" s="2994">
        <v>0</v>
      </c>
      <c r="AD1302" s="2994">
        <v>0</v>
      </c>
      <c r="AE1302" s="2994">
        <v>0</v>
      </c>
      <c r="AF1302" s="2994">
        <v>0</v>
      </c>
      <c r="AG1302" s="2994">
        <v>0</v>
      </c>
      <c r="AH1302" s="2994">
        <v>0</v>
      </c>
      <c r="AI1302" s="2994">
        <v>0</v>
      </c>
      <c r="AJ1302" s="2994">
        <v>0</v>
      </c>
      <c r="AK1302" s="2994">
        <v>0</v>
      </c>
      <c r="AL1302" s="2994">
        <v>0</v>
      </c>
      <c r="AM1302" s="2994">
        <v>0</v>
      </c>
      <c r="AN1302" s="2994">
        <v>0</v>
      </c>
      <c r="AO1302" s="2994">
        <v>0</v>
      </c>
      <c r="AP1302" s="2994">
        <v>0</v>
      </c>
      <c r="AQ1302" s="2994">
        <v>0</v>
      </c>
      <c r="AR1302" s="2994">
        <v>0</v>
      </c>
      <c r="AS1302" s="2994">
        <v>0</v>
      </c>
      <c r="AT1302" s="2994">
        <v>0</v>
      </c>
      <c r="AU1302" s="2994">
        <v>0</v>
      </c>
      <c r="AV1302" s="2994">
        <v>0</v>
      </c>
      <c r="AW1302" s="2994">
        <v>0</v>
      </c>
      <c r="AX1302" s="2994">
        <v>0</v>
      </c>
      <c r="AY1302" s="2994">
        <v>0</v>
      </c>
      <c r="AZ1302" s="2994">
        <v>0</v>
      </c>
      <c r="BA1302" s="2994">
        <v>0</v>
      </c>
      <c r="BB1302" s="2994">
        <v>0</v>
      </c>
      <c r="BC1302" s="2994">
        <v>0</v>
      </c>
      <c r="BD1302" s="3471">
        <v>0</v>
      </c>
      <c r="BE1302" s="3471">
        <v>0</v>
      </c>
      <c r="BF1302" s="3471">
        <v>0</v>
      </c>
    </row>
    <row r="1303" spans="1:58">
      <c r="A1303" s="1817" t="str">
        <f t="shared" si="41"/>
        <v>Eastern EuropeTangerines, mandarins, clementines, satsumas</v>
      </c>
      <c r="B1303" s="1818" t="s">
        <v>302</v>
      </c>
      <c r="C1303" s="1818" t="s">
        <v>7382</v>
      </c>
      <c r="D1303" s="3463" t="str">
        <f>VLOOKUP(B1303,List_Yield!$G$4:$J$14,4,FALSE)</f>
        <v>Eastern Europe</v>
      </c>
      <c r="E1303" s="3463" t="str">
        <f t="shared" si="42"/>
        <v>Eastern EuropeTangerines, mandarins, clementines, satsumas</v>
      </c>
      <c r="F1303" s="2994">
        <v>0</v>
      </c>
      <c r="G1303" s="2994">
        <v>0</v>
      </c>
      <c r="H1303" s="2994">
        <v>0</v>
      </c>
      <c r="I1303" s="2994">
        <v>0</v>
      </c>
      <c r="J1303" s="2994">
        <v>0</v>
      </c>
      <c r="K1303" s="2994">
        <v>0</v>
      </c>
      <c r="L1303" s="2994">
        <v>0</v>
      </c>
      <c r="M1303" s="2994">
        <v>0</v>
      </c>
      <c r="N1303" s="2994">
        <v>0</v>
      </c>
      <c r="O1303" s="2994">
        <v>0</v>
      </c>
      <c r="P1303" s="2994">
        <v>0</v>
      </c>
      <c r="Q1303" s="2994">
        <v>0</v>
      </c>
      <c r="R1303" s="2994">
        <v>0</v>
      </c>
      <c r="S1303" s="2994">
        <v>0</v>
      </c>
      <c r="T1303" s="2994">
        <v>0</v>
      </c>
      <c r="U1303" s="2994">
        <v>0</v>
      </c>
      <c r="V1303" s="2994">
        <v>0</v>
      </c>
      <c r="W1303" s="2994">
        <v>0</v>
      </c>
      <c r="X1303" s="2994">
        <v>0</v>
      </c>
      <c r="Y1303" s="2994">
        <v>0</v>
      </c>
      <c r="Z1303" s="2994">
        <v>0</v>
      </c>
      <c r="AA1303" s="2994">
        <v>0</v>
      </c>
      <c r="AB1303" s="2994">
        <v>0</v>
      </c>
      <c r="AC1303" s="2994">
        <v>0</v>
      </c>
      <c r="AD1303" s="2994">
        <v>0</v>
      </c>
      <c r="AE1303" s="2994">
        <v>0</v>
      </c>
      <c r="AF1303" s="2994">
        <v>0</v>
      </c>
      <c r="AG1303" s="2994">
        <v>0</v>
      </c>
      <c r="AH1303" s="2994">
        <v>0</v>
      </c>
      <c r="AI1303" s="2994">
        <v>0</v>
      </c>
      <c r="AJ1303" s="2994">
        <v>0</v>
      </c>
      <c r="AK1303" s="2994">
        <v>0</v>
      </c>
      <c r="AL1303" s="2994">
        <v>0</v>
      </c>
      <c r="AM1303" s="2994">
        <v>0</v>
      </c>
      <c r="AN1303" s="2994">
        <v>0</v>
      </c>
      <c r="AO1303" s="2994">
        <v>0</v>
      </c>
      <c r="AP1303" s="2994">
        <v>0</v>
      </c>
      <c r="AQ1303" s="2994">
        <v>0</v>
      </c>
      <c r="AR1303" s="2994">
        <v>0</v>
      </c>
      <c r="AS1303" s="2994">
        <v>0</v>
      </c>
      <c r="AT1303" s="2994">
        <v>0</v>
      </c>
      <c r="AU1303" s="2994">
        <v>0</v>
      </c>
      <c r="AV1303" s="2994">
        <v>0</v>
      </c>
      <c r="AW1303" s="2994">
        <v>0</v>
      </c>
      <c r="AX1303" s="2994">
        <v>0</v>
      </c>
      <c r="AY1303" s="2994">
        <v>0</v>
      </c>
      <c r="AZ1303" s="2994">
        <v>0</v>
      </c>
      <c r="BA1303" s="2994">
        <v>0</v>
      </c>
      <c r="BB1303" s="2994">
        <v>0</v>
      </c>
      <c r="BC1303" s="2994">
        <v>0</v>
      </c>
      <c r="BD1303" s="3471">
        <v>0</v>
      </c>
      <c r="BE1303" s="3471">
        <v>0</v>
      </c>
      <c r="BF1303" s="3471">
        <v>0</v>
      </c>
    </row>
    <row r="1304" spans="1:58">
      <c r="A1304" s="1817" t="str">
        <f t="shared" si="41"/>
        <v>Eastern EuropeTaro (cocoyam)</v>
      </c>
      <c r="B1304" s="1818" t="s">
        <v>302</v>
      </c>
      <c r="C1304" s="1818" t="s">
        <v>7383</v>
      </c>
      <c r="D1304" s="3463" t="str">
        <f>VLOOKUP(B1304,List_Yield!$G$4:$J$14,4,FALSE)</f>
        <v>Eastern Europe</v>
      </c>
      <c r="E1304" s="3463" t="str">
        <f t="shared" si="42"/>
        <v>Eastern EuropeTaro (cocoyam)</v>
      </c>
      <c r="F1304" s="2994">
        <v>0</v>
      </c>
      <c r="G1304" s="2994">
        <v>0</v>
      </c>
      <c r="H1304" s="2994">
        <v>0</v>
      </c>
      <c r="I1304" s="2994">
        <v>0</v>
      </c>
      <c r="J1304" s="2994">
        <v>0</v>
      </c>
      <c r="K1304" s="2994">
        <v>0</v>
      </c>
      <c r="L1304" s="2994">
        <v>0</v>
      </c>
      <c r="M1304" s="2994">
        <v>0</v>
      </c>
      <c r="N1304" s="2994">
        <v>0</v>
      </c>
      <c r="O1304" s="2994">
        <v>0</v>
      </c>
      <c r="P1304" s="2994">
        <v>0</v>
      </c>
      <c r="Q1304" s="2994">
        <v>0</v>
      </c>
      <c r="R1304" s="2994">
        <v>0</v>
      </c>
      <c r="S1304" s="2994">
        <v>0</v>
      </c>
      <c r="T1304" s="2994">
        <v>0</v>
      </c>
      <c r="U1304" s="2994">
        <v>0</v>
      </c>
      <c r="V1304" s="2994">
        <v>0</v>
      </c>
      <c r="W1304" s="2994">
        <v>0</v>
      </c>
      <c r="X1304" s="2994">
        <v>0</v>
      </c>
      <c r="Y1304" s="2994">
        <v>0</v>
      </c>
      <c r="Z1304" s="2994">
        <v>0</v>
      </c>
      <c r="AA1304" s="2994">
        <v>0</v>
      </c>
      <c r="AB1304" s="2994">
        <v>0</v>
      </c>
      <c r="AC1304" s="2994">
        <v>0</v>
      </c>
      <c r="AD1304" s="2994">
        <v>0</v>
      </c>
      <c r="AE1304" s="2994">
        <v>0</v>
      </c>
      <c r="AF1304" s="2994">
        <v>0</v>
      </c>
      <c r="AG1304" s="2994">
        <v>0</v>
      </c>
      <c r="AH1304" s="2994">
        <v>0</v>
      </c>
      <c r="AI1304" s="2994">
        <v>0</v>
      </c>
      <c r="AJ1304" s="2994">
        <v>0</v>
      </c>
      <c r="AK1304" s="2994">
        <v>0</v>
      </c>
      <c r="AL1304" s="2994">
        <v>0</v>
      </c>
      <c r="AM1304" s="2994">
        <v>0</v>
      </c>
      <c r="AN1304" s="2994">
        <v>0</v>
      </c>
      <c r="AO1304" s="2994">
        <v>0</v>
      </c>
      <c r="AP1304" s="2994">
        <v>0</v>
      </c>
      <c r="AQ1304" s="2994">
        <v>0</v>
      </c>
      <c r="AR1304" s="2994">
        <v>0</v>
      </c>
      <c r="AS1304" s="2994">
        <v>0</v>
      </c>
      <c r="AT1304" s="2994">
        <v>0</v>
      </c>
      <c r="AU1304" s="2994">
        <v>0</v>
      </c>
      <c r="AV1304" s="2994">
        <v>0</v>
      </c>
      <c r="AW1304" s="2994">
        <v>0</v>
      </c>
      <c r="AX1304" s="2994">
        <v>0</v>
      </c>
      <c r="AY1304" s="2994">
        <v>0</v>
      </c>
      <c r="AZ1304" s="2994">
        <v>0</v>
      </c>
      <c r="BA1304" s="2994">
        <v>0</v>
      </c>
      <c r="BB1304" s="2994">
        <v>0</v>
      </c>
      <c r="BC1304" s="2994">
        <v>0</v>
      </c>
      <c r="BD1304" s="3471">
        <v>0</v>
      </c>
      <c r="BE1304" s="3471">
        <v>0</v>
      </c>
      <c r="BF1304" s="3471">
        <v>0</v>
      </c>
    </row>
    <row r="1305" spans="1:58">
      <c r="A1305" s="1817" t="str">
        <f t="shared" si="41"/>
        <v>Eastern EuropeTea</v>
      </c>
      <c r="B1305" s="1818" t="s">
        <v>302</v>
      </c>
      <c r="C1305" s="1818" t="s">
        <v>1379</v>
      </c>
      <c r="D1305" s="3463" t="str">
        <f>VLOOKUP(B1305,List_Yield!$G$4:$J$14,4,FALSE)</f>
        <v>Eastern Europe</v>
      </c>
      <c r="E1305" s="3463" t="str">
        <f t="shared" si="42"/>
        <v>Eastern EuropeTea</v>
      </c>
      <c r="F1305" s="2994">
        <v>0.62839999999999996</v>
      </c>
      <c r="G1305" s="2994">
        <v>0.66410000000000002</v>
      </c>
      <c r="H1305" s="2994">
        <v>0.70679999999999998</v>
      </c>
      <c r="I1305" s="2994">
        <v>0.67989999999999995</v>
      </c>
      <c r="J1305" s="2994">
        <v>0.67979999999999996</v>
      </c>
      <c r="K1305" s="2994">
        <v>0.81850000000000001</v>
      </c>
      <c r="L1305" s="2994">
        <v>0.80159999999999998</v>
      </c>
      <c r="M1305" s="2994">
        <v>0.77710000000000001</v>
      </c>
      <c r="N1305" s="2994">
        <v>0.8266</v>
      </c>
      <c r="O1305" s="2994">
        <v>0.89800000000000002</v>
      </c>
      <c r="P1305" s="2994">
        <v>0.9093</v>
      </c>
      <c r="Q1305" s="2994">
        <v>0.95479999999999998</v>
      </c>
      <c r="R1305" s="2994">
        <v>1.0125</v>
      </c>
      <c r="S1305" s="2994">
        <v>1.0705</v>
      </c>
      <c r="T1305" s="2994">
        <v>1.1356999999999999</v>
      </c>
      <c r="U1305" s="2994">
        <v>1.1973</v>
      </c>
      <c r="V1305" s="2994">
        <v>1.3848</v>
      </c>
      <c r="W1305" s="2994">
        <v>1.4371</v>
      </c>
      <c r="X1305" s="2994">
        <v>1.4943</v>
      </c>
      <c r="Y1305" s="2994">
        <v>1.6477999999999999</v>
      </c>
      <c r="Z1305" s="2994">
        <v>1.7455000000000001</v>
      </c>
      <c r="AA1305" s="2994">
        <v>1.784</v>
      </c>
      <c r="AB1305" s="2994">
        <v>1.8279000000000001</v>
      </c>
      <c r="AC1305" s="2994">
        <v>1.8735999999999999</v>
      </c>
      <c r="AD1305" s="2994">
        <v>1.8517999999999999</v>
      </c>
      <c r="AE1305" s="2994">
        <v>1.7676000000000001</v>
      </c>
      <c r="AF1305" s="2994">
        <v>1.8909</v>
      </c>
      <c r="AG1305" s="2994">
        <v>1.5350999999999999</v>
      </c>
      <c r="AH1305" s="2994">
        <v>1.6395</v>
      </c>
      <c r="AI1305" s="2994">
        <v>1.7555000000000001</v>
      </c>
      <c r="AJ1305" s="2994">
        <v>1.5627</v>
      </c>
      <c r="AK1305" s="2994">
        <v>1.0249999999999999</v>
      </c>
      <c r="AL1305" s="2994">
        <v>1.3527</v>
      </c>
      <c r="AM1305" s="2994">
        <v>5.3006000000000002</v>
      </c>
      <c r="AN1305" s="2994">
        <v>4.5063000000000004</v>
      </c>
      <c r="AO1305" s="2994">
        <v>2.9512999999999998</v>
      </c>
      <c r="AP1305" s="2994">
        <v>2.5375000000000001</v>
      </c>
      <c r="AQ1305" s="2994">
        <v>2.4666999999999999</v>
      </c>
      <c r="AR1305" s="2994">
        <v>1.3332999999999999</v>
      </c>
      <c r="AS1305" s="2994">
        <v>1.0133000000000001</v>
      </c>
      <c r="AT1305" s="2994">
        <v>0.82669999999999999</v>
      </c>
      <c r="AU1305" s="2994">
        <v>0.86</v>
      </c>
      <c r="AV1305" s="2994">
        <v>0.57999999999999996</v>
      </c>
      <c r="AW1305" s="2994">
        <v>0.88570000000000004</v>
      </c>
      <c r="AX1305" s="2994">
        <v>0.9</v>
      </c>
      <c r="AY1305" s="2994">
        <v>0.82140000000000002</v>
      </c>
      <c r="AZ1305" s="2994">
        <v>0.45</v>
      </c>
      <c r="BA1305" s="2994">
        <v>0.5857</v>
      </c>
      <c r="BB1305" s="2994">
        <v>0.48459999999999998</v>
      </c>
      <c r="BC1305" s="2994">
        <v>0.26429999999999998</v>
      </c>
      <c r="BD1305" s="3471">
        <v>0.22500000000000001</v>
      </c>
      <c r="BE1305" s="3471">
        <v>0.1</v>
      </c>
      <c r="BF1305" s="3471">
        <v>0</v>
      </c>
    </row>
    <row r="1306" spans="1:58">
      <c r="A1306" s="1817" t="str">
        <f t="shared" si="41"/>
        <v>Eastern EuropeTobacco, unmanufactured</v>
      </c>
      <c r="B1306" s="1818" t="s">
        <v>302</v>
      </c>
      <c r="C1306" s="1818" t="s">
        <v>1321</v>
      </c>
      <c r="D1306" s="3463" t="str">
        <f>VLOOKUP(B1306,List_Yield!$G$4:$J$14,4,FALSE)</f>
        <v>Eastern Europe</v>
      </c>
      <c r="E1306" s="3463" t="str">
        <f t="shared" si="42"/>
        <v>Eastern EuropeTobacco, unmanufactured</v>
      </c>
      <c r="F1306" s="2994">
        <v>0.83640000000000003</v>
      </c>
      <c r="G1306" s="2994">
        <v>0.93830000000000002</v>
      </c>
      <c r="H1306" s="2994">
        <v>1.0863</v>
      </c>
      <c r="I1306" s="2994">
        <v>1.3792</v>
      </c>
      <c r="J1306" s="2994">
        <v>1.1556</v>
      </c>
      <c r="K1306" s="2994">
        <v>1.2221</v>
      </c>
      <c r="L1306" s="2994">
        <v>1.4140999999999999</v>
      </c>
      <c r="M1306" s="2994">
        <v>1.3811</v>
      </c>
      <c r="N1306" s="2994">
        <v>1.2493000000000001</v>
      </c>
      <c r="O1306" s="2994">
        <v>1.3251999999999999</v>
      </c>
      <c r="P1306" s="2994">
        <v>1.3070999999999999</v>
      </c>
      <c r="Q1306" s="2994">
        <v>1.4378</v>
      </c>
      <c r="R1306" s="2994">
        <v>1.3969</v>
      </c>
      <c r="S1306" s="2994">
        <v>1.3487</v>
      </c>
      <c r="T1306" s="2994">
        <v>1.4416</v>
      </c>
      <c r="U1306" s="2994">
        <v>1.5507</v>
      </c>
      <c r="V1306" s="2994">
        <v>1.3378000000000001</v>
      </c>
      <c r="W1306" s="2994">
        <v>1.3445</v>
      </c>
      <c r="X1306" s="2994">
        <v>1.4686999999999999</v>
      </c>
      <c r="Y1306" s="2994">
        <v>1.1449</v>
      </c>
      <c r="Z1306" s="2994">
        <v>1.3476999999999999</v>
      </c>
      <c r="AA1306" s="2994">
        <v>1.5623</v>
      </c>
      <c r="AB1306" s="2994">
        <v>1.6133</v>
      </c>
      <c r="AC1306" s="2994">
        <v>1.7119</v>
      </c>
      <c r="AD1306" s="2994">
        <v>1.7110000000000001</v>
      </c>
      <c r="AE1306" s="2994">
        <v>1.8503000000000001</v>
      </c>
      <c r="AF1306" s="2994">
        <v>1.7423999999999999</v>
      </c>
      <c r="AG1306" s="2994">
        <v>1.6451</v>
      </c>
      <c r="AH1306" s="2994">
        <v>1.5758000000000001</v>
      </c>
      <c r="AI1306" s="2994">
        <v>2.0886999999999998</v>
      </c>
      <c r="AJ1306" s="2994">
        <v>1.8627</v>
      </c>
      <c r="AK1306" s="2994">
        <v>1.4413</v>
      </c>
      <c r="AL1306" s="2994">
        <v>1.3508</v>
      </c>
      <c r="AM1306" s="2994">
        <v>1.3703000000000001</v>
      </c>
      <c r="AN1306" s="2994">
        <v>1.4706999999999999</v>
      </c>
      <c r="AO1306" s="2994">
        <v>1.4853000000000001</v>
      </c>
      <c r="AP1306" s="2994">
        <v>1.5195000000000001</v>
      </c>
      <c r="AQ1306" s="2994">
        <v>1.3609</v>
      </c>
      <c r="AR1306" s="2994">
        <v>1.5132000000000001</v>
      </c>
      <c r="AS1306" s="2994">
        <v>1.2795000000000001</v>
      </c>
      <c r="AT1306" s="2994">
        <v>1.2910999999999999</v>
      </c>
      <c r="AU1306" s="2994">
        <v>1.6541999999999999</v>
      </c>
      <c r="AV1306" s="2994">
        <v>1.5676000000000001</v>
      </c>
      <c r="AW1306" s="2994">
        <v>1.4826999999999999</v>
      </c>
      <c r="AX1306" s="2994">
        <v>1.6022000000000001</v>
      </c>
      <c r="AY1306" s="2994">
        <v>1.758</v>
      </c>
      <c r="AZ1306" s="2994">
        <v>1.5980000000000001</v>
      </c>
      <c r="BA1306" s="2994">
        <v>1.8915999999999999</v>
      </c>
      <c r="BB1306" s="2994">
        <v>1.9079999999999999</v>
      </c>
      <c r="BC1306" s="2994">
        <v>1.8212999999999999</v>
      </c>
      <c r="BD1306" s="3471">
        <v>1.8962000000000001</v>
      </c>
      <c r="BE1306" s="3471">
        <v>1.8112999999999999</v>
      </c>
      <c r="BF1306" s="3471">
        <v>0</v>
      </c>
    </row>
    <row r="1307" spans="1:58">
      <c r="A1307" s="1817" t="str">
        <f t="shared" si="41"/>
        <v>Eastern EuropeTomatoes</v>
      </c>
      <c r="B1307" s="1818" t="s">
        <v>302</v>
      </c>
      <c r="C1307" s="1818" t="s">
        <v>1380</v>
      </c>
      <c r="D1307" s="3463" t="str">
        <f>VLOOKUP(B1307,List_Yield!$G$4:$J$14,4,FALSE)</f>
        <v>Eastern Europe</v>
      </c>
      <c r="E1307" s="3463" t="str">
        <f t="shared" si="42"/>
        <v>Eastern EuropeTomatoes</v>
      </c>
      <c r="F1307" s="2994">
        <v>15.2372</v>
      </c>
      <c r="G1307" s="2994">
        <v>14.6005</v>
      </c>
      <c r="H1307" s="2994">
        <v>14.848000000000001</v>
      </c>
      <c r="I1307" s="2994">
        <v>15.145799999999999</v>
      </c>
      <c r="J1307" s="2994">
        <v>15.455299999999999</v>
      </c>
      <c r="K1307" s="2994">
        <v>15.476100000000001</v>
      </c>
      <c r="L1307" s="2994">
        <v>17.0122</v>
      </c>
      <c r="M1307" s="2994">
        <v>15.8749</v>
      </c>
      <c r="N1307" s="2994">
        <v>14.4337</v>
      </c>
      <c r="O1307" s="2994">
        <v>15.1364</v>
      </c>
      <c r="P1307" s="2994">
        <v>16.325800000000001</v>
      </c>
      <c r="Q1307" s="2994">
        <v>15.683299999999999</v>
      </c>
      <c r="R1307" s="2994">
        <v>18.7239</v>
      </c>
      <c r="S1307" s="2994">
        <v>17.742100000000001</v>
      </c>
      <c r="T1307" s="2994">
        <v>16.241099999999999</v>
      </c>
      <c r="U1307" s="2994">
        <v>17.751000000000001</v>
      </c>
      <c r="V1307" s="2994">
        <v>16.234000000000002</v>
      </c>
      <c r="W1307" s="2994">
        <v>18.357199999999999</v>
      </c>
      <c r="X1307" s="2994">
        <v>20.082699999999999</v>
      </c>
      <c r="Y1307" s="2994">
        <v>17.3751</v>
      </c>
      <c r="Z1307" s="2994">
        <v>18.9008</v>
      </c>
      <c r="AA1307" s="2994">
        <v>19.759899999999998</v>
      </c>
      <c r="AB1307" s="2994">
        <v>19.2121</v>
      </c>
      <c r="AC1307" s="2994">
        <v>20.660599999999999</v>
      </c>
      <c r="AD1307" s="2994">
        <v>19.761800000000001</v>
      </c>
      <c r="AE1307" s="2994">
        <v>20.2502</v>
      </c>
      <c r="AF1307" s="2994">
        <v>19.630700000000001</v>
      </c>
      <c r="AG1307" s="2994">
        <v>18.783000000000001</v>
      </c>
      <c r="AH1307" s="2994">
        <v>19.275300000000001</v>
      </c>
      <c r="AI1307" s="2994">
        <v>20.867899999999999</v>
      </c>
      <c r="AJ1307" s="2994">
        <v>19.524699999999999</v>
      </c>
      <c r="AK1307" s="2994">
        <v>13.874599999999999</v>
      </c>
      <c r="AL1307" s="2994">
        <v>13.4788</v>
      </c>
      <c r="AM1307" s="2994">
        <v>13.348000000000001</v>
      </c>
      <c r="AN1307" s="2994">
        <v>13.327999999999999</v>
      </c>
      <c r="AO1307" s="2994">
        <v>11.8781</v>
      </c>
      <c r="AP1307" s="2994">
        <v>9.4989000000000008</v>
      </c>
      <c r="AQ1307" s="2994">
        <v>13.349</v>
      </c>
      <c r="AR1307" s="2994">
        <v>13.230399999999999</v>
      </c>
      <c r="AS1307" s="2994">
        <v>11.959199999999999</v>
      </c>
      <c r="AT1307" s="2994">
        <v>12.539</v>
      </c>
      <c r="AU1307" s="2994">
        <v>13.4499</v>
      </c>
      <c r="AV1307" s="2994">
        <v>16.067699999999999</v>
      </c>
      <c r="AW1307" s="2994">
        <v>16.701499999999999</v>
      </c>
      <c r="AX1307" s="2994">
        <v>16.9739</v>
      </c>
      <c r="AY1307" s="2994">
        <v>19.1328</v>
      </c>
      <c r="AZ1307" s="2994">
        <v>19.0642</v>
      </c>
      <c r="BA1307" s="2994">
        <v>20.204899999999999</v>
      </c>
      <c r="BB1307" s="2994">
        <v>22.254300000000001</v>
      </c>
      <c r="BC1307" s="2994">
        <v>20.888000000000002</v>
      </c>
      <c r="BD1307" s="3471">
        <v>22.160799999999998</v>
      </c>
      <c r="BE1307" s="3471">
        <v>23.0199</v>
      </c>
      <c r="BF1307" s="3471">
        <v>0</v>
      </c>
    </row>
    <row r="1308" spans="1:58">
      <c r="A1308" s="1817" t="str">
        <f t="shared" si="41"/>
        <v>Eastern EuropeTriticale</v>
      </c>
      <c r="B1308" s="1818" t="s">
        <v>302</v>
      </c>
      <c r="C1308" s="1818" t="s">
        <v>1335</v>
      </c>
      <c r="D1308" s="3463" t="str">
        <f>VLOOKUP(B1308,List_Yield!$G$4:$J$14,4,FALSE)</f>
        <v>Eastern Europe</v>
      </c>
      <c r="E1308" s="3463" t="str">
        <f t="shared" si="42"/>
        <v>Eastern EuropeTriticale</v>
      </c>
      <c r="F1308" s="2994">
        <v>0</v>
      </c>
      <c r="G1308" s="2994">
        <v>0</v>
      </c>
      <c r="H1308" s="2994">
        <v>0</v>
      </c>
      <c r="I1308" s="2994">
        <v>0</v>
      </c>
      <c r="J1308" s="2994">
        <v>0</v>
      </c>
      <c r="K1308" s="2994">
        <v>0</v>
      </c>
      <c r="L1308" s="2994">
        <v>0</v>
      </c>
      <c r="M1308" s="2994">
        <v>0</v>
      </c>
      <c r="N1308" s="2994">
        <v>0</v>
      </c>
      <c r="O1308" s="2994">
        <v>0</v>
      </c>
      <c r="P1308" s="2994">
        <v>0</v>
      </c>
      <c r="Q1308" s="2994">
        <v>0</v>
      </c>
      <c r="R1308" s="2994">
        <v>0</v>
      </c>
      <c r="S1308" s="2994">
        <v>0</v>
      </c>
      <c r="T1308" s="2994">
        <v>0</v>
      </c>
      <c r="U1308" s="2994">
        <v>0</v>
      </c>
      <c r="V1308" s="2994">
        <v>1.7053</v>
      </c>
      <c r="W1308" s="2994">
        <v>2.1232000000000002</v>
      </c>
      <c r="X1308" s="2994">
        <v>1.649</v>
      </c>
      <c r="Y1308" s="2994">
        <v>2.4243000000000001</v>
      </c>
      <c r="Z1308" s="2994">
        <v>1.5223</v>
      </c>
      <c r="AA1308" s="2994">
        <v>1.1504000000000001</v>
      </c>
      <c r="AB1308" s="2994">
        <v>1.8733</v>
      </c>
      <c r="AC1308" s="2994">
        <v>2.0842999999999998</v>
      </c>
      <c r="AD1308" s="2994">
        <v>2.7509000000000001</v>
      </c>
      <c r="AE1308" s="2994">
        <v>3.1293000000000002</v>
      </c>
      <c r="AF1308" s="2994">
        <v>3.2711999999999999</v>
      </c>
      <c r="AG1308" s="2994">
        <v>3.1690999999999998</v>
      </c>
      <c r="AH1308" s="2994">
        <v>3.7248000000000001</v>
      </c>
      <c r="AI1308" s="2994">
        <v>3.6537000000000002</v>
      </c>
      <c r="AJ1308" s="2994">
        <v>3.4180999999999999</v>
      </c>
      <c r="AK1308" s="2994">
        <v>2.6619000000000002</v>
      </c>
      <c r="AL1308" s="2994">
        <v>2.8917999999999999</v>
      </c>
      <c r="AM1308" s="2994">
        <v>2.8458999999999999</v>
      </c>
      <c r="AN1308" s="2994">
        <v>3.3109000000000002</v>
      </c>
      <c r="AO1308" s="2994">
        <v>2.9115000000000002</v>
      </c>
      <c r="AP1308" s="2994">
        <v>2.9548000000000001</v>
      </c>
      <c r="AQ1308" s="2994">
        <v>3.1617000000000002</v>
      </c>
      <c r="AR1308" s="2994">
        <v>3.0636000000000001</v>
      </c>
      <c r="AS1308" s="2994">
        <v>2.8189000000000002</v>
      </c>
      <c r="AT1308" s="2994">
        <v>3.1941000000000002</v>
      </c>
      <c r="AU1308" s="2994">
        <v>3.1783000000000001</v>
      </c>
      <c r="AV1308" s="2994">
        <v>2.7324999999999999</v>
      </c>
      <c r="AW1308" s="2994">
        <v>3.5848</v>
      </c>
      <c r="AX1308" s="2994">
        <v>3.2804000000000002</v>
      </c>
      <c r="AY1308" s="2994">
        <v>2.7179000000000002</v>
      </c>
      <c r="AZ1308" s="2994">
        <v>3.2081</v>
      </c>
      <c r="BA1308" s="2994">
        <v>3.5482</v>
      </c>
      <c r="BB1308" s="2994">
        <v>3.4392999999999998</v>
      </c>
      <c r="BC1308" s="2994">
        <v>3.1859999999999999</v>
      </c>
      <c r="BD1308" s="3471">
        <v>3.2376</v>
      </c>
      <c r="BE1308" s="3471">
        <v>3.2978000000000001</v>
      </c>
      <c r="BF1308" s="3471">
        <v>3.3557999999999999</v>
      </c>
    </row>
    <row r="1309" spans="1:58">
      <c r="A1309" s="1817" t="str">
        <f t="shared" si="41"/>
        <v>Eastern EuropeTung nuts</v>
      </c>
      <c r="B1309" s="1818" t="s">
        <v>302</v>
      </c>
      <c r="C1309" s="1818" t="s">
        <v>7384</v>
      </c>
      <c r="D1309" s="3463" t="str">
        <f>VLOOKUP(B1309,List_Yield!$G$4:$J$14,4,FALSE)</f>
        <v>Eastern Europe</v>
      </c>
      <c r="E1309" s="3463" t="str">
        <f t="shared" si="42"/>
        <v>Eastern EuropeTung nuts</v>
      </c>
      <c r="F1309" s="2994">
        <v>0</v>
      </c>
      <c r="G1309" s="2994">
        <v>0</v>
      </c>
      <c r="H1309" s="2994">
        <v>0</v>
      </c>
      <c r="I1309" s="2994">
        <v>0</v>
      </c>
      <c r="J1309" s="2994">
        <v>0</v>
      </c>
      <c r="K1309" s="2994">
        <v>0</v>
      </c>
      <c r="L1309" s="2994">
        <v>0</v>
      </c>
      <c r="M1309" s="2994">
        <v>0</v>
      </c>
      <c r="N1309" s="2994">
        <v>0</v>
      </c>
      <c r="O1309" s="2994">
        <v>0</v>
      </c>
      <c r="P1309" s="2994">
        <v>0</v>
      </c>
      <c r="Q1309" s="2994">
        <v>0</v>
      </c>
      <c r="R1309" s="2994">
        <v>0</v>
      </c>
      <c r="S1309" s="2994">
        <v>0</v>
      </c>
      <c r="T1309" s="2994">
        <v>0</v>
      </c>
      <c r="U1309" s="2994">
        <v>0</v>
      </c>
      <c r="V1309" s="2994">
        <v>0</v>
      </c>
      <c r="W1309" s="2994">
        <v>0</v>
      </c>
      <c r="X1309" s="2994">
        <v>0</v>
      </c>
      <c r="Y1309" s="2994">
        <v>0</v>
      </c>
      <c r="Z1309" s="2994">
        <v>0</v>
      </c>
      <c r="AA1309" s="2994">
        <v>0</v>
      </c>
      <c r="AB1309" s="2994">
        <v>0</v>
      </c>
      <c r="AC1309" s="2994">
        <v>0</v>
      </c>
      <c r="AD1309" s="2994">
        <v>0</v>
      </c>
      <c r="AE1309" s="2994">
        <v>0</v>
      </c>
      <c r="AF1309" s="2994">
        <v>0</v>
      </c>
      <c r="AG1309" s="2994">
        <v>0</v>
      </c>
      <c r="AH1309" s="2994">
        <v>0</v>
      </c>
      <c r="AI1309" s="2994">
        <v>0</v>
      </c>
      <c r="AJ1309" s="2994">
        <v>0</v>
      </c>
      <c r="AK1309" s="2994">
        <v>0</v>
      </c>
      <c r="AL1309" s="2994">
        <v>0</v>
      </c>
      <c r="AM1309" s="2994">
        <v>0</v>
      </c>
      <c r="AN1309" s="2994">
        <v>0</v>
      </c>
      <c r="AO1309" s="2994">
        <v>0</v>
      </c>
      <c r="AP1309" s="2994">
        <v>0</v>
      </c>
      <c r="AQ1309" s="2994">
        <v>0</v>
      </c>
      <c r="AR1309" s="2994">
        <v>0</v>
      </c>
      <c r="AS1309" s="2994">
        <v>0</v>
      </c>
      <c r="AT1309" s="2994">
        <v>0</v>
      </c>
      <c r="AU1309" s="2994">
        <v>0</v>
      </c>
      <c r="AV1309" s="2994">
        <v>0</v>
      </c>
      <c r="AW1309" s="2994">
        <v>0</v>
      </c>
      <c r="AX1309" s="2994">
        <v>0</v>
      </c>
      <c r="AY1309" s="2994">
        <v>0</v>
      </c>
      <c r="AZ1309" s="2994">
        <v>0</v>
      </c>
      <c r="BA1309" s="2994">
        <v>0</v>
      </c>
      <c r="BB1309" s="2994">
        <v>0</v>
      </c>
      <c r="BC1309" s="2994">
        <v>0</v>
      </c>
      <c r="BD1309" s="3471">
        <v>0</v>
      </c>
      <c r="BE1309" s="3471">
        <v>0</v>
      </c>
      <c r="BF1309" s="3471">
        <v>0</v>
      </c>
    </row>
    <row r="1310" spans="1:58">
      <c r="A1310" s="1817" t="str">
        <f t="shared" si="41"/>
        <v>Eastern EuropeVanilla</v>
      </c>
      <c r="B1310" s="1818" t="s">
        <v>302</v>
      </c>
      <c r="C1310" s="1818" t="s">
        <v>7385</v>
      </c>
      <c r="D1310" s="3463" t="str">
        <f>VLOOKUP(B1310,List_Yield!$G$4:$J$14,4,FALSE)</f>
        <v>Eastern Europe</v>
      </c>
      <c r="E1310" s="3463" t="str">
        <f t="shared" si="42"/>
        <v>Eastern EuropeVanilla</v>
      </c>
      <c r="F1310" s="2994">
        <v>0</v>
      </c>
      <c r="G1310" s="2994">
        <v>0</v>
      </c>
      <c r="H1310" s="2994">
        <v>0</v>
      </c>
      <c r="I1310" s="2994">
        <v>0</v>
      </c>
      <c r="J1310" s="2994">
        <v>0</v>
      </c>
      <c r="K1310" s="2994">
        <v>0</v>
      </c>
      <c r="L1310" s="2994">
        <v>0</v>
      </c>
      <c r="M1310" s="2994">
        <v>0</v>
      </c>
      <c r="N1310" s="2994">
        <v>0</v>
      </c>
      <c r="O1310" s="2994">
        <v>0</v>
      </c>
      <c r="P1310" s="2994">
        <v>0</v>
      </c>
      <c r="Q1310" s="2994">
        <v>0</v>
      </c>
      <c r="R1310" s="2994">
        <v>0</v>
      </c>
      <c r="S1310" s="2994">
        <v>0</v>
      </c>
      <c r="T1310" s="2994">
        <v>0</v>
      </c>
      <c r="U1310" s="2994">
        <v>0</v>
      </c>
      <c r="V1310" s="2994">
        <v>0</v>
      </c>
      <c r="W1310" s="2994">
        <v>0</v>
      </c>
      <c r="X1310" s="2994">
        <v>0</v>
      </c>
      <c r="Y1310" s="2994">
        <v>0</v>
      </c>
      <c r="Z1310" s="2994">
        <v>0</v>
      </c>
      <c r="AA1310" s="2994">
        <v>0</v>
      </c>
      <c r="AB1310" s="2994">
        <v>0</v>
      </c>
      <c r="AC1310" s="2994">
        <v>0</v>
      </c>
      <c r="AD1310" s="2994">
        <v>0</v>
      </c>
      <c r="AE1310" s="2994">
        <v>0</v>
      </c>
      <c r="AF1310" s="2994">
        <v>0</v>
      </c>
      <c r="AG1310" s="2994">
        <v>0</v>
      </c>
      <c r="AH1310" s="2994">
        <v>0</v>
      </c>
      <c r="AI1310" s="2994">
        <v>0</v>
      </c>
      <c r="AJ1310" s="2994">
        <v>0</v>
      </c>
      <c r="AK1310" s="2994">
        <v>0</v>
      </c>
      <c r="AL1310" s="2994">
        <v>0</v>
      </c>
      <c r="AM1310" s="2994">
        <v>0</v>
      </c>
      <c r="AN1310" s="2994">
        <v>0</v>
      </c>
      <c r="AO1310" s="2994">
        <v>0</v>
      </c>
      <c r="AP1310" s="2994">
        <v>0</v>
      </c>
      <c r="AQ1310" s="2994">
        <v>0</v>
      </c>
      <c r="AR1310" s="2994">
        <v>0</v>
      </c>
      <c r="AS1310" s="2994">
        <v>0</v>
      </c>
      <c r="AT1310" s="2994">
        <v>0</v>
      </c>
      <c r="AU1310" s="2994">
        <v>0</v>
      </c>
      <c r="AV1310" s="2994">
        <v>0</v>
      </c>
      <c r="AW1310" s="2994">
        <v>0</v>
      </c>
      <c r="AX1310" s="2994">
        <v>0</v>
      </c>
      <c r="AY1310" s="2994">
        <v>0</v>
      </c>
      <c r="AZ1310" s="2994">
        <v>0</v>
      </c>
      <c r="BA1310" s="2994">
        <v>0</v>
      </c>
      <c r="BB1310" s="2994">
        <v>0</v>
      </c>
      <c r="BC1310" s="2994">
        <v>0</v>
      </c>
      <c r="BD1310" s="3471">
        <v>0</v>
      </c>
      <c r="BE1310" s="3471">
        <v>0</v>
      </c>
      <c r="BF1310" s="3471">
        <v>0</v>
      </c>
    </row>
    <row r="1311" spans="1:58">
      <c r="A1311" s="1817" t="str">
        <f t="shared" si="41"/>
        <v>Eastern EuropeVegetables, fresh nes</v>
      </c>
      <c r="B1311" s="1818" t="s">
        <v>302</v>
      </c>
      <c r="C1311" s="1818" t="s">
        <v>7386</v>
      </c>
      <c r="D1311" s="3463" t="str">
        <f>VLOOKUP(B1311,List_Yield!$G$4:$J$14,4,FALSE)</f>
        <v>Eastern Europe</v>
      </c>
      <c r="E1311" s="3463" t="str">
        <f t="shared" si="42"/>
        <v>Eastern EuropeVegetables, fresh nes</v>
      </c>
      <c r="F1311" s="2994">
        <v>8.6514000000000006</v>
      </c>
      <c r="G1311" s="2994">
        <v>9.7849000000000004</v>
      </c>
      <c r="H1311" s="2994">
        <v>9.0391999999999992</v>
      </c>
      <c r="I1311" s="2994">
        <v>13.7874</v>
      </c>
      <c r="J1311" s="2994">
        <v>12.2095</v>
      </c>
      <c r="K1311" s="2994">
        <v>12.711</v>
      </c>
      <c r="L1311" s="2994">
        <v>14.168900000000001</v>
      </c>
      <c r="M1311" s="2994">
        <v>13.297599999999999</v>
      </c>
      <c r="N1311" s="2994">
        <v>13.147500000000001</v>
      </c>
      <c r="O1311" s="2994">
        <v>9.3963999999999999</v>
      </c>
      <c r="P1311" s="2994">
        <v>13.1143</v>
      </c>
      <c r="Q1311" s="2994">
        <v>12.310700000000001</v>
      </c>
      <c r="R1311" s="2994">
        <v>14.3005</v>
      </c>
      <c r="S1311" s="2994">
        <v>13.362500000000001</v>
      </c>
      <c r="T1311" s="2994">
        <v>12.8241</v>
      </c>
      <c r="U1311" s="2994">
        <v>15.4297</v>
      </c>
      <c r="V1311" s="2994">
        <v>16.660799999999998</v>
      </c>
      <c r="W1311" s="2994">
        <v>15.7628</v>
      </c>
      <c r="X1311" s="2994">
        <v>15.587199999999999</v>
      </c>
      <c r="Y1311" s="2994">
        <v>13.833399999999999</v>
      </c>
      <c r="Z1311" s="2994">
        <v>13.725099999999999</v>
      </c>
      <c r="AA1311" s="2994">
        <v>15.7226</v>
      </c>
      <c r="AB1311" s="2994">
        <v>14.7333</v>
      </c>
      <c r="AC1311" s="2994">
        <v>15.9749</v>
      </c>
      <c r="AD1311" s="2994">
        <v>14.657999999999999</v>
      </c>
      <c r="AE1311" s="2994">
        <v>14.6074</v>
      </c>
      <c r="AF1311" s="2994">
        <v>14.3195</v>
      </c>
      <c r="AG1311" s="2994">
        <v>14.682399999999999</v>
      </c>
      <c r="AH1311" s="2994">
        <v>12.294700000000001</v>
      </c>
      <c r="AI1311" s="2994">
        <v>15.915900000000001</v>
      </c>
      <c r="AJ1311" s="2994">
        <v>15.274699999999999</v>
      </c>
      <c r="AK1311" s="2994">
        <v>15.282500000000001</v>
      </c>
      <c r="AL1311" s="2994">
        <v>13.991099999999999</v>
      </c>
      <c r="AM1311" s="2994">
        <v>15.290800000000001</v>
      </c>
      <c r="AN1311" s="2994">
        <v>18.5365</v>
      </c>
      <c r="AO1311" s="2994">
        <v>17.9848</v>
      </c>
      <c r="AP1311" s="2994">
        <v>16.7437</v>
      </c>
      <c r="AQ1311" s="2994">
        <v>15.074999999999999</v>
      </c>
      <c r="AR1311" s="2994">
        <v>15.529199999999999</v>
      </c>
      <c r="AS1311" s="2994">
        <v>14.7521</v>
      </c>
      <c r="AT1311" s="2994">
        <v>15.203799999999999</v>
      </c>
      <c r="AU1311" s="2994">
        <v>15.764200000000001</v>
      </c>
      <c r="AV1311" s="2994">
        <v>14.345499999999999</v>
      </c>
      <c r="AW1311" s="2994">
        <v>15.510300000000001</v>
      </c>
      <c r="AX1311" s="2994">
        <v>18.757300000000001</v>
      </c>
      <c r="AY1311" s="2994">
        <v>17.575700000000001</v>
      </c>
      <c r="AZ1311" s="2994">
        <v>16.1404</v>
      </c>
      <c r="BA1311" s="2994">
        <v>17.649100000000001</v>
      </c>
      <c r="BB1311" s="2994">
        <v>18.022099999999998</v>
      </c>
      <c r="BC1311" s="2994">
        <v>16.936399999999999</v>
      </c>
      <c r="BD1311" s="3471">
        <v>18.6645</v>
      </c>
      <c r="BE1311" s="3471">
        <v>18.9129</v>
      </c>
      <c r="BF1311" s="3471">
        <v>0</v>
      </c>
    </row>
    <row r="1312" spans="1:58">
      <c r="A1312" s="1817" t="str">
        <f t="shared" si="41"/>
        <v>Eastern EuropeVegetables, leguminous nes</v>
      </c>
      <c r="B1312" s="1818" t="s">
        <v>302</v>
      </c>
      <c r="C1312" s="1818" t="s">
        <v>7387</v>
      </c>
      <c r="D1312" s="3463" t="str">
        <f>VLOOKUP(B1312,List_Yield!$G$4:$J$14,4,FALSE)</f>
        <v>Eastern Europe</v>
      </c>
      <c r="E1312" s="3463" t="str">
        <f t="shared" si="42"/>
        <v>Eastern EuropeVegetables, leguminous nes</v>
      </c>
      <c r="F1312" s="2994">
        <v>2.9639000000000002</v>
      </c>
      <c r="G1312" s="2994">
        <v>3.4981</v>
      </c>
      <c r="H1312" s="2994">
        <v>4.3010000000000002</v>
      </c>
      <c r="I1312" s="2994">
        <v>3.4843000000000002</v>
      </c>
      <c r="J1312" s="2994">
        <v>2.4885999999999999</v>
      </c>
      <c r="K1312" s="2994">
        <v>2.4744000000000002</v>
      </c>
      <c r="L1312" s="2994">
        <v>2.3778999999999999</v>
      </c>
      <c r="M1312" s="2994">
        <v>2.1880999999999999</v>
      </c>
      <c r="N1312" s="2994">
        <v>2.3224</v>
      </c>
      <c r="O1312" s="2994">
        <v>4.6803999999999997</v>
      </c>
      <c r="P1312" s="2994">
        <v>2.6122999999999998</v>
      </c>
      <c r="Q1312" s="2994">
        <v>3.1417999999999999</v>
      </c>
      <c r="R1312" s="2994">
        <v>3.1949000000000001</v>
      </c>
      <c r="S1312" s="2994">
        <v>2.9872000000000001</v>
      </c>
      <c r="T1312" s="2994">
        <v>2.8628</v>
      </c>
      <c r="U1312" s="2994">
        <v>2.9260999999999999</v>
      </c>
      <c r="V1312" s="2994">
        <v>2.8411</v>
      </c>
      <c r="W1312" s="2994">
        <v>2.6173000000000002</v>
      </c>
      <c r="X1312" s="2994">
        <v>3.105</v>
      </c>
      <c r="Y1312" s="2994">
        <v>2.9542999999999999</v>
      </c>
      <c r="Z1312" s="2994">
        <v>3.8151999999999999</v>
      </c>
      <c r="AA1312" s="2994">
        <v>4.3482000000000003</v>
      </c>
      <c r="AB1312" s="2994">
        <v>3.9443000000000001</v>
      </c>
      <c r="AC1312" s="2994">
        <v>4.0819000000000001</v>
      </c>
      <c r="AD1312" s="2994">
        <v>4.3483000000000001</v>
      </c>
      <c r="AE1312" s="2994">
        <v>4.7733999999999996</v>
      </c>
      <c r="AF1312" s="2994">
        <v>4.7398999999999996</v>
      </c>
      <c r="AG1312" s="2994">
        <v>4.3756000000000004</v>
      </c>
      <c r="AH1312" s="2994">
        <v>3.7189999999999999</v>
      </c>
      <c r="AI1312" s="2994">
        <v>6.2046000000000001</v>
      </c>
      <c r="AJ1312" s="2994">
        <v>6.3339999999999996</v>
      </c>
      <c r="AK1312" s="2994">
        <v>5.1784999999999997</v>
      </c>
      <c r="AL1312" s="2994">
        <v>6.2408999999999999</v>
      </c>
      <c r="AM1312" s="2994">
        <v>5.2199</v>
      </c>
      <c r="AN1312" s="2994">
        <v>5.3997000000000002</v>
      </c>
      <c r="AO1312" s="2994">
        <v>5.5411999999999999</v>
      </c>
      <c r="AP1312" s="2994">
        <v>6.0315000000000003</v>
      </c>
      <c r="AQ1312" s="2994">
        <v>5.3273999999999999</v>
      </c>
      <c r="AR1312" s="2994">
        <v>7.0266999999999999</v>
      </c>
      <c r="AS1312" s="2994">
        <v>5.7412999999999998</v>
      </c>
      <c r="AT1312" s="2994">
        <v>5.3440000000000003</v>
      </c>
      <c r="AU1312" s="2994">
        <v>5.9596999999999998</v>
      </c>
      <c r="AV1312" s="2994">
        <v>5.4317000000000002</v>
      </c>
      <c r="AW1312" s="2994">
        <v>7.3392999999999997</v>
      </c>
      <c r="AX1312" s="2994">
        <v>6.4157000000000002</v>
      </c>
      <c r="AY1312" s="2994">
        <v>5.0396000000000001</v>
      </c>
      <c r="AZ1312" s="2994">
        <v>5.7920999999999996</v>
      </c>
      <c r="BA1312" s="2994">
        <v>5.4950999999999999</v>
      </c>
      <c r="BB1312" s="2994">
        <v>5.8944999999999999</v>
      </c>
      <c r="BC1312" s="2994">
        <v>5.9573999999999998</v>
      </c>
      <c r="BD1312" s="3471">
        <v>6.0106999999999999</v>
      </c>
      <c r="BE1312" s="3471">
        <v>5.6772999999999998</v>
      </c>
      <c r="BF1312" s="3471">
        <v>0</v>
      </c>
    </row>
    <row r="1313" spans="1:58">
      <c r="A1313" s="1817" t="str">
        <f t="shared" si="41"/>
        <v>Eastern EuropeVetches</v>
      </c>
      <c r="B1313" s="1818" t="s">
        <v>302</v>
      </c>
      <c r="C1313" s="1818" t="s">
        <v>1382</v>
      </c>
      <c r="D1313" s="3463" t="str">
        <f>VLOOKUP(B1313,List_Yield!$G$4:$J$14,4,FALSE)</f>
        <v>Eastern Europe</v>
      </c>
      <c r="E1313" s="3463" t="str">
        <f t="shared" si="42"/>
        <v>Eastern EuropeVetches</v>
      </c>
      <c r="F1313" s="2994">
        <v>0.82189999999999996</v>
      </c>
      <c r="G1313" s="2994">
        <v>0.91010000000000002</v>
      </c>
      <c r="H1313" s="2994">
        <v>0.61980000000000002</v>
      </c>
      <c r="I1313" s="2994">
        <v>1.1094999999999999</v>
      </c>
      <c r="J1313" s="2994">
        <v>0.90800000000000003</v>
      </c>
      <c r="K1313" s="2994">
        <v>1.0422</v>
      </c>
      <c r="L1313" s="2994">
        <v>1.2008000000000001</v>
      </c>
      <c r="M1313" s="2994">
        <v>1.3007</v>
      </c>
      <c r="N1313" s="2994">
        <v>1.4472</v>
      </c>
      <c r="O1313" s="2994">
        <v>1.5395000000000001</v>
      </c>
      <c r="P1313" s="2994">
        <v>1.37</v>
      </c>
      <c r="Q1313" s="2994">
        <v>1.1496999999999999</v>
      </c>
      <c r="R1313" s="2994">
        <v>1.3092999999999999</v>
      </c>
      <c r="S1313" s="2994">
        <v>1.3985000000000001</v>
      </c>
      <c r="T1313" s="2994">
        <v>0.77429999999999999</v>
      </c>
      <c r="U1313" s="2994">
        <v>1.4409000000000001</v>
      </c>
      <c r="V1313" s="2994">
        <v>1.3708</v>
      </c>
      <c r="W1313" s="2994">
        <v>0.92910000000000004</v>
      </c>
      <c r="X1313" s="2994">
        <v>0.90939999999999999</v>
      </c>
      <c r="Y1313" s="2994">
        <v>1.0986</v>
      </c>
      <c r="Z1313" s="2994">
        <v>0.70669999999999999</v>
      </c>
      <c r="AA1313" s="2994">
        <v>1.1117999999999999</v>
      </c>
      <c r="AB1313" s="2994">
        <v>1.5165</v>
      </c>
      <c r="AC1313" s="2994">
        <v>1.3224</v>
      </c>
      <c r="AD1313" s="2994">
        <v>1.4736</v>
      </c>
      <c r="AE1313" s="2994">
        <v>1.2688999999999999</v>
      </c>
      <c r="AF1313" s="2994">
        <v>1.2411000000000001</v>
      </c>
      <c r="AG1313" s="2994">
        <v>1.2079</v>
      </c>
      <c r="AH1313" s="2994">
        <v>1.2721</v>
      </c>
      <c r="AI1313" s="2994">
        <v>1.2954000000000001</v>
      </c>
      <c r="AJ1313" s="2994">
        <v>1.0508</v>
      </c>
      <c r="AK1313" s="2994">
        <v>1.5232000000000001</v>
      </c>
      <c r="AL1313" s="2994">
        <v>1.294</v>
      </c>
      <c r="AM1313" s="2994">
        <v>1.4869000000000001</v>
      </c>
      <c r="AN1313" s="2994">
        <v>1.0474000000000001</v>
      </c>
      <c r="AO1313" s="2994">
        <v>1.1609</v>
      </c>
      <c r="AP1313" s="2994">
        <v>1.8088</v>
      </c>
      <c r="AQ1313" s="2994">
        <v>0.77559999999999996</v>
      </c>
      <c r="AR1313" s="2994">
        <v>0.95469999999999999</v>
      </c>
      <c r="AS1313" s="2994">
        <v>1.4959</v>
      </c>
      <c r="AT1313" s="2994">
        <v>2.2656999999999998</v>
      </c>
      <c r="AU1313" s="2994">
        <v>2.0341999999999998</v>
      </c>
      <c r="AV1313" s="2994">
        <v>1.7350000000000001</v>
      </c>
      <c r="AW1313" s="2994">
        <v>1.6761999999999999</v>
      </c>
      <c r="AX1313" s="2994">
        <v>1.6039000000000001</v>
      </c>
      <c r="AY1313" s="2994">
        <v>1.6793</v>
      </c>
      <c r="AZ1313" s="2994">
        <v>1.6072</v>
      </c>
      <c r="BA1313" s="2994">
        <v>1.9152</v>
      </c>
      <c r="BB1313" s="2994">
        <v>1.9582999999999999</v>
      </c>
      <c r="BC1313" s="2994">
        <v>1.3079000000000001</v>
      </c>
      <c r="BD1313" s="3471">
        <v>1.8540000000000001</v>
      </c>
      <c r="BE1313" s="3471">
        <v>1.5873999999999999</v>
      </c>
      <c r="BF1313" s="3471">
        <v>1.4481999999999999</v>
      </c>
    </row>
    <row r="1314" spans="1:58">
      <c r="A1314" s="1817" t="str">
        <f t="shared" si="41"/>
        <v>Eastern EuropeWalnuts, with shell</v>
      </c>
      <c r="B1314" s="1818" t="s">
        <v>302</v>
      </c>
      <c r="C1314" s="1818" t="s">
        <v>7388</v>
      </c>
      <c r="D1314" s="3463" t="str">
        <f>VLOOKUP(B1314,List_Yield!$G$4:$J$14,4,FALSE)</f>
        <v>Eastern Europe</v>
      </c>
      <c r="E1314" s="3463" t="str">
        <f t="shared" si="42"/>
        <v>Eastern EuropeWalnuts, with shell</v>
      </c>
      <c r="F1314" s="2994">
        <v>0</v>
      </c>
      <c r="G1314" s="2994">
        <v>0</v>
      </c>
      <c r="H1314" s="2994">
        <v>0</v>
      </c>
      <c r="I1314" s="2994">
        <v>0</v>
      </c>
      <c r="J1314" s="2994">
        <v>0</v>
      </c>
      <c r="K1314" s="2994">
        <v>0</v>
      </c>
      <c r="L1314" s="2994">
        <v>0</v>
      </c>
      <c r="M1314" s="2994">
        <v>0</v>
      </c>
      <c r="N1314" s="2994">
        <v>0</v>
      </c>
      <c r="O1314" s="2994">
        <v>0</v>
      </c>
      <c r="P1314" s="2994">
        <v>0</v>
      </c>
      <c r="Q1314" s="2994">
        <v>0</v>
      </c>
      <c r="R1314" s="2994">
        <v>0</v>
      </c>
      <c r="S1314" s="2994">
        <v>0</v>
      </c>
      <c r="T1314" s="2994">
        <v>0</v>
      </c>
      <c r="U1314" s="2994">
        <v>0</v>
      </c>
      <c r="V1314" s="2994">
        <v>0</v>
      </c>
      <c r="W1314" s="2994">
        <v>0</v>
      </c>
      <c r="X1314" s="2994">
        <v>0</v>
      </c>
      <c r="Y1314" s="2994">
        <v>0</v>
      </c>
      <c r="Z1314" s="2994">
        <v>0</v>
      </c>
      <c r="AA1314" s="2994">
        <v>0</v>
      </c>
      <c r="AB1314" s="2994">
        <v>0</v>
      </c>
      <c r="AC1314" s="2994">
        <v>0</v>
      </c>
      <c r="AD1314" s="2994">
        <v>2.2660999999999998</v>
      </c>
      <c r="AE1314" s="2994">
        <v>2.2881</v>
      </c>
      <c r="AF1314" s="2994">
        <v>2.2063000000000001</v>
      </c>
      <c r="AG1314" s="2994">
        <v>2.0969000000000002</v>
      </c>
      <c r="AH1314" s="2994">
        <v>2.2347999999999999</v>
      </c>
      <c r="AI1314" s="2994">
        <v>2.1985000000000001</v>
      </c>
      <c r="AJ1314" s="2994">
        <v>2.0577000000000001</v>
      </c>
      <c r="AK1314" s="2994">
        <v>2.0528</v>
      </c>
      <c r="AL1314" s="2994">
        <v>2.5091999999999999</v>
      </c>
      <c r="AM1314" s="2994">
        <v>2.2248000000000001</v>
      </c>
      <c r="AN1314" s="2994">
        <v>2.1829999999999998</v>
      </c>
      <c r="AO1314" s="2994">
        <v>2.4083000000000001</v>
      </c>
      <c r="AP1314" s="2994">
        <v>2.5257999999999998</v>
      </c>
      <c r="AQ1314" s="2994">
        <v>2.3736999999999999</v>
      </c>
      <c r="AR1314" s="2994">
        <v>2.1440000000000001</v>
      </c>
      <c r="AS1314" s="2994">
        <v>2.2564000000000002</v>
      </c>
      <c r="AT1314" s="2994">
        <v>2.6981999999999999</v>
      </c>
      <c r="AU1314" s="2994">
        <v>3.0234000000000001</v>
      </c>
      <c r="AV1314" s="2994">
        <v>3.4420000000000002</v>
      </c>
      <c r="AW1314" s="2994">
        <v>3.3450000000000002</v>
      </c>
      <c r="AX1314" s="2994">
        <v>3.9460000000000002</v>
      </c>
      <c r="AY1314" s="2994">
        <v>3.0283000000000002</v>
      </c>
      <c r="AZ1314" s="2994">
        <v>2.3332000000000002</v>
      </c>
      <c r="BA1314" s="2994">
        <v>2.8494000000000002</v>
      </c>
      <c r="BB1314" s="2994">
        <v>3.0148000000000001</v>
      </c>
      <c r="BC1314" s="2994">
        <v>2.3155999999999999</v>
      </c>
      <c r="BD1314" s="3471">
        <v>2.8161999999999998</v>
      </c>
      <c r="BE1314" s="3471">
        <v>2.8635000000000002</v>
      </c>
      <c r="BF1314" s="3471">
        <v>0</v>
      </c>
    </row>
    <row r="1315" spans="1:58">
      <c r="A1315" s="1817" t="str">
        <f t="shared" si="41"/>
        <v>Eastern EuropeWatermelons</v>
      </c>
      <c r="B1315" s="1818" t="s">
        <v>302</v>
      </c>
      <c r="C1315" s="1818" t="s">
        <v>7389</v>
      </c>
      <c r="D1315" s="3463" t="str">
        <f>VLOOKUP(B1315,List_Yield!$G$4:$J$14,4,FALSE)</f>
        <v>Eastern Europe</v>
      </c>
      <c r="E1315" s="3463" t="str">
        <f t="shared" si="42"/>
        <v>Eastern EuropeWatermelons</v>
      </c>
      <c r="F1315" s="2994">
        <v>4.2843999999999998</v>
      </c>
      <c r="G1315" s="2994">
        <v>5.0364000000000004</v>
      </c>
      <c r="H1315" s="2994">
        <v>5.3415999999999997</v>
      </c>
      <c r="I1315" s="2994">
        <v>6.3421000000000003</v>
      </c>
      <c r="J1315" s="2994">
        <v>5.4527999999999999</v>
      </c>
      <c r="K1315" s="2994">
        <v>6.2983000000000002</v>
      </c>
      <c r="L1315" s="2994">
        <v>6.5644999999999998</v>
      </c>
      <c r="M1315" s="2994">
        <v>6.0602</v>
      </c>
      <c r="N1315" s="2994">
        <v>5.7302</v>
      </c>
      <c r="O1315" s="2994">
        <v>5.9669999999999996</v>
      </c>
      <c r="P1315" s="2994">
        <v>6.3003999999999998</v>
      </c>
      <c r="Q1315" s="2994">
        <v>5.8041</v>
      </c>
      <c r="R1315" s="2994">
        <v>6.2195</v>
      </c>
      <c r="S1315" s="2994">
        <v>6.6043000000000003</v>
      </c>
      <c r="T1315" s="2994">
        <v>6.7287999999999997</v>
      </c>
      <c r="U1315" s="2994">
        <v>6.5655999999999999</v>
      </c>
      <c r="V1315" s="2994">
        <v>6.8419999999999996</v>
      </c>
      <c r="W1315" s="2994">
        <v>5.8775000000000004</v>
      </c>
      <c r="X1315" s="2994">
        <v>7.4462999999999999</v>
      </c>
      <c r="Y1315" s="2994">
        <v>9.8786000000000005</v>
      </c>
      <c r="Z1315" s="2994">
        <v>10.406499999999999</v>
      </c>
      <c r="AA1315" s="2994">
        <v>10.691599999999999</v>
      </c>
      <c r="AB1315" s="2994">
        <v>10.9314</v>
      </c>
      <c r="AC1315" s="2994">
        <v>10.3027</v>
      </c>
      <c r="AD1315" s="2994">
        <v>9.8238000000000003</v>
      </c>
      <c r="AE1315" s="2994">
        <v>9.9079999999999995</v>
      </c>
      <c r="AF1315" s="2994">
        <v>10.4991</v>
      </c>
      <c r="AG1315" s="2994">
        <v>10.5305</v>
      </c>
      <c r="AH1315" s="2994">
        <v>9.9770000000000003</v>
      </c>
      <c r="AI1315" s="2994">
        <v>10.733000000000001</v>
      </c>
      <c r="AJ1315" s="2994">
        <v>10.4236</v>
      </c>
      <c r="AK1315" s="2994">
        <v>5.9603000000000002</v>
      </c>
      <c r="AL1315" s="2994">
        <v>6.6687000000000003</v>
      </c>
      <c r="AM1315" s="2994">
        <v>6.4989999999999997</v>
      </c>
      <c r="AN1315" s="2994">
        <v>6.7102000000000004</v>
      </c>
      <c r="AO1315" s="2994">
        <v>5.5551000000000004</v>
      </c>
      <c r="AP1315" s="2994">
        <v>6.0216000000000003</v>
      </c>
      <c r="AQ1315" s="2994">
        <v>6.2679999999999998</v>
      </c>
      <c r="AR1315" s="2994">
        <v>8.1173999999999999</v>
      </c>
      <c r="AS1315" s="2994">
        <v>6.3234000000000004</v>
      </c>
      <c r="AT1315" s="2994">
        <v>8.0198</v>
      </c>
      <c r="AU1315" s="2994">
        <v>9.3084000000000007</v>
      </c>
      <c r="AV1315" s="2994">
        <v>10.023400000000001</v>
      </c>
      <c r="AW1315" s="2994">
        <v>10.717599999999999</v>
      </c>
      <c r="AX1315" s="2994">
        <v>11.2194</v>
      </c>
      <c r="AY1315" s="2994">
        <v>10.8226</v>
      </c>
      <c r="AZ1315" s="2994">
        <v>9</v>
      </c>
      <c r="BA1315" s="2994">
        <v>10.898099999999999</v>
      </c>
      <c r="BB1315" s="2994">
        <v>12.572100000000001</v>
      </c>
      <c r="BC1315" s="2994">
        <v>11.932499999999999</v>
      </c>
      <c r="BD1315" s="3471">
        <v>11.773</v>
      </c>
      <c r="BE1315" s="3471">
        <v>12.637499999999999</v>
      </c>
      <c r="BF1315" s="3471">
        <v>0</v>
      </c>
    </row>
    <row r="1316" spans="1:58">
      <c r="A1316" s="1817" t="str">
        <f t="shared" si="41"/>
        <v>Eastern EuropeWheat</v>
      </c>
      <c r="B1316" s="1818" t="s">
        <v>302</v>
      </c>
      <c r="C1316" s="1818" t="s">
        <v>1383</v>
      </c>
      <c r="D1316" s="3463" t="str">
        <f>VLOOKUP(B1316,List_Yield!$G$4:$J$14,4,FALSE)</f>
        <v>Eastern Europe</v>
      </c>
      <c r="E1316" s="3463" t="str">
        <f t="shared" si="42"/>
        <v>Eastern EuropeWheat</v>
      </c>
      <c r="F1316" s="2994">
        <v>1.0649999999999999</v>
      </c>
      <c r="G1316" s="2994">
        <v>1.0549999999999999</v>
      </c>
      <c r="H1316" s="2994">
        <v>0.8175</v>
      </c>
      <c r="I1316" s="2994">
        <v>1.0958000000000001</v>
      </c>
      <c r="J1316" s="2994">
        <v>0.93379999999999996</v>
      </c>
      <c r="K1316" s="2994">
        <v>1.4258999999999999</v>
      </c>
      <c r="L1316" s="2994">
        <v>1.2195</v>
      </c>
      <c r="M1316" s="2994">
        <v>1.4116</v>
      </c>
      <c r="N1316" s="2994">
        <v>1.2757000000000001</v>
      </c>
      <c r="O1316" s="2994">
        <v>1.5177</v>
      </c>
      <c r="P1316" s="2994">
        <v>1.5946</v>
      </c>
      <c r="Q1316" s="2994">
        <v>1.5588</v>
      </c>
      <c r="R1316" s="2994">
        <v>1.7889999999999999</v>
      </c>
      <c r="S1316" s="2994">
        <v>1.5296000000000001</v>
      </c>
      <c r="T1316" s="2994">
        <v>1.2016</v>
      </c>
      <c r="U1316" s="2994">
        <v>1.7402</v>
      </c>
      <c r="V1316" s="2994">
        <v>1.6131</v>
      </c>
      <c r="W1316" s="2994">
        <v>1.9901</v>
      </c>
      <c r="X1316" s="2994">
        <v>1.6192</v>
      </c>
      <c r="Y1316" s="2994">
        <v>1.7203999999999999</v>
      </c>
      <c r="Z1316" s="2994">
        <v>1.5078</v>
      </c>
      <c r="AA1316" s="2994">
        <v>1.6422000000000001</v>
      </c>
      <c r="AB1316" s="2994">
        <v>1.7038</v>
      </c>
      <c r="AC1316" s="2994">
        <v>1.6451</v>
      </c>
      <c r="AD1316" s="2994">
        <v>1.7344999999999999</v>
      </c>
      <c r="AE1316" s="2994">
        <v>2.0343</v>
      </c>
      <c r="AF1316" s="2994">
        <v>1.9710000000000001</v>
      </c>
      <c r="AG1316" s="2994">
        <v>2.0112000000000001</v>
      </c>
      <c r="AH1316" s="2994">
        <v>2.1821999999999999</v>
      </c>
      <c r="AI1316" s="2994">
        <v>2.4213</v>
      </c>
      <c r="AJ1316" s="2994">
        <v>1.9147000000000001</v>
      </c>
      <c r="AK1316" s="2994">
        <v>2.3616999999999999</v>
      </c>
      <c r="AL1316" s="2994">
        <v>2.3580999999999999</v>
      </c>
      <c r="AM1316" s="2994">
        <v>2.1158999999999999</v>
      </c>
      <c r="AN1316" s="2994">
        <v>2.1682000000000001</v>
      </c>
      <c r="AO1316" s="2994">
        <v>1.9805999999999999</v>
      </c>
      <c r="AP1316" s="2994">
        <v>2.3677999999999999</v>
      </c>
      <c r="AQ1316" s="2994">
        <v>2.09</v>
      </c>
      <c r="AR1316" s="2994">
        <v>2.0954000000000002</v>
      </c>
      <c r="AS1316" s="2994">
        <v>2.0160999999999998</v>
      </c>
      <c r="AT1316" s="2994">
        <v>2.5992000000000002</v>
      </c>
      <c r="AU1316" s="2994">
        <v>2.4904000000000002</v>
      </c>
      <c r="AV1316" s="2994">
        <v>1.94</v>
      </c>
      <c r="AW1316" s="2994">
        <v>2.6785000000000001</v>
      </c>
      <c r="AX1316" s="2994">
        <v>2.4697</v>
      </c>
      <c r="AY1316" s="2994">
        <v>2.3439999999999999</v>
      </c>
      <c r="AZ1316" s="2994">
        <v>2.347</v>
      </c>
      <c r="BA1316" s="2994">
        <v>3.0150999999999999</v>
      </c>
      <c r="BB1316" s="2994">
        <v>2.7042999999999999</v>
      </c>
      <c r="BC1316" s="2994">
        <v>2.4317000000000002</v>
      </c>
      <c r="BD1316" s="3471">
        <v>2.8279000000000001</v>
      </c>
      <c r="BE1316" s="3471">
        <v>2.3530000000000002</v>
      </c>
      <c r="BF1316" s="3471">
        <v>2.8757000000000001</v>
      </c>
    </row>
    <row r="1317" spans="1:58">
      <c r="A1317" s="1817" t="str">
        <f t="shared" si="41"/>
        <v>Eastern EuropeYams</v>
      </c>
      <c r="B1317" s="1818" t="s">
        <v>302</v>
      </c>
      <c r="C1317" s="1818" t="s">
        <v>7390</v>
      </c>
      <c r="D1317" s="3463" t="str">
        <f>VLOOKUP(B1317,List_Yield!$G$4:$J$14,4,FALSE)</f>
        <v>Eastern Europe</v>
      </c>
      <c r="E1317" s="3463" t="str">
        <f t="shared" si="42"/>
        <v>Eastern EuropeYams</v>
      </c>
      <c r="F1317" s="2994">
        <v>0</v>
      </c>
      <c r="G1317" s="2994">
        <v>0</v>
      </c>
      <c r="H1317" s="2994">
        <v>0</v>
      </c>
      <c r="I1317" s="2994">
        <v>0</v>
      </c>
      <c r="J1317" s="2994">
        <v>0</v>
      </c>
      <c r="K1317" s="2994">
        <v>0</v>
      </c>
      <c r="L1317" s="2994">
        <v>0</v>
      </c>
      <c r="M1317" s="2994">
        <v>0</v>
      </c>
      <c r="N1317" s="2994">
        <v>0</v>
      </c>
      <c r="O1317" s="2994">
        <v>0</v>
      </c>
      <c r="P1317" s="2994">
        <v>0</v>
      </c>
      <c r="Q1317" s="2994">
        <v>0</v>
      </c>
      <c r="R1317" s="2994">
        <v>0</v>
      </c>
      <c r="S1317" s="2994">
        <v>0</v>
      </c>
      <c r="T1317" s="2994">
        <v>0</v>
      </c>
      <c r="U1317" s="2994">
        <v>0</v>
      </c>
      <c r="V1317" s="2994">
        <v>0</v>
      </c>
      <c r="W1317" s="2994">
        <v>0</v>
      </c>
      <c r="X1317" s="2994">
        <v>0</v>
      </c>
      <c r="Y1317" s="2994">
        <v>0</v>
      </c>
      <c r="Z1317" s="2994">
        <v>0</v>
      </c>
      <c r="AA1317" s="2994">
        <v>0</v>
      </c>
      <c r="AB1317" s="2994">
        <v>0</v>
      </c>
      <c r="AC1317" s="2994">
        <v>0</v>
      </c>
      <c r="AD1317" s="2994">
        <v>0</v>
      </c>
      <c r="AE1317" s="2994">
        <v>0</v>
      </c>
      <c r="AF1317" s="2994">
        <v>0</v>
      </c>
      <c r="AG1317" s="2994">
        <v>0</v>
      </c>
      <c r="AH1317" s="2994">
        <v>0</v>
      </c>
      <c r="AI1317" s="2994">
        <v>0</v>
      </c>
      <c r="AJ1317" s="2994">
        <v>0</v>
      </c>
      <c r="AK1317" s="2994">
        <v>0</v>
      </c>
      <c r="AL1317" s="2994">
        <v>0</v>
      </c>
      <c r="AM1317" s="2994">
        <v>0</v>
      </c>
      <c r="AN1317" s="2994">
        <v>0</v>
      </c>
      <c r="AO1317" s="2994">
        <v>0</v>
      </c>
      <c r="AP1317" s="2994">
        <v>0</v>
      </c>
      <c r="AQ1317" s="2994">
        <v>0</v>
      </c>
      <c r="AR1317" s="2994">
        <v>0</v>
      </c>
      <c r="AS1317" s="2994">
        <v>0</v>
      </c>
      <c r="AT1317" s="2994">
        <v>0</v>
      </c>
      <c r="AU1317" s="2994">
        <v>0</v>
      </c>
      <c r="AV1317" s="2994">
        <v>0</v>
      </c>
      <c r="AW1317" s="2994">
        <v>0</v>
      </c>
      <c r="AX1317" s="2994">
        <v>0</v>
      </c>
      <c r="AY1317" s="2994">
        <v>0</v>
      </c>
      <c r="AZ1317" s="2994">
        <v>0</v>
      </c>
      <c r="BA1317" s="2994">
        <v>0</v>
      </c>
      <c r="BB1317" s="2994">
        <v>0</v>
      </c>
      <c r="BC1317" s="2994">
        <v>0</v>
      </c>
      <c r="BD1317" s="3471">
        <v>0</v>
      </c>
      <c r="BE1317" s="3471">
        <v>0</v>
      </c>
      <c r="BF1317" s="3471">
        <v>0</v>
      </c>
    </row>
    <row r="1318" spans="1:58">
      <c r="A1318" s="1817" t="str">
        <f t="shared" si="41"/>
        <v>Eastern EuropeYautia (cocoyam)</v>
      </c>
      <c r="B1318" s="1818" t="s">
        <v>302</v>
      </c>
      <c r="C1318" s="1818" t="s">
        <v>7391</v>
      </c>
      <c r="D1318" s="3463" t="str">
        <f>VLOOKUP(B1318,List_Yield!$G$4:$J$14,4,FALSE)</f>
        <v>Eastern Europe</v>
      </c>
      <c r="E1318" s="3463" t="str">
        <f t="shared" si="42"/>
        <v>Eastern EuropeYautia (cocoyam)</v>
      </c>
      <c r="F1318" s="2994">
        <v>0</v>
      </c>
      <c r="G1318" s="2994">
        <v>0</v>
      </c>
      <c r="H1318" s="2994">
        <v>0</v>
      </c>
      <c r="I1318" s="2994">
        <v>0</v>
      </c>
      <c r="J1318" s="2994">
        <v>0</v>
      </c>
      <c r="K1318" s="2994">
        <v>0</v>
      </c>
      <c r="L1318" s="2994">
        <v>0</v>
      </c>
      <c r="M1318" s="2994">
        <v>0</v>
      </c>
      <c r="N1318" s="2994">
        <v>0</v>
      </c>
      <c r="O1318" s="2994">
        <v>0</v>
      </c>
      <c r="P1318" s="2994">
        <v>0</v>
      </c>
      <c r="Q1318" s="2994">
        <v>0</v>
      </c>
      <c r="R1318" s="2994">
        <v>0</v>
      </c>
      <c r="S1318" s="2994">
        <v>0</v>
      </c>
      <c r="T1318" s="2994">
        <v>0</v>
      </c>
      <c r="U1318" s="2994">
        <v>0</v>
      </c>
      <c r="V1318" s="2994">
        <v>0</v>
      </c>
      <c r="W1318" s="2994">
        <v>0</v>
      </c>
      <c r="X1318" s="2994">
        <v>0</v>
      </c>
      <c r="Y1318" s="2994">
        <v>0</v>
      </c>
      <c r="Z1318" s="2994">
        <v>0</v>
      </c>
      <c r="AA1318" s="2994">
        <v>0</v>
      </c>
      <c r="AB1318" s="2994">
        <v>0</v>
      </c>
      <c r="AC1318" s="2994">
        <v>0</v>
      </c>
      <c r="AD1318" s="2994">
        <v>0</v>
      </c>
      <c r="AE1318" s="2994">
        <v>0</v>
      </c>
      <c r="AF1318" s="2994">
        <v>0</v>
      </c>
      <c r="AG1318" s="2994">
        <v>0</v>
      </c>
      <c r="AH1318" s="2994">
        <v>0</v>
      </c>
      <c r="AI1318" s="2994">
        <v>0</v>
      </c>
      <c r="AJ1318" s="2994">
        <v>0</v>
      </c>
      <c r="AK1318" s="2994">
        <v>0</v>
      </c>
      <c r="AL1318" s="2994">
        <v>0</v>
      </c>
      <c r="AM1318" s="2994">
        <v>0</v>
      </c>
      <c r="AN1318" s="2994">
        <v>0</v>
      </c>
      <c r="AO1318" s="2994">
        <v>0</v>
      </c>
      <c r="AP1318" s="2994">
        <v>0</v>
      </c>
      <c r="AQ1318" s="2994">
        <v>0</v>
      </c>
      <c r="AR1318" s="2994">
        <v>0</v>
      </c>
      <c r="AS1318" s="2994">
        <v>0</v>
      </c>
      <c r="AT1318" s="2994">
        <v>0</v>
      </c>
      <c r="AU1318" s="2994">
        <v>0</v>
      </c>
      <c r="AV1318" s="2994">
        <v>0</v>
      </c>
      <c r="AW1318" s="2994">
        <v>0</v>
      </c>
      <c r="AX1318" s="2994">
        <v>0</v>
      </c>
      <c r="AY1318" s="2994">
        <v>0</v>
      </c>
      <c r="AZ1318" s="2994">
        <v>0</v>
      </c>
      <c r="BA1318" s="2994">
        <v>0</v>
      </c>
      <c r="BB1318" s="2994">
        <v>0</v>
      </c>
      <c r="BC1318" s="2994">
        <v>0</v>
      </c>
      <c r="BD1318" s="3471">
        <v>0</v>
      </c>
      <c r="BE1318" s="3471">
        <v>0</v>
      </c>
      <c r="BF1318" s="3471">
        <v>0</v>
      </c>
    </row>
    <row r="1319" spans="1:58">
      <c r="A1319" s="1817" t="str">
        <f t="shared" si="41"/>
        <v>Eastern EuropeCereals,Total + (Total)</v>
      </c>
      <c r="B1319" s="1818" t="s">
        <v>302</v>
      </c>
      <c r="C1319" s="1818" t="s">
        <v>7231</v>
      </c>
      <c r="D1319" s="3463" t="str">
        <f>VLOOKUP(B1319,List_Yield!$G$4:$J$14,4,FALSE)</f>
        <v>Eastern Europe</v>
      </c>
      <c r="E1319" s="3463" t="str">
        <f t="shared" si="42"/>
        <v>Eastern EuropeCereals,Total + (Total)</v>
      </c>
      <c r="F1319" s="2994">
        <v>1.1365000000000001</v>
      </c>
      <c r="G1319" s="2994">
        <v>1.1364000000000001</v>
      </c>
      <c r="H1319" s="2994">
        <v>0.94810000000000005</v>
      </c>
      <c r="I1319" s="2994">
        <v>1.1923999999999999</v>
      </c>
      <c r="J1319" s="2994">
        <v>1.0628</v>
      </c>
      <c r="K1319" s="2994">
        <v>1.4303999999999999</v>
      </c>
      <c r="L1319" s="2994">
        <v>1.3072999999999999</v>
      </c>
      <c r="M1319" s="2994">
        <v>1.4557</v>
      </c>
      <c r="N1319" s="2994">
        <v>1.4279999999999999</v>
      </c>
      <c r="O1319" s="2994">
        <v>1.5823</v>
      </c>
      <c r="P1319" s="2994">
        <v>1.6431</v>
      </c>
      <c r="Q1319" s="2994">
        <v>1.5688</v>
      </c>
      <c r="R1319" s="2994">
        <v>1.8357000000000001</v>
      </c>
      <c r="S1319" s="2994">
        <v>1.6739999999999999</v>
      </c>
      <c r="T1319" s="2994">
        <v>1.3123</v>
      </c>
      <c r="U1319" s="2994">
        <v>1.8624000000000001</v>
      </c>
      <c r="V1319" s="2994">
        <v>1.6532</v>
      </c>
      <c r="W1319" s="2994">
        <v>1.9632000000000001</v>
      </c>
      <c r="X1319" s="2994">
        <v>1.5968</v>
      </c>
      <c r="Y1319" s="2994">
        <v>1.6738999999999999</v>
      </c>
      <c r="Z1319" s="2994">
        <v>1.4891000000000001</v>
      </c>
      <c r="AA1319" s="2994">
        <v>1.7603</v>
      </c>
      <c r="AB1319" s="2994">
        <v>1.7975000000000001</v>
      </c>
      <c r="AC1319" s="2994">
        <v>1.738</v>
      </c>
      <c r="AD1319" s="2994">
        <v>1.8395999999999999</v>
      </c>
      <c r="AE1319" s="2994">
        <v>2.0150999999999999</v>
      </c>
      <c r="AF1319" s="2994">
        <v>2.0017999999999998</v>
      </c>
      <c r="AG1319" s="2994">
        <v>1.9259999999999999</v>
      </c>
      <c r="AH1319" s="2994">
        <v>2.1347999999999998</v>
      </c>
      <c r="AI1319" s="2994">
        <v>2.2934000000000001</v>
      </c>
      <c r="AJ1319" s="2994">
        <v>1.9160999999999999</v>
      </c>
      <c r="AK1319" s="2994">
        <v>2.1429</v>
      </c>
      <c r="AL1319" s="2994">
        <v>2.1739000000000002</v>
      </c>
      <c r="AM1319" s="2994">
        <v>2.0367999999999999</v>
      </c>
      <c r="AN1319" s="2994">
        <v>1.9704999999999999</v>
      </c>
      <c r="AO1319" s="2994">
        <v>1.9083000000000001</v>
      </c>
      <c r="AP1319" s="2994">
        <v>2.3622999999999998</v>
      </c>
      <c r="AQ1319" s="2994">
        <v>2.0457000000000001</v>
      </c>
      <c r="AR1319" s="2994">
        <v>2.0962000000000001</v>
      </c>
      <c r="AS1319" s="2994">
        <v>1.9275</v>
      </c>
      <c r="AT1319" s="2994">
        <v>2.4834999999999998</v>
      </c>
      <c r="AU1319" s="2994">
        <v>2.4590000000000001</v>
      </c>
      <c r="AV1319" s="2994">
        <v>2.1187999999999998</v>
      </c>
      <c r="AW1319" s="2994">
        <v>2.7241</v>
      </c>
      <c r="AX1319" s="2994">
        <v>2.5381999999999998</v>
      </c>
      <c r="AY1319" s="2994">
        <v>2.3822999999999999</v>
      </c>
      <c r="AZ1319" s="2994">
        <v>2.2852999999999999</v>
      </c>
      <c r="BA1319" s="2994">
        <v>3.0036999999999998</v>
      </c>
      <c r="BB1319" s="2994">
        <v>2.7951000000000001</v>
      </c>
      <c r="BC1319" s="2994">
        <v>2.5960999999999999</v>
      </c>
      <c r="BD1319" s="3471">
        <v>3.0409999999999999</v>
      </c>
      <c r="BE1319" s="3471">
        <v>2.5728</v>
      </c>
      <c r="BF1319" s="3471">
        <v>3.1116000000000001</v>
      </c>
    </row>
    <row r="1320" spans="1:58">
      <c r="A1320" s="1817" t="str">
        <f t="shared" si="41"/>
        <v>Eastern EuropePulses,Total + (Total)</v>
      </c>
      <c r="B1320" s="1818" t="s">
        <v>302</v>
      </c>
      <c r="C1320" s="1818" t="s">
        <v>7228</v>
      </c>
      <c r="D1320" s="3463" t="str">
        <f>VLOOKUP(B1320,List_Yield!$G$4:$J$14,4,FALSE)</f>
        <v>Eastern Europe</v>
      </c>
      <c r="E1320" s="3463" t="str">
        <f t="shared" si="42"/>
        <v>Eastern EuropePulses,Total + (Total)</v>
      </c>
      <c r="F1320" s="2994">
        <v>0.69920000000000004</v>
      </c>
      <c r="G1320" s="2994">
        <v>0.82210000000000005</v>
      </c>
      <c r="H1320" s="2994">
        <v>0.62260000000000004</v>
      </c>
      <c r="I1320" s="2994">
        <v>0.83040000000000003</v>
      </c>
      <c r="J1320" s="2994">
        <v>0.78859999999999997</v>
      </c>
      <c r="K1320" s="2994">
        <v>0.90759999999999996</v>
      </c>
      <c r="L1320" s="2994">
        <v>0.9194</v>
      </c>
      <c r="M1320" s="2994">
        <v>1.0271999999999999</v>
      </c>
      <c r="N1320" s="2994">
        <v>1.1418999999999999</v>
      </c>
      <c r="O1320" s="2994">
        <v>1.1397999999999999</v>
      </c>
      <c r="P1320" s="2994">
        <v>1.0551999999999999</v>
      </c>
      <c r="Q1320" s="2994">
        <v>0.96589999999999998</v>
      </c>
      <c r="R1320" s="2994">
        <v>1.1324000000000001</v>
      </c>
      <c r="S1320" s="2994">
        <v>1.2136</v>
      </c>
      <c r="T1320" s="2994">
        <v>0.79490000000000005</v>
      </c>
      <c r="U1320" s="2994">
        <v>1.3324</v>
      </c>
      <c r="V1320" s="2994">
        <v>1.1939</v>
      </c>
      <c r="W1320" s="2994">
        <v>1.2941</v>
      </c>
      <c r="X1320" s="2994">
        <v>0.77890000000000004</v>
      </c>
      <c r="Y1320" s="2994">
        <v>1.1644000000000001</v>
      </c>
      <c r="Z1320" s="2994">
        <v>0.73860000000000003</v>
      </c>
      <c r="AA1320" s="2994">
        <v>1.1796</v>
      </c>
      <c r="AB1320" s="2994">
        <v>1.2447999999999999</v>
      </c>
      <c r="AC1320" s="2994">
        <v>1.1809000000000001</v>
      </c>
      <c r="AD1320" s="2994">
        <v>1.3433999999999999</v>
      </c>
      <c r="AE1320" s="2994">
        <v>1.0822000000000001</v>
      </c>
      <c r="AF1320" s="2994">
        <v>1.3838999999999999</v>
      </c>
      <c r="AG1320" s="2994">
        <v>1.2771999999999999</v>
      </c>
      <c r="AH1320" s="2994">
        <v>1.4501999999999999</v>
      </c>
      <c r="AI1320" s="2994">
        <v>1.653</v>
      </c>
      <c r="AJ1320" s="2994">
        <v>1.1541999999999999</v>
      </c>
      <c r="AK1320" s="2994">
        <v>1.6736</v>
      </c>
      <c r="AL1320" s="2994">
        <v>1.7696000000000001</v>
      </c>
      <c r="AM1320" s="2994">
        <v>1.6765000000000001</v>
      </c>
      <c r="AN1320" s="2994">
        <v>1.1927000000000001</v>
      </c>
      <c r="AO1320" s="2994">
        <v>1.3324</v>
      </c>
      <c r="AP1320" s="2994">
        <v>1.5694999999999999</v>
      </c>
      <c r="AQ1320" s="2994">
        <v>1.2838000000000001</v>
      </c>
      <c r="AR1320" s="2994">
        <v>1.2463</v>
      </c>
      <c r="AS1320" s="2994">
        <v>1.5178</v>
      </c>
      <c r="AT1320" s="2994">
        <v>1.9413</v>
      </c>
      <c r="AU1320" s="2994">
        <v>1.7670999999999999</v>
      </c>
      <c r="AV1320" s="2994">
        <v>1.4748000000000001</v>
      </c>
      <c r="AW1320" s="2994">
        <v>1.8782000000000001</v>
      </c>
      <c r="AX1320" s="2994">
        <v>1.7158</v>
      </c>
      <c r="AY1320" s="2994">
        <v>1.6728000000000001</v>
      </c>
      <c r="AZ1320" s="2994">
        <v>1.4091</v>
      </c>
      <c r="BA1320" s="2994">
        <v>1.9450000000000001</v>
      </c>
      <c r="BB1320" s="2994">
        <v>1.784</v>
      </c>
      <c r="BC1320" s="2994">
        <v>1.5553999999999999</v>
      </c>
      <c r="BD1320" s="3471">
        <v>1.7307999999999999</v>
      </c>
      <c r="BE1320" s="3471">
        <v>1.4943</v>
      </c>
      <c r="BF1320" s="3471">
        <v>1.379</v>
      </c>
    </row>
    <row r="1321" spans="1:58">
      <c r="A1321" s="1817" t="str">
        <f t="shared" si="41"/>
        <v>Eastern EuropeRoots and Tubers,Total + (Total)</v>
      </c>
      <c r="B1321" s="1818" t="s">
        <v>302</v>
      </c>
      <c r="C1321" s="1818" t="s">
        <v>7234</v>
      </c>
      <c r="D1321" s="3463" t="str">
        <f>VLOOKUP(B1321,List_Yield!$G$4:$J$14,4,FALSE)</f>
        <v>Eastern Europe</v>
      </c>
      <c r="E1321" s="3463" t="str">
        <f t="shared" si="42"/>
        <v>Eastern EuropeRoots and Tubers,Total + (Total)</v>
      </c>
      <c r="F1321" s="2994">
        <v>10.9191</v>
      </c>
      <c r="G1321" s="2994">
        <v>9.2685999999999993</v>
      </c>
      <c r="H1321" s="2994">
        <v>10.3073</v>
      </c>
      <c r="I1321" s="2994">
        <v>12.391</v>
      </c>
      <c r="J1321" s="2994">
        <v>11.4201</v>
      </c>
      <c r="K1321" s="2994">
        <v>12.0524</v>
      </c>
      <c r="L1321" s="2994">
        <v>12.875</v>
      </c>
      <c r="M1321" s="2994">
        <v>13.796099999999999</v>
      </c>
      <c r="N1321" s="2994">
        <v>12.545999999999999</v>
      </c>
      <c r="O1321" s="2994">
        <v>13.4137</v>
      </c>
      <c r="P1321" s="2994">
        <v>12.565099999999999</v>
      </c>
      <c r="Q1321" s="2994">
        <v>12.0776</v>
      </c>
      <c r="R1321" s="2994">
        <v>14.8095</v>
      </c>
      <c r="S1321" s="2994">
        <v>12.2781</v>
      </c>
      <c r="T1321" s="2994">
        <v>12.7906</v>
      </c>
      <c r="U1321" s="2994">
        <v>14.240500000000001</v>
      </c>
      <c r="V1321" s="2994">
        <v>13.2151</v>
      </c>
      <c r="W1321" s="2994">
        <v>14.237399999999999</v>
      </c>
      <c r="X1321" s="2994">
        <v>15.000299999999999</v>
      </c>
      <c r="Y1321" s="2994">
        <v>10.2956</v>
      </c>
      <c r="Z1321" s="2994">
        <v>12.847200000000001</v>
      </c>
      <c r="AA1321" s="2994">
        <v>12.480399999999999</v>
      </c>
      <c r="AB1321" s="2994">
        <v>13.197900000000001</v>
      </c>
      <c r="AC1321" s="2994">
        <v>14.0962</v>
      </c>
      <c r="AD1321" s="2994">
        <v>13.2402</v>
      </c>
      <c r="AE1321" s="2994">
        <v>15.187799999999999</v>
      </c>
      <c r="AF1321" s="2994">
        <v>13.766299999999999</v>
      </c>
      <c r="AG1321" s="2994">
        <v>12.2073</v>
      </c>
      <c r="AH1321" s="2994">
        <v>13.655200000000001</v>
      </c>
      <c r="AI1321" s="2994">
        <v>13.0341</v>
      </c>
      <c r="AJ1321" s="2994">
        <v>12.1012</v>
      </c>
      <c r="AK1321" s="2994">
        <v>12.007099999999999</v>
      </c>
      <c r="AL1321" s="2994">
        <v>14.141299999999999</v>
      </c>
      <c r="AM1321" s="2994">
        <v>11.233000000000001</v>
      </c>
      <c r="AN1321" s="2994">
        <v>12.5481</v>
      </c>
      <c r="AO1321" s="2994">
        <v>13.6729</v>
      </c>
      <c r="AP1321" s="2994">
        <v>11.899800000000001</v>
      </c>
      <c r="AQ1321" s="2994">
        <v>12.053900000000001</v>
      </c>
      <c r="AR1321" s="2994">
        <v>10.935499999999999</v>
      </c>
      <c r="AS1321" s="2994">
        <v>12.8116</v>
      </c>
      <c r="AT1321" s="2994">
        <v>12.164400000000001</v>
      </c>
      <c r="AU1321" s="2994">
        <v>12.0357</v>
      </c>
      <c r="AV1321" s="2994">
        <v>12.9194</v>
      </c>
      <c r="AW1321" s="2994">
        <v>13.887700000000001</v>
      </c>
      <c r="AX1321" s="2994">
        <v>13.487299999999999</v>
      </c>
      <c r="AY1321" s="2994">
        <v>13.914300000000001</v>
      </c>
      <c r="AZ1321" s="2994">
        <v>14.509499999999999</v>
      </c>
      <c r="BA1321" s="2994">
        <v>15.2226</v>
      </c>
      <c r="BB1321" s="2994">
        <v>15.185700000000001</v>
      </c>
      <c r="BC1321" s="2994">
        <v>13.013</v>
      </c>
      <c r="BD1321" s="3471">
        <v>16.577400000000001</v>
      </c>
      <c r="BE1321" s="3471">
        <v>15.6182</v>
      </c>
      <c r="BF1321" s="3471">
        <v>15.735300000000001</v>
      </c>
    </row>
    <row r="1322" spans="1:58">
      <c r="A1322" s="1817" t="str">
        <f t="shared" si="41"/>
        <v>Western EuropeAgave fibres nes</v>
      </c>
      <c r="B1322" s="1818" t="s">
        <v>301</v>
      </c>
      <c r="C1322" s="1818" t="s">
        <v>7282</v>
      </c>
      <c r="D1322" s="3463" t="str">
        <f>VLOOKUP(B1322,List_Yield!$G$4:$J$14,4,FALSE)</f>
        <v>Western Europe</v>
      </c>
      <c r="E1322" s="3463" t="str">
        <f t="shared" si="42"/>
        <v>Western EuropeAgave fibres nes</v>
      </c>
      <c r="F1322" s="2994">
        <v>0</v>
      </c>
      <c r="G1322" s="2994">
        <v>0</v>
      </c>
      <c r="H1322" s="2994">
        <v>0</v>
      </c>
      <c r="I1322" s="2994">
        <v>0</v>
      </c>
      <c r="J1322" s="2994">
        <v>0</v>
      </c>
      <c r="K1322" s="2994">
        <v>0</v>
      </c>
      <c r="L1322" s="2994">
        <v>0</v>
      </c>
      <c r="M1322" s="2994">
        <v>0</v>
      </c>
      <c r="N1322" s="2994">
        <v>0</v>
      </c>
      <c r="O1322" s="2994">
        <v>0</v>
      </c>
      <c r="P1322" s="2994">
        <v>0</v>
      </c>
      <c r="Q1322" s="2994">
        <v>0</v>
      </c>
      <c r="R1322" s="2994">
        <v>0</v>
      </c>
      <c r="S1322" s="2994">
        <v>0</v>
      </c>
      <c r="T1322" s="2994">
        <v>0</v>
      </c>
      <c r="U1322" s="2994">
        <v>0</v>
      </c>
      <c r="V1322" s="2994">
        <v>0</v>
      </c>
      <c r="W1322" s="2994">
        <v>0</v>
      </c>
      <c r="X1322" s="2994">
        <v>0</v>
      </c>
      <c r="Y1322" s="2994">
        <v>0</v>
      </c>
      <c r="Z1322" s="2994">
        <v>0</v>
      </c>
      <c r="AA1322" s="2994">
        <v>0</v>
      </c>
      <c r="AB1322" s="2994">
        <v>0</v>
      </c>
      <c r="AC1322" s="2994">
        <v>0</v>
      </c>
      <c r="AD1322" s="2994">
        <v>0</v>
      </c>
      <c r="AE1322" s="2994">
        <v>0</v>
      </c>
      <c r="AF1322" s="2994">
        <v>0</v>
      </c>
      <c r="AG1322" s="2994">
        <v>0</v>
      </c>
      <c r="AH1322" s="2994">
        <v>0</v>
      </c>
      <c r="AI1322" s="2994">
        <v>0</v>
      </c>
      <c r="AJ1322" s="2994">
        <v>0</v>
      </c>
      <c r="AK1322" s="2994">
        <v>0</v>
      </c>
      <c r="AL1322" s="2994">
        <v>0</v>
      </c>
      <c r="AM1322" s="2994">
        <v>0</v>
      </c>
      <c r="AN1322" s="2994">
        <v>0</v>
      </c>
      <c r="AO1322" s="2994">
        <v>0</v>
      </c>
      <c r="AP1322" s="2994">
        <v>0</v>
      </c>
      <c r="AQ1322" s="2994">
        <v>0</v>
      </c>
      <c r="AR1322" s="2994">
        <v>0</v>
      </c>
      <c r="AS1322" s="2994">
        <v>0</v>
      </c>
      <c r="AT1322" s="2994">
        <v>0</v>
      </c>
      <c r="AU1322" s="2994">
        <v>0</v>
      </c>
      <c r="AV1322" s="2994">
        <v>0</v>
      </c>
      <c r="AW1322" s="2994">
        <v>0</v>
      </c>
      <c r="AX1322" s="2994">
        <v>0</v>
      </c>
      <c r="AY1322" s="2994">
        <v>0</v>
      </c>
      <c r="AZ1322" s="2994">
        <v>0</v>
      </c>
      <c r="BA1322" s="2994">
        <v>0</v>
      </c>
      <c r="BB1322" s="2994">
        <v>0</v>
      </c>
      <c r="BC1322" s="2994">
        <v>0</v>
      </c>
      <c r="BD1322" s="3471">
        <v>0</v>
      </c>
      <c r="BE1322" s="3471">
        <v>0</v>
      </c>
      <c r="BF1322" s="3471">
        <v>0</v>
      </c>
    </row>
    <row r="1323" spans="1:58">
      <c r="A1323" s="1817" t="str">
        <f t="shared" si="41"/>
        <v>Western EuropeAlmonds, with shell</v>
      </c>
      <c r="B1323" s="1818" t="s">
        <v>301</v>
      </c>
      <c r="C1323" s="1818" t="s">
        <v>7283</v>
      </c>
      <c r="D1323" s="3463" t="str">
        <f>VLOOKUP(B1323,List_Yield!$G$4:$J$14,4,FALSE)</f>
        <v>Western Europe</v>
      </c>
      <c r="E1323" s="3463" t="str">
        <f t="shared" si="42"/>
        <v>Western EuropeAlmonds, with shell</v>
      </c>
      <c r="F1323" s="2994">
        <v>0</v>
      </c>
      <c r="G1323" s="2994">
        <v>0</v>
      </c>
      <c r="H1323" s="2994">
        <v>0</v>
      </c>
      <c r="I1323" s="2994">
        <v>0</v>
      </c>
      <c r="J1323" s="2994">
        <v>0</v>
      </c>
      <c r="K1323" s="2994">
        <v>0</v>
      </c>
      <c r="L1323" s="2994">
        <v>0</v>
      </c>
      <c r="M1323" s="2994">
        <v>0</v>
      </c>
      <c r="N1323" s="2994">
        <v>0</v>
      </c>
      <c r="O1323" s="2994">
        <v>0</v>
      </c>
      <c r="P1323" s="2994">
        <v>0</v>
      </c>
      <c r="Q1323" s="2994">
        <v>0</v>
      </c>
      <c r="R1323" s="2994">
        <v>0</v>
      </c>
      <c r="S1323" s="2994">
        <v>0</v>
      </c>
      <c r="T1323" s="2994">
        <v>0</v>
      </c>
      <c r="U1323" s="2994">
        <v>0</v>
      </c>
      <c r="V1323" s="2994">
        <v>0</v>
      </c>
      <c r="W1323" s="2994">
        <v>0</v>
      </c>
      <c r="X1323" s="2994">
        <v>0</v>
      </c>
      <c r="Y1323" s="2994">
        <v>0</v>
      </c>
      <c r="Z1323" s="2994">
        <v>0</v>
      </c>
      <c r="AA1323" s="2994">
        <v>0</v>
      </c>
      <c r="AB1323" s="2994">
        <v>0</v>
      </c>
      <c r="AC1323" s="2994">
        <v>0</v>
      </c>
      <c r="AD1323" s="2994">
        <v>2.3529</v>
      </c>
      <c r="AE1323" s="2994">
        <v>2.5234999999999999</v>
      </c>
      <c r="AF1323" s="2994">
        <v>2.6471</v>
      </c>
      <c r="AG1323" s="2994">
        <v>1.6471</v>
      </c>
      <c r="AH1323" s="2994">
        <v>2.1071</v>
      </c>
      <c r="AI1323" s="2994">
        <v>2.4706000000000001</v>
      </c>
      <c r="AJ1323" s="2994">
        <v>2.3222</v>
      </c>
      <c r="AK1323" s="2994">
        <v>2.8652000000000002</v>
      </c>
      <c r="AL1323" s="2994">
        <v>2.2185000000000001</v>
      </c>
      <c r="AM1323" s="2994">
        <v>2.3856000000000002</v>
      </c>
      <c r="AN1323" s="2994">
        <v>2.5979999999999999</v>
      </c>
      <c r="AO1323" s="2994">
        <v>3.14</v>
      </c>
      <c r="AP1323" s="2994">
        <v>3.6867000000000001</v>
      </c>
      <c r="AQ1323" s="2994">
        <v>3.7608999999999999</v>
      </c>
      <c r="AR1323" s="2994">
        <v>5.4222000000000001</v>
      </c>
      <c r="AS1323" s="2994">
        <v>4.2630999999999997</v>
      </c>
      <c r="AT1323" s="2994">
        <v>4.2784000000000004</v>
      </c>
      <c r="AU1323" s="2994">
        <v>4.25</v>
      </c>
      <c r="AV1323" s="2994">
        <v>3.0777000000000001</v>
      </c>
      <c r="AW1323" s="2994">
        <v>1.3332999999999999</v>
      </c>
      <c r="AX1323" s="2994">
        <v>1.4361999999999999</v>
      </c>
      <c r="AY1323" s="2994">
        <v>1.3535999999999999</v>
      </c>
      <c r="AZ1323" s="2994">
        <v>1.2304999999999999</v>
      </c>
      <c r="BA1323" s="2994">
        <v>0.81850000000000001</v>
      </c>
      <c r="BB1323" s="2994">
        <v>0.94589999999999996</v>
      </c>
      <c r="BC1323" s="2994">
        <v>0.58320000000000005</v>
      </c>
      <c r="BD1323" s="3471">
        <v>0.50600000000000001</v>
      </c>
      <c r="BE1323" s="3471">
        <v>0.82699999999999996</v>
      </c>
      <c r="BF1323" s="3471">
        <v>0</v>
      </c>
    </row>
    <row r="1324" spans="1:58">
      <c r="A1324" s="1817" t="str">
        <f t="shared" si="41"/>
        <v>Western EuropeAnise, badian, fennel, coriander</v>
      </c>
      <c r="B1324" s="1818" t="s">
        <v>301</v>
      </c>
      <c r="C1324" s="1818" t="s">
        <v>7284</v>
      </c>
      <c r="D1324" s="3463" t="str">
        <f>VLOOKUP(B1324,List_Yield!$G$4:$J$14,4,FALSE)</f>
        <v>Western Europe</v>
      </c>
      <c r="E1324" s="3463" t="str">
        <f t="shared" si="42"/>
        <v>Western EuropeAnise, badian, fennel, coriander</v>
      </c>
      <c r="F1324" s="2994">
        <v>1.4475</v>
      </c>
      <c r="G1324" s="2994">
        <v>1.7735000000000001</v>
      </c>
      <c r="H1324" s="2994">
        <v>1.5710999999999999</v>
      </c>
      <c r="I1324" s="2994">
        <v>1.7369000000000001</v>
      </c>
      <c r="J1324" s="2994">
        <v>1.0820000000000001</v>
      </c>
      <c r="K1324" s="2994">
        <v>1.5403</v>
      </c>
      <c r="L1324" s="2994">
        <v>1.371</v>
      </c>
      <c r="M1324" s="2994">
        <v>1.2974000000000001</v>
      </c>
      <c r="N1324" s="2994">
        <v>1.5750999999999999</v>
      </c>
      <c r="O1324" s="2994">
        <v>1.7759</v>
      </c>
      <c r="P1324" s="2994">
        <v>1.6950000000000001</v>
      </c>
      <c r="Q1324" s="2994">
        <v>1.0726</v>
      </c>
      <c r="R1324" s="2994">
        <v>1.3625</v>
      </c>
      <c r="S1324" s="2994">
        <v>1.3162</v>
      </c>
      <c r="T1324" s="2994">
        <v>1.4633</v>
      </c>
      <c r="U1324" s="2994">
        <v>1.5787</v>
      </c>
      <c r="V1324" s="2994">
        <v>1.4695</v>
      </c>
      <c r="W1324" s="2994">
        <v>1.8775999999999999</v>
      </c>
      <c r="X1324" s="2994">
        <v>1.2019</v>
      </c>
      <c r="Y1324" s="2994">
        <v>1.3917999999999999</v>
      </c>
      <c r="Z1324" s="2994">
        <v>1.2726</v>
      </c>
      <c r="AA1324" s="2994">
        <v>1.7844</v>
      </c>
      <c r="AB1324" s="2994">
        <v>1.3963000000000001</v>
      </c>
      <c r="AC1324" s="2994">
        <v>0.61460000000000004</v>
      </c>
      <c r="AD1324" s="2994">
        <v>1.3649</v>
      </c>
      <c r="AE1324" s="2994">
        <v>2</v>
      </c>
      <c r="AF1324" s="2994">
        <v>0.69930000000000003</v>
      </c>
      <c r="AG1324" s="2994">
        <v>1.4423999999999999</v>
      </c>
      <c r="AH1324" s="2994">
        <v>1.7350000000000001</v>
      </c>
      <c r="AI1324" s="2994">
        <v>1.462</v>
      </c>
      <c r="AJ1324" s="2994">
        <v>1.0903</v>
      </c>
      <c r="AK1324" s="2994">
        <v>1.5461</v>
      </c>
      <c r="AL1324" s="2994">
        <v>2</v>
      </c>
      <c r="AM1324" s="2994">
        <v>1.6667000000000001</v>
      </c>
      <c r="AN1324" s="2994">
        <v>1.1667000000000001</v>
      </c>
      <c r="AO1324" s="2994">
        <v>1.6667000000000001</v>
      </c>
      <c r="AP1324" s="2994">
        <v>1.5</v>
      </c>
      <c r="AQ1324" s="2994">
        <v>1</v>
      </c>
      <c r="AR1324" s="2994">
        <v>1.4513</v>
      </c>
      <c r="AS1324" s="2994">
        <v>1.2826</v>
      </c>
      <c r="AT1324" s="2994">
        <v>1.3332999999999999</v>
      </c>
      <c r="AU1324" s="2994">
        <v>1.3071999999999999</v>
      </c>
      <c r="AV1324" s="2994">
        <v>1.6435</v>
      </c>
      <c r="AW1324" s="2994">
        <v>1.1267</v>
      </c>
      <c r="AX1324" s="2994">
        <v>0.64600000000000002</v>
      </c>
      <c r="AY1324" s="2994">
        <v>1.5823</v>
      </c>
      <c r="AZ1324" s="2994">
        <v>1.75</v>
      </c>
      <c r="BA1324" s="2994">
        <v>1.7951999999999999</v>
      </c>
      <c r="BB1324" s="2994">
        <v>2.7153</v>
      </c>
      <c r="BC1324" s="2994">
        <v>2.5853999999999999</v>
      </c>
      <c r="BD1324" s="3471">
        <v>2.5952000000000002</v>
      </c>
      <c r="BE1324" s="3471">
        <v>2.6190000000000002</v>
      </c>
      <c r="BF1324" s="3471">
        <v>0</v>
      </c>
    </row>
    <row r="1325" spans="1:58">
      <c r="A1325" s="1817" t="str">
        <f t="shared" si="41"/>
        <v>Western EuropeApples</v>
      </c>
      <c r="B1325" s="1818" t="s">
        <v>301</v>
      </c>
      <c r="C1325" s="1818" t="s">
        <v>7285</v>
      </c>
      <c r="D1325" s="3463" t="str">
        <f>VLOOKUP(B1325,List_Yield!$G$4:$J$14,4,FALSE)</f>
        <v>Western Europe</v>
      </c>
      <c r="E1325" s="3463" t="str">
        <f t="shared" si="42"/>
        <v>Western EuropeApples</v>
      </c>
      <c r="F1325" s="2994">
        <v>39.887500000000003</v>
      </c>
      <c r="G1325" s="2994">
        <v>75.228200000000001</v>
      </c>
      <c r="H1325" s="2994">
        <v>53.479900000000001</v>
      </c>
      <c r="I1325" s="2994">
        <v>54.993200000000002</v>
      </c>
      <c r="J1325" s="2994">
        <v>54.921799999999998</v>
      </c>
      <c r="K1325" s="2994">
        <v>48.721600000000002</v>
      </c>
      <c r="L1325" s="2994">
        <v>83.325999999999993</v>
      </c>
      <c r="M1325" s="2994">
        <v>62.5685</v>
      </c>
      <c r="N1325" s="2994">
        <v>74.660899999999998</v>
      </c>
      <c r="O1325" s="2994">
        <v>73.894599999999997</v>
      </c>
      <c r="P1325" s="2994">
        <v>69.674499999999995</v>
      </c>
      <c r="Q1325" s="2994">
        <v>56.055799999999998</v>
      </c>
      <c r="R1325" s="2994">
        <v>75.897999999999996</v>
      </c>
      <c r="S1325" s="2994">
        <v>60.828299999999999</v>
      </c>
      <c r="T1325" s="2994">
        <v>80.340900000000005</v>
      </c>
      <c r="U1325" s="2994">
        <v>63.416800000000002</v>
      </c>
      <c r="V1325" s="2994">
        <v>48.956600000000002</v>
      </c>
      <c r="W1325" s="2994">
        <v>78.785700000000006</v>
      </c>
      <c r="X1325" s="2994">
        <v>79.940700000000007</v>
      </c>
      <c r="Y1325" s="2994">
        <v>80.597499999999997</v>
      </c>
      <c r="Z1325" s="2994">
        <v>42.980499999999999</v>
      </c>
      <c r="AA1325" s="2994">
        <v>85.706500000000005</v>
      </c>
      <c r="AB1325" s="2994">
        <v>64.431799999999996</v>
      </c>
      <c r="AC1325" s="2994">
        <v>68.613100000000003</v>
      </c>
      <c r="AD1325" s="2994">
        <v>21.589700000000001</v>
      </c>
      <c r="AE1325" s="2994">
        <v>27.487200000000001</v>
      </c>
      <c r="AF1325" s="2994">
        <v>21.557200000000002</v>
      </c>
      <c r="AG1325" s="2994">
        <v>29.845700000000001</v>
      </c>
      <c r="AH1325" s="2994">
        <v>26.3461</v>
      </c>
      <c r="AI1325" s="2994">
        <v>28.999400000000001</v>
      </c>
      <c r="AJ1325" s="2994">
        <v>19.639600000000002</v>
      </c>
      <c r="AK1325" s="2994">
        <v>37.865299999999998</v>
      </c>
      <c r="AL1325" s="2994">
        <v>31.384699999999999</v>
      </c>
      <c r="AM1325" s="2994">
        <v>31.832999999999998</v>
      </c>
      <c r="AN1325" s="2994">
        <v>30.741299999999999</v>
      </c>
      <c r="AO1325" s="2994">
        <v>31.9102</v>
      </c>
      <c r="AP1325" s="2994">
        <v>32.877400000000002</v>
      </c>
      <c r="AQ1325" s="2994">
        <v>34.650300000000001</v>
      </c>
      <c r="AR1325" s="2994">
        <v>35.105899999999998</v>
      </c>
      <c r="AS1325" s="2994">
        <v>31.319500000000001</v>
      </c>
      <c r="AT1325" s="2994">
        <v>33.888599999999997</v>
      </c>
      <c r="AU1325" s="2994">
        <v>32.186199999999999</v>
      </c>
      <c r="AV1325" s="2994">
        <v>35.2712</v>
      </c>
      <c r="AW1325" s="2994">
        <v>39.481200000000001</v>
      </c>
      <c r="AX1325" s="2994">
        <v>37.3506</v>
      </c>
      <c r="AY1325" s="2994">
        <v>38.639499999999998</v>
      </c>
      <c r="AZ1325" s="2994">
        <v>41.160899999999998</v>
      </c>
      <c r="BA1325" s="2994">
        <v>41.749899999999997</v>
      </c>
      <c r="BB1325" s="2994">
        <v>42.6023</v>
      </c>
      <c r="BC1325" s="2994">
        <v>39.771099999999997</v>
      </c>
      <c r="BD1325" s="3471">
        <v>42.787599999999998</v>
      </c>
      <c r="BE1325" s="3471">
        <v>36.231400000000001</v>
      </c>
      <c r="BF1325" s="3471">
        <v>0</v>
      </c>
    </row>
    <row r="1326" spans="1:58">
      <c r="A1326" s="1817" t="str">
        <f t="shared" si="41"/>
        <v>Western EuropeApricots</v>
      </c>
      <c r="B1326" s="1818" t="s">
        <v>301</v>
      </c>
      <c r="C1326" s="1818" t="s">
        <v>7286</v>
      </c>
      <c r="D1326" s="3463" t="str">
        <f>VLOOKUP(B1326,List_Yield!$G$4:$J$14,4,FALSE)</f>
        <v>Western Europe</v>
      </c>
      <c r="E1326" s="3463" t="str">
        <f t="shared" si="42"/>
        <v>Western EuropeApricots</v>
      </c>
      <c r="F1326" s="2994">
        <v>13.8215</v>
      </c>
      <c r="G1326" s="2994">
        <v>7.3446999999999996</v>
      </c>
      <c r="H1326" s="2994">
        <v>20.131499999999999</v>
      </c>
      <c r="I1326" s="2994">
        <v>5.8010999999999999</v>
      </c>
      <c r="J1326" s="2994">
        <v>11.280200000000001</v>
      </c>
      <c r="K1326" s="2994">
        <v>5.7881</v>
      </c>
      <c r="L1326" s="2994">
        <v>12.4916</v>
      </c>
      <c r="M1326" s="2994">
        <v>14.6639</v>
      </c>
      <c r="N1326" s="2994">
        <v>7.9074</v>
      </c>
      <c r="O1326" s="2994">
        <v>10.691800000000001</v>
      </c>
      <c r="P1326" s="2994">
        <v>9.3727999999999998</v>
      </c>
      <c r="Q1326" s="2994">
        <v>8.5821000000000005</v>
      </c>
      <c r="R1326" s="2994">
        <v>13.145200000000001</v>
      </c>
      <c r="S1326" s="2994">
        <v>5.8391999999999999</v>
      </c>
      <c r="T1326" s="2994">
        <v>5.0488999999999997</v>
      </c>
      <c r="U1326" s="2994">
        <v>11.417299999999999</v>
      </c>
      <c r="V1326" s="2994">
        <v>5.9645999999999999</v>
      </c>
      <c r="W1326" s="2994">
        <v>7.3719999999999999</v>
      </c>
      <c r="X1326" s="2994">
        <v>5.3517999999999999</v>
      </c>
      <c r="Y1326" s="2994">
        <v>7.7629999999999999</v>
      </c>
      <c r="Z1326" s="2994">
        <v>7.8155000000000001</v>
      </c>
      <c r="AA1326" s="2994">
        <v>8.0334000000000003</v>
      </c>
      <c r="AB1326" s="2994">
        <v>10.3141</v>
      </c>
      <c r="AC1326" s="2994">
        <v>8.4138000000000002</v>
      </c>
      <c r="AD1326" s="2994">
        <v>7.8364000000000003</v>
      </c>
      <c r="AE1326" s="2994">
        <v>8.1105</v>
      </c>
      <c r="AF1326" s="2994">
        <v>7.0926999999999998</v>
      </c>
      <c r="AG1326" s="2994">
        <v>6.3311999999999999</v>
      </c>
      <c r="AH1326" s="2994">
        <v>9.0122</v>
      </c>
      <c r="AI1326" s="2994">
        <v>8.4738000000000007</v>
      </c>
      <c r="AJ1326" s="2994">
        <v>8.2256999999999998</v>
      </c>
      <c r="AK1326" s="2994">
        <v>12.611000000000001</v>
      </c>
      <c r="AL1326" s="2994">
        <v>5.7233000000000001</v>
      </c>
      <c r="AM1326" s="2994">
        <v>10.7477</v>
      </c>
      <c r="AN1326" s="2994">
        <v>7.3742999999999999</v>
      </c>
      <c r="AO1326" s="2994">
        <v>11.4396</v>
      </c>
      <c r="AP1326" s="2994">
        <v>10.2873</v>
      </c>
      <c r="AQ1326" s="2994">
        <v>5.5080999999999998</v>
      </c>
      <c r="AR1326" s="2994">
        <v>12.214</v>
      </c>
      <c r="AS1326" s="2994">
        <v>9.4398999999999997</v>
      </c>
      <c r="AT1326" s="2994">
        <v>6.8813000000000004</v>
      </c>
      <c r="AU1326" s="2994">
        <v>11.384399999999999</v>
      </c>
      <c r="AV1326" s="2994">
        <v>8.8171999999999997</v>
      </c>
      <c r="AW1326" s="2994">
        <v>11.589600000000001</v>
      </c>
      <c r="AX1326" s="2994">
        <v>12.9871</v>
      </c>
      <c r="AY1326" s="2994">
        <v>13.968</v>
      </c>
      <c r="AZ1326" s="2994">
        <v>9.6019000000000005</v>
      </c>
      <c r="BA1326" s="2994">
        <v>7.5896999999999997</v>
      </c>
      <c r="BB1326" s="2994">
        <v>14.720599999999999</v>
      </c>
      <c r="BC1326" s="2994">
        <v>10.873100000000001</v>
      </c>
      <c r="BD1326" s="3471">
        <v>12.385</v>
      </c>
      <c r="BE1326" s="3471">
        <v>13.723699999999999</v>
      </c>
      <c r="BF1326" s="3471">
        <v>0</v>
      </c>
    </row>
    <row r="1327" spans="1:58">
      <c r="A1327" s="1817" t="str">
        <f t="shared" si="41"/>
        <v>Western EuropeAreca nuts</v>
      </c>
      <c r="B1327" s="1818" t="s">
        <v>301</v>
      </c>
      <c r="C1327" s="1818" t="s">
        <v>7287</v>
      </c>
      <c r="D1327" s="3463" t="str">
        <f>VLOOKUP(B1327,List_Yield!$G$4:$J$14,4,FALSE)</f>
        <v>Western Europe</v>
      </c>
      <c r="E1327" s="3463" t="str">
        <f t="shared" si="42"/>
        <v>Western EuropeAreca nuts</v>
      </c>
      <c r="F1327" s="2994">
        <v>0</v>
      </c>
      <c r="G1327" s="2994">
        <v>0</v>
      </c>
      <c r="H1327" s="2994">
        <v>0</v>
      </c>
      <c r="I1327" s="2994">
        <v>0</v>
      </c>
      <c r="J1327" s="2994">
        <v>0</v>
      </c>
      <c r="K1327" s="2994">
        <v>0</v>
      </c>
      <c r="L1327" s="2994">
        <v>0</v>
      </c>
      <c r="M1327" s="2994">
        <v>0</v>
      </c>
      <c r="N1327" s="2994">
        <v>0</v>
      </c>
      <c r="O1327" s="2994">
        <v>0</v>
      </c>
      <c r="P1327" s="2994">
        <v>0</v>
      </c>
      <c r="Q1327" s="2994">
        <v>0</v>
      </c>
      <c r="R1327" s="2994">
        <v>0</v>
      </c>
      <c r="S1327" s="2994">
        <v>0</v>
      </c>
      <c r="T1327" s="2994">
        <v>0</v>
      </c>
      <c r="U1327" s="2994">
        <v>0</v>
      </c>
      <c r="V1327" s="2994">
        <v>0</v>
      </c>
      <c r="W1327" s="2994">
        <v>0</v>
      </c>
      <c r="X1327" s="2994">
        <v>0</v>
      </c>
      <c r="Y1327" s="2994">
        <v>0</v>
      </c>
      <c r="Z1327" s="2994">
        <v>0</v>
      </c>
      <c r="AA1327" s="2994">
        <v>0</v>
      </c>
      <c r="AB1327" s="2994">
        <v>0</v>
      </c>
      <c r="AC1327" s="2994">
        <v>0</v>
      </c>
      <c r="AD1327" s="2994">
        <v>0</v>
      </c>
      <c r="AE1327" s="2994">
        <v>0</v>
      </c>
      <c r="AF1327" s="2994">
        <v>0</v>
      </c>
      <c r="AG1327" s="2994">
        <v>0</v>
      </c>
      <c r="AH1327" s="2994">
        <v>0</v>
      </c>
      <c r="AI1327" s="2994">
        <v>0</v>
      </c>
      <c r="AJ1327" s="2994">
        <v>0</v>
      </c>
      <c r="AK1327" s="2994">
        <v>0</v>
      </c>
      <c r="AL1327" s="2994">
        <v>0</v>
      </c>
      <c r="AM1327" s="2994">
        <v>0</v>
      </c>
      <c r="AN1327" s="2994">
        <v>0</v>
      </c>
      <c r="AO1327" s="2994">
        <v>0</v>
      </c>
      <c r="AP1327" s="2994">
        <v>0</v>
      </c>
      <c r="AQ1327" s="2994">
        <v>0</v>
      </c>
      <c r="AR1327" s="2994">
        <v>0</v>
      </c>
      <c r="AS1327" s="2994">
        <v>0</v>
      </c>
      <c r="AT1327" s="2994">
        <v>0</v>
      </c>
      <c r="AU1327" s="2994">
        <v>0</v>
      </c>
      <c r="AV1327" s="2994">
        <v>0</v>
      </c>
      <c r="AW1327" s="2994">
        <v>0</v>
      </c>
      <c r="AX1327" s="2994">
        <v>0</v>
      </c>
      <c r="AY1327" s="2994">
        <v>0</v>
      </c>
      <c r="AZ1327" s="2994">
        <v>0</v>
      </c>
      <c r="BA1327" s="2994">
        <v>0</v>
      </c>
      <c r="BB1327" s="2994">
        <v>0</v>
      </c>
      <c r="BC1327" s="2994">
        <v>0</v>
      </c>
      <c r="BD1327" s="3471">
        <v>0</v>
      </c>
      <c r="BE1327" s="3471">
        <v>0</v>
      </c>
      <c r="BF1327" s="3471">
        <v>0</v>
      </c>
    </row>
    <row r="1328" spans="1:58">
      <c r="A1328" s="1817" t="str">
        <f t="shared" si="41"/>
        <v>Western EuropeArtichokes</v>
      </c>
      <c r="B1328" s="1818" t="s">
        <v>301</v>
      </c>
      <c r="C1328" s="1818" t="s">
        <v>7288</v>
      </c>
      <c r="D1328" s="3463" t="str">
        <f>VLOOKUP(B1328,List_Yield!$G$4:$J$14,4,FALSE)</f>
        <v>Western Europe</v>
      </c>
      <c r="E1328" s="3463" t="str">
        <f t="shared" si="42"/>
        <v>Western EuropeArtichokes</v>
      </c>
      <c r="F1328" s="2994">
        <v>7.9565999999999999</v>
      </c>
      <c r="G1328" s="2994">
        <v>7.6420000000000003</v>
      </c>
      <c r="H1328" s="2994">
        <v>5.8105000000000002</v>
      </c>
      <c r="I1328" s="2994">
        <v>7.0749000000000004</v>
      </c>
      <c r="J1328" s="2994">
        <v>7.4569000000000001</v>
      </c>
      <c r="K1328" s="2994">
        <v>7.3212000000000002</v>
      </c>
      <c r="L1328" s="2994">
        <v>6.6231999999999998</v>
      </c>
      <c r="M1328" s="2994">
        <v>8.1440999999999999</v>
      </c>
      <c r="N1328" s="2994">
        <v>8.2126000000000001</v>
      </c>
      <c r="O1328" s="2994">
        <v>7.4012000000000002</v>
      </c>
      <c r="P1328" s="2994">
        <v>8.1252999999999993</v>
      </c>
      <c r="Q1328" s="2994">
        <v>7.9611999999999998</v>
      </c>
      <c r="R1328" s="2994">
        <v>7.4265999999999996</v>
      </c>
      <c r="S1328" s="2994">
        <v>7.3540000000000001</v>
      </c>
      <c r="T1328" s="2994">
        <v>6.2914000000000003</v>
      </c>
      <c r="U1328" s="2994">
        <v>5.6840999999999999</v>
      </c>
      <c r="V1328" s="2994">
        <v>7.6734999999999998</v>
      </c>
      <c r="W1328" s="2994">
        <v>6.8419999999999996</v>
      </c>
      <c r="X1328" s="2994">
        <v>7.1738</v>
      </c>
      <c r="Y1328" s="2994">
        <v>7.0749000000000004</v>
      </c>
      <c r="Z1328" s="2994">
        <v>6.8648999999999996</v>
      </c>
      <c r="AA1328" s="2994">
        <v>6.0275999999999996</v>
      </c>
      <c r="AB1328" s="2994">
        <v>5.2112999999999996</v>
      </c>
      <c r="AC1328" s="2994">
        <v>5.5034999999999998</v>
      </c>
      <c r="AD1328" s="2994">
        <v>4.0888999999999998</v>
      </c>
      <c r="AE1328" s="2994">
        <v>5.0571000000000002</v>
      </c>
      <c r="AF1328" s="2994">
        <v>2.7614999999999998</v>
      </c>
      <c r="AG1328" s="2994">
        <v>6.1753</v>
      </c>
      <c r="AH1328" s="2994">
        <v>6.0130999999999997</v>
      </c>
      <c r="AI1328" s="2994">
        <v>6.4452999999999996</v>
      </c>
      <c r="AJ1328" s="2994">
        <v>6.8428000000000004</v>
      </c>
      <c r="AK1328" s="2994">
        <v>5.8742000000000001</v>
      </c>
      <c r="AL1328" s="2994">
        <v>5.4288999999999996</v>
      </c>
      <c r="AM1328" s="2994">
        <v>5.3521999999999998</v>
      </c>
      <c r="AN1328" s="2994">
        <v>4.5464000000000002</v>
      </c>
      <c r="AO1328" s="2994">
        <v>5.5514000000000001</v>
      </c>
      <c r="AP1328" s="2994">
        <v>5.4676</v>
      </c>
      <c r="AQ1328" s="2994">
        <v>6.2606999999999999</v>
      </c>
      <c r="AR1328" s="2994">
        <v>5.7077999999999998</v>
      </c>
      <c r="AS1328" s="2994">
        <v>5.3798000000000004</v>
      </c>
      <c r="AT1328" s="2994">
        <v>5.0827999999999998</v>
      </c>
      <c r="AU1328" s="2994">
        <v>6.4847999999999999</v>
      </c>
      <c r="AV1328" s="2994">
        <v>4.8117000000000001</v>
      </c>
      <c r="AW1328" s="2994">
        <v>5.8118999999999996</v>
      </c>
      <c r="AX1328" s="2994">
        <v>4.9268999999999998</v>
      </c>
      <c r="AY1328" s="2994">
        <v>5.1936999999999998</v>
      </c>
      <c r="AZ1328" s="2994">
        <v>4.7789999999999999</v>
      </c>
      <c r="BA1328" s="2994">
        <v>4.7356999999999996</v>
      </c>
      <c r="BB1328" s="2994">
        <v>5.9634999999999998</v>
      </c>
      <c r="BC1328" s="2994">
        <v>5.649</v>
      </c>
      <c r="BD1328" s="3471">
        <v>6.4691999999999998</v>
      </c>
      <c r="BE1328" s="3471">
        <v>5.5016999999999996</v>
      </c>
      <c r="BF1328" s="3471">
        <v>0</v>
      </c>
    </row>
    <row r="1329" spans="1:58">
      <c r="A1329" s="1817" t="str">
        <f t="shared" si="41"/>
        <v>Western EuropeAsparagus</v>
      </c>
      <c r="B1329" s="1818" t="s">
        <v>301</v>
      </c>
      <c r="C1329" s="1818" t="s">
        <v>7289</v>
      </c>
      <c r="D1329" s="3463" t="str">
        <f>VLOOKUP(B1329,List_Yield!$G$4:$J$14,4,FALSE)</f>
        <v>Western Europe</v>
      </c>
      <c r="E1329" s="3463" t="str">
        <f t="shared" si="42"/>
        <v>Western EuropeAsparagus</v>
      </c>
      <c r="F1329" s="2994">
        <v>3.3178999999999998</v>
      </c>
      <c r="G1329" s="2994">
        <v>2.9470000000000001</v>
      </c>
      <c r="H1329" s="2994">
        <v>3.0243000000000002</v>
      </c>
      <c r="I1329" s="2994">
        <v>3.0167000000000002</v>
      </c>
      <c r="J1329" s="2994">
        <v>2.7664</v>
      </c>
      <c r="K1329" s="2994">
        <v>3.0015999999999998</v>
      </c>
      <c r="L1329" s="2994">
        <v>2.6469999999999998</v>
      </c>
      <c r="M1329" s="2994">
        <v>3.2852999999999999</v>
      </c>
      <c r="N1329" s="2994">
        <v>3.2477999999999998</v>
      </c>
      <c r="O1329" s="2994">
        <v>3.3990999999999998</v>
      </c>
      <c r="P1329" s="2994">
        <v>3.5289999999999999</v>
      </c>
      <c r="Q1329" s="2994">
        <v>3.1427</v>
      </c>
      <c r="R1329" s="2994">
        <v>3.2816999999999998</v>
      </c>
      <c r="S1329" s="2994">
        <v>3.2210000000000001</v>
      </c>
      <c r="T1329" s="2994">
        <v>2.9937999999999998</v>
      </c>
      <c r="U1329" s="2994">
        <v>2.9556</v>
      </c>
      <c r="V1329" s="2994">
        <v>2.7561</v>
      </c>
      <c r="W1329" s="2994">
        <v>2.7759999999999998</v>
      </c>
      <c r="X1329" s="2994">
        <v>2.7963</v>
      </c>
      <c r="Y1329" s="2994">
        <v>2.7463000000000002</v>
      </c>
      <c r="Z1329" s="2994">
        <v>2.9624999999999999</v>
      </c>
      <c r="AA1329" s="2994">
        <v>3.0847000000000002</v>
      </c>
      <c r="AB1329" s="2994">
        <v>3.1149</v>
      </c>
      <c r="AC1329" s="2994">
        <v>3.2336999999999998</v>
      </c>
      <c r="AD1329" s="2994">
        <v>3.3782999999999999</v>
      </c>
      <c r="AE1329" s="2994">
        <v>3.4112</v>
      </c>
      <c r="AF1329" s="2994">
        <v>3.4781</v>
      </c>
      <c r="AG1329" s="2994">
        <v>3.3915999999999999</v>
      </c>
      <c r="AH1329" s="2994">
        <v>3.3331</v>
      </c>
      <c r="AI1329" s="2994">
        <v>3.1252</v>
      </c>
      <c r="AJ1329" s="2994">
        <v>2.9514</v>
      </c>
      <c r="AK1329" s="2994">
        <v>3.8826999999999998</v>
      </c>
      <c r="AL1329" s="2994">
        <v>3.9487000000000001</v>
      </c>
      <c r="AM1329" s="2994">
        <v>3.4552</v>
      </c>
      <c r="AN1329" s="2994">
        <v>3.3883000000000001</v>
      </c>
      <c r="AO1329" s="2994">
        <v>3.1095000000000002</v>
      </c>
      <c r="AP1329" s="2994">
        <v>3.2839</v>
      </c>
      <c r="AQ1329" s="2994">
        <v>3.7166000000000001</v>
      </c>
      <c r="AR1329" s="2994">
        <v>3.7791000000000001</v>
      </c>
      <c r="AS1329" s="2994">
        <v>4.1276000000000002</v>
      </c>
      <c r="AT1329" s="2994">
        <v>3.7871999999999999</v>
      </c>
      <c r="AU1329" s="2994">
        <v>4.0101000000000004</v>
      </c>
      <c r="AV1329" s="2994">
        <v>4.1822999999999997</v>
      </c>
      <c r="AW1329" s="2994">
        <v>4.3090999999999999</v>
      </c>
      <c r="AX1329" s="2994">
        <v>4.4667000000000003</v>
      </c>
      <c r="AY1329" s="2994">
        <v>4.2306999999999997</v>
      </c>
      <c r="AZ1329" s="2994">
        <v>4.8285999999999998</v>
      </c>
      <c r="BA1329" s="2994">
        <v>4.8173000000000004</v>
      </c>
      <c r="BB1329" s="2994">
        <v>5.2004000000000001</v>
      </c>
      <c r="BC1329" s="2994">
        <v>4.8186</v>
      </c>
      <c r="BD1329" s="3471">
        <v>5.4958999999999998</v>
      </c>
      <c r="BE1329" s="3471">
        <v>5.2291999999999996</v>
      </c>
      <c r="BF1329" s="3471">
        <v>0</v>
      </c>
    </row>
    <row r="1330" spans="1:58">
      <c r="A1330" s="1817" t="str">
        <f t="shared" si="41"/>
        <v>Western EuropeAvocados</v>
      </c>
      <c r="B1330" s="1818" t="s">
        <v>301</v>
      </c>
      <c r="C1330" s="1818" t="s">
        <v>7290</v>
      </c>
      <c r="D1330" s="3463" t="str">
        <f>VLOOKUP(B1330,List_Yield!$G$4:$J$14,4,FALSE)</f>
        <v>Western Europe</v>
      </c>
      <c r="E1330" s="3463" t="str">
        <f t="shared" si="42"/>
        <v>Western EuropeAvocados</v>
      </c>
      <c r="F1330" s="2994">
        <v>0</v>
      </c>
      <c r="G1330" s="2994">
        <v>0</v>
      </c>
      <c r="H1330" s="2994">
        <v>0</v>
      </c>
      <c r="I1330" s="2994">
        <v>0</v>
      </c>
      <c r="J1330" s="2994">
        <v>0</v>
      </c>
      <c r="K1330" s="2994">
        <v>0</v>
      </c>
      <c r="L1330" s="2994">
        <v>0</v>
      </c>
      <c r="M1330" s="2994">
        <v>0</v>
      </c>
      <c r="N1330" s="2994">
        <v>0</v>
      </c>
      <c r="O1330" s="2994">
        <v>0</v>
      </c>
      <c r="P1330" s="2994">
        <v>0</v>
      </c>
      <c r="Q1330" s="2994">
        <v>0</v>
      </c>
      <c r="R1330" s="2994">
        <v>0</v>
      </c>
      <c r="S1330" s="2994">
        <v>5.7142999999999997</v>
      </c>
      <c r="T1330" s="2994">
        <v>6.5713999999999997</v>
      </c>
      <c r="U1330" s="2994">
        <v>6.2857000000000003</v>
      </c>
      <c r="V1330" s="2994">
        <v>6.3333000000000004</v>
      </c>
      <c r="W1330" s="2994">
        <v>3.25</v>
      </c>
      <c r="X1330" s="2994">
        <v>0</v>
      </c>
      <c r="Y1330" s="2994">
        <v>0</v>
      </c>
      <c r="Z1330" s="2994">
        <v>0</v>
      </c>
      <c r="AA1330" s="2994">
        <v>0</v>
      </c>
      <c r="AB1330" s="2994">
        <v>0</v>
      </c>
      <c r="AC1330" s="2994">
        <v>0</v>
      </c>
      <c r="AD1330" s="2994">
        <v>0</v>
      </c>
      <c r="AE1330" s="2994">
        <v>0</v>
      </c>
      <c r="AF1330" s="2994">
        <v>0</v>
      </c>
      <c r="AG1330" s="2994">
        <v>3</v>
      </c>
      <c r="AH1330" s="2994">
        <v>5.7142999999999997</v>
      </c>
      <c r="AI1330" s="2994">
        <v>5</v>
      </c>
      <c r="AJ1330" s="2994">
        <v>4</v>
      </c>
      <c r="AK1330" s="2994">
        <v>5</v>
      </c>
      <c r="AL1330" s="2994">
        <v>5</v>
      </c>
      <c r="AM1330" s="2994">
        <v>5</v>
      </c>
      <c r="AN1330" s="2994">
        <v>5</v>
      </c>
      <c r="AO1330" s="2994">
        <v>6</v>
      </c>
      <c r="AP1330" s="2994">
        <v>6</v>
      </c>
      <c r="AQ1330" s="2994">
        <v>5.7142999999999997</v>
      </c>
      <c r="AR1330" s="2994">
        <v>6</v>
      </c>
      <c r="AS1330" s="2994">
        <v>6.8182</v>
      </c>
      <c r="AT1330" s="2994">
        <v>7.9166999999999996</v>
      </c>
      <c r="AU1330" s="2994">
        <v>6.8182</v>
      </c>
      <c r="AV1330" s="2994">
        <v>5.8182</v>
      </c>
      <c r="AW1330" s="2994">
        <v>6.3635999999999999</v>
      </c>
      <c r="AX1330" s="2994">
        <v>6.3635999999999999</v>
      </c>
      <c r="AY1330" s="2994">
        <v>7</v>
      </c>
      <c r="AZ1330" s="2994">
        <v>7.75</v>
      </c>
      <c r="BA1330" s="2994">
        <v>6</v>
      </c>
      <c r="BB1330" s="2994">
        <v>10.8157</v>
      </c>
      <c r="BC1330" s="2994">
        <v>6.5229999999999997</v>
      </c>
      <c r="BD1330" s="3471">
        <v>4.3333000000000004</v>
      </c>
      <c r="BE1330" s="3471">
        <v>2.9883999999999999</v>
      </c>
      <c r="BF1330" s="3471">
        <v>0</v>
      </c>
    </row>
    <row r="1331" spans="1:58">
      <c r="A1331" s="1817" t="str">
        <f t="shared" si="41"/>
        <v>Western EuropeBambara beans</v>
      </c>
      <c r="B1331" s="1818" t="s">
        <v>301</v>
      </c>
      <c r="C1331" s="1818" t="s">
        <v>7291</v>
      </c>
      <c r="D1331" s="3463" t="str">
        <f>VLOOKUP(B1331,List_Yield!$G$4:$J$14,4,FALSE)</f>
        <v>Western Europe</v>
      </c>
      <c r="E1331" s="3463" t="str">
        <f t="shared" si="42"/>
        <v>Western EuropeBambara beans</v>
      </c>
      <c r="F1331" s="2994">
        <v>0</v>
      </c>
      <c r="G1331" s="2994">
        <v>0</v>
      </c>
      <c r="H1331" s="2994">
        <v>0</v>
      </c>
      <c r="I1331" s="2994">
        <v>0</v>
      </c>
      <c r="J1331" s="2994">
        <v>0</v>
      </c>
      <c r="K1331" s="2994">
        <v>0</v>
      </c>
      <c r="L1331" s="2994">
        <v>0</v>
      </c>
      <c r="M1331" s="2994">
        <v>0</v>
      </c>
      <c r="N1331" s="2994">
        <v>0</v>
      </c>
      <c r="O1331" s="2994">
        <v>0</v>
      </c>
      <c r="P1331" s="2994">
        <v>0</v>
      </c>
      <c r="Q1331" s="2994">
        <v>0</v>
      </c>
      <c r="R1331" s="2994">
        <v>0</v>
      </c>
      <c r="S1331" s="2994">
        <v>0</v>
      </c>
      <c r="T1331" s="2994">
        <v>0</v>
      </c>
      <c r="U1331" s="2994">
        <v>0</v>
      </c>
      <c r="V1331" s="2994">
        <v>0</v>
      </c>
      <c r="W1331" s="2994">
        <v>0</v>
      </c>
      <c r="X1331" s="2994">
        <v>0</v>
      </c>
      <c r="Y1331" s="2994">
        <v>0</v>
      </c>
      <c r="Z1331" s="2994">
        <v>0</v>
      </c>
      <c r="AA1331" s="2994">
        <v>0</v>
      </c>
      <c r="AB1331" s="2994">
        <v>0</v>
      </c>
      <c r="AC1331" s="2994">
        <v>0</v>
      </c>
      <c r="AD1331" s="2994">
        <v>0</v>
      </c>
      <c r="AE1331" s="2994">
        <v>0</v>
      </c>
      <c r="AF1331" s="2994">
        <v>0</v>
      </c>
      <c r="AG1331" s="2994">
        <v>0</v>
      </c>
      <c r="AH1331" s="2994">
        <v>0</v>
      </c>
      <c r="AI1331" s="2994">
        <v>0</v>
      </c>
      <c r="AJ1331" s="2994">
        <v>0</v>
      </c>
      <c r="AK1331" s="2994">
        <v>0</v>
      </c>
      <c r="AL1331" s="2994">
        <v>0</v>
      </c>
      <c r="AM1331" s="2994">
        <v>0</v>
      </c>
      <c r="AN1331" s="2994">
        <v>0</v>
      </c>
      <c r="AO1331" s="2994">
        <v>0</v>
      </c>
      <c r="AP1331" s="2994">
        <v>0</v>
      </c>
      <c r="AQ1331" s="2994">
        <v>0</v>
      </c>
      <c r="AR1331" s="2994">
        <v>0</v>
      </c>
      <c r="AS1331" s="2994">
        <v>0</v>
      </c>
      <c r="AT1331" s="2994">
        <v>0</v>
      </c>
      <c r="AU1331" s="2994">
        <v>0</v>
      </c>
      <c r="AV1331" s="2994">
        <v>0</v>
      </c>
      <c r="AW1331" s="2994">
        <v>0</v>
      </c>
      <c r="AX1331" s="2994">
        <v>0</v>
      </c>
      <c r="AY1331" s="2994">
        <v>0</v>
      </c>
      <c r="AZ1331" s="2994">
        <v>0</v>
      </c>
      <c r="BA1331" s="2994">
        <v>0</v>
      </c>
      <c r="BB1331" s="2994">
        <v>0</v>
      </c>
      <c r="BC1331" s="2994">
        <v>0</v>
      </c>
      <c r="BD1331" s="3471">
        <v>0</v>
      </c>
      <c r="BE1331" s="3471">
        <v>0</v>
      </c>
      <c r="BF1331" s="3471">
        <v>0</v>
      </c>
    </row>
    <row r="1332" spans="1:58">
      <c r="A1332" s="1817" t="str">
        <f t="shared" si="41"/>
        <v>Western EuropeBananas</v>
      </c>
      <c r="B1332" s="1818" t="s">
        <v>301</v>
      </c>
      <c r="C1332" s="1818" t="s">
        <v>1336</v>
      </c>
      <c r="D1332" s="3463" t="str">
        <f>VLOOKUP(B1332,List_Yield!$G$4:$J$14,4,FALSE)</f>
        <v>Western Europe</v>
      </c>
      <c r="E1332" s="3463" t="str">
        <f t="shared" si="42"/>
        <v>Western EuropeBananas</v>
      </c>
      <c r="F1332" s="2994">
        <v>0</v>
      </c>
      <c r="G1332" s="2994">
        <v>0</v>
      </c>
      <c r="H1332" s="2994">
        <v>0</v>
      </c>
      <c r="I1332" s="2994">
        <v>0</v>
      </c>
      <c r="J1332" s="2994">
        <v>0</v>
      </c>
      <c r="K1332" s="2994">
        <v>0</v>
      </c>
      <c r="L1332" s="2994">
        <v>0</v>
      </c>
      <c r="M1332" s="2994">
        <v>0</v>
      </c>
      <c r="N1332" s="2994">
        <v>0</v>
      </c>
      <c r="O1332" s="2994">
        <v>0</v>
      </c>
      <c r="P1332" s="2994">
        <v>0</v>
      </c>
      <c r="Q1332" s="2994">
        <v>0</v>
      </c>
      <c r="R1332" s="2994">
        <v>0</v>
      </c>
      <c r="S1332" s="2994">
        <v>0</v>
      </c>
      <c r="T1332" s="2994">
        <v>0</v>
      </c>
      <c r="U1332" s="2994">
        <v>0</v>
      </c>
      <c r="V1332" s="2994">
        <v>0</v>
      </c>
      <c r="W1332" s="2994">
        <v>0</v>
      </c>
      <c r="X1332" s="2994">
        <v>0</v>
      </c>
      <c r="Y1332" s="2994">
        <v>0</v>
      </c>
      <c r="Z1332" s="2994">
        <v>0</v>
      </c>
      <c r="AA1332" s="2994">
        <v>0</v>
      </c>
      <c r="AB1332" s="2994">
        <v>0</v>
      </c>
      <c r="AC1332" s="2994">
        <v>0</v>
      </c>
      <c r="AD1332" s="2994">
        <v>0</v>
      </c>
      <c r="AE1332" s="2994">
        <v>0</v>
      </c>
      <c r="AF1332" s="2994">
        <v>0</v>
      </c>
      <c r="AG1332" s="2994">
        <v>0</v>
      </c>
      <c r="AH1332" s="2994">
        <v>0</v>
      </c>
      <c r="AI1332" s="2994">
        <v>0</v>
      </c>
      <c r="AJ1332" s="2994">
        <v>0</v>
      </c>
      <c r="AK1332" s="2994">
        <v>0</v>
      </c>
      <c r="AL1332" s="2994">
        <v>0</v>
      </c>
      <c r="AM1332" s="2994">
        <v>0</v>
      </c>
      <c r="AN1332" s="2994">
        <v>0</v>
      </c>
      <c r="AO1332" s="2994">
        <v>0</v>
      </c>
      <c r="AP1332" s="2994">
        <v>0</v>
      </c>
      <c r="AQ1332" s="2994">
        <v>0</v>
      </c>
      <c r="AR1332" s="2994">
        <v>0</v>
      </c>
      <c r="AS1332" s="2994">
        <v>0</v>
      </c>
      <c r="AT1332" s="2994">
        <v>0</v>
      </c>
      <c r="AU1332" s="2994">
        <v>0</v>
      </c>
      <c r="AV1332" s="2994">
        <v>0</v>
      </c>
      <c r="AW1332" s="2994">
        <v>0</v>
      </c>
      <c r="AX1332" s="2994">
        <v>0</v>
      </c>
      <c r="AY1332" s="2994">
        <v>0</v>
      </c>
      <c r="AZ1332" s="2994">
        <v>0</v>
      </c>
      <c r="BA1332" s="2994">
        <v>0</v>
      </c>
      <c r="BB1332" s="2994">
        <v>0</v>
      </c>
      <c r="BC1332" s="2994">
        <v>0</v>
      </c>
      <c r="BD1332" s="3471">
        <v>0</v>
      </c>
      <c r="BE1332" s="3471">
        <v>0</v>
      </c>
      <c r="BF1332" s="3471">
        <v>0</v>
      </c>
    </row>
    <row r="1333" spans="1:58">
      <c r="A1333" s="1817" t="str">
        <f t="shared" si="41"/>
        <v>Western EuropeBarley</v>
      </c>
      <c r="B1333" s="1818" t="s">
        <v>301</v>
      </c>
      <c r="C1333" s="1818" t="s">
        <v>1337</v>
      </c>
      <c r="D1333" s="3463" t="str">
        <f>VLOOKUP(B1333,List_Yield!$G$4:$J$14,4,FALSE)</f>
        <v>Western Europe</v>
      </c>
      <c r="E1333" s="3463" t="str">
        <f t="shared" si="42"/>
        <v>Western EuropeBarley</v>
      </c>
      <c r="F1333" s="2994">
        <v>2.4649999999999999</v>
      </c>
      <c r="G1333" s="2994">
        <v>3.0198</v>
      </c>
      <c r="H1333" s="2994">
        <v>2.9866000000000001</v>
      </c>
      <c r="I1333" s="2994">
        <v>3.1072000000000002</v>
      </c>
      <c r="J1333" s="2994">
        <v>3.0190000000000001</v>
      </c>
      <c r="K1333" s="2994">
        <v>2.9106999999999998</v>
      </c>
      <c r="L1333" s="2994">
        <v>3.5548999999999999</v>
      </c>
      <c r="M1333" s="2994">
        <v>3.4529999999999998</v>
      </c>
      <c r="N1333" s="2994">
        <v>3.4232999999999998</v>
      </c>
      <c r="O1333" s="2994">
        <v>2.9599000000000002</v>
      </c>
      <c r="P1333" s="2994">
        <v>3.5392000000000001</v>
      </c>
      <c r="Q1333" s="2994">
        <v>3.9106999999999998</v>
      </c>
      <c r="R1333" s="2994">
        <v>3.9466999999999999</v>
      </c>
      <c r="S1333" s="2994">
        <v>3.9975999999999998</v>
      </c>
      <c r="T1333" s="2994">
        <v>3.6408999999999998</v>
      </c>
      <c r="U1333" s="2994">
        <v>3.4409000000000001</v>
      </c>
      <c r="V1333" s="2994">
        <v>3.7818000000000001</v>
      </c>
      <c r="W1333" s="2994">
        <v>4.1703999999999999</v>
      </c>
      <c r="X1333" s="2994">
        <v>3.9376000000000002</v>
      </c>
      <c r="Y1333" s="2994">
        <v>4.3666999999999998</v>
      </c>
      <c r="Z1333" s="2994">
        <v>3.9946000000000002</v>
      </c>
      <c r="AA1333" s="2994">
        <v>4.4016000000000002</v>
      </c>
      <c r="AB1333" s="2994">
        <v>4.2775999999999996</v>
      </c>
      <c r="AC1333" s="2994">
        <v>5.1592000000000002</v>
      </c>
      <c r="AD1333" s="2994">
        <v>5.0014000000000003</v>
      </c>
      <c r="AE1333" s="2994">
        <v>4.7816999999999998</v>
      </c>
      <c r="AF1333" s="2994">
        <v>4.8921999999999999</v>
      </c>
      <c r="AG1333" s="2994">
        <v>5.0856000000000003</v>
      </c>
      <c r="AH1333" s="2994">
        <v>5.3983999999999996</v>
      </c>
      <c r="AI1333" s="2994">
        <v>5.4720000000000004</v>
      </c>
      <c r="AJ1333" s="2994">
        <v>5.8041999999999998</v>
      </c>
      <c r="AK1333" s="2994">
        <v>5.3788999999999998</v>
      </c>
      <c r="AL1333" s="2994">
        <v>5.1944999999999997</v>
      </c>
      <c r="AM1333" s="2994">
        <v>5.3009000000000004</v>
      </c>
      <c r="AN1333" s="2994">
        <v>5.5579000000000001</v>
      </c>
      <c r="AO1333" s="2994">
        <v>5.7068000000000003</v>
      </c>
      <c r="AP1333" s="2994">
        <v>5.8936999999999999</v>
      </c>
      <c r="AQ1333" s="2994">
        <v>5.9637000000000002</v>
      </c>
      <c r="AR1333" s="2994">
        <v>6.0345000000000004</v>
      </c>
      <c r="AS1333" s="2994">
        <v>5.9408000000000003</v>
      </c>
      <c r="AT1333" s="2994">
        <v>6.0267999999999997</v>
      </c>
      <c r="AU1333" s="2994">
        <v>5.9850000000000003</v>
      </c>
      <c r="AV1333" s="2994">
        <v>5.2763999999999998</v>
      </c>
      <c r="AW1333" s="2994">
        <v>6.5915999999999997</v>
      </c>
      <c r="AX1333" s="2994">
        <v>6.1094999999999997</v>
      </c>
      <c r="AY1333" s="2994">
        <v>5.9904000000000002</v>
      </c>
      <c r="AZ1333" s="2994">
        <v>5.4625000000000004</v>
      </c>
      <c r="BA1333" s="2994">
        <v>6.3498000000000001</v>
      </c>
      <c r="BB1333" s="2994">
        <v>6.6177999999999999</v>
      </c>
      <c r="BC1333" s="2994">
        <v>6.2827999999999999</v>
      </c>
      <c r="BD1333" s="3471">
        <v>5.6101999999999999</v>
      </c>
      <c r="BE1333" s="3471">
        <v>6.3982000000000001</v>
      </c>
      <c r="BF1333" s="3471">
        <v>6.4104999999999999</v>
      </c>
    </row>
    <row r="1334" spans="1:58">
      <c r="A1334" s="1817" t="str">
        <f t="shared" si="41"/>
        <v>Western EuropeBastfibres, other</v>
      </c>
      <c r="B1334" s="1818" t="s">
        <v>301</v>
      </c>
      <c r="C1334" s="1818" t="s">
        <v>7292</v>
      </c>
      <c r="D1334" s="3463" t="str">
        <f>VLOOKUP(B1334,List_Yield!$G$4:$J$14,4,FALSE)</f>
        <v>Western Europe</v>
      </c>
      <c r="E1334" s="3463" t="str">
        <f t="shared" si="42"/>
        <v>Western EuropeBastfibres, other</v>
      </c>
      <c r="F1334" s="2994">
        <v>0</v>
      </c>
      <c r="G1334" s="2994">
        <v>0</v>
      </c>
      <c r="H1334" s="2994">
        <v>0</v>
      </c>
      <c r="I1334" s="2994">
        <v>0</v>
      </c>
      <c r="J1334" s="2994">
        <v>0</v>
      </c>
      <c r="K1334" s="2994">
        <v>0</v>
      </c>
      <c r="L1334" s="2994">
        <v>0</v>
      </c>
      <c r="M1334" s="2994">
        <v>0</v>
      </c>
      <c r="N1334" s="2994">
        <v>0</v>
      </c>
      <c r="O1334" s="2994">
        <v>0</v>
      </c>
      <c r="P1334" s="2994">
        <v>0</v>
      </c>
      <c r="Q1334" s="2994">
        <v>0</v>
      </c>
      <c r="R1334" s="2994">
        <v>0</v>
      </c>
      <c r="S1334" s="2994">
        <v>0</v>
      </c>
      <c r="T1334" s="2994">
        <v>0</v>
      </c>
      <c r="U1334" s="2994">
        <v>0</v>
      </c>
      <c r="V1334" s="2994">
        <v>0</v>
      </c>
      <c r="W1334" s="2994">
        <v>0</v>
      </c>
      <c r="X1334" s="2994">
        <v>0</v>
      </c>
      <c r="Y1334" s="2994">
        <v>0</v>
      </c>
      <c r="Z1334" s="2994">
        <v>0</v>
      </c>
      <c r="AA1334" s="2994">
        <v>0</v>
      </c>
      <c r="AB1334" s="2994">
        <v>0</v>
      </c>
      <c r="AC1334" s="2994">
        <v>0</v>
      </c>
      <c r="AD1334" s="2994">
        <v>0</v>
      </c>
      <c r="AE1334" s="2994">
        <v>0</v>
      </c>
      <c r="AF1334" s="2994">
        <v>0</v>
      </c>
      <c r="AG1334" s="2994">
        <v>0</v>
      </c>
      <c r="AH1334" s="2994">
        <v>0</v>
      </c>
      <c r="AI1334" s="2994">
        <v>0</v>
      </c>
      <c r="AJ1334" s="2994">
        <v>0</v>
      </c>
      <c r="AK1334" s="2994">
        <v>0</v>
      </c>
      <c r="AL1334" s="2994">
        <v>0</v>
      </c>
      <c r="AM1334" s="2994">
        <v>0</v>
      </c>
      <c r="AN1334" s="2994">
        <v>0</v>
      </c>
      <c r="AO1334" s="2994">
        <v>0</v>
      </c>
      <c r="AP1334" s="2994">
        <v>0</v>
      </c>
      <c r="AQ1334" s="2994">
        <v>0</v>
      </c>
      <c r="AR1334" s="2994">
        <v>0</v>
      </c>
      <c r="AS1334" s="2994">
        <v>0</v>
      </c>
      <c r="AT1334" s="2994">
        <v>0</v>
      </c>
      <c r="AU1334" s="2994">
        <v>0</v>
      </c>
      <c r="AV1334" s="2994">
        <v>0</v>
      </c>
      <c r="AW1334" s="2994">
        <v>0</v>
      </c>
      <c r="AX1334" s="2994">
        <v>0</v>
      </c>
      <c r="AY1334" s="2994">
        <v>0</v>
      </c>
      <c r="AZ1334" s="2994">
        <v>0</v>
      </c>
      <c r="BA1334" s="2994">
        <v>0</v>
      </c>
      <c r="BB1334" s="2994">
        <v>0</v>
      </c>
      <c r="BC1334" s="2994">
        <v>0</v>
      </c>
      <c r="BD1334" s="3471">
        <v>0</v>
      </c>
      <c r="BE1334" s="3471">
        <v>0</v>
      </c>
      <c r="BF1334" s="3471">
        <v>0</v>
      </c>
    </row>
    <row r="1335" spans="1:58">
      <c r="A1335" s="1817" t="str">
        <f t="shared" si="41"/>
        <v>Western EuropeBeans, dry</v>
      </c>
      <c r="B1335" s="1818" t="s">
        <v>301</v>
      </c>
      <c r="C1335" s="1818" t="s">
        <v>1338</v>
      </c>
      <c r="D1335" s="3463" t="str">
        <f>VLOOKUP(B1335,List_Yield!$G$4:$J$14,4,FALSE)</f>
        <v>Western Europe</v>
      </c>
      <c r="E1335" s="3463" t="str">
        <f t="shared" si="42"/>
        <v>Western EuropeBeans, dry</v>
      </c>
      <c r="F1335" s="2994">
        <v>1.0224</v>
      </c>
      <c r="G1335" s="2994">
        <v>0.996</v>
      </c>
      <c r="H1335" s="2994">
        <v>1.2137</v>
      </c>
      <c r="I1335" s="2994">
        <v>1.0854999999999999</v>
      </c>
      <c r="J1335" s="2994">
        <v>1.1937</v>
      </c>
      <c r="K1335" s="2994">
        <v>1.4661</v>
      </c>
      <c r="L1335" s="2994">
        <v>1.3177000000000001</v>
      </c>
      <c r="M1335" s="2994">
        <v>1.4592000000000001</v>
      </c>
      <c r="N1335" s="2994">
        <v>1.3223</v>
      </c>
      <c r="O1335" s="2994">
        <v>1.5516000000000001</v>
      </c>
      <c r="P1335" s="2994">
        <v>1.595</v>
      </c>
      <c r="Q1335" s="2994">
        <v>1.3451</v>
      </c>
      <c r="R1335" s="2994">
        <v>1.8734</v>
      </c>
      <c r="S1335" s="2994">
        <v>1.615</v>
      </c>
      <c r="T1335" s="2994">
        <v>1.5464</v>
      </c>
      <c r="U1335" s="2994">
        <v>1.0638000000000001</v>
      </c>
      <c r="V1335" s="2994">
        <v>1.9094</v>
      </c>
      <c r="W1335" s="2994">
        <v>1.9683999999999999</v>
      </c>
      <c r="X1335" s="2994">
        <v>2.0901000000000001</v>
      </c>
      <c r="Y1335" s="2994">
        <v>1.7079</v>
      </c>
      <c r="Z1335" s="2994">
        <v>2.0084</v>
      </c>
      <c r="AA1335" s="2994">
        <v>2.2324000000000002</v>
      </c>
      <c r="AB1335" s="2994">
        <v>2.1421000000000001</v>
      </c>
      <c r="AC1335" s="2994">
        <v>2.1307</v>
      </c>
      <c r="AD1335" s="2994">
        <v>2.4784999999999999</v>
      </c>
      <c r="AE1335" s="2994">
        <v>2.4977999999999998</v>
      </c>
      <c r="AF1335" s="2994">
        <v>2.1623000000000001</v>
      </c>
      <c r="AG1335" s="2994">
        <v>2.3734000000000002</v>
      </c>
      <c r="AH1335" s="2994">
        <v>2.2290999999999999</v>
      </c>
      <c r="AI1335" s="2994">
        <v>2.4380999999999999</v>
      </c>
      <c r="AJ1335" s="2994">
        <v>2.7877999999999998</v>
      </c>
      <c r="AK1335" s="2994">
        <v>2.6757</v>
      </c>
      <c r="AL1335" s="2994">
        <v>2.9794</v>
      </c>
      <c r="AM1335" s="2994">
        <v>2.1677</v>
      </c>
      <c r="AN1335" s="2994">
        <v>2.2120000000000002</v>
      </c>
      <c r="AO1335" s="2994">
        <v>2.3879999999999999</v>
      </c>
      <c r="AP1335" s="2994">
        <v>2.4672999999999998</v>
      </c>
      <c r="AQ1335" s="2994">
        <v>2.3813</v>
      </c>
      <c r="AR1335" s="2994">
        <v>2.5445000000000002</v>
      </c>
      <c r="AS1335" s="2994">
        <v>2.9967999999999999</v>
      </c>
      <c r="AT1335" s="2994">
        <v>3.0663</v>
      </c>
      <c r="AU1335" s="2994">
        <v>3.2443</v>
      </c>
      <c r="AV1335" s="2994">
        <v>3.0908000000000002</v>
      </c>
      <c r="AW1335" s="2994">
        <v>2.9853999999999998</v>
      </c>
      <c r="AX1335" s="2994">
        <v>3.0242</v>
      </c>
      <c r="AY1335" s="2994">
        <v>2.4579</v>
      </c>
      <c r="AZ1335" s="2994">
        <v>2.7416</v>
      </c>
      <c r="BA1335" s="2994">
        <v>2.57</v>
      </c>
      <c r="BB1335" s="2994">
        <v>2.6362000000000001</v>
      </c>
      <c r="BC1335" s="2994">
        <v>2.6798999999999999</v>
      </c>
      <c r="BD1335" s="3471">
        <v>2.5266999999999999</v>
      </c>
      <c r="BE1335" s="3471">
        <v>2.4232</v>
      </c>
      <c r="BF1335" s="3471">
        <v>2.2660999999999998</v>
      </c>
    </row>
    <row r="1336" spans="1:58">
      <c r="A1336" s="1817" t="str">
        <f t="shared" si="41"/>
        <v>Western EuropeBeans, green</v>
      </c>
      <c r="B1336" s="1818" t="s">
        <v>301</v>
      </c>
      <c r="C1336" s="1818" t="s">
        <v>1339</v>
      </c>
      <c r="D1336" s="3463" t="str">
        <f>VLOOKUP(B1336,List_Yield!$G$4:$J$14,4,FALSE)</f>
        <v>Western Europe</v>
      </c>
      <c r="E1336" s="3463" t="str">
        <f t="shared" si="42"/>
        <v>Western EuropeBeans, green</v>
      </c>
      <c r="F1336" s="2994">
        <v>9.4093999999999998</v>
      </c>
      <c r="G1336" s="2994">
        <v>8.8552</v>
      </c>
      <c r="H1336" s="2994">
        <v>10.027100000000001</v>
      </c>
      <c r="I1336" s="2994">
        <v>9.8943999999999992</v>
      </c>
      <c r="J1336" s="2994">
        <v>9.1516000000000002</v>
      </c>
      <c r="K1336" s="2994">
        <v>10.2201</v>
      </c>
      <c r="L1336" s="2994">
        <v>11.347300000000001</v>
      </c>
      <c r="M1336" s="2994">
        <v>9.8026999999999997</v>
      </c>
      <c r="N1336" s="2994">
        <v>9.2866</v>
      </c>
      <c r="O1336" s="2994">
        <v>10.211499999999999</v>
      </c>
      <c r="P1336" s="2994">
        <v>9.5457999999999998</v>
      </c>
      <c r="Q1336" s="2994">
        <v>8.6804000000000006</v>
      </c>
      <c r="R1336" s="2994">
        <v>8.2148000000000003</v>
      </c>
      <c r="S1336" s="2994">
        <v>9.5472000000000001</v>
      </c>
      <c r="T1336" s="2994">
        <v>7.5387000000000004</v>
      </c>
      <c r="U1336" s="2994">
        <v>6.7355999999999998</v>
      </c>
      <c r="V1336" s="2994">
        <v>9.2208000000000006</v>
      </c>
      <c r="W1336" s="2994">
        <v>7.8963999999999999</v>
      </c>
      <c r="X1336" s="2994">
        <v>9.4379000000000008</v>
      </c>
      <c r="Y1336" s="2994">
        <v>8.2634000000000007</v>
      </c>
      <c r="Z1336" s="2994">
        <v>9.6151</v>
      </c>
      <c r="AA1336" s="2994">
        <v>9.6789000000000005</v>
      </c>
      <c r="AB1336" s="2994">
        <v>9.0679999999999996</v>
      </c>
      <c r="AC1336" s="2994">
        <v>8.6719000000000008</v>
      </c>
      <c r="AD1336" s="2994">
        <v>9.3706999999999994</v>
      </c>
      <c r="AE1336" s="2994">
        <v>8.8939000000000004</v>
      </c>
      <c r="AF1336" s="2994">
        <v>9.1374999999999993</v>
      </c>
      <c r="AG1336" s="2994">
        <v>9.3260000000000005</v>
      </c>
      <c r="AH1336" s="2994">
        <v>9.4364000000000008</v>
      </c>
      <c r="AI1336" s="2994">
        <v>7.8963999999999999</v>
      </c>
      <c r="AJ1336" s="2994">
        <v>10.0625</v>
      </c>
      <c r="AK1336" s="2994">
        <v>11.716100000000001</v>
      </c>
      <c r="AL1336" s="2994">
        <v>14.063000000000001</v>
      </c>
      <c r="AM1336" s="2994">
        <v>12.035</v>
      </c>
      <c r="AN1336" s="2994">
        <v>10.9148</v>
      </c>
      <c r="AO1336" s="2994">
        <v>11.6587</v>
      </c>
      <c r="AP1336" s="2994">
        <v>11.713699999999999</v>
      </c>
      <c r="AQ1336" s="2994">
        <v>10.9293</v>
      </c>
      <c r="AR1336" s="2994">
        <v>11.912599999999999</v>
      </c>
      <c r="AS1336" s="2994">
        <v>11.354100000000001</v>
      </c>
      <c r="AT1336" s="2994">
        <v>11.629799999999999</v>
      </c>
      <c r="AU1336" s="2994">
        <v>11.506</v>
      </c>
      <c r="AV1336" s="2994">
        <v>10.5442</v>
      </c>
      <c r="AW1336" s="2994">
        <v>11.2613</v>
      </c>
      <c r="AX1336" s="2994">
        <v>9.3097999999999992</v>
      </c>
      <c r="AY1336" s="2994">
        <v>9.1556999999999995</v>
      </c>
      <c r="AZ1336" s="2994">
        <v>9.3101000000000003</v>
      </c>
      <c r="BA1336" s="2994">
        <v>9.1170000000000009</v>
      </c>
      <c r="BB1336" s="2994">
        <v>10.382999999999999</v>
      </c>
      <c r="BC1336" s="2994">
        <v>9.5869</v>
      </c>
      <c r="BD1336" s="3471">
        <v>9.9571000000000005</v>
      </c>
      <c r="BE1336" s="3471">
        <v>11.0238</v>
      </c>
      <c r="BF1336" s="3471">
        <v>0</v>
      </c>
    </row>
    <row r="1337" spans="1:58">
      <c r="A1337" s="1817" t="str">
        <f t="shared" si="41"/>
        <v>Western EuropeBerries nes</v>
      </c>
      <c r="B1337" s="1818" t="s">
        <v>301</v>
      </c>
      <c r="C1337" s="1818" t="s">
        <v>7293</v>
      </c>
      <c r="D1337" s="3463" t="str">
        <f>VLOOKUP(B1337,List_Yield!$G$4:$J$14,4,FALSE)</f>
        <v>Western Europe</v>
      </c>
      <c r="E1337" s="3463" t="str">
        <f t="shared" si="42"/>
        <v>Western EuropeBerries nes</v>
      </c>
      <c r="F1337" s="2994">
        <v>23.744199999999999</v>
      </c>
      <c r="G1337" s="2994">
        <v>20.469799999999999</v>
      </c>
      <c r="H1337" s="2994">
        <v>16.511600000000001</v>
      </c>
      <c r="I1337" s="2994">
        <v>20.409300000000002</v>
      </c>
      <c r="J1337" s="2994">
        <v>16.306999999999999</v>
      </c>
      <c r="K1337" s="2994">
        <v>16.748799999999999</v>
      </c>
      <c r="L1337" s="2994">
        <v>16.9953</v>
      </c>
      <c r="M1337" s="2994">
        <v>18.093</v>
      </c>
      <c r="N1337" s="2994">
        <v>16.060500000000001</v>
      </c>
      <c r="O1337" s="2994">
        <v>17.693000000000001</v>
      </c>
      <c r="P1337" s="2994">
        <v>13.972099999999999</v>
      </c>
      <c r="Q1337" s="2994">
        <v>15.4419</v>
      </c>
      <c r="R1337" s="2994">
        <v>17.674399999999999</v>
      </c>
      <c r="S1337" s="2994">
        <v>17.674399999999999</v>
      </c>
      <c r="T1337" s="2994">
        <v>14.651199999999999</v>
      </c>
      <c r="U1337" s="2994">
        <v>12.5581</v>
      </c>
      <c r="V1337" s="2994">
        <v>12.093</v>
      </c>
      <c r="W1337" s="2994">
        <v>10.697699999999999</v>
      </c>
      <c r="X1337" s="2994">
        <v>7.8140000000000001</v>
      </c>
      <c r="Y1337" s="2994">
        <v>10.697699999999999</v>
      </c>
      <c r="Z1337" s="2994">
        <v>10.697699999999999</v>
      </c>
      <c r="AA1337" s="2994">
        <v>12.5581</v>
      </c>
      <c r="AB1337" s="2994">
        <v>15.814</v>
      </c>
      <c r="AC1337" s="2994">
        <v>12.790699999999999</v>
      </c>
      <c r="AD1337" s="2994">
        <v>5.5514999999999999</v>
      </c>
      <c r="AE1337" s="2994">
        <v>6.6154000000000002</v>
      </c>
      <c r="AF1337" s="2994">
        <v>6.6154000000000002</v>
      </c>
      <c r="AG1337" s="2994">
        <v>5.7583000000000002</v>
      </c>
      <c r="AH1337" s="2994">
        <v>6.1919000000000004</v>
      </c>
      <c r="AI1337" s="2994">
        <v>5.2851999999999997</v>
      </c>
      <c r="AJ1337" s="2994">
        <v>5.5590000000000002</v>
      </c>
      <c r="AK1337" s="2994">
        <v>6.2049000000000003</v>
      </c>
      <c r="AL1337" s="2994">
        <v>5.4645000000000001</v>
      </c>
      <c r="AM1337" s="2994">
        <v>5.0801999999999996</v>
      </c>
      <c r="AN1337" s="2994">
        <v>4.9715999999999996</v>
      </c>
      <c r="AO1337" s="2994">
        <v>5.0594000000000001</v>
      </c>
      <c r="AP1337" s="2994">
        <v>5.9348999999999998</v>
      </c>
      <c r="AQ1337" s="2994">
        <v>5.0914000000000001</v>
      </c>
      <c r="AR1337" s="2994">
        <v>5.2847999999999997</v>
      </c>
      <c r="AS1337" s="2994">
        <v>6.7839</v>
      </c>
      <c r="AT1337" s="2994">
        <v>7.0716000000000001</v>
      </c>
      <c r="AU1337" s="2994">
        <v>6.4718999999999998</v>
      </c>
      <c r="AV1337" s="2994">
        <v>6.8250999999999999</v>
      </c>
      <c r="AW1337" s="2994">
        <v>7.1772</v>
      </c>
      <c r="AX1337" s="2994">
        <v>6.0041000000000002</v>
      </c>
      <c r="AY1337" s="2994">
        <v>6.4001999999999999</v>
      </c>
      <c r="AZ1337" s="2994">
        <v>6.5167000000000002</v>
      </c>
      <c r="BA1337" s="2994">
        <v>5.6227999999999998</v>
      </c>
      <c r="BB1337" s="2994">
        <v>5.3620000000000001</v>
      </c>
      <c r="BC1337" s="2994">
        <v>4.6314000000000002</v>
      </c>
      <c r="BD1337" s="3471">
        <v>4.5049999999999999</v>
      </c>
      <c r="BE1337" s="3471">
        <v>4.9981999999999998</v>
      </c>
      <c r="BF1337" s="3471">
        <v>0</v>
      </c>
    </row>
    <row r="1338" spans="1:58">
      <c r="A1338" s="1817" t="str">
        <f t="shared" si="41"/>
        <v>Western EuropeBlueberries</v>
      </c>
      <c r="B1338" s="1818" t="s">
        <v>301</v>
      </c>
      <c r="C1338" s="1818" t="s">
        <v>7294</v>
      </c>
      <c r="D1338" s="3463" t="str">
        <f>VLOOKUP(B1338,List_Yield!$G$4:$J$14,4,FALSE)</f>
        <v>Western Europe</v>
      </c>
      <c r="E1338" s="3463" t="str">
        <f t="shared" si="42"/>
        <v>Western EuropeBlueberries</v>
      </c>
      <c r="F1338" s="2994">
        <v>0</v>
      </c>
      <c r="G1338" s="2994">
        <v>0</v>
      </c>
      <c r="H1338" s="2994">
        <v>0</v>
      </c>
      <c r="I1338" s="2994">
        <v>0</v>
      </c>
      <c r="J1338" s="2994">
        <v>0</v>
      </c>
      <c r="K1338" s="2994">
        <v>0</v>
      </c>
      <c r="L1338" s="2994">
        <v>0</v>
      </c>
      <c r="M1338" s="2994">
        <v>0</v>
      </c>
      <c r="N1338" s="2994">
        <v>0</v>
      </c>
      <c r="O1338" s="2994">
        <v>0</v>
      </c>
      <c r="P1338" s="2994">
        <v>0</v>
      </c>
      <c r="Q1338" s="2994">
        <v>0</v>
      </c>
      <c r="R1338" s="2994">
        <v>0</v>
      </c>
      <c r="S1338" s="2994">
        <v>0</v>
      </c>
      <c r="T1338" s="2994">
        <v>0</v>
      </c>
      <c r="U1338" s="2994">
        <v>0</v>
      </c>
      <c r="V1338" s="2994">
        <v>0</v>
      </c>
      <c r="W1338" s="2994">
        <v>0</v>
      </c>
      <c r="X1338" s="2994">
        <v>0</v>
      </c>
      <c r="Y1338" s="2994">
        <v>0</v>
      </c>
      <c r="Z1338" s="2994">
        <v>0</v>
      </c>
      <c r="AA1338" s="2994">
        <v>0</v>
      </c>
      <c r="AB1338" s="2994">
        <v>0</v>
      </c>
      <c r="AC1338" s="2994">
        <v>0</v>
      </c>
      <c r="AD1338" s="2994">
        <v>0</v>
      </c>
      <c r="AE1338" s="2994">
        <v>0</v>
      </c>
      <c r="AF1338" s="2994">
        <v>0</v>
      </c>
      <c r="AG1338" s="2994">
        <v>171.66669999999999</v>
      </c>
      <c r="AH1338" s="2994">
        <v>171.66669999999999</v>
      </c>
      <c r="AI1338" s="2994">
        <v>5.6818</v>
      </c>
      <c r="AJ1338" s="2994">
        <v>5.1666999999999996</v>
      </c>
      <c r="AK1338" s="2994">
        <v>5.36</v>
      </c>
      <c r="AL1338" s="2994">
        <v>4.9259000000000004</v>
      </c>
      <c r="AM1338" s="2994">
        <v>5.1852</v>
      </c>
      <c r="AN1338" s="2994">
        <v>4.5332999999999997</v>
      </c>
      <c r="AO1338" s="2994">
        <v>5.3871000000000002</v>
      </c>
      <c r="AP1338" s="2994">
        <v>5.5312999999999999</v>
      </c>
      <c r="AQ1338" s="2994">
        <v>5.5625</v>
      </c>
      <c r="AR1338" s="2994">
        <v>5.9669999999999996</v>
      </c>
      <c r="AS1338" s="2994">
        <v>5.6224999999999996</v>
      </c>
      <c r="AT1338" s="2994">
        <v>5.72</v>
      </c>
      <c r="AU1338" s="2994">
        <v>5.5556000000000001</v>
      </c>
      <c r="AV1338" s="2994">
        <v>5.6360000000000001</v>
      </c>
      <c r="AW1338" s="2994">
        <v>5.5928000000000004</v>
      </c>
      <c r="AX1338" s="2994">
        <v>5.6241000000000003</v>
      </c>
      <c r="AY1338" s="2994">
        <v>5.5510000000000002</v>
      </c>
      <c r="AZ1338" s="2994">
        <v>5.7713000000000001</v>
      </c>
      <c r="BA1338" s="2994">
        <v>5.4789000000000003</v>
      </c>
      <c r="BB1338" s="2994">
        <v>6.7432999999999996</v>
      </c>
      <c r="BC1338" s="2994">
        <v>4.7762000000000002</v>
      </c>
      <c r="BD1338" s="3471">
        <v>4.5140000000000002</v>
      </c>
      <c r="BE1338" s="3471">
        <v>5.2407000000000004</v>
      </c>
      <c r="BF1338" s="3471">
        <v>0</v>
      </c>
    </row>
    <row r="1339" spans="1:58">
      <c r="A1339" s="1817" t="str">
        <f t="shared" si="41"/>
        <v>Western EuropeBrazil nuts, with shell</v>
      </c>
      <c r="B1339" s="1818" t="s">
        <v>301</v>
      </c>
      <c r="C1339" s="1818" t="s">
        <v>7295</v>
      </c>
      <c r="D1339" s="3463" t="str">
        <f>VLOOKUP(B1339,List_Yield!$G$4:$J$14,4,FALSE)</f>
        <v>Western Europe</v>
      </c>
      <c r="E1339" s="3463" t="str">
        <f t="shared" si="42"/>
        <v>Western EuropeBrazil nuts, with shell</v>
      </c>
      <c r="F1339" s="2994">
        <v>0</v>
      </c>
      <c r="G1339" s="2994">
        <v>0</v>
      </c>
      <c r="H1339" s="2994">
        <v>0</v>
      </c>
      <c r="I1339" s="2994">
        <v>0</v>
      </c>
      <c r="J1339" s="2994">
        <v>0</v>
      </c>
      <c r="K1339" s="2994">
        <v>0</v>
      </c>
      <c r="L1339" s="2994">
        <v>0</v>
      </c>
      <c r="M1339" s="2994">
        <v>0</v>
      </c>
      <c r="N1339" s="2994">
        <v>0</v>
      </c>
      <c r="O1339" s="2994">
        <v>0</v>
      </c>
      <c r="P1339" s="2994">
        <v>0</v>
      </c>
      <c r="Q1339" s="2994">
        <v>0</v>
      </c>
      <c r="R1339" s="2994">
        <v>0</v>
      </c>
      <c r="S1339" s="2994">
        <v>0</v>
      </c>
      <c r="T1339" s="2994">
        <v>0</v>
      </c>
      <c r="U1339" s="2994">
        <v>0</v>
      </c>
      <c r="V1339" s="2994">
        <v>0</v>
      </c>
      <c r="W1339" s="2994">
        <v>0</v>
      </c>
      <c r="X1339" s="2994">
        <v>0</v>
      </c>
      <c r="Y1339" s="2994">
        <v>0</v>
      </c>
      <c r="Z1339" s="2994">
        <v>0</v>
      </c>
      <c r="AA1339" s="2994">
        <v>0</v>
      </c>
      <c r="AB1339" s="2994">
        <v>0</v>
      </c>
      <c r="AC1339" s="2994">
        <v>0</v>
      </c>
      <c r="AD1339" s="2994">
        <v>0</v>
      </c>
      <c r="AE1339" s="2994">
        <v>0</v>
      </c>
      <c r="AF1339" s="2994">
        <v>0</v>
      </c>
      <c r="AG1339" s="2994">
        <v>0</v>
      </c>
      <c r="AH1339" s="2994">
        <v>0</v>
      </c>
      <c r="AI1339" s="2994">
        <v>0</v>
      </c>
      <c r="AJ1339" s="2994">
        <v>0</v>
      </c>
      <c r="AK1339" s="2994">
        <v>0</v>
      </c>
      <c r="AL1339" s="2994">
        <v>0</v>
      </c>
      <c r="AM1339" s="2994">
        <v>0</v>
      </c>
      <c r="AN1339" s="2994">
        <v>0</v>
      </c>
      <c r="AO1339" s="2994">
        <v>0</v>
      </c>
      <c r="AP1339" s="2994">
        <v>0</v>
      </c>
      <c r="AQ1339" s="2994">
        <v>0</v>
      </c>
      <c r="AR1339" s="2994">
        <v>0</v>
      </c>
      <c r="AS1339" s="2994">
        <v>0</v>
      </c>
      <c r="AT1339" s="2994">
        <v>0</v>
      </c>
      <c r="AU1339" s="2994">
        <v>0</v>
      </c>
      <c r="AV1339" s="2994">
        <v>0</v>
      </c>
      <c r="AW1339" s="2994">
        <v>0</v>
      </c>
      <c r="AX1339" s="2994">
        <v>0</v>
      </c>
      <c r="AY1339" s="2994">
        <v>0</v>
      </c>
      <c r="AZ1339" s="2994">
        <v>0</v>
      </c>
      <c r="BA1339" s="2994">
        <v>0</v>
      </c>
      <c r="BB1339" s="2994">
        <v>0</v>
      </c>
      <c r="BC1339" s="2994">
        <v>0</v>
      </c>
      <c r="BD1339" s="3471">
        <v>0</v>
      </c>
      <c r="BE1339" s="3471">
        <v>0</v>
      </c>
      <c r="BF1339" s="3471">
        <v>0</v>
      </c>
    </row>
    <row r="1340" spans="1:58">
      <c r="A1340" s="1817" t="str">
        <f t="shared" si="41"/>
        <v>Western EuropeBroad beans, horse beans, dry</v>
      </c>
      <c r="B1340" s="1818" t="s">
        <v>301</v>
      </c>
      <c r="C1340" s="1818" t="s">
        <v>7296</v>
      </c>
      <c r="D1340" s="3463" t="str">
        <f>VLOOKUP(B1340,List_Yield!$G$4:$J$14,4,FALSE)</f>
        <v>Western Europe</v>
      </c>
      <c r="E1340" s="3463" t="str">
        <f t="shared" si="42"/>
        <v>Western EuropeBroad beans, horse beans, dry</v>
      </c>
      <c r="F1340" s="2994">
        <v>1.9576</v>
      </c>
      <c r="G1340" s="2994">
        <v>2.0929000000000002</v>
      </c>
      <c r="H1340" s="2994">
        <v>2.1732999999999998</v>
      </c>
      <c r="I1340" s="2994">
        <v>2.0173000000000001</v>
      </c>
      <c r="J1340" s="2994">
        <v>2.2633999999999999</v>
      </c>
      <c r="K1340" s="2994">
        <v>2.3816999999999999</v>
      </c>
      <c r="L1340" s="2994">
        <v>2.6086</v>
      </c>
      <c r="M1340" s="2994">
        <v>2.6261000000000001</v>
      </c>
      <c r="N1340" s="2994">
        <v>2.5137</v>
      </c>
      <c r="O1340" s="2994">
        <v>2.5829</v>
      </c>
      <c r="P1340" s="2994">
        <v>2.5920000000000001</v>
      </c>
      <c r="Q1340" s="2994">
        <v>2.5446</v>
      </c>
      <c r="R1340" s="2994">
        <v>2.5501</v>
      </c>
      <c r="S1340" s="2994">
        <v>2.5434000000000001</v>
      </c>
      <c r="T1340" s="2994">
        <v>2.7275999999999998</v>
      </c>
      <c r="U1340" s="2994">
        <v>2.0059999999999998</v>
      </c>
      <c r="V1340" s="2994">
        <v>2.5472999999999999</v>
      </c>
      <c r="W1340" s="2994">
        <v>2.8363999999999998</v>
      </c>
      <c r="X1340" s="2994">
        <v>2.9081000000000001</v>
      </c>
      <c r="Y1340" s="2994">
        <v>2.9209000000000001</v>
      </c>
      <c r="Z1340" s="2994">
        <v>3.0396999999999998</v>
      </c>
      <c r="AA1340" s="2994">
        <v>2.9828999999999999</v>
      </c>
      <c r="AB1340" s="2994">
        <v>3.0278</v>
      </c>
      <c r="AC1340" s="2994">
        <v>3.1002999999999998</v>
      </c>
      <c r="AD1340" s="2994">
        <v>3.2753999999999999</v>
      </c>
      <c r="AE1340" s="2994">
        <v>3.4712999999999998</v>
      </c>
      <c r="AF1340" s="2994">
        <v>3.7208000000000001</v>
      </c>
      <c r="AG1340" s="2994">
        <v>3.6522000000000001</v>
      </c>
      <c r="AH1340" s="2994">
        <v>3.5137999999999998</v>
      </c>
      <c r="AI1340" s="2994">
        <v>3.4683999999999999</v>
      </c>
      <c r="AJ1340" s="2994">
        <v>3.5636999999999999</v>
      </c>
      <c r="AK1340" s="2994">
        <v>3.1065999999999998</v>
      </c>
      <c r="AL1340" s="2994">
        <v>3.6650999999999998</v>
      </c>
      <c r="AM1340" s="2994">
        <v>3.1431</v>
      </c>
      <c r="AN1340" s="2994">
        <v>3.2706</v>
      </c>
      <c r="AO1340" s="2994">
        <v>3.5907</v>
      </c>
      <c r="AP1340" s="2994">
        <v>3.6278999999999999</v>
      </c>
      <c r="AQ1340" s="2994">
        <v>3.7385999999999999</v>
      </c>
      <c r="AR1340" s="2994">
        <v>4.1479999999999997</v>
      </c>
      <c r="AS1340" s="2994">
        <v>3.6166999999999998</v>
      </c>
      <c r="AT1340" s="2994">
        <v>3.6059999999999999</v>
      </c>
      <c r="AU1340" s="2994">
        <v>3.8765000000000001</v>
      </c>
      <c r="AV1340" s="2994">
        <v>3.4165999999999999</v>
      </c>
      <c r="AW1340" s="2994">
        <v>4.4779999999999998</v>
      </c>
      <c r="AX1340" s="2994">
        <v>3.7014999999999998</v>
      </c>
      <c r="AY1340" s="2994">
        <v>3.6276000000000002</v>
      </c>
      <c r="AZ1340" s="2994">
        <v>4.2850999999999999</v>
      </c>
      <c r="BA1340" s="2994">
        <v>4.7821999999999996</v>
      </c>
      <c r="BB1340" s="2994">
        <v>4.7625000000000002</v>
      </c>
      <c r="BC1340" s="2994">
        <v>3.1953999999999998</v>
      </c>
      <c r="BD1340" s="3471">
        <v>3.6953999999999998</v>
      </c>
      <c r="BE1340" s="3471">
        <v>4.2211999999999996</v>
      </c>
      <c r="BF1340" s="3471">
        <v>3.5135999999999998</v>
      </c>
    </row>
    <row r="1341" spans="1:58">
      <c r="A1341" s="1817" t="str">
        <f t="shared" si="41"/>
        <v>Western EuropeBuckwheat</v>
      </c>
      <c r="B1341" s="1818" t="s">
        <v>301</v>
      </c>
      <c r="C1341" s="1818" t="s">
        <v>7297</v>
      </c>
      <c r="D1341" s="3463" t="str">
        <f>VLOOKUP(B1341,List_Yield!$G$4:$J$14,4,FALSE)</f>
        <v>Western Europe</v>
      </c>
      <c r="E1341" s="3463" t="str">
        <f t="shared" si="42"/>
        <v>Western EuropeBuckwheat</v>
      </c>
      <c r="F1341" s="2994">
        <v>1.2310000000000001</v>
      </c>
      <c r="G1341" s="2994">
        <v>1.1201000000000001</v>
      </c>
      <c r="H1341" s="2994">
        <v>1.0270999999999999</v>
      </c>
      <c r="I1341" s="2994">
        <v>0.94889999999999997</v>
      </c>
      <c r="J1341" s="2994">
        <v>1.0134000000000001</v>
      </c>
      <c r="K1341" s="2994">
        <v>1.0761000000000001</v>
      </c>
      <c r="L1341" s="2994">
        <v>1.2056</v>
      </c>
      <c r="M1341" s="2994">
        <v>1.2194</v>
      </c>
      <c r="N1341" s="2994">
        <v>1.2134</v>
      </c>
      <c r="O1341" s="2994">
        <v>1.1715</v>
      </c>
      <c r="P1341" s="2994">
        <v>1.3007</v>
      </c>
      <c r="Q1341" s="2994">
        <v>1.3017000000000001</v>
      </c>
      <c r="R1341" s="2994">
        <v>1.2679</v>
      </c>
      <c r="S1341" s="2994">
        <v>1.357</v>
      </c>
      <c r="T1341" s="2994">
        <v>1.2942</v>
      </c>
      <c r="U1341" s="2994">
        <v>1.0448999999999999</v>
      </c>
      <c r="V1341" s="2994">
        <v>1.2586999999999999</v>
      </c>
      <c r="W1341" s="2994">
        <v>1.3347</v>
      </c>
      <c r="X1341" s="2994">
        <v>1.3691</v>
      </c>
      <c r="Y1341" s="2994">
        <v>1.4097</v>
      </c>
      <c r="Z1341" s="2994">
        <v>1.3846000000000001</v>
      </c>
      <c r="AA1341" s="2994">
        <v>1.3509</v>
      </c>
      <c r="AB1341" s="2994">
        <v>1.5536000000000001</v>
      </c>
      <c r="AC1341" s="2994">
        <v>1.5713999999999999</v>
      </c>
      <c r="AD1341" s="2994">
        <v>1.5713999999999999</v>
      </c>
      <c r="AE1341" s="2994">
        <v>1.7250000000000001</v>
      </c>
      <c r="AF1341" s="2994">
        <v>1.7142999999999999</v>
      </c>
      <c r="AG1341" s="2994">
        <v>1.8972</v>
      </c>
      <c r="AH1341" s="2994">
        <v>1.9112</v>
      </c>
      <c r="AI1341" s="2994">
        <v>2.4335</v>
      </c>
      <c r="AJ1341" s="2994">
        <v>2.7248000000000001</v>
      </c>
      <c r="AK1341" s="2994">
        <v>2.7578999999999998</v>
      </c>
      <c r="AL1341" s="2994">
        <v>3.1175999999999999</v>
      </c>
      <c r="AM1341" s="2994">
        <v>2.9100999999999999</v>
      </c>
      <c r="AN1341" s="2994">
        <v>2.2559999999999998</v>
      </c>
      <c r="AO1341" s="2994">
        <v>2.0116000000000001</v>
      </c>
      <c r="AP1341" s="2994">
        <v>2.2633000000000001</v>
      </c>
      <c r="AQ1341" s="2994">
        <v>2.5377000000000001</v>
      </c>
      <c r="AR1341" s="2994">
        <v>2.4439000000000002</v>
      </c>
      <c r="AS1341" s="2994">
        <v>2.4529000000000001</v>
      </c>
      <c r="AT1341" s="2994">
        <v>2.6316000000000002</v>
      </c>
      <c r="AU1341" s="2994">
        <v>2.9443000000000001</v>
      </c>
      <c r="AV1341" s="2994">
        <v>2.7599</v>
      </c>
      <c r="AW1341" s="2994">
        <v>3.5036999999999998</v>
      </c>
      <c r="AX1341" s="2994">
        <v>3.3946000000000001</v>
      </c>
      <c r="AY1341" s="2994">
        <v>2.7187999999999999</v>
      </c>
      <c r="AZ1341" s="2994">
        <v>3.5558999999999998</v>
      </c>
      <c r="BA1341" s="2994">
        <v>2.8654999999999999</v>
      </c>
      <c r="BB1341" s="2994">
        <v>3.1030000000000002</v>
      </c>
      <c r="BC1341" s="2994">
        <v>3.4119000000000002</v>
      </c>
      <c r="BD1341" s="3471">
        <v>2.9579</v>
      </c>
      <c r="BE1341" s="3471">
        <v>3.3980999999999999</v>
      </c>
      <c r="BF1341" s="3471">
        <v>3.4786999999999999</v>
      </c>
    </row>
    <row r="1342" spans="1:58">
      <c r="A1342" s="1817" t="str">
        <f t="shared" si="41"/>
        <v>Western EuropeCabbages and other brassicas</v>
      </c>
      <c r="B1342" s="1818" t="s">
        <v>301</v>
      </c>
      <c r="C1342" s="1818" t="s">
        <v>7298</v>
      </c>
      <c r="D1342" s="3463" t="str">
        <f>VLOOKUP(B1342,List_Yield!$G$4:$J$14,4,FALSE)</f>
        <v>Western Europe</v>
      </c>
      <c r="E1342" s="3463" t="str">
        <f t="shared" si="42"/>
        <v>Western EuropeCabbages and other brassicas</v>
      </c>
      <c r="F1342" s="2994">
        <v>26.821200000000001</v>
      </c>
      <c r="G1342" s="2994">
        <v>24.702400000000001</v>
      </c>
      <c r="H1342" s="2994">
        <v>27.004799999999999</v>
      </c>
      <c r="I1342" s="2994">
        <v>26.831499999999998</v>
      </c>
      <c r="J1342" s="2994">
        <v>27.544799999999999</v>
      </c>
      <c r="K1342" s="2994">
        <v>30.214300000000001</v>
      </c>
      <c r="L1342" s="2994">
        <v>30.294699999999999</v>
      </c>
      <c r="M1342" s="2994">
        <v>28.636700000000001</v>
      </c>
      <c r="N1342" s="2994">
        <v>27.6435</v>
      </c>
      <c r="O1342" s="2994">
        <v>30.3826</v>
      </c>
      <c r="P1342" s="2994">
        <v>29.604099999999999</v>
      </c>
      <c r="Q1342" s="2994">
        <v>30.902699999999999</v>
      </c>
      <c r="R1342" s="2994">
        <v>32.939799999999998</v>
      </c>
      <c r="S1342" s="2994">
        <v>32.814599999999999</v>
      </c>
      <c r="T1342" s="2994">
        <v>30.600300000000001</v>
      </c>
      <c r="U1342" s="2994">
        <v>29.968900000000001</v>
      </c>
      <c r="V1342" s="2994">
        <v>33.605600000000003</v>
      </c>
      <c r="W1342" s="2994">
        <v>31.4878</v>
      </c>
      <c r="X1342" s="2994">
        <v>32.3232</v>
      </c>
      <c r="Y1342" s="2994">
        <v>29.995999999999999</v>
      </c>
      <c r="Z1342" s="2994">
        <v>33.689399999999999</v>
      </c>
      <c r="AA1342" s="2994">
        <v>33.380899999999997</v>
      </c>
      <c r="AB1342" s="2994">
        <v>29.147099999999998</v>
      </c>
      <c r="AC1342" s="2994">
        <v>32.170099999999998</v>
      </c>
      <c r="AD1342" s="2994">
        <v>32.908099999999997</v>
      </c>
      <c r="AE1342" s="2994">
        <v>33.966700000000003</v>
      </c>
      <c r="AF1342" s="2994">
        <v>31.058</v>
      </c>
      <c r="AG1342" s="2994">
        <v>32.7485</v>
      </c>
      <c r="AH1342" s="2994">
        <v>34.228000000000002</v>
      </c>
      <c r="AI1342" s="2994">
        <v>32.763800000000003</v>
      </c>
      <c r="AJ1342" s="2994">
        <v>34.522100000000002</v>
      </c>
      <c r="AK1342" s="2994">
        <v>36.729999999999997</v>
      </c>
      <c r="AL1342" s="2994">
        <v>37.507800000000003</v>
      </c>
      <c r="AM1342" s="2994">
        <v>34.857500000000002</v>
      </c>
      <c r="AN1342" s="2994">
        <v>36.546999999999997</v>
      </c>
      <c r="AO1342" s="2994">
        <v>37.310499999999998</v>
      </c>
      <c r="AP1342" s="2994">
        <v>37.683999999999997</v>
      </c>
      <c r="AQ1342" s="2994">
        <v>36.300600000000003</v>
      </c>
      <c r="AR1342" s="2994">
        <v>39.65</v>
      </c>
      <c r="AS1342" s="2994">
        <v>40.784300000000002</v>
      </c>
      <c r="AT1342" s="2994">
        <v>36.075600000000001</v>
      </c>
      <c r="AU1342" s="2994">
        <v>34.735100000000003</v>
      </c>
      <c r="AV1342" s="2994">
        <v>35.808199999999999</v>
      </c>
      <c r="AW1342" s="2994">
        <v>37.905099999999997</v>
      </c>
      <c r="AX1342" s="2994">
        <v>37.459400000000002</v>
      </c>
      <c r="AY1342" s="2994">
        <v>37.655200000000001</v>
      </c>
      <c r="AZ1342" s="2994">
        <v>41.6004</v>
      </c>
      <c r="BA1342" s="2994">
        <v>45.877699999999997</v>
      </c>
      <c r="BB1342" s="2994">
        <v>47.948</v>
      </c>
      <c r="BC1342" s="2994">
        <v>49.556199999999997</v>
      </c>
      <c r="BD1342" s="3471">
        <v>51.018700000000003</v>
      </c>
      <c r="BE1342" s="3471">
        <v>48.472799999999999</v>
      </c>
      <c r="BF1342" s="3471">
        <v>0</v>
      </c>
    </row>
    <row r="1343" spans="1:58">
      <c r="A1343" s="1817" t="str">
        <f t="shared" si="41"/>
        <v>Western EuropeCanary seed</v>
      </c>
      <c r="B1343" s="1818" t="s">
        <v>301</v>
      </c>
      <c r="C1343" s="1818" t="s">
        <v>7299</v>
      </c>
      <c r="D1343" s="3463" t="str">
        <f>VLOOKUP(B1343,List_Yield!$G$4:$J$14,4,FALSE)</f>
        <v>Western Europe</v>
      </c>
      <c r="E1343" s="3463" t="str">
        <f t="shared" si="42"/>
        <v>Western EuropeCanary seed</v>
      </c>
      <c r="F1343" s="2994">
        <v>2.1345000000000001</v>
      </c>
      <c r="G1343" s="2994">
        <v>2.2917999999999998</v>
      </c>
      <c r="H1343" s="2994">
        <v>2.0777000000000001</v>
      </c>
      <c r="I1343" s="2994">
        <v>2.4946999999999999</v>
      </c>
      <c r="J1343" s="2994">
        <v>1.9167000000000001</v>
      </c>
      <c r="K1343" s="2994">
        <v>1.5</v>
      </c>
      <c r="L1343" s="2994">
        <v>2</v>
      </c>
      <c r="M1343" s="2994">
        <v>2</v>
      </c>
      <c r="N1343" s="2994">
        <v>2.0133999999999999</v>
      </c>
      <c r="O1343" s="2994">
        <v>1.8519000000000001</v>
      </c>
      <c r="P1343" s="2994">
        <v>0</v>
      </c>
      <c r="Q1343" s="2994">
        <v>0</v>
      </c>
      <c r="R1343" s="2994">
        <v>0</v>
      </c>
      <c r="S1343" s="2994">
        <v>0</v>
      </c>
      <c r="T1343" s="2994">
        <v>0</v>
      </c>
      <c r="U1343" s="2994">
        <v>0</v>
      </c>
      <c r="V1343" s="2994">
        <v>0</v>
      </c>
      <c r="W1343" s="2994">
        <v>0</v>
      </c>
      <c r="X1343" s="2994">
        <v>0</v>
      </c>
      <c r="Y1343" s="2994">
        <v>0</v>
      </c>
      <c r="Z1343" s="2994">
        <v>0</v>
      </c>
      <c r="AA1343" s="2994">
        <v>0</v>
      </c>
      <c r="AB1343" s="2994">
        <v>0</v>
      </c>
      <c r="AC1343" s="2994">
        <v>0</v>
      </c>
      <c r="AD1343" s="2994">
        <v>0</v>
      </c>
      <c r="AE1343" s="2994">
        <v>0</v>
      </c>
      <c r="AF1343" s="2994">
        <v>0</v>
      </c>
      <c r="AG1343" s="2994">
        <v>0</v>
      </c>
      <c r="AH1343" s="2994">
        <v>0</v>
      </c>
      <c r="AI1343" s="2994">
        <v>0</v>
      </c>
      <c r="AJ1343" s="2994">
        <v>0</v>
      </c>
      <c r="AK1343" s="2994">
        <v>0</v>
      </c>
      <c r="AL1343" s="2994">
        <v>0</v>
      </c>
      <c r="AM1343" s="2994">
        <v>0</v>
      </c>
      <c r="AN1343" s="2994">
        <v>0</v>
      </c>
      <c r="AO1343" s="2994">
        <v>0</v>
      </c>
      <c r="AP1343" s="2994">
        <v>0</v>
      </c>
      <c r="AQ1343" s="2994">
        <v>0</v>
      </c>
      <c r="AR1343" s="2994">
        <v>0</v>
      </c>
      <c r="AS1343" s="2994">
        <v>0</v>
      </c>
      <c r="AT1343" s="2994">
        <v>0</v>
      </c>
      <c r="AU1343" s="2994">
        <v>0</v>
      </c>
      <c r="AV1343" s="2994">
        <v>0</v>
      </c>
      <c r="AW1343" s="2994">
        <v>0</v>
      </c>
      <c r="AX1343" s="2994">
        <v>0</v>
      </c>
      <c r="AY1343" s="2994">
        <v>0</v>
      </c>
      <c r="AZ1343" s="2994">
        <v>0</v>
      </c>
      <c r="BA1343" s="2994">
        <v>0</v>
      </c>
      <c r="BB1343" s="2994">
        <v>0</v>
      </c>
      <c r="BC1343" s="2994">
        <v>0</v>
      </c>
      <c r="BD1343" s="3471">
        <v>0</v>
      </c>
      <c r="BE1343" s="3471">
        <v>0</v>
      </c>
      <c r="BF1343" s="3471">
        <v>0</v>
      </c>
    </row>
    <row r="1344" spans="1:58">
      <c r="A1344" s="1817" t="str">
        <f t="shared" si="41"/>
        <v>Western EuropeCarobs</v>
      </c>
      <c r="B1344" s="1818" t="s">
        <v>301</v>
      </c>
      <c r="C1344" s="1818" t="s">
        <v>7300</v>
      </c>
      <c r="D1344" s="3463" t="str">
        <f>VLOOKUP(B1344,List_Yield!$G$4:$J$14,4,FALSE)</f>
        <v>Western Europe</v>
      </c>
      <c r="E1344" s="3463" t="str">
        <f t="shared" si="42"/>
        <v>Western EuropeCarobs</v>
      </c>
      <c r="F1344" s="2994">
        <v>0</v>
      </c>
      <c r="G1344" s="2994">
        <v>0</v>
      </c>
      <c r="H1344" s="2994">
        <v>0</v>
      </c>
      <c r="I1344" s="2994">
        <v>0</v>
      </c>
      <c r="J1344" s="2994">
        <v>0</v>
      </c>
      <c r="K1344" s="2994">
        <v>0</v>
      </c>
      <c r="L1344" s="2994">
        <v>0</v>
      </c>
      <c r="M1344" s="2994">
        <v>0</v>
      </c>
      <c r="N1344" s="2994">
        <v>0</v>
      </c>
      <c r="O1344" s="2994">
        <v>0</v>
      </c>
      <c r="P1344" s="2994">
        <v>0</v>
      </c>
      <c r="Q1344" s="2994">
        <v>0</v>
      </c>
      <c r="R1344" s="2994">
        <v>0</v>
      </c>
      <c r="S1344" s="2994">
        <v>0</v>
      </c>
      <c r="T1344" s="2994">
        <v>0</v>
      </c>
      <c r="U1344" s="2994">
        <v>0</v>
      </c>
      <c r="V1344" s="2994">
        <v>0</v>
      </c>
      <c r="W1344" s="2994">
        <v>0</v>
      </c>
      <c r="X1344" s="2994">
        <v>0</v>
      </c>
      <c r="Y1344" s="2994">
        <v>0</v>
      </c>
      <c r="Z1344" s="2994">
        <v>0</v>
      </c>
      <c r="AA1344" s="2994">
        <v>0</v>
      </c>
      <c r="AB1344" s="2994">
        <v>0</v>
      </c>
      <c r="AC1344" s="2994">
        <v>0</v>
      </c>
      <c r="AD1344" s="2994">
        <v>0</v>
      </c>
      <c r="AE1344" s="2994">
        <v>0</v>
      </c>
      <c r="AF1344" s="2994">
        <v>0</v>
      </c>
      <c r="AG1344" s="2994">
        <v>0</v>
      </c>
      <c r="AH1344" s="2994">
        <v>0</v>
      </c>
      <c r="AI1344" s="2994">
        <v>0</v>
      </c>
      <c r="AJ1344" s="2994">
        <v>0</v>
      </c>
      <c r="AK1344" s="2994">
        <v>0</v>
      </c>
      <c r="AL1344" s="2994">
        <v>0</v>
      </c>
      <c r="AM1344" s="2994">
        <v>0</v>
      </c>
      <c r="AN1344" s="2994">
        <v>0</v>
      </c>
      <c r="AO1344" s="2994">
        <v>0</v>
      </c>
      <c r="AP1344" s="2994">
        <v>0</v>
      </c>
      <c r="AQ1344" s="2994">
        <v>0</v>
      </c>
      <c r="AR1344" s="2994">
        <v>0</v>
      </c>
      <c r="AS1344" s="2994">
        <v>0</v>
      </c>
      <c r="AT1344" s="2994">
        <v>0</v>
      </c>
      <c r="AU1344" s="2994">
        <v>0</v>
      </c>
      <c r="AV1344" s="2994">
        <v>0</v>
      </c>
      <c r="AW1344" s="2994">
        <v>0</v>
      </c>
      <c r="AX1344" s="2994">
        <v>0</v>
      </c>
      <c r="AY1344" s="2994">
        <v>0</v>
      </c>
      <c r="AZ1344" s="2994">
        <v>0</v>
      </c>
      <c r="BA1344" s="2994">
        <v>0</v>
      </c>
      <c r="BB1344" s="2994">
        <v>0</v>
      </c>
      <c r="BC1344" s="2994">
        <v>0</v>
      </c>
      <c r="BD1344" s="3471">
        <v>0</v>
      </c>
      <c r="BE1344" s="3471">
        <v>0</v>
      </c>
      <c r="BF1344" s="3471">
        <v>0</v>
      </c>
    </row>
    <row r="1345" spans="1:58">
      <c r="A1345" s="1817" t="str">
        <f t="shared" si="41"/>
        <v>Western EuropeCarrots and turnips</v>
      </c>
      <c r="B1345" s="1818" t="s">
        <v>301</v>
      </c>
      <c r="C1345" s="1818" t="s">
        <v>1340</v>
      </c>
      <c r="D1345" s="3463" t="str">
        <f>VLOOKUP(B1345,List_Yield!$G$4:$J$14,4,FALSE)</f>
        <v>Western Europe</v>
      </c>
      <c r="E1345" s="3463" t="str">
        <f t="shared" si="42"/>
        <v>Western EuropeCarrots and turnips</v>
      </c>
      <c r="F1345" s="2994">
        <v>25.7318</v>
      </c>
      <c r="G1345" s="2994">
        <v>26.242000000000001</v>
      </c>
      <c r="H1345" s="2994">
        <v>28.1996</v>
      </c>
      <c r="I1345" s="2994">
        <v>28.528400000000001</v>
      </c>
      <c r="J1345" s="2994">
        <v>28.303000000000001</v>
      </c>
      <c r="K1345" s="2994">
        <v>30.6205</v>
      </c>
      <c r="L1345" s="2994">
        <v>31.060600000000001</v>
      </c>
      <c r="M1345" s="2994">
        <v>30.427499999999998</v>
      </c>
      <c r="N1345" s="2994">
        <v>29.549600000000002</v>
      </c>
      <c r="O1345" s="2994">
        <v>27.997199999999999</v>
      </c>
      <c r="P1345" s="2994">
        <v>30.3064</v>
      </c>
      <c r="Q1345" s="2994">
        <v>32.266399999999997</v>
      </c>
      <c r="R1345" s="2994">
        <v>29.994900000000001</v>
      </c>
      <c r="S1345" s="2994">
        <v>28.7378</v>
      </c>
      <c r="T1345" s="2994">
        <v>28.6084</v>
      </c>
      <c r="U1345" s="2994">
        <v>24.896799999999999</v>
      </c>
      <c r="V1345" s="2994">
        <v>31.0242</v>
      </c>
      <c r="W1345" s="2994">
        <v>31.392299999999999</v>
      </c>
      <c r="X1345" s="2994">
        <v>31.033300000000001</v>
      </c>
      <c r="Y1345" s="2994">
        <v>32.045200000000001</v>
      </c>
      <c r="Z1345" s="2994">
        <v>32.8352</v>
      </c>
      <c r="AA1345" s="2994">
        <v>31.668199999999999</v>
      </c>
      <c r="AB1345" s="2994">
        <v>30.7973</v>
      </c>
      <c r="AC1345" s="2994">
        <v>35.478900000000003</v>
      </c>
      <c r="AD1345" s="2994">
        <v>36.458599999999997</v>
      </c>
      <c r="AE1345" s="2994">
        <v>35.443100000000001</v>
      </c>
      <c r="AF1345" s="2994">
        <v>37.942799999999998</v>
      </c>
      <c r="AG1345" s="2994">
        <v>36.546399999999998</v>
      </c>
      <c r="AH1345" s="2994">
        <v>35.119199999999999</v>
      </c>
      <c r="AI1345" s="2994">
        <v>36.914099999999998</v>
      </c>
      <c r="AJ1345" s="2994">
        <v>39.311300000000003</v>
      </c>
      <c r="AK1345" s="2994">
        <v>40.7211</v>
      </c>
      <c r="AL1345" s="2994">
        <v>41.634900000000002</v>
      </c>
      <c r="AM1345" s="2994">
        <v>37.757399999999997</v>
      </c>
      <c r="AN1345" s="2994">
        <v>38.765099999999997</v>
      </c>
      <c r="AO1345" s="2994">
        <v>40.401800000000001</v>
      </c>
      <c r="AP1345" s="2994">
        <v>43.121299999999998</v>
      </c>
      <c r="AQ1345" s="2994">
        <v>40.673499999999997</v>
      </c>
      <c r="AR1345" s="2994">
        <v>45.4148</v>
      </c>
      <c r="AS1345" s="2994">
        <v>43.576700000000002</v>
      </c>
      <c r="AT1345" s="2994">
        <v>43.940199999999997</v>
      </c>
      <c r="AU1345" s="2994">
        <v>48.176900000000003</v>
      </c>
      <c r="AV1345" s="2994">
        <v>47.103299999999997</v>
      </c>
      <c r="AW1345" s="2994">
        <v>52.072699999999998</v>
      </c>
      <c r="AX1345" s="2994">
        <v>51.796900000000001</v>
      </c>
      <c r="AY1345" s="2994">
        <v>44.487900000000003</v>
      </c>
      <c r="AZ1345" s="2994">
        <v>46.037199999999999</v>
      </c>
      <c r="BA1345" s="2994">
        <v>44.270099999999999</v>
      </c>
      <c r="BB1345" s="2994">
        <v>44.874299999999998</v>
      </c>
      <c r="BC1345" s="2994">
        <v>44.963799999999999</v>
      </c>
      <c r="BD1345" s="3471">
        <v>52.308999999999997</v>
      </c>
      <c r="BE1345" s="3471">
        <v>53.467300000000002</v>
      </c>
      <c r="BF1345" s="3471">
        <v>0</v>
      </c>
    </row>
    <row r="1346" spans="1:58">
      <c r="A1346" s="1817" t="str">
        <f t="shared" ref="A1346:A1409" si="43">CONCATENATE(B1346,C1346)</f>
        <v>Western EuropeCashew nuts, with shell</v>
      </c>
      <c r="B1346" s="1818" t="s">
        <v>301</v>
      </c>
      <c r="C1346" s="1818" t="s">
        <v>1341</v>
      </c>
      <c r="D1346" s="3463" t="str">
        <f>VLOOKUP(B1346,List_Yield!$G$4:$J$14,4,FALSE)</f>
        <v>Western Europe</v>
      </c>
      <c r="E1346" s="3463" t="str">
        <f t="shared" si="42"/>
        <v>Western EuropeCashew nuts, with shell</v>
      </c>
      <c r="F1346" s="2994">
        <v>0</v>
      </c>
      <c r="G1346" s="2994">
        <v>0</v>
      </c>
      <c r="H1346" s="2994">
        <v>0</v>
      </c>
      <c r="I1346" s="2994">
        <v>0</v>
      </c>
      <c r="J1346" s="2994">
        <v>0</v>
      </c>
      <c r="K1346" s="2994">
        <v>0</v>
      </c>
      <c r="L1346" s="2994">
        <v>0</v>
      </c>
      <c r="M1346" s="2994">
        <v>0</v>
      </c>
      <c r="N1346" s="2994">
        <v>0</v>
      </c>
      <c r="O1346" s="2994">
        <v>0</v>
      </c>
      <c r="P1346" s="2994">
        <v>0</v>
      </c>
      <c r="Q1346" s="2994">
        <v>0</v>
      </c>
      <c r="R1346" s="2994">
        <v>0</v>
      </c>
      <c r="S1346" s="2994">
        <v>0</v>
      </c>
      <c r="T1346" s="2994">
        <v>0</v>
      </c>
      <c r="U1346" s="2994">
        <v>0</v>
      </c>
      <c r="V1346" s="2994">
        <v>0</v>
      </c>
      <c r="W1346" s="2994">
        <v>0</v>
      </c>
      <c r="X1346" s="2994">
        <v>0</v>
      </c>
      <c r="Y1346" s="2994">
        <v>0</v>
      </c>
      <c r="Z1346" s="2994">
        <v>0</v>
      </c>
      <c r="AA1346" s="2994">
        <v>0</v>
      </c>
      <c r="AB1346" s="2994">
        <v>0</v>
      </c>
      <c r="AC1346" s="2994">
        <v>0</v>
      </c>
      <c r="AD1346" s="2994">
        <v>0</v>
      </c>
      <c r="AE1346" s="2994">
        <v>0</v>
      </c>
      <c r="AF1346" s="2994">
        <v>0</v>
      </c>
      <c r="AG1346" s="2994">
        <v>0</v>
      </c>
      <c r="AH1346" s="2994">
        <v>0</v>
      </c>
      <c r="AI1346" s="2994">
        <v>0</v>
      </c>
      <c r="AJ1346" s="2994">
        <v>0</v>
      </c>
      <c r="AK1346" s="2994">
        <v>0</v>
      </c>
      <c r="AL1346" s="2994">
        <v>0</v>
      </c>
      <c r="AM1346" s="2994">
        <v>0</v>
      </c>
      <c r="AN1346" s="2994">
        <v>0</v>
      </c>
      <c r="AO1346" s="2994">
        <v>0</v>
      </c>
      <c r="AP1346" s="2994">
        <v>0</v>
      </c>
      <c r="AQ1346" s="2994">
        <v>0</v>
      </c>
      <c r="AR1346" s="2994">
        <v>0</v>
      </c>
      <c r="AS1346" s="2994">
        <v>0</v>
      </c>
      <c r="AT1346" s="2994">
        <v>0</v>
      </c>
      <c r="AU1346" s="2994">
        <v>0</v>
      </c>
      <c r="AV1346" s="2994">
        <v>0</v>
      </c>
      <c r="AW1346" s="2994">
        <v>0</v>
      </c>
      <c r="AX1346" s="2994">
        <v>0</v>
      </c>
      <c r="AY1346" s="2994">
        <v>0</v>
      </c>
      <c r="AZ1346" s="2994">
        <v>0</v>
      </c>
      <c r="BA1346" s="2994">
        <v>0</v>
      </c>
      <c r="BB1346" s="2994">
        <v>0</v>
      </c>
      <c r="BC1346" s="2994">
        <v>0</v>
      </c>
      <c r="BD1346" s="3471">
        <v>0</v>
      </c>
      <c r="BE1346" s="3471">
        <v>0</v>
      </c>
      <c r="BF1346" s="3471">
        <v>0</v>
      </c>
    </row>
    <row r="1347" spans="1:58">
      <c r="A1347" s="1817" t="str">
        <f t="shared" si="43"/>
        <v>Western EuropeCashewapple</v>
      </c>
      <c r="B1347" s="1818" t="s">
        <v>301</v>
      </c>
      <c r="C1347" s="1818" t="s">
        <v>7301</v>
      </c>
      <c r="D1347" s="3463" t="str">
        <f>VLOOKUP(B1347,List_Yield!$G$4:$J$14,4,FALSE)</f>
        <v>Western Europe</v>
      </c>
      <c r="E1347" s="3463" t="str">
        <f t="shared" si="42"/>
        <v>Western EuropeCashewapple</v>
      </c>
      <c r="F1347" s="2994">
        <v>0</v>
      </c>
      <c r="G1347" s="2994">
        <v>0</v>
      </c>
      <c r="H1347" s="2994">
        <v>0</v>
      </c>
      <c r="I1347" s="2994">
        <v>0</v>
      </c>
      <c r="J1347" s="2994">
        <v>0</v>
      </c>
      <c r="K1347" s="2994">
        <v>0</v>
      </c>
      <c r="L1347" s="2994">
        <v>0</v>
      </c>
      <c r="M1347" s="2994">
        <v>0</v>
      </c>
      <c r="N1347" s="2994">
        <v>0</v>
      </c>
      <c r="O1347" s="2994">
        <v>0</v>
      </c>
      <c r="P1347" s="2994">
        <v>0</v>
      </c>
      <c r="Q1347" s="2994">
        <v>0</v>
      </c>
      <c r="R1347" s="2994">
        <v>0</v>
      </c>
      <c r="S1347" s="2994">
        <v>0</v>
      </c>
      <c r="T1347" s="2994">
        <v>0</v>
      </c>
      <c r="U1347" s="2994">
        <v>0</v>
      </c>
      <c r="V1347" s="2994">
        <v>0</v>
      </c>
      <c r="W1347" s="2994">
        <v>0</v>
      </c>
      <c r="X1347" s="2994">
        <v>0</v>
      </c>
      <c r="Y1347" s="2994">
        <v>0</v>
      </c>
      <c r="Z1347" s="2994">
        <v>0</v>
      </c>
      <c r="AA1347" s="2994">
        <v>0</v>
      </c>
      <c r="AB1347" s="2994">
        <v>0</v>
      </c>
      <c r="AC1347" s="2994">
        <v>0</v>
      </c>
      <c r="AD1347" s="2994">
        <v>0</v>
      </c>
      <c r="AE1347" s="2994">
        <v>0</v>
      </c>
      <c r="AF1347" s="2994">
        <v>0</v>
      </c>
      <c r="AG1347" s="2994">
        <v>0</v>
      </c>
      <c r="AH1347" s="2994">
        <v>0</v>
      </c>
      <c r="AI1347" s="2994">
        <v>0</v>
      </c>
      <c r="AJ1347" s="2994">
        <v>0</v>
      </c>
      <c r="AK1347" s="2994">
        <v>0</v>
      </c>
      <c r="AL1347" s="2994">
        <v>0</v>
      </c>
      <c r="AM1347" s="2994">
        <v>0</v>
      </c>
      <c r="AN1347" s="2994">
        <v>0</v>
      </c>
      <c r="AO1347" s="2994">
        <v>0</v>
      </c>
      <c r="AP1347" s="2994">
        <v>0</v>
      </c>
      <c r="AQ1347" s="2994">
        <v>0</v>
      </c>
      <c r="AR1347" s="2994">
        <v>0</v>
      </c>
      <c r="AS1347" s="2994">
        <v>0</v>
      </c>
      <c r="AT1347" s="2994">
        <v>0</v>
      </c>
      <c r="AU1347" s="2994">
        <v>0</v>
      </c>
      <c r="AV1347" s="2994">
        <v>0</v>
      </c>
      <c r="AW1347" s="2994">
        <v>0</v>
      </c>
      <c r="AX1347" s="2994">
        <v>0</v>
      </c>
      <c r="AY1347" s="2994">
        <v>0</v>
      </c>
      <c r="AZ1347" s="2994">
        <v>0</v>
      </c>
      <c r="BA1347" s="2994">
        <v>0</v>
      </c>
      <c r="BB1347" s="2994">
        <v>0</v>
      </c>
      <c r="BC1347" s="2994">
        <v>0</v>
      </c>
      <c r="BD1347" s="3471">
        <v>0</v>
      </c>
      <c r="BE1347" s="3471">
        <v>0</v>
      </c>
      <c r="BF1347" s="3471">
        <v>0</v>
      </c>
    </row>
    <row r="1348" spans="1:58">
      <c r="A1348" s="1817" t="str">
        <f t="shared" si="43"/>
        <v>Western EuropeCassava</v>
      </c>
      <c r="B1348" s="1818" t="s">
        <v>301</v>
      </c>
      <c r="C1348" s="1818" t="s">
        <v>1342</v>
      </c>
      <c r="D1348" s="3463" t="str">
        <f>VLOOKUP(B1348,List_Yield!$G$4:$J$14,4,FALSE)</f>
        <v>Western Europe</v>
      </c>
      <c r="E1348" s="3463" t="str">
        <f t="shared" si="42"/>
        <v>Western EuropeCassava</v>
      </c>
      <c r="F1348" s="2994">
        <v>0</v>
      </c>
      <c r="G1348" s="2994">
        <v>0</v>
      </c>
      <c r="H1348" s="2994">
        <v>0</v>
      </c>
      <c r="I1348" s="2994">
        <v>0</v>
      </c>
      <c r="J1348" s="2994">
        <v>0</v>
      </c>
      <c r="K1348" s="2994">
        <v>0</v>
      </c>
      <c r="L1348" s="2994">
        <v>0</v>
      </c>
      <c r="M1348" s="2994">
        <v>0</v>
      </c>
      <c r="N1348" s="2994">
        <v>0</v>
      </c>
      <c r="O1348" s="2994">
        <v>0</v>
      </c>
      <c r="P1348" s="2994">
        <v>0</v>
      </c>
      <c r="Q1348" s="2994">
        <v>0</v>
      </c>
      <c r="R1348" s="2994">
        <v>0</v>
      </c>
      <c r="S1348" s="2994">
        <v>0</v>
      </c>
      <c r="T1348" s="2994">
        <v>0</v>
      </c>
      <c r="U1348" s="2994">
        <v>0</v>
      </c>
      <c r="V1348" s="2994">
        <v>0</v>
      </c>
      <c r="W1348" s="2994">
        <v>0</v>
      </c>
      <c r="X1348" s="2994">
        <v>0</v>
      </c>
      <c r="Y1348" s="2994">
        <v>0</v>
      </c>
      <c r="Z1348" s="2994">
        <v>0</v>
      </c>
      <c r="AA1348" s="2994">
        <v>0</v>
      </c>
      <c r="AB1348" s="2994">
        <v>0</v>
      </c>
      <c r="AC1348" s="2994">
        <v>0</v>
      </c>
      <c r="AD1348" s="2994">
        <v>0</v>
      </c>
      <c r="AE1348" s="2994">
        <v>0</v>
      </c>
      <c r="AF1348" s="2994">
        <v>0</v>
      </c>
      <c r="AG1348" s="2994">
        <v>0</v>
      </c>
      <c r="AH1348" s="2994">
        <v>0</v>
      </c>
      <c r="AI1348" s="2994">
        <v>0</v>
      </c>
      <c r="AJ1348" s="2994">
        <v>0</v>
      </c>
      <c r="AK1348" s="2994">
        <v>0</v>
      </c>
      <c r="AL1348" s="2994">
        <v>0</v>
      </c>
      <c r="AM1348" s="2994">
        <v>0</v>
      </c>
      <c r="AN1348" s="2994">
        <v>0</v>
      </c>
      <c r="AO1348" s="2994">
        <v>0</v>
      </c>
      <c r="AP1348" s="2994">
        <v>0</v>
      </c>
      <c r="AQ1348" s="2994">
        <v>0</v>
      </c>
      <c r="AR1348" s="2994">
        <v>0</v>
      </c>
      <c r="AS1348" s="2994">
        <v>0</v>
      </c>
      <c r="AT1348" s="2994">
        <v>0</v>
      </c>
      <c r="AU1348" s="2994">
        <v>0</v>
      </c>
      <c r="AV1348" s="2994">
        <v>0</v>
      </c>
      <c r="AW1348" s="2994">
        <v>0</v>
      </c>
      <c r="AX1348" s="2994">
        <v>0</v>
      </c>
      <c r="AY1348" s="2994">
        <v>0</v>
      </c>
      <c r="AZ1348" s="2994">
        <v>0</v>
      </c>
      <c r="BA1348" s="2994">
        <v>0</v>
      </c>
      <c r="BB1348" s="2994">
        <v>0</v>
      </c>
      <c r="BC1348" s="2994">
        <v>0</v>
      </c>
      <c r="BD1348" s="3471">
        <v>0</v>
      </c>
      <c r="BE1348" s="3471">
        <v>0</v>
      </c>
      <c r="BF1348" s="3471">
        <v>0</v>
      </c>
    </row>
    <row r="1349" spans="1:58">
      <c r="A1349" s="1817" t="str">
        <f t="shared" si="43"/>
        <v>Western EuropeCassava leaves</v>
      </c>
      <c r="B1349" s="1818" t="s">
        <v>301</v>
      </c>
      <c r="C1349" s="1818" t="s">
        <v>7302</v>
      </c>
      <c r="D1349" s="3463" t="str">
        <f>VLOOKUP(B1349,List_Yield!$G$4:$J$14,4,FALSE)</f>
        <v>Western Europe</v>
      </c>
      <c r="E1349" s="3463" t="str">
        <f t="shared" si="42"/>
        <v>Western EuropeCassava leaves</v>
      </c>
      <c r="F1349" s="2994">
        <v>0</v>
      </c>
      <c r="G1349" s="2994">
        <v>0</v>
      </c>
      <c r="H1349" s="2994">
        <v>0</v>
      </c>
      <c r="I1349" s="2994">
        <v>0</v>
      </c>
      <c r="J1349" s="2994">
        <v>0</v>
      </c>
      <c r="K1349" s="2994">
        <v>0</v>
      </c>
      <c r="L1349" s="2994">
        <v>0</v>
      </c>
      <c r="M1349" s="2994">
        <v>0</v>
      </c>
      <c r="N1349" s="2994">
        <v>0</v>
      </c>
      <c r="O1349" s="2994">
        <v>0</v>
      </c>
      <c r="P1349" s="2994">
        <v>0</v>
      </c>
      <c r="Q1349" s="2994">
        <v>0</v>
      </c>
      <c r="R1349" s="2994">
        <v>0</v>
      </c>
      <c r="S1349" s="2994">
        <v>0</v>
      </c>
      <c r="T1349" s="2994">
        <v>0</v>
      </c>
      <c r="U1349" s="2994">
        <v>0</v>
      </c>
      <c r="V1349" s="2994">
        <v>0</v>
      </c>
      <c r="W1349" s="2994">
        <v>0</v>
      </c>
      <c r="X1349" s="2994">
        <v>0</v>
      </c>
      <c r="Y1349" s="2994">
        <v>0</v>
      </c>
      <c r="Z1349" s="2994">
        <v>0</v>
      </c>
      <c r="AA1349" s="2994">
        <v>0</v>
      </c>
      <c r="AB1349" s="2994">
        <v>0</v>
      </c>
      <c r="AC1349" s="2994">
        <v>0</v>
      </c>
      <c r="AD1349" s="2994">
        <v>0</v>
      </c>
      <c r="AE1349" s="2994">
        <v>0</v>
      </c>
      <c r="AF1349" s="2994">
        <v>0</v>
      </c>
      <c r="AG1349" s="2994">
        <v>0</v>
      </c>
      <c r="AH1349" s="2994">
        <v>0</v>
      </c>
      <c r="AI1349" s="2994">
        <v>0</v>
      </c>
      <c r="AJ1349" s="2994">
        <v>0</v>
      </c>
      <c r="AK1349" s="2994">
        <v>0</v>
      </c>
      <c r="AL1349" s="2994">
        <v>0</v>
      </c>
      <c r="AM1349" s="2994">
        <v>0</v>
      </c>
      <c r="AN1349" s="2994">
        <v>0</v>
      </c>
      <c r="AO1349" s="2994">
        <v>0</v>
      </c>
      <c r="AP1349" s="2994">
        <v>0</v>
      </c>
      <c r="AQ1349" s="2994">
        <v>0</v>
      </c>
      <c r="AR1349" s="2994">
        <v>0</v>
      </c>
      <c r="AS1349" s="2994">
        <v>0</v>
      </c>
      <c r="AT1349" s="2994">
        <v>0</v>
      </c>
      <c r="AU1349" s="2994">
        <v>0</v>
      </c>
      <c r="AV1349" s="2994">
        <v>0</v>
      </c>
      <c r="AW1349" s="2994">
        <v>0</v>
      </c>
      <c r="AX1349" s="2994">
        <v>0</v>
      </c>
      <c r="AY1349" s="2994">
        <v>0</v>
      </c>
      <c r="AZ1349" s="2994">
        <v>0</v>
      </c>
      <c r="BA1349" s="2994">
        <v>0</v>
      </c>
      <c r="BB1349" s="2994">
        <v>0</v>
      </c>
      <c r="BC1349" s="2994">
        <v>0</v>
      </c>
      <c r="BD1349" s="3471">
        <v>0</v>
      </c>
      <c r="BE1349" s="3471">
        <v>0</v>
      </c>
      <c r="BF1349" s="3471">
        <v>0</v>
      </c>
    </row>
    <row r="1350" spans="1:58">
      <c r="A1350" s="1817" t="str">
        <f t="shared" si="43"/>
        <v>Western EuropeCastor oil seed</v>
      </c>
      <c r="B1350" s="1818" t="s">
        <v>301</v>
      </c>
      <c r="C1350" s="1818" t="s">
        <v>7303</v>
      </c>
      <c r="D1350" s="3463" t="str">
        <f>VLOOKUP(B1350,List_Yield!$G$4:$J$14,4,FALSE)</f>
        <v>Western Europe</v>
      </c>
      <c r="E1350" s="3463" t="str">
        <f t="shared" si="42"/>
        <v>Western EuropeCastor oil seed</v>
      </c>
      <c r="F1350" s="2994">
        <v>0</v>
      </c>
      <c r="G1350" s="2994">
        <v>0</v>
      </c>
      <c r="H1350" s="2994">
        <v>0</v>
      </c>
      <c r="I1350" s="2994">
        <v>0</v>
      </c>
      <c r="J1350" s="2994">
        <v>0</v>
      </c>
      <c r="K1350" s="2994">
        <v>0</v>
      </c>
      <c r="L1350" s="2994">
        <v>0</v>
      </c>
      <c r="M1350" s="2994">
        <v>0</v>
      </c>
      <c r="N1350" s="2994">
        <v>0</v>
      </c>
      <c r="O1350" s="2994">
        <v>0</v>
      </c>
      <c r="P1350" s="2994">
        <v>0</v>
      </c>
      <c r="Q1350" s="2994">
        <v>0</v>
      </c>
      <c r="R1350" s="2994">
        <v>0</v>
      </c>
      <c r="S1350" s="2994">
        <v>0</v>
      </c>
      <c r="T1350" s="2994">
        <v>0</v>
      </c>
      <c r="U1350" s="2994">
        <v>0</v>
      </c>
      <c r="V1350" s="2994">
        <v>0</v>
      </c>
      <c r="W1350" s="2994">
        <v>0</v>
      </c>
      <c r="X1350" s="2994">
        <v>0</v>
      </c>
      <c r="Y1350" s="2994">
        <v>0</v>
      </c>
      <c r="Z1350" s="2994">
        <v>0</v>
      </c>
      <c r="AA1350" s="2994">
        <v>0</v>
      </c>
      <c r="AB1350" s="2994">
        <v>0</v>
      </c>
      <c r="AC1350" s="2994">
        <v>0</v>
      </c>
      <c r="AD1350" s="2994">
        <v>0</v>
      </c>
      <c r="AE1350" s="2994">
        <v>0</v>
      </c>
      <c r="AF1350" s="2994">
        <v>0</v>
      </c>
      <c r="AG1350" s="2994">
        <v>0</v>
      </c>
      <c r="AH1350" s="2994">
        <v>0</v>
      </c>
      <c r="AI1350" s="2994">
        <v>0</v>
      </c>
      <c r="AJ1350" s="2994">
        <v>0</v>
      </c>
      <c r="AK1350" s="2994">
        <v>0</v>
      </c>
      <c r="AL1350" s="2994">
        <v>0</v>
      </c>
      <c r="AM1350" s="2994">
        <v>0</v>
      </c>
      <c r="AN1350" s="2994">
        <v>0</v>
      </c>
      <c r="AO1350" s="2994">
        <v>0</v>
      </c>
      <c r="AP1350" s="2994">
        <v>0</v>
      </c>
      <c r="AQ1350" s="2994">
        <v>0</v>
      </c>
      <c r="AR1350" s="2994">
        <v>0</v>
      </c>
      <c r="AS1350" s="2994">
        <v>0</v>
      </c>
      <c r="AT1350" s="2994">
        <v>0</v>
      </c>
      <c r="AU1350" s="2994">
        <v>0</v>
      </c>
      <c r="AV1350" s="2994">
        <v>0</v>
      </c>
      <c r="AW1350" s="2994">
        <v>0</v>
      </c>
      <c r="AX1350" s="2994">
        <v>0</v>
      </c>
      <c r="AY1350" s="2994">
        <v>0</v>
      </c>
      <c r="AZ1350" s="2994">
        <v>0</v>
      </c>
      <c r="BA1350" s="2994">
        <v>0</v>
      </c>
      <c r="BB1350" s="2994">
        <v>0</v>
      </c>
      <c r="BC1350" s="2994">
        <v>0</v>
      </c>
      <c r="BD1350" s="3471">
        <v>0</v>
      </c>
      <c r="BE1350" s="3471">
        <v>0</v>
      </c>
      <c r="BF1350" s="3471">
        <v>0</v>
      </c>
    </row>
    <row r="1351" spans="1:58">
      <c r="A1351" s="1817" t="str">
        <f t="shared" si="43"/>
        <v>Western EuropeCauliflowers and broccoli</v>
      </c>
      <c r="B1351" s="1818" t="s">
        <v>301</v>
      </c>
      <c r="C1351" s="1818" t="s">
        <v>1343</v>
      </c>
      <c r="D1351" s="3463" t="str">
        <f>VLOOKUP(B1351,List_Yield!$G$4:$J$14,4,FALSE)</f>
        <v>Western Europe</v>
      </c>
      <c r="E1351" s="3463" t="str">
        <f t="shared" si="42"/>
        <v>Western EuropeCauliflowers and broccoli</v>
      </c>
      <c r="F1351" s="2994">
        <v>17.7102</v>
      </c>
      <c r="G1351" s="2994">
        <v>16.346900000000002</v>
      </c>
      <c r="H1351" s="2994">
        <v>13.4993</v>
      </c>
      <c r="I1351" s="2994">
        <v>13.6464</v>
      </c>
      <c r="J1351" s="2994">
        <v>14.7852</v>
      </c>
      <c r="K1351" s="2994">
        <v>16.058199999999999</v>
      </c>
      <c r="L1351" s="2994">
        <v>16.1294</v>
      </c>
      <c r="M1351" s="2994">
        <v>15.1676</v>
      </c>
      <c r="N1351" s="2994">
        <v>15.1671</v>
      </c>
      <c r="O1351" s="2994">
        <v>14.974600000000001</v>
      </c>
      <c r="P1351" s="2994">
        <v>15.5604</v>
      </c>
      <c r="Q1351" s="2994">
        <v>15.9206</v>
      </c>
      <c r="R1351" s="2994">
        <v>15.523899999999999</v>
      </c>
      <c r="S1351" s="2994">
        <v>16.1493</v>
      </c>
      <c r="T1351" s="2994">
        <v>14.511100000000001</v>
      </c>
      <c r="U1351" s="2994">
        <v>15.7363</v>
      </c>
      <c r="V1351" s="2994">
        <v>14.5136</v>
      </c>
      <c r="W1351" s="2994">
        <v>15.959099999999999</v>
      </c>
      <c r="X1351" s="2994">
        <v>13.535</v>
      </c>
      <c r="Y1351" s="2994">
        <v>14.6625</v>
      </c>
      <c r="Z1351" s="2994">
        <v>15.0657</v>
      </c>
      <c r="AA1351" s="2994">
        <v>14.462</v>
      </c>
      <c r="AB1351" s="2994">
        <v>14.8355</v>
      </c>
      <c r="AC1351" s="2994">
        <v>11.995100000000001</v>
      </c>
      <c r="AD1351" s="2994">
        <v>13.886699999999999</v>
      </c>
      <c r="AE1351" s="2994">
        <v>11.867900000000001</v>
      </c>
      <c r="AF1351" s="2994">
        <v>12.7837</v>
      </c>
      <c r="AG1351" s="2994">
        <v>15.3188</v>
      </c>
      <c r="AH1351" s="2994">
        <v>15.406700000000001</v>
      </c>
      <c r="AI1351" s="2994">
        <v>12.7271</v>
      </c>
      <c r="AJ1351" s="2994">
        <v>14.8552</v>
      </c>
      <c r="AK1351" s="2994">
        <v>13.325100000000001</v>
      </c>
      <c r="AL1351" s="2994">
        <v>14.9755</v>
      </c>
      <c r="AM1351" s="2994">
        <v>14.3645</v>
      </c>
      <c r="AN1351" s="2994">
        <v>15.0383</v>
      </c>
      <c r="AO1351" s="2994">
        <v>15.180199999999999</v>
      </c>
      <c r="AP1351" s="2994">
        <v>15.9834</v>
      </c>
      <c r="AQ1351" s="2994">
        <v>14.782</v>
      </c>
      <c r="AR1351" s="2994">
        <v>15.255800000000001</v>
      </c>
      <c r="AS1351" s="2994">
        <v>15.865500000000001</v>
      </c>
      <c r="AT1351" s="2994">
        <v>16.616299999999999</v>
      </c>
      <c r="AU1351" s="2994">
        <v>16.560700000000001</v>
      </c>
      <c r="AV1351" s="2994">
        <v>17.420500000000001</v>
      </c>
      <c r="AW1351" s="2994">
        <v>17.627099999999999</v>
      </c>
      <c r="AX1351" s="2994">
        <v>16.654199999999999</v>
      </c>
      <c r="AY1351" s="2994">
        <v>14.2576</v>
      </c>
      <c r="AZ1351" s="2994">
        <v>15.4468</v>
      </c>
      <c r="BA1351" s="2994">
        <v>15.6572</v>
      </c>
      <c r="BB1351" s="2994">
        <v>18.583600000000001</v>
      </c>
      <c r="BC1351" s="2994">
        <v>17.8872</v>
      </c>
      <c r="BD1351" s="3471">
        <v>18.4861</v>
      </c>
      <c r="BE1351" s="3471">
        <v>18.727799999999998</v>
      </c>
      <c r="BF1351" s="3471">
        <v>0</v>
      </c>
    </row>
    <row r="1352" spans="1:58">
      <c r="A1352" s="1817" t="str">
        <f t="shared" si="43"/>
        <v>Western EuropeCereals, nes</v>
      </c>
      <c r="B1352" s="1818" t="s">
        <v>301</v>
      </c>
      <c r="C1352" s="1818" t="s">
        <v>1344</v>
      </c>
      <c r="D1352" s="3463" t="str">
        <f>VLOOKUP(B1352,List_Yield!$G$4:$J$14,4,FALSE)</f>
        <v>Western Europe</v>
      </c>
      <c r="E1352" s="3463" t="str">
        <f t="shared" si="42"/>
        <v>Western EuropeCereals, nes</v>
      </c>
      <c r="F1352" s="2994">
        <v>0</v>
      </c>
      <c r="G1352" s="2994">
        <v>0</v>
      </c>
      <c r="H1352" s="2994">
        <v>0</v>
      </c>
      <c r="I1352" s="2994">
        <v>0</v>
      </c>
      <c r="J1352" s="2994">
        <v>0</v>
      </c>
      <c r="K1352" s="2994">
        <v>0</v>
      </c>
      <c r="L1352" s="2994">
        <v>0</v>
      </c>
      <c r="M1352" s="2994">
        <v>0</v>
      </c>
      <c r="N1352" s="2994">
        <v>0</v>
      </c>
      <c r="O1352" s="2994">
        <v>0</v>
      </c>
      <c r="P1352" s="2994">
        <v>0</v>
      </c>
      <c r="Q1352" s="2994">
        <v>0</v>
      </c>
      <c r="R1352" s="2994">
        <v>0</v>
      </c>
      <c r="S1352" s="2994">
        <v>0</v>
      </c>
      <c r="T1352" s="2994">
        <v>0</v>
      </c>
      <c r="U1352" s="2994">
        <v>0</v>
      </c>
      <c r="V1352" s="2994">
        <v>0</v>
      </c>
      <c r="W1352" s="2994">
        <v>0</v>
      </c>
      <c r="X1352" s="2994">
        <v>0</v>
      </c>
      <c r="Y1352" s="2994">
        <v>0</v>
      </c>
      <c r="Z1352" s="2994">
        <v>0</v>
      </c>
      <c r="AA1352" s="2994">
        <v>0</v>
      </c>
      <c r="AB1352" s="2994">
        <v>0</v>
      </c>
      <c r="AC1352" s="2994">
        <v>0</v>
      </c>
      <c r="AD1352" s="2994">
        <v>0</v>
      </c>
      <c r="AE1352" s="2994">
        <v>0</v>
      </c>
      <c r="AF1352" s="2994">
        <v>0</v>
      </c>
      <c r="AG1352" s="2994">
        <v>0</v>
      </c>
      <c r="AH1352" s="2994">
        <v>0</v>
      </c>
      <c r="AI1352" s="2994">
        <v>0</v>
      </c>
      <c r="AJ1352" s="2994">
        <v>0</v>
      </c>
      <c r="AK1352" s="2994">
        <v>0</v>
      </c>
      <c r="AL1352" s="2994">
        <v>0</v>
      </c>
      <c r="AM1352" s="2994">
        <v>0</v>
      </c>
      <c r="AN1352" s="2994">
        <v>0</v>
      </c>
      <c r="AO1352" s="2994">
        <v>10.351000000000001</v>
      </c>
      <c r="AP1352" s="2994">
        <v>10.1723</v>
      </c>
      <c r="AQ1352" s="2994">
        <v>9.9133999999999993</v>
      </c>
      <c r="AR1352" s="2994">
        <v>9.9587000000000003</v>
      </c>
      <c r="AS1352" s="2994">
        <v>10.2041</v>
      </c>
      <c r="AT1352" s="2994">
        <v>12.611499999999999</v>
      </c>
      <c r="AU1352" s="2994">
        <v>12.534599999999999</v>
      </c>
      <c r="AV1352" s="2994">
        <v>10.712999999999999</v>
      </c>
      <c r="AW1352" s="2994">
        <v>12.613300000000001</v>
      </c>
      <c r="AX1352" s="2994">
        <v>13.2331</v>
      </c>
      <c r="AY1352" s="2994">
        <v>12.4359</v>
      </c>
      <c r="AZ1352" s="2994">
        <v>12.7438</v>
      </c>
      <c r="BA1352" s="2994">
        <v>12.4824</v>
      </c>
      <c r="BB1352" s="2994">
        <v>10.0223</v>
      </c>
      <c r="BC1352" s="2994">
        <v>12.2483</v>
      </c>
      <c r="BD1352" s="3471">
        <v>7.2914000000000003</v>
      </c>
      <c r="BE1352" s="3471">
        <v>7.3384999999999998</v>
      </c>
      <c r="BF1352" s="3471">
        <v>6.4977</v>
      </c>
    </row>
    <row r="1353" spans="1:58">
      <c r="A1353" s="1817" t="str">
        <f t="shared" si="43"/>
        <v>Western EuropeCherries</v>
      </c>
      <c r="B1353" s="1818" t="s">
        <v>301</v>
      </c>
      <c r="C1353" s="1818" t="s">
        <v>7304</v>
      </c>
      <c r="D1353" s="3463" t="str">
        <f>VLOOKUP(B1353,List_Yield!$G$4:$J$14,4,FALSE)</f>
        <v>Western Europe</v>
      </c>
      <c r="E1353" s="3463" t="str">
        <f t="shared" si="42"/>
        <v>Western EuropeCherries</v>
      </c>
      <c r="F1353" s="2994">
        <v>24.7059</v>
      </c>
      <c r="G1353" s="2994">
        <v>24.2913</v>
      </c>
      <c r="H1353" s="2994">
        <v>27.520800000000001</v>
      </c>
      <c r="I1353" s="2994">
        <v>28.186699999999998</v>
      </c>
      <c r="J1353" s="2994">
        <v>20.468599999999999</v>
      </c>
      <c r="K1353" s="2994">
        <v>24.512599999999999</v>
      </c>
      <c r="L1353" s="2994">
        <v>26.3355</v>
      </c>
      <c r="M1353" s="2994">
        <v>34.566299999999998</v>
      </c>
      <c r="N1353" s="2994">
        <v>25.150300000000001</v>
      </c>
      <c r="O1353" s="2994">
        <v>29.192499999999999</v>
      </c>
      <c r="P1353" s="2994">
        <v>27.595800000000001</v>
      </c>
      <c r="Q1353" s="2994">
        <v>18.454000000000001</v>
      </c>
      <c r="R1353" s="2994">
        <v>22.668600000000001</v>
      </c>
      <c r="S1353" s="2994">
        <v>19.419599999999999</v>
      </c>
      <c r="T1353" s="2994">
        <v>19.129899999999999</v>
      </c>
      <c r="U1353" s="2994">
        <v>21.9132</v>
      </c>
      <c r="V1353" s="2994">
        <v>12.457100000000001</v>
      </c>
      <c r="W1353" s="2994">
        <v>18.510200000000001</v>
      </c>
      <c r="X1353" s="2994">
        <v>22.293700000000001</v>
      </c>
      <c r="Y1353" s="2994">
        <v>17.0184</v>
      </c>
      <c r="Z1353" s="2994">
        <v>9.9242000000000008</v>
      </c>
      <c r="AA1353" s="2994">
        <v>21.4893</v>
      </c>
      <c r="AB1353" s="2994">
        <v>20.5852</v>
      </c>
      <c r="AC1353" s="2994">
        <v>22.3414</v>
      </c>
      <c r="AD1353" s="2994">
        <v>5.6577999999999999</v>
      </c>
      <c r="AE1353" s="2994">
        <v>5.8186</v>
      </c>
      <c r="AF1353" s="2994">
        <v>5.9089</v>
      </c>
      <c r="AG1353" s="2994">
        <v>5.1433</v>
      </c>
      <c r="AH1353" s="2994">
        <v>5.6058000000000003</v>
      </c>
      <c r="AI1353" s="2994">
        <v>4.7956000000000003</v>
      </c>
      <c r="AJ1353" s="2994">
        <v>3.7974000000000001</v>
      </c>
      <c r="AK1353" s="2994">
        <v>5.9950999999999999</v>
      </c>
      <c r="AL1353" s="2994">
        <v>5.5960000000000001</v>
      </c>
      <c r="AM1353" s="2994">
        <v>4.9151999999999996</v>
      </c>
      <c r="AN1353" s="2994">
        <v>4.7470999999999997</v>
      </c>
      <c r="AO1353" s="2994">
        <v>5.0160999999999998</v>
      </c>
      <c r="AP1353" s="2994">
        <v>4.0392999999999999</v>
      </c>
      <c r="AQ1353" s="2994">
        <v>4.3006000000000002</v>
      </c>
      <c r="AR1353" s="2994">
        <v>5.5175000000000001</v>
      </c>
      <c r="AS1353" s="2994">
        <v>5.8155999999999999</v>
      </c>
      <c r="AT1353" s="2994">
        <v>4.9912999999999998</v>
      </c>
      <c r="AU1353" s="2994">
        <v>4.9356999999999998</v>
      </c>
      <c r="AV1353" s="2994">
        <v>4.7736999999999998</v>
      </c>
      <c r="AW1353" s="2994">
        <v>5.2668999999999997</v>
      </c>
      <c r="AX1353" s="2994">
        <v>4.9295999999999998</v>
      </c>
      <c r="AY1353" s="2994">
        <v>5.0533000000000001</v>
      </c>
      <c r="AZ1353" s="2994">
        <v>4.8692000000000002</v>
      </c>
      <c r="BA1353" s="2994">
        <v>3.7765</v>
      </c>
      <c r="BB1353" s="2994">
        <v>5.3620000000000001</v>
      </c>
      <c r="BC1353" s="2994">
        <v>5.0472000000000001</v>
      </c>
      <c r="BD1353" s="3471">
        <v>5.5042999999999997</v>
      </c>
      <c r="BE1353" s="3471">
        <v>3.2296999999999998</v>
      </c>
      <c r="BF1353" s="3471">
        <v>0</v>
      </c>
    </row>
    <row r="1354" spans="1:58">
      <c r="A1354" s="1817" t="str">
        <f t="shared" si="43"/>
        <v>Western EuropeCherries, sour</v>
      </c>
      <c r="B1354" s="1818" t="s">
        <v>301</v>
      </c>
      <c r="C1354" s="1818" t="s">
        <v>7305</v>
      </c>
      <c r="D1354" s="3463" t="str">
        <f>VLOOKUP(B1354,List_Yield!$G$4:$J$14,4,FALSE)</f>
        <v>Western Europe</v>
      </c>
      <c r="E1354" s="3463" t="str">
        <f t="shared" si="42"/>
        <v>Western EuropeCherries, sour</v>
      </c>
      <c r="F1354" s="2994">
        <v>0</v>
      </c>
      <c r="G1354" s="2994">
        <v>0</v>
      </c>
      <c r="H1354" s="2994">
        <v>0</v>
      </c>
      <c r="I1354" s="2994">
        <v>0</v>
      </c>
      <c r="J1354" s="2994">
        <v>0</v>
      </c>
      <c r="K1354" s="2994">
        <v>0</v>
      </c>
      <c r="L1354" s="2994">
        <v>0</v>
      </c>
      <c r="M1354" s="2994">
        <v>0</v>
      </c>
      <c r="N1354" s="2994">
        <v>0</v>
      </c>
      <c r="O1354" s="2994">
        <v>0</v>
      </c>
      <c r="P1354" s="2994">
        <v>0</v>
      </c>
      <c r="Q1354" s="2994">
        <v>0</v>
      </c>
      <c r="R1354" s="2994">
        <v>0</v>
      </c>
      <c r="S1354" s="2994">
        <v>0</v>
      </c>
      <c r="T1354" s="2994">
        <v>0</v>
      </c>
      <c r="U1354" s="2994">
        <v>0</v>
      </c>
      <c r="V1354" s="2994">
        <v>0</v>
      </c>
      <c r="W1354" s="2994">
        <v>0</v>
      </c>
      <c r="X1354" s="2994">
        <v>0</v>
      </c>
      <c r="Y1354" s="2994">
        <v>0</v>
      </c>
      <c r="Z1354" s="2994">
        <v>0</v>
      </c>
      <c r="AA1354" s="2994">
        <v>0</v>
      </c>
      <c r="AB1354" s="2994">
        <v>0</v>
      </c>
      <c r="AC1354" s="2994">
        <v>0</v>
      </c>
      <c r="AD1354" s="2994">
        <v>7.4497999999999998</v>
      </c>
      <c r="AE1354" s="2994">
        <v>7.3381999999999996</v>
      </c>
      <c r="AF1354" s="2994">
        <v>7.5110000000000001</v>
      </c>
      <c r="AG1354" s="2994">
        <v>7.6599000000000004</v>
      </c>
      <c r="AH1354" s="2994">
        <v>6.7526000000000002</v>
      </c>
      <c r="AI1354" s="2994">
        <v>6.2987000000000002</v>
      </c>
      <c r="AJ1354" s="2994">
        <v>1.8210999999999999</v>
      </c>
      <c r="AK1354" s="2994">
        <v>9.5234000000000005</v>
      </c>
      <c r="AL1354" s="2994">
        <v>3.2677999999999998</v>
      </c>
      <c r="AM1354" s="2994">
        <v>2.5649999999999999</v>
      </c>
      <c r="AN1354" s="2994">
        <v>6.3749000000000002</v>
      </c>
      <c r="AO1354" s="2994">
        <v>6.2790999999999997</v>
      </c>
      <c r="AP1354" s="2994">
        <v>3.4996</v>
      </c>
      <c r="AQ1354" s="2994">
        <v>5.3756000000000004</v>
      </c>
      <c r="AR1354" s="2994">
        <v>6.2994000000000003</v>
      </c>
      <c r="AS1354" s="2994">
        <v>7.4157000000000002</v>
      </c>
      <c r="AT1354" s="2994">
        <v>6.5824999999999996</v>
      </c>
      <c r="AU1354" s="2994">
        <v>5.2808999999999999</v>
      </c>
      <c r="AV1354" s="2994">
        <v>7.4720000000000004</v>
      </c>
      <c r="AW1354" s="2994">
        <v>7.7251000000000003</v>
      </c>
      <c r="AX1354" s="2994">
        <v>5.5266000000000002</v>
      </c>
      <c r="AY1354" s="2994">
        <v>8.0754999999999999</v>
      </c>
      <c r="AZ1354" s="2994">
        <v>7.8103999999999996</v>
      </c>
      <c r="BA1354" s="2994">
        <v>4.4837999999999996</v>
      </c>
      <c r="BB1354" s="2994">
        <v>8.3529999999999998</v>
      </c>
      <c r="BC1354" s="2994">
        <v>5.7313999999999998</v>
      </c>
      <c r="BD1354" s="3471">
        <v>6.8670999999999998</v>
      </c>
      <c r="BE1354" s="3471">
        <v>4.5510999999999999</v>
      </c>
      <c r="BF1354" s="3471">
        <v>0</v>
      </c>
    </row>
    <row r="1355" spans="1:58">
      <c r="A1355" s="1817" t="str">
        <f t="shared" si="43"/>
        <v>Western EuropeChestnut</v>
      </c>
      <c r="B1355" s="1818" t="s">
        <v>301</v>
      </c>
      <c r="C1355" s="1818" t="s">
        <v>7306</v>
      </c>
      <c r="D1355" s="3463" t="str">
        <f>VLOOKUP(B1355,List_Yield!$G$4:$J$14,4,FALSE)</f>
        <v>Western Europe</v>
      </c>
      <c r="E1355" s="3463" t="str">
        <f t="shared" si="42"/>
        <v>Western EuropeChestnut</v>
      </c>
      <c r="F1355" s="2994">
        <v>0</v>
      </c>
      <c r="G1355" s="2994">
        <v>0</v>
      </c>
      <c r="H1355" s="2994">
        <v>0</v>
      </c>
      <c r="I1355" s="2994">
        <v>0</v>
      </c>
      <c r="J1355" s="2994">
        <v>0</v>
      </c>
      <c r="K1355" s="2994">
        <v>0</v>
      </c>
      <c r="L1355" s="2994">
        <v>0</v>
      </c>
      <c r="M1355" s="2994">
        <v>0</v>
      </c>
      <c r="N1355" s="2994">
        <v>0</v>
      </c>
      <c r="O1355" s="2994">
        <v>0</v>
      </c>
      <c r="P1355" s="2994">
        <v>0</v>
      </c>
      <c r="Q1355" s="2994">
        <v>0</v>
      </c>
      <c r="R1355" s="2994">
        <v>0</v>
      </c>
      <c r="S1355" s="2994">
        <v>0</v>
      </c>
      <c r="T1355" s="2994">
        <v>0</v>
      </c>
      <c r="U1355" s="2994">
        <v>0</v>
      </c>
      <c r="V1355" s="2994">
        <v>0</v>
      </c>
      <c r="W1355" s="2994">
        <v>0</v>
      </c>
      <c r="X1355" s="2994">
        <v>0</v>
      </c>
      <c r="Y1355" s="2994">
        <v>0</v>
      </c>
      <c r="Z1355" s="2994">
        <v>0</v>
      </c>
      <c r="AA1355" s="2994">
        <v>0</v>
      </c>
      <c r="AB1355" s="2994">
        <v>0</v>
      </c>
      <c r="AC1355" s="2994">
        <v>0</v>
      </c>
      <c r="AD1355" s="2994">
        <v>0.89870000000000005</v>
      </c>
      <c r="AE1355" s="2994">
        <v>0.9012</v>
      </c>
      <c r="AF1355" s="2994">
        <v>1</v>
      </c>
      <c r="AG1355" s="2994">
        <v>1.1027</v>
      </c>
      <c r="AH1355" s="2994">
        <v>1.2034</v>
      </c>
      <c r="AI1355" s="2994">
        <v>1.0934999999999999</v>
      </c>
      <c r="AJ1355" s="2994">
        <v>1.6146</v>
      </c>
      <c r="AK1355" s="2994">
        <v>2.0286</v>
      </c>
      <c r="AL1355" s="2994">
        <v>1.8268</v>
      </c>
      <c r="AM1355" s="2994">
        <v>1.7232000000000001</v>
      </c>
      <c r="AN1355" s="2994">
        <v>1.536</v>
      </c>
      <c r="AO1355" s="2994">
        <v>1.5701000000000001</v>
      </c>
      <c r="AP1355" s="2994">
        <v>2.2444000000000002</v>
      </c>
      <c r="AQ1355" s="2994">
        <v>2.6217000000000001</v>
      </c>
      <c r="AR1355" s="2994">
        <v>2.6667000000000001</v>
      </c>
      <c r="AS1355" s="2994">
        <v>2.2017000000000002</v>
      </c>
      <c r="AT1355" s="2994">
        <v>2.1427999999999998</v>
      </c>
      <c r="AU1355" s="2994">
        <v>1.5855999999999999</v>
      </c>
      <c r="AV1355" s="2994">
        <v>1.4204000000000001</v>
      </c>
      <c r="AW1355" s="2994">
        <v>1.7387999999999999</v>
      </c>
      <c r="AX1355" s="2994">
        <v>1.1447000000000001</v>
      </c>
      <c r="AY1355" s="2994">
        <v>1.4240999999999999</v>
      </c>
      <c r="AZ1355" s="2994">
        <v>1.2258</v>
      </c>
      <c r="BA1355" s="2994">
        <v>0.93459999999999999</v>
      </c>
      <c r="BB1355" s="2994">
        <v>1.2565</v>
      </c>
      <c r="BC1355" s="2994">
        <v>1.3682000000000001</v>
      </c>
      <c r="BD1355" s="3471">
        <v>1.0184</v>
      </c>
      <c r="BE1355" s="3471">
        <v>1.2343</v>
      </c>
      <c r="BF1355" s="3471">
        <v>0</v>
      </c>
    </row>
    <row r="1356" spans="1:58">
      <c r="A1356" s="1817" t="str">
        <f t="shared" si="43"/>
        <v>Western EuropeChick peas</v>
      </c>
      <c r="B1356" s="1818" t="s">
        <v>301</v>
      </c>
      <c r="C1356" s="1818" t="s">
        <v>7307</v>
      </c>
      <c r="D1356" s="3463" t="str">
        <f>VLOOKUP(B1356,List_Yield!$G$4:$J$14,4,FALSE)</f>
        <v>Western Europe</v>
      </c>
      <c r="E1356" s="3463" t="str">
        <f t="shared" si="42"/>
        <v>Western EuropeChick peas</v>
      </c>
      <c r="F1356" s="2994">
        <v>0</v>
      </c>
      <c r="G1356" s="2994">
        <v>0</v>
      </c>
      <c r="H1356" s="2994">
        <v>0</v>
      </c>
      <c r="I1356" s="2994">
        <v>0</v>
      </c>
      <c r="J1356" s="2994">
        <v>0</v>
      </c>
      <c r="K1356" s="2994">
        <v>0</v>
      </c>
      <c r="L1356" s="2994">
        <v>0</v>
      </c>
      <c r="M1356" s="2994">
        <v>0</v>
      </c>
      <c r="N1356" s="2994">
        <v>0</v>
      </c>
      <c r="O1356" s="2994">
        <v>0</v>
      </c>
      <c r="P1356" s="2994">
        <v>0</v>
      </c>
      <c r="Q1356" s="2994">
        <v>0</v>
      </c>
      <c r="R1356" s="2994">
        <v>0</v>
      </c>
      <c r="S1356" s="2994">
        <v>0</v>
      </c>
      <c r="T1356" s="2994">
        <v>0</v>
      </c>
      <c r="U1356" s="2994">
        <v>0</v>
      </c>
      <c r="V1356" s="2994">
        <v>0</v>
      </c>
      <c r="W1356" s="2994">
        <v>0</v>
      </c>
      <c r="X1356" s="2994">
        <v>0</v>
      </c>
      <c r="Y1356" s="2994">
        <v>0</v>
      </c>
      <c r="Z1356" s="2994">
        <v>0</v>
      </c>
      <c r="AA1356" s="2994">
        <v>0</v>
      </c>
      <c r="AB1356" s="2994">
        <v>0</v>
      </c>
      <c r="AC1356" s="2994">
        <v>0</v>
      </c>
      <c r="AD1356" s="2994">
        <v>0</v>
      </c>
      <c r="AE1356" s="2994">
        <v>0</v>
      </c>
      <c r="AF1356" s="2994">
        <v>0</v>
      </c>
      <c r="AG1356" s="2994">
        <v>0</v>
      </c>
      <c r="AH1356" s="2994">
        <v>0</v>
      </c>
      <c r="AI1356" s="2994">
        <v>0</v>
      </c>
      <c r="AJ1356" s="2994">
        <v>0</v>
      </c>
      <c r="AK1356" s="2994">
        <v>0</v>
      </c>
      <c r="AL1356" s="2994">
        <v>0</v>
      </c>
      <c r="AM1356" s="2994">
        <v>0</v>
      </c>
      <c r="AN1356" s="2994">
        <v>0</v>
      </c>
      <c r="AO1356" s="2994">
        <v>0</v>
      </c>
      <c r="AP1356" s="2994">
        <v>0</v>
      </c>
      <c r="AQ1356" s="2994">
        <v>0</v>
      </c>
      <c r="AR1356" s="2994">
        <v>0</v>
      </c>
      <c r="AS1356" s="2994">
        <v>0</v>
      </c>
      <c r="AT1356" s="2994">
        <v>0</v>
      </c>
      <c r="AU1356" s="2994">
        <v>0</v>
      </c>
      <c r="AV1356" s="2994">
        <v>0</v>
      </c>
      <c r="AW1356" s="2994">
        <v>0</v>
      </c>
      <c r="AX1356" s="2994">
        <v>0</v>
      </c>
      <c r="AY1356" s="2994">
        <v>0</v>
      </c>
      <c r="AZ1356" s="2994">
        <v>0</v>
      </c>
      <c r="BA1356" s="2994">
        <v>0</v>
      </c>
      <c r="BB1356" s="2994">
        <v>0</v>
      </c>
      <c r="BC1356" s="2994">
        <v>0</v>
      </c>
      <c r="BD1356" s="3471">
        <v>0</v>
      </c>
      <c r="BE1356" s="3471">
        <v>0</v>
      </c>
      <c r="BF1356" s="3471">
        <v>0</v>
      </c>
    </row>
    <row r="1357" spans="1:58">
      <c r="A1357" s="1817" t="str">
        <f t="shared" si="43"/>
        <v>Western EuropeChicory roots</v>
      </c>
      <c r="B1357" s="1818" t="s">
        <v>301</v>
      </c>
      <c r="C1357" s="1818" t="s">
        <v>7308</v>
      </c>
      <c r="D1357" s="3463" t="str">
        <f>VLOOKUP(B1357,List_Yield!$G$4:$J$14,4,FALSE)</f>
        <v>Western Europe</v>
      </c>
      <c r="E1357" s="3463" t="str">
        <f t="shared" ref="E1357:E1420" si="44">CONCATENATE(D1357,C1357)</f>
        <v>Western EuropeChicory roots</v>
      </c>
      <c r="F1357" s="2994">
        <v>35.755099999999999</v>
      </c>
      <c r="G1357" s="2994">
        <v>36.392600000000002</v>
      </c>
      <c r="H1357" s="2994">
        <v>35.648499999999999</v>
      </c>
      <c r="I1357" s="2994">
        <v>37.733899999999998</v>
      </c>
      <c r="J1357" s="2994">
        <v>35.409199999999998</v>
      </c>
      <c r="K1357" s="2994">
        <v>38.090800000000002</v>
      </c>
      <c r="L1357" s="2994">
        <v>36.485700000000001</v>
      </c>
      <c r="M1357" s="2994">
        <v>37.9681</v>
      </c>
      <c r="N1357" s="2994">
        <v>35.017600000000002</v>
      </c>
      <c r="O1357" s="2994">
        <v>37.607599999999998</v>
      </c>
      <c r="P1357" s="2994">
        <v>38.559699999999999</v>
      </c>
      <c r="Q1357" s="2994">
        <v>33.431600000000003</v>
      </c>
      <c r="R1357" s="2994">
        <v>34.508899999999997</v>
      </c>
      <c r="S1357" s="2994">
        <v>30.9633</v>
      </c>
      <c r="T1357" s="2994">
        <v>34.794600000000003</v>
      </c>
      <c r="U1357" s="2994">
        <v>26.715399999999999</v>
      </c>
      <c r="V1357" s="2994">
        <v>36.844099999999997</v>
      </c>
      <c r="W1357" s="2994">
        <v>37.271700000000003</v>
      </c>
      <c r="X1357" s="2994">
        <v>39.327399999999997</v>
      </c>
      <c r="Y1357" s="2994">
        <v>35.838700000000003</v>
      </c>
      <c r="Z1357" s="2994">
        <v>40.037599999999998</v>
      </c>
      <c r="AA1357" s="2994">
        <v>40.573999999999998</v>
      </c>
      <c r="AB1357" s="2994">
        <v>30.6892</v>
      </c>
      <c r="AC1357" s="2994">
        <v>35.454300000000003</v>
      </c>
      <c r="AD1357" s="2994">
        <v>35.466200000000001</v>
      </c>
      <c r="AE1357" s="2994">
        <v>38.206000000000003</v>
      </c>
      <c r="AF1357" s="2994">
        <v>34.5762</v>
      </c>
      <c r="AG1357" s="2994">
        <v>39.045999999999999</v>
      </c>
      <c r="AH1357" s="2994">
        <v>37.57</v>
      </c>
      <c r="AI1357" s="2994">
        <v>39.175899999999999</v>
      </c>
      <c r="AJ1357" s="2994">
        <v>36.221400000000003</v>
      </c>
      <c r="AK1357" s="2994">
        <v>40.506900000000002</v>
      </c>
      <c r="AL1357" s="2994">
        <v>43.686799999999998</v>
      </c>
      <c r="AM1357" s="2994">
        <v>38.651699999999998</v>
      </c>
      <c r="AN1357" s="2994">
        <v>38.068199999999997</v>
      </c>
      <c r="AO1357" s="2994">
        <v>42.153399999999998</v>
      </c>
      <c r="AP1357" s="2994">
        <v>44.401400000000002</v>
      </c>
      <c r="AQ1357" s="2994">
        <v>33.575400000000002</v>
      </c>
      <c r="AR1357" s="2994">
        <v>44.016500000000001</v>
      </c>
      <c r="AS1357" s="2994">
        <v>44.421599999999998</v>
      </c>
      <c r="AT1357" s="2994">
        <v>38.8947</v>
      </c>
      <c r="AU1357" s="2994">
        <v>43.250399999999999</v>
      </c>
      <c r="AV1357" s="2994">
        <v>43.714799999999997</v>
      </c>
      <c r="AW1357" s="2994">
        <v>46.474800000000002</v>
      </c>
      <c r="AX1357" s="2994">
        <v>41.297800000000002</v>
      </c>
      <c r="AY1357" s="2994">
        <v>44.722499999999997</v>
      </c>
      <c r="AZ1357" s="2994">
        <v>41.273400000000002</v>
      </c>
      <c r="BA1357" s="2994">
        <v>45.627899999999997</v>
      </c>
      <c r="BB1357" s="2994">
        <v>49.1678</v>
      </c>
      <c r="BC1357" s="2994">
        <v>48.311799999999998</v>
      </c>
      <c r="BD1357" s="3471">
        <v>52.308399999999999</v>
      </c>
      <c r="BE1357" s="3471">
        <v>55.456699999999998</v>
      </c>
      <c r="BF1357" s="3471">
        <v>0</v>
      </c>
    </row>
    <row r="1358" spans="1:58">
      <c r="A1358" s="1817" t="str">
        <f t="shared" si="43"/>
        <v>Western EuropeChillies and peppers, dry</v>
      </c>
      <c r="B1358" s="1818" t="s">
        <v>301</v>
      </c>
      <c r="C1358" s="1818" t="s">
        <v>7309</v>
      </c>
      <c r="D1358" s="3463" t="str">
        <f>VLOOKUP(B1358,List_Yield!$G$4:$J$14,4,FALSE)</f>
        <v>Western Europe</v>
      </c>
      <c r="E1358" s="3463" t="str">
        <f t="shared" si="44"/>
        <v>Western EuropeChillies and peppers, dry</v>
      </c>
      <c r="F1358" s="2994">
        <v>0</v>
      </c>
      <c r="G1358" s="2994">
        <v>0</v>
      </c>
      <c r="H1358" s="2994">
        <v>0</v>
      </c>
      <c r="I1358" s="2994">
        <v>0</v>
      </c>
      <c r="J1358" s="2994">
        <v>0</v>
      </c>
      <c r="K1358" s="2994">
        <v>0</v>
      </c>
      <c r="L1358" s="2994">
        <v>0</v>
      </c>
      <c r="M1358" s="2994">
        <v>0</v>
      </c>
      <c r="N1358" s="2994">
        <v>0</v>
      </c>
      <c r="O1358" s="2994">
        <v>0</v>
      </c>
      <c r="P1358" s="2994">
        <v>0</v>
      </c>
      <c r="Q1358" s="2994">
        <v>0</v>
      </c>
      <c r="R1358" s="2994">
        <v>0</v>
      </c>
      <c r="S1358" s="2994">
        <v>0</v>
      </c>
      <c r="T1358" s="2994">
        <v>0</v>
      </c>
      <c r="U1358" s="2994">
        <v>0</v>
      </c>
      <c r="V1358" s="2994">
        <v>0</v>
      </c>
      <c r="W1358" s="2994">
        <v>0</v>
      </c>
      <c r="X1358" s="2994">
        <v>0</v>
      </c>
      <c r="Y1358" s="2994">
        <v>0</v>
      </c>
      <c r="Z1358" s="2994">
        <v>0</v>
      </c>
      <c r="AA1358" s="2994">
        <v>0</v>
      </c>
      <c r="AB1358" s="2994">
        <v>0</v>
      </c>
      <c r="AC1358" s="2994">
        <v>0</v>
      </c>
      <c r="AD1358" s="2994">
        <v>0</v>
      </c>
      <c r="AE1358" s="2994">
        <v>0</v>
      </c>
      <c r="AF1358" s="2994">
        <v>0</v>
      </c>
      <c r="AG1358" s="2994">
        <v>0</v>
      </c>
      <c r="AH1358" s="2994">
        <v>0</v>
      </c>
      <c r="AI1358" s="2994">
        <v>0</v>
      </c>
      <c r="AJ1358" s="2994">
        <v>0</v>
      </c>
      <c r="AK1358" s="2994">
        <v>0</v>
      </c>
      <c r="AL1358" s="2994">
        <v>0</v>
      </c>
      <c r="AM1358" s="2994">
        <v>0</v>
      </c>
      <c r="AN1358" s="2994">
        <v>0</v>
      </c>
      <c r="AO1358" s="2994">
        <v>0</v>
      </c>
      <c r="AP1358" s="2994">
        <v>0</v>
      </c>
      <c r="AQ1358" s="2994">
        <v>0</v>
      </c>
      <c r="AR1358" s="2994">
        <v>0</v>
      </c>
      <c r="AS1358" s="2994">
        <v>0</v>
      </c>
      <c r="AT1358" s="2994">
        <v>0</v>
      </c>
      <c r="AU1358" s="2994">
        <v>0</v>
      </c>
      <c r="AV1358" s="2994">
        <v>0</v>
      </c>
      <c r="AW1358" s="2994">
        <v>0</v>
      </c>
      <c r="AX1358" s="2994">
        <v>0</v>
      </c>
      <c r="AY1358" s="2994">
        <v>0</v>
      </c>
      <c r="AZ1358" s="2994">
        <v>0</v>
      </c>
      <c r="BA1358" s="2994">
        <v>0</v>
      </c>
      <c r="BB1358" s="2994">
        <v>0</v>
      </c>
      <c r="BC1358" s="2994">
        <v>0</v>
      </c>
      <c r="BD1358" s="3471">
        <v>0</v>
      </c>
      <c r="BE1358" s="3471">
        <v>0</v>
      </c>
      <c r="BF1358" s="3471">
        <v>0</v>
      </c>
    </row>
    <row r="1359" spans="1:58">
      <c r="A1359" s="1817" t="str">
        <f t="shared" si="43"/>
        <v>Western EuropeChillies and peppers, green</v>
      </c>
      <c r="B1359" s="1818" t="s">
        <v>301</v>
      </c>
      <c r="C1359" s="1818" t="s">
        <v>7310</v>
      </c>
      <c r="D1359" s="3463" t="str">
        <f>VLOOKUP(B1359,List_Yield!$G$4:$J$14,4,FALSE)</f>
        <v>Western Europe</v>
      </c>
      <c r="E1359" s="3463" t="str">
        <f t="shared" si="44"/>
        <v>Western EuropeChillies and peppers, green</v>
      </c>
      <c r="F1359" s="2994">
        <v>13.478300000000001</v>
      </c>
      <c r="G1359" s="2994">
        <v>14.239000000000001</v>
      </c>
      <c r="H1359" s="2994">
        <v>15.529</v>
      </c>
      <c r="I1359" s="2994">
        <v>14.3749</v>
      </c>
      <c r="J1359" s="2994">
        <v>13.192600000000001</v>
      </c>
      <c r="K1359" s="2994">
        <v>16.863099999999999</v>
      </c>
      <c r="L1359" s="2994">
        <v>16.979099999999999</v>
      </c>
      <c r="M1359" s="2994">
        <v>18.515799999999999</v>
      </c>
      <c r="N1359" s="2994">
        <v>16.334800000000001</v>
      </c>
      <c r="O1359" s="2994">
        <v>15.741</v>
      </c>
      <c r="P1359" s="2994">
        <v>16.1341</v>
      </c>
      <c r="Q1359" s="2994">
        <v>15.910600000000001</v>
      </c>
      <c r="R1359" s="2994">
        <v>15.953900000000001</v>
      </c>
      <c r="S1359" s="2994">
        <v>17.287600000000001</v>
      </c>
      <c r="T1359" s="2994">
        <v>18.1082</v>
      </c>
      <c r="U1359" s="2994">
        <v>13.8855</v>
      </c>
      <c r="V1359" s="2994">
        <v>22.564299999999999</v>
      </c>
      <c r="W1359" s="2994">
        <v>21.4815</v>
      </c>
      <c r="X1359" s="2994">
        <v>24.651700000000002</v>
      </c>
      <c r="Y1359" s="2994">
        <v>26.5474</v>
      </c>
      <c r="Z1359" s="2994">
        <v>29.521699999999999</v>
      </c>
      <c r="AA1359" s="2994">
        <v>33.388399999999997</v>
      </c>
      <c r="AB1359" s="2994">
        <v>38.256700000000002</v>
      </c>
      <c r="AC1359" s="2994">
        <v>40.224600000000002</v>
      </c>
      <c r="AD1359" s="2994">
        <v>46.326900000000002</v>
      </c>
      <c r="AE1359" s="2994">
        <v>46.400799999999997</v>
      </c>
      <c r="AF1359" s="2994">
        <v>49.112499999999997</v>
      </c>
      <c r="AG1359" s="2994">
        <v>60.411200000000001</v>
      </c>
      <c r="AH1359" s="2994">
        <v>67.742599999999996</v>
      </c>
      <c r="AI1359" s="2994">
        <v>90.721800000000002</v>
      </c>
      <c r="AJ1359" s="2994">
        <v>91.813999999999993</v>
      </c>
      <c r="AK1359" s="2994">
        <v>99.936000000000007</v>
      </c>
      <c r="AL1359" s="2994">
        <v>104.4363</v>
      </c>
      <c r="AM1359" s="2994">
        <v>108.1544</v>
      </c>
      <c r="AN1359" s="2994">
        <v>105.7266</v>
      </c>
      <c r="AO1359" s="2994">
        <v>114.3262</v>
      </c>
      <c r="AP1359" s="2994">
        <v>115.7675</v>
      </c>
      <c r="AQ1359" s="2994">
        <v>119.6404</v>
      </c>
      <c r="AR1359" s="2994">
        <v>129.01249999999999</v>
      </c>
      <c r="AS1359" s="2994">
        <v>156.55770000000001</v>
      </c>
      <c r="AT1359" s="2994">
        <v>160.4282</v>
      </c>
      <c r="AU1359" s="2994">
        <v>161.46010000000001</v>
      </c>
      <c r="AV1359" s="2994">
        <v>167.02629999999999</v>
      </c>
      <c r="AW1359" s="2994">
        <v>174.44040000000001</v>
      </c>
      <c r="AX1359" s="2994">
        <v>188.4092</v>
      </c>
      <c r="AY1359" s="2994">
        <v>182.41329999999999</v>
      </c>
      <c r="AZ1359" s="2994">
        <v>181.29939999999999</v>
      </c>
      <c r="BA1359" s="2994">
        <v>181.49979999999999</v>
      </c>
      <c r="BB1359" s="2994">
        <v>200.32550000000001</v>
      </c>
      <c r="BC1359" s="2994">
        <v>181.68299999999999</v>
      </c>
      <c r="BD1359" s="3471">
        <v>184.5299</v>
      </c>
      <c r="BE1359" s="3471">
        <v>179.2098</v>
      </c>
      <c r="BF1359" s="3471">
        <v>0</v>
      </c>
    </row>
    <row r="1360" spans="1:58">
      <c r="A1360" s="1817" t="str">
        <f t="shared" si="43"/>
        <v>Western EuropeCinnamon (canella)</v>
      </c>
      <c r="B1360" s="1818" t="s">
        <v>301</v>
      </c>
      <c r="C1360" s="1818" t="s">
        <v>7311</v>
      </c>
      <c r="D1360" s="3463" t="str">
        <f>VLOOKUP(B1360,List_Yield!$G$4:$J$14,4,FALSE)</f>
        <v>Western Europe</v>
      </c>
      <c r="E1360" s="3463" t="str">
        <f t="shared" si="44"/>
        <v>Western EuropeCinnamon (canella)</v>
      </c>
      <c r="F1360" s="2994">
        <v>0</v>
      </c>
      <c r="G1360" s="2994">
        <v>0</v>
      </c>
      <c r="H1360" s="2994">
        <v>0</v>
      </c>
      <c r="I1360" s="2994">
        <v>0</v>
      </c>
      <c r="J1360" s="2994">
        <v>0</v>
      </c>
      <c r="K1360" s="2994">
        <v>0</v>
      </c>
      <c r="L1360" s="2994">
        <v>0</v>
      </c>
      <c r="M1360" s="2994">
        <v>0</v>
      </c>
      <c r="N1360" s="2994">
        <v>0</v>
      </c>
      <c r="O1360" s="2994">
        <v>0</v>
      </c>
      <c r="P1360" s="2994">
        <v>0</v>
      </c>
      <c r="Q1360" s="2994">
        <v>0</v>
      </c>
      <c r="R1360" s="2994">
        <v>0</v>
      </c>
      <c r="S1360" s="2994">
        <v>0</v>
      </c>
      <c r="T1360" s="2994">
        <v>0</v>
      </c>
      <c r="U1360" s="2994">
        <v>0</v>
      </c>
      <c r="V1360" s="2994">
        <v>0</v>
      </c>
      <c r="W1360" s="2994">
        <v>0</v>
      </c>
      <c r="X1360" s="2994">
        <v>0</v>
      </c>
      <c r="Y1360" s="2994">
        <v>0</v>
      </c>
      <c r="Z1360" s="2994">
        <v>0</v>
      </c>
      <c r="AA1360" s="2994">
        <v>0</v>
      </c>
      <c r="AB1360" s="2994">
        <v>0</v>
      </c>
      <c r="AC1360" s="2994">
        <v>0</v>
      </c>
      <c r="AD1360" s="2994">
        <v>0</v>
      </c>
      <c r="AE1360" s="2994">
        <v>0</v>
      </c>
      <c r="AF1360" s="2994">
        <v>0</v>
      </c>
      <c r="AG1360" s="2994">
        <v>0</v>
      </c>
      <c r="AH1360" s="2994">
        <v>0</v>
      </c>
      <c r="AI1360" s="2994">
        <v>0</v>
      </c>
      <c r="AJ1360" s="2994">
        <v>0</v>
      </c>
      <c r="AK1360" s="2994">
        <v>0</v>
      </c>
      <c r="AL1360" s="2994">
        <v>0</v>
      </c>
      <c r="AM1360" s="2994">
        <v>0</v>
      </c>
      <c r="AN1360" s="2994">
        <v>0</v>
      </c>
      <c r="AO1360" s="2994">
        <v>0</v>
      </c>
      <c r="AP1360" s="2994">
        <v>0</v>
      </c>
      <c r="AQ1360" s="2994">
        <v>0</v>
      </c>
      <c r="AR1360" s="2994">
        <v>0</v>
      </c>
      <c r="AS1360" s="2994">
        <v>0</v>
      </c>
      <c r="AT1360" s="2994">
        <v>0</v>
      </c>
      <c r="AU1360" s="2994">
        <v>0</v>
      </c>
      <c r="AV1360" s="2994">
        <v>0</v>
      </c>
      <c r="AW1360" s="2994">
        <v>0</v>
      </c>
      <c r="AX1360" s="2994">
        <v>0</v>
      </c>
      <c r="AY1360" s="2994">
        <v>0</v>
      </c>
      <c r="AZ1360" s="2994">
        <v>0</v>
      </c>
      <c r="BA1360" s="2994">
        <v>0</v>
      </c>
      <c r="BB1360" s="2994">
        <v>0</v>
      </c>
      <c r="BC1360" s="2994">
        <v>0</v>
      </c>
      <c r="BD1360" s="3471">
        <v>0</v>
      </c>
      <c r="BE1360" s="3471">
        <v>0</v>
      </c>
      <c r="BF1360" s="3471">
        <v>0</v>
      </c>
    </row>
    <row r="1361" spans="1:58">
      <c r="A1361" s="1817" t="str">
        <f t="shared" si="43"/>
        <v>Western EuropeCloves</v>
      </c>
      <c r="B1361" s="1818" t="s">
        <v>301</v>
      </c>
      <c r="C1361" s="1818" t="s">
        <v>7312</v>
      </c>
      <c r="D1361" s="3463" t="str">
        <f>VLOOKUP(B1361,List_Yield!$G$4:$J$14,4,FALSE)</f>
        <v>Western Europe</v>
      </c>
      <c r="E1361" s="3463" t="str">
        <f t="shared" si="44"/>
        <v>Western EuropeCloves</v>
      </c>
      <c r="F1361" s="2994">
        <v>0</v>
      </c>
      <c r="G1361" s="2994">
        <v>0</v>
      </c>
      <c r="H1361" s="2994">
        <v>0</v>
      </c>
      <c r="I1361" s="2994">
        <v>0</v>
      </c>
      <c r="J1361" s="2994">
        <v>0</v>
      </c>
      <c r="K1361" s="2994">
        <v>0</v>
      </c>
      <c r="L1361" s="2994">
        <v>0</v>
      </c>
      <c r="M1361" s="2994">
        <v>0</v>
      </c>
      <c r="N1361" s="2994">
        <v>0</v>
      </c>
      <c r="O1361" s="2994">
        <v>0</v>
      </c>
      <c r="P1361" s="2994">
        <v>0</v>
      </c>
      <c r="Q1361" s="2994">
        <v>0</v>
      </c>
      <c r="R1361" s="2994">
        <v>0</v>
      </c>
      <c r="S1361" s="2994">
        <v>0</v>
      </c>
      <c r="T1361" s="2994">
        <v>0</v>
      </c>
      <c r="U1361" s="2994">
        <v>0</v>
      </c>
      <c r="V1361" s="2994">
        <v>0</v>
      </c>
      <c r="W1361" s="2994">
        <v>0</v>
      </c>
      <c r="X1361" s="2994">
        <v>0</v>
      </c>
      <c r="Y1361" s="2994">
        <v>0</v>
      </c>
      <c r="Z1361" s="2994">
        <v>0</v>
      </c>
      <c r="AA1361" s="2994">
        <v>0</v>
      </c>
      <c r="AB1361" s="2994">
        <v>0</v>
      </c>
      <c r="AC1361" s="2994">
        <v>0</v>
      </c>
      <c r="AD1361" s="2994">
        <v>0</v>
      </c>
      <c r="AE1361" s="2994">
        <v>0</v>
      </c>
      <c r="AF1361" s="2994">
        <v>0</v>
      </c>
      <c r="AG1361" s="2994">
        <v>0</v>
      </c>
      <c r="AH1361" s="2994">
        <v>0</v>
      </c>
      <c r="AI1361" s="2994">
        <v>0</v>
      </c>
      <c r="AJ1361" s="2994">
        <v>0</v>
      </c>
      <c r="AK1361" s="2994">
        <v>0</v>
      </c>
      <c r="AL1361" s="2994">
        <v>0</v>
      </c>
      <c r="AM1361" s="2994">
        <v>0</v>
      </c>
      <c r="AN1361" s="2994">
        <v>0</v>
      </c>
      <c r="AO1361" s="2994">
        <v>0</v>
      </c>
      <c r="AP1361" s="2994">
        <v>0</v>
      </c>
      <c r="AQ1361" s="2994">
        <v>0</v>
      </c>
      <c r="AR1361" s="2994">
        <v>0</v>
      </c>
      <c r="AS1361" s="2994">
        <v>0</v>
      </c>
      <c r="AT1361" s="2994">
        <v>0</v>
      </c>
      <c r="AU1361" s="2994">
        <v>0</v>
      </c>
      <c r="AV1361" s="2994">
        <v>0</v>
      </c>
      <c r="AW1361" s="2994">
        <v>0</v>
      </c>
      <c r="AX1361" s="2994">
        <v>0</v>
      </c>
      <c r="AY1361" s="2994">
        <v>0</v>
      </c>
      <c r="AZ1361" s="2994">
        <v>0</v>
      </c>
      <c r="BA1361" s="2994">
        <v>0</v>
      </c>
      <c r="BB1361" s="2994">
        <v>0</v>
      </c>
      <c r="BC1361" s="2994">
        <v>0</v>
      </c>
      <c r="BD1361" s="3471">
        <v>0</v>
      </c>
      <c r="BE1361" s="3471">
        <v>0</v>
      </c>
      <c r="BF1361" s="3471">
        <v>0</v>
      </c>
    </row>
    <row r="1362" spans="1:58">
      <c r="A1362" s="1817" t="str">
        <f t="shared" si="43"/>
        <v>Western EuropeCocoa, beans</v>
      </c>
      <c r="B1362" s="1818" t="s">
        <v>301</v>
      </c>
      <c r="C1362" s="1818" t="s">
        <v>7313</v>
      </c>
      <c r="D1362" s="3463" t="str">
        <f>VLOOKUP(B1362,List_Yield!$G$4:$J$14,4,FALSE)</f>
        <v>Western Europe</v>
      </c>
      <c r="E1362" s="3463" t="str">
        <f t="shared" si="44"/>
        <v>Western EuropeCocoa, beans</v>
      </c>
      <c r="F1362" s="2994">
        <v>0</v>
      </c>
      <c r="G1362" s="2994">
        <v>0</v>
      </c>
      <c r="H1362" s="2994">
        <v>0</v>
      </c>
      <c r="I1362" s="2994">
        <v>0</v>
      </c>
      <c r="J1362" s="2994">
        <v>0</v>
      </c>
      <c r="K1362" s="2994">
        <v>0</v>
      </c>
      <c r="L1362" s="2994">
        <v>0</v>
      </c>
      <c r="M1362" s="2994">
        <v>0</v>
      </c>
      <c r="N1362" s="2994">
        <v>0</v>
      </c>
      <c r="O1362" s="2994">
        <v>0</v>
      </c>
      <c r="P1362" s="2994">
        <v>0</v>
      </c>
      <c r="Q1362" s="2994">
        <v>0</v>
      </c>
      <c r="R1362" s="2994">
        <v>0</v>
      </c>
      <c r="S1362" s="2994">
        <v>0</v>
      </c>
      <c r="T1362" s="2994">
        <v>0</v>
      </c>
      <c r="U1362" s="2994">
        <v>0</v>
      </c>
      <c r="V1362" s="2994">
        <v>0</v>
      </c>
      <c r="W1362" s="2994">
        <v>0</v>
      </c>
      <c r="X1362" s="2994">
        <v>0</v>
      </c>
      <c r="Y1362" s="2994">
        <v>0</v>
      </c>
      <c r="Z1362" s="2994">
        <v>0</v>
      </c>
      <c r="AA1362" s="2994">
        <v>0</v>
      </c>
      <c r="AB1362" s="2994">
        <v>0</v>
      </c>
      <c r="AC1362" s="2994">
        <v>0</v>
      </c>
      <c r="AD1362" s="2994">
        <v>0</v>
      </c>
      <c r="AE1362" s="2994">
        <v>0</v>
      </c>
      <c r="AF1362" s="2994">
        <v>0</v>
      </c>
      <c r="AG1362" s="2994">
        <v>0</v>
      </c>
      <c r="AH1362" s="2994">
        <v>0</v>
      </c>
      <c r="AI1362" s="2994">
        <v>0</v>
      </c>
      <c r="AJ1362" s="2994">
        <v>0</v>
      </c>
      <c r="AK1362" s="2994">
        <v>0</v>
      </c>
      <c r="AL1362" s="2994">
        <v>0</v>
      </c>
      <c r="AM1362" s="2994">
        <v>0</v>
      </c>
      <c r="AN1362" s="2994">
        <v>0</v>
      </c>
      <c r="AO1362" s="2994">
        <v>0</v>
      </c>
      <c r="AP1362" s="2994">
        <v>0</v>
      </c>
      <c r="AQ1362" s="2994">
        <v>0</v>
      </c>
      <c r="AR1362" s="2994">
        <v>0</v>
      </c>
      <c r="AS1362" s="2994">
        <v>0</v>
      </c>
      <c r="AT1362" s="2994">
        <v>0</v>
      </c>
      <c r="AU1362" s="2994">
        <v>0</v>
      </c>
      <c r="AV1362" s="2994">
        <v>0</v>
      </c>
      <c r="AW1362" s="2994">
        <v>0</v>
      </c>
      <c r="AX1362" s="2994">
        <v>0</v>
      </c>
      <c r="AY1362" s="2994">
        <v>0</v>
      </c>
      <c r="AZ1362" s="2994">
        <v>0</v>
      </c>
      <c r="BA1362" s="2994">
        <v>0</v>
      </c>
      <c r="BB1362" s="2994">
        <v>0</v>
      </c>
      <c r="BC1362" s="2994">
        <v>0</v>
      </c>
      <c r="BD1362" s="3471">
        <v>0</v>
      </c>
      <c r="BE1362" s="3471">
        <v>0</v>
      </c>
      <c r="BF1362" s="3471">
        <v>0</v>
      </c>
    </row>
    <row r="1363" spans="1:58">
      <c r="A1363" s="1817" t="str">
        <f t="shared" si="43"/>
        <v>Western EuropeCoconuts</v>
      </c>
      <c r="B1363" s="1818" t="s">
        <v>301</v>
      </c>
      <c r="C1363" s="1818" t="s">
        <v>7314</v>
      </c>
      <c r="D1363" s="3463" t="str">
        <f>VLOOKUP(B1363,List_Yield!$G$4:$J$14,4,FALSE)</f>
        <v>Western Europe</v>
      </c>
      <c r="E1363" s="3463" t="str">
        <f t="shared" si="44"/>
        <v>Western EuropeCoconuts</v>
      </c>
      <c r="F1363" s="2994">
        <v>0</v>
      </c>
      <c r="G1363" s="2994">
        <v>0</v>
      </c>
      <c r="H1363" s="2994">
        <v>0</v>
      </c>
      <c r="I1363" s="2994">
        <v>0</v>
      </c>
      <c r="J1363" s="2994">
        <v>0</v>
      </c>
      <c r="K1363" s="2994">
        <v>0</v>
      </c>
      <c r="L1363" s="2994">
        <v>0</v>
      </c>
      <c r="M1363" s="2994">
        <v>0</v>
      </c>
      <c r="N1363" s="2994">
        <v>0</v>
      </c>
      <c r="O1363" s="2994">
        <v>0</v>
      </c>
      <c r="P1363" s="2994">
        <v>0</v>
      </c>
      <c r="Q1363" s="2994">
        <v>0</v>
      </c>
      <c r="R1363" s="2994">
        <v>0</v>
      </c>
      <c r="S1363" s="2994">
        <v>0</v>
      </c>
      <c r="T1363" s="2994">
        <v>0</v>
      </c>
      <c r="U1363" s="2994">
        <v>0</v>
      </c>
      <c r="V1363" s="2994">
        <v>0</v>
      </c>
      <c r="W1363" s="2994">
        <v>0</v>
      </c>
      <c r="X1363" s="2994">
        <v>0</v>
      </c>
      <c r="Y1363" s="2994">
        <v>0</v>
      </c>
      <c r="Z1363" s="2994">
        <v>0</v>
      </c>
      <c r="AA1363" s="2994">
        <v>0</v>
      </c>
      <c r="AB1363" s="2994">
        <v>0</v>
      </c>
      <c r="AC1363" s="2994">
        <v>0</v>
      </c>
      <c r="AD1363" s="2994">
        <v>0</v>
      </c>
      <c r="AE1363" s="2994">
        <v>0</v>
      </c>
      <c r="AF1363" s="2994">
        <v>0</v>
      </c>
      <c r="AG1363" s="2994">
        <v>0</v>
      </c>
      <c r="AH1363" s="2994">
        <v>0</v>
      </c>
      <c r="AI1363" s="2994">
        <v>0</v>
      </c>
      <c r="AJ1363" s="2994">
        <v>0</v>
      </c>
      <c r="AK1363" s="2994">
        <v>0</v>
      </c>
      <c r="AL1363" s="2994">
        <v>0</v>
      </c>
      <c r="AM1363" s="2994">
        <v>0</v>
      </c>
      <c r="AN1363" s="2994">
        <v>0</v>
      </c>
      <c r="AO1363" s="2994">
        <v>0</v>
      </c>
      <c r="AP1363" s="2994">
        <v>0</v>
      </c>
      <c r="AQ1363" s="2994">
        <v>0</v>
      </c>
      <c r="AR1363" s="2994">
        <v>0</v>
      </c>
      <c r="AS1363" s="2994">
        <v>0</v>
      </c>
      <c r="AT1363" s="2994">
        <v>0</v>
      </c>
      <c r="AU1363" s="2994">
        <v>0</v>
      </c>
      <c r="AV1363" s="2994">
        <v>0</v>
      </c>
      <c r="AW1363" s="2994">
        <v>0</v>
      </c>
      <c r="AX1363" s="2994">
        <v>0</v>
      </c>
      <c r="AY1363" s="2994">
        <v>0</v>
      </c>
      <c r="AZ1363" s="2994">
        <v>0</v>
      </c>
      <c r="BA1363" s="2994">
        <v>0</v>
      </c>
      <c r="BB1363" s="2994">
        <v>0</v>
      </c>
      <c r="BC1363" s="2994">
        <v>0</v>
      </c>
      <c r="BD1363" s="3471">
        <v>0</v>
      </c>
      <c r="BE1363" s="3471">
        <v>0</v>
      </c>
      <c r="BF1363" s="3471">
        <v>0</v>
      </c>
    </row>
    <row r="1364" spans="1:58">
      <c r="A1364" s="1817" t="str">
        <f t="shared" si="43"/>
        <v>Western EuropeCoffee, green</v>
      </c>
      <c r="B1364" s="1818" t="s">
        <v>301</v>
      </c>
      <c r="C1364" s="1818" t="s">
        <v>1347</v>
      </c>
      <c r="D1364" s="3463" t="str">
        <f>VLOOKUP(B1364,List_Yield!$G$4:$J$14,4,FALSE)</f>
        <v>Western Europe</v>
      </c>
      <c r="E1364" s="3463" t="str">
        <f t="shared" si="44"/>
        <v>Western EuropeCoffee, green</v>
      </c>
      <c r="F1364" s="2994">
        <v>0</v>
      </c>
      <c r="G1364" s="2994">
        <v>0</v>
      </c>
      <c r="H1364" s="2994">
        <v>0</v>
      </c>
      <c r="I1364" s="2994">
        <v>0</v>
      </c>
      <c r="J1364" s="2994">
        <v>0</v>
      </c>
      <c r="K1364" s="2994">
        <v>0</v>
      </c>
      <c r="L1364" s="2994">
        <v>0</v>
      </c>
      <c r="M1364" s="2994">
        <v>0</v>
      </c>
      <c r="N1364" s="2994">
        <v>0</v>
      </c>
      <c r="O1364" s="2994">
        <v>0</v>
      </c>
      <c r="P1364" s="2994">
        <v>0</v>
      </c>
      <c r="Q1364" s="2994">
        <v>0</v>
      </c>
      <c r="R1364" s="2994">
        <v>0</v>
      </c>
      <c r="S1364" s="2994">
        <v>0</v>
      </c>
      <c r="T1364" s="2994">
        <v>0</v>
      </c>
      <c r="U1364" s="2994">
        <v>0</v>
      </c>
      <c r="V1364" s="2994">
        <v>0</v>
      </c>
      <c r="W1364" s="2994">
        <v>0</v>
      </c>
      <c r="X1364" s="2994">
        <v>0</v>
      </c>
      <c r="Y1364" s="2994">
        <v>0</v>
      </c>
      <c r="Z1364" s="2994">
        <v>0</v>
      </c>
      <c r="AA1364" s="2994">
        <v>0</v>
      </c>
      <c r="AB1364" s="2994">
        <v>0</v>
      </c>
      <c r="AC1364" s="2994">
        <v>0</v>
      </c>
      <c r="AD1364" s="2994">
        <v>0</v>
      </c>
      <c r="AE1364" s="2994">
        <v>0</v>
      </c>
      <c r="AF1364" s="2994">
        <v>0</v>
      </c>
      <c r="AG1364" s="2994">
        <v>0</v>
      </c>
      <c r="AH1364" s="2994">
        <v>0</v>
      </c>
      <c r="AI1364" s="2994">
        <v>0</v>
      </c>
      <c r="AJ1364" s="2994">
        <v>0</v>
      </c>
      <c r="AK1364" s="2994">
        <v>0</v>
      </c>
      <c r="AL1364" s="2994">
        <v>0</v>
      </c>
      <c r="AM1364" s="2994">
        <v>0</v>
      </c>
      <c r="AN1364" s="2994">
        <v>0</v>
      </c>
      <c r="AO1364" s="2994">
        <v>0</v>
      </c>
      <c r="AP1364" s="2994">
        <v>0</v>
      </c>
      <c r="AQ1364" s="2994">
        <v>0</v>
      </c>
      <c r="AR1364" s="2994">
        <v>0</v>
      </c>
      <c r="AS1364" s="2994">
        <v>0</v>
      </c>
      <c r="AT1364" s="2994">
        <v>0</v>
      </c>
      <c r="AU1364" s="2994">
        <v>0</v>
      </c>
      <c r="AV1364" s="2994">
        <v>0</v>
      </c>
      <c r="AW1364" s="2994">
        <v>0</v>
      </c>
      <c r="AX1364" s="2994">
        <v>0</v>
      </c>
      <c r="AY1364" s="2994">
        <v>0</v>
      </c>
      <c r="AZ1364" s="2994">
        <v>0</v>
      </c>
      <c r="BA1364" s="2994">
        <v>0</v>
      </c>
      <c r="BB1364" s="2994">
        <v>0</v>
      </c>
      <c r="BC1364" s="2994">
        <v>0</v>
      </c>
      <c r="BD1364" s="3471">
        <v>0</v>
      </c>
      <c r="BE1364" s="3471">
        <v>0</v>
      </c>
      <c r="BF1364" s="3471">
        <v>0</v>
      </c>
    </row>
    <row r="1365" spans="1:58">
      <c r="A1365" s="1817" t="str">
        <f t="shared" si="43"/>
        <v>Western EuropeCoir</v>
      </c>
      <c r="B1365" s="1818" t="s">
        <v>301</v>
      </c>
      <c r="C1365" s="1818" t="s">
        <v>7315</v>
      </c>
      <c r="D1365" s="3463" t="str">
        <f>VLOOKUP(B1365,List_Yield!$G$4:$J$14,4,FALSE)</f>
        <v>Western Europe</v>
      </c>
      <c r="E1365" s="3463" t="str">
        <f t="shared" si="44"/>
        <v>Western EuropeCoir</v>
      </c>
      <c r="F1365" s="2994">
        <v>0</v>
      </c>
      <c r="G1365" s="2994">
        <v>0</v>
      </c>
      <c r="H1365" s="2994">
        <v>0</v>
      </c>
      <c r="I1365" s="2994">
        <v>0</v>
      </c>
      <c r="J1365" s="2994">
        <v>0</v>
      </c>
      <c r="K1365" s="2994">
        <v>0</v>
      </c>
      <c r="L1365" s="2994">
        <v>0</v>
      </c>
      <c r="M1365" s="2994">
        <v>0</v>
      </c>
      <c r="N1365" s="2994">
        <v>0</v>
      </c>
      <c r="O1365" s="2994">
        <v>0</v>
      </c>
      <c r="P1365" s="2994">
        <v>0</v>
      </c>
      <c r="Q1365" s="2994">
        <v>0</v>
      </c>
      <c r="R1365" s="2994">
        <v>0</v>
      </c>
      <c r="S1365" s="2994">
        <v>0</v>
      </c>
      <c r="T1365" s="2994">
        <v>0</v>
      </c>
      <c r="U1365" s="2994">
        <v>0</v>
      </c>
      <c r="V1365" s="2994">
        <v>0</v>
      </c>
      <c r="W1365" s="2994">
        <v>0</v>
      </c>
      <c r="X1365" s="2994">
        <v>0</v>
      </c>
      <c r="Y1365" s="2994">
        <v>0</v>
      </c>
      <c r="Z1365" s="2994">
        <v>0</v>
      </c>
      <c r="AA1365" s="2994">
        <v>0</v>
      </c>
      <c r="AB1365" s="2994">
        <v>0</v>
      </c>
      <c r="AC1365" s="2994">
        <v>0</v>
      </c>
      <c r="AD1365" s="2994">
        <v>0</v>
      </c>
      <c r="AE1365" s="2994">
        <v>0</v>
      </c>
      <c r="AF1365" s="2994">
        <v>0</v>
      </c>
      <c r="AG1365" s="2994">
        <v>0</v>
      </c>
      <c r="AH1365" s="2994">
        <v>0</v>
      </c>
      <c r="AI1365" s="2994">
        <v>0</v>
      </c>
      <c r="AJ1365" s="2994">
        <v>0</v>
      </c>
      <c r="AK1365" s="2994">
        <v>0</v>
      </c>
      <c r="AL1365" s="2994">
        <v>0</v>
      </c>
      <c r="AM1365" s="2994">
        <v>0</v>
      </c>
      <c r="AN1365" s="2994">
        <v>0</v>
      </c>
      <c r="AO1365" s="2994">
        <v>0</v>
      </c>
      <c r="AP1365" s="2994">
        <v>0</v>
      </c>
      <c r="AQ1365" s="2994">
        <v>0</v>
      </c>
      <c r="AR1365" s="2994">
        <v>0</v>
      </c>
      <c r="AS1365" s="2994">
        <v>0</v>
      </c>
      <c r="AT1365" s="2994">
        <v>0</v>
      </c>
      <c r="AU1365" s="2994">
        <v>0</v>
      </c>
      <c r="AV1365" s="2994">
        <v>0</v>
      </c>
      <c r="AW1365" s="2994">
        <v>0</v>
      </c>
      <c r="AX1365" s="2994">
        <v>0</v>
      </c>
      <c r="AY1365" s="2994">
        <v>0</v>
      </c>
      <c r="AZ1365" s="2994">
        <v>0</v>
      </c>
      <c r="BA1365" s="2994">
        <v>0</v>
      </c>
      <c r="BB1365" s="2994">
        <v>0</v>
      </c>
      <c r="BC1365" s="2994">
        <v>0</v>
      </c>
      <c r="BD1365" s="3471">
        <v>0</v>
      </c>
      <c r="BE1365" s="3471">
        <v>0</v>
      </c>
      <c r="BF1365" s="3471">
        <v>0</v>
      </c>
    </row>
    <row r="1366" spans="1:58">
      <c r="A1366" s="1817" t="str">
        <f t="shared" si="43"/>
        <v>Western EuropeCow peas, dry</v>
      </c>
      <c r="B1366" s="1818" t="s">
        <v>301</v>
      </c>
      <c r="C1366" s="1818" t="s">
        <v>1329</v>
      </c>
      <c r="D1366" s="3463" t="str">
        <f>VLOOKUP(B1366,List_Yield!$G$4:$J$14,4,FALSE)</f>
        <v>Western Europe</v>
      </c>
      <c r="E1366" s="3463" t="str">
        <f t="shared" si="44"/>
        <v>Western EuropeCow peas, dry</v>
      </c>
      <c r="F1366" s="2994">
        <v>0</v>
      </c>
      <c r="G1366" s="2994">
        <v>0</v>
      </c>
      <c r="H1366" s="2994">
        <v>0</v>
      </c>
      <c r="I1366" s="2994">
        <v>0</v>
      </c>
      <c r="J1366" s="2994">
        <v>0</v>
      </c>
      <c r="K1366" s="2994">
        <v>0</v>
      </c>
      <c r="L1366" s="2994">
        <v>0</v>
      </c>
      <c r="M1366" s="2994">
        <v>0</v>
      </c>
      <c r="N1366" s="2994">
        <v>0</v>
      </c>
      <c r="O1366" s="2994">
        <v>0</v>
      </c>
      <c r="P1366" s="2994">
        <v>0</v>
      </c>
      <c r="Q1366" s="2994">
        <v>0</v>
      </c>
      <c r="R1366" s="2994">
        <v>0</v>
      </c>
      <c r="S1366" s="2994">
        <v>0</v>
      </c>
      <c r="T1366" s="2994">
        <v>0</v>
      </c>
      <c r="U1366" s="2994">
        <v>0</v>
      </c>
      <c r="V1366" s="2994">
        <v>0</v>
      </c>
      <c r="W1366" s="2994">
        <v>0</v>
      </c>
      <c r="X1366" s="2994">
        <v>0</v>
      </c>
      <c r="Y1366" s="2994">
        <v>0</v>
      </c>
      <c r="Z1366" s="2994">
        <v>0</v>
      </c>
      <c r="AA1366" s="2994">
        <v>0</v>
      </c>
      <c r="AB1366" s="2994">
        <v>0</v>
      </c>
      <c r="AC1366" s="2994">
        <v>0</v>
      </c>
      <c r="AD1366" s="2994">
        <v>0</v>
      </c>
      <c r="AE1366" s="2994">
        <v>0</v>
      </c>
      <c r="AF1366" s="2994">
        <v>0</v>
      </c>
      <c r="AG1366" s="2994">
        <v>0</v>
      </c>
      <c r="AH1366" s="2994">
        <v>0</v>
      </c>
      <c r="AI1366" s="2994">
        <v>0</v>
      </c>
      <c r="AJ1366" s="2994">
        <v>0</v>
      </c>
      <c r="AK1366" s="2994">
        <v>0</v>
      </c>
      <c r="AL1366" s="2994">
        <v>0</v>
      </c>
      <c r="AM1366" s="2994">
        <v>0</v>
      </c>
      <c r="AN1366" s="2994">
        <v>0</v>
      </c>
      <c r="AO1366" s="2994">
        <v>0</v>
      </c>
      <c r="AP1366" s="2994">
        <v>0</v>
      </c>
      <c r="AQ1366" s="2994">
        <v>0</v>
      </c>
      <c r="AR1366" s="2994">
        <v>0</v>
      </c>
      <c r="AS1366" s="2994">
        <v>0</v>
      </c>
      <c r="AT1366" s="2994">
        <v>0</v>
      </c>
      <c r="AU1366" s="2994">
        <v>0</v>
      </c>
      <c r="AV1366" s="2994">
        <v>0</v>
      </c>
      <c r="AW1366" s="2994">
        <v>0</v>
      </c>
      <c r="AX1366" s="2994">
        <v>0</v>
      </c>
      <c r="AY1366" s="2994">
        <v>0</v>
      </c>
      <c r="AZ1366" s="2994">
        <v>0</v>
      </c>
      <c r="BA1366" s="2994">
        <v>0</v>
      </c>
      <c r="BB1366" s="2994">
        <v>0</v>
      </c>
      <c r="BC1366" s="2994">
        <v>0</v>
      </c>
      <c r="BD1366" s="3471">
        <v>0</v>
      </c>
      <c r="BE1366" s="3471">
        <v>0</v>
      </c>
      <c r="BF1366" s="3471">
        <v>0</v>
      </c>
    </row>
    <row r="1367" spans="1:58">
      <c r="A1367" s="1817" t="str">
        <f t="shared" si="43"/>
        <v>Western EuropeCranberries</v>
      </c>
      <c r="B1367" s="1818" t="s">
        <v>301</v>
      </c>
      <c r="C1367" s="1818" t="s">
        <v>7316</v>
      </c>
      <c r="D1367" s="3463" t="str">
        <f>VLOOKUP(B1367,List_Yield!$G$4:$J$14,4,FALSE)</f>
        <v>Western Europe</v>
      </c>
      <c r="E1367" s="3463" t="str">
        <f t="shared" si="44"/>
        <v>Western EuropeCranberries</v>
      </c>
      <c r="F1367" s="2994">
        <v>0</v>
      </c>
      <c r="G1367" s="2994">
        <v>0</v>
      </c>
      <c r="H1367" s="2994">
        <v>0</v>
      </c>
      <c r="I1367" s="2994">
        <v>0</v>
      </c>
      <c r="J1367" s="2994">
        <v>0</v>
      </c>
      <c r="K1367" s="2994">
        <v>0</v>
      </c>
      <c r="L1367" s="2994">
        <v>0</v>
      </c>
      <c r="M1367" s="2994">
        <v>0</v>
      </c>
      <c r="N1367" s="2994">
        <v>0</v>
      </c>
      <c r="O1367" s="2994">
        <v>0</v>
      </c>
      <c r="P1367" s="2994">
        <v>0</v>
      </c>
      <c r="Q1367" s="2994">
        <v>0</v>
      </c>
      <c r="R1367" s="2994">
        <v>0</v>
      </c>
      <c r="S1367" s="2994">
        <v>0</v>
      </c>
      <c r="T1367" s="2994">
        <v>0</v>
      </c>
      <c r="U1367" s="2994">
        <v>0</v>
      </c>
      <c r="V1367" s="2994">
        <v>0</v>
      </c>
      <c r="W1367" s="2994">
        <v>0</v>
      </c>
      <c r="X1367" s="2994">
        <v>0</v>
      </c>
      <c r="Y1367" s="2994">
        <v>0</v>
      </c>
      <c r="Z1367" s="2994">
        <v>0</v>
      </c>
      <c r="AA1367" s="2994">
        <v>0</v>
      </c>
      <c r="AB1367" s="2994">
        <v>0</v>
      </c>
      <c r="AC1367" s="2994">
        <v>0</v>
      </c>
      <c r="AD1367" s="2994">
        <v>0</v>
      </c>
      <c r="AE1367" s="2994">
        <v>0</v>
      </c>
      <c r="AF1367" s="2994">
        <v>0</v>
      </c>
      <c r="AG1367" s="2994">
        <v>0</v>
      </c>
      <c r="AH1367" s="2994">
        <v>0</v>
      </c>
      <c r="AI1367" s="2994">
        <v>0</v>
      </c>
      <c r="AJ1367" s="2994">
        <v>0</v>
      </c>
      <c r="AK1367" s="2994">
        <v>0</v>
      </c>
      <c r="AL1367" s="2994">
        <v>0</v>
      </c>
      <c r="AM1367" s="2994">
        <v>0</v>
      </c>
      <c r="AN1367" s="2994">
        <v>0</v>
      </c>
      <c r="AO1367" s="2994">
        <v>0</v>
      </c>
      <c r="AP1367" s="2994">
        <v>0</v>
      </c>
      <c r="AQ1367" s="2994">
        <v>0</v>
      </c>
      <c r="AR1367" s="2994">
        <v>0</v>
      </c>
      <c r="AS1367" s="2994">
        <v>0</v>
      </c>
      <c r="AT1367" s="2994">
        <v>0</v>
      </c>
      <c r="AU1367" s="2994">
        <v>0</v>
      </c>
      <c r="AV1367" s="2994">
        <v>0</v>
      </c>
      <c r="AW1367" s="2994">
        <v>0</v>
      </c>
      <c r="AX1367" s="2994">
        <v>0</v>
      </c>
      <c r="AY1367" s="2994">
        <v>0</v>
      </c>
      <c r="AZ1367" s="2994">
        <v>0</v>
      </c>
      <c r="BA1367" s="2994">
        <v>0</v>
      </c>
      <c r="BB1367" s="2994">
        <v>0</v>
      </c>
      <c r="BC1367" s="2994">
        <v>0</v>
      </c>
      <c r="BD1367" s="3471">
        <v>0</v>
      </c>
      <c r="BE1367" s="3471">
        <v>0</v>
      </c>
      <c r="BF1367" s="3471">
        <v>0</v>
      </c>
    </row>
    <row r="1368" spans="1:58">
      <c r="A1368" s="1817" t="str">
        <f t="shared" si="43"/>
        <v>Western EuropeCucumbers and gherkins</v>
      </c>
      <c r="B1368" s="1818" t="s">
        <v>301</v>
      </c>
      <c r="C1368" s="1818" t="s">
        <v>7317</v>
      </c>
      <c r="D1368" s="3463" t="str">
        <f>VLOOKUP(B1368,List_Yield!$G$4:$J$14,4,FALSE)</f>
        <v>Western Europe</v>
      </c>
      <c r="E1368" s="3463" t="str">
        <f t="shared" si="44"/>
        <v>Western EuropeCucumbers and gherkins</v>
      </c>
      <c r="F1368" s="2994">
        <v>20.697900000000001</v>
      </c>
      <c r="G1368" s="2994">
        <v>19.1432</v>
      </c>
      <c r="H1368" s="2994">
        <v>23.3477</v>
      </c>
      <c r="I1368" s="2994">
        <v>25.761199999999999</v>
      </c>
      <c r="J1368" s="2994">
        <v>26.530200000000001</v>
      </c>
      <c r="K1368" s="2994">
        <v>34.235300000000002</v>
      </c>
      <c r="L1368" s="2994">
        <v>35.944899999999997</v>
      </c>
      <c r="M1368" s="2994">
        <v>39.332999999999998</v>
      </c>
      <c r="N1368" s="2994">
        <v>37.395899999999997</v>
      </c>
      <c r="O1368" s="2994">
        <v>40.435299999999998</v>
      </c>
      <c r="P1368" s="2994">
        <v>40.963799999999999</v>
      </c>
      <c r="Q1368" s="2994">
        <v>53.0563</v>
      </c>
      <c r="R1368" s="2994">
        <v>49.837899999999998</v>
      </c>
      <c r="S1368" s="2994">
        <v>52.779699999999998</v>
      </c>
      <c r="T1368" s="2994">
        <v>62.028199999999998</v>
      </c>
      <c r="U1368" s="2994">
        <v>49.6342</v>
      </c>
      <c r="V1368" s="2994">
        <v>53.919400000000003</v>
      </c>
      <c r="W1368" s="2994">
        <v>49.841000000000001</v>
      </c>
      <c r="X1368" s="2994">
        <v>55.436900000000001</v>
      </c>
      <c r="Y1368" s="2994">
        <v>56.851599999999998</v>
      </c>
      <c r="Z1368" s="2994">
        <v>61.210799999999999</v>
      </c>
      <c r="AA1368" s="2994">
        <v>66.046000000000006</v>
      </c>
      <c r="AB1368" s="2994">
        <v>73.890600000000006</v>
      </c>
      <c r="AC1368" s="2994">
        <v>74.5535</v>
      </c>
      <c r="AD1368" s="2994">
        <v>79.6267</v>
      </c>
      <c r="AE1368" s="2994">
        <v>78.103700000000003</v>
      </c>
      <c r="AF1368" s="2994">
        <v>67.393000000000001</v>
      </c>
      <c r="AG1368" s="2994">
        <v>78.971000000000004</v>
      </c>
      <c r="AH1368" s="2994">
        <v>87.341399999999993</v>
      </c>
      <c r="AI1368" s="2994">
        <v>103.4684</v>
      </c>
      <c r="AJ1368" s="2994">
        <v>105.5377</v>
      </c>
      <c r="AK1368" s="2994">
        <v>109.1037</v>
      </c>
      <c r="AL1368" s="2994">
        <v>115.8798</v>
      </c>
      <c r="AM1368" s="2994">
        <v>116.626</v>
      </c>
      <c r="AN1368" s="2994">
        <v>117.83410000000001</v>
      </c>
      <c r="AO1368" s="2994">
        <v>118.5997</v>
      </c>
      <c r="AP1368" s="2994">
        <v>123.4391</v>
      </c>
      <c r="AQ1368" s="2994">
        <v>124.4061</v>
      </c>
      <c r="AR1368" s="2994">
        <v>135.35720000000001</v>
      </c>
      <c r="AS1368" s="2994">
        <v>136.89619999999999</v>
      </c>
      <c r="AT1368" s="2994">
        <v>146.62649999999999</v>
      </c>
      <c r="AU1368" s="2994">
        <v>157.97329999999999</v>
      </c>
      <c r="AV1368" s="2994">
        <v>150.31819999999999</v>
      </c>
      <c r="AW1368" s="2994">
        <v>165.40899999999999</v>
      </c>
      <c r="AX1368" s="2994">
        <v>166.00149999999999</v>
      </c>
      <c r="AY1368" s="2994">
        <v>172.93809999999999</v>
      </c>
      <c r="AZ1368" s="2994">
        <v>169.33080000000001</v>
      </c>
      <c r="BA1368" s="2994">
        <v>140.34729999999999</v>
      </c>
      <c r="BB1368" s="2994">
        <v>152.08250000000001</v>
      </c>
      <c r="BC1368" s="2994">
        <v>145.80410000000001</v>
      </c>
      <c r="BD1368" s="3471">
        <v>150.72370000000001</v>
      </c>
      <c r="BE1368" s="3471">
        <v>145.98220000000001</v>
      </c>
      <c r="BF1368" s="3471">
        <v>0</v>
      </c>
    </row>
    <row r="1369" spans="1:58">
      <c r="A1369" s="1817" t="str">
        <f t="shared" si="43"/>
        <v>Western EuropeCurrants</v>
      </c>
      <c r="B1369" s="1818" t="s">
        <v>301</v>
      </c>
      <c r="C1369" s="1818" t="s">
        <v>7318</v>
      </c>
      <c r="D1369" s="3463" t="str">
        <f>VLOOKUP(B1369,List_Yield!$G$4:$J$14,4,FALSE)</f>
        <v>Western Europe</v>
      </c>
      <c r="E1369" s="3463" t="str">
        <f t="shared" si="44"/>
        <v>Western EuropeCurrants</v>
      </c>
      <c r="F1369" s="2994">
        <v>124.7632</v>
      </c>
      <c r="G1369" s="2994">
        <v>107.9144</v>
      </c>
      <c r="H1369" s="2994">
        <v>131.04769999999999</v>
      </c>
      <c r="I1369" s="2994">
        <v>121.7659</v>
      </c>
      <c r="J1369" s="2994">
        <v>149.30719999999999</v>
      </c>
      <c r="K1369" s="2994">
        <v>171.18199999999999</v>
      </c>
      <c r="L1369" s="2994">
        <v>131.8348</v>
      </c>
      <c r="M1369" s="2994">
        <v>162.59370000000001</v>
      </c>
      <c r="N1369" s="2994">
        <v>161.38570000000001</v>
      </c>
      <c r="O1369" s="2994">
        <v>172.1267</v>
      </c>
      <c r="P1369" s="2994">
        <v>169.60669999999999</v>
      </c>
      <c r="Q1369" s="2994">
        <v>165.35810000000001</v>
      </c>
      <c r="R1369" s="2994">
        <v>156.68109999999999</v>
      </c>
      <c r="S1369" s="2994">
        <v>168.3339</v>
      </c>
      <c r="T1369" s="2994">
        <v>165.86439999999999</v>
      </c>
      <c r="U1369" s="2994">
        <v>138.8031</v>
      </c>
      <c r="V1369" s="2994">
        <v>117.5466</v>
      </c>
      <c r="W1369" s="2994">
        <v>153.0069</v>
      </c>
      <c r="X1369" s="2994">
        <v>146.25579999999999</v>
      </c>
      <c r="Y1369" s="2994">
        <v>152.10079999999999</v>
      </c>
      <c r="Z1369" s="2994">
        <v>102.694</v>
      </c>
      <c r="AA1369" s="2994">
        <v>125.8347</v>
      </c>
      <c r="AB1369" s="2994">
        <v>126.40940000000001</v>
      </c>
      <c r="AC1369" s="2994">
        <v>121.61450000000001</v>
      </c>
      <c r="AD1369" s="2994">
        <v>7.2279999999999998</v>
      </c>
      <c r="AE1369" s="2994">
        <v>7.1853999999999996</v>
      </c>
      <c r="AF1369" s="2994">
        <v>7.1375999999999999</v>
      </c>
      <c r="AG1369" s="2994">
        <v>7.7610000000000001</v>
      </c>
      <c r="AH1369" s="2994">
        <v>7.1208999999999998</v>
      </c>
      <c r="AI1369" s="2994">
        <v>7.452</v>
      </c>
      <c r="AJ1369" s="2994">
        <v>6.5317999999999996</v>
      </c>
      <c r="AK1369" s="2994">
        <v>8.7867999999999995</v>
      </c>
      <c r="AL1369" s="2994">
        <v>8.4056999999999995</v>
      </c>
      <c r="AM1369" s="2994">
        <v>7.8247</v>
      </c>
      <c r="AN1369" s="2994">
        <v>8.3468999999999998</v>
      </c>
      <c r="AO1369" s="2994">
        <v>7.3727999999999998</v>
      </c>
      <c r="AP1369" s="2994">
        <v>7.3689999999999998</v>
      </c>
      <c r="AQ1369" s="2994">
        <v>7.2713000000000001</v>
      </c>
      <c r="AR1369" s="2994">
        <v>7.9707999999999997</v>
      </c>
      <c r="AS1369" s="2994">
        <v>8.2992000000000008</v>
      </c>
      <c r="AT1369" s="2994">
        <v>7.8089000000000004</v>
      </c>
      <c r="AU1369" s="2994">
        <v>6.5566000000000004</v>
      </c>
      <c r="AV1369" s="2994">
        <v>6.4199000000000002</v>
      </c>
      <c r="AW1369" s="2994">
        <v>6.9768999999999997</v>
      </c>
      <c r="AX1369" s="2994">
        <v>8.2646999999999995</v>
      </c>
      <c r="AY1369" s="2994">
        <v>7.8967000000000001</v>
      </c>
      <c r="AZ1369" s="2994">
        <v>7.5580999999999996</v>
      </c>
      <c r="BA1369" s="2994">
        <v>8.1082000000000001</v>
      </c>
      <c r="BB1369" s="2994">
        <v>8.6448999999999998</v>
      </c>
      <c r="BC1369" s="2994">
        <v>7.7324000000000002</v>
      </c>
      <c r="BD1369" s="3471">
        <v>8.5889000000000006</v>
      </c>
      <c r="BE1369" s="3471">
        <v>6.9329000000000001</v>
      </c>
      <c r="BF1369" s="3471">
        <v>0</v>
      </c>
    </row>
    <row r="1370" spans="1:58">
      <c r="A1370" s="1817" t="str">
        <f t="shared" si="43"/>
        <v>Western EuropeDates</v>
      </c>
      <c r="B1370" s="1818" t="s">
        <v>301</v>
      </c>
      <c r="C1370" s="1818" t="s">
        <v>1348</v>
      </c>
      <c r="D1370" s="3463" t="str">
        <f>VLOOKUP(B1370,List_Yield!$G$4:$J$14,4,FALSE)</f>
        <v>Western Europe</v>
      </c>
      <c r="E1370" s="3463" t="str">
        <f t="shared" si="44"/>
        <v>Western EuropeDates</v>
      </c>
      <c r="F1370" s="2994">
        <v>0</v>
      </c>
      <c r="G1370" s="2994">
        <v>0</v>
      </c>
      <c r="H1370" s="2994">
        <v>0</v>
      </c>
      <c r="I1370" s="2994">
        <v>0</v>
      </c>
      <c r="J1370" s="2994">
        <v>0</v>
      </c>
      <c r="K1370" s="2994">
        <v>0</v>
      </c>
      <c r="L1370" s="2994">
        <v>0</v>
      </c>
      <c r="M1370" s="2994">
        <v>0</v>
      </c>
      <c r="N1370" s="2994">
        <v>0</v>
      </c>
      <c r="O1370" s="2994">
        <v>0</v>
      </c>
      <c r="P1370" s="2994">
        <v>0</v>
      </c>
      <c r="Q1370" s="2994">
        <v>0</v>
      </c>
      <c r="R1370" s="2994">
        <v>0</v>
      </c>
      <c r="S1370" s="2994">
        <v>0</v>
      </c>
      <c r="T1370" s="2994">
        <v>0</v>
      </c>
      <c r="U1370" s="2994">
        <v>0</v>
      </c>
      <c r="V1370" s="2994">
        <v>0</v>
      </c>
      <c r="W1370" s="2994">
        <v>0</v>
      </c>
      <c r="X1370" s="2994">
        <v>0</v>
      </c>
      <c r="Y1370" s="2994">
        <v>0</v>
      </c>
      <c r="Z1370" s="2994">
        <v>0</v>
      </c>
      <c r="AA1370" s="2994">
        <v>0</v>
      </c>
      <c r="AB1370" s="2994">
        <v>0</v>
      </c>
      <c r="AC1370" s="2994">
        <v>0</v>
      </c>
      <c r="AD1370" s="2994">
        <v>0</v>
      </c>
      <c r="AE1370" s="2994">
        <v>0</v>
      </c>
      <c r="AF1370" s="2994">
        <v>0</v>
      </c>
      <c r="AG1370" s="2994">
        <v>0</v>
      </c>
      <c r="AH1370" s="2994">
        <v>0</v>
      </c>
      <c r="AI1370" s="2994">
        <v>0</v>
      </c>
      <c r="AJ1370" s="2994">
        <v>0</v>
      </c>
      <c r="AK1370" s="2994">
        <v>0</v>
      </c>
      <c r="AL1370" s="2994">
        <v>0</v>
      </c>
      <c r="AM1370" s="2994">
        <v>0</v>
      </c>
      <c r="AN1370" s="2994">
        <v>0</v>
      </c>
      <c r="AO1370" s="2994">
        <v>0</v>
      </c>
      <c r="AP1370" s="2994">
        <v>0</v>
      </c>
      <c r="AQ1370" s="2994">
        <v>0</v>
      </c>
      <c r="AR1370" s="2994">
        <v>0</v>
      </c>
      <c r="AS1370" s="2994">
        <v>0</v>
      </c>
      <c r="AT1370" s="2994">
        <v>0</v>
      </c>
      <c r="AU1370" s="2994">
        <v>0</v>
      </c>
      <c r="AV1370" s="2994">
        <v>0</v>
      </c>
      <c r="AW1370" s="2994">
        <v>0</v>
      </c>
      <c r="AX1370" s="2994">
        <v>0</v>
      </c>
      <c r="AY1370" s="2994">
        <v>0</v>
      </c>
      <c r="AZ1370" s="2994">
        <v>0</v>
      </c>
      <c r="BA1370" s="2994">
        <v>0</v>
      </c>
      <c r="BB1370" s="2994">
        <v>0</v>
      </c>
      <c r="BC1370" s="2994">
        <v>0</v>
      </c>
      <c r="BD1370" s="3471">
        <v>0</v>
      </c>
      <c r="BE1370" s="3471">
        <v>0</v>
      </c>
      <c r="BF1370" s="3471">
        <v>0</v>
      </c>
    </row>
    <row r="1371" spans="1:58">
      <c r="A1371" s="1817" t="str">
        <f t="shared" si="43"/>
        <v>Western EuropeEggplants (aubergines)</v>
      </c>
      <c r="B1371" s="1818" t="s">
        <v>301</v>
      </c>
      <c r="C1371" s="1818" t="s">
        <v>1349</v>
      </c>
      <c r="D1371" s="3463" t="str">
        <f>VLOOKUP(B1371,List_Yield!$G$4:$J$14,4,FALSE)</f>
        <v>Western Europe</v>
      </c>
      <c r="E1371" s="3463" t="str">
        <f t="shared" si="44"/>
        <v>Western EuropeEggplants (aubergines)</v>
      </c>
      <c r="F1371" s="2994">
        <v>22.944400000000002</v>
      </c>
      <c r="G1371" s="2994">
        <v>22.697500000000002</v>
      </c>
      <c r="H1371" s="2994">
        <v>20.386500000000002</v>
      </c>
      <c r="I1371" s="2994">
        <v>24.408799999999999</v>
      </c>
      <c r="J1371" s="2994">
        <v>25.0412</v>
      </c>
      <c r="K1371" s="2994">
        <v>24.959199999999999</v>
      </c>
      <c r="L1371" s="2994">
        <v>25.214400000000001</v>
      </c>
      <c r="M1371" s="2994">
        <v>26.486499999999999</v>
      </c>
      <c r="N1371" s="2994">
        <v>26.4009</v>
      </c>
      <c r="O1371" s="2994">
        <v>26.371300000000002</v>
      </c>
      <c r="P1371" s="2994">
        <v>26.3813</v>
      </c>
      <c r="Q1371" s="2994">
        <v>29.066700000000001</v>
      </c>
      <c r="R1371" s="2994">
        <v>30.1587</v>
      </c>
      <c r="S1371" s="2994">
        <v>28.970500000000001</v>
      </c>
      <c r="T1371" s="2994">
        <v>28.588000000000001</v>
      </c>
      <c r="U1371" s="2994">
        <v>28.534300000000002</v>
      </c>
      <c r="V1371" s="2994">
        <v>25.227599999999999</v>
      </c>
      <c r="W1371" s="2994">
        <v>27.760400000000001</v>
      </c>
      <c r="X1371" s="2994">
        <v>28.982399999999998</v>
      </c>
      <c r="Y1371" s="2994">
        <v>30.8218</v>
      </c>
      <c r="Z1371" s="2994">
        <v>30.087</v>
      </c>
      <c r="AA1371" s="2994">
        <v>31.982800000000001</v>
      </c>
      <c r="AB1371" s="2994">
        <v>34.1631</v>
      </c>
      <c r="AC1371" s="2994">
        <v>35.1295</v>
      </c>
      <c r="AD1371" s="2994">
        <v>39.909100000000002</v>
      </c>
      <c r="AE1371" s="2994">
        <v>40.363599999999998</v>
      </c>
      <c r="AF1371" s="2994">
        <v>45.4</v>
      </c>
      <c r="AG1371" s="2994">
        <v>48.333300000000001</v>
      </c>
      <c r="AH1371" s="2994">
        <v>51.443899999999999</v>
      </c>
      <c r="AI1371" s="2994">
        <v>52.192100000000003</v>
      </c>
      <c r="AJ1371" s="2994">
        <v>48.826700000000002</v>
      </c>
      <c r="AK1371" s="2994">
        <v>56.670099999999998</v>
      </c>
      <c r="AL1371" s="2994">
        <v>61.3095</v>
      </c>
      <c r="AM1371" s="2994">
        <v>61.345399999999998</v>
      </c>
      <c r="AN1371" s="2994">
        <v>64.153499999999994</v>
      </c>
      <c r="AO1371" s="2994">
        <v>72.242699999999999</v>
      </c>
      <c r="AP1371" s="2994">
        <v>75.218500000000006</v>
      </c>
      <c r="AQ1371" s="2994">
        <v>80.687799999999996</v>
      </c>
      <c r="AR1371" s="2994">
        <v>83.892600000000002</v>
      </c>
      <c r="AS1371" s="2994">
        <v>80.777799999999999</v>
      </c>
      <c r="AT1371" s="2994">
        <v>95.464500000000001</v>
      </c>
      <c r="AU1371" s="2994">
        <v>96.2911</v>
      </c>
      <c r="AV1371" s="2994">
        <v>91.259900000000002</v>
      </c>
      <c r="AW1371" s="2994">
        <v>96.729200000000006</v>
      </c>
      <c r="AX1371" s="2994">
        <v>120.25279999999999</v>
      </c>
      <c r="AY1371" s="2994">
        <v>111.4753</v>
      </c>
      <c r="AZ1371" s="2994">
        <v>109.9248</v>
      </c>
      <c r="BA1371" s="2994">
        <v>88.073599999999999</v>
      </c>
      <c r="BB1371" s="2994">
        <v>51.127200000000002</v>
      </c>
      <c r="BC1371" s="2994">
        <v>89.725899999999996</v>
      </c>
      <c r="BD1371" s="3471">
        <v>87.6614</v>
      </c>
      <c r="BE1371" s="3471">
        <v>89.546700000000001</v>
      </c>
      <c r="BF1371" s="3471">
        <v>0</v>
      </c>
    </row>
    <row r="1372" spans="1:58">
      <c r="A1372" s="1817" t="str">
        <f t="shared" si="43"/>
        <v>Western EuropeFibre crops nes</v>
      </c>
      <c r="B1372" s="1818" t="s">
        <v>301</v>
      </c>
      <c r="C1372" s="1818" t="s">
        <v>7319</v>
      </c>
      <c r="D1372" s="3463" t="str">
        <f>VLOOKUP(B1372,List_Yield!$G$4:$J$14,4,FALSE)</f>
        <v>Western Europe</v>
      </c>
      <c r="E1372" s="3463" t="str">
        <f t="shared" si="44"/>
        <v>Western EuropeFibre crops nes</v>
      </c>
      <c r="F1372" s="2994">
        <v>0</v>
      </c>
      <c r="G1372" s="2994">
        <v>0</v>
      </c>
      <c r="H1372" s="2994">
        <v>0</v>
      </c>
      <c r="I1372" s="2994">
        <v>0</v>
      </c>
      <c r="J1372" s="2994">
        <v>0</v>
      </c>
      <c r="K1372" s="2994">
        <v>0</v>
      </c>
      <c r="L1372" s="2994">
        <v>0</v>
      </c>
      <c r="M1372" s="2994">
        <v>0</v>
      </c>
      <c r="N1372" s="2994">
        <v>0</v>
      </c>
      <c r="O1372" s="2994">
        <v>0</v>
      </c>
      <c r="P1372" s="2994">
        <v>0</v>
      </c>
      <c r="Q1372" s="2994">
        <v>0</v>
      </c>
      <c r="R1372" s="2994">
        <v>0</v>
      </c>
      <c r="S1372" s="2994">
        <v>0</v>
      </c>
      <c r="T1372" s="2994">
        <v>0</v>
      </c>
      <c r="U1372" s="2994">
        <v>0</v>
      </c>
      <c r="V1372" s="2994">
        <v>0</v>
      </c>
      <c r="W1372" s="2994">
        <v>0</v>
      </c>
      <c r="X1372" s="2994">
        <v>0</v>
      </c>
      <c r="Y1372" s="2994">
        <v>0</v>
      </c>
      <c r="Z1372" s="2994">
        <v>0</v>
      </c>
      <c r="AA1372" s="2994">
        <v>0</v>
      </c>
      <c r="AB1372" s="2994">
        <v>0</v>
      </c>
      <c r="AC1372" s="2994">
        <v>0</v>
      </c>
      <c r="AD1372" s="2994">
        <v>0</v>
      </c>
      <c r="AE1372" s="2994">
        <v>0</v>
      </c>
      <c r="AF1372" s="2994">
        <v>0</v>
      </c>
      <c r="AG1372" s="2994">
        <v>0</v>
      </c>
      <c r="AH1372" s="2994">
        <v>0</v>
      </c>
      <c r="AI1372" s="2994">
        <v>0</v>
      </c>
      <c r="AJ1372" s="2994">
        <v>0</v>
      </c>
      <c r="AK1372" s="2994">
        <v>0</v>
      </c>
      <c r="AL1372" s="2994">
        <v>0</v>
      </c>
      <c r="AM1372" s="2994">
        <v>0</v>
      </c>
      <c r="AN1372" s="2994">
        <v>0</v>
      </c>
      <c r="AO1372" s="2994">
        <v>0</v>
      </c>
      <c r="AP1372" s="2994">
        <v>0</v>
      </c>
      <c r="AQ1372" s="2994">
        <v>0</v>
      </c>
      <c r="AR1372" s="2994">
        <v>0</v>
      </c>
      <c r="AS1372" s="2994">
        <v>0</v>
      </c>
      <c r="AT1372" s="2994">
        <v>0</v>
      </c>
      <c r="AU1372" s="2994">
        <v>0</v>
      </c>
      <c r="AV1372" s="2994">
        <v>0</v>
      </c>
      <c r="AW1372" s="2994">
        <v>0</v>
      </c>
      <c r="AX1372" s="2994">
        <v>0</v>
      </c>
      <c r="AY1372" s="2994">
        <v>0</v>
      </c>
      <c r="AZ1372" s="2994">
        <v>0</v>
      </c>
      <c r="BA1372" s="2994">
        <v>0</v>
      </c>
      <c r="BB1372" s="2994">
        <v>0</v>
      </c>
      <c r="BC1372" s="2994">
        <v>0</v>
      </c>
      <c r="BD1372" s="3471">
        <v>0</v>
      </c>
      <c r="BE1372" s="3471">
        <v>0</v>
      </c>
      <c r="BF1372" s="3471">
        <v>0</v>
      </c>
    </row>
    <row r="1373" spans="1:58">
      <c r="A1373" s="1817" t="str">
        <f t="shared" si="43"/>
        <v>Western EuropeFigs</v>
      </c>
      <c r="B1373" s="1818" t="s">
        <v>301</v>
      </c>
      <c r="C1373" s="1818" t="s">
        <v>7320</v>
      </c>
      <c r="D1373" s="3463" t="str">
        <f>VLOOKUP(B1373,List_Yield!$G$4:$J$14,4,FALSE)</f>
        <v>Western Europe</v>
      </c>
      <c r="E1373" s="3463" t="str">
        <f t="shared" si="44"/>
        <v>Western EuropeFigs</v>
      </c>
      <c r="F1373" s="2994">
        <v>20.8125</v>
      </c>
      <c r="G1373" s="2994">
        <v>23.125</v>
      </c>
      <c r="H1373" s="2994">
        <v>26.737500000000001</v>
      </c>
      <c r="I1373" s="2994">
        <v>18.399999999999999</v>
      </c>
      <c r="J1373" s="2994">
        <v>14.92</v>
      </c>
      <c r="K1373" s="2994">
        <v>12.483599999999999</v>
      </c>
      <c r="L1373" s="2994">
        <v>13.0932</v>
      </c>
      <c r="M1373" s="2994">
        <v>12.4064</v>
      </c>
      <c r="N1373" s="2994">
        <v>11.664199999999999</v>
      </c>
      <c r="O1373" s="2994">
        <v>11.428599999999999</v>
      </c>
      <c r="P1373" s="2994">
        <v>12.466699999999999</v>
      </c>
      <c r="Q1373" s="2994">
        <v>8.1818000000000008</v>
      </c>
      <c r="R1373" s="2994">
        <v>8.2568999999999999</v>
      </c>
      <c r="S1373" s="2994">
        <v>7.8642000000000003</v>
      </c>
      <c r="T1373" s="2994">
        <v>7.6803999999999997</v>
      </c>
      <c r="U1373" s="2994">
        <v>7.8346</v>
      </c>
      <c r="V1373" s="2994">
        <v>7.1268000000000002</v>
      </c>
      <c r="W1373" s="2994">
        <v>7.6642999999999999</v>
      </c>
      <c r="X1373" s="2994">
        <v>7.4074</v>
      </c>
      <c r="Y1373" s="2994">
        <v>6.9810999999999996</v>
      </c>
      <c r="Z1373" s="2994">
        <v>6.6037999999999997</v>
      </c>
      <c r="AA1373" s="2994">
        <v>6</v>
      </c>
      <c r="AB1373" s="2994">
        <v>6</v>
      </c>
      <c r="AC1373" s="2994">
        <v>4</v>
      </c>
      <c r="AD1373" s="2994">
        <v>4</v>
      </c>
      <c r="AE1373" s="2994">
        <v>4</v>
      </c>
      <c r="AF1373" s="2994">
        <v>3.2</v>
      </c>
      <c r="AG1373" s="2994">
        <v>4.1500000000000004</v>
      </c>
      <c r="AH1373" s="2994">
        <v>4.4470000000000001</v>
      </c>
      <c r="AI1373" s="2994">
        <v>4.2786999999999997</v>
      </c>
      <c r="AJ1373" s="2994">
        <v>4.5788000000000002</v>
      </c>
      <c r="AK1373" s="2994">
        <v>5.1723999999999997</v>
      </c>
      <c r="AL1373" s="2994">
        <v>5.2743000000000002</v>
      </c>
      <c r="AM1373" s="2994">
        <v>4.1786000000000003</v>
      </c>
      <c r="AN1373" s="2994">
        <v>4.0987</v>
      </c>
      <c r="AO1373" s="2994">
        <v>6.8640999999999996</v>
      </c>
      <c r="AP1373" s="2994">
        <v>6.7320000000000002</v>
      </c>
      <c r="AQ1373" s="2994">
        <v>6.9694000000000003</v>
      </c>
      <c r="AR1373" s="2994">
        <v>7.3434999999999997</v>
      </c>
      <c r="AS1373" s="2994">
        <v>7.4503000000000004</v>
      </c>
      <c r="AT1373" s="2994">
        <v>7.4945000000000004</v>
      </c>
      <c r="AU1373" s="2994">
        <v>7.3659999999999997</v>
      </c>
      <c r="AV1373" s="2994">
        <v>7.1982999999999997</v>
      </c>
      <c r="AW1373" s="2994">
        <v>7.7603</v>
      </c>
      <c r="AX1373" s="2994">
        <v>6.5170000000000003</v>
      </c>
      <c r="AY1373" s="2994">
        <v>5.7565</v>
      </c>
      <c r="AZ1373" s="2994">
        <v>4.8935000000000004</v>
      </c>
      <c r="BA1373" s="2994">
        <v>8.1109000000000009</v>
      </c>
      <c r="BB1373" s="2994">
        <v>8.5385000000000009</v>
      </c>
      <c r="BC1373" s="2994">
        <v>8.6420999999999992</v>
      </c>
      <c r="BD1373" s="3471">
        <v>7.1604000000000001</v>
      </c>
      <c r="BE1373" s="3471">
        <v>8.5213999999999999</v>
      </c>
      <c r="BF1373" s="3471">
        <v>0</v>
      </c>
    </row>
    <row r="1374" spans="1:58">
      <c r="A1374" s="1817" t="str">
        <f t="shared" si="43"/>
        <v>Western EuropeFlax fibre and tow</v>
      </c>
      <c r="B1374" s="1818" t="s">
        <v>301</v>
      </c>
      <c r="C1374" s="1818" t="s">
        <v>7321</v>
      </c>
      <c r="D1374" s="3463" t="str">
        <f>VLOOKUP(B1374,List_Yield!$G$4:$J$14,4,FALSE)</f>
        <v>Western Europe</v>
      </c>
      <c r="E1374" s="3463" t="str">
        <f t="shared" si="44"/>
        <v>Western EuropeFlax fibre and tow</v>
      </c>
      <c r="F1374" s="2994">
        <v>0.97940000000000005</v>
      </c>
      <c r="G1374" s="2994">
        <v>0.94930000000000003</v>
      </c>
      <c r="H1374" s="2994">
        <v>0.99280000000000002</v>
      </c>
      <c r="I1374" s="2994">
        <v>1.0943000000000001</v>
      </c>
      <c r="J1374" s="2994">
        <v>0.99939999999999996</v>
      </c>
      <c r="K1374" s="2994">
        <v>0.99350000000000005</v>
      </c>
      <c r="L1374" s="2994">
        <v>1.0989</v>
      </c>
      <c r="M1374" s="2994">
        <v>1.3078000000000001</v>
      </c>
      <c r="N1374" s="2994">
        <v>1.1883999999999999</v>
      </c>
      <c r="O1374" s="2994">
        <v>0.92700000000000005</v>
      </c>
      <c r="P1374" s="2994">
        <v>1.1149</v>
      </c>
      <c r="Q1374" s="2994">
        <v>1.2192000000000001</v>
      </c>
      <c r="R1374" s="2994">
        <v>1.2661</v>
      </c>
      <c r="S1374" s="2994">
        <v>1.2010000000000001</v>
      </c>
      <c r="T1374" s="2994">
        <v>1.1437999999999999</v>
      </c>
      <c r="U1374" s="2994">
        <v>1.1303000000000001</v>
      </c>
      <c r="V1374" s="2994">
        <v>1.2553000000000001</v>
      </c>
      <c r="W1374" s="2994">
        <v>1.4263999999999999</v>
      </c>
      <c r="X1374" s="2994">
        <v>1.4052</v>
      </c>
      <c r="Y1374" s="2994">
        <v>1.3774</v>
      </c>
      <c r="Z1374" s="2994">
        <v>1.0851999999999999</v>
      </c>
      <c r="AA1374" s="2994">
        <v>1.4172</v>
      </c>
      <c r="AB1374" s="2994">
        <v>1.7753000000000001</v>
      </c>
      <c r="AC1374" s="2994">
        <v>2.1928000000000001</v>
      </c>
      <c r="AD1374" s="2994">
        <v>2.012</v>
      </c>
      <c r="AE1374" s="2994">
        <v>1.7102999999999999</v>
      </c>
      <c r="AF1374" s="2994">
        <v>1.7444999999999999</v>
      </c>
      <c r="AG1374" s="2994">
        <v>1.9286000000000001</v>
      </c>
      <c r="AH1374" s="2994">
        <v>1.5351999999999999</v>
      </c>
      <c r="AI1374" s="2994">
        <v>1.6462000000000001</v>
      </c>
      <c r="AJ1374" s="2994">
        <v>1.5584</v>
      </c>
      <c r="AK1374" s="2994">
        <v>0.48110000000000003</v>
      </c>
      <c r="AL1374" s="2994">
        <v>1.0976999999999999</v>
      </c>
      <c r="AM1374" s="2994">
        <v>1.1746000000000001</v>
      </c>
      <c r="AN1374" s="2994">
        <v>0.94899999999999995</v>
      </c>
      <c r="AO1374" s="2994">
        <v>0.67310000000000003</v>
      </c>
      <c r="AP1374" s="2994">
        <v>0.72409999999999997</v>
      </c>
      <c r="AQ1374" s="2994">
        <v>0.50560000000000005</v>
      </c>
      <c r="AR1374" s="2994">
        <v>0.44640000000000002</v>
      </c>
      <c r="AS1374" s="2994">
        <v>1.4730000000000001</v>
      </c>
      <c r="AT1374" s="2994">
        <v>1.0405</v>
      </c>
      <c r="AU1374" s="2994">
        <v>1.2007000000000001</v>
      </c>
      <c r="AV1374" s="2994">
        <v>1.2374000000000001</v>
      </c>
      <c r="AW1374" s="2994">
        <v>1.3713</v>
      </c>
      <c r="AX1374" s="2994">
        <v>1.3812</v>
      </c>
      <c r="AY1374" s="2994">
        <v>1.3977999999999999</v>
      </c>
      <c r="AZ1374" s="2994">
        <v>1.3124</v>
      </c>
      <c r="BA1374" s="2994">
        <v>1.4981</v>
      </c>
      <c r="BB1374" s="2994">
        <v>1.4584999999999999</v>
      </c>
      <c r="BC1374" s="2994">
        <v>1.3078000000000001</v>
      </c>
      <c r="BD1374" s="3471">
        <v>0.92020000000000002</v>
      </c>
      <c r="BE1374" s="3471">
        <v>1.01</v>
      </c>
      <c r="BF1374" s="3471">
        <v>0</v>
      </c>
    </row>
    <row r="1375" spans="1:58">
      <c r="A1375" s="1817" t="str">
        <f t="shared" si="43"/>
        <v>Western EuropeFonio</v>
      </c>
      <c r="B1375" s="1818" t="s">
        <v>301</v>
      </c>
      <c r="C1375" s="1818" t="s">
        <v>7322</v>
      </c>
      <c r="D1375" s="3463" t="str">
        <f>VLOOKUP(B1375,List_Yield!$G$4:$J$14,4,FALSE)</f>
        <v>Western Europe</v>
      </c>
      <c r="E1375" s="3463" t="str">
        <f t="shared" si="44"/>
        <v>Western EuropeFonio</v>
      </c>
      <c r="F1375" s="2994">
        <v>0</v>
      </c>
      <c r="G1375" s="2994">
        <v>0</v>
      </c>
      <c r="H1375" s="2994">
        <v>0</v>
      </c>
      <c r="I1375" s="2994">
        <v>0</v>
      </c>
      <c r="J1375" s="2994">
        <v>0</v>
      </c>
      <c r="K1375" s="2994">
        <v>0</v>
      </c>
      <c r="L1375" s="2994">
        <v>0</v>
      </c>
      <c r="M1375" s="2994">
        <v>0</v>
      </c>
      <c r="N1375" s="2994">
        <v>0</v>
      </c>
      <c r="O1375" s="2994">
        <v>0</v>
      </c>
      <c r="P1375" s="2994">
        <v>0</v>
      </c>
      <c r="Q1375" s="2994">
        <v>0</v>
      </c>
      <c r="R1375" s="2994">
        <v>0</v>
      </c>
      <c r="S1375" s="2994">
        <v>0</v>
      </c>
      <c r="T1375" s="2994">
        <v>0</v>
      </c>
      <c r="U1375" s="2994">
        <v>0</v>
      </c>
      <c r="V1375" s="2994">
        <v>0</v>
      </c>
      <c r="W1375" s="2994">
        <v>0</v>
      </c>
      <c r="X1375" s="2994">
        <v>0</v>
      </c>
      <c r="Y1375" s="2994">
        <v>0</v>
      </c>
      <c r="Z1375" s="2994">
        <v>0</v>
      </c>
      <c r="AA1375" s="2994">
        <v>0</v>
      </c>
      <c r="AB1375" s="2994">
        <v>0</v>
      </c>
      <c r="AC1375" s="2994">
        <v>0</v>
      </c>
      <c r="AD1375" s="2994">
        <v>0</v>
      </c>
      <c r="AE1375" s="2994">
        <v>0</v>
      </c>
      <c r="AF1375" s="2994">
        <v>0</v>
      </c>
      <c r="AG1375" s="2994">
        <v>0</v>
      </c>
      <c r="AH1375" s="2994">
        <v>0</v>
      </c>
      <c r="AI1375" s="2994">
        <v>0</v>
      </c>
      <c r="AJ1375" s="2994">
        <v>0</v>
      </c>
      <c r="AK1375" s="2994">
        <v>0</v>
      </c>
      <c r="AL1375" s="2994">
        <v>0</v>
      </c>
      <c r="AM1375" s="2994">
        <v>0</v>
      </c>
      <c r="AN1375" s="2994">
        <v>0</v>
      </c>
      <c r="AO1375" s="2994">
        <v>0</v>
      </c>
      <c r="AP1375" s="2994">
        <v>0</v>
      </c>
      <c r="AQ1375" s="2994">
        <v>0</v>
      </c>
      <c r="AR1375" s="2994">
        <v>0</v>
      </c>
      <c r="AS1375" s="2994">
        <v>0</v>
      </c>
      <c r="AT1375" s="2994">
        <v>0</v>
      </c>
      <c r="AU1375" s="2994">
        <v>0</v>
      </c>
      <c r="AV1375" s="2994">
        <v>0</v>
      </c>
      <c r="AW1375" s="2994">
        <v>0</v>
      </c>
      <c r="AX1375" s="2994">
        <v>0</v>
      </c>
      <c r="AY1375" s="2994">
        <v>0</v>
      </c>
      <c r="AZ1375" s="2994">
        <v>0</v>
      </c>
      <c r="BA1375" s="2994">
        <v>0</v>
      </c>
      <c r="BB1375" s="2994">
        <v>0</v>
      </c>
      <c r="BC1375" s="2994">
        <v>0</v>
      </c>
      <c r="BD1375" s="3471">
        <v>0</v>
      </c>
      <c r="BE1375" s="3471">
        <v>0</v>
      </c>
      <c r="BF1375" s="3471">
        <v>0</v>
      </c>
    </row>
    <row r="1376" spans="1:58">
      <c r="A1376" s="1817" t="str">
        <f t="shared" si="43"/>
        <v>Western EuropeFruit, citrus nes</v>
      </c>
      <c r="B1376" s="1818" t="s">
        <v>301</v>
      </c>
      <c r="C1376" s="1818" t="s">
        <v>7323</v>
      </c>
      <c r="D1376" s="3463" t="str">
        <f>VLOOKUP(B1376,List_Yield!$G$4:$J$14,4,FALSE)</f>
        <v>Western Europe</v>
      </c>
      <c r="E1376" s="3463" t="str">
        <f t="shared" si="44"/>
        <v>Western EuropeFruit, citrus nes</v>
      </c>
      <c r="F1376" s="2994">
        <v>0</v>
      </c>
      <c r="G1376" s="2994">
        <v>0</v>
      </c>
      <c r="H1376" s="2994">
        <v>0</v>
      </c>
      <c r="I1376" s="2994">
        <v>0</v>
      </c>
      <c r="J1376" s="2994">
        <v>0</v>
      </c>
      <c r="K1376" s="2994">
        <v>0</v>
      </c>
      <c r="L1376" s="2994">
        <v>0</v>
      </c>
      <c r="M1376" s="2994">
        <v>0</v>
      </c>
      <c r="N1376" s="2994">
        <v>0</v>
      </c>
      <c r="O1376" s="2994">
        <v>0</v>
      </c>
      <c r="P1376" s="2994">
        <v>0</v>
      </c>
      <c r="Q1376" s="2994">
        <v>0</v>
      </c>
      <c r="R1376" s="2994">
        <v>0</v>
      </c>
      <c r="S1376" s="2994">
        <v>0</v>
      </c>
      <c r="T1376" s="2994">
        <v>0</v>
      </c>
      <c r="U1376" s="2994">
        <v>0</v>
      </c>
      <c r="V1376" s="2994">
        <v>0</v>
      </c>
      <c r="W1376" s="2994">
        <v>0</v>
      </c>
      <c r="X1376" s="2994">
        <v>0</v>
      </c>
      <c r="Y1376" s="2994">
        <v>0</v>
      </c>
      <c r="Z1376" s="2994">
        <v>0</v>
      </c>
      <c r="AA1376" s="2994">
        <v>0</v>
      </c>
      <c r="AB1376" s="2994">
        <v>0</v>
      </c>
      <c r="AC1376" s="2994">
        <v>0</v>
      </c>
      <c r="AD1376" s="2994">
        <v>0</v>
      </c>
      <c r="AE1376" s="2994">
        <v>0</v>
      </c>
      <c r="AF1376" s="2994">
        <v>0</v>
      </c>
      <c r="AG1376" s="2994">
        <v>0</v>
      </c>
      <c r="AH1376" s="2994">
        <v>0</v>
      </c>
      <c r="AI1376" s="2994">
        <v>0</v>
      </c>
      <c r="AJ1376" s="2994">
        <v>0</v>
      </c>
      <c r="AK1376" s="2994">
        <v>0</v>
      </c>
      <c r="AL1376" s="2994">
        <v>0</v>
      </c>
      <c r="AM1376" s="2994">
        <v>0</v>
      </c>
      <c r="AN1376" s="2994">
        <v>0</v>
      </c>
      <c r="AO1376" s="2994">
        <v>0</v>
      </c>
      <c r="AP1376" s="2994">
        <v>0</v>
      </c>
      <c r="AQ1376" s="2994">
        <v>0</v>
      </c>
      <c r="AR1376" s="2994">
        <v>0</v>
      </c>
      <c r="AS1376" s="2994">
        <v>0</v>
      </c>
      <c r="AT1376" s="2994">
        <v>0</v>
      </c>
      <c r="AU1376" s="2994">
        <v>0</v>
      </c>
      <c r="AV1376" s="2994">
        <v>0</v>
      </c>
      <c r="AW1376" s="2994">
        <v>0</v>
      </c>
      <c r="AX1376" s="2994">
        <v>0</v>
      </c>
      <c r="AY1376" s="2994">
        <v>0</v>
      </c>
      <c r="AZ1376" s="2994">
        <v>0</v>
      </c>
      <c r="BA1376" s="2994">
        <v>0</v>
      </c>
      <c r="BB1376" s="2994">
        <v>0</v>
      </c>
      <c r="BC1376" s="2994">
        <v>0</v>
      </c>
      <c r="BD1376" s="3471">
        <v>0</v>
      </c>
      <c r="BE1376" s="3471">
        <v>0</v>
      </c>
      <c r="BF1376" s="3471">
        <v>0</v>
      </c>
    </row>
    <row r="1377" spans="1:58">
      <c r="A1377" s="1817" t="str">
        <f t="shared" si="43"/>
        <v>Western EuropeFruit, fresh nes</v>
      </c>
      <c r="B1377" s="1818" t="s">
        <v>301</v>
      </c>
      <c r="C1377" s="1818" t="s">
        <v>7324</v>
      </c>
      <c r="D1377" s="3463" t="str">
        <f>VLOOKUP(B1377,List_Yield!$G$4:$J$14,4,FALSE)</f>
        <v>Western Europe</v>
      </c>
      <c r="E1377" s="3463" t="str">
        <f t="shared" si="44"/>
        <v>Western EuropeFruit, fresh nes</v>
      </c>
      <c r="F1377" s="2994">
        <v>0</v>
      </c>
      <c r="G1377" s="2994">
        <v>0</v>
      </c>
      <c r="H1377" s="2994">
        <v>0</v>
      </c>
      <c r="I1377" s="2994">
        <v>0</v>
      </c>
      <c r="J1377" s="2994">
        <v>0</v>
      </c>
      <c r="K1377" s="2994">
        <v>0</v>
      </c>
      <c r="L1377" s="2994">
        <v>0</v>
      </c>
      <c r="M1377" s="2994">
        <v>0</v>
      </c>
      <c r="N1377" s="2994">
        <v>0</v>
      </c>
      <c r="O1377" s="2994">
        <v>0</v>
      </c>
      <c r="P1377" s="2994">
        <v>0</v>
      </c>
      <c r="Q1377" s="2994">
        <v>0</v>
      </c>
      <c r="R1377" s="2994">
        <v>0</v>
      </c>
      <c r="S1377" s="2994">
        <v>0</v>
      </c>
      <c r="T1377" s="2994">
        <v>0</v>
      </c>
      <c r="U1377" s="2994">
        <v>0</v>
      </c>
      <c r="V1377" s="2994">
        <v>0</v>
      </c>
      <c r="W1377" s="2994">
        <v>0</v>
      </c>
      <c r="X1377" s="2994">
        <v>0</v>
      </c>
      <c r="Y1377" s="2994">
        <v>0</v>
      </c>
      <c r="Z1377" s="2994">
        <v>0</v>
      </c>
      <c r="AA1377" s="2994">
        <v>0</v>
      </c>
      <c r="AB1377" s="2994">
        <v>0</v>
      </c>
      <c r="AC1377" s="2994">
        <v>0</v>
      </c>
      <c r="AD1377" s="2994">
        <v>8.6538000000000004</v>
      </c>
      <c r="AE1377" s="2994">
        <v>9.2885000000000009</v>
      </c>
      <c r="AF1377" s="2994">
        <v>7.5576999999999996</v>
      </c>
      <c r="AG1377" s="2994">
        <v>10.942299999999999</v>
      </c>
      <c r="AH1377" s="2994">
        <v>10.384600000000001</v>
      </c>
      <c r="AI1377" s="2994">
        <v>10.2874</v>
      </c>
      <c r="AJ1377" s="2994">
        <v>7.6527000000000003</v>
      </c>
      <c r="AK1377" s="2994">
        <v>11.726800000000001</v>
      </c>
      <c r="AL1377" s="2994">
        <v>8.5797000000000008</v>
      </c>
      <c r="AM1377" s="2994">
        <v>8.5877999999999997</v>
      </c>
      <c r="AN1377" s="2994">
        <v>8</v>
      </c>
      <c r="AO1377" s="2994">
        <v>7.7843999999999998</v>
      </c>
      <c r="AP1377" s="2994">
        <v>5.4294000000000002</v>
      </c>
      <c r="AQ1377" s="2994">
        <v>7.9364999999999997</v>
      </c>
      <c r="AR1377" s="2994">
        <v>7.9166999999999996</v>
      </c>
      <c r="AS1377" s="2994">
        <v>7.9545000000000003</v>
      </c>
      <c r="AT1377" s="2994">
        <v>5.2723000000000004</v>
      </c>
      <c r="AU1377" s="2994">
        <v>5.8544999999999998</v>
      </c>
      <c r="AV1377" s="2994">
        <v>5.5377000000000001</v>
      </c>
      <c r="AW1377" s="2994">
        <v>5.9259000000000004</v>
      </c>
      <c r="AX1377" s="2994">
        <v>6.5789</v>
      </c>
      <c r="AY1377" s="2994">
        <v>6.5115999999999996</v>
      </c>
      <c r="AZ1377" s="2994">
        <v>6.5956999999999999</v>
      </c>
      <c r="BA1377" s="2994">
        <v>6.5909000000000004</v>
      </c>
      <c r="BB1377" s="2994">
        <v>6.5339</v>
      </c>
      <c r="BC1377" s="2994">
        <v>4.2469000000000001</v>
      </c>
      <c r="BD1377" s="3471">
        <v>4.5755999999999997</v>
      </c>
      <c r="BE1377" s="3471">
        <v>4.4812000000000003</v>
      </c>
      <c r="BF1377" s="3471">
        <v>0</v>
      </c>
    </row>
    <row r="1378" spans="1:58">
      <c r="A1378" s="1817" t="str">
        <f t="shared" si="43"/>
        <v>Western EuropeFruit, pome nes</v>
      </c>
      <c r="B1378" s="1818" t="s">
        <v>301</v>
      </c>
      <c r="C1378" s="1818" t="s">
        <v>7325</v>
      </c>
      <c r="D1378" s="3463" t="str">
        <f>VLOOKUP(B1378,List_Yield!$G$4:$J$14,4,FALSE)</f>
        <v>Western Europe</v>
      </c>
      <c r="E1378" s="3463" t="str">
        <f t="shared" si="44"/>
        <v>Western EuropeFruit, pome nes</v>
      </c>
      <c r="F1378" s="2994">
        <v>0</v>
      </c>
      <c r="G1378" s="2994">
        <v>0</v>
      </c>
      <c r="H1378" s="2994">
        <v>0</v>
      </c>
      <c r="I1378" s="2994">
        <v>0</v>
      </c>
      <c r="J1378" s="2994">
        <v>0</v>
      </c>
      <c r="K1378" s="2994">
        <v>0</v>
      </c>
      <c r="L1378" s="2994">
        <v>0</v>
      </c>
      <c r="M1378" s="2994">
        <v>0</v>
      </c>
      <c r="N1378" s="2994">
        <v>0</v>
      </c>
      <c r="O1378" s="2994">
        <v>0</v>
      </c>
      <c r="P1378" s="2994">
        <v>0</v>
      </c>
      <c r="Q1378" s="2994">
        <v>0</v>
      </c>
      <c r="R1378" s="2994">
        <v>0</v>
      </c>
      <c r="S1378" s="2994">
        <v>0</v>
      </c>
      <c r="T1378" s="2994">
        <v>0</v>
      </c>
      <c r="U1378" s="2994">
        <v>0</v>
      </c>
      <c r="V1378" s="2994">
        <v>0</v>
      </c>
      <c r="W1378" s="2994">
        <v>0</v>
      </c>
      <c r="X1378" s="2994">
        <v>0</v>
      </c>
      <c r="Y1378" s="2994">
        <v>0</v>
      </c>
      <c r="Z1378" s="2994">
        <v>0</v>
      </c>
      <c r="AA1378" s="2994">
        <v>0</v>
      </c>
      <c r="AB1378" s="2994">
        <v>0</v>
      </c>
      <c r="AC1378" s="2994">
        <v>0</v>
      </c>
      <c r="AD1378" s="2994">
        <v>0</v>
      </c>
      <c r="AE1378" s="2994">
        <v>0</v>
      </c>
      <c r="AF1378" s="2994">
        <v>0</v>
      </c>
      <c r="AG1378" s="2994">
        <v>0</v>
      </c>
      <c r="AH1378" s="2994">
        <v>0</v>
      </c>
      <c r="AI1378" s="2994">
        <v>0</v>
      </c>
      <c r="AJ1378" s="2994">
        <v>0</v>
      </c>
      <c r="AK1378" s="2994">
        <v>0</v>
      </c>
      <c r="AL1378" s="2994">
        <v>0</v>
      </c>
      <c r="AM1378" s="2994">
        <v>0</v>
      </c>
      <c r="AN1378" s="2994">
        <v>0</v>
      </c>
      <c r="AO1378" s="2994">
        <v>0</v>
      </c>
      <c r="AP1378" s="2994">
        <v>0</v>
      </c>
      <c r="AQ1378" s="2994">
        <v>0</v>
      </c>
      <c r="AR1378" s="2994">
        <v>0</v>
      </c>
      <c r="AS1378" s="2994">
        <v>0</v>
      </c>
      <c r="AT1378" s="2994">
        <v>0</v>
      </c>
      <c r="AU1378" s="2994">
        <v>0</v>
      </c>
      <c r="AV1378" s="2994">
        <v>0</v>
      </c>
      <c r="AW1378" s="2994">
        <v>0</v>
      </c>
      <c r="AX1378" s="2994">
        <v>0</v>
      </c>
      <c r="AY1378" s="2994">
        <v>0</v>
      </c>
      <c r="AZ1378" s="2994">
        <v>0</v>
      </c>
      <c r="BA1378" s="2994">
        <v>0</v>
      </c>
      <c r="BB1378" s="2994">
        <v>0</v>
      </c>
      <c r="BC1378" s="2994">
        <v>0</v>
      </c>
      <c r="BD1378" s="3471">
        <v>0</v>
      </c>
      <c r="BE1378" s="3471">
        <v>0</v>
      </c>
      <c r="BF1378" s="3471">
        <v>0</v>
      </c>
    </row>
    <row r="1379" spans="1:58">
      <c r="A1379" s="1817" t="str">
        <f t="shared" si="43"/>
        <v>Western EuropeFruit, stone nes</v>
      </c>
      <c r="B1379" s="1818" t="s">
        <v>301</v>
      </c>
      <c r="C1379" s="1818" t="s">
        <v>7326</v>
      </c>
      <c r="D1379" s="3463" t="str">
        <f>VLOOKUP(B1379,List_Yield!$G$4:$J$14,4,FALSE)</f>
        <v>Western Europe</v>
      </c>
      <c r="E1379" s="3463" t="str">
        <f t="shared" si="44"/>
        <v>Western EuropeFruit, stone nes</v>
      </c>
      <c r="F1379" s="2994">
        <v>0</v>
      </c>
      <c r="G1379" s="2994">
        <v>0</v>
      </c>
      <c r="H1379" s="2994">
        <v>0</v>
      </c>
      <c r="I1379" s="2994">
        <v>0</v>
      </c>
      <c r="J1379" s="2994">
        <v>0</v>
      </c>
      <c r="K1379" s="2994">
        <v>0</v>
      </c>
      <c r="L1379" s="2994">
        <v>0</v>
      </c>
      <c r="M1379" s="2994">
        <v>0</v>
      </c>
      <c r="N1379" s="2994">
        <v>0</v>
      </c>
      <c r="O1379" s="2994">
        <v>0</v>
      </c>
      <c r="P1379" s="2994">
        <v>0</v>
      </c>
      <c r="Q1379" s="2994">
        <v>0</v>
      </c>
      <c r="R1379" s="2994">
        <v>0</v>
      </c>
      <c r="S1379" s="2994">
        <v>0</v>
      </c>
      <c r="T1379" s="2994">
        <v>0</v>
      </c>
      <c r="U1379" s="2994">
        <v>0</v>
      </c>
      <c r="V1379" s="2994">
        <v>0</v>
      </c>
      <c r="W1379" s="2994">
        <v>0</v>
      </c>
      <c r="X1379" s="2994">
        <v>0</v>
      </c>
      <c r="Y1379" s="2994">
        <v>0</v>
      </c>
      <c r="Z1379" s="2994">
        <v>0</v>
      </c>
      <c r="AA1379" s="2994">
        <v>0</v>
      </c>
      <c r="AB1379" s="2994">
        <v>0</v>
      </c>
      <c r="AC1379" s="2994">
        <v>0</v>
      </c>
      <c r="AD1379" s="2994">
        <v>6.0606</v>
      </c>
      <c r="AE1379" s="2994">
        <v>6.0606</v>
      </c>
      <c r="AF1379" s="2994">
        <v>6.0606</v>
      </c>
      <c r="AG1379" s="2994">
        <v>0</v>
      </c>
      <c r="AH1379" s="2994">
        <v>0</v>
      </c>
      <c r="AI1379" s="2994">
        <v>0</v>
      </c>
      <c r="AJ1379" s="2994">
        <v>16.3462</v>
      </c>
      <c r="AK1379" s="2994">
        <v>17.333300000000001</v>
      </c>
      <c r="AL1379" s="2994">
        <v>7.6045999999999996</v>
      </c>
      <c r="AM1379" s="2994">
        <v>7.9096000000000002</v>
      </c>
      <c r="AN1379" s="2994">
        <v>7.6</v>
      </c>
      <c r="AO1379" s="2994">
        <v>8.1836000000000002</v>
      </c>
      <c r="AP1379" s="2994">
        <v>4.6939000000000002</v>
      </c>
      <c r="AQ1379" s="2994">
        <v>7.4074</v>
      </c>
      <c r="AR1379" s="2994">
        <v>9.2212999999999994</v>
      </c>
      <c r="AS1379" s="2994">
        <v>10</v>
      </c>
      <c r="AT1379" s="2994">
        <v>7.9268000000000001</v>
      </c>
      <c r="AU1379" s="2994">
        <v>7.7272999999999996</v>
      </c>
      <c r="AV1379" s="2994">
        <v>8.73</v>
      </c>
      <c r="AW1379" s="2994">
        <v>12.6364</v>
      </c>
      <c r="AX1379" s="2994">
        <v>9.8008000000000006</v>
      </c>
      <c r="AY1379" s="2994">
        <v>11.526400000000001</v>
      </c>
      <c r="AZ1379" s="2994">
        <v>10.6881</v>
      </c>
      <c r="BA1379" s="2994">
        <v>7.6977000000000002</v>
      </c>
      <c r="BB1379" s="2994">
        <v>9.1648999999999994</v>
      </c>
      <c r="BC1379" s="2994">
        <v>6.4729999999999999</v>
      </c>
      <c r="BD1379" s="3471">
        <v>6.4244000000000003</v>
      </c>
      <c r="BE1379" s="3471">
        <v>6.1584000000000003</v>
      </c>
      <c r="BF1379" s="3471">
        <v>0</v>
      </c>
    </row>
    <row r="1380" spans="1:58">
      <c r="A1380" s="1817" t="str">
        <f t="shared" si="43"/>
        <v>Western EuropeFruit, tropical fresh nes</v>
      </c>
      <c r="B1380" s="1818" t="s">
        <v>301</v>
      </c>
      <c r="C1380" s="1818" t="s">
        <v>7327</v>
      </c>
      <c r="D1380" s="3463" t="str">
        <f>VLOOKUP(B1380,List_Yield!$G$4:$J$14,4,FALSE)</f>
        <v>Western Europe</v>
      </c>
      <c r="E1380" s="3463" t="str">
        <f t="shared" si="44"/>
        <v>Western EuropeFruit, tropical fresh nes</v>
      </c>
      <c r="F1380" s="2994">
        <v>0</v>
      </c>
      <c r="G1380" s="2994">
        <v>0</v>
      </c>
      <c r="H1380" s="2994">
        <v>0</v>
      </c>
      <c r="I1380" s="2994">
        <v>0</v>
      </c>
      <c r="J1380" s="2994">
        <v>0</v>
      </c>
      <c r="K1380" s="2994">
        <v>0</v>
      </c>
      <c r="L1380" s="2994">
        <v>0</v>
      </c>
      <c r="M1380" s="2994">
        <v>0</v>
      </c>
      <c r="N1380" s="2994">
        <v>0</v>
      </c>
      <c r="O1380" s="2994">
        <v>0</v>
      </c>
      <c r="P1380" s="2994">
        <v>0</v>
      </c>
      <c r="Q1380" s="2994">
        <v>0</v>
      </c>
      <c r="R1380" s="2994">
        <v>0</v>
      </c>
      <c r="S1380" s="2994">
        <v>0</v>
      </c>
      <c r="T1380" s="2994">
        <v>0</v>
      </c>
      <c r="U1380" s="2994">
        <v>0</v>
      </c>
      <c r="V1380" s="2994">
        <v>0</v>
      </c>
      <c r="W1380" s="2994">
        <v>0</v>
      </c>
      <c r="X1380" s="2994">
        <v>0</v>
      </c>
      <c r="Y1380" s="2994">
        <v>0</v>
      </c>
      <c r="Z1380" s="2994">
        <v>0</v>
      </c>
      <c r="AA1380" s="2994">
        <v>0</v>
      </c>
      <c r="AB1380" s="2994">
        <v>0</v>
      </c>
      <c r="AC1380" s="2994">
        <v>0</v>
      </c>
      <c r="AD1380" s="2994">
        <v>0</v>
      </c>
      <c r="AE1380" s="2994">
        <v>0</v>
      </c>
      <c r="AF1380" s="2994">
        <v>0</v>
      </c>
      <c r="AG1380" s="2994">
        <v>0</v>
      </c>
      <c r="AH1380" s="2994">
        <v>0</v>
      </c>
      <c r="AI1380" s="2994">
        <v>0</v>
      </c>
      <c r="AJ1380" s="2994">
        <v>0</v>
      </c>
      <c r="AK1380" s="2994">
        <v>0</v>
      </c>
      <c r="AL1380" s="2994">
        <v>0</v>
      </c>
      <c r="AM1380" s="2994">
        <v>0</v>
      </c>
      <c r="AN1380" s="2994">
        <v>0</v>
      </c>
      <c r="AO1380" s="2994">
        <v>0</v>
      </c>
      <c r="AP1380" s="2994">
        <v>0</v>
      </c>
      <c r="AQ1380" s="2994">
        <v>0</v>
      </c>
      <c r="AR1380" s="2994">
        <v>0</v>
      </c>
      <c r="AS1380" s="2994">
        <v>0</v>
      </c>
      <c r="AT1380" s="2994">
        <v>0</v>
      </c>
      <c r="AU1380" s="2994">
        <v>0</v>
      </c>
      <c r="AV1380" s="2994">
        <v>0</v>
      </c>
      <c r="AW1380" s="2994">
        <v>0</v>
      </c>
      <c r="AX1380" s="2994">
        <v>0</v>
      </c>
      <c r="AY1380" s="2994">
        <v>0</v>
      </c>
      <c r="AZ1380" s="2994">
        <v>0</v>
      </c>
      <c r="BA1380" s="2994">
        <v>0</v>
      </c>
      <c r="BB1380" s="2994">
        <v>0</v>
      </c>
      <c r="BC1380" s="2994">
        <v>0</v>
      </c>
      <c r="BD1380" s="3471">
        <v>0</v>
      </c>
      <c r="BE1380" s="3471">
        <v>0</v>
      </c>
      <c r="BF1380" s="3471">
        <v>0</v>
      </c>
    </row>
    <row r="1381" spans="1:58">
      <c r="A1381" s="1817" t="str">
        <f t="shared" si="43"/>
        <v>Western EuropeGarlic</v>
      </c>
      <c r="B1381" s="1818" t="s">
        <v>301</v>
      </c>
      <c r="C1381" s="1818" t="s">
        <v>7328</v>
      </c>
      <c r="D1381" s="3463" t="str">
        <f>VLOOKUP(B1381,List_Yield!$G$4:$J$14,4,FALSE)</f>
        <v>Western Europe</v>
      </c>
      <c r="E1381" s="3463" t="str">
        <f t="shared" si="44"/>
        <v>Western EuropeGarlic</v>
      </c>
      <c r="F1381" s="2994">
        <v>5.8894000000000002</v>
      </c>
      <c r="G1381" s="2994">
        <v>5.8627000000000002</v>
      </c>
      <c r="H1381" s="2994">
        <v>6.0888999999999998</v>
      </c>
      <c r="I1381" s="2994">
        <v>6.4302000000000001</v>
      </c>
      <c r="J1381" s="2994">
        <v>6.0583999999999998</v>
      </c>
      <c r="K1381" s="2994">
        <v>5.7145000000000001</v>
      </c>
      <c r="L1381" s="2994">
        <v>5.9431000000000003</v>
      </c>
      <c r="M1381" s="2994">
        <v>6.3498999999999999</v>
      </c>
      <c r="N1381" s="2994">
        <v>6.3376000000000001</v>
      </c>
      <c r="O1381" s="2994">
        <v>12.0556</v>
      </c>
      <c r="P1381" s="2994">
        <v>6.4478</v>
      </c>
      <c r="Q1381" s="2994">
        <v>6.6520999999999999</v>
      </c>
      <c r="R1381" s="2994">
        <v>6.6859999999999999</v>
      </c>
      <c r="S1381" s="2994">
        <v>6.7446999999999999</v>
      </c>
      <c r="T1381" s="2994">
        <v>6.4954000000000001</v>
      </c>
      <c r="U1381" s="2994">
        <v>6.0942999999999996</v>
      </c>
      <c r="V1381" s="2994">
        <v>5.9330999999999996</v>
      </c>
      <c r="W1381" s="2994">
        <v>6.5083000000000002</v>
      </c>
      <c r="X1381" s="2994">
        <v>6.5633999999999997</v>
      </c>
      <c r="Y1381" s="2994">
        <v>6.8384</v>
      </c>
      <c r="Z1381" s="2994">
        <v>7.8357999999999999</v>
      </c>
      <c r="AA1381" s="2994">
        <v>7.6515000000000004</v>
      </c>
      <c r="AB1381" s="2994">
        <v>8.7533999999999992</v>
      </c>
      <c r="AC1381" s="2994">
        <v>7.0541</v>
      </c>
      <c r="AD1381" s="2994">
        <v>4.8429000000000002</v>
      </c>
      <c r="AE1381" s="2994">
        <v>7.5571000000000002</v>
      </c>
      <c r="AF1381" s="2994">
        <v>8.1948000000000008</v>
      </c>
      <c r="AG1381" s="2994">
        <v>7.0845000000000002</v>
      </c>
      <c r="AH1381" s="2994">
        <v>7.0651000000000002</v>
      </c>
      <c r="AI1381" s="2994">
        <v>7.1356000000000002</v>
      </c>
      <c r="AJ1381" s="2994">
        <v>7.5782999999999996</v>
      </c>
      <c r="AK1381" s="2994">
        <v>7.2346000000000004</v>
      </c>
      <c r="AL1381" s="2994">
        <v>6.8788999999999998</v>
      </c>
      <c r="AM1381" s="2994">
        <v>7.6196000000000002</v>
      </c>
      <c r="AN1381" s="2994">
        <v>7.6395</v>
      </c>
      <c r="AO1381" s="2994">
        <v>7.5991999999999997</v>
      </c>
      <c r="AP1381" s="2994">
        <v>7.6688999999999998</v>
      </c>
      <c r="AQ1381" s="2994">
        <v>7.9856999999999996</v>
      </c>
      <c r="AR1381" s="2994">
        <v>7.4100999999999999</v>
      </c>
      <c r="AS1381" s="2994">
        <v>7.9295999999999998</v>
      </c>
      <c r="AT1381" s="2994">
        <v>7.9757999999999996</v>
      </c>
      <c r="AU1381" s="2994">
        <v>7.9149000000000003</v>
      </c>
      <c r="AV1381" s="2994">
        <v>6.8562000000000003</v>
      </c>
      <c r="AW1381" s="2994">
        <v>7.6844000000000001</v>
      </c>
      <c r="AX1381" s="2994">
        <v>7.7397</v>
      </c>
      <c r="AY1381" s="2994">
        <v>7.5616000000000003</v>
      </c>
      <c r="AZ1381" s="2994">
        <v>7.7294</v>
      </c>
      <c r="BA1381" s="2994">
        <v>7.5637999999999996</v>
      </c>
      <c r="BB1381" s="2994">
        <v>7.4303999999999997</v>
      </c>
      <c r="BC1381" s="2994">
        <v>7.2237999999999998</v>
      </c>
      <c r="BD1381" s="3471">
        <v>7.4419000000000004</v>
      </c>
      <c r="BE1381" s="3471">
        <v>6.2427999999999999</v>
      </c>
      <c r="BF1381" s="3471">
        <v>0</v>
      </c>
    </row>
    <row r="1382" spans="1:58">
      <c r="A1382" s="1817" t="str">
        <f t="shared" si="43"/>
        <v>Western EuropeGinger</v>
      </c>
      <c r="B1382" s="1818" t="s">
        <v>301</v>
      </c>
      <c r="C1382" s="1818" t="s">
        <v>7329</v>
      </c>
      <c r="D1382" s="3463" t="str">
        <f>VLOOKUP(B1382,List_Yield!$G$4:$J$14,4,FALSE)</f>
        <v>Western Europe</v>
      </c>
      <c r="E1382" s="3463" t="str">
        <f t="shared" si="44"/>
        <v>Western EuropeGinger</v>
      </c>
      <c r="F1382" s="2994">
        <v>0</v>
      </c>
      <c r="G1382" s="2994">
        <v>0</v>
      </c>
      <c r="H1382" s="2994">
        <v>0</v>
      </c>
      <c r="I1382" s="2994">
        <v>0</v>
      </c>
      <c r="J1382" s="2994">
        <v>0</v>
      </c>
      <c r="K1382" s="2994">
        <v>0</v>
      </c>
      <c r="L1382" s="2994">
        <v>0</v>
      </c>
      <c r="M1382" s="2994">
        <v>0</v>
      </c>
      <c r="N1382" s="2994">
        <v>0</v>
      </c>
      <c r="O1382" s="2994">
        <v>0</v>
      </c>
      <c r="P1382" s="2994">
        <v>0</v>
      </c>
      <c r="Q1382" s="2994">
        <v>0</v>
      </c>
      <c r="R1382" s="2994">
        <v>0</v>
      </c>
      <c r="S1382" s="2994">
        <v>0</v>
      </c>
      <c r="T1382" s="2994">
        <v>0</v>
      </c>
      <c r="U1382" s="2994">
        <v>0</v>
      </c>
      <c r="V1382" s="2994">
        <v>0</v>
      </c>
      <c r="W1382" s="2994">
        <v>0</v>
      </c>
      <c r="X1382" s="2994">
        <v>0</v>
      </c>
      <c r="Y1382" s="2994">
        <v>0</v>
      </c>
      <c r="Z1382" s="2994">
        <v>0</v>
      </c>
      <c r="AA1382" s="2994">
        <v>0</v>
      </c>
      <c r="AB1382" s="2994">
        <v>0</v>
      </c>
      <c r="AC1382" s="2994">
        <v>0</v>
      </c>
      <c r="AD1382" s="2994">
        <v>0</v>
      </c>
      <c r="AE1382" s="2994">
        <v>0</v>
      </c>
      <c r="AF1382" s="2994">
        <v>0</v>
      </c>
      <c r="AG1382" s="2994">
        <v>0</v>
      </c>
      <c r="AH1382" s="2994">
        <v>0</v>
      </c>
      <c r="AI1382" s="2994">
        <v>0</v>
      </c>
      <c r="AJ1382" s="2994">
        <v>0</v>
      </c>
      <c r="AK1382" s="2994">
        <v>0</v>
      </c>
      <c r="AL1382" s="2994">
        <v>0</v>
      </c>
      <c r="AM1382" s="2994">
        <v>0</v>
      </c>
      <c r="AN1382" s="2994">
        <v>0</v>
      </c>
      <c r="AO1382" s="2994">
        <v>0</v>
      </c>
      <c r="AP1382" s="2994">
        <v>0</v>
      </c>
      <c r="AQ1382" s="2994">
        <v>0</v>
      </c>
      <c r="AR1382" s="2994">
        <v>0</v>
      </c>
      <c r="AS1382" s="2994">
        <v>0</v>
      </c>
      <c r="AT1382" s="2994">
        <v>0</v>
      </c>
      <c r="AU1382" s="2994">
        <v>0</v>
      </c>
      <c r="AV1382" s="2994">
        <v>0</v>
      </c>
      <c r="AW1382" s="2994">
        <v>0</v>
      </c>
      <c r="AX1382" s="2994">
        <v>0</v>
      </c>
      <c r="AY1382" s="2994">
        <v>0</v>
      </c>
      <c r="AZ1382" s="2994">
        <v>0</v>
      </c>
      <c r="BA1382" s="2994">
        <v>0</v>
      </c>
      <c r="BB1382" s="2994">
        <v>0</v>
      </c>
      <c r="BC1382" s="2994">
        <v>0</v>
      </c>
      <c r="BD1382" s="3471">
        <v>0</v>
      </c>
      <c r="BE1382" s="3471">
        <v>0</v>
      </c>
      <c r="BF1382" s="3471">
        <v>0</v>
      </c>
    </row>
    <row r="1383" spans="1:58">
      <c r="A1383" s="1817" t="str">
        <f t="shared" si="43"/>
        <v>Western EuropeGooseberries</v>
      </c>
      <c r="B1383" s="1818" t="s">
        <v>301</v>
      </c>
      <c r="C1383" s="1818" t="s">
        <v>7330</v>
      </c>
      <c r="D1383" s="3463" t="str">
        <f>VLOOKUP(B1383,List_Yield!$G$4:$J$14,4,FALSE)</f>
        <v>Western Europe</v>
      </c>
      <c r="E1383" s="3463" t="str">
        <f t="shared" si="44"/>
        <v>Western EuropeGooseberries</v>
      </c>
      <c r="F1383" s="2994">
        <v>3.0287000000000002</v>
      </c>
      <c r="G1383" s="2994">
        <v>3.0731000000000002</v>
      </c>
      <c r="H1383" s="2994">
        <v>3.1286</v>
      </c>
      <c r="I1383" s="2994">
        <v>3.0310000000000001</v>
      </c>
      <c r="J1383" s="2994">
        <v>3.0238999999999998</v>
      </c>
      <c r="K1383" s="2994">
        <v>3.0387</v>
      </c>
      <c r="L1383" s="2994">
        <v>2.7993000000000001</v>
      </c>
      <c r="M1383" s="2994">
        <v>3.0438999999999998</v>
      </c>
      <c r="N1383" s="2994">
        <v>3.0794000000000001</v>
      </c>
      <c r="O1383" s="2994">
        <v>3.0908000000000002</v>
      </c>
      <c r="P1383" s="2994">
        <v>3.0419</v>
      </c>
      <c r="Q1383" s="2994">
        <v>2.9906000000000001</v>
      </c>
      <c r="R1383" s="2994">
        <v>2.6124999999999998</v>
      </c>
      <c r="S1383" s="2994">
        <v>3.0470999999999999</v>
      </c>
      <c r="T1383" s="2994">
        <v>2.5861999999999998</v>
      </c>
      <c r="U1383" s="2994">
        <v>3.0459999999999998</v>
      </c>
      <c r="V1383" s="2994">
        <v>3.0423</v>
      </c>
      <c r="W1383" s="2994">
        <v>2.5922999999999998</v>
      </c>
      <c r="X1383" s="2994">
        <v>2.5855999999999999</v>
      </c>
      <c r="Y1383" s="2994">
        <v>3.0432000000000001</v>
      </c>
      <c r="Z1383" s="2994">
        <v>3.1261999999999999</v>
      </c>
      <c r="AA1383" s="2994">
        <v>3.0468000000000002</v>
      </c>
      <c r="AB1383" s="2994">
        <v>3.0407999999999999</v>
      </c>
      <c r="AC1383" s="2994">
        <v>3.0745</v>
      </c>
      <c r="AD1383" s="2994">
        <v>7.8697999999999997</v>
      </c>
      <c r="AE1383" s="2994">
        <v>8.0742999999999991</v>
      </c>
      <c r="AF1383" s="2994">
        <v>8.2971000000000004</v>
      </c>
      <c r="AG1383" s="2994">
        <v>8.7301000000000002</v>
      </c>
      <c r="AH1383" s="2994">
        <v>7.4321000000000002</v>
      </c>
      <c r="AI1383" s="2994">
        <v>6.7512999999999996</v>
      </c>
      <c r="AJ1383" s="2994">
        <v>5.7179000000000002</v>
      </c>
      <c r="AK1383" s="2994">
        <v>7.7140000000000004</v>
      </c>
      <c r="AL1383" s="2994">
        <v>7.4185999999999996</v>
      </c>
      <c r="AM1383" s="2994">
        <v>7.0015000000000001</v>
      </c>
      <c r="AN1383" s="2994">
        <v>7.0701999999999998</v>
      </c>
      <c r="AO1383" s="2994">
        <v>6.6951000000000001</v>
      </c>
      <c r="AP1383" s="2994">
        <v>5.7683999999999997</v>
      </c>
      <c r="AQ1383" s="2994">
        <v>5.9757999999999996</v>
      </c>
      <c r="AR1383" s="2994">
        <v>6.7293000000000003</v>
      </c>
      <c r="AS1383" s="2994">
        <v>6.9889000000000001</v>
      </c>
      <c r="AT1383" s="2994">
        <v>7.2488000000000001</v>
      </c>
      <c r="AU1383" s="2994">
        <v>5.2797999999999998</v>
      </c>
      <c r="AV1383" s="2994">
        <v>6.0308999999999999</v>
      </c>
      <c r="AW1383" s="2994">
        <v>6.7159000000000004</v>
      </c>
      <c r="AX1383" s="2994">
        <v>6.7121000000000004</v>
      </c>
      <c r="AY1383" s="2994">
        <v>6.7202999999999999</v>
      </c>
      <c r="AZ1383" s="2994">
        <v>7.2412000000000001</v>
      </c>
      <c r="BA1383" s="2994">
        <v>6.7835000000000001</v>
      </c>
      <c r="BB1383" s="2994">
        <v>6.6135999999999999</v>
      </c>
      <c r="BC1383" s="2994">
        <v>5.2122999999999999</v>
      </c>
      <c r="BD1383" s="3471">
        <v>6.1938000000000004</v>
      </c>
      <c r="BE1383" s="3471">
        <v>6.1479999999999997</v>
      </c>
      <c r="BF1383" s="3471">
        <v>0</v>
      </c>
    </row>
    <row r="1384" spans="1:58">
      <c r="A1384" s="1817" t="str">
        <f t="shared" si="43"/>
        <v>Western EuropeGrain, mixed</v>
      </c>
      <c r="B1384" s="1818" t="s">
        <v>301</v>
      </c>
      <c r="C1384" s="1818" t="s">
        <v>7331</v>
      </c>
      <c r="D1384" s="3463" t="str">
        <f>VLOOKUP(B1384,List_Yield!$G$4:$J$14,4,FALSE)</f>
        <v>Western Europe</v>
      </c>
      <c r="E1384" s="3463" t="str">
        <f t="shared" si="44"/>
        <v>Western EuropeGrain, mixed</v>
      </c>
      <c r="F1384" s="2994">
        <v>2.3216000000000001</v>
      </c>
      <c r="G1384" s="2994">
        <v>2.7212999999999998</v>
      </c>
      <c r="H1384" s="2994">
        <v>2.5926999999999998</v>
      </c>
      <c r="I1384" s="2994">
        <v>2.7934999999999999</v>
      </c>
      <c r="J1384" s="2994">
        <v>2.6476000000000002</v>
      </c>
      <c r="K1384" s="2994">
        <v>2.6351</v>
      </c>
      <c r="L1384" s="2994">
        <v>3.0194000000000001</v>
      </c>
      <c r="M1384" s="2994">
        <v>3.1113</v>
      </c>
      <c r="N1384" s="2994">
        <v>3.0827</v>
      </c>
      <c r="O1384" s="2994">
        <v>2.6863999999999999</v>
      </c>
      <c r="P1384" s="2994">
        <v>3.302</v>
      </c>
      <c r="Q1384" s="2994">
        <v>3.3673000000000002</v>
      </c>
      <c r="R1384" s="2994">
        <v>3.3378000000000001</v>
      </c>
      <c r="S1384" s="2994">
        <v>3.5421999999999998</v>
      </c>
      <c r="T1384" s="2994">
        <v>3.2614000000000001</v>
      </c>
      <c r="U1384" s="2994">
        <v>2.6894999999999998</v>
      </c>
      <c r="V1384" s="2994">
        <v>3.1473</v>
      </c>
      <c r="W1384" s="2994">
        <v>3.5739999999999998</v>
      </c>
      <c r="X1384" s="2994">
        <v>3.4325999999999999</v>
      </c>
      <c r="Y1384" s="2994">
        <v>3.5238999999999998</v>
      </c>
      <c r="Z1384" s="2994">
        <v>3.4098000000000002</v>
      </c>
      <c r="AA1384" s="2994">
        <v>3.6738</v>
      </c>
      <c r="AB1384" s="2994">
        <v>3.2031999999999998</v>
      </c>
      <c r="AC1384" s="2994">
        <v>4.0317999999999996</v>
      </c>
      <c r="AD1384" s="2994">
        <v>4.0362999999999998</v>
      </c>
      <c r="AE1384" s="2994">
        <v>3.7759</v>
      </c>
      <c r="AF1384" s="2994">
        <v>3.9512</v>
      </c>
      <c r="AG1384" s="2994">
        <v>3.9058000000000002</v>
      </c>
      <c r="AH1384" s="2994">
        <v>3.7603</v>
      </c>
      <c r="AI1384" s="2994">
        <v>4.0773000000000001</v>
      </c>
      <c r="AJ1384" s="2994">
        <v>4.3547000000000002</v>
      </c>
      <c r="AK1384" s="2994">
        <v>4.0194999999999999</v>
      </c>
      <c r="AL1384" s="2994">
        <v>4.2222999999999997</v>
      </c>
      <c r="AM1384" s="2994">
        <v>4.0279999999999996</v>
      </c>
      <c r="AN1384" s="2994">
        <v>4.1093000000000002</v>
      </c>
      <c r="AO1384" s="2994">
        <v>4.5624000000000002</v>
      </c>
      <c r="AP1384" s="2994">
        <v>4.3792999999999997</v>
      </c>
      <c r="AQ1384" s="2994">
        <v>4.5349000000000004</v>
      </c>
      <c r="AR1384" s="2994">
        <v>4.484</v>
      </c>
      <c r="AS1384" s="2994">
        <v>4.2930000000000001</v>
      </c>
      <c r="AT1384" s="2994">
        <v>4.1635</v>
      </c>
      <c r="AU1384" s="2994">
        <v>4.5420999999999996</v>
      </c>
      <c r="AV1384" s="2994">
        <v>3.9003000000000001</v>
      </c>
      <c r="AW1384" s="2994">
        <v>4.5829000000000004</v>
      </c>
      <c r="AX1384" s="2994">
        <v>4.3281999999999998</v>
      </c>
      <c r="AY1384" s="2994">
        <v>4.1924999999999999</v>
      </c>
      <c r="AZ1384" s="2994">
        <v>3.7183000000000002</v>
      </c>
      <c r="BA1384" s="2994">
        <v>4.0595999999999997</v>
      </c>
      <c r="BB1384" s="2994">
        <v>4.3822000000000001</v>
      </c>
      <c r="BC1384" s="2994">
        <v>4.0282999999999998</v>
      </c>
      <c r="BD1384" s="3471">
        <v>3.9527999999999999</v>
      </c>
      <c r="BE1384" s="3471">
        <v>4.2403000000000004</v>
      </c>
      <c r="BF1384" s="3471">
        <v>4.1298000000000004</v>
      </c>
    </row>
    <row r="1385" spans="1:58">
      <c r="A1385" s="1817" t="str">
        <f t="shared" si="43"/>
        <v>Western EuropeGrapefruit (inc. pomelos)</v>
      </c>
      <c r="B1385" s="1818" t="s">
        <v>301</v>
      </c>
      <c r="C1385" s="1818" t="s">
        <v>1351</v>
      </c>
      <c r="D1385" s="3463" t="str">
        <f>VLOOKUP(B1385,List_Yield!$G$4:$J$14,4,FALSE)</f>
        <v>Western Europe</v>
      </c>
      <c r="E1385" s="3463" t="str">
        <f t="shared" si="44"/>
        <v>Western EuropeGrapefruit (inc. pomelos)</v>
      </c>
      <c r="F1385" s="2994">
        <v>0</v>
      </c>
      <c r="G1385" s="2994">
        <v>0</v>
      </c>
      <c r="H1385" s="2994">
        <v>0</v>
      </c>
      <c r="I1385" s="2994">
        <v>0.33329999999999999</v>
      </c>
      <c r="J1385" s="2994">
        <v>1.25</v>
      </c>
      <c r="K1385" s="2994">
        <v>1</v>
      </c>
      <c r="L1385" s="2994">
        <v>3</v>
      </c>
      <c r="M1385" s="2994">
        <v>3</v>
      </c>
      <c r="N1385" s="2994">
        <v>10</v>
      </c>
      <c r="O1385" s="2994">
        <v>8</v>
      </c>
      <c r="P1385" s="2994">
        <v>0</v>
      </c>
      <c r="Q1385" s="2994">
        <v>12</v>
      </c>
      <c r="R1385" s="2994">
        <v>12</v>
      </c>
      <c r="S1385" s="2994">
        <v>12</v>
      </c>
      <c r="T1385" s="2994">
        <v>12</v>
      </c>
      <c r="U1385" s="2994">
        <v>16</v>
      </c>
      <c r="V1385" s="2994">
        <v>32</v>
      </c>
      <c r="W1385" s="2994">
        <v>27</v>
      </c>
      <c r="X1385" s="2994">
        <v>23</v>
      </c>
      <c r="Y1385" s="2994">
        <v>32</v>
      </c>
      <c r="Z1385" s="2994">
        <v>8.6667000000000005</v>
      </c>
      <c r="AA1385" s="2994">
        <v>10</v>
      </c>
      <c r="AB1385" s="2994">
        <v>8.3332999999999995</v>
      </c>
      <c r="AC1385" s="2994">
        <v>10</v>
      </c>
      <c r="AD1385" s="2994">
        <v>11.666700000000001</v>
      </c>
      <c r="AE1385" s="2994">
        <v>18.823499999999999</v>
      </c>
      <c r="AF1385" s="2994">
        <v>18.588200000000001</v>
      </c>
      <c r="AG1385" s="2994">
        <v>18.285699999999999</v>
      </c>
      <c r="AH1385" s="2994">
        <v>7.3684000000000003</v>
      </c>
      <c r="AI1385" s="2994">
        <v>9.9047999999999998</v>
      </c>
      <c r="AJ1385" s="2994">
        <v>11.914300000000001</v>
      </c>
      <c r="AK1385" s="2994">
        <v>10.9833</v>
      </c>
      <c r="AL1385" s="2994">
        <v>5.1050000000000004</v>
      </c>
      <c r="AM1385" s="2994">
        <v>6.4593999999999996</v>
      </c>
      <c r="AN1385" s="2994">
        <v>7.5894000000000004</v>
      </c>
      <c r="AO1385" s="2994">
        <v>9.0679999999999996</v>
      </c>
      <c r="AP1385" s="2994">
        <v>5.9062999999999999</v>
      </c>
      <c r="AQ1385" s="2994">
        <v>11.226100000000001</v>
      </c>
      <c r="AR1385" s="2994">
        <v>11.9391</v>
      </c>
      <c r="AS1385" s="2994">
        <v>11.9391</v>
      </c>
      <c r="AT1385" s="2994">
        <v>13.981</v>
      </c>
      <c r="AU1385" s="2994">
        <v>13.9802</v>
      </c>
      <c r="AV1385" s="2994">
        <v>12.4941</v>
      </c>
      <c r="AW1385" s="2994">
        <v>15.259600000000001</v>
      </c>
      <c r="AX1385" s="2994">
        <v>18.910599999999999</v>
      </c>
      <c r="AY1385" s="2994">
        <v>17.605899999999998</v>
      </c>
      <c r="AZ1385" s="2994">
        <v>14.8093</v>
      </c>
      <c r="BA1385" s="2994">
        <v>13.510999999999999</v>
      </c>
      <c r="BB1385" s="2994">
        <v>11.958</v>
      </c>
      <c r="BC1385" s="2994">
        <v>11.7316</v>
      </c>
      <c r="BD1385" s="3471">
        <v>12.207000000000001</v>
      </c>
      <c r="BE1385" s="3471">
        <v>12.731</v>
      </c>
      <c r="BF1385" s="3471">
        <v>0</v>
      </c>
    </row>
    <row r="1386" spans="1:58">
      <c r="A1386" s="1817" t="str">
        <f t="shared" si="43"/>
        <v>Western EuropeGrapes</v>
      </c>
      <c r="B1386" s="1818" t="s">
        <v>301</v>
      </c>
      <c r="C1386" s="1818" t="s">
        <v>1352</v>
      </c>
      <c r="D1386" s="3463" t="str">
        <f>VLOOKUP(B1386,List_Yield!$G$4:$J$14,4,FALSE)</f>
        <v>Western Europe</v>
      </c>
      <c r="E1386" s="3463" t="str">
        <f t="shared" si="44"/>
        <v>Western EuropeGrapes</v>
      </c>
      <c r="F1386" s="2994">
        <v>5.4085000000000001</v>
      </c>
      <c r="G1386" s="2994">
        <v>8.0427999999999997</v>
      </c>
      <c r="H1386" s="2994">
        <v>6.5233999999999996</v>
      </c>
      <c r="I1386" s="2994">
        <v>7.3064999999999998</v>
      </c>
      <c r="J1386" s="2994">
        <v>7.5838999999999999</v>
      </c>
      <c r="K1386" s="2994">
        <v>7.0185000000000004</v>
      </c>
      <c r="L1386" s="2994">
        <v>7.2328000000000001</v>
      </c>
      <c r="M1386" s="2994">
        <v>7.7449000000000003</v>
      </c>
      <c r="N1386" s="2994">
        <v>6.6052999999999997</v>
      </c>
      <c r="O1386" s="2994">
        <v>9.9109999999999996</v>
      </c>
      <c r="P1386" s="2994">
        <v>8.1549999999999994</v>
      </c>
      <c r="Q1386" s="2994">
        <v>7.7805999999999997</v>
      </c>
      <c r="R1386" s="2994">
        <v>10.665699999999999</v>
      </c>
      <c r="S1386" s="2994">
        <v>9.3812999999999995</v>
      </c>
      <c r="T1386" s="2994">
        <v>8.8010999999999999</v>
      </c>
      <c r="U1386" s="2994">
        <v>9.3754000000000008</v>
      </c>
      <c r="V1386" s="2994">
        <v>7.1959999999999997</v>
      </c>
      <c r="W1386" s="2994">
        <v>7.7458</v>
      </c>
      <c r="X1386" s="2994">
        <v>10.7334</v>
      </c>
      <c r="Y1386" s="2994">
        <v>9.0443999999999996</v>
      </c>
      <c r="Z1386" s="2994">
        <v>8.0960999999999999</v>
      </c>
      <c r="AA1386" s="2994">
        <v>11.876099999999999</v>
      </c>
      <c r="AB1386" s="2994">
        <v>10.279400000000001</v>
      </c>
      <c r="AC1386" s="2994">
        <v>9.1702999999999992</v>
      </c>
      <c r="AD1386" s="2994">
        <v>8.5703999999999994</v>
      </c>
      <c r="AE1386" s="2994">
        <v>9.8315999999999999</v>
      </c>
      <c r="AF1386" s="2994">
        <v>9.5388999999999999</v>
      </c>
      <c r="AG1386" s="2994">
        <v>8.3169000000000004</v>
      </c>
      <c r="AH1386" s="2994">
        <v>9.4044000000000008</v>
      </c>
      <c r="AI1386" s="2994">
        <v>9.3953000000000007</v>
      </c>
      <c r="AJ1386" s="2994">
        <v>6.9779</v>
      </c>
      <c r="AK1386" s="2994">
        <v>9.5792999999999999</v>
      </c>
      <c r="AL1386" s="2994">
        <v>7.8564999999999996</v>
      </c>
      <c r="AM1386" s="2994">
        <v>8.3809000000000005</v>
      </c>
      <c r="AN1386" s="2994">
        <v>8.6228999999999996</v>
      </c>
      <c r="AO1386" s="2994">
        <v>8.9568999999999992</v>
      </c>
      <c r="AP1386" s="2994">
        <v>8.3449000000000009</v>
      </c>
      <c r="AQ1386" s="2994">
        <v>8.6583000000000006</v>
      </c>
      <c r="AR1386" s="2994">
        <v>9.9687999999999999</v>
      </c>
      <c r="AS1386" s="2994">
        <v>9.3605999999999998</v>
      </c>
      <c r="AT1386" s="2994">
        <v>8.7462</v>
      </c>
      <c r="AU1386" s="2994">
        <v>8.5505999999999993</v>
      </c>
      <c r="AV1386" s="2994">
        <v>7.8310000000000004</v>
      </c>
      <c r="AW1386" s="2994">
        <v>9.1885999999999992</v>
      </c>
      <c r="AX1386" s="2994">
        <v>8.5526999999999997</v>
      </c>
      <c r="AY1386" s="2994">
        <v>8.0873000000000008</v>
      </c>
      <c r="AZ1386" s="2994">
        <v>8.0065000000000008</v>
      </c>
      <c r="BA1386" s="2994">
        <v>8.1153999999999993</v>
      </c>
      <c r="BB1386" s="2994">
        <v>8.1565999999999992</v>
      </c>
      <c r="BC1386" s="2994">
        <v>7.6492000000000004</v>
      </c>
      <c r="BD1386" s="3471">
        <v>9.0493000000000006</v>
      </c>
      <c r="BE1386" s="3471">
        <v>7.5968</v>
      </c>
      <c r="BF1386" s="3471">
        <v>0</v>
      </c>
    </row>
    <row r="1387" spans="1:58">
      <c r="A1387" s="1817" t="str">
        <f t="shared" si="43"/>
        <v>Western EuropeGroundnuts, with shell</v>
      </c>
      <c r="B1387" s="1818" t="s">
        <v>301</v>
      </c>
      <c r="C1387" s="1818" t="s">
        <v>1353</v>
      </c>
      <c r="D1387" s="3463" t="str">
        <f>VLOOKUP(B1387,List_Yield!$G$4:$J$14,4,FALSE)</f>
        <v>Western Europe</v>
      </c>
      <c r="E1387" s="3463" t="str">
        <f t="shared" si="44"/>
        <v>Western EuropeGroundnuts, with shell</v>
      </c>
      <c r="F1387" s="2994">
        <v>0</v>
      </c>
      <c r="G1387" s="2994">
        <v>0</v>
      </c>
      <c r="H1387" s="2994">
        <v>0</v>
      </c>
      <c r="I1387" s="2994">
        <v>0</v>
      </c>
      <c r="J1387" s="2994">
        <v>0</v>
      </c>
      <c r="K1387" s="2994">
        <v>0</v>
      </c>
      <c r="L1387" s="2994">
        <v>0</v>
      </c>
      <c r="M1387" s="2994">
        <v>0</v>
      </c>
      <c r="N1387" s="2994">
        <v>0</v>
      </c>
      <c r="O1387" s="2994">
        <v>0</v>
      </c>
      <c r="P1387" s="2994">
        <v>0</v>
      </c>
      <c r="Q1387" s="2994">
        <v>0</v>
      </c>
      <c r="R1387" s="2994">
        <v>0</v>
      </c>
      <c r="S1387" s="2994">
        <v>0</v>
      </c>
      <c r="T1387" s="2994">
        <v>0</v>
      </c>
      <c r="U1387" s="2994">
        <v>0</v>
      </c>
      <c r="V1387" s="2994">
        <v>0</v>
      </c>
      <c r="W1387" s="2994">
        <v>0</v>
      </c>
      <c r="X1387" s="2994">
        <v>0</v>
      </c>
      <c r="Y1387" s="2994">
        <v>0</v>
      </c>
      <c r="Z1387" s="2994">
        <v>0</v>
      </c>
      <c r="AA1387" s="2994">
        <v>0</v>
      </c>
      <c r="AB1387" s="2994">
        <v>0</v>
      </c>
      <c r="AC1387" s="2994">
        <v>0</v>
      </c>
      <c r="AD1387" s="2994">
        <v>0</v>
      </c>
      <c r="AE1387" s="2994">
        <v>0</v>
      </c>
      <c r="AF1387" s="2994">
        <v>0</v>
      </c>
      <c r="AG1387" s="2994">
        <v>0</v>
      </c>
      <c r="AH1387" s="2994">
        <v>0</v>
      </c>
      <c r="AI1387" s="2994">
        <v>0</v>
      </c>
      <c r="AJ1387" s="2994">
        <v>0</v>
      </c>
      <c r="AK1387" s="2994">
        <v>0</v>
      </c>
      <c r="AL1387" s="2994">
        <v>0</v>
      </c>
      <c r="AM1387" s="2994">
        <v>0</v>
      </c>
      <c r="AN1387" s="2994">
        <v>0</v>
      </c>
      <c r="AO1387" s="2994">
        <v>0</v>
      </c>
      <c r="AP1387" s="2994">
        <v>0</v>
      </c>
      <c r="AQ1387" s="2994">
        <v>0</v>
      </c>
      <c r="AR1387" s="2994">
        <v>0</v>
      </c>
      <c r="AS1387" s="2994">
        <v>0</v>
      </c>
      <c r="AT1387" s="2994">
        <v>0</v>
      </c>
      <c r="AU1387" s="2994">
        <v>0</v>
      </c>
      <c r="AV1387" s="2994">
        <v>0</v>
      </c>
      <c r="AW1387" s="2994">
        <v>0</v>
      </c>
      <c r="AX1387" s="2994">
        <v>0</v>
      </c>
      <c r="AY1387" s="2994">
        <v>0</v>
      </c>
      <c r="AZ1387" s="2994">
        <v>0</v>
      </c>
      <c r="BA1387" s="2994">
        <v>0</v>
      </c>
      <c r="BB1387" s="2994">
        <v>0</v>
      </c>
      <c r="BC1387" s="2994">
        <v>0</v>
      </c>
      <c r="BD1387" s="3471">
        <v>0</v>
      </c>
      <c r="BE1387" s="3471">
        <v>0</v>
      </c>
      <c r="BF1387" s="3471">
        <v>0</v>
      </c>
    </row>
    <row r="1388" spans="1:58">
      <c r="A1388" s="1817" t="str">
        <f t="shared" si="43"/>
        <v>Western EuropeHazelnuts, with shell</v>
      </c>
      <c r="B1388" s="1818" t="s">
        <v>301</v>
      </c>
      <c r="C1388" s="1818" t="s">
        <v>7332</v>
      </c>
      <c r="D1388" s="3463" t="str">
        <f>VLOOKUP(B1388,List_Yield!$G$4:$J$14,4,FALSE)</f>
        <v>Western Europe</v>
      </c>
      <c r="E1388" s="3463" t="str">
        <f t="shared" si="44"/>
        <v>Western EuropeHazelnuts, with shell</v>
      </c>
      <c r="F1388" s="2994">
        <v>0</v>
      </c>
      <c r="G1388" s="2994">
        <v>0</v>
      </c>
      <c r="H1388" s="2994">
        <v>0</v>
      </c>
      <c r="I1388" s="2994">
        <v>0</v>
      </c>
      <c r="J1388" s="2994">
        <v>0</v>
      </c>
      <c r="K1388" s="2994">
        <v>0</v>
      </c>
      <c r="L1388" s="2994">
        <v>0</v>
      </c>
      <c r="M1388" s="2994">
        <v>0</v>
      </c>
      <c r="N1388" s="2994">
        <v>0</v>
      </c>
      <c r="O1388" s="2994">
        <v>0</v>
      </c>
      <c r="P1388" s="2994">
        <v>0</v>
      </c>
      <c r="Q1388" s="2994">
        <v>0</v>
      </c>
      <c r="R1388" s="2994">
        <v>0</v>
      </c>
      <c r="S1388" s="2994">
        <v>0</v>
      </c>
      <c r="T1388" s="2994">
        <v>0</v>
      </c>
      <c r="U1388" s="2994">
        <v>0</v>
      </c>
      <c r="V1388" s="2994">
        <v>0</v>
      </c>
      <c r="W1388" s="2994">
        <v>0</v>
      </c>
      <c r="X1388" s="2994">
        <v>0</v>
      </c>
      <c r="Y1388" s="2994">
        <v>0</v>
      </c>
      <c r="Z1388" s="2994">
        <v>0</v>
      </c>
      <c r="AA1388" s="2994">
        <v>0</v>
      </c>
      <c r="AB1388" s="2994">
        <v>0</v>
      </c>
      <c r="AC1388" s="2994">
        <v>0</v>
      </c>
      <c r="AD1388" s="2994">
        <v>1.5385</v>
      </c>
      <c r="AE1388" s="2994">
        <v>1.6922999999999999</v>
      </c>
      <c r="AF1388" s="2994">
        <v>1.7857000000000001</v>
      </c>
      <c r="AG1388" s="2994">
        <v>1.6875</v>
      </c>
      <c r="AH1388" s="2994">
        <v>2.25</v>
      </c>
      <c r="AI1388" s="2994">
        <v>2.2530999999999999</v>
      </c>
      <c r="AJ1388" s="2994">
        <v>1.8858999999999999</v>
      </c>
      <c r="AK1388" s="2994">
        <v>2.0609999999999999</v>
      </c>
      <c r="AL1388" s="2994">
        <v>1.74</v>
      </c>
      <c r="AM1388" s="2994">
        <v>1.85</v>
      </c>
      <c r="AN1388" s="2994">
        <v>1.9697</v>
      </c>
      <c r="AO1388" s="2994">
        <v>2.2000000000000002</v>
      </c>
      <c r="AP1388" s="2994">
        <v>2.0573999999999999</v>
      </c>
      <c r="AQ1388" s="2994">
        <v>1.7390000000000001</v>
      </c>
      <c r="AR1388" s="2994">
        <v>2.0453999999999999</v>
      </c>
      <c r="AS1388" s="2994">
        <v>2.1850000000000001</v>
      </c>
      <c r="AT1388" s="2994">
        <v>1.7079</v>
      </c>
      <c r="AU1388" s="2994">
        <v>2.2616000000000001</v>
      </c>
      <c r="AV1388" s="2994">
        <v>1.5293000000000001</v>
      </c>
      <c r="AW1388" s="2994">
        <v>2.5062000000000002</v>
      </c>
      <c r="AX1388" s="2994">
        <v>1.6877</v>
      </c>
      <c r="AY1388" s="2994">
        <v>2.0598999999999998</v>
      </c>
      <c r="AZ1388" s="2994">
        <v>1.8419000000000001</v>
      </c>
      <c r="BA1388" s="2994">
        <v>1.5383</v>
      </c>
      <c r="BB1388" s="2994">
        <v>2.512</v>
      </c>
      <c r="BC1388" s="2994">
        <v>2.4178999999999999</v>
      </c>
      <c r="BD1388" s="3471">
        <v>1.7890999999999999</v>
      </c>
      <c r="BE1388" s="3471">
        <v>1.9533</v>
      </c>
      <c r="BF1388" s="3471">
        <v>0</v>
      </c>
    </row>
    <row r="1389" spans="1:58">
      <c r="A1389" s="1817" t="str">
        <f t="shared" si="43"/>
        <v>Western EuropeHemp tow waste</v>
      </c>
      <c r="B1389" s="1818" t="s">
        <v>301</v>
      </c>
      <c r="C1389" s="1818" t="s">
        <v>7333</v>
      </c>
      <c r="D1389" s="3463" t="str">
        <f>VLOOKUP(B1389,List_Yield!$G$4:$J$14,4,FALSE)</f>
        <v>Western Europe</v>
      </c>
      <c r="E1389" s="3463" t="str">
        <f t="shared" si="44"/>
        <v>Western EuropeHemp tow waste</v>
      </c>
      <c r="F1389" s="2994">
        <v>0.63300000000000001</v>
      </c>
      <c r="G1389" s="2994">
        <v>0.64410000000000001</v>
      </c>
      <c r="H1389" s="2994">
        <v>0.60409999999999997</v>
      </c>
      <c r="I1389" s="2994">
        <v>0.77490000000000003</v>
      </c>
      <c r="J1389" s="2994">
        <v>0.90769999999999995</v>
      </c>
      <c r="K1389" s="2994">
        <v>0.79459999999999997</v>
      </c>
      <c r="L1389" s="2994">
        <v>0.95840000000000003</v>
      </c>
      <c r="M1389" s="2994">
        <v>0.74060000000000004</v>
      </c>
      <c r="N1389" s="2994">
        <v>0.64200000000000002</v>
      </c>
      <c r="O1389" s="2994">
        <v>0.62970000000000004</v>
      </c>
      <c r="P1389" s="2994">
        <v>0.74019999999999997</v>
      </c>
      <c r="Q1389" s="2994">
        <v>0.78310000000000002</v>
      </c>
      <c r="R1389" s="2994">
        <v>1.5385</v>
      </c>
      <c r="S1389" s="2994">
        <v>1.5385</v>
      </c>
      <c r="T1389" s="2994">
        <v>1.5385</v>
      </c>
      <c r="U1389" s="2994">
        <v>1.5385</v>
      </c>
      <c r="V1389" s="2994">
        <v>1.5385</v>
      </c>
      <c r="W1389" s="2994">
        <v>1.5625</v>
      </c>
      <c r="X1389" s="2994">
        <v>1.5455000000000001</v>
      </c>
      <c r="Y1389" s="2994">
        <v>1.5428999999999999</v>
      </c>
      <c r="Z1389" s="2994">
        <v>1.5348999999999999</v>
      </c>
      <c r="AA1389" s="2994">
        <v>1.5667</v>
      </c>
      <c r="AB1389" s="2994">
        <v>1.5238</v>
      </c>
      <c r="AC1389" s="2994">
        <v>1.4595</v>
      </c>
      <c r="AD1389" s="2994">
        <v>1.4544999999999999</v>
      </c>
      <c r="AE1389" s="2994">
        <v>1.6153999999999999</v>
      </c>
      <c r="AF1389" s="2994">
        <v>1.5625</v>
      </c>
      <c r="AG1389" s="2994">
        <v>1.5</v>
      </c>
      <c r="AH1389" s="2994">
        <v>1.5385</v>
      </c>
      <c r="AI1389" s="2994">
        <v>1.5385</v>
      </c>
      <c r="AJ1389" s="2994">
        <v>1.5385</v>
      </c>
      <c r="AK1389" s="2994">
        <v>1.5953999999999999</v>
      </c>
      <c r="AL1389" s="2994">
        <v>1.5691999999999999</v>
      </c>
      <c r="AM1389" s="2994">
        <v>1.5615000000000001</v>
      </c>
      <c r="AN1389" s="2994">
        <v>5.8921999999999999</v>
      </c>
      <c r="AO1389" s="2994">
        <v>0</v>
      </c>
      <c r="AP1389" s="2994">
        <v>7.5774999999999997</v>
      </c>
      <c r="AQ1389" s="2994">
        <v>4.9740000000000002</v>
      </c>
      <c r="AR1389" s="2994">
        <v>7.1821999999999999</v>
      </c>
      <c r="AS1389" s="2994">
        <v>4.9901999999999997</v>
      </c>
      <c r="AT1389" s="2994">
        <v>4.6447000000000003</v>
      </c>
      <c r="AU1389" s="2994">
        <v>6.3517999999999999</v>
      </c>
      <c r="AV1389" s="2994">
        <v>6.1303999999999998</v>
      </c>
      <c r="AW1389" s="2994">
        <v>2.2092999999999998</v>
      </c>
      <c r="AX1389" s="2994">
        <v>2.0455000000000001</v>
      </c>
      <c r="AY1389" s="2994">
        <v>2.9523999999999999</v>
      </c>
      <c r="AZ1389" s="2994">
        <v>4.0909000000000004</v>
      </c>
      <c r="BA1389" s="2994">
        <v>4.0833000000000004</v>
      </c>
      <c r="BB1389" s="2994">
        <v>5.2632000000000003</v>
      </c>
      <c r="BC1389" s="2994">
        <v>3.1408999999999998</v>
      </c>
      <c r="BD1389" s="3471">
        <v>3.2422</v>
      </c>
      <c r="BE1389" s="3471">
        <v>3.2422</v>
      </c>
      <c r="BF1389" s="3471">
        <v>0</v>
      </c>
    </row>
    <row r="1390" spans="1:58">
      <c r="A1390" s="1817" t="str">
        <f t="shared" si="43"/>
        <v>Western EuropeHempseed</v>
      </c>
      <c r="B1390" s="1818" t="s">
        <v>301</v>
      </c>
      <c r="C1390" s="1818" t="s">
        <v>7334</v>
      </c>
      <c r="D1390" s="3463" t="str">
        <f>VLOOKUP(B1390,List_Yield!$G$4:$J$14,4,FALSE)</f>
        <v>Western Europe</v>
      </c>
      <c r="E1390" s="3463" t="str">
        <f t="shared" si="44"/>
        <v>Western EuropeHempseed</v>
      </c>
      <c r="F1390" s="2994">
        <v>0.26800000000000002</v>
      </c>
      <c r="G1390" s="2994">
        <v>0.30809999999999998</v>
      </c>
      <c r="H1390" s="2994">
        <v>0.29809999999999998</v>
      </c>
      <c r="I1390" s="2994">
        <v>0.29920000000000002</v>
      </c>
      <c r="J1390" s="2994">
        <v>0.34699999999999998</v>
      </c>
      <c r="K1390" s="2994">
        <v>0.51949999999999996</v>
      </c>
      <c r="L1390" s="2994">
        <v>0.67989999999999995</v>
      </c>
      <c r="M1390" s="2994">
        <v>0.55589999999999995</v>
      </c>
      <c r="N1390" s="2994">
        <v>0.46689999999999998</v>
      </c>
      <c r="O1390" s="2994">
        <v>0.42009999999999997</v>
      </c>
      <c r="P1390" s="2994">
        <v>0.2437</v>
      </c>
      <c r="Q1390" s="2994">
        <v>0.44869999999999999</v>
      </c>
      <c r="R1390" s="2994">
        <v>0.89</v>
      </c>
      <c r="S1390" s="2994">
        <v>0.59499999999999997</v>
      </c>
      <c r="T1390" s="2994">
        <v>0.7117</v>
      </c>
      <c r="U1390" s="2994">
        <v>0.74809999999999999</v>
      </c>
      <c r="V1390" s="2994">
        <v>0.75509999999999999</v>
      </c>
      <c r="W1390" s="2994">
        <v>0.78420000000000001</v>
      </c>
      <c r="X1390" s="2994">
        <v>0.8458</v>
      </c>
      <c r="Y1390" s="2994">
        <v>0.72960000000000003</v>
      </c>
      <c r="Z1390" s="2994">
        <v>0.5857</v>
      </c>
      <c r="AA1390" s="2994">
        <v>0.68459999999999999</v>
      </c>
      <c r="AB1390" s="2994">
        <v>0.88749999999999996</v>
      </c>
      <c r="AC1390" s="2994">
        <v>0.57079999999999997</v>
      </c>
      <c r="AD1390" s="2994">
        <v>0.60489999999999999</v>
      </c>
      <c r="AE1390" s="2994">
        <v>0.58689999999999998</v>
      </c>
      <c r="AF1390" s="2994">
        <v>0.70909999999999995</v>
      </c>
      <c r="AG1390" s="2994">
        <v>0.63749999999999996</v>
      </c>
      <c r="AH1390" s="2994">
        <v>0.60709999999999997</v>
      </c>
      <c r="AI1390" s="2994">
        <v>0.64710000000000001</v>
      </c>
      <c r="AJ1390" s="2994">
        <v>0.55789999999999995</v>
      </c>
      <c r="AK1390" s="2994">
        <v>0.73680000000000001</v>
      </c>
      <c r="AL1390" s="2994">
        <v>0.75860000000000005</v>
      </c>
      <c r="AM1390" s="2994">
        <v>0.69030000000000002</v>
      </c>
      <c r="AN1390" s="2994">
        <v>0.61670000000000003</v>
      </c>
      <c r="AO1390" s="2994">
        <v>0.51049999999999995</v>
      </c>
      <c r="AP1390" s="2994">
        <v>0.70940000000000003</v>
      </c>
      <c r="AQ1390" s="2994">
        <v>0.55910000000000004</v>
      </c>
      <c r="AR1390" s="2994">
        <v>0.68640000000000001</v>
      </c>
      <c r="AS1390" s="2994">
        <v>1.25</v>
      </c>
      <c r="AT1390" s="2994">
        <v>3.0303</v>
      </c>
      <c r="AU1390" s="2994">
        <v>3.9893999999999998</v>
      </c>
      <c r="AV1390" s="2994">
        <v>6.3491999999999997</v>
      </c>
      <c r="AW1390" s="2994">
        <v>7</v>
      </c>
      <c r="AX1390" s="2994">
        <v>6.9512</v>
      </c>
      <c r="AY1390" s="2994">
        <v>6.7904</v>
      </c>
      <c r="AZ1390" s="2994">
        <v>6.9984000000000002</v>
      </c>
      <c r="BA1390" s="2994">
        <v>6.5517000000000003</v>
      </c>
      <c r="BB1390" s="2994">
        <v>7.6643999999999997</v>
      </c>
      <c r="BC1390" s="2994">
        <v>6.9752000000000001</v>
      </c>
      <c r="BD1390" s="3471">
        <v>6.6559999999999997</v>
      </c>
      <c r="BE1390" s="3471">
        <v>7.9108999999999998</v>
      </c>
      <c r="BF1390" s="3471">
        <v>6.2630999999999997</v>
      </c>
    </row>
    <row r="1391" spans="1:58">
      <c r="A1391" s="1817" t="str">
        <f t="shared" si="43"/>
        <v>Western EuropeHops</v>
      </c>
      <c r="B1391" s="1818" t="s">
        <v>301</v>
      </c>
      <c r="C1391" s="1818" t="s">
        <v>7335</v>
      </c>
      <c r="D1391" s="3463" t="str">
        <f>VLOOKUP(B1391,List_Yield!$G$4:$J$14,4,FALSE)</f>
        <v>Western Europe</v>
      </c>
      <c r="E1391" s="3463" t="str">
        <f t="shared" si="44"/>
        <v>Western EuropeHops</v>
      </c>
      <c r="F1391" s="2994">
        <v>1.4279999999999999</v>
      </c>
      <c r="G1391" s="2994">
        <v>1.5843</v>
      </c>
      <c r="H1391" s="2994">
        <v>1.8519000000000001</v>
      </c>
      <c r="I1391" s="2994">
        <v>1.8003</v>
      </c>
      <c r="J1391" s="2994">
        <v>1.6692</v>
      </c>
      <c r="K1391" s="2994">
        <v>1.5926</v>
      </c>
      <c r="L1391" s="2994">
        <v>1.8213999999999999</v>
      </c>
      <c r="M1391" s="2994">
        <v>1.7349000000000001</v>
      </c>
      <c r="N1391" s="2994">
        <v>1.8147</v>
      </c>
      <c r="O1391" s="2994">
        <v>1.9287000000000001</v>
      </c>
      <c r="P1391" s="2994">
        <v>1.5618000000000001</v>
      </c>
      <c r="Q1391" s="2994">
        <v>1.6157999999999999</v>
      </c>
      <c r="R1391" s="2994">
        <v>1.8412999999999999</v>
      </c>
      <c r="S1391" s="2994">
        <v>1.6413</v>
      </c>
      <c r="T1391" s="2994">
        <v>1.6073</v>
      </c>
      <c r="U1391" s="2994">
        <v>1.4524999999999999</v>
      </c>
      <c r="V1391" s="2994">
        <v>1.8720000000000001</v>
      </c>
      <c r="W1391" s="2994">
        <v>1.6606000000000001</v>
      </c>
      <c r="X1391" s="2994">
        <v>1.8103</v>
      </c>
      <c r="Y1391" s="2994">
        <v>1.4857</v>
      </c>
      <c r="Z1391" s="2994">
        <v>1.6898</v>
      </c>
      <c r="AA1391" s="2994">
        <v>2.0023</v>
      </c>
      <c r="AB1391" s="2994">
        <v>1.8038000000000001</v>
      </c>
      <c r="AC1391" s="2994">
        <v>1.7479</v>
      </c>
      <c r="AD1391" s="2994">
        <v>1.7567999999999999</v>
      </c>
      <c r="AE1391" s="2994">
        <v>1.6853</v>
      </c>
      <c r="AF1391" s="2994">
        <v>1.5629</v>
      </c>
      <c r="AG1391" s="2994">
        <v>1.484</v>
      </c>
      <c r="AH1391" s="2994">
        <v>1.5712999999999999</v>
      </c>
      <c r="AI1391" s="2994">
        <v>1.3696999999999999</v>
      </c>
      <c r="AJ1391" s="2994">
        <v>1.6197999999999999</v>
      </c>
      <c r="AK1391" s="2994">
        <v>1.2121</v>
      </c>
      <c r="AL1391" s="2994">
        <v>1.8394999999999999</v>
      </c>
      <c r="AM1391" s="2994">
        <v>1.3299000000000001</v>
      </c>
      <c r="AN1391" s="2994">
        <v>1.5811999999999999</v>
      </c>
      <c r="AO1391" s="2994">
        <v>1.8128</v>
      </c>
      <c r="AP1391" s="2994">
        <v>1.6035999999999999</v>
      </c>
      <c r="AQ1391" s="2994">
        <v>1.5838000000000001</v>
      </c>
      <c r="AR1391" s="2994">
        <v>1.5347</v>
      </c>
      <c r="AS1391" s="2994">
        <v>1.5879000000000001</v>
      </c>
      <c r="AT1391" s="2994">
        <v>1.5965</v>
      </c>
      <c r="AU1391" s="2994">
        <v>1.7434000000000001</v>
      </c>
      <c r="AV1391" s="2994">
        <v>1.4594</v>
      </c>
      <c r="AW1391" s="2994">
        <v>1.8859999999999999</v>
      </c>
      <c r="AX1391" s="2994">
        <v>1.9915</v>
      </c>
      <c r="AY1391" s="2994">
        <v>1.6436999999999999</v>
      </c>
      <c r="AZ1391" s="2994">
        <v>1.8129</v>
      </c>
      <c r="BA1391" s="2994">
        <v>2.0937000000000001</v>
      </c>
      <c r="BB1391" s="2994">
        <v>1.6732</v>
      </c>
      <c r="BC1391" s="2994">
        <v>1.8288</v>
      </c>
      <c r="BD1391" s="3471">
        <v>1.9912000000000001</v>
      </c>
      <c r="BE1391" s="3471">
        <v>1.9693000000000001</v>
      </c>
      <c r="BF1391" s="3471">
        <v>0</v>
      </c>
    </row>
    <row r="1392" spans="1:58">
      <c r="A1392" s="1817" t="str">
        <f t="shared" si="43"/>
        <v>Western EuropeJojoba seed</v>
      </c>
      <c r="B1392" s="1818" t="s">
        <v>301</v>
      </c>
      <c r="C1392" s="1818" t="s">
        <v>7336</v>
      </c>
      <c r="D1392" s="3463" t="str">
        <f>VLOOKUP(B1392,List_Yield!$G$4:$J$14,4,FALSE)</f>
        <v>Western Europe</v>
      </c>
      <c r="E1392" s="3463" t="str">
        <f t="shared" si="44"/>
        <v>Western EuropeJojoba seed</v>
      </c>
      <c r="F1392" s="2994">
        <v>0</v>
      </c>
      <c r="G1392" s="2994">
        <v>0</v>
      </c>
      <c r="H1392" s="2994">
        <v>0</v>
      </c>
      <c r="I1392" s="2994">
        <v>0</v>
      </c>
      <c r="J1392" s="2994">
        <v>0</v>
      </c>
      <c r="K1392" s="2994">
        <v>0</v>
      </c>
      <c r="L1392" s="2994">
        <v>0</v>
      </c>
      <c r="M1392" s="2994">
        <v>0</v>
      </c>
      <c r="N1392" s="2994">
        <v>0</v>
      </c>
      <c r="O1392" s="2994">
        <v>0</v>
      </c>
      <c r="P1392" s="2994">
        <v>0</v>
      </c>
      <c r="Q1392" s="2994">
        <v>0</v>
      </c>
      <c r="R1392" s="2994">
        <v>0</v>
      </c>
      <c r="S1392" s="2994">
        <v>0</v>
      </c>
      <c r="T1392" s="2994">
        <v>0</v>
      </c>
      <c r="U1392" s="2994">
        <v>0</v>
      </c>
      <c r="V1392" s="2994">
        <v>0</v>
      </c>
      <c r="W1392" s="2994">
        <v>0</v>
      </c>
      <c r="X1392" s="2994">
        <v>0</v>
      </c>
      <c r="Y1392" s="2994">
        <v>0</v>
      </c>
      <c r="Z1392" s="2994">
        <v>0</v>
      </c>
      <c r="AA1392" s="2994">
        <v>0</v>
      </c>
      <c r="AB1392" s="2994">
        <v>0</v>
      </c>
      <c r="AC1392" s="2994">
        <v>0</v>
      </c>
      <c r="AD1392" s="2994">
        <v>0</v>
      </c>
      <c r="AE1392" s="2994">
        <v>0</v>
      </c>
      <c r="AF1392" s="2994">
        <v>0</v>
      </c>
      <c r="AG1392" s="2994">
        <v>0</v>
      </c>
      <c r="AH1392" s="2994">
        <v>0</v>
      </c>
      <c r="AI1392" s="2994">
        <v>0</v>
      </c>
      <c r="AJ1392" s="2994">
        <v>0</v>
      </c>
      <c r="AK1392" s="2994">
        <v>0</v>
      </c>
      <c r="AL1392" s="2994">
        <v>0</v>
      </c>
      <c r="AM1392" s="2994">
        <v>0</v>
      </c>
      <c r="AN1392" s="2994">
        <v>0</v>
      </c>
      <c r="AO1392" s="2994">
        <v>0</v>
      </c>
      <c r="AP1392" s="2994">
        <v>0</v>
      </c>
      <c r="AQ1392" s="2994">
        <v>0</v>
      </c>
      <c r="AR1392" s="2994">
        <v>0</v>
      </c>
      <c r="AS1392" s="2994">
        <v>0</v>
      </c>
      <c r="AT1392" s="2994">
        <v>0</v>
      </c>
      <c r="AU1392" s="2994">
        <v>0</v>
      </c>
      <c r="AV1392" s="2994">
        <v>0</v>
      </c>
      <c r="AW1392" s="2994">
        <v>0</v>
      </c>
      <c r="AX1392" s="2994">
        <v>0</v>
      </c>
      <c r="AY1392" s="2994">
        <v>0</v>
      </c>
      <c r="AZ1392" s="2994">
        <v>0</v>
      </c>
      <c r="BA1392" s="2994">
        <v>0</v>
      </c>
      <c r="BB1392" s="2994">
        <v>0</v>
      </c>
      <c r="BC1392" s="2994">
        <v>0</v>
      </c>
      <c r="BD1392" s="3471">
        <v>0</v>
      </c>
      <c r="BE1392" s="3471">
        <v>0</v>
      </c>
      <c r="BF1392" s="3471">
        <v>0</v>
      </c>
    </row>
    <row r="1393" spans="1:58">
      <c r="A1393" s="1817" t="str">
        <f t="shared" si="43"/>
        <v>Western EuropeJute</v>
      </c>
      <c r="B1393" s="1818" t="s">
        <v>301</v>
      </c>
      <c r="C1393" s="1818" t="s">
        <v>7337</v>
      </c>
      <c r="D1393" s="3463" t="str">
        <f>VLOOKUP(B1393,List_Yield!$G$4:$J$14,4,FALSE)</f>
        <v>Western Europe</v>
      </c>
      <c r="E1393" s="3463" t="str">
        <f t="shared" si="44"/>
        <v>Western EuropeJute</v>
      </c>
      <c r="F1393" s="2994">
        <v>0</v>
      </c>
      <c r="G1393" s="2994">
        <v>0</v>
      </c>
      <c r="H1393" s="2994">
        <v>0</v>
      </c>
      <c r="I1393" s="2994">
        <v>0</v>
      </c>
      <c r="J1393" s="2994">
        <v>0</v>
      </c>
      <c r="K1393" s="2994">
        <v>0</v>
      </c>
      <c r="L1393" s="2994">
        <v>0</v>
      </c>
      <c r="M1393" s="2994">
        <v>0</v>
      </c>
      <c r="N1393" s="2994">
        <v>0</v>
      </c>
      <c r="O1393" s="2994">
        <v>0</v>
      </c>
      <c r="P1393" s="2994">
        <v>0</v>
      </c>
      <c r="Q1393" s="2994">
        <v>0</v>
      </c>
      <c r="R1393" s="2994">
        <v>0</v>
      </c>
      <c r="S1393" s="2994">
        <v>0</v>
      </c>
      <c r="T1393" s="2994">
        <v>0</v>
      </c>
      <c r="U1393" s="2994">
        <v>0</v>
      </c>
      <c r="V1393" s="2994">
        <v>0</v>
      </c>
      <c r="W1393" s="2994">
        <v>0</v>
      </c>
      <c r="X1393" s="2994">
        <v>0</v>
      </c>
      <c r="Y1393" s="2994">
        <v>0</v>
      </c>
      <c r="Z1393" s="2994">
        <v>0</v>
      </c>
      <c r="AA1393" s="2994">
        <v>0</v>
      </c>
      <c r="AB1393" s="2994">
        <v>0</v>
      </c>
      <c r="AC1393" s="2994">
        <v>0</v>
      </c>
      <c r="AD1393" s="2994">
        <v>0</v>
      </c>
      <c r="AE1393" s="2994">
        <v>0</v>
      </c>
      <c r="AF1393" s="2994">
        <v>0</v>
      </c>
      <c r="AG1393" s="2994">
        <v>0</v>
      </c>
      <c r="AH1393" s="2994">
        <v>0</v>
      </c>
      <c r="AI1393" s="2994">
        <v>0</v>
      </c>
      <c r="AJ1393" s="2994">
        <v>0</v>
      </c>
      <c r="AK1393" s="2994">
        <v>0</v>
      </c>
      <c r="AL1393" s="2994">
        <v>0</v>
      </c>
      <c r="AM1393" s="2994">
        <v>0</v>
      </c>
      <c r="AN1393" s="2994">
        <v>0</v>
      </c>
      <c r="AO1393" s="2994">
        <v>0</v>
      </c>
      <c r="AP1393" s="2994">
        <v>0</v>
      </c>
      <c r="AQ1393" s="2994">
        <v>0</v>
      </c>
      <c r="AR1393" s="2994">
        <v>0</v>
      </c>
      <c r="AS1393" s="2994">
        <v>0</v>
      </c>
      <c r="AT1393" s="2994">
        <v>0</v>
      </c>
      <c r="AU1393" s="2994">
        <v>0</v>
      </c>
      <c r="AV1393" s="2994">
        <v>0</v>
      </c>
      <c r="AW1393" s="2994">
        <v>0</v>
      </c>
      <c r="AX1393" s="2994">
        <v>0</v>
      </c>
      <c r="AY1393" s="2994">
        <v>0</v>
      </c>
      <c r="AZ1393" s="2994">
        <v>0</v>
      </c>
      <c r="BA1393" s="2994">
        <v>0</v>
      </c>
      <c r="BB1393" s="2994">
        <v>0</v>
      </c>
      <c r="BC1393" s="2994">
        <v>0</v>
      </c>
      <c r="BD1393" s="3471">
        <v>0</v>
      </c>
      <c r="BE1393" s="3471">
        <v>0</v>
      </c>
      <c r="BF1393" s="3471">
        <v>0</v>
      </c>
    </row>
    <row r="1394" spans="1:58">
      <c r="A1394" s="1817" t="str">
        <f t="shared" si="43"/>
        <v>Western EuropeKapok fruit</v>
      </c>
      <c r="B1394" s="1818" t="s">
        <v>301</v>
      </c>
      <c r="C1394" s="1818" t="s">
        <v>7338</v>
      </c>
      <c r="D1394" s="3463" t="str">
        <f>VLOOKUP(B1394,List_Yield!$G$4:$J$14,4,FALSE)</f>
        <v>Western Europe</v>
      </c>
      <c r="E1394" s="3463" t="str">
        <f t="shared" si="44"/>
        <v>Western EuropeKapok fruit</v>
      </c>
      <c r="F1394" s="2994">
        <v>0</v>
      </c>
      <c r="G1394" s="2994">
        <v>0</v>
      </c>
      <c r="H1394" s="2994">
        <v>0</v>
      </c>
      <c r="I1394" s="2994">
        <v>0</v>
      </c>
      <c r="J1394" s="2994">
        <v>0</v>
      </c>
      <c r="K1394" s="2994">
        <v>0</v>
      </c>
      <c r="L1394" s="2994">
        <v>0</v>
      </c>
      <c r="M1394" s="2994">
        <v>0</v>
      </c>
      <c r="N1394" s="2994">
        <v>0</v>
      </c>
      <c r="O1394" s="2994">
        <v>0</v>
      </c>
      <c r="P1394" s="2994">
        <v>0</v>
      </c>
      <c r="Q1394" s="2994">
        <v>0</v>
      </c>
      <c r="R1394" s="2994">
        <v>0</v>
      </c>
      <c r="S1394" s="2994">
        <v>0</v>
      </c>
      <c r="T1394" s="2994">
        <v>0</v>
      </c>
      <c r="U1394" s="2994">
        <v>0</v>
      </c>
      <c r="V1394" s="2994">
        <v>0</v>
      </c>
      <c r="W1394" s="2994">
        <v>0</v>
      </c>
      <c r="X1394" s="2994">
        <v>0</v>
      </c>
      <c r="Y1394" s="2994">
        <v>0</v>
      </c>
      <c r="Z1394" s="2994">
        <v>0</v>
      </c>
      <c r="AA1394" s="2994">
        <v>0</v>
      </c>
      <c r="AB1394" s="2994">
        <v>0</v>
      </c>
      <c r="AC1394" s="2994">
        <v>0</v>
      </c>
      <c r="AD1394" s="2994">
        <v>0</v>
      </c>
      <c r="AE1394" s="2994">
        <v>0</v>
      </c>
      <c r="AF1394" s="2994">
        <v>0</v>
      </c>
      <c r="AG1394" s="2994">
        <v>0</v>
      </c>
      <c r="AH1394" s="2994">
        <v>0</v>
      </c>
      <c r="AI1394" s="2994">
        <v>0</v>
      </c>
      <c r="AJ1394" s="2994">
        <v>0</v>
      </c>
      <c r="AK1394" s="2994">
        <v>0</v>
      </c>
      <c r="AL1394" s="2994">
        <v>0</v>
      </c>
      <c r="AM1394" s="2994">
        <v>0</v>
      </c>
      <c r="AN1394" s="2994">
        <v>0</v>
      </c>
      <c r="AO1394" s="2994">
        <v>0</v>
      </c>
      <c r="AP1394" s="2994">
        <v>0</v>
      </c>
      <c r="AQ1394" s="2994">
        <v>0</v>
      </c>
      <c r="AR1394" s="2994">
        <v>0</v>
      </c>
      <c r="AS1394" s="2994">
        <v>0</v>
      </c>
      <c r="AT1394" s="2994">
        <v>0</v>
      </c>
      <c r="AU1394" s="2994">
        <v>0</v>
      </c>
      <c r="AV1394" s="2994">
        <v>0</v>
      </c>
      <c r="AW1394" s="2994">
        <v>0</v>
      </c>
      <c r="AX1394" s="2994">
        <v>0</v>
      </c>
      <c r="AY1394" s="2994">
        <v>0</v>
      </c>
      <c r="AZ1394" s="2994">
        <v>0</v>
      </c>
      <c r="BA1394" s="2994">
        <v>0</v>
      </c>
      <c r="BB1394" s="2994">
        <v>0</v>
      </c>
      <c r="BC1394" s="2994">
        <v>0</v>
      </c>
      <c r="BD1394" s="3471">
        <v>0</v>
      </c>
      <c r="BE1394" s="3471">
        <v>0</v>
      </c>
      <c r="BF1394" s="3471">
        <v>0</v>
      </c>
    </row>
    <row r="1395" spans="1:58">
      <c r="A1395" s="1817" t="str">
        <f t="shared" si="43"/>
        <v>Western EuropeKarite nuts (sheanuts)</v>
      </c>
      <c r="B1395" s="1818" t="s">
        <v>301</v>
      </c>
      <c r="C1395" s="1818" t="s">
        <v>7339</v>
      </c>
      <c r="D1395" s="3463" t="str">
        <f>VLOOKUP(B1395,List_Yield!$G$4:$J$14,4,FALSE)</f>
        <v>Western Europe</v>
      </c>
      <c r="E1395" s="3463" t="str">
        <f t="shared" si="44"/>
        <v>Western EuropeKarite nuts (sheanuts)</v>
      </c>
      <c r="F1395" s="2994">
        <v>0</v>
      </c>
      <c r="G1395" s="2994">
        <v>0</v>
      </c>
      <c r="H1395" s="2994">
        <v>0</v>
      </c>
      <c r="I1395" s="2994">
        <v>0</v>
      </c>
      <c r="J1395" s="2994">
        <v>0</v>
      </c>
      <c r="K1395" s="2994">
        <v>0</v>
      </c>
      <c r="L1395" s="2994">
        <v>0</v>
      </c>
      <c r="M1395" s="2994">
        <v>0</v>
      </c>
      <c r="N1395" s="2994">
        <v>0</v>
      </c>
      <c r="O1395" s="2994">
        <v>0</v>
      </c>
      <c r="P1395" s="2994">
        <v>0</v>
      </c>
      <c r="Q1395" s="2994">
        <v>0</v>
      </c>
      <c r="R1395" s="2994">
        <v>0</v>
      </c>
      <c r="S1395" s="2994">
        <v>0</v>
      </c>
      <c r="T1395" s="2994">
        <v>0</v>
      </c>
      <c r="U1395" s="2994">
        <v>0</v>
      </c>
      <c r="V1395" s="2994">
        <v>0</v>
      </c>
      <c r="W1395" s="2994">
        <v>0</v>
      </c>
      <c r="X1395" s="2994">
        <v>0</v>
      </c>
      <c r="Y1395" s="2994">
        <v>0</v>
      </c>
      <c r="Z1395" s="2994">
        <v>0</v>
      </c>
      <c r="AA1395" s="2994">
        <v>0</v>
      </c>
      <c r="AB1395" s="2994">
        <v>0</v>
      </c>
      <c r="AC1395" s="2994">
        <v>0</v>
      </c>
      <c r="AD1395" s="2994">
        <v>0</v>
      </c>
      <c r="AE1395" s="2994">
        <v>0</v>
      </c>
      <c r="AF1395" s="2994">
        <v>0</v>
      </c>
      <c r="AG1395" s="2994">
        <v>0</v>
      </c>
      <c r="AH1395" s="2994">
        <v>0</v>
      </c>
      <c r="AI1395" s="2994">
        <v>0</v>
      </c>
      <c r="AJ1395" s="2994">
        <v>0</v>
      </c>
      <c r="AK1395" s="2994">
        <v>0</v>
      </c>
      <c r="AL1395" s="2994">
        <v>0</v>
      </c>
      <c r="AM1395" s="2994">
        <v>0</v>
      </c>
      <c r="AN1395" s="2994">
        <v>0</v>
      </c>
      <c r="AO1395" s="2994">
        <v>0</v>
      </c>
      <c r="AP1395" s="2994">
        <v>0</v>
      </c>
      <c r="AQ1395" s="2994">
        <v>0</v>
      </c>
      <c r="AR1395" s="2994">
        <v>0</v>
      </c>
      <c r="AS1395" s="2994">
        <v>0</v>
      </c>
      <c r="AT1395" s="2994">
        <v>0</v>
      </c>
      <c r="AU1395" s="2994">
        <v>0</v>
      </c>
      <c r="AV1395" s="2994">
        <v>0</v>
      </c>
      <c r="AW1395" s="2994">
        <v>0</v>
      </c>
      <c r="AX1395" s="2994">
        <v>0</v>
      </c>
      <c r="AY1395" s="2994">
        <v>0</v>
      </c>
      <c r="AZ1395" s="2994">
        <v>0</v>
      </c>
      <c r="BA1395" s="2994">
        <v>0</v>
      </c>
      <c r="BB1395" s="2994">
        <v>0</v>
      </c>
      <c r="BC1395" s="2994">
        <v>0</v>
      </c>
      <c r="BD1395" s="3471">
        <v>0</v>
      </c>
      <c r="BE1395" s="3471">
        <v>0</v>
      </c>
      <c r="BF1395" s="3471">
        <v>0</v>
      </c>
    </row>
    <row r="1396" spans="1:58">
      <c r="A1396" s="1817" t="str">
        <f t="shared" si="43"/>
        <v>Western EuropeKiwi fruit</v>
      </c>
      <c r="B1396" s="1818" t="s">
        <v>301</v>
      </c>
      <c r="C1396" s="1818" t="s">
        <v>7340</v>
      </c>
      <c r="D1396" s="3463" t="str">
        <f>VLOOKUP(B1396,List_Yield!$G$4:$J$14,4,FALSE)</f>
        <v>Western Europe</v>
      </c>
      <c r="E1396" s="3463" t="str">
        <f t="shared" si="44"/>
        <v>Western EuropeKiwi fruit</v>
      </c>
      <c r="F1396" s="2994">
        <v>0</v>
      </c>
      <c r="G1396" s="2994">
        <v>0</v>
      </c>
      <c r="H1396" s="2994">
        <v>0</v>
      </c>
      <c r="I1396" s="2994">
        <v>0</v>
      </c>
      <c r="J1396" s="2994">
        <v>0</v>
      </c>
      <c r="K1396" s="2994">
        <v>0</v>
      </c>
      <c r="L1396" s="2994">
        <v>0</v>
      </c>
      <c r="M1396" s="2994">
        <v>0</v>
      </c>
      <c r="N1396" s="2994">
        <v>0</v>
      </c>
      <c r="O1396" s="2994">
        <v>0</v>
      </c>
      <c r="P1396" s="2994">
        <v>0</v>
      </c>
      <c r="Q1396" s="2994">
        <v>0</v>
      </c>
      <c r="R1396" s="2994">
        <v>0</v>
      </c>
      <c r="S1396" s="2994">
        <v>0</v>
      </c>
      <c r="T1396" s="2994">
        <v>0</v>
      </c>
      <c r="U1396" s="2994">
        <v>0</v>
      </c>
      <c r="V1396" s="2994">
        <v>1.52</v>
      </c>
      <c r="W1396" s="2994">
        <v>5.4790000000000001</v>
      </c>
      <c r="X1396" s="2994">
        <v>5</v>
      </c>
      <c r="Y1396" s="2994">
        <v>5.4286000000000003</v>
      </c>
      <c r="Z1396" s="2994">
        <v>5.3635999999999999</v>
      </c>
      <c r="AA1396" s="2994">
        <v>5.2667000000000002</v>
      </c>
      <c r="AB1396" s="2994">
        <v>5.1666999999999996</v>
      </c>
      <c r="AC1396" s="2994">
        <v>5.0999999999999996</v>
      </c>
      <c r="AD1396" s="2994">
        <v>9.7857000000000003</v>
      </c>
      <c r="AE1396" s="2994">
        <v>11.8947</v>
      </c>
      <c r="AF1396" s="2994">
        <v>13.083299999999999</v>
      </c>
      <c r="AG1396" s="2994">
        <v>13.7143</v>
      </c>
      <c r="AH1396" s="2994">
        <v>12.815799999999999</v>
      </c>
      <c r="AI1396" s="2994">
        <v>12.616300000000001</v>
      </c>
      <c r="AJ1396" s="2994">
        <v>12.8032</v>
      </c>
      <c r="AK1396" s="2994">
        <v>16.393599999999999</v>
      </c>
      <c r="AL1396" s="2994">
        <v>17.095800000000001</v>
      </c>
      <c r="AM1396" s="2994">
        <v>16.4664</v>
      </c>
      <c r="AN1396" s="2994">
        <v>16.781600000000001</v>
      </c>
      <c r="AO1396" s="2994">
        <v>16.6858</v>
      </c>
      <c r="AP1396" s="2994">
        <v>17.593299999999999</v>
      </c>
      <c r="AQ1396" s="2994">
        <v>20.069199999999999</v>
      </c>
      <c r="AR1396" s="2994">
        <v>19.009799999999998</v>
      </c>
      <c r="AS1396" s="2994">
        <v>19.618600000000001</v>
      </c>
      <c r="AT1396" s="2994">
        <v>18.546600000000002</v>
      </c>
      <c r="AU1396" s="2994">
        <v>18.292300000000001</v>
      </c>
      <c r="AV1396" s="2994">
        <v>16.797499999999999</v>
      </c>
      <c r="AW1396" s="2994">
        <v>17.782399999999999</v>
      </c>
      <c r="AX1396" s="2994">
        <v>17.4268</v>
      </c>
      <c r="AY1396" s="2994">
        <v>17.813199999999998</v>
      </c>
      <c r="AZ1396" s="2994">
        <v>16.911200000000001</v>
      </c>
      <c r="BA1396" s="2994">
        <v>15.7561</v>
      </c>
      <c r="BB1396" s="2994">
        <v>18.744</v>
      </c>
      <c r="BC1396" s="2994">
        <v>17.462199999999999</v>
      </c>
      <c r="BD1396" s="3471">
        <v>18.380700000000001</v>
      </c>
      <c r="BE1396" s="3471">
        <v>16.548200000000001</v>
      </c>
      <c r="BF1396" s="3471">
        <v>0</v>
      </c>
    </row>
    <row r="1397" spans="1:58">
      <c r="A1397" s="1817" t="str">
        <f t="shared" si="43"/>
        <v>Western EuropeKola nuts</v>
      </c>
      <c r="B1397" s="1818" t="s">
        <v>301</v>
      </c>
      <c r="C1397" s="1818" t="s">
        <v>7341</v>
      </c>
      <c r="D1397" s="3463" t="str">
        <f>VLOOKUP(B1397,List_Yield!$G$4:$J$14,4,FALSE)</f>
        <v>Western Europe</v>
      </c>
      <c r="E1397" s="3463" t="str">
        <f t="shared" si="44"/>
        <v>Western EuropeKola nuts</v>
      </c>
      <c r="F1397" s="2994">
        <v>0</v>
      </c>
      <c r="G1397" s="2994">
        <v>0</v>
      </c>
      <c r="H1397" s="2994">
        <v>0</v>
      </c>
      <c r="I1397" s="2994">
        <v>0</v>
      </c>
      <c r="J1397" s="2994">
        <v>0</v>
      </c>
      <c r="K1397" s="2994">
        <v>0</v>
      </c>
      <c r="L1397" s="2994">
        <v>0</v>
      </c>
      <c r="M1397" s="2994">
        <v>0</v>
      </c>
      <c r="N1397" s="2994">
        <v>0</v>
      </c>
      <c r="O1397" s="2994">
        <v>0</v>
      </c>
      <c r="P1397" s="2994">
        <v>0</v>
      </c>
      <c r="Q1397" s="2994">
        <v>0</v>
      </c>
      <c r="R1397" s="2994">
        <v>0</v>
      </c>
      <c r="S1397" s="2994">
        <v>0</v>
      </c>
      <c r="T1397" s="2994">
        <v>0</v>
      </c>
      <c r="U1397" s="2994">
        <v>0</v>
      </c>
      <c r="V1397" s="2994">
        <v>0</v>
      </c>
      <c r="W1397" s="2994">
        <v>0</v>
      </c>
      <c r="X1397" s="2994">
        <v>0</v>
      </c>
      <c r="Y1397" s="2994">
        <v>0</v>
      </c>
      <c r="Z1397" s="2994">
        <v>0</v>
      </c>
      <c r="AA1397" s="2994">
        <v>0</v>
      </c>
      <c r="AB1397" s="2994">
        <v>0</v>
      </c>
      <c r="AC1397" s="2994">
        <v>0</v>
      </c>
      <c r="AD1397" s="2994">
        <v>0</v>
      </c>
      <c r="AE1397" s="2994">
        <v>0</v>
      </c>
      <c r="AF1397" s="2994">
        <v>0</v>
      </c>
      <c r="AG1397" s="2994">
        <v>0</v>
      </c>
      <c r="AH1397" s="2994">
        <v>0</v>
      </c>
      <c r="AI1397" s="2994">
        <v>0</v>
      </c>
      <c r="AJ1397" s="2994">
        <v>0</v>
      </c>
      <c r="AK1397" s="2994">
        <v>0</v>
      </c>
      <c r="AL1397" s="2994">
        <v>0</v>
      </c>
      <c r="AM1397" s="2994">
        <v>0</v>
      </c>
      <c r="AN1397" s="2994">
        <v>0</v>
      </c>
      <c r="AO1397" s="2994">
        <v>0</v>
      </c>
      <c r="AP1397" s="2994">
        <v>0</v>
      </c>
      <c r="AQ1397" s="2994">
        <v>0</v>
      </c>
      <c r="AR1397" s="2994">
        <v>0</v>
      </c>
      <c r="AS1397" s="2994">
        <v>0</v>
      </c>
      <c r="AT1397" s="2994">
        <v>0</v>
      </c>
      <c r="AU1397" s="2994">
        <v>0</v>
      </c>
      <c r="AV1397" s="2994">
        <v>0</v>
      </c>
      <c r="AW1397" s="2994">
        <v>0</v>
      </c>
      <c r="AX1397" s="2994">
        <v>0</v>
      </c>
      <c r="AY1397" s="2994">
        <v>0</v>
      </c>
      <c r="AZ1397" s="2994">
        <v>0</v>
      </c>
      <c r="BA1397" s="2994">
        <v>0</v>
      </c>
      <c r="BB1397" s="2994">
        <v>0</v>
      </c>
      <c r="BC1397" s="2994">
        <v>0</v>
      </c>
      <c r="BD1397" s="3471">
        <v>0</v>
      </c>
      <c r="BE1397" s="3471">
        <v>0</v>
      </c>
      <c r="BF1397" s="3471">
        <v>0</v>
      </c>
    </row>
    <row r="1398" spans="1:58">
      <c r="A1398" s="1817" t="str">
        <f t="shared" si="43"/>
        <v>Western EuropeLeeks, other alliaceous vegetables</v>
      </c>
      <c r="B1398" s="1818" t="s">
        <v>301</v>
      </c>
      <c r="C1398" s="1818" t="s">
        <v>7342</v>
      </c>
      <c r="D1398" s="3463" t="str">
        <f>VLOOKUP(B1398,List_Yield!$G$4:$J$14,4,FALSE)</f>
        <v>Western Europe</v>
      </c>
      <c r="E1398" s="3463" t="str">
        <f t="shared" si="44"/>
        <v>Western EuropeLeeks, other alliaceous vegetables</v>
      </c>
      <c r="F1398" s="2994">
        <v>32.572699999999998</v>
      </c>
      <c r="G1398" s="2994">
        <v>30.055099999999999</v>
      </c>
      <c r="H1398" s="2994">
        <v>33.231400000000001</v>
      </c>
      <c r="I1398" s="2994">
        <v>30.0136</v>
      </c>
      <c r="J1398" s="2994">
        <v>30.810199999999998</v>
      </c>
      <c r="K1398" s="2994">
        <v>31.484000000000002</v>
      </c>
      <c r="L1398" s="2994">
        <v>31.341999999999999</v>
      </c>
      <c r="M1398" s="2994">
        <v>30.4221</v>
      </c>
      <c r="N1398" s="2994">
        <v>28.053899999999999</v>
      </c>
      <c r="O1398" s="2994">
        <v>30.808199999999999</v>
      </c>
      <c r="P1398" s="2994">
        <v>28.607099999999999</v>
      </c>
      <c r="Q1398" s="2994">
        <v>30.337499999999999</v>
      </c>
      <c r="R1398" s="2994">
        <v>31.003299999999999</v>
      </c>
      <c r="S1398" s="2994">
        <v>33.714199999999998</v>
      </c>
      <c r="T1398" s="2994">
        <v>31.1099</v>
      </c>
      <c r="U1398" s="2994">
        <v>25.3626</v>
      </c>
      <c r="V1398" s="2994">
        <v>30.9114</v>
      </c>
      <c r="W1398" s="2994">
        <v>29.189399999999999</v>
      </c>
      <c r="X1398" s="2994">
        <v>27.735299999999999</v>
      </c>
      <c r="Y1398" s="2994">
        <v>27.578099999999999</v>
      </c>
      <c r="Z1398" s="2994">
        <v>28.2943</v>
      </c>
      <c r="AA1398" s="2994">
        <v>29.578099999999999</v>
      </c>
      <c r="AB1398" s="2994">
        <v>28.897500000000001</v>
      </c>
      <c r="AC1398" s="2994">
        <v>28.426400000000001</v>
      </c>
      <c r="AD1398" s="2994">
        <v>30.335799999999999</v>
      </c>
      <c r="AE1398" s="2994">
        <v>30.371600000000001</v>
      </c>
      <c r="AF1398" s="2994">
        <v>29.325800000000001</v>
      </c>
      <c r="AG1398" s="2994">
        <v>29.508099999999999</v>
      </c>
      <c r="AH1398" s="2994">
        <v>33.776800000000001</v>
      </c>
      <c r="AI1398" s="2994">
        <v>32.614699999999999</v>
      </c>
      <c r="AJ1398" s="2994">
        <v>30.229099999999999</v>
      </c>
      <c r="AK1398" s="2994">
        <v>31.2529</v>
      </c>
      <c r="AL1398" s="2994">
        <v>35.060099999999998</v>
      </c>
      <c r="AM1398" s="2994">
        <v>35.320500000000003</v>
      </c>
      <c r="AN1398" s="2994">
        <v>36.240600000000001</v>
      </c>
      <c r="AO1398" s="2994">
        <v>31.6553</v>
      </c>
      <c r="AP1398" s="2994">
        <v>31.174700000000001</v>
      </c>
      <c r="AQ1398" s="2994">
        <v>31.8687</v>
      </c>
      <c r="AR1398" s="2994">
        <v>34.590000000000003</v>
      </c>
      <c r="AS1398" s="2994">
        <v>27.154800000000002</v>
      </c>
      <c r="AT1398" s="2994">
        <v>28.690999999999999</v>
      </c>
      <c r="AU1398" s="2994">
        <v>29.521799999999999</v>
      </c>
      <c r="AV1398" s="2994">
        <v>30.113700000000001</v>
      </c>
      <c r="AW1398" s="2994">
        <v>31.373799999999999</v>
      </c>
      <c r="AX1398" s="2994">
        <v>31.610399999999998</v>
      </c>
      <c r="AY1398" s="2994">
        <v>31.020499999999998</v>
      </c>
      <c r="AZ1398" s="2994">
        <v>32.646799999999999</v>
      </c>
      <c r="BA1398" s="2994">
        <v>31.595500000000001</v>
      </c>
      <c r="BB1398" s="2994">
        <v>32.066400000000002</v>
      </c>
      <c r="BC1398" s="2994">
        <v>34.024299999999997</v>
      </c>
      <c r="BD1398" s="3471">
        <v>32.4602</v>
      </c>
      <c r="BE1398" s="3471">
        <v>34.981299999999997</v>
      </c>
      <c r="BF1398" s="3471">
        <v>0</v>
      </c>
    </row>
    <row r="1399" spans="1:58">
      <c r="A1399" s="1817" t="str">
        <f t="shared" si="43"/>
        <v>Western EuropeLemons and limes</v>
      </c>
      <c r="B1399" s="1818" t="s">
        <v>301</v>
      </c>
      <c r="C1399" s="1818" t="s">
        <v>7343</v>
      </c>
      <c r="D1399" s="3463" t="str">
        <f>VLOOKUP(B1399,List_Yield!$G$4:$J$14,4,FALSE)</f>
        <v>Western Europe</v>
      </c>
      <c r="E1399" s="3463" t="str">
        <f t="shared" si="44"/>
        <v>Western EuropeLemons and limes</v>
      </c>
      <c r="F1399" s="2994">
        <v>8</v>
      </c>
      <c r="G1399" s="2994">
        <v>6.5</v>
      </c>
      <c r="H1399" s="2994">
        <v>8.5</v>
      </c>
      <c r="I1399" s="2994">
        <v>4.8</v>
      </c>
      <c r="J1399" s="2994">
        <v>3.871</v>
      </c>
      <c r="K1399" s="2994">
        <v>5.7142999999999997</v>
      </c>
      <c r="L1399" s="2994">
        <v>7.8182</v>
      </c>
      <c r="M1399" s="2994">
        <v>10.1724</v>
      </c>
      <c r="N1399" s="2994">
        <v>10</v>
      </c>
      <c r="O1399" s="2994">
        <v>11</v>
      </c>
      <c r="P1399" s="2994">
        <v>6.6</v>
      </c>
      <c r="Q1399" s="2994">
        <v>9.6153999999999993</v>
      </c>
      <c r="R1399" s="2994">
        <v>9.6153999999999993</v>
      </c>
      <c r="S1399" s="2994">
        <v>9.5769000000000002</v>
      </c>
      <c r="T1399" s="2994">
        <v>9.5769000000000002</v>
      </c>
      <c r="U1399" s="2994">
        <v>10.8269</v>
      </c>
      <c r="V1399" s="2994">
        <v>12.3462</v>
      </c>
      <c r="W1399" s="2994">
        <v>11.8269</v>
      </c>
      <c r="X1399" s="2994">
        <v>8.1</v>
      </c>
      <c r="Y1399" s="2994">
        <v>15.84</v>
      </c>
      <c r="Z1399" s="2994">
        <v>7.1315999999999997</v>
      </c>
      <c r="AA1399" s="2994">
        <v>6.4545000000000003</v>
      </c>
      <c r="AB1399" s="2994">
        <v>5.4545000000000003</v>
      </c>
      <c r="AC1399" s="2994">
        <v>9.8117999999999999</v>
      </c>
      <c r="AD1399" s="2994">
        <v>8.2790999999999997</v>
      </c>
      <c r="AE1399" s="2994">
        <v>9.4042999999999992</v>
      </c>
      <c r="AF1399" s="2994">
        <v>13.170199999999999</v>
      </c>
      <c r="AG1399" s="2994">
        <v>12.4762</v>
      </c>
      <c r="AH1399" s="2994">
        <v>10.666700000000001</v>
      </c>
      <c r="AI1399" s="2994">
        <v>9.2308000000000003</v>
      </c>
      <c r="AJ1399" s="2994">
        <v>8.5714000000000006</v>
      </c>
      <c r="AK1399" s="2994">
        <v>9.5714000000000006</v>
      </c>
      <c r="AL1399" s="2994">
        <v>13.6</v>
      </c>
      <c r="AM1399" s="2994">
        <v>15</v>
      </c>
      <c r="AN1399" s="2994">
        <v>14</v>
      </c>
      <c r="AO1399" s="2994">
        <v>15.25</v>
      </c>
      <c r="AP1399" s="2994">
        <v>15.375</v>
      </c>
      <c r="AQ1399" s="2994">
        <v>15.25</v>
      </c>
      <c r="AR1399" s="2994">
        <v>17</v>
      </c>
      <c r="AS1399" s="2994">
        <v>14.8889</v>
      </c>
      <c r="AT1399" s="2994">
        <v>16</v>
      </c>
      <c r="AU1399" s="2994">
        <v>15.1111</v>
      </c>
      <c r="AV1399" s="2994">
        <v>16.666699999999999</v>
      </c>
      <c r="AW1399" s="2994">
        <v>15.348800000000001</v>
      </c>
      <c r="AX1399" s="2994">
        <v>14.3</v>
      </c>
      <c r="AY1399" s="2994">
        <v>14.4</v>
      </c>
      <c r="AZ1399" s="2994">
        <v>11.666700000000001</v>
      </c>
      <c r="BA1399" s="2994">
        <v>13.6</v>
      </c>
      <c r="BB1399" s="2994">
        <v>13.6</v>
      </c>
      <c r="BC1399" s="2994">
        <v>13.763299999999999</v>
      </c>
      <c r="BD1399" s="3471">
        <v>13.1167</v>
      </c>
      <c r="BE1399" s="3471">
        <v>4.8743999999999996</v>
      </c>
      <c r="BF1399" s="3471">
        <v>0</v>
      </c>
    </row>
    <row r="1400" spans="1:58">
      <c r="A1400" s="1817" t="str">
        <f t="shared" si="43"/>
        <v>Western EuropeLentils</v>
      </c>
      <c r="B1400" s="1818" t="s">
        <v>301</v>
      </c>
      <c r="C1400" s="1818" t="s">
        <v>7344</v>
      </c>
      <c r="D1400" s="3463" t="str">
        <f>VLOOKUP(B1400,List_Yield!$G$4:$J$14,4,FALSE)</f>
        <v>Western Europe</v>
      </c>
      <c r="E1400" s="3463" t="str">
        <f t="shared" si="44"/>
        <v>Western EuropeLentils</v>
      </c>
      <c r="F1400" s="2994">
        <v>0.75829999999999997</v>
      </c>
      <c r="G1400" s="2994">
        <v>0.54859999999999998</v>
      </c>
      <c r="H1400" s="2994">
        <v>0.77880000000000005</v>
      </c>
      <c r="I1400" s="2994">
        <v>0.85919999999999996</v>
      </c>
      <c r="J1400" s="2994">
        <v>1.1254</v>
      </c>
      <c r="K1400" s="2994">
        <v>1.4144000000000001</v>
      </c>
      <c r="L1400" s="2994">
        <v>1.2383</v>
      </c>
      <c r="M1400" s="2994">
        <v>0.94450000000000001</v>
      </c>
      <c r="N1400" s="2994">
        <v>0.97640000000000005</v>
      </c>
      <c r="O1400" s="2994">
        <v>1.3766</v>
      </c>
      <c r="P1400" s="2994">
        <v>1.1737</v>
      </c>
      <c r="Q1400" s="2994">
        <v>1.127</v>
      </c>
      <c r="R1400" s="2994">
        <v>1.1226</v>
      </c>
      <c r="S1400" s="2994">
        <v>1.4496</v>
      </c>
      <c r="T1400" s="2994">
        <v>1.6203000000000001</v>
      </c>
      <c r="U1400" s="2994">
        <v>0.79249999999999998</v>
      </c>
      <c r="V1400" s="2994">
        <v>1.1380999999999999</v>
      </c>
      <c r="W1400" s="2994">
        <v>1.4019999999999999</v>
      </c>
      <c r="X1400" s="2994">
        <v>1.6999</v>
      </c>
      <c r="Y1400" s="2994">
        <v>1.7314000000000001</v>
      </c>
      <c r="Z1400" s="2994">
        <v>1.6617</v>
      </c>
      <c r="AA1400" s="2994">
        <v>1.5881000000000001</v>
      </c>
      <c r="AB1400" s="2994">
        <v>1.6044</v>
      </c>
      <c r="AC1400" s="2994">
        <v>2.0044</v>
      </c>
      <c r="AD1400" s="2994">
        <v>2.1059000000000001</v>
      </c>
      <c r="AE1400" s="2994">
        <v>1.3168</v>
      </c>
      <c r="AF1400" s="2994">
        <v>1.5612999999999999</v>
      </c>
      <c r="AG1400" s="2994">
        <v>1.5641</v>
      </c>
      <c r="AH1400" s="2994">
        <v>1.6023000000000001</v>
      </c>
      <c r="AI1400" s="2994">
        <v>1.9161999999999999</v>
      </c>
      <c r="AJ1400" s="2994">
        <v>1.7424999999999999</v>
      </c>
      <c r="AK1400" s="2994">
        <v>0.89780000000000004</v>
      </c>
      <c r="AL1400" s="2994">
        <v>1.6418999999999999</v>
      </c>
      <c r="AM1400" s="2994">
        <v>1.4026000000000001</v>
      </c>
      <c r="AN1400" s="2994">
        <v>1.7783</v>
      </c>
      <c r="AO1400" s="2994">
        <v>1.5732999999999999</v>
      </c>
      <c r="AP1400" s="2994">
        <v>1.2915000000000001</v>
      </c>
      <c r="AQ1400" s="2994">
        <v>1.1635</v>
      </c>
      <c r="AR1400" s="2994">
        <v>1.2865</v>
      </c>
      <c r="AS1400" s="2994">
        <v>1.7101999999999999</v>
      </c>
      <c r="AT1400" s="2994">
        <v>1.4132</v>
      </c>
      <c r="AU1400" s="2994">
        <v>1.5094000000000001</v>
      </c>
      <c r="AV1400" s="2994">
        <v>1.2142999999999999</v>
      </c>
      <c r="AW1400" s="2994">
        <v>0.96360000000000001</v>
      </c>
      <c r="AX1400" s="2994">
        <v>1.5795999999999999</v>
      </c>
      <c r="AY1400" s="2994">
        <v>1.2983</v>
      </c>
      <c r="AZ1400" s="2994">
        <v>1.2117</v>
      </c>
      <c r="BA1400" s="2994">
        <v>1.1529</v>
      </c>
      <c r="BB1400" s="2994">
        <v>1.4698</v>
      </c>
      <c r="BC1400" s="2994">
        <v>1.5042</v>
      </c>
      <c r="BD1400" s="3471">
        <v>1.681</v>
      </c>
      <c r="BE1400" s="3471">
        <v>1.6724000000000001</v>
      </c>
      <c r="BF1400" s="3471">
        <v>1.6133</v>
      </c>
    </row>
    <row r="1401" spans="1:58">
      <c r="A1401" s="1817" t="str">
        <f t="shared" si="43"/>
        <v>Western EuropeLettuce and chicory</v>
      </c>
      <c r="B1401" s="1818" t="s">
        <v>301</v>
      </c>
      <c r="C1401" s="1818" t="s">
        <v>7345</v>
      </c>
      <c r="D1401" s="3463" t="str">
        <f>VLOOKUP(B1401,List_Yield!$G$4:$J$14,4,FALSE)</f>
        <v>Western Europe</v>
      </c>
      <c r="E1401" s="3463" t="str">
        <f t="shared" si="44"/>
        <v>Western EuropeLettuce and chicory</v>
      </c>
      <c r="F1401" s="2994">
        <v>19.545000000000002</v>
      </c>
      <c r="G1401" s="2994">
        <v>19.1111</v>
      </c>
      <c r="H1401" s="2994">
        <v>19.859500000000001</v>
      </c>
      <c r="I1401" s="2994">
        <v>21.2621</v>
      </c>
      <c r="J1401" s="2994">
        <v>20.9237</v>
      </c>
      <c r="K1401" s="2994">
        <v>19.3935</v>
      </c>
      <c r="L1401" s="2994">
        <v>21.7377</v>
      </c>
      <c r="M1401" s="2994">
        <v>21.3338</v>
      </c>
      <c r="N1401" s="2994">
        <v>22.554400000000001</v>
      </c>
      <c r="O1401" s="2994">
        <v>23.8657</v>
      </c>
      <c r="P1401" s="2994">
        <v>24.436199999999999</v>
      </c>
      <c r="Q1401" s="2994">
        <v>22.498000000000001</v>
      </c>
      <c r="R1401" s="2994">
        <v>23.3245</v>
      </c>
      <c r="S1401" s="2994">
        <v>22.485900000000001</v>
      </c>
      <c r="T1401" s="2994">
        <v>22.052</v>
      </c>
      <c r="U1401" s="2994">
        <v>20.612400000000001</v>
      </c>
      <c r="V1401" s="2994">
        <v>21.583200000000001</v>
      </c>
      <c r="W1401" s="2994">
        <v>21.659400000000002</v>
      </c>
      <c r="X1401" s="2994">
        <v>22.819500000000001</v>
      </c>
      <c r="Y1401" s="2994">
        <v>24.8611</v>
      </c>
      <c r="Z1401" s="2994">
        <v>26.8628</v>
      </c>
      <c r="AA1401" s="2994">
        <v>27.8035</v>
      </c>
      <c r="AB1401" s="2994">
        <v>26.593699999999998</v>
      </c>
      <c r="AC1401" s="2994">
        <v>26.6114</v>
      </c>
      <c r="AD1401" s="2994">
        <v>29.268999999999998</v>
      </c>
      <c r="AE1401" s="2994">
        <v>30.988900000000001</v>
      </c>
      <c r="AF1401" s="2994">
        <v>29.1782</v>
      </c>
      <c r="AG1401" s="2994">
        <v>30.773800000000001</v>
      </c>
      <c r="AH1401" s="2994">
        <v>30.927</v>
      </c>
      <c r="AI1401" s="2994">
        <v>31.642499999999998</v>
      </c>
      <c r="AJ1401" s="2994">
        <v>30.559100000000001</v>
      </c>
      <c r="AK1401" s="2994">
        <v>29.407399999999999</v>
      </c>
      <c r="AL1401" s="2994">
        <v>29.126899999999999</v>
      </c>
      <c r="AM1401" s="2994">
        <v>29.6234</v>
      </c>
      <c r="AN1401" s="2994">
        <v>32.754100000000001</v>
      </c>
      <c r="AO1401" s="2994">
        <v>31.723700000000001</v>
      </c>
      <c r="AP1401" s="2994">
        <v>32.100099999999998</v>
      </c>
      <c r="AQ1401" s="2994">
        <v>29.850999999999999</v>
      </c>
      <c r="AR1401" s="2994">
        <v>30.0565</v>
      </c>
      <c r="AS1401" s="2994">
        <v>27.554099999999998</v>
      </c>
      <c r="AT1401" s="2994">
        <v>27.0932</v>
      </c>
      <c r="AU1401" s="2994">
        <v>26.763000000000002</v>
      </c>
      <c r="AV1401" s="2994">
        <v>24.657599999999999</v>
      </c>
      <c r="AW1401" s="2994">
        <v>25.8917</v>
      </c>
      <c r="AX1401" s="2994">
        <v>26.5808</v>
      </c>
      <c r="AY1401" s="2994">
        <v>25.843599999999999</v>
      </c>
      <c r="AZ1401" s="2994">
        <v>26.557500000000001</v>
      </c>
      <c r="BA1401" s="2994">
        <v>24.706099999999999</v>
      </c>
      <c r="BB1401" s="2994">
        <v>25.599</v>
      </c>
      <c r="BC1401" s="2994">
        <v>24.610600000000002</v>
      </c>
      <c r="BD1401" s="3471">
        <v>24.796600000000002</v>
      </c>
      <c r="BE1401" s="3471">
        <v>28.583300000000001</v>
      </c>
      <c r="BF1401" s="3471">
        <v>0</v>
      </c>
    </row>
    <row r="1402" spans="1:58">
      <c r="A1402" s="1817" t="str">
        <f t="shared" si="43"/>
        <v>Western EuropeLinseed</v>
      </c>
      <c r="B1402" s="1818" t="s">
        <v>301</v>
      </c>
      <c r="C1402" s="1818" t="s">
        <v>1355</v>
      </c>
      <c r="D1402" s="3463" t="str">
        <f>VLOOKUP(B1402,List_Yield!$G$4:$J$14,4,FALSE)</f>
        <v>Western Europe</v>
      </c>
      <c r="E1402" s="3463" t="str">
        <f t="shared" si="44"/>
        <v>Western EuropeLinseed</v>
      </c>
      <c r="F1402" s="2994">
        <v>0.72460000000000002</v>
      </c>
      <c r="G1402" s="2994">
        <v>0.75639999999999996</v>
      </c>
      <c r="H1402" s="2994">
        <v>0.67989999999999995</v>
      </c>
      <c r="I1402" s="2994">
        <v>0.71479999999999999</v>
      </c>
      <c r="J1402" s="2994">
        <v>0.58819999999999995</v>
      </c>
      <c r="K1402" s="2994">
        <v>0.65329999999999999</v>
      </c>
      <c r="L1402" s="2994">
        <v>0.64559999999999995</v>
      </c>
      <c r="M1402" s="2994">
        <v>0.6159</v>
      </c>
      <c r="N1402" s="2994">
        <v>0.71</v>
      </c>
      <c r="O1402" s="2994">
        <v>0.63390000000000002</v>
      </c>
      <c r="P1402" s="2994">
        <v>0.62360000000000004</v>
      </c>
      <c r="Q1402" s="2994">
        <v>0.62839999999999996</v>
      </c>
      <c r="R1402" s="2994">
        <v>0.66469999999999996</v>
      </c>
      <c r="S1402" s="2994">
        <v>0.70369999999999999</v>
      </c>
      <c r="T1402" s="2994">
        <v>0.83560000000000001</v>
      </c>
      <c r="U1402" s="2994">
        <v>0.61429999999999996</v>
      </c>
      <c r="V1402" s="2994">
        <v>0.78320000000000001</v>
      </c>
      <c r="W1402" s="2994">
        <v>0.72729999999999995</v>
      </c>
      <c r="X1402" s="2994">
        <v>0.74860000000000004</v>
      </c>
      <c r="Y1402" s="2994">
        <v>0.6754</v>
      </c>
      <c r="Z1402" s="2994">
        <v>0.57189999999999996</v>
      </c>
      <c r="AA1402" s="2994">
        <v>0.75019999999999998</v>
      </c>
      <c r="AB1402" s="2994">
        <v>0.64890000000000003</v>
      </c>
      <c r="AC1402" s="2994">
        <v>0.66200000000000003</v>
      </c>
      <c r="AD1402" s="2994">
        <v>0.74580000000000002</v>
      </c>
      <c r="AE1402" s="2994">
        <v>0.65720000000000001</v>
      </c>
      <c r="AF1402" s="2994">
        <v>0.71079999999999999</v>
      </c>
      <c r="AG1402" s="2994">
        <v>0.72689999999999999</v>
      </c>
      <c r="AH1402" s="2994">
        <v>0.60880000000000001</v>
      </c>
      <c r="AI1402" s="2994">
        <v>0.74829999999999997</v>
      </c>
      <c r="AJ1402" s="2994">
        <v>0.89839999999999998</v>
      </c>
      <c r="AK1402" s="2994">
        <v>0.76800000000000002</v>
      </c>
      <c r="AL1402" s="2994">
        <v>0.71030000000000004</v>
      </c>
      <c r="AM1402" s="2994">
        <v>0.79459999999999997</v>
      </c>
      <c r="AN1402" s="2994">
        <v>0.77559999999999996</v>
      </c>
      <c r="AO1402" s="2994">
        <v>0.82599999999999996</v>
      </c>
      <c r="AP1402" s="2994">
        <v>1.0549999999999999</v>
      </c>
      <c r="AQ1402" s="2994">
        <v>1.3926000000000001</v>
      </c>
      <c r="AR1402" s="2994">
        <v>0.79500000000000004</v>
      </c>
      <c r="AS1402" s="2994">
        <v>0.83860000000000001</v>
      </c>
      <c r="AT1402" s="2994">
        <v>0.76780000000000004</v>
      </c>
      <c r="AU1402" s="2994">
        <v>0.87309999999999999</v>
      </c>
      <c r="AV1402" s="2994">
        <v>0.87370000000000003</v>
      </c>
      <c r="AW1402" s="2994">
        <v>0.82079999999999997</v>
      </c>
      <c r="AX1402" s="2994">
        <v>0.86099999999999999</v>
      </c>
      <c r="AY1402" s="2994">
        <v>0.74880000000000002</v>
      </c>
      <c r="AZ1402" s="2994">
        <v>0.53410000000000002</v>
      </c>
      <c r="BA1402" s="2994">
        <v>0.34760000000000002</v>
      </c>
      <c r="BB1402" s="2994">
        <v>0.68740000000000001</v>
      </c>
      <c r="BC1402" s="2994">
        <v>0.6109</v>
      </c>
      <c r="BD1402" s="3471">
        <v>1.3123</v>
      </c>
      <c r="BE1402" s="3471">
        <v>1.3725000000000001</v>
      </c>
      <c r="BF1402" s="3471">
        <v>1.4311</v>
      </c>
    </row>
    <row r="1403" spans="1:58">
      <c r="A1403" s="1817" t="str">
        <f t="shared" si="43"/>
        <v>Western EuropeLupins</v>
      </c>
      <c r="B1403" s="1818" t="s">
        <v>301</v>
      </c>
      <c r="C1403" s="1818" t="s">
        <v>7346</v>
      </c>
      <c r="D1403" s="3463" t="str">
        <f>VLOOKUP(B1403,List_Yield!$G$4:$J$14,4,FALSE)</f>
        <v>Western Europe</v>
      </c>
      <c r="E1403" s="3463" t="str">
        <f t="shared" si="44"/>
        <v>Western EuropeLupins</v>
      </c>
      <c r="F1403" s="2994">
        <v>0.72070000000000001</v>
      </c>
      <c r="G1403" s="2994">
        <v>0.81979999999999997</v>
      </c>
      <c r="H1403" s="2994">
        <v>0.61680000000000001</v>
      </c>
      <c r="I1403" s="2994">
        <v>0.68479999999999996</v>
      </c>
      <c r="J1403" s="2994">
        <v>1.0188999999999999</v>
      </c>
      <c r="K1403" s="2994">
        <v>0.84419999999999995</v>
      </c>
      <c r="L1403" s="2994">
        <v>0.95689999999999997</v>
      </c>
      <c r="M1403" s="2994">
        <v>0.89880000000000004</v>
      </c>
      <c r="N1403" s="2994">
        <v>0.74199999999999999</v>
      </c>
      <c r="O1403" s="2994">
        <v>0.8518</v>
      </c>
      <c r="P1403" s="2994">
        <v>0.88619999999999999</v>
      </c>
      <c r="Q1403" s="2994">
        <v>0.70789999999999997</v>
      </c>
      <c r="R1403" s="2994">
        <v>0.64610000000000001</v>
      </c>
      <c r="S1403" s="2994">
        <v>0.96230000000000004</v>
      </c>
      <c r="T1403" s="2994">
        <v>0.82989999999999997</v>
      </c>
      <c r="U1403" s="2994">
        <v>0.63800000000000001</v>
      </c>
      <c r="V1403" s="2994">
        <v>0.88680000000000003</v>
      </c>
      <c r="W1403" s="2994">
        <v>0.9234</v>
      </c>
      <c r="X1403" s="2994">
        <v>1.0818000000000001</v>
      </c>
      <c r="Y1403" s="2994">
        <v>0.77869999999999995</v>
      </c>
      <c r="Z1403" s="2994">
        <v>0.90400000000000003</v>
      </c>
      <c r="AA1403" s="2994">
        <v>0.98929999999999996</v>
      </c>
      <c r="AB1403" s="2994">
        <v>0.85870000000000002</v>
      </c>
      <c r="AC1403" s="2994">
        <v>0.95860000000000001</v>
      </c>
      <c r="AD1403" s="2994">
        <v>1.012</v>
      </c>
      <c r="AE1403" s="2994">
        <v>0.97450000000000003</v>
      </c>
      <c r="AF1403" s="2994">
        <v>1.0423</v>
      </c>
      <c r="AG1403" s="2994">
        <v>1.1487000000000001</v>
      </c>
      <c r="AH1403" s="2994">
        <v>1.0477000000000001</v>
      </c>
      <c r="AI1403" s="2994">
        <v>0.95469999999999999</v>
      </c>
      <c r="AJ1403" s="2994">
        <v>2.1208999999999998</v>
      </c>
      <c r="AK1403" s="2994">
        <v>2.7519</v>
      </c>
      <c r="AL1403" s="2994">
        <v>2.8252000000000002</v>
      </c>
      <c r="AM1403" s="2994">
        <v>2.8953000000000002</v>
      </c>
      <c r="AN1403" s="2994">
        <v>2.9883000000000002</v>
      </c>
      <c r="AO1403" s="2994">
        <v>2.8788999999999998</v>
      </c>
      <c r="AP1403" s="2994">
        <v>3.0546000000000002</v>
      </c>
      <c r="AQ1403" s="2994">
        <v>3.1545999999999998</v>
      </c>
      <c r="AR1403" s="2994">
        <v>3.3925999999999998</v>
      </c>
      <c r="AS1403" s="2994">
        <v>3.0213999999999999</v>
      </c>
      <c r="AT1403" s="2994">
        <v>2.7471000000000001</v>
      </c>
      <c r="AU1403" s="2994">
        <v>2.6162000000000001</v>
      </c>
      <c r="AV1403" s="2994">
        <v>1.4856</v>
      </c>
      <c r="AW1403" s="2994">
        <v>1.5251999999999999</v>
      </c>
      <c r="AX1403" s="2994">
        <v>1.4888999999999999</v>
      </c>
      <c r="AY1403" s="2994">
        <v>1.5079</v>
      </c>
      <c r="AZ1403" s="2994">
        <v>1.4674</v>
      </c>
      <c r="BA1403" s="2994">
        <v>1.4272</v>
      </c>
      <c r="BB1403" s="2994">
        <v>1.4910000000000001</v>
      </c>
      <c r="BC1403" s="2994">
        <v>1.528</v>
      </c>
      <c r="BD1403" s="3471">
        <v>1.4064000000000001</v>
      </c>
      <c r="BE1403" s="3471">
        <v>1.8463000000000001</v>
      </c>
      <c r="BF1403" s="3471">
        <v>1.8948</v>
      </c>
    </row>
    <row r="1404" spans="1:58">
      <c r="A1404" s="1817" t="str">
        <f t="shared" si="43"/>
        <v>Western EuropeMaize</v>
      </c>
      <c r="B1404" s="1818" t="s">
        <v>301</v>
      </c>
      <c r="C1404" s="1818" t="s">
        <v>1356</v>
      </c>
      <c r="D1404" s="3463" t="str">
        <f>VLOOKUP(B1404,List_Yield!$G$4:$J$14,4,FALSE)</f>
        <v>Western Europe</v>
      </c>
      <c r="E1404" s="3463" t="str">
        <f t="shared" si="44"/>
        <v>Western EuropeMaize</v>
      </c>
      <c r="F1404" s="2994">
        <v>2.6027999999999998</v>
      </c>
      <c r="G1404" s="2994">
        <v>2.2555999999999998</v>
      </c>
      <c r="H1404" s="2994">
        <v>4.0457000000000001</v>
      </c>
      <c r="I1404" s="2994">
        <v>2.4834999999999998</v>
      </c>
      <c r="J1404" s="2994">
        <v>3.9557000000000002</v>
      </c>
      <c r="K1404" s="2994">
        <v>4.5148000000000001</v>
      </c>
      <c r="L1404" s="2994">
        <v>4.1791999999999998</v>
      </c>
      <c r="M1404" s="2994">
        <v>5.2554999999999996</v>
      </c>
      <c r="N1404" s="2994">
        <v>4.9359999999999999</v>
      </c>
      <c r="O1404" s="2994">
        <v>5.0835999999999997</v>
      </c>
      <c r="P1404" s="2994">
        <v>5.4233000000000002</v>
      </c>
      <c r="Q1404" s="2994">
        <v>4.431</v>
      </c>
      <c r="R1404" s="2994">
        <v>5.6811999999999996</v>
      </c>
      <c r="S1404" s="2994">
        <v>4.6672000000000002</v>
      </c>
      <c r="T1404" s="2994">
        <v>4.4398999999999997</v>
      </c>
      <c r="U1404" s="2994">
        <v>4.2723000000000004</v>
      </c>
      <c r="V1404" s="2994">
        <v>5.4307999999999996</v>
      </c>
      <c r="W1404" s="2994">
        <v>5.4070999999999998</v>
      </c>
      <c r="X1404" s="2994">
        <v>5.4564000000000004</v>
      </c>
      <c r="Y1404" s="2994">
        <v>5.4737</v>
      </c>
      <c r="Z1404" s="2994">
        <v>6.0312000000000001</v>
      </c>
      <c r="AA1404" s="2994">
        <v>6.5145</v>
      </c>
      <c r="AB1404" s="2994">
        <v>6.2775999999999996</v>
      </c>
      <c r="AC1404" s="2994">
        <v>6.1375000000000002</v>
      </c>
      <c r="AD1404" s="2994">
        <v>6.7472000000000003</v>
      </c>
      <c r="AE1404" s="2994">
        <v>6.4218000000000002</v>
      </c>
      <c r="AF1404" s="2994">
        <v>7.1641000000000004</v>
      </c>
      <c r="AG1404" s="2994">
        <v>7.4391999999999996</v>
      </c>
      <c r="AH1404" s="2994">
        <v>7.0240999999999998</v>
      </c>
      <c r="AI1404" s="2994">
        <v>6.3597999999999999</v>
      </c>
      <c r="AJ1404" s="2994">
        <v>7.3377999999999997</v>
      </c>
      <c r="AK1404" s="2994">
        <v>7.7750000000000004</v>
      </c>
      <c r="AL1404" s="2994">
        <v>8.1281999999999996</v>
      </c>
      <c r="AM1404" s="2994">
        <v>7.7065000000000001</v>
      </c>
      <c r="AN1404" s="2994">
        <v>7.7347000000000001</v>
      </c>
      <c r="AO1404" s="2994">
        <v>8.3150999999999993</v>
      </c>
      <c r="AP1404" s="2994">
        <v>9.0358000000000001</v>
      </c>
      <c r="AQ1404" s="2994">
        <v>8.5275999999999996</v>
      </c>
      <c r="AR1404" s="2994">
        <v>9.0052000000000003</v>
      </c>
      <c r="AS1404" s="2994">
        <v>9.2132000000000005</v>
      </c>
      <c r="AT1404" s="2994">
        <v>8.6980000000000004</v>
      </c>
      <c r="AU1404" s="2994">
        <v>9.1776</v>
      </c>
      <c r="AV1404" s="2994">
        <v>7.4593999999999996</v>
      </c>
      <c r="AW1404" s="2994">
        <v>9.2424999999999997</v>
      </c>
      <c r="AX1404" s="2994">
        <v>8.7476000000000003</v>
      </c>
      <c r="AY1404" s="2994">
        <v>8.6692999999999998</v>
      </c>
      <c r="AZ1404" s="2994">
        <v>9.7605000000000004</v>
      </c>
      <c r="BA1404" s="2994">
        <v>9.6356000000000002</v>
      </c>
      <c r="BB1404" s="2994">
        <v>9.4565000000000001</v>
      </c>
      <c r="BC1404" s="2994">
        <v>9.0975000000000001</v>
      </c>
      <c r="BD1404" s="3471">
        <v>10.298</v>
      </c>
      <c r="BE1404" s="3471">
        <v>9.4158000000000008</v>
      </c>
      <c r="BF1404" s="3471">
        <v>8.3724000000000007</v>
      </c>
    </row>
    <row r="1405" spans="1:58">
      <c r="A1405" s="1817" t="str">
        <f t="shared" si="43"/>
        <v>Western EuropeMaize, green</v>
      </c>
      <c r="B1405" s="1818" t="s">
        <v>301</v>
      </c>
      <c r="C1405" s="1818" t="s">
        <v>1357</v>
      </c>
      <c r="D1405" s="3463" t="str">
        <f>VLOOKUP(B1405,List_Yield!$G$4:$J$14,4,FALSE)</f>
        <v>Western Europe</v>
      </c>
      <c r="E1405" s="3463" t="str">
        <f t="shared" si="44"/>
        <v>Western EuropeMaize, green</v>
      </c>
      <c r="F1405" s="2994">
        <v>0</v>
      </c>
      <c r="G1405" s="2994">
        <v>0</v>
      </c>
      <c r="H1405" s="2994">
        <v>0</v>
      </c>
      <c r="I1405" s="2994">
        <v>0</v>
      </c>
      <c r="J1405" s="2994">
        <v>0</v>
      </c>
      <c r="K1405" s="2994">
        <v>0</v>
      </c>
      <c r="L1405" s="2994">
        <v>0</v>
      </c>
      <c r="M1405" s="2994">
        <v>0</v>
      </c>
      <c r="N1405" s="2994">
        <v>0</v>
      </c>
      <c r="O1405" s="2994">
        <v>0</v>
      </c>
      <c r="P1405" s="2994">
        <v>0</v>
      </c>
      <c r="Q1405" s="2994">
        <v>0</v>
      </c>
      <c r="R1405" s="2994">
        <v>0</v>
      </c>
      <c r="S1405" s="2994">
        <v>0</v>
      </c>
      <c r="T1405" s="2994">
        <v>0</v>
      </c>
      <c r="U1405" s="2994">
        <v>0</v>
      </c>
      <c r="V1405" s="2994">
        <v>0</v>
      </c>
      <c r="W1405" s="2994">
        <v>0</v>
      </c>
      <c r="X1405" s="2994">
        <v>0</v>
      </c>
      <c r="Y1405" s="2994">
        <v>0</v>
      </c>
      <c r="Z1405" s="2994">
        <v>0</v>
      </c>
      <c r="AA1405" s="2994">
        <v>0</v>
      </c>
      <c r="AB1405" s="2994">
        <v>0</v>
      </c>
      <c r="AC1405" s="2994">
        <v>0</v>
      </c>
      <c r="AD1405" s="2994">
        <v>0</v>
      </c>
      <c r="AE1405" s="2994">
        <v>0</v>
      </c>
      <c r="AF1405" s="2994">
        <v>0</v>
      </c>
      <c r="AG1405" s="2994">
        <v>17.333300000000001</v>
      </c>
      <c r="AH1405" s="2994">
        <v>16.875</v>
      </c>
      <c r="AI1405" s="2994">
        <v>17.058800000000002</v>
      </c>
      <c r="AJ1405" s="2994">
        <v>15.430300000000001</v>
      </c>
      <c r="AK1405" s="2994">
        <v>14.989800000000001</v>
      </c>
      <c r="AL1405" s="2994">
        <v>16.909400000000002</v>
      </c>
      <c r="AM1405" s="2994">
        <v>16.6419</v>
      </c>
      <c r="AN1405" s="2994">
        <v>18.238600000000002</v>
      </c>
      <c r="AO1405" s="2994">
        <v>19.1174</v>
      </c>
      <c r="AP1405" s="2994">
        <v>16.9923</v>
      </c>
      <c r="AQ1405" s="2994">
        <v>18.933499999999999</v>
      </c>
      <c r="AR1405" s="2994">
        <v>17.3874</v>
      </c>
      <c r="AS1405" s="2994">
        <v>18.381599999999999</v>
      </c>
      <c r="AT1405" s="2994">
        <v>17.8995</v>
      </c>
      <c r="AU1405" s="2994">
        <v>16.745699999999999</v>
      </c>
      <c r="AV1405" s="2994">
        <v>15.9589</v>
      </c>
      <c r="AW1405" s="2994">
        <v>18.219799999999999</v>
      </c>
      <c r="AX1405" s="2994">
        <v>18.8446</v>
      </c>
      <c r="AY1405" s="2994">
        <v>18.4194</v>
      </c>
      <c r="AZ1405" s="2994">
        <v>19.155999999999999</v>
      </c>
      <c r="BA1405" s="2994">
        <v>18.660599999999999</v>
      </c>
      <c r="BB1405" s="2994">
        <v>21.5365</v>
      </c>
      <c r="BC1405" s="2994">
        <v>20.691500000000001</v>
      </c>
      <c r="BD1405" s="3471">
        <v>19.282900000000001</v>
      </c>
      <c r="BE1405" s="3471">
        <v>13.0945</v>
      </c>
      <c r="BF1405" s="3471">
        <v>0</v>
      </c>
    </row>
    <row r="1406" spans="1:58">
      <c r="A1406" s="1817" t="str">
        <f t="shared" si="43"/>
        <v>Western EuropeMangoes, mangosteens, guavas</v>
      </c>
      <c r="B1406" s="1818" t="s">
        <v>301</v>
      </c>
      <c r="C1406" s="1818" t="s">
        <v>1358</v>
      </c>
      <c r="D1406" s="3463" t="str">
        <f>VLOOKUP(B1406,List_Yield!$G$4:$J$14,4,FALSE)</f>
        <v>Western Europe</v>
      </c>
      <c r="E1406" s="3463" t="str">
        <f t="shared" si="44"/>
        <v>Western EuropeMangoes, mangosteens, guavas</v>
      </c>
      <c r="F1406" s="2994">
        <v>0</v>
      </c>
      <c r="G1406" s="2994">
        <v>0</v>
      </c>
      <c r="H1406" s="2994">
        <v>0</v>
      </c>
      <c r="I1406" s="2994">
        <v>0</v>
      </c>
      <c r="J1406" s="2994">
        <v>0</v>
      </c>
      <c r="K1406" s="2994">
        <v>0</v>
      </c>
      <c r="L1406" s="2994">
        <v>0</v>
      </c>
      <c r="M1406" s="2994">
        <v>0</v>
      </c>
      <c r="N1406" s="2994">
        <v>0</v>
      </c>
      <c r="O1406" s="2994">
        <v>0</v>
      </c>
      <c r="P1406" s="2994">
        <v>0</v>
      </c>
      <c r="Q1406" s="2994">
        <v>0</v>
      </c>
      <c r="R1406" s="2994">
        <v>0</v>
      </c>
      <c r="S1406" s="2994">
        <v>0</v>
      </c>
      <c r="T1406" s="2994">
        <v>0</v>
      </c>
      <c r="U1406" s="2994">
        <v>0</v>
      </c>
      <c r="V1406" s="2994">
        <v>0</v>
      </c>
      <c r="W1406" s="2994">
        <v>0</v>
      </c>
      <c r="X1406" s="2994">
        <v>0</v>
      </c>
      <c r="Y1406" s="2994">
        <v>0</v>
      </c>
      <c r="Z1406" s="2994">
        <v>0</v>
      </c>
      <c r="AA1406" s="2994">
        <v>0</v>
      </c>
      <c r="AB1406" s="2994">
        <v>0</v>
      </c>
      <c r="AC1406" s="2994">
        <v>0</v>
      </c>
      <c r="AD1406" s="2994">
        <v>0</v>
      </c>
      <c r="AE1406" s="2994">
        <v>0</v>
      </c>
      <c r="AF1406" s="2994">
        <v>0</v>
      </c>
      <c r="AG1406" s="2994">
        <v>0</v>
      </c>
      <c r="AH1406" s="2994">
        <v>0</v>
      </c>
      <c r="AI1406" s="2994">
        <v>0</v>
      </c>
      <c r="AJ1406" s="2994">
        <v>0</v>
      </c>
      <c r="AK1406" s="2994">
        <v>0</v>
      </c>
      <c r="AL1406" s="2994">
        <v>0</v>
      </c>
      <c r="AM1406" s="2994">
        <v>0</v>
      </c>
      <c r="AN1406" s="2994">
        <v>0</v>
      </c>
      <c r="AO1406" s="2994">
        <v>0</v>
      </c>
      <c r="AP1406" s="2994">
        <v>0</v>
      </c>
      <c r="AQ1406" s="2994">
        <v>0</v>
      </c>
      <c r="AR1406" s="2994">
        <v>0</v>
      </c>
      <c r="AS1406" s="2994">
        <v>0</v>
      </c>
      <c r="AT1406" s="2994">
        <v>0</v>
      </c>
      <c r="AU1406" s="2994">
        <v>0</v>
      </c>
      <c r="AV1406" s="2994">
        <v>0</v>
      </c>
      <c r="AW1406" s="2994">
        <v>0</v>
      </c>
      <c r="AX1406" s="2994">
        <v>0</v>
      </c>
      <c r="AY1406" s="2994">
        <v>0</v>
      </c>
      <c r="AZ1406" s="2994">
        <v>0</v>
      </c>
      <c r="BA1406" s="2994">
        <v>0</v>
      </c>
      <c r="BB1406" s="2994">
        <v>0</v>
      </c>
      <c r="BC1406" s="2994">
        <v>0</v>
      </c>
      <c r="BD1406" s="3471">
        <v>0</v>
      </c>
      <c r="BE1406" s="3471">
        <v>0</v>
      </c>
      <c r="BF1406" s="3471">
        <v>0</v>
      </c>
    </row>
    <row r="1407" spans="1:58">
      <c r="A1407" s="1817" t="str">
        <f t="shared" si="43"/>
        <v>Western EuropeManila fibre (abaca)</v>
      </c>
      <c r="B1407" s="1818" t="s">
        <v>301</v>
      </c>
      <c r="C1407" s="1818" t="s">
        <v>7347</v>
      </c>
      <c r="D1407" s="3463" t="str">
        <f>VLOOKUP(B1407,List_Yield!$G$4:$J$14,4,FALSE)</f>
        <v>Western Europe</v>
      </c>
      <c r="E1407" s="3463" t="str">
        <f t="shared" si="44"/>
        <v>Western EuropeManila fibre (abaca)</v>
      </c>
      <c r="F1407" s="2994">
        <v>0</v>
      </c>
      <c r="G1407" s="2994">
        <v>0</v>
      </c>
      <c r="H1407" s="2994">
        <v>0</v>
      </c>
      <c r="I1407" s="2994">
        <v>0</v>
      </c>
      <c r="J1407" s="2994">
        <v>0</v>
      </c>
      <c r="K1407" s="2994">
        <v>0</v>
      </c>
      <c r="L1407" s="2994">
        <v>0</v>
      </c>
      <c r="M1407" s="2994">
        <v>0</v>
      </c>
      <c r="N1407" s="2994">
        <v>0</v>
      </c>
      <c r="O1407" s="2994">
        <v>0</v>
      </c>
      <c r="P1407" s="2994">
        <v>0</v>
      </c>
      <c r="Q1407" s="2994">
        <v>0</v>
      </c>
      <c r="R1407" s="2994">
        <v>0</v>
      </c>
      <c r="S1407" s="2994">
        <v>0</v>
      </c>
      <c r="T1407" s="2994">
        <v>0</v>
      </c>
      <c r="U1407" s="2994">
        <v>0</v>
      </c>
      <c r="V1407" s="2994">
        <v>0</v>
      </c>
      <c r="W1407" s="2994">
        <v>0</v>
      </c>
      <c r="X1407" s="2994">
        <v>0</v>
      </c>
      <c r="Y1407" s="2994">
        <v>0</v>
      </c>
      <c r="Z1407" s="2994">
        <v>0</v>
      </c>
      <c r="AA1407" s="2994">
        <v>0</v>
      </c>
      <c r="AB1407" s="2994">
        <v>0</v>
      </c>
      <c r="AC1407" s="2994">
        <v>0</v>
      </c>
      <c r="AD1407" s="2994">
        <v>0</v>
      </c>
      <c r="AE1407" s="2994">
        <v>0</v>
      </c>
      <c r="AF1407" s="2994">
        <v>0</v>
      </c>
      <c r="AG1407" s="2994">
        <v>0</v>
      </c>
      <c r="AH1407" s="2994">
        <v>0</v>
      </c>
      <c r="AI1407" s="2994">
        <v>0</v>
      </c>
      <c r="AJ1407" s="2994">
        <v>0</v>
      </c>
      <c r="AK1407" s="2994">
        <v>0</v>
      </c>
      <c r="AL1407" s="2994">
        <v>0</v>
      </c>
      <c r="AM1407" s="2994">
        <v>0</v>
      </c>
      <c r="AN1407" s="2994">
        <v>0</v>
      </c>
      <c r="AO1407" s="2994">
        <v>0</v>
      </c>
      <c r="AP1407" s="2994">
        <v>0</v>
      </c>
      <c r="AQ1407" s="2994">
        <v>0</v>
      </c>
      <c r="AR1407" s="2994">
        <v>0</v>
      </c>
      <c r="AS1407" s="2994">
        <v>0</v>
      </c>
      <c r="AT1407" s="2994">
        <v>0</v>
      </c>
      <c r="AU1407" s="2994">
        <v>0</v>
      </c>
      <c r="AV1407" s="2994">
        <v>0</v>
      </c>
      <c r="AW1407" s="2994">
        <v>0</v>
      </c>
      <c r="AX1407" s="2994">
        <v>0</v>
      </c>
      <c r="AY1407" s="2994">
        <v>0</v>
      </c>
      <c r="AZ1407" s="2994">
        <v>0</v>
      </c>
      <c r="BA1407" s="2994">
        <v>0</v>
      </c>
      <c r="BB1407" s="2994">
        <v>0</v>
      </c>
      <c r="BC1407" s="2994">
        <v>0</v>
      </c>
      <c r="BD1407" s="3471">
        <v>0</v>
      </c>
      <c r="BE1407" s="3471">
        <v>0</v>
      </c>
      <c r="BF1407" s="3471">
        <v>0</v>
      </c>
    </row>
    <row r="1408" spans="1:58">
      <c r="A1408" s="1817" t="str">
        <f t="shared" si="43"/>
        <v>Western EuropeMaté</v>
      </c>
      <c r="B1408" s="1818" t="s">
        <v>301</v>
      </c>
      <c r="C1408" s="1818" t="s">
        <v>2268</v>
      </c>
      <c r="D1408" s="3463" t="str">
        <f>VLOOKUP(B1408,List_Yield!$G$4:$J$14,4,FALSE)</f>
        <v>Western Europe</v>
      </c>
      <c r="E1408" s="3463" t="str">
        <f t="shared" si="44"/>
        <v>Western EuropeMaté</v>
      </c>
      <c r="F1408" s="2994">
        <v>0</v>
      </c>
      <c r="G1408" s="2994">
        <v>0</v>
      </c>
      <c r="H1408" s="2994">
        <v>0</v>
      </c>
      <c r="I1408" s="2994">
        <v>0</v>
      </c>
      <c r="J1408" s="2994">
        <v>0</v>
      </c>
      <c r="K1408" s="2994">
        <v>0</v>
      </c>
      <c r="L1408" s="2994">
        <v>0</v>
      </c>
      <c r="M1408" s="2994">
        <v>0</v>
      </c>
      <c r="N1408" s="2994">
        <v>0</v>
      </c>
      <c r="O1408" s="2994">
        <v>0</v>
      </c>
      <c r="P1408" s="2994">
        <v>0</v>
      </c>
      <c r="Q1408" s="2994">
        <v>0</v>
      </c>
      <c r="R1408" s="2994">
        <v>0</v>
      </c>
      <c r="S1408" s="2994">
        <v>0</v>
      </c>
      <c r="T1408" s="2994">
        <v>0</v>
      </c>
      <c r="U1408" s="2994">
        <v>0</v>
      </c>
      <c r="V1408" s="2994">
        <v>0</v>
      </c>
      <c r="W1408" s="2994">
        <v>0</v>
      </c>
      <c r="X1408" s="2994">
        <v>0</v>
      </c>
      <c r="Y1408" s="2994">
        <v>0</v>
      </c>
      <c r="Z1408" s="2994">
        <v>0</v>
      </c>
      <c r="AA1408" s="2994">
        <v>0</v>
      </c>
      <c r="AB1408" s="2994">
        <v>0</v>
      </c>
      <c r="AC1408" s="2994">
        <v>0</v>
      </c>
      <c r="AD1408" s="2994">
        <v>0</v>
      </c>
      <c r="AE1408" s="2994">
        <v>0</v>
      </c>
      <c r="AF1408" s="2994">
        <v>0</v>
      </c>
      <c r="AG1408" s="2994">
        <v>0</v>
      </c>
      <c r="AH1408" s="2994">
        <v>0</v>
      </c>
      <c r="AI1408" s="2994">
        <v>0</v>
      </c>
      <c r="AJ1408" s="2994">
        <v>0</v>
      </c>
      <c r="AK1408" s="2994">
        <v>0</v>
      </c>
      <c r="AL1408" s="2994">
        <v>0</v>
      </c>
      <c r="AM1408" s="2994">
        <v>0</v>
      </c>
      <c r="AN1408" s="2994">
        <v>0</v>
      </c>
      <c r="AO1408" s="2994">
        <v>0</v>
      </c>
      <c r="AP1408" s="2994">
        <v>0</v>
      </c>
      <c r="AQ1408" s="2994">
        <v>0</v>
      </c>
      <c r="AR1408" s="2994">
        <v>0</v>
      </c>
      <c r="AS1408" s="2994">
        <v>0</v>
      </c>
      <c r="AT1408" s="2994">
        <v>0</v>
      </c>
      <c r="AU1408" s="2994">
        <v>0</v>
      </c>
      <c r="AV1408" s="2994">
        <v>0</v>
      </c>
      <c r="AW1408" s="2994">
        <v>0</v>
      </c>
      <c r="AX1408" s="2994">
        <v>0</v>
      </c>
      <c r="AY1408" s="2994">
        <v>0</v>
      </c>
      <c r="AZ1408" s="2994">
        <v>0</v>
      </c>
      <c r="BA1408" s="2994">
        <v>0</v>
      </c>
      <c r="BB1408" s="2994">
        <v>0</v>
      </c>
      <c r="BC1408" s="2994">
        <v>0</v>
      </c>
      <c r="BD1408" s="3471">
        <v>0</v>
      </c>
      <c r="BE1408" s="3471">
        <v>0</v>
      </c>
      <c r="BF1408" s="3471">
        <v>0</v>
      </c>
    </row>
    <row r="1409" spans="1:58">
      <c r="A1409" s="1817" t="str">
        <f t="shared" si="43"/>
        <v>Western EuropeMelons, other (inc.cantaloupes)</v>
      </c>
      <c r="B1409" s="1818" t="s">
        <v>301</v>
      </c>
      <c r="C1409" s="1818" t="s">
        <v>7348</v>
      </c>
      <c r="D1409" s="3463" t="str">
        <f>VLOOKUP(B1409,List_Yield!$G$4:$J$14,4,FALSE)</f>
        <v>Western Europe</v>
      </c>
      <c r="E1409" s="3463" t="str">
        <f t="shared" si="44"/>
        <v>Western EuropeMelons, other (inc.cantaloupes)</v>
      </c>
      <c r="F1409" s="2994">
        <v>12.7721</v>
      </c>
      <c r="G1409" s="2994">
        <v>12.9572</v>
      </c>
      <c r="H1409" s="2994">
        <v>12.1134</v>
      </c>
      <c r="I1409" s="2994">
        <v>11.520300000000001</v>
      </c>
      <c r="J1409" s="2994">
        <v>10.4472</v>
      </c>
      <c r="K1409" s="2994">
        <v>10.408099999999999</v>
      </c>
      <c r="L1409" s="2994">
        <v>11.5532</v>
      </c>
      <c r="M1409" s="2994">
        <v>11.7239</v>
      </c>
      <c r="N1409" s="2994">
        <v>11.3513</v>
      </c>
      <c r="O1409" s="2994">
        <v>11.2193</v>
      </c>
      <c r="P1409" s="2994">
        <v>10.5555</v>
      </c>
      <c r="Q1409" s="2994">
        <v>12.055300000000001</v>
      </c>
      <c r="R1409" s="2994">
        <v>11.993499999999999</v>
      </c>
      <c r="S1409" s="2994">
        <v>11.201499999999999</v>
      </c>
      <c r="T1409" s="2994">
        <v>11.4291</v>
      </c>
      <c r="U1409" s="2994">
        <v>11.805</v>
      </c>
      <c r="V1409" s="2994">
        <v>11.277900000000001</v>
      </c>
      <c r="W1409" s="2994">
        <v>12.154</v>
      </c>
      <c r="X1409" s="2994">
        <v>13.383100000000001</v>
      </c>
      <c r="Y1409" s="2994">
        <v>12.390700000000001</v>
      </c>
      <c r="Z1409" s="2994">
        <v>14.2715</v>
      </c>
      <c r="AA1409" s="2994">
        <v>15.771699999999999</v>
      </c>
      <c r="AB1409" s="2994">
        <v>15.0548</v>
      </c>
      <c r="AC1409" s="2994">
        <v>15.457800000000001</v>
      </c>
      <c r="AD1409" s="2994">
        <v>16.537099999999999</v>
      </c>
      <c r="AE1409" s="2994">
        <v>16.099599999999999</v>
      </c>
      <c r="AF1409" s="2994">
        <v>16.799099999999999</v>
      </c>
      <c r="AG1409" s="2994">
        <v>16.626200000000001</v>
      </c>
      <c r="AH1409" s="2994">
        <v>17.4741</v>
      </c>
      <c r="AI1409" s="2994">
        <v>17.3812</v>
      </c>
      <c r="AJ1409" s="2994">
        <v>17.316600000000001</v>
      </c>
      <c r="AK1409" s="2994">
        <v>15.5275</v>
      </c>
      <c r="AL1409" s="2994">
        <v>16.5794</v>
      </c>
      <c r="AM1409" s="2994">
        <v>18.190300000000001</v>
      </c>
      <c r="AN1409" s="2994">
        <v>18.118099999999998</v>
      </c>
      <c r="AO1409" s="2994">
        <v>17.912500000000001</v>
      </c>
      <c r="AP1409" s="2994">
        <v>16.433199999999999</v>
      </c>
      <c r="AQ1409" s="2994">
        <v>18.574400000000001</v>
      </c>
      <c r="AR1409" s="2994">
        <v>18.453199999999999</v>
      </c>
      <c r="AS1409" s="2994">
        <v>17.969899999999999</v>
      </c>
      <c r="AT1409" s="2994">
        <v>18.617899999999999</v>
      </c>
      <c r="AU1409" s="2994">
        <v>18.433700000000002</v>
      </c>
      <c r="AV1409" s="2994">
        <v>19.286300000000001</v>
      </c>
      <c r="AW1409" s="2994">
        <v>19.439399999999999</v>
      </c>
      <c r="AX1409" s="2994">
        <v>20.0031</v>
      </c>
      <c r="AY1409" s="2994">
        <v>19.8141</v>
      </c>
      <c r="AZ1409" s="2994">
        <v>15.777200000000001</v>
      </c>
      <c r="BA1409" s="2994">
        <v>17.955300000000001</v>
      </c>
      <c r="BB1409" s="2994">
        <v>19.573699999999999</v>
      </c>
      <c r="BC1409" s="2994">
        <v>18.630299999999998</v>
      </c>
      <c r="BD1409" s="3471">
        <v>18.130600000000001</v>
      </c>
      <c r="BE1409" s="3471">
        <v>19.0886</v>
      </c>
      <c r="BF1409" s="3471">
        <v>0</v>
      </c>
    </row>
    <row r="1410" spans="1:58">
      <c r="A1410" s="1817" t="str">
        <f t="shared" ref="A1410:A1473" si="45">CONCATENATE(B1410,C1410)</f>
        <v>Western EuropeMelonseed</v>
      </c>
      <c r="B1410" s="1818" t="s">
        <v>301</v>
      </c>
      <c r="C1410" s="1818" t="s">
        <v>7349</v>
      </c>
      <c r="D1410" s="3463" t="str">
        <f>VLOOKUP(B1410,List_Yield!$G$4:$J$14,4,FALSE)</f>
        <v>Western Europe</v>
      </c>
      <c r="E1410" s="3463" t="str">
        <f t="shared" si="44"/>
        <v>Western EuropeMelonseed</v>
      </c>
      <c r="F1410" s="2994">
        <v>0</v>
      </c>
      <c r="G1410" s="2994">
        <v>0</v>
      </c>
      <c r="H1410" s="2994">
        <v>0</v>
      </c>
      <c r="I1410" s="2994">
        <v>0</v>
      </c>
      <c r="J1410" s="2994">
        <v>0</v>
      </c>
      <c r="K1410" s="2994">
        <v>0</v>
      </c>
      <c r="L1410" s="2994">
        <v>0</v>
      </c>
      <c r="M1410" s="2994">
        <v>0</v>
      </c>
      <c r="N1410" s="2994">
        <v>0</v>
      </c>
      <c r="O1410" s="2994">
        <v>0</v>
      </c>
      <c r="P1410" s="2994">
        <v>0</v>
      </c>
      <c r="Q1410" s="2994">
        <v>0</v>
      </c>
      <c r="R1410" s="2994">
        <v>0</v>
      </c>
      <c r="S1410" s="2994">
        <v>0</v>
      </c>
      <c r="T1410" s="2994">
        <v>0</v>
      </c>
      <c r="U1410" s="2994">
        <v>0</v>
      </c>
      <c r="V1410" s="2994">
        <v>0</v>
      </c>
      <c r="W1410" s="2994">
        <v>0</v>
      </c>
      <c r="X1410" s="2994">
        <v>0</v>
      </c>
      <c r="Y1410" s="2994">
        <v>0</v>
      </c>
      <c r="Z1410" s="2994">
        <v>0</v>
      </c>
      <c r="AA1410" s="2994">
        <v>0</v>
      </c>
      <c r="AB1410" s="2994">
        <v>0</v>
      </c>
      <c r="AC1410" s="2994">
        <v>0</v>
      </c>
      <c r="AD1410" s="2994">
        <v>0</v>
      </c>
      <c r="AE1410" s="2994">
        <v>0</v>
      </c>
      <c r="AF1410" s="2994">
        <v>0</v>
      </c>
      <c r="AG1410" s="2994">
        <v>0</v>
      </c>
      <c r="AH1410" s="2994">
        <v>0</v>
      </c>
      <c r="AI1410" s="2994">
        <v>0</v>
      </c>
      <c r="AJ1410" s="2994">
        <v>0</v>
      </c>
      <c r="AK1410" s="2994">
        <v>0</v>
      </c>
      <c r="AL1410" s="2994">
        <v>0</v>
      </c>
      <c r="AM1410" s="2994">
        <v>0</v>
      </c>
      <c r="AN1410" s="2994">
        <v>0</v>
      </c>
      <c r="AO1410" s="2994">
        <v>0</v>
      </c>
      <c r="AP1410" s="2994">
        <v>0</v>
      </c>
      <c r="AQ1410" s="2994">
        <v>0</v>
      </c>
      <c r="AR1410" s="2994">
        <v>0</v>
      </c>
      <c r="AS1410" s="2994">
        <v>0</v>
      </c>
      <c r="AT1410" s="2994">
        <v>0</v>
      </c>
      <c r="AU1410" s="2994">
        <v>0</v>
      </c>
      <c r="AV1410" s="2994">
        <v>0</v>
      </c>
      <c r="AW1410" s="2994">
        <v>0</v>
      </c>
      <c r="AX1410" s="2994">
        <v>0</v>
      </c>
      <c r="AY1410" s="2994">
        <v>0</v>
      </c>
      <c r="AZ1410" s="2994">
        <v>0</v>
      </c>
      <c r="BA1410" s="2994">
        <v>0</v>
      </c>
      <c r="BB1410" s="2994">
        <v>0</v>
      </c>
      <c r="BC1410" s="2994">
        <v>0</v>
      </c>
      <c r="BD1410" s="3471">
        <v>0</v>
      </c>
      <c r="BE1410" s="3471">
        <v>0</v>
      </c>
      <c r="BF1410" s="3471">
        <v>0</v>
      </c>
    </row>
    <row r="1411" spans="1:58">
      <c r="A1411" s="1817" t="str">
        <f t="shared" si="45"/>
        <v>Western EuropeMillet</v>
      </c>
      <c r="B1411" s="1818" t="s">
        <v>301</v>
      </c>
      <c r="C1411" s="1818" t="s">
        <v>1359</v>
      </c>
      <c r="D1411" s="3463" t="str">
        <f>VLOOKUP(B1411,List_Yield!$G$4:$J$14,4,FALSE)</f>
        <v>Western Europe</v>
      </c>
      <c r="E1411" s="3463" t="str">
        <f t="shared" si="44"/>
        <v>Western EuropeMillet</v>
      </c>
      <c r="F1411" s="2994">
        <v>1.3466</v>
      </c>
      <c r="G1411" s="2994">
        <v>1.1836</v>
      </c>
      <c r="H1411" s="2994">
        <v>1.3492</v>
      </c>
      <c r="I1411" s="2994">
        <v>1.2185999999999999</v>
      </c>
      <c r="J1411" s="2994">
        <v>1.2859</v>
      </c>
      <c r="K1411" s="2994">
        <v>1.81</v>
      </c>
      <c r="L1411" s="2994">
        <v>1.782</v>
      </c>
      <c r="M1411" s="2994">
        <v>2.1322000000000001</v>
      </c>
      <c r="N1411" s="2994">
        <v>2.13</v>
      </c>
      <c r="O1411" s="2994">
        <v>2.0421999999999998</v>
      </c>
      <c r="P1411" s="2994">
        <v>2.1732</v>
      </c>
      <c r="Q1411" s="2994">
        <v>2.3588</v>
      </c>
      <c r="R1411" s="2994">
        <v>2.5828000000000002</v>
      </c>
      <c r="S1411" s="2994">
        <v>2.4975999999999998</v>
      </c>
      <c r="T1411" s="2994">
        <v>1.7222</v>
      </c>
      <c r="U1411" s="2994">
        <v>1.1429</v>
      </c>
      <c r="V1411" s="2994">
        <v>2.1461999999999999</v>
      </c>
      <c r="W1411" s="2994">
        <v>2.3692000000000002</v>
      </c>
      <c r="X1411" s="2994">
        <v>2.4615</v>
      </c>
      <c r="Y1411" s="2994">
        <v>2.4519000000000002</v>
      </c>
      <c r="Z1411" s="2994">
        <v>2.2856999999999998</v>
      </c>
      <c r="AA1411" s="2994">
        <v>3.5714000000000001</v>
      </c>
      <c r="AB1411" s="2994">
        <v>3.5293999999999999</v>
      </c>
      <c r="AC1411" s="2994">
        <v>0</v>
      </c>
      <c r="AD1411" s="2994">
        <v>0</v>
      </c>
      <c r="AE1411" s="2994">
        <v>0</v>
      </c>
      <c r="AF1411" s="2994">
        <v>0</v>
      </c>
      <c r="AG1411" s="2994">
        <v>0</v>
      </c>
      <c r="AH1411" s="2994">
        <v>0</v>
      </c>
      <c r="AI1411" s="2994">
        <v>0</v>
      </c>
      <c r="AJ1411" s="2994">
        <v>0</v>
      </c>
      <c r="AK1411" s="2994">
        <v>0</v>
      </c>
      <c r="AL1411" s="2994">
        <v>0</v>
      </c>
      <c r="AM1411" s="2994">
        <v>0</v>
      </c>
      <c r="AN1411" s="2994">
        <v>0</v>
      </c>
      <c r="AO1411" s="2994">
        <v>1.3535999999999999</v>
      </c>
      <c r="AP1411" s="2994">
        <v>1.4841</v>
      </c>
      <c r="AQ1411" s="2994">
        <v>1.43</v>
      </c>
      <c r="AR1411" s="2994">
        <v>1.4907999999999999</v>
      </c>
      <c r="AS1411" s="2994">
        <v>2.2477999999999998</v>
      </c>
      <c r="AT1411" s="2994">
        <v>2.9474999999999998</v>
      </c>
      <c r="AU1411" s="2994">
        <v>2.9678</v>
      </c>
      <c r="AV1411" s="2994">
        <v>3.2360000000000002</v>
      </c>
      <c r="AW1411" s="2994">
        <v>3.05</v>
      </c>
      <c r="AX1411" s="2994">
        <v>3.1322999999999999</v>
      </c>
      <c r="AY1411" s="2994">
        <v>3.1358999999999999</v>
      </c>
      <c r="AZ1411" s="2994">
        <v>2.6562999999999999</v>
      </c>
      <c r="BA1411" s="2994">
        <v>2.9550000000000001</v>
      </c>
      <c r="BB1411" s="2994">
        <v>3.6291000000000002</v>
      </c>
      <c r="BC1411" s="2994">
        <v>2.9742000000000002</v>
      </c>
      <c r="BD1411" s="3471">
        <v>3.2976000000000001</v>
      </c>
      <c r="BE1411" s="3471">
        <v>3.3906999999999998</v>
      </c>
      <c r="BF1411" s="3471">
        <v>3.3904000000000001</v>
      </c>
    </row>
    <row r="1412" spans="1:58">
      <c r="A1412" s="1817" t="str">
        <f t="shared" si="45"/>
        <v>Western EuropeMushrooms and truffles</v>
      </c>
      <c r="B1412" s="1818" t="s">
        <v>301</v>
      </c>
      <c r="C1412" s="1818" t="s">
        <v>7350</v>
      </c>
      <c r="D1412" s="3463" t="str">
        <f>VLOOKUP(B1412,List_Yield!$G$4:$J$14,4,FALSE)</f>
        <v>Western Europe</v>
      </c>
      <c r="E1412" s="3463" t="str">
        <f t="shared" si="44"/>
        <v>Western EuropeMushrooms and truffles</v>
      </c>
      <c r="F1412" s="2994">
        <v>0</v>
      </c>
      <c r="G1412" s="2994">
        <v>0</v>
      </c>
      <c r="H1412" s="2994">
        <v>0</v>
      </c>
      <c r="I1412" s="2994">
        <v>0</v>
      </c>
      <c r="J1412" s="2994">
        <v>0</v>
      </c>
      <c r="K1412" s="2994">
        <v>0</v>
      </c>
      <c r="L1412" s="2994">
        <v>0</v>
      </c>
      <c r="M1412" s="2994">
        <v>0</v>
      </c>
      <c r="N1412" s="2994">
        <v>0</v>
      </c>
      <c r="O1412" s="2994">
        <v>0</v>
      </c>
      <c r="P1412" s="2994">
        <v>0</v>
      </c>
      <c r="Q1412" s="2994">
        <v>0</v>
      </c>
      <c r="R1412" s="2994">
        <v>0</v>
      </c>
      <c r="S1412" s="2994">
        <v>0</v>
      </c>
      <c r="T1412" s="2994">
        <v>0</v>
      </c>
      <c r="U1412" s="2994">
        <v>0</v>
      </c>
      <c r="V1412" s="2994">
        <v>0</v>
      </c>
      <c r="W1412" s="2994">
        <v>0</v>
      </c>
      <c r="X1412" s="2994">
        <v>0</v>
      </c>
      <c r="Y1412" s="2994">
        <v>0</v>
      </c>
      <c r="Z1412" s="2994">
        <v>0</v>
      </c>
      <c r="AA1412" s="2994">
        <v>0</v>
      </c>
      <c r="AB1412" s="2994">
        <v>0</v>
      </c>
      <c r="AC1412" s="2994">
        <v>0</v>
      </c>
      <c r="AD1412" s="2994">
        <v>0</v>
      </c>
      <c r="AE1412" s="2994">
        <v>0</v>
      </c>
      <c r="AF1412" s="2994">
        <v>0</v>
      </c>
      <c r="AG1412" s="2994">
        <v>0</v>
      </c>
      <c r="AH1412" s="2994">
        <v>4005.82</v>
      </c>
      <c r="AI1412" s="2994">
        <v>4212.29</v>
      </c>
      <c r="AJ1412" s="2994">
        <v>4491.66</v>
      </c>
      <c r="AK1412" s="2994">
        <v>4770.58</v>
      </c>
      <c r="AL1412" s="2994">
        <v>4644.3500000000004</v>
      </c>
      <c r="AM1412" s="2994">
        <v>4819.8599999999997</v>
      </c>
      <c r="AN1412" s="2994">
        <v>4877.3500000000004</v>
      </c>
      <c r="AO1412" s="2994">
        <v>5244.71</v>
      </c>
      <c r="AP1412" s="2994">
        <v>5134.7700000000004</v>
      </c>
      <c r="AQ1412" s="2994">
        <v>5117.7299999999996</v>
      </c>
      <c r="AR1412" s="2994">
        <v>5142.8900000000003</v>
      </c>
      <c r="AS1412" s="2994">
        <v>5845.77</v>
      </c>
      <c r="AT1412" s="2994">
        <v>5820.69</v>
      </c>
      <c r="AU1412" s="2994">
        <v>5577.03</v>
      </c>
      <c r="AV1412" s="2994">
        <v>5292.62</v>
      </c>
      <c r="AW1412" s="2994">
        <v>6215.9764999999998</v>
      </c>
      <c r="AX1412" s="2994">
        <v>6279.1428999999998</v>
      </c>
      <c r="AY1412" s="2994">
        <v>4553.4951000000001</v>
      </c>
      <c r="AZ1412" s="2994">
        <v>5041.1485000000002</v>
      </c>
      <c r="BA1412" s="2994">
        <v>3864.7613999999999</v>
      </c>
      <c r="BB1412" s="2994">
        <v>5885.8788999999997</v>
      </c>
      <c r="BC1412" s="2994">
        <v>6806.0821999999998</v>
      </c>
      <c r="BD1412" s="3471">
        <v>7843.4412000000002</v>
      </c>
      <c r="BE1412" s="3471">
        <v>8000.9544999999998</v>
      </c>
      <c r="BF1412" s="3471">
        <v>0</v>
      </c>
    </row>
    <row r="1413" spans="1:58">
      <c r="A1413" s="1817" t="str">
        <f t="shared" si="45"/>
        <v>Western EuropeMustard seed</v>
      </c>
      <c r="B1413" s="1818" t="s">
        <v>301</v>
      </c>
      <c r="C1413" s="1818" t="s">
        <v>7351</v>
      </c>
      <c r="D1413" s="3463" t="str">
        <f>VLOOKUP(B1413,List_Yield!$G$4:$J$14,4,FALSE)</f>
        <v>Western Europe</v>
      </c>
      <c r="E1413" s="3463" t="str">
        <f t="shared" si="44"/>
        <v>Western EuropeMustard seed</v>
      </c>
      <c r="F1413" s="2994">
        <v>0.80489999999999995</v>
      </c>
      <c r="G1413" s="2994">
        <v>0.84750000000000003</v>
      </c>
      <c r="H1413" s="2994">
        <v>0.81299999999999994</v>
      </c>
      <c r="I1413" s="2994">
        <v>0.74519999999999997</v>
      </c>
      <c r="J1413" s="2994">
        <v>0.85370000000000001</v>
      </c>
      <c r="K1413" s="2994">
        <v>0.87239999999999995</v>
      </c>
      <c r="L1413" s="2994">
        <v>0.89700000000000002</v>
      </c>
      <c r="M1413" s="2994">
        <v>0.96340000000000003</v>
      </c>
      <c r="N1413" s="2994">
        <v>0.93240000000000001</v>
      </c>
      <c r="O1413" s="2994">
        <v>0.99860000000000004</v>
      </c>
      <c r="P1413" s="2994">
        <v>1.1005</v>
      </c>
      <c r="Q1413" s="2994">
        <v>1.1726000000000001</v>
      </c>
      <c r="R1413" s="2994">
        <v>1.2238</v>
      </c>
      <c r="S1413" s="2994">
        <v>1.4639</v>
      </c>
      <c r="T1413" s="2994">
        <v>1.1558999999999999</v>
      </c>
      <c r="U1413" s="2994">
        <v>0.92100000000000004</v>
      </c>
      <c r="V1413" s="2994">
        <v>1.1620999999999999</v>
      </c>
      <c r="W1413" s="2994">
        <v>1.5980000000000001</v>
      </c>
      <c r="X1413" s="2994">
        <v>1.5530999999999999</v>
      </c>
      <c r="Y1413" s="2994">
        <v>1.3673</v>
      </c>
      <c r="Z1413" s="2994">
        <v>1.3629</v>
      </c>
      <c r="AA1413" s="2994">
        <v>1.6144000000000001</v>
      </c>
      <c r="AB1413" s="2994">
        <v>1.1472</v>
      </c>
      <c r="AC1413" s="2994">
        <v>1.242</v>
      </c>
      <c r="AD1413" s="2994">
        <v>1.6103000000000001</v>
      </c>
      <c r="AE1413" s="2994">
        <v>1.4020999999999999</v>
      </c>
      <c r="AF1413" s="2994">
        <v>1.3022</v>
      </c>
      <c r="AG1413" s="2994">
        <v>1.4291</v>
      </c>
      <c r="AH1413" s="2994">
        <v>1.5087999999999999</v>
      </c>
      <c r="AI1413" s="2994">
        <v>1.3939999999999999</v>
      </c>
      <c r="AJ1413" s="2994">
        <v>1.41</v>
      </c>
      <c r="AK1413" s="2994">
        <v>1.3816999999999999</v>
      </c>
      <c r="AL1413" s="2994">
        <v>1.3584000000000001</v>
      </c>
      <c r="AM1413" s="2994">
        <v>1.3875</v>
      </c>
      <c r="AN1413" s="2994">
        <v>1.3938999999999999</v>
      </c>
      <c r="AO1413" s="2994">
        <v>1.4060999999999999</v>
      </c>
      <c r="AP1413" s="2994">
        <v>1.4040999999999999</v>
      </c>
      <c r="AQ1413" s="2994">
        <v>1.3856999999999999</v>
      </c>
      <c r="AR1413" s="2994">
        <v>1.3905000000000001</v>
      </c>
      <c r="AS1413" s="2994">
        <v>1.3964000000000001</v>
      </c>
      <c r="AT1413" s="2994">
        <v>1.3726</v>
      </c>
      <c r="AU1413" s="2994">
        <v>1.4402999999999999</v>
      </c>
      <c r="AV1413" s="2994">
        <v>1.3614999999999999</v>
      </c>
      <c r="AW1413" s="2994">
        <v>1.5141</v>
      </c>
      <c r="AX1413" s="2994">
        <v>1.4410000000000001</v>
      </c>
      <c r="AY1413" s="2994">
        <v>1.4072</v>
      </c>
      <c r="AZ1413" s="2994">
        <v>1.4804999999999999</v>
      </c>
      <c r="BA1413" s="2994">
        <v>1.5443</v>
      </c>
      <c r="BB1413" s="2994">
        <v>1.6498999999999999</v>
      </c>
      <c r="BC1413" s="2994">
        <v>1.6012999999999999</v>
      </c>
      <c r="BD1413" s="3471">
        <v>1.9340999999999999</v>
      </c>
      <c r="BE1413" s="3471">
        <v>1.875</v>
      </c>
      <c r="BF1413" s="3471">
        <v>1.9140999999999999</v>
      </c>
    </row>
    <row r="1414" spans="1:58">
      <c r="A1414" s="1817" t="str">
        <f t="shared" si="45"/>
        <v>Western EuropeNutmeg, mace and cardamoms</v>
      </c>
      <c r="B1414" s="1818" t="s">
        <v>301</v>
      </c>
      <c r="C1414" s="1818" t="s">
        <v>7352</v>
      </c>
      <c r="D1414" s="3463" t="str">
        <f>VLOOKUP(B1414,List_Yield!$G$4:$J$14,4,FALSE)</f>
        <v>Western Europe</v>
      </c>
      <c r="E1414" s="3463" t="str">
        <f t="shared" si="44"/>
        <v>Western EuropeNutmeg, mace and cardamoms</v>
      </c>
      <c r="F1414" s="2994">
        <v>0</v>
      </c>
      <c r="G1414" s="2994">
        <v>0</v>
      </c>
      <c r="H1414" s="2994">
        <v>0</v>
      </c>
      <c r="I1414" s="2994">
        <v>0</v>
      </c>
      <c r="J1414" s="2994">
        <v>0</v>
      </c>
      <c r="K1414" s="2994">
        <v>0</v>
      </c>
      <c r="L1414" s="2994">
        <v>0</v>
      </c>
      <c r="M1414" s="2994">
        <v>0</v>
      </c>
      <c r="N1414" s="2994">
        <v>0</v>
      </c>
      <c r="O1414" s="2994">
        <v>0</v>
      </c>
      <c r="P1414" s="2994">
        <v>0</v>
      </c>
      <c r="Q1414" s="2994">
        <v>0</v>
      </c>
      <c r="R1414" s="2994">
        <v>0</v>
      </c>
      <c r="S1414" s="2994">
        <v>0</v>
      </c>
      <c r="T1414" s="2994">
        <v>0</v>
      </c>
      <c r="U1414" s="2994">
        <v>0</v>
      </c>
      <c r="V1414" s="2994">
        <v>0</v>
      </c>
      <c r="W1414" s="2994">
        <v>0</v>
      </c>
      <c r="X1414" s="2994">
        <v>0</v>
      </c>
      <c r="Y1414" s="2994">
        <v>0</v>
      </c>
      <c r="Z1414" s="2994">
        <v>0</v>
      </c>
      <c r="AA1414" s="2994">
        <v>0</v>
      </c>
      <c r="AB1414" s="2994">
        <v>0</v>
      </c>
      <c r="AC1414" s="2994">
        <v>0</v>
      </c>
      <c r="AD1414" s="2994">
        <v>0</v>
      </c>
      <c r="AE1414" s="2994">
        <v>0</v>
      </c>
      <c r="AF1414" s="2994">
        <v>0</v>
      </c>
      <c r="AG1414" s="2994">
        <v>0</v>
      </c>
      <c r="AH1414" s="2994">
        <v>0</v>
      </c>
      <c r="AI1414" s="2994">
        <v>0</v>
      </c>
      <c r="AJ1414" s="2994">
        <v>0</v>
      </c>
      <c r="AK1414" s="2994">
        <v>0</v>
      </c>
      <c r="AL1414" s="2994">
        <v>0</v>
      </c>
      <c r="AM1414" s="2994">
        <v>0</v>
      </c>
      <c r="AN1414" s="2994">
        <v>0</v>
      </c>
      <c r="AO1414" s="2994">
        <v>0</v>
      </c>
      <c r="AP1414" s="2994">
        <v>0</v>
      </c>
      <c r="AQ1414" s="2994">
        <v>0</v>
      </c>
      <c r="AR1414" s="2994">
        <v>0</v>
      </c>
      <c r="AS1414" s="2994">
        <v>0</v>
      </c>
      <c r="AT1414" s="2994">
        <v>0</v>
      </c>
      <c r="AU1414" s="2994">
        <v>0</v>
      </c>
      <c r="AV1414" s="2994">
        <v>0</v>
      </c>
      <c r="AW1414" s="2994">
        <v>0</v>
      </c>
      <c r="AX1414" s="2994">
        <v>0</v>
      </c>
      <c r="AY1414" s="2994">
        <v>0</v>
      </c>
      <c r="AZ1414" s="2994">
        <v>0</v>
      </c>
      <c r="BA1414" s="2994">
        <v>0</v>
      </c>
      <c r="BB1414" s="2994">
        <v>0</v>
      </c>
      <c r="BC1414" s="2994">
        <v>0</v>
      </c>
      <c r="BD1414" s="3471">
        <v>0</v>
      </c>
      <c r="BE1414" s="3471">
        <v>0</v>
      </c>
      <c r="BF1414" s="3471">
        <v>0</v>
      </c>
    </row>
    <row r="1415" spans="1:58">
      <c r="A1415" s="1817" t="str">
        <f t="shared" si="45"/>
        <v>Western EuropeNuts, nes</v>
      </c>
      <c r="B1415" s="1818" t="s">
        <v>301</v>
      </c>
      <c r="C1415" s="1818" t="s">
        <v>7353</v>
      </c>
      <c r="D1415" s="3463" t="str">
        <f>VLOOKUP(B1415,List_Yield!$G$4:$J$14,4,FALSE)</f>
        <v>Western Europe</v>
      </c>
      <c r="E1415" s="3463" t="str">
        <f t="shared" si="44"/>
        <v>Western EuropeNuts, nes</v>
      </c>
      <c r="F1415" s="2994">
        <v>0</v>
      </c>
      <c r="G1415" s="2994">
        <v>0</v>
      </c>
      <c r="H1415" s="2994">
        <v>0</v>
      </c>
      <c r="I1415" s="2994">
        <v>0</v>
      </c>
      <c r="J1415" s="2994">
        <v>0</v>
      </c>
      <c r="K1415" s="2994">
        <v>0</v>
      </c>
      <c r="L1415" s="2994">
        <v>0</v>
      </c>
      <c r="M1415" s="2994">
        <v>0</v>
      </c>
      <c r="N1415" s="2994">
        <v>0</v>
      </c>
      <c r="O1415" s="2994">
        <v>0</v>
      </c>
      <c r="P1415" s="2994">
        <v>0</v>
      </c>
      <c r="Q1415" s="2994">
        <v>0</v>
      </c>
      <c r="R1415" s="2994">
        <v>0</v>
      </c>
      <c r="S1415" s="2994">
        <v>0</v>
      </c>
      <c r="T1415" s="2994">
        <v>0</v>
      </c>
      <c r="U1415" s="2994">
        <v>0</v>
      </c>
      <c r="V1415" s="2994">
        <v>0</v>
      </c>
      <c r="W1415" s="2994">
        <v>0</v>
      </c>
      <c r="X1415" s="2994">
        <v>0</v>
      </c>
      <c r="Y1415" s="2994">
        <v>0</v>
      </c>
      <c r="Z1415" s="2994">
        <v>0</v>
      </c>
      <c r="AA1415" s="2994">
        <v>0</v>
      </c>
      <c r="AB1415" s="2994">
        <v>0</v>
      </c>
      <c r="AC1415" s="2994">
        <v>0</v>
      </c>
      <c r="AD1415" s="2994">
        <v>0</v>
      </c>
      <c r="AE1415" s="2994">
        <v>0</v>
      </c>
      <c r="AF1415" s="2994">
        <v>0</v>
      </c>
      <c r="AG1415" s="2994">
        <v>0</v>
      </c>
      <c r="AH1415" s="2994">
        <v>0</v>
      </c>
      <c r="AI1415" s="2994">
        <v>0</v>
      </c>
      <c r="AJ1415" s="2994">
        <v>0</v>
      </c>
      <c r="AK1415" s="2994">
        <v>0</v>
      </c>
      <c r="AL1415" s="2994">
        <v>0</v>
      </c>
      <c r="AM1415" s="2994">
        <v>0</v>
      </c>
      <c r="AN1415" s="2994">
        <v>0</v>
      </c>
      <c r="AO1415" s="2994">
        <v>0</v>
      </c>
      <c r="AP1415" s="2994">
        <v>0</v>
      </c>
      <c r="AQ1415" s="2994">
        <v>0</v>
      </c>
      <c r="AR1415" s="2994">
        <v>0</v>
      </c>
      <c r="AS1415" s="2994">
        <v>0</v>
      </c>
      <c r="AT1415" s="2994">
        <v>0</v>
      </c>
      <c r="AU1415" s="2994">
        <v>0</v>
      </c>
      <c r="AV1415" s="2994">
        <v>0</v>
      </c>
      <c r="AW1415" s="2994">
        <v>0</v>
      </c>
      <c r="AX1415" s="2994">
        <v>0</v>
      </c>
      <c r="AY1415" s="2994">
        <v>0</v>
      </c>
      <c r="AZ1415" s="2994">
        <v>0</v>
      </c>
      <c r="BA1415" s="2994">
        <v>0</v>
      </c>
      <c r="BB1415" s="2994">
        <v>0</v>
      </c>
      <c r="BC1415" s="2994">
        <v>0</v>
      </c>
      <c r="BD1415" s="3471">
        <v>0</v>
      </c>
      <c r="BE1415" s="3471">
        <v>0</v>
      </c>
      <c r="BF1415" s="3471">
        <v>0</v>
      </c>
    </row>
    <row r="1416" spans="1:58">
      <c r="A1416" s="1817" t="str">
        <f t="shared" si="45"/>
        <v>Western EuropeOats</v>
      </c>
      <c r="B1416" s="1818" t="s">
        <v>301</v>
      </c>
      <c r="C1416" s="1818" t="s">
        <v>1323</v>
      </c>
      <c r="D1416" s="3463" t="str">
        <f>VLOOKUP(B1416,List_Yield!$G$4:$J$14,4,FALSE)</f>
        <v>Western Europe</v>
      </c>
      <c r="E1416" s="3463" t="str">
        <f t="shared" si="44"/>
        <v>Western EuropeOats</v>
      </c>
      <c r="F1416" s="2994">
        <v>2.3260999999999998</v>
      </c>
      <c r="G1416" s="2994">
        <v>2.5566</v>
      </c>
      <c r="H1416" s="2994">
        <v>2.6831</v>
      </c>
      <c r="I1416" s="2994">
        <v>2.6755</v>
      </c>
      <c r="J1416" s="2994">
        <v>2.6452</v>
      </c>
      <c r="K1416" s="2994">
        <v>2.7078000000000002</v>
      </c>
      <c r="L1416" s="2994">
        <v>3.0903</v>
      </c>
      <c r="M1416" s="2994">
        <v>3.1591</v>
      </c>
      <c r="N1416" s="2994">
        <v>3.1356000000000002</v>
      </c>
      <c r="O1416" s="2994">
        <v>2.8283</v>
      </c>
      <c r="P1416" s="2994">
        <v>3.4115000000000002</v>
      </c>
      <c r="Q1416" s="2994">
        <v>3.4481000000000002</v>
      </c>
      <c r="R1416" s="2994">
        <v>3.4958999999999998</v>
      </c>
      <c r="S1416" s="2994">
        <v>3.7387999999999999</v>
      </c>
      <c r="T1416" s="2994">
        <v>3.4108999999999998</v>
      </c>
      <c r="U1416" s="2994">
        <v>2.6688000000000001</v>
      </c>
      <c r="V1416" s="2994">
        <v>3.2240000000000002</v>
      </c>
      <c r="W1416" s="2994">
        <v>3.9685000000000001</v>
      </c>
      <c r="X1416" s="2994">
        <v>3.7976000000000001</v>
      </c>
      <c r="Y1416" s="2994">
        <v>3.7656999999999998</v>
      </c>
      <c r="Z1416" s="2994">
        <v>3.7614999999999998</v>
      </c>
      <c r="AA1416" s="2994">
        <v>3.9860000000000002</v>
      </c>
      <c r="AB1416" s="2994">
        <v>3.3700999999999999</v>
      </c>
      <c r="AC1416" s="2994">
        <v>4.3609</v>
      </c>
      <c r="AD1416" s="2994">
        <v>4.4306999999999999</v>
      </c>
      <c r="AE1416" s="2994">
        <v>4.0738000000000003</v>
      </c>
      <c r="AF1416" s="2994">
        <v>4.2975000000000003</v>
      </c>
      <c r="AG1416" s="2994">
        <v>4.0625</v>
      </c>
      <c r="AH1416" s="2994">
        <v>3.6962000000000002</v>
      </c>
      <c r="AI1416" s="2994">
        <v>4.2432999999999996</v>
      </c>
      <c r="AJ1416" s="2994">
        <v>4.5683999999999996</v>
      </c>
      <c r="AK1416" s="2994">
        <v>3.8199000000000001</v>
      </c>
      <c r="AL1416" s="2994">
        <v>4.5548000000000002</v>
      </c>
      <c r="AM1416" s="2994">
        <v>4.1860999999999997</v>
      </c>
      <c r="AN1416" s="2994">
        <v>4.4147999999999996</v>
      </c>
      <c r="AO1416" s="2994">
        <v>4.9421999999999997</v>
      </c>
      <c r="AP1416" s="2994">
        <v>4.8295000000000003</v>
      </c>
      <c r="AQ1416" s="2994">
        <v>4.5957999999999997</v>
      </c>
      <c r="AR1416" s="2994">
        <v>4.7885</v>
      </c>
      <c r="AS1416" s="2994">
        <v>4.4936999999999996</v>
      </c>
      <c r="AT1416" s="2994">
        <v>4.63</v>
      </c>
      <c r="AU1416" s="2994">
        <v>4.5834000000000001</v>
      </c>
      <c r="AV1416" s="2994">
        <v>4.4013999999999998</v>
      </c>
      <c r="AW1416" s="2994">
        <v>5.0339999999999998</v>
      </c>
      <c r="AX1416" s="2994">
        <v>4.5675999999999997</v>
      </c>
      <c r="AY1416" s="2994">
        <v>4.3939000000000004</v>
      </c>
      <c r="AZ1416" s="2994">
        <v>3.9344000000000001</v>
      </c>
      <c r="BA1416" s="2994">
        <v>4.5133999999999999</v>
      </c>
      <c r="BB1416" s="2994">
        <v>4.9614000000000003</v>
      </c>
      <c r="BC1416" s="2994">
        <v>4.3125</v>
      </c>
      <c r="BD1416" s="3471">
        <v>4.3166000000000002</v>
      </c>
      <c r="BE1416" s="3471">
        <v>4.9501999999999997</v>
      </c>
      <c r="BF1416" s="3471">
        <v>4.6391</v>
      </c>
    </row>
    <row r="1417" spans="1:58">
      <c r="A1417" s="1817" t="str">
        <f t="shared" si="45"/>
        <v>Western EuropeOil, palm fruit</v>
      </c>
      <c r="B1417" s="1818" t="s">
        <v>301</v>
      </c>
      <c r="C1417" s="1818" t="s">
        <v>7354</v>
      </c>
      <c r="D1417" s="3463" t="str">
        <f>VLOOKUP(B1417,List_Yield!$G$4:$J$14,4,FALSE)</f>
        <v>Western Europe</v>
      </c>
      <c r="E1417" s="3463" t="str">
        <f t="shared" si="44"/>
        <v>Western EuropeOil, palm fruit</v>
      </c>
      <c r="F1417" s="2994">
        <v>0</v>
      </c>
      <c r="G1417" s="2994">
        <v>0</v>
      </c>
      <c r="H1417" s="2994">
        <v>0</v>
      </c>
      <c r="I1417" s="2994">
        <v>0</v>
      </c>
      <c r="J1417" s="2994">
        <v>0</v>
      </c>
      <c r="K1417" s="2994">
        <v>0</v>
      </c>
      <c r="L1417" s="2994">
        <v>0</v>
      </c>
      <c r="M1417" s="2994">
        <v>0</v>
      </c>
      <c r="N1417" s="2994">
        <v>0</v>
      </c>
      <c r="O1417" s="2994">
        <v>0</v>
      </c>
      <c r="P1417" s="2994">
        <v>0</v>
      </c>
      <c r="Q1417" s="2994">
        <v>0</v>
      </c>
      <c r="R1417" s="2994">
        <v>0</v>
      </c>
      <c r="S1417" s="2994">
        <v>0</v>
      </c>
      <c r="T1417" s="2994">
        <v>0</v>
      </c>
      <c r="U1417" s="2994">
        <v>0</v>
      </c>
      <c r="V1417" s="2994">
        <v>0</v>
      </c>
      <c r="W1417" s="2994">
        <v>0</v>
      </c>
      <c r="X1417" s="2994">
        <v>0</v>
      </c>
      <c r="Y1417" s="2994">
        <v>0</v>
      </c>
      <c r="Z1417" s="2994">
        <v>0</v>
      </c>
      <c r="AA1417" s="2994">
        <v>0</v>
      </c>
      <c r="AB1417" s="2994">
        <v>0</v>
      </c>
      <c r="AC1417" s="2994">
        <v>0</v>
      </c>
      <c r="AD1417" s="2994">
        <v>0</v>
      </c>
      <c r="AE1417" s="2994">
        <v>0</v>
      </c>
      <c r="AF1417" s="2994">
        <v>0</v>
      </c>
      <c r="AG1417" s="2994">
        <v>0</v>
      </c>
      <c r="AH1417" s="2994">
        <v>0</v>
      </c>
      <c r="AI1417" s="2994">
        <v>0</v>
      </c>
      <c r="AJ1417" s="2994">
        <v>0</v>
      </c>
      <c r="AK1417" s="2994">
        <v>0</v>
      </c>
      <c r="AL1417" s="2994">
        <v>0</v>
      </c>
      <c r="AM1417" s="2994">
        <v>0</v>
      </c>
      <c r="AN1417" s="2994">
        <v>0</v>
      </c>
      <c r="AO1417" s="2994">
        <v>0</v>
      </c>
      <c r="AP1417" s="2994">
        <v>0</v>
      </c>
      <c r="AQ1417" s="2994">
        <v>0</v>
      </c>
      <c r="AR1417" s="2994">
        <v>0</v>
      </c>
      <c r="AS1417" s="2994">
        <v>0</v>
      </c>
      <c r="AT1417" s="2994">
        <v>0</v>
      </c>
      <c r="AU1417" s="2994">
        <v>0</v>
      </c>
      <c r="AV1417" s="2994">
        <v>0</v>
      </c>
      <c r="AW1417" s="2994">
        <v>0</v>
      </c>
      <c r="AX1417" s="2994">
        <v>0</v>
      </c>
      <c r="AY1417" s="2994">
        <v>0</v>
      </c>
      <c r="AZ1417" s="2994">
        <v>0</v>
      </c>
      <c r="BA1417" s="2994">
        <v>0</v>
      </c>
      <c r="BB1417" s="2994">
        <v>0</v>
      </c>
      <c r="BC1417" s="2994">
        <v>0</v>
      </c>
      <c r="BD1417" s="3471">
        <v>0</v>
      </c>
      <c r="BE1417" s="3471">
        <v>0</v>
      </c>
      <c r="BF1417" s="3471">
        <v>0</v>
      </c>
    </row>
    <row r="1418" spans="1:58">
      <c r="A1418" s="1817" t="str">
        <f t="shared" si="45"/>
        <v>Western EuropeOilseeds nes</v>
      </c>
      <c r="B1418" s="1818" t="s">
        <v>301</v>
      </c>
      <c r="C1418" s="1818" t="s">
        <v>7355</v>
      </c>
      <c r="D1418" s="3463" t="str">
        <f>VLOOKUP(B1418,List_Yield!$G$4:$J$14,4,FALSE)</f>
        <v>Western Europe</v>
      </c>
      <c r="E1418" s="3463" t="str">
        <f t="shared" si="44"/>
        <v>Western EuropeOilseeds nes</v>
      </c>
      <c r="F1418" s="2994">
        <v>15.337899999999999</v>
      </c>
      <c r="G1418" s="2994">
        <v>5.4749999999999996</v>
      </c>
      <c r="H1418" s="2994">
        <v>6.2015000000000002</v>
      </c>
      <c r="I1418" s="2994">
        <v>9.1553000000000004</v>
      </c>
      <c r="J1418" s="2994">
        <v>7.7880000000000003</v>
      </c>
      <c r="K1418" s="2994">
        <v>7.5636999999999999</v>
      </c>
      <c r="L1418" s="2994">
        <v>11.3033</v>
      </c>
      <c r="M1418" s="2994">
        <v>15.4733</v>
      </c>
      <c r="N1418" s="2994">
        <v>22.177499999999998</v>
      </c>
      <c r="O1418" s="2994">
        <v>19.786300000000001</v>
      </c>
      <c r="P1418" s="2994">
        <v>18.240400000000001</v>
      </c>
      <c r="Q1418" s="2994">
        <v>14.368</v>
      </c>
      <c r="R1418" s="2994">
        <v>17.139600000000002</v>
      </c>
      <c r="S1418" s="2994">
        <v>20.648399999999999</v>
      </c>
      <c r="T1418" s="2994">
        <v>23.957699999999999</v>
      </c>
      <c r="U1418" s="2994">
        <v>14.964499999999999</v>
      </c>
      <c r="V1418" s="2994">
        <v>14.36</v>
      </c>
      <c r="W1418" s="2994">
        <v>15.8302</v>
      </c>
      <c r="X1418" s="2994">
        <v>16.667999999999999</v>
      </c>
      <c r="Y1418" s="2994">
        <v>14.645300000000001</v>
      </c>
      <c r="Z1418" s="2994">
        <v>16.039100000000001</v>
      </c>
      <c r="AA1418" s="2994">
        <v>17.776700000000002</v>
      </c>
      <c r="AB1418" s="2994">
        <v>24.4146</v>
      </c>
      <c r="AC1418" s="2994">
        <v>12.342499999999999</v>
      </c>
      <c r="AD1418" s="2994">
        <v>12.3485</v>
      </c>
      <c r="AE1418" s="2994">
        <v>9.2987000000000002</v>
      </c>
      <c r="AF1418" s="2994">
        <v>10.1045</v>
      </c>
      <c r="AG1418" s="2994">
        <v>9.8295999999999992</v>
      </c>
      <c r="AH1418" s="2994">
        <v>9.7220999999999993</v>
      </c>
      <c r="AI1418" s="2994">
        <v>11.5221</v>
      </c>
      <c r="AJ1418" s="2994">
        <v>7.7312000000000003</v>
      </c>
      <c r="AK1418" s="2994">
        <v>6.9474999999999998</v>
      </c>
      <c r="AL1418" s="2994">
        <v>6.5381</v>
      </c>
      <c r="AM1418" s="2994">
        <v>6.6890000000000001</v>
      </c>
      <c r="AN1418" s="2994">
        <v>3.24</v>
      </c>
      <c r="AO1418" s="2994">
        <v>2.8469000000000002</v>
      </c>
      <c r="AP1418" s="2994">
        <v>2.7225000000000001</v>
      </c>
      <c r="AQ1418" s="2994">
        <v>1.8872</v>
      </c>
      <c r="AR1418" s="2994">
        <v>1.3141</v>
      </c>
      <c r="AS1418" s="2994">
        <v>1.3444</v>
      </c>
      <c r="AT1418" s="2994">
        <v>1.2785</v>
      </c>
      <c r="AU1418" s="2994">
        <v>1.1997</v>
      </c>
      <c r="AV1418" s="2994">
        <v>1.1839999999999999</v>
      </c>
      <c r="AW1418" s="2994">
        <v>1.0637000000000001</v>
      </c>
      <c r="AX1418" s="2994">
        <v>1.1778</v>
      </c>
      <c r="AY1418" s="2994">
        <v>1.0620000000000001</v>
      </c>
      <c r="AZ1418" s="2994">
        <v>1.0398000000000001</v>
      </c>
      <c r="BA1418" s="2994">
        <v>0.66120000000000001</v>
      </c>
      <c r="BB1418" s="2994">
        <v>0.74180000000000001</v>
      </c>
      <c r="BC1418" s="2994">
        <v>0.87580000000000002</v>
      </c>
      <c r="BD1418" s="3471">
        <v>0.95799999999999996</v>
      </c>
      <c r="BE1418" s="3471">
        <v>0.95609999999999995</v>
      </c>
      <c r="BF1418" s="3471">
        <v>1.0669999999999999</v>
      </c>
    </row>
    <row r="1419" spans="1:58">
      <c r="A1419" s="1817" t="str">
        <f t="shared" si="45"/>
        <v>Western EuropeOkra</v>
      </c>
      <c r="B1419" s="1818" t="s">
        <v>301</v>
      </c>
      <c r="C1419" s="1818" t="s">
        <v>7356</v>
      </c>
      <c r="D1419" s="3463" t="str">
        <f>VLOOKUP(B1419,List_Yield!$G$4:$J$14,4,FALSE)</f>
        <v>Western Europe</v>
      </c>
      <c r="E1419" s="3463" t="str">
        <f t="shared" si="44"/>
        <v>Western EuropeOkra</v>
      </c>
      <c r="F1419" s="2994">
        <v>0</v>
      </c>
      <c r="G1419" s="2994">
        <v>0</v>
      </c>
      <c r="H1419" s="2994">
        <v>0</v>
      </c>
      <c r="I1419" s="2994">
        <v>0</v>
      </c>
      <c r="J1419" s="2994">
        <v>0</v>
      </c>
      <c r="K1419" s="2994">
        <v>0</v>
      </c>
      <c r="L1419" s="2994">
        <v>0</v>
      </c>
      <c r="M1419" s="2994">
        <v>0</v>
      </c>
      <c r="N1419" s="2994">
        <v>0</v>
      </c>
      <c r="O1419" s="2994">
        <v>0</v>
      </c>
      <c r="P1419" s="2994">
        <v>0</v>
      </c>
      <c r="Q1419" s="2994">
        <v>0</v>
      </c>
      <c r="R1419" s="2994">
        <v>0</v>
      </c>
      <c r="S1419" s="2994">
        <v>0</v>
      </c>
      <c r="T1419" s="2994">
        <v>0</v>
      </c>
      <c r="U1419" s="2994">
        <v>0</v>
      </c>
      <c r="V1419" s="2994">
        <v>0</v>
      </c>
      <c r="W1419" s="2994">
        <v>0</v>
      </c>
      <c r="X1419" s="2994">
        <v>0</v>
      </c>
      <c r="Y1419" s="2994">
        <v>0</v>
      </c>
      <c r="Z1419" s="2994">
        <v>0</v>
      </c>
      <c r="AA1419" s="2994">
        <v>0</v>
      </c>
      <c r="AB1419" s="2994">
        <v>0</v>
      </c>
      <c r="AC1419" s="2994">
        <v>0</v>
      </c>
      <c r="AD1419" s="2994">
        <v>0</v>
      </c>
      <c r="AE1419" s="2994">
        <v>0</v>
      </c>
      <c r="AF1419" s="2994">
        <v>0</v>
      </c>
      <c r="AG1419" s="2994">
        <v>0</v>
      </c>
      <c r="AH1419" s="2994">
        <v>0</v>
      </c>
      <c r="AI1419" s="2994">
        <v>0</v>
      </c>
      <c r="AJ1419" s="2994">
        <v>0</v>
      </c>
      <c r="AK1419" s="2994">
        <v>0</v>
      </c>
      <c r="AL1419" s="2994">
        <v>0</v>
      </c>
      <c r="AM1419" s="2994">
        <v>0</v>
      </c>
      <c r="AN1419" s="2994">
        <v>0</v>
      </c>
      <c r="AO1419" s="2994">
        <v>0</v>
      </c>
      <c r="AP1419" s="2994">
        <v>0</v>
      </c>
      <c r="AQ1419" s="2994">
        <v>0</v>
      </c>
      <c r="AR1419" s="2994">
        <v>0</v>
      </c>
      <c r="AS1419" s="2994">
        <v>0</v>
      </c>
      <c r="AT1419" s="2994">
        <v>0</v>
      </c>
      <c r="AU1419" s="2994">
        <v>0</v>
      </c>
      <c r="AV1419" s="2994">
        <v>0</v>
      </c>
      <c r="AW1419" s="2994">
        <v>0</v>
      </c>
      <c r="AX1419" s="2994">
        <v>0</v>
      </c>
      <c r="AY1419" s="2994">
        <v>0</v>
      </c>
      <c r="AZ1419" s="2994">
        <v>0</v>
      </c>
      <c r="BA1419" s="2994">
        <v>0</v>
      </c>
      <c r="BB1419" s="2994">
        <v>0</v>
      </c>
      <c r="BC1419" s="2994">
        <v>0</v>
      </c>
      <c r="BD1419" s="3471">
        <v>0</v>
      </c>
      <c r="BE1419" s="3471">
        <v>0</v>
      </c>
      <c r="BF1419" s="3471">
        <v>0</v>
      </c>
    </row>
    <row r="1420" spans="1:58">
      <c r="A1420" s="1817" t="str">
        <f t="shared" si="45"/>
        <v>Western EuropeOlives</v>
      </c>
      <c r="B1420" s="1818" t="s">
        <v>301</v>
      </c>
      <c r="C1420" s="1818" t="s">
        <v>1361</v>
      </c>
      <c r="D1420" s="3463" t="str">
        <f>VLOOKUP(B1420,List_Yield!$G$4:$J$14,4,FALSE)</f>
        <v>Western Europe</v>
      </c>
      <c r="E1420" s="3463" t="str">
        <f t="shared" si="44"/>
        <v>Western EuropeOlives</v>
      </c>
      <c r="F1420" s="2994">
        <v>4.4900000000000002E-2</v>
      </c>
      <c r="G1420" s="2994">
        <v>0.22339999999999999</v>
      </c>
      <c r="H1420" s="2994">
        <v>0.25480000000000003</v>
      </c>
      <c r="I1420" s="2994">
        <v>0.1328</v>
      </c>
      <c r="J1420" s="2994">
        <v>0.20399999999999999</v>
      </c>
      <c r="K1420" s="2994">
        <v>0.22670000000000001</v>
      </c>
      <c r="L1420" s="2994">
        <v>0.25729999999999997</v>
      </c>
      <c r="M1420" s="2994">
        <v>0.36049999999999999</v>
      </c>
      <c r="N1420" s="2994">
        <v>0.65049999999999997</v>
      </c>
      <c r="O1420" s="2994">
        <v>0.18010000000000001</v>
      </c>
      <c r="P1420" s="2994">
        <v>0.56079999999999997</v>
      </c>
      <c r="Q1420" s="2994">
        <v>0.2235</v>
      </c>
      <c r="R1420" s="2994">
        <v>0.50039999999999996</v>
      </c>
      <c r="S1420" s="2994">
        <v>0.39100000000000001</v>
      </c>
      <c r="T1420" s="2994">
        <v>0.52280000000000004</v>
      </c>
      <c r="U1420" s="2994">
        <v>0.54239999999999999</v>
      </c>
      <c r="V1420" s="2994">
        <v>0.3468</v>
      </c>
      <c r="W1420" s="2994">
        <v>0.49280000000000002</v>
      </c>
      <c r="X1420" s="2994">
        <v>0.5</v>
      </c>
      <c r="Y1420" s="2994">
        <v>0.60399999999999998</v>
      </c>
      <c r="Z1420" s="2994">
        <v>0.4456</v>
      </c>
      <c r="AA1420" s="2994">
        <v>0.69499999999999995</v>
      </c>
      <c r="AB1420" s="2994">
        <v>0.81579999999999997</v>
      </c>
      <c r="AC1420" s="2994">
        <v>0.74080000000000001</v>
      </c>
      <c r="AD1420" s="2994">
        <v>0.47720000000000001</v>
      </c>
      <c r="AE1420" s="2994">
        <v>0.4617</v>
      </c>
      <c r="AF1420" s="2994">
        <v>0.76490000000000002</v>
      </c>
      <c r="AG1420" s="2994">
        <v>0.46500000000000002</v>
      </c>
      <c r="AH1420" s="2994">
        <v>0.70509999999999995</v>
      </c>
      <c r="AI1420" s="2994">
        <v>0.54830000000000001</v>
      </c>
      <c r="AJ1420" s="2994">
        <v>0.97499999999999998</v>
      </c>
      <c r="AK1420" s="2994">
        <v>0.89400000000000002</v>
      </c>
      <c r="AL1420" s="2994">
        <v>0.80979999999999996</v>
      </c>
      <c r="AM1420" s="2994">
        <v>1.0861000000000001</v>
      </c>
      <c r="AN1420" s="2994">
        <v>0.8468</v>
      </c>
      <c r="AO1420" s="2994">
        <v>1.1513</v>
      </c>
      <c r="AP1420" s="2994">
        <v>1.0126999999999999</v>
      </c>
      <c r="AQ1420" s="2994">
        <v>1.3266</v>
      </c>
      <c r="AR1420" s="2994">
        <v>1.24</v>
      </c>
      <c r="AS1420" s="2994">
        <v>1.1611</v>
      </c>
      <c r="AT1420" s="2994">
        <v>1.1352</v>
      </c>
      <c r="AU1420" s="2994">
        <v>1.2573000000000001</v>
      </c>
      <c r="AV1420" s="2994">
        <v>1.3964000000000001</v>
      </c>
      <c r="AW1420" s="2994">
        <v>1.1718</v>
      </c>
      <c r="AX1420" s="2994">
        <v>1.1920999999999999</v>
      </c>
      <c r="AY1420" s="2994">
        <v>0.97750000000000004</v>
      </c>
      <c r="AZ1420" s="2994">
        <v>1.2023999999999999</v>
      </c>
      <c r="BA1420" s="2994">
        <v>1.7037</v>
      </c>
      <c r="BB1420" s="2994">
        <v>1.6817</v>
      </c>
      <c r="BC1420" s="2994">
        <v>1.8789</v>
      </c>
      <c r="BD1420" s="3471">
        <v>1.3762000000000001</v>
      </c>
      <c r="BE1420" s="3471">
        <v>1.7333000000000001</v>
      </c>
      <c r="BF1420" s="3471">
        <v>1.5633999999999999</v>
      </c>
    </row>
    <row r="1421" spans="1:58">
      <c r="A1421" s="1817" t="str">
        <f t="shared" si="45"/>
        <v>Western EuropeOnions, dry</v>
      </c>
      <c r="B1421" s="1818" t="s">
        <v>301</v>
      </c>
      <c r="C1421" s="1818" t="s">
        <v>1362</v>
      </c>
      <c r="D1421" s="3463" t="str">
        <f>VLOOKUP(B1421,List_Yield!$G$4:$J$14,4,FALSE)</f>
        <v>Western Europe</v>
      </c>
      <c r="E1421" s="3463" t="str">
        <f t="shared" ref="E1421:E1484" si="46">CONCATENATE(D1421,C1421)</f>
        <v>Western EuropeOnions, dry</v>
      </c>
      <c r="F1421" s="2994">
        <v>23.335100000000001</v>
      </c>
      <c r="G1421" s="2994">
        <v>21.601299999999998</v>
      </c>
      <c r="H1421" s="2994">
        <v>20.367599999999999</v>
      </c>
      <c r="I1421" s="2994">
        <v>21.9999</v>
      </c>
      <c r="J1421" s="2994">
        <v>21.1934</v>
      </c>
      <c r="K1421" s="2994">
        <v>22.368200000000002</v>
      </c>
      <c r="L1421" s="2994">
        <v>24.255400000000002</v>
      </c>
      <c r="M1421" s="2994">
        <v>23.721499999999999</v>
      </c>
      <c r="N1421" s="2994">
        <v>24.710799999999999</v>
      </c>
      <c r="O1421" s="2994">
        <v>25.930199999999999</v>
      </c>
      <c r="P1421" s="2994">
        <v>25.7547</v>
      </c>
      <c r="Q1421" s="2994">
        <v>29.7026</v>
      </c>
      <c r="R1421" s="2994">
        <v>27.752600000000001</v>
      </c>
      <c r="S1421" s="2994">
        <v>27.1419</v>
      </c>
      <c r="T1421" s="2994">
        <v>25.444099999999999</v>
      </c>
      <c r="U1421" s="2994">
        <v>21.284400000000002</v>
      </c>
      <c r="V1421" s="2994">
        <v>28.248200000000001</v>
      </c>
      <c r="W1421" s="2994">
        <v>29.8185</v>
      </c>
      <c r="X1421" s="2994">
        <v>30.657800000000002</v>
      </c>
      <c r="Y1421" s="2994">
        <v>28.540400000000002</v>
      </c>
      <c r="Z1421" s="2994">
        <v>30.9893</v>
      </c>
      <c r="AA1421" s="2994">
        <v>34.502499999999998</v>
      </c>
      <c r="AB1421" s="2994">
        <v>29.898</v>
      </c>
      <c r="AC1421" s="2994">
        <v>32.174399999999999</v>
      </c>
      <c r="AD1421" s="2994">
        <v>33.929099999999998</v>
      </c>
      <c r="AE1421" s="2994">
        <v>31.110900000000001</v>
      </c>
      <c r="AF1421" s="2994">
        <v>31.183599999999998</v>
      </c>
      <c r="AG1421" s="2994">
        <v>31.376300000000001</v>
      </c>
      <c r="AH1421" s="2994">
        <v>32.718299999999999</v>
      </c>
      <c r="AI1421" s="2994">
        <v>35.2789</v>
      </c>
      <c r="AJ1421" s="2994">
        <v>40.067999999999998</v>
      </c>
      <c r="AK1421" s="2994">
        <v>37.3127</v>
      </c>
      <c r="AL1421" s="2994">
        <v>41.074100000000001</v>
      </c>
      <c r="AM1421" s="2994">
        <v>38.189599999999999</v>
      </c>
      <c r="AN1421" s="2994">
        <v>38.802599999999998</v>
      </c>
      <c r="AO1421" s="2994">
        <v>45.947400000000002</v>
      </c>
      <c r="AP1421" s="2994">
        <v>45.768900000000002</v>
      </c>
      <c r="AQ1421" s="2994">
        <v>48.854100000000003</v>
      </c>
      <c r="AR1421" s="2994">
        <v>47.664000000000001</v>
      </c>
      <c r="AS1421" s="2994">
        <v>48.958199999999998</v>
      </c>
      <c r="AT1421" s="2994">
        <v>45.256799999999998</v>
      </c>
      <c r="AU1421" s="2994">
        <v>47.832999999999998</v>
      </c>
      <c r="AV1421" s="2994">
        <v>35.540799999999997</v>
      </c>
      <c r="AW1421" s="2994">
        <v>46.002699999999997</v>
      </c>
      <c r="AX1421" s="2994">
        <v>45.680700000000002</v>
      </c>
      <c r="AY1421" s="2994">
        <v>35.974499999999999</v>
      </c>
      <c r="AZ1421" s="2994">
        <v>38.972499999999997</v>
      </c>
      <c r="BA1421" s="2994">
        <v>41.261899999999997</v>
      </c>
      <c r="BB1421" s="2994">
        <v>44.809399999999997</v>
      </c>
      <c r="BC1421" s="2994">
        <v>44.379300000000001</v>
      </c>
      <c r="BD1421" s="3471">
        <v>51.5167</v>
      </c>
      <c r="BE1421" s="3471">
        <v>47.598999999999997</v>
      </c>
      <c r="BF1421" s="3471">
        <v>0</v>
      </c>
    </row>
    <row r="1422" spans="1:58">
      <c r="A1422" s="1817" t="str">
        <f t="shared" si="45"/>
        <v>Western EuropeOnions, shallots, green</v>
      </c>
      <c r="B1422" s="1818" t="s">
        <v>301</v>
      </c>
      <c r="C1422" s="1818" t="s">
        <v>7357</v>
      </c>
      <c r="D1422" s="3463" t="str">
        <f>VLOOKUP(B1422,List_Yield!$G$4:$J$14,4,FALSE)</f>
        <v>Western Europe</v>
      </c>
      <c r="E1422" s="3463" t="str">
        <f t="shared" si="46"/>
        <v>Western EuropeOnions, shallots, green</v>
      </c>
      <c r="F1422" s="2994">
        <v>14.3942</v>
      </c>
      <c r="G1422" s="2994">
        <v>15.2339</v>
      </c>
      <c r="H1422" s="2994">
        <v>14.699199999999999</v>
      </c>
      <c r="I1422" s="2994">
        <v>13.799300000000001</v>
      </c>
      <c r="J1422" s="2994">
        <v>13.620100000000001</v>
      </c>
      <c r="K1422" s="2994">
        <v>13.658200000000001</v>
      </c>
      <c r="L1422" s="2994">
        <v>10.7926</v>
      </c>
      <c r="M1422" s="2994">
        <v>12.549300000000001</v>
      </c>
      <c r="N1422" s="2994">
        <v>12.334300000000001</v>
      </c>
      <c r="O1422" s="2994">
        <v>13.546799999999999</v>
      </c>
      <c r="P1422" s="2994">
        <v>17.114599999999999</v>
      </c>
      <c r="Q1422" s="2994">
        <v>15.0945</v>
      </c>
      <c r="R1422" s="2994">
        <v>15.4107</v>
      </c>
      <c r="S1422" s="2994">
        <v>16.961600000000001</v>
      </c>
      <c r="T1422" s="2994">
        <v>16.6447</v>
      </c>
      <c r="U1422" s="2994">
        <v>13.898199999999999</v>
      </c>
      <c r="V1422" s="2994">
        <v>16.5519</v>
      </c>
      <c r="W1422" s="2994">
        <v>16.466799999999999</v>
      </c>
      <c r="X1422" s="2994">
        <v>14.7141</v>
      </c>
      <c r="Y1422" s="2994">
        <v>16.090299999999999</v>
      </c>
      <c r="Z1422" s="2994">
        <v>17.111499999999999</v>
      </c>
      <c r="AA1422" s="2994">
        <v>17.391300000000001</v>
      </c>
      <c r="AB1422" s="2994">
        <v>16.547899999999998</v>
      </c>
      <c r="AC1422" s="2994">
        <v>19.790700000000001</v>
      </c>
      <c r="AD1422" s="2994">
        <v>20.673999999999999</v>
      </c>
      <c r="AE1422" s="2994">
        <v>17.6568</v>
      </c>
      <c r="AF1422" s="2994">
        <v>18.276800000000001</v>
      </c>
      <c r="AG1422" s="2994">
        <v>19.879200000000001</v>
      </c>
      <c r="AH1422" s="2994">
        <v>17.618099999999998</v>
      </c>
      <c r="AI1422" s="2994">
        <v>18.913900000000002</v>
      </c>
      <c r="AJ1422" s="2994">
        <v>19.359200000000001</v>
      </c>
      <c r="AK1422" s="2994">
        <v>18.901399999999999</v>
      </c>
      <c r="AL1422" s="2994">
        <v>20.000599999999999</v>
      </c>
      <c r="AM1422" s="2994">
        <v>20.806699999999999</v>
      </c>
      <c r="AN1422" s="2994">
        <v>25.108699999999999</v>
      </c>
      <c r="AO1422" s="2994">
        <v>26.880600000000001</v>
      </c>
      <c r="AP1422" s="2994">
        <v>26.872299999999999</v>
      </c>
      <c r="AQ1422" s="2994">
        <v>26.260899999999999</v>
      </c>
      <c r="AR1422" s="2994">
        <v>24.4618</v>
      </c>
      <c r="AS1422" s="2994">
        <v>23.853899999999999</v>
      </c>
      <c r="AT1422" s="2994">
        <v>23.5657</v>
      </c>
      <c r="AU1422" s="2994">
        <v>24.9099</v>
      </c>
      <c r="AV1422" s="2994">
        <v>22.3443</v>
      </c>
      <c r="AW1422" s="2994">
        <v>24.854900000000001</v>
      </c>
      <c r="AX1422" s="2994">
        <v>21.596499999999999</v>
      </c>
      <c r="AY1422" s="2994">
        <v>25.070499999999999</v>
      </c>
      <c r="AZ1422" s="2994">
        <v>26.157699999999998</v>
      </c>
      <c r="BA1422" s="2994">
        <v>25.462900000000001</v>
      </c>
      <c r="BB1422" s="2994">
        <v>29.5441</v>
      </c>
      <c r="BC1422" s="2994">
        <v>27.2592</v>
      </c>
      <c r="BD1422" s="3471">
        <v>30.721599999999999</v>
      </c>
      <c r="BE1422" s="3471">
        <v>34.56</v>
      </c>
      <c r="BF1422" s="3471">
        <v>0</v>
      </c>
    </row>
    <row r="1423" spans="1:58">
      <c r="A1423" s="1817" t="str">
        <f t="shared" si="45"/>
        <v>Western EuropeOranges</v>
      </c>
      <c r="B1423" s="1818" t="s">
        <v>301</v>
      </c>
      <c r="C1423" s="1818" t="s">
        <v>1363</v>
      </c>
      <c r="D1423" s="3463" t="str">
        <f>VLOOKUP(B1423,List_Yield!$G$4:$J$14,4,FALSE)</f>
        <v>Western Europe</v>
      </c>
      <c r="E1423" s="3463" t="str">
        <f t="shared" si="46"/>
        <v>Western EuropeOranges</v>
      </c>
      <c r="F1423" s="2994">
        <v>3.1324999999999998</v>
      </c>
      <c r="G1423" s="2994">
        <v>3.1261999999999999</v>
      </c>
      <c r="H1423" s="2994">
        <v>3.6699000000000002</v>
      </c>
      <c r="I1423" s="2994">
        <v>5.0842999999999998</v>
      </c>
      <c r="J1423" s="2994">
        <v>3.7088999999999999</v>
      </c>
      <c r="K1423" s="2994">
        <v>6.8212000000000002</v>
      </c>
      <c r="L1423" s="2994">
        <v>14.5116</v>
      </c>
      <c r="M1423" s="2994">
        <v>7.1475</v>
      </c>
      <c r="N1423" s="2994">
        <v>8.8607999999999993</v>
      </c>
      <c r="O1423" s="2994">
        <v>8.5184999999999995</v>
      </c>
      <c r="P1423" s="2994">
        <v>7.4074</v>
      </c>
      <c r="Q1423" s="2994">
        <v>8.3320000000000007</v>
      </c>
      <c r="R1423" s="2994">
        <v>8.3360000000000003</v>
      </c>
      <c r="S1423" s="2994">
        <v>8.3360000000000003</v>
      </c>
      <c r="T1423" s="2994">
        <v>12.452400000000001</v>
      </c>
      <c r="U1423" s="2994">
        <v>16.242899999999999</v>
      </c>
      <c r="V1423" s="2994">
        <v>11.8</v>
      </c>
      <c r="W1423" s="2994">
        <v>10.178599999999999</v>
      </c>
      <c r="X1423" s="2994">
        <v>9.5714000000000006</v>
      </c>
      <c r="Y1423" s="2994">
        <v>9.3332999999999995</v>
      </c>
      <c r="Z1423" s="2994">
        <v>8.7941000000000003</v>
      </c>
      <c r="AA1423" s="2994">
        <v>7.5</v>
      </c>
      <c r="AB1423" s="2994">
        <v>8</v>
      </c>
      <c r="AC1423" s="2994">
        <v>9.1060999999999996</v>
      </c>
      <c r="AD1423" s="2994">
        <v>16.673200000000001</v>
      </c>
      <c r="AE1423" s="2994">
        <v>17.344200000000001</v>
      </c>
      <c r="AF1423" s="2994">
        <v>17.603899999999999</v>
      </c>
      <c r="AG1423" s="2994">
        <v>18.183499999999999</v>
      </c>
      <c r="AH1423" s="2994">
        <v>15.475</v>
      </c>
      <c r="AI1423" s="2994">
        <v>12.5238</v>
      </c>
      <c r="AJ1423" s="2994">
        <v>14.5724</v>
      </c>
      <c r="AK1423" s="2994">
        <v>11.159700000000001</v>
      </c>
      <c r="AL1423" s="2994">
        <v>11.3681</v>
      </c>
      <c r="AM1423" s="2994">
        <v>17.067599999999999</v>
      </c>
      <c r="AN1423" s="2994">
        <v>17.4848</v>
      </c>
      <c r="AO1423" s="2994">
        <v>18.0152</v>
      </c>
      <c r="AP1423" s="2994">
        <v>16.902799999999999</v>
      </c>
      <c r="AQ1423" s="2994">
        <v>15.9861</v>
      </c>
      <c r="AR1423" s="2994">
        <v>14.902799999999999</v>
      </c>
      <c r="AS1423" s="2994">
        <v>16.176500000000001</v>
      </c>
      <c r="AT1423" s="2994">
        <v>16.235299999999999</v>
      </c>
      <c r="AU1423" s="2994">
        <v>15.4</v>
      </c>
      <c r="AV1423" s="2994">
        <v>13.5778</v>
      </c>
      <c r="AW1423" s="2994">
        <v>14.377800000000001</v>
      </c>
      <c r="AX1423" s="2994">
        <v>14.3111</v>
      </c>
      <c r="AY1423" s="2994">
        <v>17.2273</v>
      </c>
      <c r="AZ1423" s="2994">
        <v>12.8889</v>
      </c>
      <c r="BA1423" s="2994">
        <v>14.479200000000001</v>
      </c>
      <c r="BB1423" s="2994">
        <v>8.0703999999999994</v>
      </c>
      <c r="BC1423" s="2994">
        <v>8.3664000000000005</v>
      </c>
      <c r="BD1423" s="3471">
        <v>8.0228000000000002</v>
      </c>
      <c r="BE1423" s="3471">
        <v>6.8703000000000003</v>
      </c>
      <c r="BF1423" s="3471">
        <v>0</v>
      </c>
    </row>
    <row r="1424" spans="1:58">
      <c r="A1424" s="1817" t="str">
        <f t="shared" si="45"/>
        <v>Western EuropePapayas</v>
      </c>
      <c r="B1424" s="1818" t="s">
        <v>301</v>
      </c>
      <c r="C1424" s="1818" t="s">
        <v>7358</v>
      </c>
      <c r="D1424" s="3463" t="str">
        <f>VLOOKUP(B1424,List_Yield!$G$4:$J$14,4,FALSE)</f>
        <v>Western Europe</v>
      </c>
      <c r="E1424" s="3463" t="str">
        <f t="shared" si="46"/>
        <v>Western EuropePapayas</v>
      </c>
      <c r="F1424" s="2994">
        <v>0</v>
      </c>
      <c r="G1424" s="2994">
        <v>0</v>
      </c>
      <c r="H1424" s="2994">
        <v>0</v>
      </c>
      <c r="I1424" s="2994">
        <v>0</v>
      </c>
      <c r="J1424" s="2994">
        <v>0</v>
      </c>
      <c r="K1424" s="2994">
        <v>0</v>
      </c>
      <c r="L1424" s="2994">
        <v>0</v>
      </c>
      <c r="M1424" s="2994">
        <v>0</v>
      </c>
      <c r="N1424" s="2994">
        <v>0</v>
      </c>
      <c r="O1424" s="2994">
        <v>0</v>
      </c>
      <c r="P1424" s="2994">
        <v>0</v>
      </c>
      <c r="Q1424" s="2994">
        <v>0</v>
      </c>
      <c r="R1424" s="2994">
        <v>0</v>
      </c>
      <c r="S1424" s="2994">
        <v>0</v>
      </c>
      <c r="T1424" s="2994">
        <v>0</v>
      </c>
      <c r="U1424" s="2994">
        <v>0</v>
      </c>
      <c r="V1424" s="2994">
        <v>0</v>
      </c>
      <c r="W1424" s="2994">
        <v>0</v>
      </c>
      <c r="X1424" s="2994">
        <v>0</v>
      </c>
      <c r="Y1424" s="2994">
        <v>0</v>
      </c>
      <c r="Z1424" s="2994">
        <v>0</v>
      </c>
      <c r="AA1424" s="2994">
        <v>0</v>
      </c>
      <c r="AB1424" s="2994">
        <v>0</v>
      </c>
      <c r="AC1424" s="2994">
        <v>0</v>
      </c>
      <c r="AD1424" s="2994">
        <v>0</v>
      </c>
      <c r="AE1424" s="2994">
        <v>0</v>
      </c>
      <c r="AF1424" s="2994">
        <v>0</v>
      </c>
      <c r="AG1424" s="2994">
        <v>0</v>
      </c>
      <c r="AH1424" s="2994">
        <v>0</v>
      </c>
      <c r="AI1424" s="2994">
        <v>0</v>
      </c>
      <c r="AJ1424" s="2994">
        <v>0</v>
      </c>
      <c r="AK1424" s="2994">
        <v>0</v>
      </c>
      <c r="AL1424" s="2994">
        <v>0</v>
      </c>
      <c r="AM1424" s="2994">
        <v>0</v>
      </c>
      <c r="AN1424" s="2994">
        <v>0</v>
      </c>
      <c r="AO1424" s="2994">
        <v>0</v>
      </c>
      <c r="AP1424" s="2994">
        <v>0</v>
      </c>
      <c r="AQ1424" s="2994">
        <v>0</v>
      </c>
      <c r="AR1424" s="2994">
        <v>0</v>
      </c>
      <c r="AS1424" s="2994">
        <v>0</v>
      </c>
      <c r="AT1424" s="2994">
        <v>0</v>
      </c>
      <c r="AU1424" s="2994">
        <v>0</v>
      </c>
      <c r="AV1424" s="2994">
        <v>0</v>
      </c>
      <c r="AW1424" s="2994">
        <v>0</v>
      </c>
      <c r="AX1424" s="2994">
        <v>0</v>
      </c>
      <c r="AY1424" s="2994">
        <v>0</v>
      </c>
      <c r="AZ1424" s="2994">
        <v>0</v>
      </c>
      <c r="BA1424" s="2994">
        <v>0</v>
      </c>
      <c r="BB1424" s="2994">
        <v>0</v>
      </c>
      <c r="BC1424" s="2994">
        <v>0</v>
      </c>
      <c r="BD1424" s="3471">
        <v>0</v>
      </c>
      <c r="BE1424" s="3471">
        <v>0</v>
      </c>
      <c r="BF1424" s="3471">
        <v>0</v>
      </c>
    </row>
    <row r="1425" spans="1:58">
      <c r="A1425" s="1817" t="str">
        <f t="shared" si="45"/>
        <v>Western EuropePeaches and nectarines</v>
      </c>
      <c r="B1425" s="1818" t="s">
        <v>301</v>
      </c>
      <c r="C1425" s="1818" t="s">
        <v>1364</v>
      </c>
      <c r="D1425" s="3463" t="str">
        <f>VLOOKUP(B1425,List_Yield!$G$4:$J$14,4,FALSE)</f>
        <v>Western Europe</v>
      </c>
      <c r="E1425" s="3463" t="str">
        <f t="shared" si="46"/>
        <v>Western EuropePeaches and nectarines</v>
      </c>
      <c r="F1425" s="2994">
        <v>7.1299000000000001</v>
      </c>
      <c r="G1425" s="2994">
        <v>6.9779</v>
      </c>
      <c r="H1425" s="2994">
        <v>9.4210999999999991</v>
      </c>
      <c r="I1425" s="2994">
        <v>9.8561999999999994</v>
      </c>
      <c r="J1425" s="2994">
        <v>10.3268</v>
      </c>
      <c r="K1425" s="2994">
        <v>7.0854999999999997</v>
      </c>
      <c r="L1425" s="2994">
        <v>10.8886</v>
      </c>
      <c r="M1425" s="2994">
        <v>15.353899999999999</v>
      </c>
      <c r="N1425" s="2994">
        <v>12.349500000000001</v>
      </c>
      <c r="O1425" s="2994">
        <v>12.445399999999999</v>
      </c>
      <c r="P1425" s="2994">
        <v>17.0562</v>
      </c>
      <c r="Q1425" s="2994">
        <v>14.882099999999999</v>
      </c>
      <c r="R1425" s="2994">
        <v>16.541799999999999</v>
      </c>
      <c r="S1425" s="2994">
        <v>16.756699999999999</v>
      </c>
      <c r="T1425" s="2994">
        <v>4.1243999999999996</v>
      </c>
      <c r="U1425" s="2994">
        <v>18.032399999999999</v>
      </c>
      <c r="V1425" s="2994">
        <v>11.8331</v>
      </c>
      <c r="W1425" s="2994">
        <v>15.438800000000001</v>
      </c>
      <c r="X1425" s="2994">
        <v>15.0039</v>
      </c>
      <c r="Y1425" s="2994">
        <v>15.8093</v>
      </c>
      <c r="Z1425" s="2994">
        <v>15.2401</v>
      </c>
      <c r="AA1425" s="2994">
        <v>14.2552</v>
      </c>
      <c r="AB1425" s="2994">
        <v>15.7942</v>
      </c>
      <c r="AC1425" s="2994">
        <v>16.612300000000001</v>
      </c>
      <c r="AD1425" s="2994">
        <v>13.680099999999999</v>
      </c>
      <c r="AE1425" s="2994">
        <v>13.2964</v>
      </c>
      <c r="AF1425" s="2994">
        <v>13.791399999999999</v>
      </c>
      <c r="AG1425" s="2994">
        <v>13.146800000000001</v>
      </c>
      <c r="AH1425" s="2994">
        <v>15.2836</v>
      </c>
      <c r="AI1425" s="2994">
        <v>14.459099999999999</v>
      </c>
      <c r="AJ1425" s="2994">
        <v>11.5646</v>
      </c>
      <c r="AK1425" s="2994">
        <v>16.41</v>
      </c>
      <c r="AL1425" s="2994">
        <v>12.747999999999999</v>
      </c>
      <c r="AM1425" s="2994">
        <v>16.331399999999999</v>
      </c>
      <c r="AN1425" s="2994">
        <v>16.872599999999998</v>
      </c>
      <c r="AO1425" s="2994">
        <v>16.222799999999999</v>
      </c>
      <c r="AP1425" s="2994">
        <v>16.559000000000001</v>
      </c>
      <c r="AQ1425" s="2994">
        <v>13.5075</v>
      </c>
      <c r="AR1425" s="2994">
        <v>19.049900000000001</v>
      </c>
      <c r="AS1425" s="2994">
        <v>19.905899999999999</v>
      </c>
      <c r="AT1425" s="2994">
        <v>19.709199999999999</v>
      </c>
      <c r="AU1425" s="2994">
        <v>21.965</v>
      </c>
      <c r="AV1425" s="2994">
        <v>17.069299999999998</v>
      </c>
      <c r="AW1425" s="2994">
        <v>20.186599999999999</v>
      </c>
      <c r="AX1425" s="2994">
        <v>21.520600000000002</v>
      </c>
      <c r="AY1425" s="2994">
        <v>22.964700000000001</v>
      </c>
      <c r="AZ1425" s="2994">
        <v>22.651</v>
      </c>
      <c r="BA1425" s="2994">
        <v>19.1721</v>
      </c>
      <c r="BB1425" s="2994">
        <v>22.6464</v>
      </c>
      <c r="BC1425" s="2994">
        <v>22.539100000000001</v>
      </c>
      <c r="BD1425" s="3471">
        <v>22.556000000000001</v>
      </c>
      <c r="BE1425" s="3471">
        <v>22.1035</v>
      </c>
      <c r="BF1425" s="3471">
        <v>0</v>
      </c>
    </row>
    <row r="1426" spans="1:58">
      <c r="A1426" s="1817" t="str">
        <f t="shared" si="45"/>
        <v>Western EuropePears</v>
      </c>
      <c r="B1426" s="1818" t="s">
        <v>301</v>
      </c>
      <c r="C1426" s="1818" t="s">
        <v>7359</v>
      </c>
      <c r="D1426" s="3463" t="str">
        <f>VLOOKUP(B1426,List_Yield!$G$4:$J$14,4,FALSE)</f>
        <v>Western Europe</v>
      </c>
      <c r="E1426" s="3463" t="str">
        <f t="shared" si="46"/>
        <v>Western EuropePears</v>
      </c>
      <c r="F1426" s="2994">
        <v>51.018300000000004</v>
      </c>
      <c r="G1426" s="2994">
        <v>56.962499999999999</v>
      </c>
      <c r="H1426" s="2994">
        <v>43.1158</v>
      </c>
      <c r="I1426" s="2994">
        <v>50.645899999999997</v>
      </c>
      <c r="J1426" s="2994">
        <v>31.010999999999999</v>
      </c>
      <c r="K1426" s="2994">
        <v>37.806899999999999</v>
      </c>
      <c r="L1426" s="2994">
        <v>46.244900000000001</v>
      </c>
      <c r="M1426" s="2994">
        <v>58.440800000000003</v>
      </c>
      <c r="N1426" s="2994">
        <v>45.776600000000002</v>
      </c>
      <c r="O1426" s="2994">
        <v>57.5672</v>
      </c>
      <c r="P1426" s="2994">
        <v>47.103200000000001</v>
      </c>
      <c r="Q1426" s="2994">
        <v>41.363199999999999</v>
      </c>
      <c r="R1426" s="2994">
        <v>46.9011</v>
      </c>
      <c r="S1426" s="2994">
        <v>43.503300000000003</v>
      </c>
      <c r="T1426" s="2994">
        <v>44.7044</v>
      </c>
      <c r="U1426" s="2994">
        <v>46.602699999999999</v>
      </c>
      <c r="V1426" s="2994">
        <v>33.224800000000002</v>
      </c>
      <c r="W1426" s="2994">
        <v>41.716900000000003</v>
      </c>
      <c r="X1426" s="2994">
        <v>50.721299999999999</v>
      </c>
      <c r="Y1426" s="2994">
        <v>50.518500000000003</v>
      </c>
      <c r="Z1426" s="2994">
        <v>44.302399999999999</v>
      </c>
      <c r="AA1426" s="2994">
        <v>63.330800000000004</v>
      </c>
      <c r="AB1426" s="2994">
        <v>58.674500000000002</v>
      </c>
      <c r="AC1426" s="2994">
        <v>60.525100000000002</v>
      </c>
      <c r="AD1426" s="2994">
        <v>18.2226</v>
      </c>
      <c r="AE1426" s="2994">
        <v>21.082899999999999</v>
      </c>
      <c r="AF1426" s="2994">
        <v>18.226199999999999</v>
      </c>
      <c r="AG1426" s="2994">
        <v>23.050799999999999</v>
      </c>
      <c r="AH1426" s="2994">
        <v>18.706099999999999</v>
      </c>
      <c r="AI1426" s="2994">
        <v>20.058499999999999</v>
      </c>
      <c r="AJ1426" s="2994">
        <v>26.2285</v>
      </c>
      <c r="AK1426" s="2994">
        <v>33.954799999999999</v>
      </c>
      <c r="AL1426" s="2994">
        <v>29.822600000000001</v>
      </c>
      <c r="AM1426" s="2994">
        <v>30.950800000000001</v>
      </c>
      <c r="AN1426" s="2994">
        <v>33.9163</v>
      </c>
      <c r="AO1426" s="2994">
        <v>30.110600000000002</v>
      </c>
      <c r="AP1426" s="2994">
        <v>26.116199999999999</v>
      </c>
      <c r="AQ1426" s="2994">
        <v>31.304200000000002</v>
      </c>
      <c r="AR1426" s="2994">
        <v>28.7334</v>
      </c>
      <c r="AS1426" s="2994">
        <v>32.0535</v>
      </c>
      <c r="AT1426" s="2994">
        <v>22.002500000000001</v>
      </c>
      <c r="AU1426" s="2994">
        <v>31.2166</v>
      </c>
      <c r="AV1426" s="2994">
        <v>32.8093</v>
      </c>
      <c r="AW1426" s="2994">
        <v>36.7348</v>
      </c>
      <c r="AX1426" s="2994">
        <v>31.892199999999999</v>
      </c>
      <c r="AY1426" s="2994">
        <v>34.942300000000003</v>
      </c>
      <c r="AZ1426" s="2994">
        <v>39.2042</v>
      </c>
      <c r="BA1426" s="2994">
        <v>26.9255</v>
      </c>
      <c r="BB1426" s="2994">
        <v>40.253999999999998</v>
      </c>
      <c r="BC1426" s="2994">
        <v>36.413899999999998</v>
      </c>
      <c r="BD1426" s="3471">
        <v>44.3795</v>
      </c>
      <c r="BE1426" s="3471">
        <v>32.327399999999997</v>
      </c>
      <c r="BF1426" s="3471">
        <v>0</v>
      </c>
    </row>
    <row r="1427" spans="1:58">
      <c r="A1427" s="1817" t="str">
        <f t="shared" si="45"/>
        <v>Western EuropePeas, dry</v>
      </c>
      <c r="B1427" s="1818" t="s">
        <v>301</v>
      </c>
      <c r="C1427" s="1818" t="s">
        <v>1365</v>
      </c>
      <c r="D1427" s="3463" t="str">
        <f>VLOOKUP(B1427,List_Yield!$G$4:$J$14,4,FALSE)</f>
        <v>Western Europe</v>
      </c>
      <c r="E1427" s="3463" t="str">
        <f t="shared" si="46"/>
        <v>Western EuropePeas, dry</v>
      </c>
      <c r="F1427" s="2994">
        <v>2.2566000000000002</v>
      </c>
      <c r="G1427" s="2994">
        <v>2.3595999999999999</v>
      </c>
      <c r="H1427" s="2994">
        <v>2.0514000000000001</v>
      </c>
      <c r="I1427" s="2994">
        <v>2.1829999999999998</v>
      </c>
      <c r="J1427" s="2994">
        <v>2.1343000000000001</v>
      </c>
      <c r="K1427" s="2994">
        <v>1.9202999999999999</v>
      </c>
      <c r="L1427" s="2994">
        <v>2.6181999999999999</v>
      </c>
      <c r="M1427" s="2994">
        <v>2.2496999999999998</v>
      </c>
      <c r="N1427" s="2994">
        <v>2.3166000000000002</v>
      </c>
      <c r="O1427" s="2994">
        <v>2.5659000000000001</v>
      </c>
      <c r="P1427" s="2994">
        <v>2.7130000000000001</v>
      </c>
      <c r="Q1427" s="2994">
        <v>1.97</v>
      </c>
      <c r="R1427" s="2994">
        <v>2.2341000000000002</v>
      </c>
      <c r="S1427" s="2994">
        <v>2.8338999999999999</v>
      </c>
      <c r="T1427" s="2994">
        <v>2.95</v>
      </c>
      <c r="U1427" s="2994">
        <v>1.8682000000000001</v>
      </c>
      <c r="V1427" s="2994">
        <v>2.7141000000000002</v>
      </c>
      <c r="W1427" s="2994">
        <v>2.988</v>
      </c>
      <c r="X1427" s="2994">
        <v>3.5425</v>
      </c>
      <c r="Y1427" s="2994">
        <v>3.6385999999999998</v>
      </c>
      <c r="Z1427" s="2994">
        <v>3.5568</v>
      </c>
      <c r="AA1427" s="2994">
        <v>3.8839000000000001</v>
      </c>
      <c r="AB1427" s="2994">
        <v>3.9232999999999998</v>
      </c>
      <c r="AC1427" s="2994">
        <v>4.4569999999999999</v>
      </c>
      <c r="AD1427" s="2994">
        <v>4.5723000000000003</v>
      </c>
      <c r="AE1427" s="2994">
        <v>4.0125999999999999</v>
      </c>
      <c r="AF1427" s="2994">
        <v>3.9308999999999998</v>
      </c>
      <c r="AG1427" s="2994">
        <v>4.8198999999999996</v>
      </c>
      <c r="AH1427" s="2994">
        <v>4.3022</v>
      </c>
      <c r="AI1427" s="2994">
        <v>5.0720000000000001</v>
      </c>
      <c r="AJ1427" s="2994">
        <v>4.6833</v>
      </c>
      <c r="AK1427" s="2994">
        <v>4.5613999999999999</v>
      </c>
      <c r="AL1427" s="2994">
        <v>4.7599</v>
      </c>
      <c r="AM1427" s="2994">
        <v>4.8898000000000001</v>
      </c>
      <c r="AN1427" s="2994">
        <v>4.4870000000000001</v>
      </c>
      <c r="AO1427" s="2994">
        <v>4.5640999999999998</v>
      </c>
      <c r="AP1427" s="2994">
        <v>4.6548999999999996</v>
      </c>
      <c r="AQ1427" s="2994">
        <v>4.7907999999999999</v>
      </c>
      <c r="AR1427" s="2994">
        <v>4.9008000000000003</v>
      </c>
      <c r="AS1427" s="2994">
        <v>3.9935</v>
      </c>
      <c r="AT1427" s="2994">
        <v>3.7690999999999999</v>
      </c>
      <c r="AU1427" s="2994">
        <v>4.1106999999999996</v>
      </c>
      <c r="AV1427" s="2994">
        <v>3.8565999999999998</v>
      </c>
      <c r="AW1427" s="2994">
        <v>4.3666999999999998</v>
      </c>
      <c r="AX1427" s="2994">
        <v>3.8210999999999999</v>
      </c>
      <c r="AY1427" s="2994">
        <v>3.8028</v>
      </c>
      <c r="AZ1427" s="2994">
        <v>3.1886000000000001</v>
      </c>
      <c r="BA1427" s="2994">
        <v>3.7452000000000001</v>
      </c>
      <c r="BB1427" s="2994">
        <v>4.1723999999999997</v>
      </c>
      <c r="BC1427" s="2994">
        <v>4.0858999999999996</v>
      </c>
      <c r="BD1427" s="3471">
        <v>3.3933</v>
      </c>
      <c r="BE1427" s="3471">
        <v>3.6707999999999998</v>
      </c>
      <c r="BF1427" s="3471">
        <v>3.7804000000000002</v>
      </c>
    </row>
    <row r="1428" spans="1:58">
      <c r="A1428" s="1817" t="str">
        <f t="shared" si="45"/>
        <v>Western EuropePeas, green</v>
      </c>
      <c r="B1428" s="1818" t="s">
        <v>301</v>
      </c>
      <c r="C1428" s="1818" t="s">
        <v>1366</v>
      </c>
      <c r="D1428" s="3463" t="str">
        <f>VLOOKUP(B1428,List_Yield!$G$4:$J$14,4,FALSE)</f>
        <v>Western Europe</v>
      </c>
      <c r="E1428" s="3463" t="str">
        <f t="shared" si="46"/>
        <v>Western EuropePeas, green</v>
      </c>
      <c r="F1428" s="2994">
        <v>8.3194999999999997</v>
      </c>
      <c r="G1428" s="2994">
        <v>8.7552000000000003</v>
      </c>
      <c r="H1428" s="2994">
        <v>8.7220999999999993</v>
      </c>
      <c r="I1428" s="2994">
        <v>8.2242999999999995</v>
      </c>
      <c r="J1428" s="2994">
        <v>8.0488999999999997</v>
      </c>
      <c r="K1428" s="2994">
        <v>7.8502000000000001</v>
      </c>
      <c r="L1428" s="2994">
        <v>9.4929000000000006</v>
      </c>
      <c r="M1428" s="2994">
        <v>9.1194000000000006</v>
      </c>
      <c r="N1428" s="2994">
        <v>8.8335000000000008</v>
      </c>
      <c r="O1428" s="2994">
        <v>8.9604999999999997</v>
      </c>
      <c r="P1428" s="2994">
        <v>8.7670999999999992</v>
      </c>
      <c r="Q1428" s="2994">
        <v>8.2886000000000006</v>
      </c>
      <c r="R1428" s="2994">
        <v>9.5165000000000006</v>
      </c>
      <c r="S1428" s="2994">
        <v>10.4435</v>
      </c>
      <c r="T1428" s="2994">
        <v>9.0559999999999992</v>
      </c>
      <c r="U1428" s="2994">
        <v>6.9416000000000002</v>
      </c>
      <c r="V1428" s="2994">
        <v>9.3584999999999994</v>
      </c>
      <c r="W1428" s="2994">
        <v>8.9680999999999997</v>
      </c>
      <c r="X1428" s="2994">
        <v>9.7363999999999997</v>
      </c>
      <c r="Y1428" s="2994">
        <v>8.2143999999999995</v>
      </c>
      <c r="Z1428" s="2994">
        <v>9.3274000000000008</v>
      </c>
      <c r="AA1428" s="2994">
        <v>10.3001</v>
      </c>
      <c r="AB1428" s="2994">
        <v>9.5130999999999997</v>
      </c>
      <c r="AC1428" s="2994">
        <v>11.3605</v>
      </c>
      <c r="AD1428" s="2994">
        <v>10.839399999999999</v>
      </c>
      <c r="AE1428" s="2994">
        <v>11.191000000000001</v>
      </c>
      <c r="AF1428" s="2994">
        <v>11.0497</v>
      </c>
      <c r="AG1428" s="2994">
        <v>12.365</v>
      </c>
      <c r="AH1428" s="2994">
        <v>11.640599999999999</v>
      </c>
      <c r="AI1428" s="2994">
        <v>12.165800000000001</v>
      </c>
      <c r="AJ1428" s="2994">
        <v>12.6792</v>
      </c>
      <c r="AK1428" s="2994">
        <v>13.6822</v>
      </c>
      <c r="AL1428" s="2994">
        <v>14.555099999999999</v>
      </c>
      <c r="AM1428" s="2994">
        <v>14.3832</v>
      </c>
      <c r="AN1428" s="2994">
        <v>14.277699999999999</v>
      </c>
      <c r="AO1428" s="2994">
        <v>14.497199999999999</v>
      </c>
      <c r="AP1428" s="2994">
        <v>14.928900000000001</v>
      </c>
      <c r="AQ1428" s="2994">
        <v>14.683299999999999</v>
      </c>
      <c r="AR1428" s="2994">
        <v>14.4916</v>
      </c>
      <c r="AS1428" s="2994">
        <v>12.8581</v>
      </c>
      <c r="AT1428" s="2994">
        <v>11.312900000000001</v>
      </c>
      <c r="AU1428" s="2994">
        <v>11.269</v>
      </c>
      <c r="AV1428" s="2994">
        <v>10.237</v>
      </c>
      <c r="AW1428" s="2994">
        <v>9.9099000000000004</v>
      </c>
      <c r="AX1428" s="2994">
        <v>9.7506000000000004</v>
      </c>
      <c r="AY1428" s="2994">
        <v>9.5165000000000006</v>
      </c>
      <c r="AZ1428" s="2994">
        <v>8.9106000000000005</v>
      </c>
      <c r="BA1428" s="2994">
        <v>8.9941999999999993</v>
      </c>
      <c r="BB1428" s="2994">
        <v>14.0733</v>
      </c>
      <c r="BC1428" s="2994">
        <v>13.757</v>
      </c>
      <c r="BD1428" s="3471">
        <v>14.476100000000001</v>
      </c>
      <c r="BE1428" s="3471">
        <v>14.359299999999999</v>
      </c>
      <c r="BF1428" s="3471">
        <v>0</v>
      </c>
    </row>
    <row r="1429" spans="1:58">
      <c r="A1429" s="1817" t="str">
        <f t="shared" si="45"/>
        <v>Western EuropePepper (piper spp.)</v>
      </c>
      <c r="B1429" s="1818" t="s">
        <v>301</v>
      </c>
      <c r="C1429" s="1818" t="s">
        <v>7360</v>
      </c>
      <c r="D1429" s="3463" t="str">
        <f>VLOOKUP(B1429,List_Yield!$G$4:$J$14,4,FALSE)</f>
        <v>Western Europe</v>
      </c>
      <c r="E1429" s="3463" t="str">
        <f t="shared" si="46"/>
        <v>Western EuropePepper (piper spp.)</v>
      </c>
      <c r="F1429" s="2994">
        <v>0</v>
      </c>
      <c r="G1429" s="2994">
        <v>0</v>
      </c>
      <c r="H1429" s="2994">
        <v>0</v>
      </c>
      <c r="I1429" s="2994">
        <v>0</v>
      </c>
      <c r="J1429" s="2994">
        <v>0</v>
      </c>
      <c r="K1429" s="2994">
        <v>0</v>
      </c>
      <c r="L1429" s="2994">
        <v>0</v>
      </c>
      <c r="M1429" s="2994">
        <v>0</v>
      </c>
      <c r="N1429" s="2994">
        <v>0</v>
      </c>
      <c r="O1429" s="2994">
        <v>0</v>
      </c>
      <c r="P1429" s="2994">
        <v>0</v>
      </c>
      <c r="Q1429" s="2994">
        <v>0</v>
      </c>
      <c r="R1429" s="2994">
        <v>0</v>
      </c>
      <c r="S1429" s="2994">
        <v>0</v>
      </c>
      <c r="T1429" s="2994">
        <v>0</v>
      </c>
      <c r="U1429" s="2994">
        <v>0</v>
      </c>
      <c r="V1429" s="2994">
        <v>0</v>
      </c>
      <c r="W1429" s="2994">
        <v>0</v>
      </c>
      <c r="X1429" s="2994">
        <v>0</v>
      </c>
      <c r="Y1429" s="2994">
        <v>0</v>
      </c>
      <c r="Z1429" s="2994">
        <v>0</v>
      </c>
      <c r="AA1429" s="2994">
        <v>0</v>
      </c>
      <c r="AB1429" s="2994">
        <v>0</v>
      </c>
      <c r="AC1429" s="2994">
        <v>0</v>
      </c>
      <c r="AD1429" s="2994">
        <v>0</v>
      </c>
      <c r="AE1429" s="2994">
        <v>0</v>
      </c>
      <c r="AF1429" s="2994">
        <v>0</v>
      </c>
      <c r="AG1429" s="2994">
        <v>0</v>
      </c>
      <c r="AH1429" s="2994">
        <v>0</v>
      </c>
      <c r="AI1429" s="2994">
        <v>0</v>
      </c>
      <c r="AJ1429" s="2994">
        <v>0</v>
      </c>
      <c r="AK1429" s="2994">
        <v>0</v>
      </c>
      <c r="AL1429" s="2994">
        <v>0</v>
      </c>
      <c r="AM1429" s="2994">
        <v>0</v>
      </c>
      <c r="AN1429" s="2994">
        <v>0</v>
      </c>
      <c r="AO1429" s="2994">
        <v>0</v>
      </c>
      <c r="AP1429" s="2994">
        <v>0</v>
      </c>
      <c r="AQ1429" s="2994">
        <v>0</v>
      </c>
      <c r="AR1429" s="2994">
        <v>0</v>
      </c>
      <c r="AS1429" s="2994">
        <v>0</v>
      </c>
      <c r="AT1429" s="2994">
        <v>0</v>
      </c>
      <c r="AU1429" s="2994">
        <v>0</v>
      </c>
      <c r="AV1429" s="2994">
        <v>0</v>
      </c>
      <c r="AW1429" s="2994">
        <v>0</v>
      </c>
      <c r="AX1429" s="2994">
        <v>0</v>
      </c>
      <c r="AY1429" s="2994">
        <v>0</v>
      </c>
      <c r="AZ1429" s="2994">
        <v>0</v>
      </c>
      <c r="BA1429" s="2994">
        <v>0</v>
      </c>
      <c r="BB1429" s="2994">
        <v>0</v>
      </c>
      <c r="BC1429" s="2994">
        <v>0</v>
      </c>
      <c r="BD1429" s="3471">
        <v>0</v>
      </c>
      <c r="BE1429" s="3471">
        <v>0</v>
      </c>
      <c r="BF1429" s="3471">
        <v>0</v>
      </c>
    </row>
    <row r="1430" spans="1:58">
      <c r="A1430" s="1817" t="str">
        <f t="shared" si="45"/>
        <v>Western EuropePeppermint</v>
      </c>
      <c r="B1430" s="1818" t="s">
        <v>301</v>
      </c>
      <c r="C1430" s="1818" t="s">
        <v>7361</v>
      </c>
      <c r="D1430" s="3463" t="str">
        <f>VLOOKUP(B1430,List_Yield!$G$4:$J$14,4,FALSE)</f>
        <v>Western Europe</v>
      </c>
      <c r="E1430" s="3463" t="str">
        <f t="shared" si="46"/>
        <v>Western EuropePeppermint</v>
      </c>
      <c r="F1430" s="2994">
        <v>0</v>
      </c>
      <c r="G1430" s="2994">
        <v>0</v>
      </c>
      <c r="H1430" s="2994">
        <v>0</v>
      </c>
      <c r="I1430" s="2994">
        <v>0</v>
      </c>
      <c r="J1430" s="2994">
        <v>0</v>
      </c>
      <c r="K1430" s="2994">
        <v>0</v>
      </c>
      <c r="L1430" s="2994">
        <v>0</v>
      </c>
      <c r="M1430" s="2994">
        <v>0</v>
      </c>
      <c r="N1430" s="2994">
        <v>0</v>
      </c>
      <c r="O1430" s="2994">
        <v>0</v>
      </c>
      <c r="P1430" s="2994">
        <v>0</v>
      </c>
      <c r="Q1430" s="2994">
        <v>0</v>
      </c>
      <c r="R1430" s="2994">
        <v>0</v>
      </c>
      <c r="S1430" s="2994">
        <v>0</v>
      </c>
      <c r="T1430" s="2994">
        <v>0</v>
      </c>
      <c r="U1430" s="2994">
        <v>0</v>
      </c>
      <c r="V1430" s="2994">
        <v>0</v>
      </c>
      <c r="W1430" s="2994">
        <v>0</v>
      </c>
      <c r="X1430" s="2994">
        <v>0</v>
      </c>
      <c r="Y1430" s="2994">
        <v>0</v>
      </c>
      <c r="Z1430" s="2994">
        <v>0</v>
      </c>
      <c r="AA1430" s="2994">
        <v>0</v>
      </c>
      <c r="AB1430" s="2994">
        <v>0</v>
      </c>
      <c r="AC1430" s="2994">
        <v>0</v>
      </c>
      <c r="AD1430" s="2994">
        <v>0</v>
      </c>
      <c r="AE1430" s="2994">
        <v>0</v>
      </c>
      <c r="AF1430" s="2994">
        <v>0</v>
      </c>
      <c r="AG1430" s="2994">
        <v>0</v>
      </c>
      <c r="AH1430" s="2994">
        <v>0</v>
      </c>
      <c r="AI1430" s="2994">
        <v>0</v>
      </c>
      <c r="AJ1430" s="2994">
        <v>0</v>
      </c>
      <c r="AK1430" s="2994">
        <v>0</v>
      </c>
      <c r="AL1430" s="2994">
        <v>0</v>
      </c>
      <c r="AM1430" s="2994">
        <v>0</v>
      </c>
      <c r="AN1430" s="2994">
        <v>0</v>
      </c>
      <c r="AO1430" s="2994">
        <v>0</v>
      </c>
      <c r="AP1430" s="2994">
        <v>0</v>
      </c>
      <c r="AQ1430" s="2994">
        <v>0</v>
      </c>
      <c r="AR1430" s="2994">
        <v>0</v>
      </c>
      <c r="AS1430" s="2994">
        <v>0</v>
      </c>
      <c r="AT1430" s="2994">
        <v>0</v>
      </c>
      <c r="AU1430" s="2994">
        <v>0</v>
      </c>
      <c r="AV1430" s="2994">
        <v>0</v>
      </c>
      <c r="AW1430" s="2994">
        <v>0</v>
      </c>
      <c r="AX1430" s="2994">
        <v>0</v>
      </c>
      <c r="AY1430" s="2994">
        <v>0</v>
      </c>
      <c r="AZ1430" s="2994">
        <v>0</v>
      </c>
      <c r="BA1430" s="2994">
        <v>0</v>
      </c>
      <c r="BB1430" s="2994">
        <v>0</v>
      </c>
      <c r="BC1430" s="2994">
        <v>0</v>
      </c>
      <c r="BD1430" s="3471">
        <v>0</v>
      </c>
      <c r="BE1430" s="3471">
        <v>0</v>
      </c>
      <c r="BF1430" s="3471">
        <v>0</v>
      </c>
    </row>
    <row r="1431" spans="1:58">
      <c r="A1431" s="1817" t="str">
        <f t="shared" si="45"/>
        <v>Western EuropePersimmons</v>
      </c>
      <c r="B1431" s="1818" t="s">
        <v>301</v>
      </c>
      <c r="C1431" s="1818" t="s">
        <v>7362</v>
      </c>
      <c r="D1431" s="3463" t="str">
        <f>VLOOKUP(B1431,List_Yield!$G$4:$J$14,4,FALSE)</f>
        <v>Western Europe</v>
      </c>
      <c r="E1431" s="3463" t="str">
        <f t="shared" si="46"/>
        <v>Western EuropePersimmons</v>
      </c>
      <c r="F1431" s="2994">
        <v>0</v>
      </c>
      <c r="G1431" s="2994">
        <v>0</v>
      </c>
      <c r="H1431" s="2994">
        <v>0</v>
      </c>
      <c r="I1431" s="2994">
        <v>0</v>
      </c>
      <c r="J1431" s="2994">
        <v>0</v>
      </c>
      <c r="K1431" s="2994">
        <v>0</v>
      </c>
      <c r="L1431" s="2994">
        <v>0</v>
      </c>
      <c r="M1431" s="2994">
        <v>0</v>
      </c>
      <c r="N1431" s="2994">
        <v>0</v>
      </c>
      <c r="O1431" s="2994">
        <v>0</v>
      </c>
      <c r="P1431" s="2994">
        <v>0</v>
      </c>
      <c r="Q1431" s="2994">
        <v>0</v>
      </c>
      <c r="R1431" s="2994">
        <v>0</v>
      </c>
      <c r="S1431" s="2994">
        <v>0</v>
      </c>
      <c r="T1431" s="2994">
        <v>0</v>
      </c>
      <c r="U1431" s="2994">
        <v>0</v>
      </c>
      <c r="V1431" s="2994">
        <v>0</v>
      </c>
      <c r="W1431" s="2994">
        <v>0</v>
      </c>
      <c r="X1431" s="2994">
        <v>0</v>
      </c>
      <c r="Y1431" s="2994">
        <v>0</v>
      </c>
      <c r="Z1431" s="2994">
        <v>0</v>
      </c>
      <c r="AA1431" s="2994">
        <v>0</v>
      </c>
      <c r="AB1431" s="2994">
        <v>0</v>
      </c>
      <c r="AC1431" s="2994">
        <v>0</v>
      </c>
      <c r="AD1431" s="2994">
        <v>0</v>
      </c>
      <c r="AE1431" s="2994">
        <v>0</v>
      </c>
      <c r="AF1431" s="2994">
        <v>0</v>
      </c>
      <c r="AG1431" s="2994">
        <v>0</v>
      </c>
      <c r="AH1431" s="2994">
        <v>0</v>
      </c>
      <c r="AI1431" s="2994">
        <v>0</v>
      </c>
      <c r="AJ1431" s="2994">
        <v>0</v>
      </c>
      <c r="AK1431" s="2994">
        <v>0</v>
      </c>
      <c r="AL1431" s="2994">
        <v>0</v>
      </c>
      <c r="AM1431" s="2994">
        <v>0</v>
      </c>
      <c r="AN1431" s="2994">
        <v>0</v>
      </c>
      <c r="AO1431" s="2994">
        <v>0</v>
      </c>
      <c r="AP1431" s="2994">
        <v>0</v>
      </c>
      <c r="AQ1431" s="2994">
        <v>0</v>
      </c>
      <c r="AR1431" s="2994">
        <v>0</v>
      </c>
      <c r="AS1431" s="2994">
        <v>0</v>
      </c>
      <c r="AT1431" s="2994">
        <v>0</v>
      </c>
      <c r="AU1431" s="2994">
        <v>0</v>
      </c>
      <c r="AV1431" s="2994">
        <v>0</v>
      </c>
      <c r="AW1431" s="2994">
        <v>0</v>
      </c>
      <c r="AX1431" s="2994">
        <v>0</v>
      </c>
      <c r="AY1431" s="2994">
        <v>0</v>
      </c>
      <c r="AZ1431" s="2994">
        <v>0</v>
      </c>
      <c r="BA1431" s="2994">
        <v>0</v>
      </c>
      <c r="BB1431" s="2994">
        <v>0</v>
      </c>
      <c r="BC1431" s="2994">
        <v>0</v>
      </c>
      <c r="BD1431" s="3471">
        <v>0</v>
      </c>
      <c r="BE1431" s="3471">
        <v>0</v>
      </c>
      <c r="BF1431" s="3471">
        <v>0</v>
      </c>
    </row>
    <row r="1432" spans="1:58">
      <c r="A1432" s="1817" t="str">
        <f t="shared" si="45"/>
        <v>Western EuropePigeon peas</v>
      </c>
      <c r="B1432" s="1818" t="s">
        <v>301</v>
      </c>
      <c r="C1432" s="1818" t="s">
        <v>7363</v>
      </c>
      <c r="D1432" s="3463" t="str">
        <f>VLOOKUP(B1432,List_Yield!$G$4:$J$14,4,FALSE)</f>
        <v>Western Europe</v>
      </c>
      <c r="E1432" s="3463" t="str">
        <f t="shared" si="46"/>
        <v>Western EuropePigeon peas</v>
      </c>
      <c r="F1432" s="2994">
        <v>0</v>
      </c>
      <c r="G1432" s="2994">
        <v>0</v>
      </c>
      <c r="H1432" s="2994">
        <v>0</v>
      </c>
      <c r="I1432" s="2994">
        <v>0</v>
      </c>
      <c r="J1432" s="2994">
        <v>0</v>
      </c>
      <c r="K1432" s="2994">
        <v>0</v>
      </c>
      <c r="L1432" s="2994">
        <v>0</v>
      </c>
      <c r="M1432" s="2994">
        <v>0</v>
      </c>
      <c r="N1432" s="2994">
        <v>0</v>
      </c>
      <c r="O1432" s="2994">
        <v>0</v>
      </c>
      <c r="P1432" s="2994">
        <v>0</v>
      </c>
      <c r="Q1432" s="2994">
        <v>0</v>
      </c>
      <c r="R1432" s="2994">
        <v>0</v>
      </c>
      <c r="S1432" s="2994">
        <v>0</v>
      </c>
      <c r="T1432" s="2994">
        <v>0</v>
      </c>
      <c r="U1432" s="2994">
        <v>0</v>
      </c>
      <c r="V1432" s="2994">
        <v>0</v>
      </c>
      <c r="W1432" s="2994">
        <v>0</v>
      </c>
      <c r="X1432" s="2994">
        <v>0</v>
      </c>
      <c r="Y1432" s="2994">
        <v>0</v>
      </c>
      <c r="Z1432" s="2994">
        <v>0</v>
      </c>
      <c r="AA1432" s="2994">
        <v>0</v>
      </c>
      <c r="AB1432" s="2994">
        <v>0</v>
      </c>
      <c r="AC1432" s="2994">
        <v>0</v>
      </c>
      <c r="AD1432" s="2994">
        <v>0</v>
      </c>
      <c r="AE1432" s="2994">
        <v>0</v>
      </c>
      <c r="AF1432" s="2994">
        <v>0</v>
      </c>
      <c r="AG1432" s="2994">
        <v>0</v>
      </c>
      <c r="AH1432" s="2994">
        <v>0</v>
      </c>
      <c r="AI1432" s="2994">
        <v>0</v>
      </c>
      <c r="AJ1432" s="2994">
        <v>0</v>
      </c>
      <c r="AK1432" s="2994">
        <v>0</v>
      </c>
      <c r="AL1432" s="2994">
        <v>0</v>
      </c>
      <c r="AM1432" s="2994">
        <v>0</v>
      </c>
      <c r="AN1432" s="2994">
        <v>0</v>
      </c>
      <c r="AO1432" s="2994">
        <v>0</v>
      </c>
      <c r="AP1432" s="2994">
        <v>0</v>
      </c>
      <c r="AQ1432" s="2994">
        <v>0</v>
      </c>
      <c r="AR1432" s="2994">
        <v>0</v>
      </c>
      <c r="AS1432" s="2994">
        <v>0</v>
      </c>
      <c r="AT1432" s="2994">
        <v>0</v>
      </c>
      <c r="AU1432" s="2994">
        <v>0</v>
      </c>
      <c r="AV1432" s="2994">
        <v>0</v>
      </c>
      <c r="AW1432" s="2994">
        <v>0</v>
      </c>
      <c r="AX1432" s="2994">
        <v>0</v>
      </c>
      <c r="AY1432" s="2994">
        <v>0</v>
      </c>
      <c r="AZ1432" s="2994">
        <v>0</v>
      </c>
      <c r="BA1432" s="2994">
        <v>0</v>
      </c>
      <c r="BB1432" s="2994">
        <v>0</v>
      </c>
      <c r="BC1432" s="2994">
        <v>0</v>
      </c>
      <c r="BD1432" s="3471">
        <v>0</v>
      </c>
      <c r="BE1432" s="3471">
        <v>0</v>
      </c>
      <c r="BF1432" s="3471">
        <v>0</v>
      </c>
    </row>
    <row r="1433" spans="1:58">
      <c r="A1433" s="1817" t="str">
        <f t="shared" si="45"/>
        <v>Western EuropePineapples</v>
      </c>
      <c r="B1433" s="1818" t="s">
        <v>301</v>
      </c>
      <c r="C1433" s="1818" t="s">
        <v>1325</v>
      </c>
      <c r="D1433" s="3463" t="str">
        <f>VLOOKUP(B1433,List_Yield!$G$4:$J$14,4,FALSE)</f>
        <v>Western Europe</v>
      </c>
      <c r="E1433" s="3463" t="str">
        <f t="shared" si="46"/>
        <v>Western EuropePineapples</v>
      </c>
      <c r="F1433" s="2994">
        <v>0</v>
      </c>
      <c r="G1433" s="2994">
        <v>0</v>
      </c>
      <c r="H1433" s="2994">
        <v>0</v>
      </c>
      <c r="I1433" s="2994">
        <v>0</v>
      </c>
      <c r="J1433" s="2994">
        <v>0</v>
      </c>
      <c r="K1433" s="2994">
        <v>0</v>
      </c>
      <c r="L1433" s="2994">
        <v>0</v>
      </c>
      <c r="M1433" s="2994">
        <v>0</v>
      </c>
      <c r="N1433" s="2994">
        <v>0</v>
      </c>
      <c r="O1433" s="2994">
        <v>0</v>
      </c>
      <c r="P1433" s="2994">
        <v>0</v>
      </c>
      <c r="Q1433" s="2994">
        <v>0</v>
      </c>
      <c r="R1433" s="2994">
        <v>0</v>
      </c>
      <c r="S1433" s="2994">
        <v>0</v>
      </c>
      <c r="T1433" s="2994">
        <v>0</v>
      </c>
      <c r="U1433" s="2994">
        <v>0</v>
      </c>
      <c r="V1433" s="2994">
        <v>0</v>
      </c>
      <c r="W1433" s="2994">
        <v>0</v>
      </c>
      <c r="X1433" s="2994">
        <v>0</v>
      </c>
      <c r="Y1433" s="2994">
        <v>0</v>
      </c>
      <c r="Z1433" s="2994">
        <v>0</v>
      </c>
      <c r="AA1433" s="2994">
        <v>0</v>
      </c>
      <c r="AB1433" s="2994">
        <v>0</v>
      </c>
      <c r="AC1433" s="2994">
        <v>0</v>
      </c>
      <c r="AD1433" s="2994">
        <v>0</v>
      </c>
      <c r="AE1433" s="2994">
        <v>0</v>
      </c>
      <c r="AF1433" s="2994">
        <v>0</v>
      </c>
      <c r="AG1433" s="2994">
        <v>0</v>
      </c>
      <c r="AH1433" s="2994">
        <v>0</v>
      </c>
      <c r="AI1433" s="2994">
        <v>0</v>
      </c>
      <c r="AJ1433" s="2994">
        <v>0</v>
      </c>
      <c r="AK1433" s="2994">
        <v>0</v>
      </c>
      <c r="AL1433" s="2994">
        <v>0</v>
      </c>
      <c r="AM1433" s="2994">
        <v>0</v>
      </c>
      <c r="AN1433" s="2994">
        <v>0</v>
      </c>
      <c r="AO1433" s="2994">
        <v>0</v>
      </c>
      <c r="AP1433" s="2994">
        <v>0</v>
      </c>
      <c r="AQ1433" s="2994">
        <v>0</v>
      </c>
      <c r="AR1433" s="2994">
        <v>0</v>
      </c>
      <c r="AS1433" s="2994">
        <v>0</v>
      </c>
      <c r="AT1433" s="2994">
        <v>0</v>
      </c>
      <c r="AU1433" s="2994">
        <v>0</v>
      </c>
      <c r="AV1433" s="2994">
        <v>0</v>
      </c>
      <c r="AW1433" s="2994">
        <v>0</v>
      </c>
      <c r="AX1433" s="2994">
        <v>0</v>
      </c>
      <c r="AY1433" s="2994">
        <v>0</v>
      </c>
      <c r="AZ1433" s="2994">
        <v>0</v>
      </c>
      <c r="BA1433" s="2994">
        <v>0</v>
      </c>
      <c r="BB1433" s="2994">
        <v>0</v>
      </c>
      <c r="BC1433" s="2994">
        <v>0</v>
      </c>
      <c r="BD1433" s="3471">
        <v>0</v>
      </c>
      <c r="BE1433" s="3471">
        <v>0</v>
      </c>
      <c r="BF1433" s="3471">
        <v>0</v>
      </c>
    </row>
    <row r="1434" spans="1:58">
      <c r="A1434" s="1817" t="str">
        <f t="shared" si="45"/>
        <v>Western EuropePistachios</v>
      </c>
      <c r="B1434" s="1818" t="s">
        <v>301</v>
      </c>
      <c r="C1434" s="1818" t="s">
        <v>7364</v>
      </c>
      <c r="D1434" s="3463" t="str">
        <f>VLOOKUP(B1434,List_Yield!$G$4:$J$14,4,FALSE)</f>
        <v>Western Europe</v>
      </c>
      <c r="E1434" s="3463" t="str">
        <f t="shared" si="46"/>
        <v>Western EuropePistachios</v>
      </c>
      <c r="F1434" s="2994">
        <v>0</v>
      </c>
      <c r="G1434" s="2994">
        <v>0</v>
      </c>
      <c r="H1434" s="2994">
        <v>0</v>
      </c>
      <c r="I1434" s="2994">
        <v>0</v>
      </c>
      <c r="J1434" s="2994">
        <v>0</v>
      </c>
      <c r="K1434" s="2994">
        <v>0</v>
      </c>
      <c r="L1434" s="2994">
        <v>0</v>
      </c>
      <c r="M1434" s="2994">
        <v>0</v>
      </c>
      <c r="N1434" s="2994">
        <v>0</v>
      </c>
      <c r="O1434" s="2994">
        <v>0</v>
      </c>
      <c r="P1434" s="2994">
        <v>0</v>
      </c>
      <c r="Q1434" s="2994">
        <v>0</v>
      </c>
      <c r="R1434" s="2994">
        <v>0</v>
      </c>
      <c r="S1434" s="2994">
        <v>0</v>
      </c>
      <c r="T1434" s="2994">
        <v>0</v>
      </c>
      <c r="U1434" s="2994">
        <v>0</v>
      </c>
      <c r="V1434" s="2994">
        <v>0</v>
      </c>
      <c r="W1434" s="2994">
        <v>0</v>
      </c>
      <c r="X1434" s="2994">
        <v>0</v>
      </c>
      <c r="Y1434" s="2994">
        <v>0</v>
      </c>
      <c r="Z1434" s="2994">
        <v>0</v>
      </c>
      <c r="AA1434" s="2994">
        <v>0</v>
      </c>
      <c r="AB1434" s="2994">
        <v>0</v>
      </c>
      <c r="AC1434" s="2994">
        <v>0</v>
      </c>
      <c r="AD1434" s="2994">
        <v>0</v>
      </c>
      <c r="AE1434" s="2994">
        <v>0</v>
      </c>
      <c r="AF1434" s="2994">
        <v>0</v>
      </c>
      <c r="AG1434" s="2994">
        <v>0</v>
      </c>
      <c r="AH1434" s="2994">
        <v>0</v>
      </c>
      <c r="AI1434" s="2994">
        <v>0</v>
      </c>
      <c r="AJ1434" s="2994">
        <v>0</v>
      </c>
      <c r="AK1434" s="2994">
        <v>0</v>
      </c>
      <c r="AL1434" s="2994">
        <v>0</v>
      </c>
      <c r="AM1434" s="2994">
        <v>0</v>
      </c>
      <c r="AN1434" s="2994">
        <v>0</v>
      </c>
      <c r="AO1434" s="2994">
        <v>0</v>
      </c>
      <c r="AP1434" s="2994">
        <v>0</v>
      </c>
      <c r="AQ1434" s="2994">
        <v>0</v>
      </c>
      <c r="AR1434" s="2994">
        <v>0</v>
      </c>
      <c r="AS1434" s="2994">
        <v>0</v>
      </c>
      <c r="AT1434" s="2994">
        <v>0</v>
      </c>
      <c r="AU1434" s="2994">
        <v>0</v>
      </c>
      <c r="AV1434" s="2994">
        <v>0</v>
      </c>
      <c r="AW1434" s="2994">
        <v>0</v>
      </c>
      <c r="AX1434" s="2994">
        <v>0</v>
      </c>
      <c r="AY1434" s="2994">
        <v>0</v>
      </c>
      <c r="AZ1434" s="2994">
        <v>0</v>
      </c>
      <c r="BA1434" s="2994">
        <v>0</v>
      </c>
      <c r="BB1434" s="2994">
        <v>0</v>
      </c>
      <c r="BC1434" s="2994">
        <v>0</v>
      </c>
      <c r="BD1434" s="3471">
        <v>0</v>
      </c>
      <c r="BE1434" s="3471">
        <v>0</v>
      </c>
      <c r="BF1434" s="3471">
        <v>0</v>
      </c>
    </row>
    <row r="1435" spans="1:58">
      <c r="A1435" s="1817" t="str">
        <f t="shared" si="45"/>
        <v>Western EuropePlantains</v>
      </c>
      <c r="B1435" s="1818" t="s">
        <v>301</v>
      </c>
      <c r="C1435" s="1818" t="s">
        <v>1367</v>
      </c>
      <c r="D1435" s="3463" t="str">
        <f>VLOOKUP(B1435,List_Yield!$G$4:$J$14,4,FALSE)</f>
        <v>Western Europe</v>
      </c>
      <c r="E1435" s="3463" t="str">
        <f t="shared" si="46"/>
        <v>Western EuropePlantains</v>
      </c>
      <c r="F1435" s="2994">
        <v>0</v>
      </c>
      <c r="G1435" s="2994">
        <v>0</v>
      </c>
      <c r="H1435" s="2994">
        <v>0</v>
      </c>
      <c r="I1435" s="2994">
        <v>0</v>
      </c>
      <c r="J1435" s="2994">
        <v>0</v>
      </c>
      <c r="K1435" s="2994">
        <v>0</v>
      </c>
      <c r="L1435" s="2994">
        <v>0</v>
      </c>
      <c r="M1435" s="2994">
        <v>0</v>
      </c>
      <c r="N1435" s="2994">
        <v>0</v>
      </c>
      <c r="O1435" s="2994">
        <v>0</v>
      </c>
      <c r="P1435" s="2994">
        <v>0</v>
      </c>
      <c r="Q1435" s="2994">
        <v>0</v>
      </c>
      <c r="R1435" s="2994">
        <v>0</v>
      </c>
      <c r="S1435" s="2994">
        <v>0</v>
      </c>
      <c r="T1435" s="2994">
        <v>0</v>
      </c>
      <c r="U1435" s="2994">
        <v>0</v>
      </c>
      <c r="V1435" s="2994">
        <v>0</v>
      </c>
      <c r="W1435" s="2994">
        <v>0</v>
      </c>
      <c r="X1435" s="2994">
        <v>0</v>
      </c>
      <c r="Y1435" s="2994">
        <v>0</v>
      </c>
      <c r="Z1435" s="2994">
        <v>0</v>
      </c>
      <c r="AA1435" s="2994">
        <v>0</v>
      </c>
      <c r="AB1435" s="2994">
        <v>0</v>
      </c>
      <c r="AC1435" s="2994">
        <v>0</v>
      </c>
      <c r="AD1435" s="2994">
        <v>0</v>
      </c>
      <c r="AE1435" s="2994">
        <v>0</v>
      </c>
      <c r="AF1435" s="2994">
        <v>0</v>
      </c>
      <c r="AG1435" s="2994">
        <v>0</v>
      </c>
      <c r="AH1435" s="2994">
        <v>0</v>
      </c>
      <c r="AI1435" s="2994">
        <v>0</v>
      </c>
      <c r="AJ1435" s="2994">
        <v>0</v>
      </c>
      <c r="AK1435" s="2994">
        <v>0</v>
      </c>
      <c r="AL1435" s="2994">
        <v>0</v>
      </c>
      <c r="AM1435" s="2994">
        <v>0</v>
      </c>
      <c r="AN1435" s="2994">
        <v>0</v>
      </c>
      <c r="AO1435" s="2994">
        <v>0</v>
      </c>
      <c r="AP1435" s="2994">
        <v>0</v>
      </c>
      <c r="AQ1435" s="2994">
        <v>0</v>
      </c>
      <c r="AR1435" s="2994">
        <v>0</v>
      </c>
      <c r="AS1435" s="2994">
        <v>0</v>
      </c>
      <c r="AT1435" s="2994">
        <v>0</v>
      </c>
      <c r="AU1435" s="2994">
        <v>0</v>
      </c>
      <c r="AV1435" s="2994">
        <v>0</v>
      </c>
      <c r="AW1435" s="2994">
        <v>0</v>
      </c>
      <c r="AX1435" s="2994">
        <v>0</v>
      </c>
      <c r="AY1435" s="2994">
        <v>0</v>
      </c>
      <c r="AZ1435" s="2994">
        <v>0</v>
      </c>
      <c r="BA1435" s="2994">
        <v>0</v>
      </c>
      <c r="BB1435" s="2994">
        <v>0</v>
      </c>
      <c r="BC1435" s="2994">
        <v>0</v>
      </c>
      <c r="BD1435" s="3471">
        <v>0</v>
      </c>
      <c r="BE1435" s="3471">
        <v>0</v>
      </c>
      <c r="BF1435" s="3471">
        <v>0</v>
      </c>
    </row>
    <row r="1436" spans="1:58">
      <c r="A1436" s="1817" t="str">
        <f t="shared" si="45"/>
        <v>Western EuropePlums and sloes</v>
      </c>
      <c r="B1436" s="1818" t="s">
        <v>301</v>
      </c>
      <c r="C1436" s="1818" t="s">
        <v>7365</v>
      </c>
      <c r="D1436" s="3463" t="str">
        <f>VLOOKUP(B1436,List_Yield!$G$4:$J$14,4,FALSE)</f>
        <v>Western Europe</v>
      </c>
      <c r="E1436" s="3463" t="str">
        <f t="shared" si="46"/>
        <v>Western EuropePlums and sloes</v>
      </c>
      <c r="F1436" s="2994">
        <v>73.595299999999995</v>
      </c>
      <c r="G1436" s="2994">
        <v>29.1981</v>
      </c>
      <c r="H1436" s="2994">
        <v>56.503999999999998</v>
      </c>
      <c r="I1436" s="2994">
        <v>31.504300000000001</v>
      </c>
      <c r="J1436" s="2994">
        <v>47.012300000000003</v>
      </c>
      <c r="K1436" s="2994">
        <v>39.792400000000001</v>
      </c>
      <c r="L1436" s="2994">
        <v>29.7455</v>
      </c>
      <c r="M1436" s="2994">
        <v>64.572000000000003</v>
      </c>
      <c r="N1436" s="2994">
        <v>48.983400000000003</v>
      </c>
      <c r="O1436" s="2994">
        <v>53.0961</v>
      </c>
      <c r="P1436" s="2994">
        <v>36.103299999999997</v>
      </c>
      <c r="Q1436" s="2994">
        <v>40.591799999999999</v>
      </c>
      <c r="R1436" s="2994">
        <v>47.648499999999999</v>
      </c>
      <c r="S1436" s="2994">
        <v>41.943899999999999</v>
      </c>
      <c r="T1436" s="2994">
        <v>20.7453</v>
      </c>
      <c r="U1436" s="2994">
        <v>47.677799999999998</v>
      </c>
      <c r="V1436" s="2994">
        <v>32.700099999999999</v>
      </c>
      <c r="W1436" s="2994">
        <v>45.283799999999999</v>
      </c>
      <c r="X1436" s="2994">
        <v>44.042999999999999</v>
      </c>
      <c r="Y1436" s="2994">
        <v>50.338299999999997</v>
      </c>
      <c r="Z1436" s="2994">
        <v>15.1546</v>
      </c>
      <c r="AA1436" s="2994">
        <v>40.647300000000001</v>
      </c>
      <c r="AB1436" s="2994">
        <v>28.982600000000001</v>
      </c>
      <c r="AC1436" s="2994">
        <v>36.455500000000001</v>
      </c>
      <c r="AD1436" s="2994">
        <v>7.9425999999999997</v>
      </c>
      <c r="AE1436" s="2994">
        <v>8.3774999999999995</v>
      </c>
      <c r="AF1436" s="2994">
        <v>6.4945000000000004</v>
      </c>
      <c r="AG1436" s="2994">
        <v>8.2820999999999998</v>
      </c>
      <c r="AH1436" s="2994">
        <v>6.6783999999999999</v>
      </c>
      <c r="AI1436" s="2994">
        <v>6.9949000000000003</v>
      </c>
      <c r="AJ1436" s="2994">
        <v>10.6015</v>
      </c>
      <c r="AK1436" s="2994">
        <v>12.4674</v>
      </c>
      <c r="AL1436" s="2994">
        <v>7.9767000000000001</v>
      </c>
      <c r="AM1436" s="2994">
        <v>8.9196000000000009</v>
      </c>
      <c r="AN1436" s="2994">
        <v>10.4756</v>
      </c>
      <c r="AO1436" s="2994">
        <v>12.6744</v>
      </c>
      <c r="AP1436" s="2994">
        <v>8.8188999999999993</v>
      </c>
      <c r="AQ1436" s="2994">
        <v>8.3396000000000008</v>
      </c>
      <c r="AR1436" s="2994">
        <v>8.1816999999999993</v>
      </c>
      <c r="AS1436" s="2994">
        <v>10.8047</v>
      </c>
      <c r="AT1436" s="2994">
        <v>12.6866</v>
      </c>
      <c r="AU1436" s="2994">
        <v>11.4049</v>
      </c>
      <c r="AV1436" s="2994">
        <v>12.645200000000001</v>
      </c>
      <c r="AW1436" s="2994">
        <v>13.0519</v>
      </c>
      <c r="AX1436" s="2994">
        <v>10.925700000000001</v>
      </c>
      <c r="AY1436" s="2994">
        <v>12.232799999999999</v>
      </c>
      <c r="AZ1436" s="2994">
        <v>12.881</v>
      </c>
      <c r="BA1436" s="2994">
        <v>9.6198999999999995</v>
      </c>
      <c r="BB1436" s="2994">
        <v>14.4693</v>
      </c>
      <c r="BC1436" s="2994">
        <v>13.399800000000001</v>
      </c>
      <c r="BD1436" s="3471">
        <v>12.209</v>
      </c>
      <c r="BE1436" s="3471">
        <v>11.4077</v>
      </c>
      <c r="BF1436" s="3471">
        <v>0</v>
      </c>
    </row>
    <row r="1437" spans="1:58">
      <c r="A1437" s="1817" t="str">
        <f t="shared" si="45"/>
        <v>Western EuropePopcorn</v>
      </c>
      <c r="B1437" s="1818" t="s">
        <v>301</v>
      </c>
      <c r="C1437" s="1818" t="s">
        <v>7366</v>
      </c>
      <c r="D1437" s="3463" t="str">
        <f>VLOOKUP(B1437,List_Yield!$G$4:$J$14,4,FALSE)</f>
        <v>Western Europe</v>
      </c>
      <c r="E1437" s="3463" t="str">
        <f t="shared" si="46"/>
        <v>Western EuropePopcorn</v>
      </c>
      <c r="F1437" s="2994">
        <v>0</v>
      </c>
      <c r="G1437" s="2994">
        <v>0</v>
      </c>
      <c r="H1437" s="2994">
        <v>0</v>
      </c>
      <c r="I1437" s="2994">
        <v>0</v>
      </c>
      <c r="J1437" s="2994">
        <v>0</v>
      </c>
      <c r="K1437" s="2994">
        <v>0</v>
      </c>
      <c r="L1437" s="2994">
        <v>0</v>
      </c>
      <c r="M1437" s="2994">
        <v>0</v>
      </c>
      <c r="N1437" s="2994">
        <v>0</v>
      </c>
      <c r="O1437" s="2994">
        <v>0</v>
      </c>
      <c r="P1437" s="2994">
        <v>0</v>
      </c>
      <c r="Q1437" s="2994">
        <v>0</v>
      </c>
      <c r="R1437" s="2994">
        <v>0</v>
      </c>
      <c r="S1437" s="2994">
        <v>0</v>
      </c>
      <c r="T1437" s="2994">
        <v>0</v>
      </c>
      <c r="U1437" s="2994">
        <v>0</v>
      </c>
      <c r="V1437" s="2994">
        <v>0</v>
      </c>
      <c r="W1437" s="2994">
        <v>0</v>
      </c>
      <c r="X1437" s="2994">
        <v>0</v>
      </c>
      <c r="Y1437" s="2994">
        <v>0</v>
      </c>
      <c r="Z1437" s="2994">
        <v>0</v>
      </c>
      <c r="AA1437" s="2994">
        <v>0</v>
      </c>
      <c r="AB1437" s="2994">
        <v>0</v>
      </c>
      <c r="AC1437" s="2994">
        <v>0</v>
      </c>
      <c r="AD1437" s="2994">
        <v>0</v>
      </c>
      <c r="AE1437" s="2994">
        <v>0</v>
      </c>
      <c r="AF1437" s="2994">
        <v>0</v>
      </c>
      <c r="AG1437" s="2994">
        <v>0</v>
      </c>
      <c r="AH1437" s="2994">
        <v>0</v>
      </c>
      <c r="AI1437" s="2994">
        <v>0</v>
      </c>
      <c r="AJ1437" s="2994">
        <v>0</v>
      </c>
      <c r="AK1437" s="2994">
        <v>0</v>
      </c>
      <c r="AL1437" s="2994">
        <v>0</v>
      </c>
      <c r="AM1437" s="2994">
        <v>0</v>
      </c>
      <c r="AN1437" s="2994">
        <v>0</v>
      </c>
      <c r="AO1437" s="2994">
        <v>0</v>
      </c>
      <c r="AP1437" s="2994">
        <v>0</v>
      </c>
      <c r="AQ1437" s="2994">
        <v>0</v>
      </c>
      <c r="AR1437" s="2994">
        <v>0</v>
      </c>
      <c r="AS1437" s="2994">
        <v>0</v>
      </c>
      <c r="AT1437" s="2994">
        <v>0</v>
      </c>
      <c r="AU1437" s="2994">
        <v>0</v>
      </c>
      <c r="AV1437" s="2994">
        <v>0</v>
      </c>
      <c r="AW1437" s="2994">
        <v>0</v>
      </c>
      <c r="AX1437" s="2994">
        <v>0</v>
      </c>
      <c r="AY1437" s="2994">
        <v>0</v>
      </c>
      <c r="AZ1437" s="2994">
        <v>0</v>
      </c>
      <c r="BA1437" s="2994">
        <v>0</v>
      </c>
      <c r="BB1437" s="2994">
        <v>0</v>
      </c>
      <c r="BC1437" s="2994">
        <v>0</v>
      </c>
      <c r="BD1437" s="3471">
        <v>0</v>
      </c>
      <c r="BE1437" s="3471">
        <v>0</v>
      </c>
      <c r="BF1437" s="3471">
        <v>0</v>
      </c>
    </row>
    <row r="1438" spans="1:58">
      <c r="A1438" s="1817" t="str">
        <f t="shared" si="45"/>
        <v>Western EuropePoppy seed</v>
      </c>
      <c r="B1438" s="1818" t="s">
        <v>301</v>
      </c>
      <c r="C1438" s="1818" t="s">
        <v>7367</v>
      </c>
      <c r="D1438" s="3463" t="str">
        <f>VLOOKUP(B1438,List_Yield!$G$4:$J$14,4,FALSE)</f>
        <v>Western Europe</v>
      </c>
      <c r="E1438" s="3463" t="str">
        <f t="shared" si="46"/>
        <v>Western EuropePoppy seed</v>
      </c>
      <c r="F1438" s="2994">
        <v>0.72899999999999998</v>
      </c>
      <c r="G1438" s="2994">
        <v>0.71050000000000002</v>
      </c>
      <c r="H1438" s="2994">
        <v>0.66669999999999996</v>
      </c>
      <c r="I1438" s="2994">
        <v>0.61680000000000001</v>
      </c>
      <c r="J1438" s="2994">
        <v>0.65839999999999999</v>
      </c>
      <c r="K1438" s="2994">
        <v>0.6804</v>
      </c>
      <c r="L1438" s="2994">
        <v>0.69410000000000005</v>
      </c>
      <c r="M1438" s="2994">
        <v>0.76900000000000002</v>
      </c>
      <c r="N1438" s="2994">
        <v>0.74029999999999996</v>
      </c>
      <c r="O1438" s="2994">
        <v>0.80530000000000002</v>
      </c>
      <c r="P1438" s="2994">
        <v>0.94099999999999995</v>
      </c>
      <c r="Q1438" s="2994">
        <v>0.78800000000000003</v>
      </c>
      <c r="R1438" s="2994">
        <v>0.68879999999999997</v>
      </c>
      <c r="S1438" s="2994">
        <v>0.83599999999999997</v>
      </c>
      <c r="T1438" s="2994">
        <v>0.92810000000000004</v>
      </c>
      <c r="U1438" s="2994">
        <v>0.83879999999999999</v>
      </c>
      <c r="V1438" s="2994">
        <v>0.88060000000000005</v>
      </c>
      <c r="W1438" s="2994">
        <v>0.6754</v>
      </c>
      <c r="X1438" s="2994">
        <v>0.58560000000000001</v>
      </c>
      <c r="Y1438" s="2994">
        <v>0.50570000000000004</v>
      </c>
      <c r="Z1438" s="2994">
        <v>0.50619999999999998</v>
      </c>
      <c r="AA1438" s="2994">
        <v>0.73599999999999999</v>
      </c>
      <c r="AB1438" s="2994">
        <v>0.62590000000000001</v>
      </c>
      <c r="AC1438" s="2994">
        <v>0.7268</v>
      </c>
      <c r="AD1438" s="2994">
        <v>0.75919999999999999</v>
      </c>
      <c r="AE1438" s="2994">
        <v>0.64629999999999999</v>
      </c>
      <c r="AF1438" s="2994">
        <v>0.70399999999999996</v>
      </c>
      <c r="AG1438" s="2994">
        <v>0.6784</v>
      </c>
      <c r="AH1438" s="2994">
        <v>0.78949999999999998</v>
      </c>
      <c r="AI1438" s="2994">
        <v>0.7399</v>
      </c>
      <c r="AJ1438" s="2994">
        <v>0.53359999999999996</v>
      </c>
      <c r="AK1438" s="2994">
        <v>0.41920000000000002</v>
      </c>
      <c r="AL1438" s="2994">
        <v>0.73660000000000003</v>
      </c>
      <c r="AM1438" s="2994">
        <v>0.76070000000000004</v>
      </c>
      <c r="AN1438" s="2994">
        <v>0.78500000000000003</v>
      </c>
      <c r="AO1438" s="2994">
        <v>0.59650000000000003</v>
      </c>
      <c r="AP1438" s="2994">
        <v>0.53779999999999994</v>
      </c>
      <c r="AQ1438" s="2994">
        <v>0.54559999999999997</v>
      </c>
      <c r="AR1438" s="2994">
        <v>0.56079999999999997</v>
      </c>
      <c r="AS1438" s="2994">
        <v>0.47770000000000001</v>
      </c>
      <c r="AT1438" s="2994">
        <v>0.56940000000000002</v>
      </c>
      <c r="AU1438" s="2994">
        <v>0.53290000000000004</v>
      </c>
      <c r="AV1438" s="2994">
        <v>0.47739999999999999</v>
      </c>
      <c r="AW1438" s="2994">
        <v>0.52600000000000002</v>
      </c>
      <c r="AX1438" s="2994">
        <v>0.5383</v>
      </c>
      <c r="AY1438" s="2994">
        <v>0.55769999999999997</v>
      </c>
      <c r="AZ1438" s="2994">
        <v>0.58460000000000001</v>
      </c>
      <c r="BA1438" s="2994">
        <v>0.64090000000000003</v>
      </c>
      <c r="BB1438" s="2994">
        <v>0.66090000000000004</v>
      </c>
      <c r="BC1438" s="2994">
        <v>0.61450000000000005</v>
      </c>
      <c r="BD1438" s="3471">
        <v>0.64190000000000003</v>
      </c>
      <c r="BE1438" s="3471">
        <v>0.442</v>
      </c>
      <c r="BF1438" s="3471">
        <v>0.499</v>
      </c>
    </row>
    <row r="1439" spans="1:58">
      <c r="A1439" s="1817" t="str">
        <f t="shared" si="45"/>
        <v>Western EuropePotatoes</v>
      </c>
      <c r="B1439" s="1818" t="s">
        <v>301</v>
      </c>
      <c r="C1439" s="1818" t="s">
        <v>1368</v>
      </c>
      <c r="D1439" s="3463" t="str">
        <f>VLOOKUP(B1439,List_Yield!$G$4:$J$14,4,FALSE)</f>
        <v>Western Europe</v>
      </c>
      <c r="E1439" s="3463" t="str">
        <f t="shared" si="46"/>
        <v>Western EuropePotatoes</v>
      </c>
      <c r="F1439" s="2994">
        <v>18.319500000000001</v>
      </c>
      <c r="G1439" s="2994">
        <v>20.802399999999999</v>
      </c>
      <c r="H1439" s="2994">
        <v>22.238700000000001</v>
      </c>
      <c r="I1439" s="2994">
        <v>20.8569</v>
      </c>
      <c r="J1439" s="2994">
        <v>20.6173</v>
      </c>
      <c r="K1439" s="2994">
        <v>22.373200000000001</v>
      </c>
      <c r="L1439" s="2994">
        <v>24.96</v>
      </c>
      <c r="M1439" s="2994">
        <v>24.527100000000001</v>
      </c>
      <c r="N1439" s="2994">
        <v>22.594000000000001</v>
      </c>
      <c r="O1439" s="2994">
        <v>24.4894</v>
      </c>
      <c r="P1439" s="2994">
        <v>23.506</v>
      </c>
      <c r="Q1439" s="2994">
        <v>25.211300000000001</v>
      </c>
      <c r="R1439" s="2994">
        <v>24.275600000000001</v>
      </c>
      <c r="S1439" s="2994">
        <v>27.105799999999999</v>
      </c>
      <c r="T1439" s="2994">
        <v>21.765599999999999</v>
      </c>
      <c r="U1439" s="2994">
        <v>18.322700000000001</v>
      </c>
      <c r="V1439" s="2994">
        <v>24.683499999999999</v>
      </c>
      <c r="W1439" s="2994">
        <v>26.0718</v>
      </c>
      <c r="X1439" s="2994">
        <v>27.6601</v>
      </c>
      <c r="Y1439" s="2994">
        <v>25.138500000000001</v>
      </c>
      <c r="Z1439" s="2994">
        <v>28.103300000000001</v>
      </c>
      <c r="AA1439" s="2994">
        <v>26.684999999999999</v>
      </c>
      <c r="AB1439" s="2994">
        <v>22.568100000000001</v>
      </c>
      <c r="AC1439" s="2994">
        <v>30.498899999999999</v>
      </c>
      <c r="AD1439" s="2994">
        <v>32.329900000000002</v>
      </c>
      <c r="AE1439" s="2994">
        <v>30.040900000000001</v>
      </c>
      <c r="AF1439" s="2994">
        <v>32.917200000000001</v>
      </c>
      <c r="AG1439" s="2994">
        <v>33.270899999999997</v>
      </c>
      <c r="AH1439" s="2994">
        <v>29.624700000000001</v>
      </c>
      <c r="AI1439" s="2994">
        <v>29.658300000000001</v>
      </c>
      <c r="AJ1439" s="2994">
        <v>33.329599999999999</v>
      </c>
      <c r="AK1439" s="2994">
        <v>34.941600000000001</v>
      </c>
      <c r="AL1439" s="2994">
        <v>39.933900000000001</v>
      </c>
      <c r="AM1439" s="2994">
        <v>35.2789</v>
      </c>
      <c r="AN1439" s="2994">
        <v>34.8337</v>
      </c>
      <c r="AO1439" s="2994">
        <v>40.332700000000003</v>
      </c>
      <c r="AP1439" s="2994">
        <v>41.4666</v>
      </c>
      <c r="AQ1439" s="2994">
        <v>39.006</v>
      </c>
      <c r="AR1439" s="2994">
        <v>40.902000000000001</v>
      </c>
      <c r="AS1439" s="2994">
        <v>43.360599999999998</v>
      </c>
      <c r="AT1439" s="2994">
        <v>40.8277</v>
      </c>
      <c r="AU1439" s="2994">
        <v>42.0779</v>
      </c>
      <c r="AV1439" s="2994">
        <v>37.677</v>
      </c>
      <c r="AW1439" s="2994">
        <v>44.706800000000001</v>
      </c>
      <c r="AX1439" s="2994">
        <v>42.133099999999999</v>
      </c>
      <c r="AY1439" s="2994">
        <v>38.083100000000002</v>
      </c>
      <c r="AZ1439" s="2994">
        <v>43.389400000000002</v>
      </c>
      <c r="BA1439" s="2994">
        <v>43.512900000000002</v>
      </c>
      <c r="BB1439" s="2994">
        <v>44.6389</v>
      </c>
      <c r="BC1439" s="2994">
        <v>41.251199999999997</v>
      </c>
      <c r="BD1439" s="3471">
        <v>46.209099999999999</v>
      </c>
      <c r="BE1439" s="3471">
        <v>43.486899999999999</v>
      </c>
      <c r="BF1439" s="3471">
        <v>41.79</v>
      </c>
    </row>
    <row r="1440" spans="1:58">
      <c r="A1440" s="1817" t="str">
        <f t="shared" si="45"/>
        <v>Western EuropePulses, nes</v>
      </c>
      <c r="B1440" s="1818" t="s">
        <v>301</v>
      </c>
      <c r="C1440" s="1818" t="s">
        <v>1369</v>
      </c>
      <c r="D1440" s="3463" t="str">
        <f>VLOOKUP(B1440,List_Yield!$G$4:$J$14,4,FALSE)</f>
        <v>Western Europe</v>
      </c>
      <c r="E1440" s="3463" t="str">
        <f t="shared" si="46"/>
        <v>Western EuropePulses, nes</v>
      </c>
      <c r="F1440" s="2994">
        <v>2.1080000000000001</v>
      </c>
      <c r="G1440" s="2994">
        <v>2.1819999999999999</v>
      </c>
      <c r="H1440" s="2994">
        <v>2.2117</v>
      </c>
      <c r="I1440" s="2994">
        <v>2.19</v>
      </c>
      <c r="J1440" s="2994">
        <v>2.3647999999999998</v>
      </c>
      <c r="K1440" s="2994">
        <v>2.4304999999999999</v>
      </c>
      <c r="L1440" s="2994">
        <v>2.6074000000000002</v>
      </c>
      <c r="M1440" s="2994">
        <v>2.5829</v>
      </c>
      <c r="N1440" s="2994">
        <v>2.5085000000000002</v>
      </c>
      <c r="O1440" s="2994">
        <v>2.6282999999999999</v>
      </c>
      <c r="P1440" s="2994">
        <v>2.5503999999999998</v>
      </c>
      <c r="Q1440" s="2994">
        <v>2.4112</v>
      </c>
      <c r="R1440" s="2994">
        <v>2.4655</v>
      </c>
      <c r="S1440" s="2994">
        <v>2.6255999999999999</v>
      </c>
      <c r="T1440" s="2994">
        <v>2.7038000000000002</v>
      </c>
      <c r="U1440" s="2994">
        <v>1.8635999999999999</v>
      </c>
      <c r="V1440" s="2994">
        <v>2.7450999999999999</v>
      </c>
      <c r="W1440" s="2994">
        <v>2.7172999999999998</v>
      </c>
      <c r="X1440" s="2994">
        <v>2.8799000000000001</v>
      </c>
      <c r="Y1440" s="2994">
        <v>2.8803000000000001</v>
      </c>
      <c r="Z1440" s="2994">
        <v>2.3936999999999999</v>
      </c>
      <c r="AA1440" s="2994">
        <v>2.5291000000000001</v>
      </c>
      <c r="AB1440" s="2994">
        <v>2.4567000000000001</v>
      </c>
      <c r="AC1440" s="2994">
        <v>2.6154999999999999</v>
      </c>
      <c r="AD1440" s="2994">
        <v>3.3957000000000002</v>
      </c>
      <c r="AE1440" s="2994">
        <v>3.0762</v>
      </c>
      <c r="AF1440" s="2994">
        <v>2.9174000000000002</v>
      </c>
      <c r="AG1440" s="2994">
        <v>3.4672999999999998</v>
      </c>
      <c r="AH1440" s="2994">
        <v>3.3965999999999998</v>
      </c>
      <c r="AI1440" s="2994">
        <v>3.3675999999999999</v>
      </c>
      <c r="AJ1440" s="2994">
        <v>3.4885999999999999</v>
      </c>
      <c r="AK1440" s="2994">
        <v>3.5314999999999999</v>
      </c>
      <c r="AL1440" s="2994">
        <v>3.8422000000000001</v>
      </c>
      <c r="AM1440" s="2994">
        <v>3.9546000000000001</v>
      </c>
      <c r="AN1440" s="2994">
        <v>3.915</v>
      </c>
      <c r="AO1440" s="2994">
        <v>4.1726999999999999</v>
      </c>
      <c r="AP1440" s="2994">
        <v>4.1052999999999997</v>
      </c>
      <c r="AQ1440" s="2994">
        <v>4.5620000000000003</v>
      </c>
      <c r="AR1440" s="2994">
        <v>4.8047000000000004</v>
      </c>
      <c r="AS1440" s="2994">
        <v>4</v>
      </c>
      <c r="AT1440" s="2994">
        <v>3.5223</v>
      </c>
      <c r="AU1440" s="2994">
        <v>3.9965000000000002</v>
      </c>
      <c r="AV1440" s="2994">
        <v>2.4418000000000002</v>
      </c>
      <c r="AW1440" s="2994">
        <v>2.5085000000000002</v>
      </c>
      <c r="AX1440" s="2994">
        <v>2.3687</v>
      </c>
      <c r="AY1440" s="2994">
        <v>2.5707</v>
      </c>
      <c r="AZ1440" s="2994">
        <v>2.3130000000000002</v>
      </c>
      <c r="BA1440" s="2994">
        <v>2.5831</v>
      </c>
      <c r="BB1440" s="2994">
        <v>3.4577</v>
      </c>
      <c r="BC1440" s="2994">
        <v>2.7730999999999999</v>
      </c>
      <c r="BD1440" s="3471">
        <v>2.5276999999999998</v>
      </c>
      <c r="BE1440" s="3471">
        <v>2.4925000000000002</v>
      </c>
      <c r="BF1440" s="3471">
        <v>2.4929000000000001</v>
      </c>
    </row>
    <row r="1441" spans="1:58">
      <c r="A1441" s="1817" t="str">
        <f t="shared" si="45"/>
        <v>Western EuropePumpkins, squash and gourds</v>
      </c>
      <c r="B1441" s="1818" t="s">
        <v>301</v>
      </c>
      <c r="C1441" s="1818" t="s">
        <v>7368</v>
      </c>
      <c r="D1441" s="3463" t="str">
        <f>VLOOKUP(B1441,List_Yield!$G$4:$J$14,4,FALSE)</f>
        <v>Western Europe</v>
      </c>
      <c r="E1441" s="3463" t="str">
        <f t="shared" si="46"/>
        <v>Western EuropePumpkins, squash and gourds</v>
      </c>
      <c r="F1441" s="2994">
        <v>45.4101</v>
      </c>
      <c r="G1441" s="2994">
        <v>36.143300000000004</v>
      </c>
      <c r="H1441" s="2994">
        <v>38.671500000000002</v>
      </c>
      <c r="I1441" s="2994">
        <v>30.435300000000002</v>
      </c>
      <c r="J1441" s="2994">
        <v>29.147400000000001</v>
      </c>
      <c r="K1441" s="2994">
        <v>29.318100000000001</v>
      </c>
      <c r="L1441" s="2994">
        <v>28.156199999999998</v>
      </c>
      <c r="M1441" s="2994">
        <v>27.627099999999999</v>
      </c>
      <c r="N1441" s="2994">
        <v>28.495799999999999</v>
      </c>
      <c r="O1441" s="2994">
        <v>28.2515</v>
      </c>
      <c r="P1441" s="2994">
        <v>27.870999999999999</v>
      </c>
      <c r="Q1441" s="2994">
        <v>26.1129</v>
      </c>
      <c r="R1441" s="2994">
        <v>25.302499999999998</v>
      </c>
      <c r="S1441" s="2994">
        <v>24.559799999999999</v>
      </c>
      <c r="T1441" s="2994">
        <v>24.651900000000001</v>
      </c>
      <c r="U1441" s="2994">
        <v>23.172599999999999</v>
      </c>
      <c r="V1441" s="2994">
        <v>22.8932</v>
      </c>
      <c r="W1441" s="2994">
        <v>23.076899999999998</v>
      </c>
      <c r="X1441" s="2994">
        <v>24.454999999999998</v>
      </c>
      <c r="Y1441" s="2994">
        <v>24.429200000000002</v>
      </c>
      <c r="Z1441" s="2994">
        <v>25.535699999999999</v>
      </c>
      <c r="AA1441" s="2994">
        <v>17.5581</v>
      </c>
      <c r="AB1441" s="2994">
        <v>26.4375</v>
      </c>
      <c r="AC1441" s="2994">
        <v>29.406300000000002</v>
      </c>
      <c r="AD1441" s="2994">
        <v>31.424199999999999</v>
      </c>
      <c r="AE1441" s="2994">
        <v>34.8857</v>
      </c>
      <c r="AF1441" s="2994">
        <v>33.256799999999998</v>
      </c>
      <c r="AG1441" s="2994">
        <v>31.276299999999999</v>
      </c>
      <c r="AH1441" s="2994">
        <v>31.1661</v>
      </c>
      <c r="AI1441" s="2994">
        <v>31.741599999999998</v>
      </c>
      <c r="AJ1441" s="2994">
        <v>32.398600000000002</v>
      </c>
      <c r="AK1441" s="2994">
        <v>32.856499999999997</v>
      </c>
      <c r="AL1441" s="2994">
        <v>32.758099999999999</v>
      </c>
      <c r="AM1441" s="2994">
        <v>33.192500000000003</v>
      </c>
      <c r="AN1441" s="2994">
        <v>37.253</v>
      </c>
      <c r="AO1441" s="2994">
        <v>37.460999999999999</v>
      </c>
      <c r="AP1441" s="2994">
        <v>36.8996</v>
      </c>
      <c r="AQ1441" s="2994">
        <v>42.737200000000001</v>
      </c>
      <c r="AR1441" s="2994">
        <v>44.898000000000003</v>
      </c>
      <c r="AS1441" s="2994">
        <v>49.713500000000003</v>
      </c>
      <c r="AT1441" s="2994">
        <v>48.169800000000002</v>
      </c>
      <c r="AU1441" s="2994">
        <v>47.996600000000001</v>
      </c>
      <c r="AV1441" s="2994">
        <v>46.476599999999998</v>
      </c>
      <c r="AW1441" s="2994">
        <v>43.488199999999999</v>
      </c>
      <c r="AX1441" s="2994">
        <v>43.973199999999999</v>
      </c>
      <c r="AY1441" s="2994">
        <v>41.235999999999997</v>
      </c>
      <c r="AZ1441" s="2994">
        <v>41.663899999999998</v>
      </c>
      <c r="BA1441" s="2994">
        <v>39.241999999999997</v>
      </c>
      <c r="BB1441" s="2994">
        <v>35.912700000000001</v>
      </c>
      <c r="BC1441" s="2994">
        <v>34.700699999999998</v>
      </c>
      <c r="BD1441" s="3471">
        <v>37.807000000000002</v>
      </c>
      <c r="BE1441" s="3471">
        <v>35.497599999999998</v>
      </c>
      <c r="BF1441" s="3471">
        <v>0</v>
      </c>
    </row>
    <row r="1442" spans="1:58">
      <c r="A1442" s="1817" t="str">
        <f t="shared" si="45"/>
        <v>Western EuropePyrethrum, dried</v>
      </c>
      <c r="B1442" s="1818" t="s">
        <v>301</v>
      </c>
      <c r="C1442" s="1818" t="s">
        <v>7369</v>
      </c>
      <c r="D1442" s="3463" t="str">
        <f>VLOOKUP(B1442,List_Yield!$G$4:$J$14,4,FALSE)</f>
        <v>Western Europe</v>
      </c>
      <c r="E1442" s="3463" t="str">
        <f t="shared" si="46"/>
        <v>Western EuropePyrethrum, dried</v>
      </c>
      <c r="F1442" s="2994">
        <v>0</v>
      </c>
      <c r="G1442" s="2994">
        <v>0</v>
      </c>
      <c r="H1442" s="2994">
        <v>0</v>
      </c>
      <c r="I1442" s="2994">
        <v>0</v>
      </c>
      <c r="J1442" s="2994">
        <v>0</v>
      </c>
      <c r="K1442" s="2994">
        <v>0</v>
      </c>
      <c r="L1442" s="2994">
        <v>0</v>
      </c>
      <c r="M1442" s="2994">
        <v>0</v>
      </c>
      <c r="N1442" s="2994">
        <v>0</v>
      </c>
      <c r="O1442" s="2994">
        <v>0</v>
      </c>
      <c r="P1442" s="2994">
        <v>0</v>
      </c>
      <c r="Q1442" s="2994">
        <v>0</v>
      </c>
      <c r="R1442" s="2994">
        <v>0</v>
      </c>
      <c r="S1442" s="2994">
        <v>0</v>
      </c>
      <c r="T1442" s="2994">
        <v>0</v>
      </c>
      <c r="U1442" s="2994">
        <v>0</v>
      </c>
      <c r="V1442" s="2994">
        <v>0</v>
      </c>
      <c r="W1442" s="2994">
        <v>0</v>
      </c>
      <c r="X1442" s="2994">
        <v>0</v>
      </c>
      <c r="Y1442" s="2994">
        <v>0</v>
      </c>
      <c r="Z1442" s="2994">
        <v>0</v>
      </c>
      <c r="AA1442" s="2994">
        <v>0</v>
      </c>
      <c r="AB1442" s="2994">
        <v>0</v>
      </c>
      <c r="AC1442" s="2994">
        <v>0</v>
      </c>
      <c r="AD1442" s="2994">
        <v>0</v>
      </c>
      <c r="AE1442" s="2994">
        <v>0</v>
      </c>
      <c r="AF1442" s="2994">
        <v>0</v>
      </c>
      <c r="AG1442" s="2994">
        <v>0</v>
      </c>
      <c r="AH1442" s="2994">
        <v>0</v>
      </c>
      <c r="AI1442" s="2994">
        <v>0</v>
      </c>
      <c r="AJ1442" s="2994">
        <v>0</v>
      </c>
      <c r="AK1442" s="2994">
        <v>0</v>
      </c>
      <c r="AL1442" s="2994">
        <v>0</v>
      </c>
      <c r="AM1442" s="2994">
        <v>0</v>
      </c>
      <c r="AN1442" s="2994">
        <v>0</v>
      </c>
      <c r="AO1442" s="2994">
        <v>0</v>
      </c>
      <c r="AP1442" s="2994">
        <v>0</v>
      </c>
      <c r="AQ1442" s="2994">
        <v>0</v>
      </c>
      <c r="AR1442" s="2994">
        <v>0</v>
      </c>
      <c r="AS1442" s="2994">
        <v>0</v>
      </c>
      <c r="AT1442" s="2994">
        <v>0</v>
      </c>
      <c r="AU1442" s="2994">
        <v>0</v>
      </c>
      <c r="AV1442" s="2994">
        <v>0</v>
      </c>
      <c r="AW1442" s="2994">
        <v>0</v>
      </c>
      <c r="AX1442" s="2994">
        <v>0</v>
      </c>
      <c r="AY1442" s="2994">
        <v>0</v>
      </c>
      <c r="AZ1442" s="2994">
        <v>0</v>
      </c>
      <c r="BA1442" s="2994">
        <v>0</v>
      </c>
      <c r="BB1442" s="2994">
        <v>0</v>
      </c>
      <c r="BC1442" s="2994">
        <v>0</v>
      </c>
      <c r="BD1442" s="3471">
        <v>0</v>
      </c>
      <c r="BE1442" s="3471">
        <v>0</v>
      </c>
      <c r="BF1442" s="3471">
        <v>0</v>
      </c>
    </row>
    <row r="1443" spans="1:58">
      <c r="A1443" s="1817" t="str">
        <f t="shared" si="45"/>
        <v>Western EuropeQuinces</v>
      </c>
      <c r="B1443" s="1818" t="s">
        <v>301</v>
      </c>
      <c r="C1443" s="1818" t="s">
        <v>7370</v>
      </c>
      <c r="D1443" s="3463" t="str">
        <f>VLOOKUP(B1443,List_Yield!$G$4:$J$14,4,FALSE)</f>
        <v>Western Europe</v>
      </c>
      <c r="E1443" s="3463" t="str">
        <f t="shared" si="46"/>
        <v>Western EuropeQuinces</v>
      </c>
      <c r="F1443" s="2994">
        <v>212</v>
      </c>
      <c r="G1443" s="2994">
        <v>184</v>
      </c>
      <c r="H1443" s="2994">
        <v>360</v>
      </c>
      <c r="I1443" s="2994">
        <v>263.33330000000001</v>
      </c>
      <c r="J1443" s="2994">
        <v>297.5</v>
      </c>
      <c r="K1443" s="2994">
        <v>290</v>
      </c>
      <c r="L1443" s="2994">
        <v>30.631599999999999</v>
      </c>
      <c r="M1443" s="2994">
        <v>31.461500000000001</v>
      </c>
      <c r="N1443" s="2994">
        <v>19.88</v>
      </c>
      <c r="O1443" s="2994">
        <v>22.5</v>
      </c>
      <c r="P1443" s="2994">
        <v>11.6</v>
      </c>
      <c r="Q1443" s="2994">
        <v>7.8731</v>
      </c>
      <c r="R1443" s="2994">
        <v>11.3123</v>
      </c>
      <c r="S1443" s="2994">
        <v>6.3083999999999998</v>
      </c>
      <c r="T1443" s="2994">
        <v>5.6529999999999996</v>
      </c>
      <c r="U1443" s="2994">
        <v>9.7476000000000003</v>
      </c>
      <c r="V1443" s="2994">
        <v>6.2413999999999996</v>
      </c>
      <c r="W1443" s="2994">
        <v>10.2113</v>
      </c>
      <c r="X1443" s="2994">
        <v>9.1033000000000008</v>
      </c>
      <c r="Y1443" s="2994">
        <v>9.8437999999999999</v>
      </c>
      <c r="Z1443" s="2994">
        <v>7.7843999999999998</v>
      </c>
      <c r="AA1443" s="2994">
        <v>11.833299999999999</v>
      </c>
      <c r="AB1443" s="2994">
        <v>11.25</v>
      </c>
      <c r="AC1443" s="2994">
        <v>11.470599999999999</v>
      </c>
      <c r="AD1443" s="2994">
        <v>8.0215999999999994</v>
      </c>
      <c r="AE1443" s="2994">
        <v>9.0939999999999994</v>
      </c>
      <c r="AF1443" s="2994">
        <v>8.1838999999999995</v>
      </c>
      <c r="AG1443" s="2994">
        <v>8.8840000000000003</v>
      </c>
      <c r="AH1443" s="2994">
        <v>8.9784000000000006</v>
      </c>
      <c r="AI1443" s="2994">
        <v>10.8683</v>
      </c>
      <c r="AJ1443" s="2994">
        <v>5.9916</v>
      </c>
      <c r="AK1443" s="2994">
        <v>11.677099999999999</v>
      </c>
      <c r="AL1443" s="2994">
        <v>8.0306999999999995</v>
      </c>
      <c r="AM1443" s="2994">
        <v>9.1577000000000002</v>
      </c>
      <c r="AN1443" s="2994">
        <v>10.3184</v>
      </c>
      <c r="AO1443" s="2994">
        <v>10.5702</v>
      </c>
      <c r="AP1443" s="2994">
        <v>10.1844</v>
      </c>
      <c r="AQ1443" s="2994">
        <v>10.748699999999999</v>
      </c>
      <c r="AR1443" s="2994">
        <v>10.4</v>
      </c>
      <c r="AS1443" s="2994">
        <v>12.1836</v>
      </c>
      <c r="AT1443" s="2994">
        <v>11.006500000000001</v>
      </c>
      <c r="AU1443" s="2994">
        <v>10.4871</v>
      </c>
      <c r="AV1443" s="2994">
        <v>7.8044000000000002</v>
      </c>
      <c r="AW1443" s="2994">
        <v>13.4457</v>
      </c>
      <c r="AX1443" s="2994">
        <v>11.9213</v>
      </c>
      <c r="AY1443" s="2994">
        <v>6.6867000000000001</v>
      </c>
      <c r="AZ1443" s="2994">
        <v>5.5355999999999996</v>
      </c>
      <c r="BA1443" s="2994">
        <v>3.4037000000000002</v>
      </c>
      <c r="BB1443" s="2994">
        <v>3.6421000000000001</v>
      </c>
      <c r="BC1443" s="2994">
        <v>3.3424</v>
      </c>
      <c r="BD1443" s="3471">
        <v>3.6518999999999999</v>
      </c>
      <c r="BE1443" s="3471">
        <v>3.9344999999999999</v>
      </c>
      <c r="BF1443" s="3471">
        <v>0</v>
      </c>
    </row>
    <row r="1444" spans="1:58">
      <c r="A1444" s="1817" t="str">
        <f t="shared" si="45"/>
        <v>Western EuropeQuinoa</v>
      </c>
      <c r="B1444" s="1818" t="s">
        <v>301</v>
      </c>
      <c r="C1444" s="1818" t="s">
        <v>1385</v>
      </c>
      <c r="D1444" s="3463" t="str">
        <f>VLOOKUP(B1444,List_Yield!$G$4:$J$14,4,FALSE)</f>
        <v>Western Europe</v>
      </c>
      <c r="E1444" s="3463" t="str">
        <f t="shared" si="46"/>
        <v>Western EuropeQuinoa</v>
      </c>
      <c r="F1444" s="2994">
        <v>0</v>
      </c>
      <c r="G1444" s="2994">
        <v>0</v>
      </c>
      <c r="H1444" s="2994">
        <v>0</v>
      </c>
      <c r="I1444" s="2994">
        <v>0</v>
      </c>
      <c r="J1444" s="2994">
        <v>0</v>
      </c>
      <c r="K1444" s="2994">
        <v>0</v>
      </c>
      <c r="L1444" s="2994">
        <v>0</v>
      </c>
      <c r="M1444" s="2994">
        <v>0</v>
      </c>
      <c r="N1444" s="2994">
        <v>0</v>
      </c>
      <c r="O1444" s="2994">
        <v>0</v>
      </c>
      <c r="P1444" s="2994">
        <v>0</v>
      </c>
      <c r="Q1444" s="2994">
        <v>0</v>
      </c>
      <c r="R1444" s="2994">
        <v>0</v>
      </c>
      <c r="S1444" s="2994">
        <v>0</v>
      </c>
      <c r="T1444" s="2994">
        <v>0</v>
      </c>
      <c r="U1444" s="2994">
        <v>0</v>
      </c>
      <c r="V1444" s="2994">
        <v>0</v>
      </c>
      <c r="W1444" s="2994">
        <v>0</v>
      </c>
      <c r="X1444" s="2994">
        <v>0</v>
      </c>
      <c r="Y1444" s="2994">
        <v>0</v>
      </c>
      <c r="Z1444" s="2994">
        <v>0</v>
      </c>
      <c r="AA1444" s="2994">
        <v>0</v>
      </c>
      <c r="AB1444" s="2994">
        <v>0</v>
      </c>
      <c r="AC1444" s="2994">
        <v>0</v>
      </c>
      <c r="AD1444" s="2994">
        <v>0</v>
      </c>
      <c r="AE1444" s="2994">
        <v>0</v>
      </c>
      <c r="AF1444" s="2994">
        <v>0</v>
      </c>
      <c r="AG1444" s="2994">
        <v>0</v>
      </c>
      <c r="AH1444" s="2994">
        <v>0</v>
      </c>
      <c r="AI1444" s="2994">
        <v>0</v>
      </c>
      <c r="AJ1444" s="2994">
        <v>0</v>
      </c>
      <c r="AK1444" s="2994">
        <v>0</v>
      </c>
      <c r="AL1444" s="2994">
        <v>0</v>
      </c>
      <c r="AM1444" s="2994">
        <v>0</v>
      </c>
      <c r="AN1444" s="2994">
        <v>0</v>
      </c>
      <c r="AO1444" s="2994">
        <v>0</v>
      </c>
      <c r="AP1444" s="2994">
        <v>0</v>
      </c>
      <c r="AQ1444" s="2994">
        <v>0</v>
      </c>
      <c r="AR1444" s="2994">
        <v>0</v>
      </c>
      <c r="AS1444" s="2994">
        <v>0</v>
      </c>
      <c r="AT1444" s="2994">
        <v>0</v>
      </c>
      <c r="AU1444" s="2994">
        <v>0</v>
      </c>
      <c r="AV1444" s="2994">
        <v>0</v>
      </c>
      <c r="AW1444" s="2994">
        <v>0</v>
      </c>
      <c r="AX1444" s="2994">
        <v>0</v>
      </c>
      <c r="AY1444" s="2994">
        <v>0</v>
      </c>
      <c r="AZ1444" s="2994">
        <v>0</v>
      </c>
      <c r="BA1444" s="2994">
        <v>0</v>
      </c>
      <c r="BB1444" s="2994">
        <v>0</v>
      </c>
      <c r="BC1444" s="2994">
        <v>0</v>
      </c>
      <c r="BD1444" s="3471">
        <v>0</v>
      </c>
      <c r="BE1444" s="3471">
        <v>0</v>
      </c>
      <c r="BF1444" s="3471">
        <v>0</v>
      </c>
    </row>
    <row r="1445" spans="1:58">
      <c r="A1445" s="1817" t="str">
        <f t="shared" si="45"/>
        <v>Western EuropeRamie</v>
      </c>
      <c r="B1445" s="1818" t="s">
        <v>301</v>
      </c>
      <c r="C1445" s="1818" t="s">
        <v>7371</v>
      </c>
      <c r="D1445" s="3463" t="str">
        <f>VLOOKUP(B1445,List_Yield!$G$4:$J$14,4,FALSE)</f>
        <v>Western Europe</v>
      </c>
      <c r="E1445" s="3463" t="str">
        <f t="shared" si="46"/>
        <v>Western EuropeRamie</v>
      </c>
      <c r="F1445" s="2994">
        <v>0</v>
      </c>
      <c r="G1445" s="2994">
        <v>0</v>
      </c>
      <c r="H1445" s="2994">
        <v>0</v>
      </c>
      <c r="I1445" s="2994">
        <v>0</v>
      </c>
      <c r="J1445" s="2994">
        <v>0</v>
      </c>
      <c r="K1445" s="2994">
        <v>0</v>
      </c>
      <c r="L1445" s="2994">
        <v>0</v>
      </c>
      <c r="M1445" s="2994">
        <v>0</v>
      </c>
      <c r="N1445" s="2994">
        <v>0</v>
      </c>
      <c r="O1445" s="2994">
        <v>0</v>
      </c>
      <c r="P1445" s="2994">
        <v>0</v>
      </c>
      <c r="Q1445" s="2994">
        <v>0</v>
      </c>
      <c r="R1445" s="2994">
        <v>0</v>
      </c>
      <c r="S1445" s="2994">
        <v>0</v>
      </c>
      <c r="T1445" s="2994">
        <v>0</v>
      </c>
      <c r="U1445" s="2994">
        <v>0</v>
      </c>
      <c r="V1445" s="2994">
        <v>0</v>
      </c>
      <c r="W1445" s="2994">
        <v>0</v>
      </c>
      <c r="X1445" s="2994">
        <v>0</v>
      </c>
      <c r="Y1445" s="2994">
        <v>0</v>
      </c>
      <c r="Z1445" s="2994">
        <v>0</v>
      </c>
      <c r="AA1445" s="2994">
        <v>0</v>
      </c>
      <c r="AB1445" s="2994">
        <v>0</v>
      </c>
      <c r="AC1445" s="2994">
        <v>0</v>
      </c>
      <c r="AD1445" s="2994">
        <v>0</v>
      </c>
      <c r="AE1445" s="2994">
        <v>0</v>
      </c>
      <c r="AF1445" s="2994">
        <v>0</v>
      </c>
      <c r="AG1445" s="2994">
        <v>0</v>
      </c>
      <c r="AH1445" s="2994">
        <v>0</v>
      </c>
      <c r="AI1445" s="2994">
        <v>0</v>
      </c>
      <c r="AJ1445" s="2994">
        <v>0</v>
      </c>
      <c r="AK1445" s="2994">
        <v>0</v>
      </c>
      <c r="AL1445" s="2994">
        <v>0</v>
      </c>
      <c r="AM1445" s="2994">
        <v>0</v>
      </c>
      <c r="AN1445" s="2994">
        <v>0</v>
      </c>
      <c r="AO1445" s="2994">
        <v>0</v>
      </c>
      <c r="AP1445" s="2994">
        <v>0</v>
      </c>
      <c r="AQ1445" s="2994">
        <v>0</v>
      </c>
      <c r="AR1445" s="2994">
        <v>0</v>
      </c>
      <c r="AS1445" s="2994">
        <v>0</v>
      </c>
      <c r="AT1445" s="2994">
        <v>0</v>
      </c>
      <c r="AU1445" s="2994">
        <v>0</v>
      </c>
      <c r="AV1445" s="2994">
        <v>0</v>
      </c>
      <c r="AW1445" s="2994">
        <v>0</v>
      </c>
      <c r="AX1445" s="2994">
        <v>0</v>
      </c>
      <c r="AY1445" s="2994">
        <v>0</v>
      </c>
      <c r="AZ1445" s="2994">
        <v>0</v>
      </c>
      <c r="BA1445" s="2994">
        <v>0</v>
      </c>
      <c r="BB1445" s="2994">
        <v>0</v>
      </c>
      <c r="BC1445" s="2994">
        <v>0</v>
      </c>
      <c r="BD1445" s="3471">
        <v>0</v>
      </c>
      <c r="BE1445" s="3471">
        <v>0</v>
      </c>
      <c r="BF1445" s="3471">
        <v>0</v>
      </c>
    </row>
    <row r="1446" spans="1:58">
      <c r="A1446" s="1817" t="str">
        <f t="shared" si="45"/>
        <v>Western EuropeRapeseed</v>
      </c>
      <c r="B1446" s="1818" t="s">
        <v>301</v>
      </c>
      <c r="C1446" s="1818" t="s">
        <v>7372</v>
      </c>
      <c r="D1446" s="3463" t="str">
        <f>VLOOKUP(B1446,List_Yield!$G$4:$J$14,4,FALSE)</f>
        <v>Western Europe</v>
      </c>
      <c r="E1446" s="3463" t="str">
        <f t="shared" si="46"/>
        <v>Western EuropeRapeseed</v>
      </c>
      <c r="F1446" s="2994">
        <v>1.5761000000000001</v>
      </c>
      <c r="G1446" s="2994">
        <v>1.8697999999999999</v>
      </c>
      <c r="H1446" s="2994">
        <v>1.5948</v>
      </c>
      <c r="I1446" s="2994">
        <v>1.8337000000000001</v>
      </c>
      <c r="J1446" s="2994">
        <v>1.9449000000000001</v>
      </c>
      <c r="K1446" s="2994">
        <v>1.8546</v>
      </c>
      <c r="L1446" s="2994">
        <v>2.1974999999999998</v>
      </c>
      <c r="M1446" s="2994">
        <v>2.0653000000000001</v>
      </c>
      <c r="N1446" s="2994">
        <v>1.7715000000000001</v>
      </c>
      <c r="O1446" s="2994">
        <v>1.86</v>
      </c>
      <c r="P1446" s="2994">
        <v>2.0975999999999999</v>
      </c>
      <c r="Q1446" s="2994">
        <v>2.2408999999999999</v>
      </c>
      <c r="R1446" s="2994">
        <v>2.0487000000000002</v>
      </c>
      <c r="S1446" s="2994">
        <v>2.2547000000000001</v>
      </c>
      <c r="T1446" s="2994">
        <v>2.1332</v>
      </c>
      <c r="U1446" s="2994">
        <v>2.1516000000000002</v>
      </c>
      <c r="V1446" s="2994">
        <v>1.9696</v>
      </c>
      <c r="W1446" s="2994">
        <v>2.4775</v>
      </c>
      <c r="X1446" s="2994">
        <v>2.1579999999999999</v>
      </c>
      <c r="Y1446" s="2994">
        <v>2.7311999999999999</v>
      </c>
      <c r="Z1446" s="2994">
        <v>2.2583000000000002</v>
      </c>
      <c r="AA1446" s="2994">
        <v>2.6012</v>
      </c>
      <c r="AB1446" s="2994">
        <v>2.2338</v>
      </c>
      <c r="AC1446" s="2994">
        <v>2.8372000000000002</v>
      </c>
      <c r="AD1446" s="2994">
        <v>2.9403000000000001</v>
      </c>
      <c r="AE1446" s="2994">
        <v>2.8860000000000001</v>
      </c>
      <c r="AF1446" s="2994">
        <v>3.2443</v>
      </c>
      <c r="AG1446" s="2994">
        <v>2.9207000000000001</v>
      </c>
      <c r="AH1446" s="2994">
        <v>3.0224000000000002</v>
      </c>
      <c r="AI1446" s="2994">
        <v>2.8856999999999999</v>
      </c>
      <c r="AJ1446" s="2994">
        <v>3.1453000000000002</v>
      </c>
      <c r="AK1446" s="2994">
        <v>2.6452</v>
      </c>
      <c r="AL1446" s="2994">
        <v>2.8134000000000001</v>
      </c>
      <c r="AM1446" s="2994">
        <v>2.7128999999999999</v>
      </c>
      <c r="AN1446" s="2994">
        <v>3.1945000000000001</v>
      </c>
      <c r="AO1446" s="2994">
        <v>2.7898000000000001</v>
      </c>
      <c r="AP1446" s="2994">
        <v>3.3186</v>
      </c>
      <c r="AQ1446" s="2994">
        <v>3.2946</v>
      </c>
      <c r="AR1446" s="2994">
        <v>3.3961999999999999</v>
      </c>
      <c r="AS1446" s="2994">
        <v>3.1023000000000001</v>
      </c>
      <c r="AT1446" s="2994">
        <v>3.1554000000000002</v>
      </c>
      <c r="AU1446" s="2994">
        <v>3.0586000000000002</v>
      </c>
      <c r="AV1446" s="2994">
        <v>2.9588000000000001</v>
      </c>
      <c r="AW1446" s="2994">
        <v>3.8414999999999999</v>
      </c>
      <c r="AX1446" s="2994">
        <v>3.7097000000000002</v>
      </c>
      <c r="AY1446" s="2994">
        <v>3.3422999999999998</v>
      </c>
      <c r="AZ1446" s="2994">
        <v>3.1606999999999998</v>
      </c>
      <c r="BA1446" s="2994">
        <v>3.5259999999999998</v>
      </c>
      <c r="BB1446" s="2994">
        <v>4.0054999999999996</v>
      </c>
      <c r="BC1446" s="2994">
        <v>3.5838000000000001</v>
      </c>
      <c r="BD1446" s="3471">
        <v>3.2122999999999999</v>
      </c>
      <c r="BE1446" s="3471">
        <v>3.512</v>
      </c>
      <c r="BF1446" s="3471">
        <v>3.4958</v>
      </c>
    </row>
    <row r="1447" spans="1:58">
      <c r="A1447" s="1817" t="str">
        <f t="shared" si="45"/>
        <v>Western EuropeRaspberries</v>
      </c>
      <c r="B1447" s="1818" t="s">
        <v>301</v>
      </c>
      <c r="C1447" s="1818" t="s">
        <v>7373</v>
      </c>
      <c r="D1447" s="3463" t="str">
        <f>VLOOKUP(B1447,List_Yield!$G$4:$J$14,4,FALSE)</f>
        <v>Western Europe</v>
      </c>
      <c r="E1447" s="3463" t="str">
        <f t="shared" si="46"/>
        <v>Western EuropeRaspberries</v>
      </c>
      <c r="F1447" s="2994">
        <v>42.554499999999997</v>
      </c>
      <c r="G1447" s="2994">
        <v>38.018500000000003</v>
      </c>
      <c r="H1447" s="2994">
        <v>38.988999999999997</v>
      </c>
      <c r="I1447" s="2994">
        <v>31.3127</v>
      </c>
      <c r="J1447" s="2994">
        <v>31.364000000000001</v>
      </c>
      <c r="K1447" s="2994">
        <v>34.066400000000002</v>
      </c>
      <c r="L1447" s="2994">
        <v>32.934100000000001</v>
      </c>
      <c r="M1447" s="2994">
        <v>32.985100000000003</v>
      </c>
      <c r="N1447" s="2994">
        <v>31.429300000000001</v>
      </c>
      <c r="O1447" s="2994">
        <v>30.809100000000001</v>
      </c>
      <c r="P1447" s="2994">
        <v>28.5136</v>
      </c>
      <c r="Q1447" s="2994">
        <v>28.1173</v>
      </c>
      <c r="R1447" s="2994">
        <v>28.514199999999999</v>
      </c>
      <c r="S1447" s="2994">
        <v>24.920400000000001</v>
      </c>
      <c r="T1447" s="2994">
        <v>26.1906</v>
      </c>
      <c r="U1447" s="2994">
        <v>18.8673</v>
      </c>
      <c r="V1447" s="2994">
        <v>18.885300000000001</v>
      </c>
      <c r="W1447" s="2994">
        <v>25.143599999999999</v>
      </c>
      <c r="X1447" s="2994">
        <v>25.172499999999999</v>
      </c>
      <c r="Y1447" s="2994">
        <v>23.710799999999999</v>
      </c>
      <c r="Z1447" s="2994">
        <v>22.392399999999999</v>
      </c>
      <c r="AA1447" s="2994">
        <v>26.6708</v>
      </c>
      <c r="AB1447" s="2994">
        <v>26.9175</v>
      </c>
      <c r="AC1447" s="2994">
        <v>26.045200000000001</v>
      </c>
      <c r="AD1447" s="2994">
        <v>5.0471000000000004</v>
      </c>
      <c r="AE1447" s="2994">
        <v>4.8545999999999996</v>
      </c>
      <c r="AF1447" s="2994">
        <v>4.8845000000000001</v>
      </c>
      <c r="AG1447" s="2994">
        <v>5.4436999999999998</v>
      </c>
      <c r="AH1447" s="2994">
        <v>5.6612</v>
      </c>
      <c r="AI1447" s="2994">
        <v>5.2374999999999998</v>
      </c>
      <c r="AJ1447" s="2994">
        <v>4.4367999999999999</v>
      </c>
      <c r="AK1447" s="2994">
        <v>6.2343000000000002</v>
      </c>
      <c r="AL1447" s="2994">
        <v>5.7598000000000003</v>
      </c>
      <c r="AM1447" s="2994">
        <v>5.3512000000000004</v>
      </c>
      <c r="AN1447" s="2994">
        <v>5.2308000000000003</v>
      </c>
      <c r="AO1447" s="2994">
        <v>5.0754000000000001</v>
      </c>
      <c r="AP1447" s="2994">
        <v>5.1771000000000003</v>
      </c>
      <c r="AQ1447" s="2994">
        <v>5.1810999999999998</v>
      </c>
      <c r="AR1447" s="2994">
        <v>5.8677000000000001</v>
      </c>
      <c r="AS1447" s="2994">
        <v>5.8022999999999998</v>
      </c>
      <c r="AT1447" s="2994">
        <v>5.3224</v>
      </c>
      <c r="AU1447" s="2994">
        <v>5.3258999999999999</v>
      </c>
      <c r="AV1447" s="2994">
        <v>3.9527000000000001</v>
      </c>
      <c r="AW1447" s="2994">
        <v>4.0317999999999996</v>
      </c>
      <c r="AX1447" s="2994">
        <v>5.8661000000000003</v>
      </c>
      <c r="AY1447" s="2994">
        <v>5.875</v>
      </c>
      <c r="AZ1447" s="2994">
        <v>5.77</v>
      </c>
      <c r="BA1447" s="2994">
        <v>5.7183000000000002</v>
      </c>
      <c r="BB1447" s="2994">
        <v>6.1565000000000003</v>
      </c>
      <c r="BC1447" s="2994">
        <v>6.0317999999999996</v>
      </c>
      <c r="BD1447" s="3471">
        <v>5.9547999999999996</v>
      </c>
      <c r="BE1447" s="3471">
        <v>5.6462000000000003</v>
      </c>
      <c r="BF1447" s="3471">
        <v>0</v>
      </c>
    </row>
    <row r="1448" spans="1:58">
      <c r="A1448" s="1817" t="str">
        <f t="shared" si="45"/>
        <v>Western EuropeRice, paddy</v>
      </c>
      <c r="B1448" s="1818" t="s">
        <v>301</v>
      </c>
      <c r="C1448" s="1818" t="s">
        <v>1370</v>
      </c>
      <c r="D1448" s="3463" t="str">
        <f>VLOOKUP(B1448,List_Yield!$G$4:$J$14,4,FALSE)</f>
        <v>Western Europe</v>
      </c>
      <c r="E1448" s="3463" t="str">
        <f t="shared" si="46"/>
        <v>Western EuropeRice, paddy</v>
      </c>
      <c r="F1448" s="2994">
        <v>4.0511999999999997</v>
      </c>
      <c r="G1448" s="2994">
        <v>4.1875</v>
      </c>
      <c r="H1448" s="2994">
        <v>3.9752999999999998</v>
      </c>
      <c r="I1448" s="2994">
        <v>4.0609999999999999</v>
      </c>
      <c r="J1448" s="2994">
        <v>3.2934999999999999</v>
      </c>
      <c r="K1448" s="2994">
        <v>3.6562000000000001</v>
      </c>
      <c r="L1448" s="2994">
        <v>4.3026999999999997</v>
      </c>
      <c r="M1448" s="2994">
        <v>3.4634999999999998</v>
      </c>
      <c r="N1448" s="2994">
        <v>4.1631</v>
      </c>
      <c r="O1448" s="2994">
        <v>4.2176999999999998</v>
      </c>
      <c r="P1448" s="2994">
        <v>3.7875999999999999</v>
      </c>
      <c r="Q1448" s="2994">
        <v>2.3155999999999999</v>
      </c>
      <c r="R1448" s="2994">
        <v>4.3604000000000003</v>
      </c>
      <c r="S1448" s="2994">
        <v>3.3965999999999998</v>
      </c>
      <c r="T1448" s="2994">
        <v>4.1569000000000003</v>
      </c>
      <c r="U1448" s="2994">
        <v>3.8974000000000002</v>
      </c>
      <c r="V1448" s="2994">
        <v>2.1720999999999999</v>
      </c>
      <c r="W1448" s="2994">
        <v>3.2557999999999998</v>
      </c>
      <c r="X1448" s="2994">
        <v>4.3478000000000003</v>
      </c>
      <c r="Y1448" s="2994">
        <v>3.8332999999999999</v>
      </c>
      <c r="Z1448" s="2994">
        <v>3.7925</v>
      </c>
      <c r="AA1448" s="2994">
        <v>5.0185000000000004</v>
      </c>
      <c r="AB1448" s="2994">
        <v>5.4286000000000003</v>
      </c>
      <c r="AC1448" s="2994">
        <v>3.8696000000000002</v>
      </c>
      <c r="AD1448" s="2994">
        <v>5.4964000000000004</v>
      </c>
      <c r="AE1448" s="2994">
        <v>5.1299000000000001</v>
      </c>
      <c r="AF1448" s="2994">
        <v>4.9782000000000002</v>
      </c>
      <c r="AG1448" s="2994">
        <v>5.2243000000000004</v>
      </c>
      <c r="AH1448" s="2994">
        <v>6.0368000000000004</v>
      </c>
      <c r="AI1448" s="2994">
        <v>5.9461000000000004</v>
      </c>
      <c r="AJ1448" s="2994">
        <v>5.3474000000000004</v>
      </c>
      <c r="AK1448" s="2994">
        <v>5.2689000000000004</v>
      </c>
      <c r="AL1448" s="2994">
        <v>4.9688999999999997</v>
      </c>
      <c r="AM1448" s="2994">
        <v>4.5555000000000003</v>
      </c>
      <c r="AN1448" s="2994">
        <v>4.8571</v>
      </c>
      <c r="AO1448" s="2994">
        <v>5.2436999999999996</v>
      </c>
      <c r="AP1448" s="2994">
        <v>5.8926999999999996</v>
      </c>
      <c r="AQ1448" s="2994">
        <v>5.8251999999999997</v>
      </c>
      <c r="AR1448" s="2994">
        <v>6.0914999999999999</v>
      </c>
      <c r="AS1448" s="2994">
        <v>5.8357999999999999</v>
      </c>
      <c r="AT1448" s="2994">
        <v>5.3602999999999996</v>
      </c>
      <c r="AU1448" s="2994">
        <v>5.6909999999999998</v>
      </c>
      <c r="AV1448" s="2994">
        <v>5.6052</v>
      </c>
      <c r="AW1448" s="2994">
        <v>5.7098000000000004</v>
      </c>
      <c r="AX1448" s="2994">
        <v>5.7313999999999998</v>
      </c>
      <c r="AY1448" s="2994">
        <v>5.5331000000000001</v>
      </c>
      <c r="AZ1448" s="2994">
        <v>5.0773000000000001</v>
      </c>
      <c r="BA1448" s="2994">
        <v>5.7599</v>
      </c>
      <c r="BB1448" s="2994">
        <v>5.7085999999999997</v>
      </c>
      <c r="BC1448" s="2994">
        <v>5.3585000000000003</v>
      </c>
      <c r="BD1448" s="3471">
        <v>5.8853</v>
      </c>
      <c r="BE1448" s="3471">
        <v>5.9516999999999998</v>
      </c>
      <c r="BF1448" s="3471">
        <v>4.0393999999999997</v>
      </c>
    </row>
    <row r="1449" spans="1:58">
      <c r="A1449" s="1817" t="str">
        <f t="shared" si="45"/>
        <v>Western EuropeRoots and tubers, nes</v>
      </c>
      <c r="B1449" s="1818" t="s">
        <v>301</v>
      </c>
      <c r="C1449" s="1818" t="s">
        <v>7374</v>
      </c>
      <c r="D1449" s="3463" t="str">
        <f>VLOOKUP(B1449,List_Yield!$G$4:$J$14,4,FALSE)</f>
        <v>Western Europe</v>
      </c>
      <c r="E1449" s="3463" t="str">
        <f t="shared" si="46"/>
        <v>Western EuropeRoots and tubers, nes</v>
      </c>
      <c r="F1449" s="2994">
        <v>0</v>
      </c>
      <c r="G1449" s="2994">
        <v>0</v>
      </c>
      <c r="H1449" s="2994">
        <v>0</v>
      </c>
      <c r="I1449" s="2994">
        <v>0</v>
      </c>
      <c r="J1449" s="2994">
        <v>0</v>
      </c>
      <c r="K1449" s="2994">
        <v>0</v>
      </c>
      <c r="L1449" s="2994">
        <v>0</v>
      </c>
      <c r="M1449" s="2994">
        <v>0</v>
      </c>
      <c r="N1449" s="2994">
        <v>0</v>
      </c>
      <c r="O1449" s="2994">
        <v>0</v>
      </c>
      <c r="P1449" s="2994">
        <v>0</v>
      </c>
      <c r="Q1449" s="2994">
        <v>0</v>
      </c>
      <c r="R1449" s="2994">
        <v>0</v>
      </c>
      <c r="S1449" s="2994">
        <v>0</v>
      </c>
      <c r="T1449" s="2994">
        <v>0</v>
      </c>
      <c r="U1449" s="2994">
        <v>0</v>
      </c>
      <c r="V1449" s="2994">
        <v>0</v>
      </c>
      <c r="W1449" s="2994">
        <v>0</v>
      </c>
      <c r="X1449" s="2994">
        <v>0</v>
      </c>
      <c r="Y1449" s="2994">
        <v>0</v>
      </c>
      <c r="Z1449" s="2994">
        <v>0</v>
      </c>
      <c r="AA1449" s="2994">
        <v>0</v>
      </c>
      <c r="AB1449" s="2994">
        <v>0</v>
      </c>
      <c r="AC1449" s="2994">
        <v>0</v>
      </c>
      <c r="AD1449" s="2994">
        <v>0</v>
      </c>
      <c r="AE1449" s="2994">
        <v>0</v>
      </c>
      <c r="AF1449" s="2994">
        <v>0</v>
      </c>
      <c r="AG1449" s="2994">
        <v>0</v>
      </c>
      <c r="AH1449" s="2994">
        <v>0</v>
      </c>
      <c r="AI1449" s="2994">
        <v>0</v>
      </c>
      <c r="AJ1449" s="2994">
        <v>0</v>
      </c>
      <c r="AK1449" s="2994">
        <v>0</v>
      </c>
      <c r="AL1449" s="2994">
        <v>0</v>
      </c>
      <c r="AM1449" s="2994">
        <v>0</v>
      </c>
      <c r="AN1449" s="2994">
        <v>0</v>
      </c>
      <c r="AO1449" s="2994">
        <v>0</v>
      </c>
      <c r="AP1449" s="2994">
        <v>0</v>
      </c>
      <c r="AQ1449" s="2994">
        <v>0</v>
      </c>
      <c r="AR1449" s="2994">
        <v>0</v>
      </c>
      <c r="AS1449" s="2994">
        <v>0</v>
      </c>
      <c r="AT1449" s="2994">
        <v>0</v>
      </c>
      <c r="AU1449" s="2994">
        <v>0</v>
      </c>
      <c r="AV1449" s="2994">
        <v>0</v>
      </c>
      <c r="AW1449" s="2994">
        <v>0</v>
      </c>
      <c r="AX1449" s="2994">
        <v>0</v>
      </c>
      <c r="AY1449" s="2994">
        <v>0</v>
      </c>
      <c r="AZ1449" s="2994">
        <v>0</v>
      </c>
      <c r="BA1449" s="2994">
        <v>0</v>
      </c>
      <c r="BB1449" s="2994">
        <v>0</v>
      </c>
      <c r="BC1449" s="2994">
        <v>0</v>
      </c>
      <c r="BD1449" s="3471">
        <v>0</v>
      </c>
      <c r="BE1449" s="3471">
        <v>0</v>
      </c>
      <c r="BF1449" s="3471">
        <v>0</v>
      </c>
    </row>
    <row r="1450" spans="1:58">
      <c r="A1450" s="1817" t="str">
        <f t="shared" si="45"/>
        <v>Western EuropeRubber, natural</v>
      </c>
      <c r="B1450" s="1818" t="s">
        <v>301</v>
      </c>
      <c r="C1450" s="1818" t="s">
        <v>7375</v>
      </c>
      <c r="D1450" s="3463" t="str">
        <f>VLOOKUP(B1450,List_Yield!$G$4:$J$14,4,FALSE)</f>
        <v>Western Europe</v>
      </c>
      <c r="E1450" s="3463" t="str">
        <f t="shared" si="46"/>
        <v>Western EuropeRubber, natural</v>
      </c>
      <c r="F1450" s="2994">
        <v>0</v>
      </c>
      <c r="G1450" s="2994">
        <v>0</v>
      </c>
      <c r="H1450" s="2994">
        <v>0</v>
      </c>
      <c r="I1450" s="2994">
        <v>0</v>
      </c>
      <c r="J1450" s="2994">
        <v>0</v>
      </c>
      <c r="K1450" s="2994">
        <v>0</v>
      </c>
      <c r="L1450" s="2994">
        <v>0</v>
      </c>
      <c r="M1450" s="2994">
        <v>0</v>
      </c>
      <c r="N1450" s="2994">
        <v>0</v>
      </c>
      <c r="O1450" s="2994">
        <v>0</v>
      </c>
      <c r="P1450" s="2994">
        <v>0</v>
      </c>
      <c r="Q1450" s="2994">
        <v>0</v>
      </c>
      <c r="R1450" s="2994">
        <v>0</v>
      </c>
      <c r="S1450" s="2994">
        <v>0</v>
      </c>
      <c r="T1450" s="2994">
        <v>0</v>
      </c>
      <c r="U1450" s="2994">
        <v>0</v>
      </c>
      <c r="V1450" s="2994">
        <v>0</v>
      </c>
      <c r="W1450" s="2994">
        <v>0</v>
      </c>
      <c r="X1450" s="2994">
        <v>0</v>
      </c>
      <c r="Y1450" s="2994">
        <v>0</v>
      </c>
      <c r="Z1450" s="2994">
        <v>0</v>
      </c>
      <c r="AA1450" s="2994">
        <v>0</v>
      </c>
      <c r="AB1450" s="2994">
        <v>0</v>
      </c>
      <c r="AC1450" s="2994">
        <v>0</v>
      </c>
      <c r="AD1450" s="2994">
        <v>0</v>
      </c>
      <c r="AE1450" s="2994">
        <v>0</v>
      </c>
      <c r="AF1450" s="2994">
        <v>0</v>
      </c>
      <c r="AG1450" s="2994">
        <v>0</v>
      </c>
      <c r="AH1450" s="2994">
        <v>0</v>
      </c>
      <c r="AI1450" s="2994">
        <v>0</v>
      </c>
      <c r="AJ1450" s="2994">
        <v>0</v>
      </c>
      <c r="AK1450" s="2994">
        <v>0</v>
      </c>
      <c r="AL1450" s="2994">
        <v>0</v>
      </c>
      <c r="AM1450" s="2994">
        <v>0</v>
      </c>
      <c r="AN1450" s="2994">
        <v>0</v>
      </c>
      <c r="AO1450" s="2994">
        <v>0</v>
      </c>
      <c r="AP1450" s="2994">
        <v>0</v>
      </c>
      <c r="AQ1450" s="2994">
        <v>0</v>
      </c>
      <c r="AR1450" s="2994">
        <v>0</v>
      </c>
      <c r="AS1450" s="2994">
        <v>0</v>
      </c>
      <c r="AT1450" s="2994">
        <v>0</v>
      </c>
      <c r="AU1450" s="2994">
        <v>0</v>
      </c>
      <c r="AV1450" s="2994">
        <v>0</v>
      </c>
      <c r="AW1450" s="2994">
        <v>0</v>
      </c>
      <c r="AX1450" s="2994">
        <v>0</v>
      </c>
      <c r="AY1450" s="2994">
        <v>0</v>
      </c>
      <c r="AZ1450" s="2994">
        <v>0</v>
      </c>
      <c r="BA1450" s="2994">
        <v>0</v>
      </c>
      <c r="BB1450" s="2994">
        <v>0</v>
      </c>
      <c r="BC1450" s="2994">
        <v>0</v>
      </c>
      <c r="BD1450" s="3471">
        <v>0</v>
      </c>
      <c r="BE1450" s="3471">
        <v>0</v>
      </c>
      <c r="BF1450" s="3471">
        <v>0</v>
      </c>
    </row>
    <row r="1451" spans="1:58">
      <c r="A1451" s="1817" t="str">
        <f t="shared" si="45"/>
        <v>Western EuropeRye</v>
      </c>
      <c r="B1451" s="1818" t="s">
        <v>301</v>
      </c>
      <c r="C1451" s="1818" t="s">
        <v>1327</v>
      </c>
      <c r="D1451" s="3463" t="str">
        <f>VLOOKUP(B1451,List_Yield!$G$4:$J$14,4,FALSE)</f>
        <v>Western Europe</v>
      </c>
      <c r="E1451" s="3463" t="str">
        <f t="shared" si="46"/>
        <v>Western EuropeRye</v>
      </c>
      <c r="F1451" s="2994">
        <v>1.9972000000000001</v>
      </c>
      <c r="G1451" s="2994">
        <v>2.4018000000000002</v>
      </c>
      <c r="H1451" s="2994">
        <v>2.4281000000000001</v>
      </c>
      <c r="I1451" s="2994">
        <v>2.7155</v>
      </c>
      <c r="J1451" s="2994">
        <v>2.3643000000000001</v>
      </c>
      <c r="K1451" s="2994">
        <v>2.3877000000000002</v>
      </c>
      <c r="L1451" s="2994">
        <v>2.9142999999999999</v>
      </c>
      <c r="M1451" s="2994">
        <v>2.9510000000000001</v>
      </c>
      <c r="N1451" s="2994">
        <v>2.8121</v>
      </c>
      <c r="O1451" s="2994">
        <v>2.6684000000000001</v>
      </c>
      <c r="P1451" s="2994">
        <v>3.0907</v>
      </c>
      <c r="Q1451" s="2994">
        <v>3.1574</v>
      </c>
      <c r="R1451" s="2994">
        <v>3.0909</v>
      </c>
      <c r="S1451" s="2994">
        <v>3.3313000000000001</v>
      </c>
      <c r="T1451" s="2994">
        <v>3.0141</v>
      </c>
      <c r="U1451" s="2994">
        <v>2.86</v>
      </c>
      <c r="V1451" s="2994">
        <v>3.1438999999999999</v>
      </c>
      <c r="W1451" s="2994">
        <v>3.3706999999999998</v>
      </c>
      <c r="X1451" s="2994">
        <v>3.1486999999999998</v>
      </c>
      <c r="Y1451" s="2994">
        <v>3.2974999999999999</v>
      </c>
      <c r="Z1451" s="2994">
        <v>3.0979000000000001</v>
      </c>
      <c r="AA1451" s="2994">
        <v>3.4996999999999998</v>
      </c>
      <c r="AB1451" s="2994">
        <v>3.2143000000000002</v>
      </c>
      <c r="AC1451" s="2994">
        <v>3.8334000000000001</v>
      </c>
      <c r="AD1451" s="2994">
        <v>3.8487</v>
      </c>
      <c r="AE1451" s="2994">
        <v>3.7328999999999999</v>
      </c>
      <c r="AF1451" s="2994">
        <v>3.6434000000000002</v>
      </c>
      <c r="AG1451" s="2994">
        <v>3.4849999999999999</v>
      </c>
      <c r="AH1451" s="2994">
        <v>3.8967000000000001</v>
      </c>
      <c r="AI1451" s="2994">
        <v>3.8140999999999998</v>
      </c>
      <c r="AJ1451" s="2994">
        <v>4.5538999999999996</v>
      </c>
      <c r="AK1451" s="2994">
        <v>3.9596</v>
      </c>
      <c r="AL1451" s="2994">
        <v>4.4500999999999999</v>
      </c>
      <c r="AM1451" s="2994">
        <v>4.6813000000000002</v>
      </c>
      <c r="AN1451" s="2994">
        <v>5.1071</v>
      </c>
      <c r="AO1451" s="2994">
        <v>5.0663</v>
      </c>
      <c r="AP1451" s="2994">
        <v>5.2637</v>
      </c>
      <c r="AQ1451" s="2994">
        <v>5.0629</v>
      </c>
      <c r="AR1451" s="2994">
        <v>5.6002999999999998</v>
      </c>
      <c r="AS1451" s="2994">
        <v>4.8426999999999998</v>
      </c>
      <c r="AT1451" s="2994">
        <v>5.9537000000000004</v>
      </c>
      <c r="AU1451" s="2994">
        <v>4.9531000000000001</v>
      </c>
      <c r="AV1451" s="2994">
        <v>4.2220000000000004</v>
      </c>
      <c r="AW1451" s="2994">
        <v>5.9798</v>
      </c>
      <c r="AX1451" s="2994">
        <v>4.9836</v>
      </c>
      <c r="AY1451" s="2994">
        <v>4.8281999999999998</v>
      </c>
      <c r="AZ1451" s="2994">
        <v>4.0450999999999997</v>
      </c>
      <c r="BA1451" s="2994">
        <v>5.01</v>
      </c>
      <c r="BB1451" s="2994">
        <v>5.5736999999999997</v>
      </c>
      <c r="BC1451" s="2994">
        <v>4.5877999999999997</v>
      </c>
      <c r="BD1451" s="3471">
        <v>4.1493000000000002</v>
      </c>
      <c r="BE1451" s="3471">
        <v>5.3784000000000001</v>
      </c>
      <c r="BF1451" s="3471">
        <v>5.827</v>
      </c>
    </row>
    <row r="1452" spans="1:58">
      <c r="A1452" s="1817" t="str">
        <f t="shared" si="45"/>
        <v>Western EuropeSafflower seed</v>
      </c>
      <c r="B1452" s="1818" t="s">
        <v>301</v>
      </c>
      <c r="C1452" s="1818" t="s">
        <v>7376</v>
      </c>
      <c r="D1452" s="3463" t="str">
        <f>VLOOKUP(B1452,List_Yield!$G$4:$J$14,4,FALSE)</f>
        <v>Western Europe</v>
      </c>
      <c r="E1452" s="3463" t="str">
        <f t="shared" si="46"/>
        <v>Western EuropeSafflower seed</v>
      </c>
      <c r="F1452" s="2994">
        <v>0</v>
      </c>
      <c r="G1452" s="2994">
        <v>0</v>
      </c>
      <c r="H1452" s="2994">
        <v>0</v>
      </c>
      <c r="I1452" s="2994">
        <v>0</v>
      </c>
      <c r="J1452" s="2994">
        <v>0</v>
      </c>
      <c r="K1452" s="2994">
        <v>0</v>
      </c>
      <c r="L1452" s="2994">
        <v>0</v>
      </c>
      <c r="M1452" s="2994">
        <v>0</v>
      </c>
      <c r="N1452" s="2994">
        <v>0</v>
      </c>
      <c r="O1452" s="2994">
        <v>0</v>
      </c>
      <c r="P1452" s="2994">
        <v>0</v>
      </c>
      <c r="Q1452" s="2994">
        <v>0</v>
      </c>
      <c r="R1452" s="2994">
        <v>0</v>
      </c>
      <c r="S1452" s="2994">
        <v>0</v>
      </c>
      <c r="T1452" s="2994">
        <v>0</v>
      </c>
      <c r="U1452" s="2994">
        <v>0</v>
      </c>
      <c r="V1452" s="2994">
        <v>0</v>
      </c>
      <c r="W1452" s="2994">
        <v>0</v>
      </c>
      <c r="X1452" s="2994">
        <v>0</v>
      </c>
      <c r="Y1452" s="2994">
        <v>0</v>
      </c>
      <c r="Z1452" s="2994">
        <v>0</v>
      </c>
      <c r="AA1452" s="2994">
        <v>0</v>
      </c>
      <c r="AB1452" s="2994">
        <v>0</v>
      </c>
      <c r="AC1452" s="2994">
        <v>0</v>
      </c>
      <c r="AD1452" s="2994">
        <v>0</v>
      </c>
      <c r="AE1452" s="2994">
        <v>0</v>
      </c>
      <c r="AF1452" s="2994">
        <v>0</v>
      </c>
      <c r="AG1452" s="2994">
        <v>0</v>
      </c>
      <c r="AH1452" s="2994">
        <v>0</v>
      </c>
      <c r="AI1452" s="2994">
        <v>0</v>
      </c>
      <c r="AJ1452" s="2994">
        <v>0</v>
      </c>
      <c r="AK1452" s="2994">
        <v>0</v>
      </c>
      <c r="AL1452" s="2994">
        <v>0</v>
      </c>
      <c r="AM1452" s="2994">
        <v>0</v>
      </c>
      <c r="AN1452" s="2994">
        <v>0</v>
      </c>
      <c r="AO1452" s="2994">
        <v>0</v>
      </c>
      <c r="AP1452" s="2994">
        <v>0</v>
      </c>
      <c r="AQ1452" s="2994">
        <v>0</v>
      </c>
      <c r="AR1452" s="2994">
        <v>0</v>
      </c>
      <c r="AS1452" s="2994">
        <v>0</v>
      </c>
      <c r="AT1452" s="2994">
        <v>0</v>
      </c>
      <c r="AU1452" s="2994">
        <v>0</v>
      </c>
      <c r="AV1452" s="2994">
        <v>0</v>
      </c>
      <c r="AW1452" s="2994">
        <v>0</v>
      </c>
      <c r="AX1452" s="2994">
        <v>0</v>
      </c>
      <c r="AY1452" s="2994">
        <v>0</v>
      </c>
      <c r="AZ1452" s="2994">
        <v>0</v>
      </c>
      <c r="BA1452" s="2994">
        <v>0</v>
      </c>
      <c r="BB1452" s="2994">
        <v>0</v>
      </c>
      <c r="BC1452" s="2994">
        <v>0</v>
      </c>
      <c r="BD1452" s="3471">
        <v>0</v>
      </c>
      <c r="BE1452" s="3471">
        <v>0</v>
      </c>
      <c r="BF1452" s="3471">
        <v>0</v>
      </c>
    </row>
    <row r="1453" spans="1:58">
      <c r="A1453" s="1817" t="str">
        <f t="shared" si="45"/>
        <v>Western EuropeSeed cotton</v>
      </c>
      <c r="B1453" s="1818" t="s">
        <v>301</v>
      </c>
      <c r="C1453" s="1818" t="s">
        <v>1371</v>
      </c>
      <c r="D1453" s="3463" t="str">
        <f>VLOOKUP(B1453,List_Yield!$G$4:$J$14,4,FALSE)</f>
        <v>Western Europe</v>
      </c>
      <c r="E1453" s="3463" t="str">
        <f t="shared" si="46"/>
        <v>Western EuropeSeed cotton</v>
      </c>
      <c r="F1453" s="2994">
        <v>0</v>
      </c>
      <c r="G1453" s="2994">
        <v>0</v>
      </c>
      <c r="H1453" s="2994">
        <v>0</v>
      </c>
      <c r="I1453" s="2994">
        <v>0</v>
      </c>
      <c r="J1453" s="2994">
        <v>0</v>
      </c>
      <c r="K1453" s="2994">
        <v>0</v>
      </c>
      <c r="L1453" s="2994">
        <v>0</v>
      </c>
      <c r="M1453" s="2994">
        <v>0</v>
      </c>
      <c r="N1453" s="2994">
        <v>0</v>
      </c>
      <c r="O1453" s="2994">
        <v>0</v>
      </c>
      <c r="P1453" s="2994">
        <v>0</v>
      </c>
      <c r="Q1453" s="2994">
        <v>0</v>
      </c>
      <c r="R1453" s="2994">
        <v>0</v>
      </c>
      <c r="S1453" s="2994">
        <v>0</v>
      </c>
      <c r="T1453" s="2994">
        <v>0</v>
      </c>
      <c r="U1453" s="2994">
        <v>0</v>
      </c>
      <c r="V1453" s="2994">
        <v>0</v>
      </c>
      <c r="W1453" s="2994">
        <v>0</v>
      </c>
      <c r="X1453" s="2994">
        <v>0</v>
      </c>
      <c r="Y1453" s="2994">
        <v>0</v>
      </c>
      <c r="Z1453" s="2994">
        <v>0</v>
      </c>
      <c r="AA1453" s="2994">
        <v>0</v>
      </c>
      <c r="AB1453" s="2994">
        <v>0</v>
      </c>
      <c r="AC1453" s="2994">
        <v>0</v>
      </c>
      <c r="AD1453" s="2994">
        <v>0</v>
      </c>
      <c r="AE1453" s="2994">
        <v>0</v>
      </c>
      <c r="AF1453" s="2994">
        <v>0</v>
      </c>
      <c r="AG1453" s="2994">
        <v>0</v>
      </c>
      <c r="AH1453" s="2994">
        <v>0</v>
      </c>
      <c r="AI1453" s="2994">
        <v>0</v>
      </c>
      <c r="AJ1453" s="2994">
        <v>0</v>
      </c>
      <c r="AK1453" s="2994">
        <v>0</v>
      </c>
      <c r="AL1453" s="2994">
        <v>0</v>
      </c>
      <c r="AM1453" s="2994">
        <v>0</v>
      </c>
      <c r="AN1453" s="2994">
        <v>0</v>
      </c>
      <c r="AO1453" s="2994">
        <v>0</v>
      </c>
      <c r="AP1453" s="2994">
        <v>0</v>
      </c>
      <c r="AQ1453" s="2994">
        <v>0</v>
      </c>
      <c r="AR1453" s="2994">
        <v>0</v>
      </c>
      <c r="AS1453" s="2994">
        <v>0</v>
      </c>
      <c r="AT1453" s="2994">
        <v>0</v>
      </c>
      <c r="AU1453" s="2994">
        <v>0</v>
      </c>
      <c r="AV1453" s="2994">
        <v>0</v>
      </c>
      <c r="AW1453" s="2994">
        <v>0</v>
      </c>
      <c r="AX1453" s="2994">
        <v>0</v>
      </c>
      <c r="AY1453" s="2994">
        <v>0</v>
      </c>
      <c r="AZ1453" s="2994">
        <v>0</v>
      </c>
      <c r="BA1453" s="2994">
        <v>0</v>
      </c>
      <c r="BB1453" s="2994">
        <v>0</v>
      </c>
      <c r="BC1453" s="2994">
        <v>0</v>
      </c>
      <c r="BD1453" s="3471">
        <v>0</v>
      </c>
      <c r="BE1453" s="3471">
        <v>0</v>
      </c>
      <c r="BF1453" s="3471">
        <v>0</v>
      </c>
    </row>
    <row r="1454" spans="1:58">
      <c r="A1454" s="1817" t="str">
        <f t="shared" si="45"/>
        <v>Western EuropeSesame seed</v>
      </c>
      <c r="B1454" s="1818" t="s">
        <v>301</v>
      </c>
      <c r="C1454" s="1818" t="s">
        <v>1319</v>
      </c>
      <c r="D1454" s="3463" t="str">
        <f>VLOOKUP(B1454,List_Yield!$G$4:$J$14,4,FALSE)</f>
        <v>Western Europe</v>
      </c>
      <c r="E1454" s="3463" t="str">
        <f t="shared" si="46"/>
        <v>Western EuropeSesame seed</v>
      </c>
      <c r="F1454" s="2994">
        <v>0</v>
      </c>
      <c r="G1454" s="2994">
        <v>0</v>
      </c>
      <c r="H1454" s="2994">
        <v>0</v>
      </c>
      <c r="I1454" s="2994">
        <v>0</v>
      </c>
      <c r="J1454" s="2994">
        <v>0</v>
      </c>
      <c r="K1454" s="2994">
        <v>0</v>
      </c>
      <c r="L1454" s="2994">
        <v>0</v>
      </c>
      <c r="M1454" s="2994">
        <v>0</v>
      </c>
      <c r="N1454" s="2994">
        <v>0</v>
      </c>
      <c r="O1454" s="2994">
        <v>0</v>
      </c>
      <c r="P1454" s="2994">
        <v>0</v>
      </c>
      <c r="Q1454" s="2994">
        <v>0</v>
      </c>
      <c r="R1454" s="2994">
        <v>0</v>
      </c>
      <c r="S1454" s="2994">
        <v>0</v>
      </c>
      <c r="T1454" s="2994">
        <v>0</v>
      </c>
      <c r="U1454" s="2994">
        <v>0</v>
      </c>
      <c r="V1454" s="2994">
        <v>0</v>
      </c>
      <c r="W1454" s="2994">
        <v>0</v>
      </c>
      <c r="X1454" s="2994">
        <v>0</v>
      </c>
      <c r="Y1454" s="2994">
        <v>0</v>
      </c>
      <c r="Z1454" s="2994">
        <v>0</v>
      </c>
      <c r="AA1454" s="2994">
        <v>0</v>
      </c>
      <c r="AB1454" s="2994">
        <v>0</v>
      </c>
      <c r="AC1454" s="2994">
        <v>0</v>
      </c>
      <c r="AD1454" s="2994">
        <v>0</v>
      </c>
      <c r="AE1454" s="2994">
        <v>0</v>
      </c>
      <c r="AF1454" s="2994">
        <v>0</v>
      </c>
      <c r="AG1454" s="2994">
        <v>0</v>
      </c>
      <c r="AH1454" s="2994">
        <v>0</v>
      </c>
      <c r="AI1454" s="2994">
        <v>0</v>
      </c>
      <c r="AJ1454" s="2994">
        <v>0</v>
      </c>
      <c r="AK1454" s="2994">
        <v>0</v>
      </c>
      <c r="AL1454" s="2994">
        <v>0</v>
      </c>
      <c r="AM1454" s="2994">
        <v>0</v>
      </c>
      <c r="AN1454" s="2994">
        <v>0</v>
      </c>
      <c r="AO1454" s="2994">
        <v>0</v>
      </c>
      <c r="AP1454" s="2994">
        <v>0</v>
      </c>
      <c r="AQ1454" s="2994">
        <v>0</v>
      </c>
      <c r="AR1454" s="2994">
        <v>0</v>
      </c>
      <c r="AS1454" s="2994">
        <v>0</v>
      </c>
      <c r="AT1454" s="2994">
        <v>0</v>
      </c>
      <c r="AU1454" s="2994">
        <v>0</v>
      </c>
      <c r="AV1454" s="2994">
        <v>0</v>
      </c>
      <c r="AW1454" s="2994">
        <v>0</v>
      </c>
      <c r="AX1454" s="2994">
        <v>0</v>
      </c>
      <c r="AY1454" s="2994">
        <v>0</v>
      </c>
      <c r="AZ1454" s="2994">
        <v>0</v>
      </c>
      <c r="BA1454" s="2994">
        <v>0</v>
      </c>
      <c r="BB1454" s="2994">
        <v>0</v>
      </c>
      <c r="BC1454" s="2994">
        <v>0</v>
      </c>
      <c r="BD1454" s="3471">
        <v>0</v>
      </c>
      <c r="BE1454" s="3471">
        <v>0</v>
      </c>
      <c r="BF1454" s="3471">
        <v>0</v>
      </c>
    </row>
    <row r="1455" spans="1:58">
      <c r="A1455" s="1817" t="str">
        <f t="shared" si="45"/>
        <v>Western EuropeSisal</v>
      </c>
      <c r="B1455" s="1818" t="s">
        <v>301</v>
      </c>
      <c r="C1455" s="1818" t="s">
        <v>1372</v>
      </c>
      <c r="D1455" s="3463" t="str">
        <f>VLOOKUP(B1455,List_Yield!$G$4:$J$14,4,FALSE)</f>
        <v>Western Europe</v>
      </c>
      <c r="E1455" s="3463" t="str">
        <f t="shared" si="46"/>
        <v>Western EuropeSisal</v>
      </c>
      <c r="F1455" s="2994">
        <v>0</v>
      </c>
      <c r="G1455" s="2994">
        <v>0</v>
      </c>
      <c r="H1455" s="2994">
        <v>0</v>
      </c>
      <c r="I1455" s="2994">
        <v>0</v>
      </c>
      <c r="J1455" s="2994">
        <v>0</v>
      </c>
      <c r="K1455" s="2994">
        <v>0</v>
      </c>
      <c r="L1455" s="2994">
        <v>0</v>
      </c>
      <c r="M1455" s="2994">
        <v>0</v>
      </c>
      <c r="N1455" s="2994">
        <v>0</v>
      </c>
      <c r="O1455" s="2994">
        <v>0</v>
      </c>
      <c r="P1455" s="2994">
        <v>0</v>
      </c>
      <c r="Q1455" s="2994">
        <v>0</v>
      </c>
      <c r="R1455" s="2994">
        <v>0</v>
      </c>
      <c r="S1455" s="2994">
        <v>0</v>
      </c>
      <c r="T1455" s="2994">
        <v>0</v>
      </c>
      <c r="U1455" s="2994">
        <v>0</v>
      </c>
      <c r="V1455" s="2994">
        <v>0</v>
      </c>
      <c r="W1455" s="2994">
        <v>0</v>
      </c>
      <c r="X1455" s="2994">
        <v>0</v>
      </c>
      <c r="Y1455" s="2994">
        <v>0</v>
      </c>
      <c r="Z1455" s="2994">
        <v>0</v>
      </c>
      <c r="AA1455" s="2994">
        <v>0</v>
      </c>
      <c r="AB1455" s="2994">
        <v>0</v>
      </c>
      <c r="AC1455" s="2994">
        <v>0</v>
      </c>
      <c r="AD1455" s="2994">
        <v>0</v>
      </c>
      <c r="AE1455" s="2994">
        <v>0</v>
      </c>
      <c r="AF1455" s="2994">
        <v>0</v>
      </c>
      <c r="AG1455" s="2994">
        <v>0</v>
      </c>
      <c r="AH1455" s="2994">
        <v>0</v>
      </c>
      <c r="AI1455" s="2994">
        <v>0</v>
      </c>
      <c r="AJ1455" s="2994">
        <v>0</v>
      </c>
      <c r="AK1455" s="2994">
        <v>0</v>
      </c>
      <c r="AL1455" s="2994">
        <v>0</v>
      </c>
      <c r="AM1455" s="2994">
        <v>0</v>
      </c>
      <c r="AN1455" s="2994">
        <v>0</v>
      </c>
      <c r="AO1455" s="2994">
        <v>0</v>
      </c>
      <c r="AP1455" s="2994">
        <v>0</v>
      </c>
      <c r="AQ1455" s="2994">
        <v>0</v>
      </c>
      <c r="AR1455" s="2994">
        <v>0</v>
      </c>
      <c r="AS1455" s="2994">
        <v>0</v>
      </c>
      <c r="AT1455" s="2994">
        <v>0</v>
      </c>
      <c r="AU1455" s="2994">
        <v>0</v>
      </c>
      <c r="AV1455" s="2994">
        <v>0</v>
      </c>
      <c r="AW1455" s="2994">
        <v>0</v>
      </c>
      <c r="AX1455" s="2994">
        <v>0</v>
      </c>
      <c r="AY1455" s="2994">
        <v>0</v>
      </c>
      <c r="AZ1455" s="2994">
        <v>0</v>
      </c>
      <c r="BA1455" s="2994">
        <v>0</v>
      </c>
      <c r="BB1455" s="2994">
        <v>0</v>
      </c>
      <c r="BC1455" s="2994">
        <v>0</v>
      </c>
      <c r="BD1455" s="3471">
        <v>0</v>
      </c>
      <c r="BE1455" s="3471">
        <v>0</v>
      </c>
      <c r="BF1455" s="3471">
        <v>0</v>
      </c>
    </row>
    <row r="1456" spans="1:58">
      <c r="A1456" s="1817" t="str">
        <f t="shared" si="45"/>
        <v>Western EuropeSorghum</v>
      </c>
      <c r="B1456" s="1818" t="s">
        <v>301</v>
      </c>
      <c r="C1456" s="1818" t="s">
        <v>1373</v>
      </c>
      <c r="D1456" s="3463" t="str">
        <f>VLOOKUP(B1456,List_Yield!$G$4:$J$14,4,FALSE)</f>
        <v>Western Europe</v>
      </c>
      <c r="E1456" s="3463" t="str">
        <f t="shared" si="46"/>
        <v>Western EuropeSorghum</v>
      </c>
      <c r="F1456" s="2994">
        <v>2.3738000000000001</v>
      </c>
      <c r="G1456" s="2994">
        <v>2.4796</v>
      </c>
      <c r="H1456" s="2994">
        <v>3.1535000000000002</v>
      </c>
      <c r="I1456" s="2994">
        <v>2.5467</v>
      </c>
      <c r="J1456" s="2994">
        <v>2.7863000000000002</v>
      </c>
      <c r="K1456" s="2994">
        <v>2.8397999999999999</v>
      </c>
      <c r="L1456" s="2994">
        <v>2.3664999999999998</v>
      </c>
      <c r="M1456" s="2994">
        <v>3.6777000000000002</v>
      </c>
      <c r="N1456" s="2994">
        <v>3.6886000000000001</v>
      </c>
      <c r="O1456" s="2994">
        <v>3.2957000000000001</v>
      </c>
      <c r="P1456" s="2994">
        <v>4.1288999999999998</v>
      </c>
      <c r="Q1456" s="2994">
        <v>2.9874999999999998</v>
      </c>
      <c r="R1456" s="2994">
        <v>4.4711999999999996</v>
      </c>
      <c r="S1456" s="2994">
        <v>4.1929999999999996</v>
      </c>
      <c r="T1456" s="2994">
        <v>3.621</v>
      </c>
      <c r="U1456" s="2994">
        <v>3.2829000000000002</v>
      </c>
      <c r="V1456" s="2994">
        <v>3.3035000000000001</v>
      </c>
      <c r="W1456" s="2994">
        <v>4.2481</v>
      </c>
      <c r="X1456" s="2994">
        <v>4.0346000000000002</v>
      </c>
      <c r="Y1456" s="2994">
        <v>4.5541999999999998</v>
      </c>
      <c r="Z1456" s="2994">
        <v>4.8110999999999997</v>
      </c>
      <c r="AA1456" s="2994">
        <v>4.5598999999999998</v>
      </c>
      <c r="AB1456" s="2994">
        <v>4.5926</v>
      </c>
      <c r="AC1456" s="2994">
        <v>4.5171999999999999</v>
      </c>
      <c r="AD1456" s="2994">
        <v>4.6818</v>
      </c>
      <c r="AE1456" s="2994">
        <v>3.7391000000000001</v>
      </c>
      <c r="AF1456" s="2994">
        <v>5.8543000000000003</v>
      </c>
      <c r="AG1456" s="2994">
        <v>5.6666999999999996</v>
      </c>
      <c r="AH1456" s="2994">
        <v>4.2061000000000002</v>
      </c>
      <c r="AI1456" s="2994">
        <v>4.1295999999999999</v>
      </c>
      <c r="AJ1456" s="2994">
        <v>5.4894999999999996</v>
      </c>
      <c r="AK1456" s="2994">
        <v>5.6016000000000004</v>
      </c>
      <c r="AL1456" s="2994">
        <v>6.1096000000000004</v>
      </c>
      <c r="AM1456" s="2994">
        <v>5.5178000000000003</v>
      </c>
      <c r="AN1456" s="2994">
        <v>5.5739000000000001</v>
      </c>
      <c r="AO1456" s="2994">
        <v>6.24</v>
      </c>
      <c r="AP1456" s="2994">
        <v>6.6744000000000003</v>
      </c>
      <c r="AQ1456" s="2994">
        <v>5.5815000000000001</v>
      </c>
      <c r="AR1456" s="2994">
        <v>6.2031000000000001</v>
      </c>
      <c r="AS1456" s="2994">
        <v>6.2249999999999996</v>
      </c>
      <c r="AT1456" s="2994">
        <v>5.8775000000000004</v>
      </c>
      <c r="AU1456" s="2994">
        <v>6.4431000000000003</v>
      </c>
      <c r="AV1456" s="2994">
        <v>3.77</v>
      </c>
      <c r="AW1456" s="2994">
        <v>5.3483999999999998</v>
      </c>
      <c r="AX1456" s="2994">
        <v>5.1394000000000002</v>
      </c>
      <c r="AY1456" s="2994">
        <v>5.5126999999999997</v>
      </c>
      <c r="AZ1456" s="2994">
        <v>5.8654999999999999</v>
      </c>
      <c r="BA1456" s="2994">
        <v>6.2159000000000004</v>
      </c>
      <c r="BB1456" s="2994">
        <v>5.3429000000000002</v>
      </c>
      <c r="BC1456" s="2994">
        <v>5.5330000000000004</v>
      </c>
      <c r="BD1456" s="3471">
        <v>6.4676</v>
      </c>
      <c r="BE1456" s="3471">
        <v>5.6981999999999999</v>
      </c>
      <c r="BF1456" s="3471">
        <v>5.4322999999999997</v>
      </c>
    </row>
    <row r="1457" spans="1:58">
      <c r="A1457" s="1817" t="str">
        <f t="shared" si="45"/>
        <v>Western EuropeSoybeans</v>
      </c>
      <c r="B1457" s="1818" t="s">
        <v>301</v>
      </c>
      <c r="C1457" s="1818" t="s">
        <v>1333</v>
      </c>
      <c r="D1457" s="3463" t="str">
        <f>VLOOKUP(B1457,List_Yield!$G$4:$J$14,4,FALSE)</f>
        <v>Western Europe</v>
      </c>
      <c r="E1457" s="3463" t="str">
        <f t="shared" si="46"/>
        <v>Western EuropeSoybeans</v>
      </c>
      <c r="F1457" s="2994">
        <v>0</v>
      </c>
      <c r="G1457" s="2994">
        <v>0</v>
      </c>
      <c r="H1457" s="2994">
        <v>0</v>
      </c>
      <c r="I1457" s="2994">
        <v>0</v>
      </c>
      <c r="J1457" s="2994">
        <v>0</v>
      </c>
      <c r="K1457" s="2994">
        <v>0</v>
      </c>
      <c r="L1457" s="2994">
        <v>0</v>
      </c>
      <c r="M1457" s="2994">
        <v>0</v>
      </c>
      <c r="N1457" s="2994">
        <v>0</v>
      </c>
      <c r="O1457" s="2994">
        <v>0</v>
      </c>
      <c r="P1457" s="2994">
        <v>0</v>
      </c>
      <c r="Q1457" s="2994">
        <v>0</v>
      </c>
      <c r="R1457" s="2994">
        <v>2.2585000000000002</v>
      </c>
      <c r="S1457" s="2994">
        <v>1.2512000000000001</v>
      </c>
      <c r="T1457" s="2994">
        <v>1.9699</v>
      </c>
      <c r="U1457" s="2994">
        <v>1.6368</v>
      </c>
      <c r="V1457" s="2994">
        <v>1.9067000000000001</v>
      </c>
      <c r="W1457" s="2994">
        <v>1.4938</v>
      </c>
      <c r="X1457" s="2994">
        <v>1.397</v>
      </c>
      <c r="Y1457" s="2994">
        <v>2.1175999999999999</v>
      </c>
      <c r="Z1457" s="2994">
        <v>2.1591</v>
      </c>
      <c r="AA1457" s="2994">
        <v>2.1122000000000001</v>
      </c>
      <c r="AB1457" s="2994">
        <v>2.2000000000000002</v>
      </c>
      <c r="AC1457" s="2994">
        <v>2.0678999999999998</v>
      </c>
      <c r="AD1457" s="2994">
        <v>2.0508999999999999</v>
      </c>
      <c r="AE1457" s="2994">
        <v>2.0426000000000002</v>
      </c>
      <c r="AF1457" s="2994">
        <v>2.5975000000000001</v>
      </c>
      <c r="AG1457" s="2994">
        <v>2.4354</v>
      </c>
      <c r="AH1457" s="2994">
        <v>2.2784</v>
      </c>
      <c r="AI1457" s="2994">
        <v>2.0811000000000002</v>
      </c>
      <c r="AJ1457" s="2994">
        <v>2.4409000000000001</v>
      </c>
      <c r="AK1457" s="2994">
        <v>1.7746999999999999</v>
      </c>
      <c r="AL1457" s="2994">
        <v>2.3818999999999999</v>
      </c>
      <c r="AM1457" s="2994">
        <v>2.4969999999999999</v>
      </c>
      <c r="AN1457" s="2994">
        <v>2.5390000000000001</v>
      </c>
      <c r="AO1457" s="2994">
        <v>2.5777999999999999</v>
      </c>
      <c r="AP1457" s="2994">
        <v>2.6695000000000002</v>
      </c>
      <c r="AQ1457" s="2994">
        <v>2.5369000000000002</v>
      </c>
      <c r="AR1457" s="2994">
        <v>2.6840000000000002</v>
      </c>
      <c r="AS1457" s="2994">
        <v>2.5207999999999999</v>
      </c>
      <c r="AT1457" s="2994">
        <v>2.5005999999999999</v>
      </c>
      <c r="AU1457" s="2994">
        <v>2.7480000000000002</v>
      </c>
      <c r="AV1457" s="2994">
        <v>1.9668000000000001</v>
      </c>
      <c r="AW1457" s="2994">
        <v>2.5207000000000002</v>
      </c>
      <c r="AX1457" s="2994">
        <v>2.5781000000000001</v>
      </c>
      <c r="AY1457" s="2994">
        <v>2.6503000000000001</v>
      </c>
      <c r="AZ1457" s="2994">
        <v>2.5419999999999998</v>
      </c>
      <c r="BA1457" s="2994">
        <v>2.8706</v>
      </c>
      <c r="BB1457" s="2994">
        <v>2.6023999999999998</v>
      </c>
      <c r="BC1457" s="2994">
        <v>2.7303999999999999</v>
      </c>
      <c r="BD1457" s="3471">
        <v>2.8990999999999998</v>
      </c>
      <c r="BE1457" s="3471">
        <v>2.7831999999999999</v>
      </c>
      <c r="BF1457" s="3471">
        <v>2.2715000000000001</v>
      </c>
    </row>
    <row r="1458" spans="1:58">
      <c r="A1458" s="1817" t="str">
        <f t="shared" si="45"/>
        <v>Western EuropeSpices, nes</v>
      </c>
      <c r="B1458" s="1818" t="s">
        <v>301</v>
      </c>
      <c r="C1458" s="1818" t="s">
        <v>7377</v>
      </c>
      <c r="D1458" s="3463" t="str">
        <f>VLOOKUP(B1458,List_Yield!$G$4:$J$14,4,FALSE)</f>
        <v>Western Europe</v>
      </c>
      <c r="E1458" s="3463" t="str">
        <f t="shared" si="46"/>
        <v>Western EuropeSpices, nes</v>
      </c>
      <c r="F1458" s="2994">
        <v>0</v>
      </c>
      <c r="G1458" s="2994">
        <v>0</v>
      </c>
      <c r="H1458" s="2994">
        <v>0</v>
      </c>
      <c r="I1458" s="2994">
        <v>0</v>
      </c>
      <c r="J1458" s="2994">
        <v>0</v>
      </c>
      <c r="K1458" s="2994">
        <v>0</v>
      </c>
      <c r="L1458" s="2994">
        <v>0</v>
      </c>
      <c r="M1458" s="2994">
        <v>0</v>
      </c>
      <c r="N1458" s="2994">
        <v>0</v>
      </c>
      <c r="O1458" s="2994">
        <v>0</v>
      </c>
      <c r="P1458" s="2994">
        <v>0</v>
      </c>
      <c r="Q1458" s="2994">
        <v>0</v>
      </c>
      <c r="R1458" s="2994">
        <v>0</v>
      </c>
      <c r="S1458" s="2994">
        <v>0</v>
      </c>
      <c r="T1458" s="2994">
        <v>0</v>
      </c>
      <c r="U1458" s="2994">
        <v>0</v>
      </c>
      <c r="V1458" s="2994">
        <v>0</v>
      </c>
      <c r="W1458" s="2994">
        <v>0</v>
      </c>
      <c r="X1458" s="2994">
        <v>0</v>
      </c>
      <c r="Y1458" s="2994">
        <v>0</v>
      </c>
      <c r="Z1458" s="2994">
        <v>0</v>
      </c>
      <c r="AA1458" s="2994">
        <v>0</v>
      </c>
      <c r="AB1458" s="2994">
        <v>0</v>
      </c>
      <c r="AC1458" s="2994">
        <v>0</v>
      </c>
      <c r="AD1458" s="2994">
        <v>0</v>
      </c>
      <c r="AE1458" s="2994">
        <v>0</v>
      </c>
      <c r="AF1458" s="2994">
        <v>0</v>
      </c>
      <c r="AG1458" s="2994">
        <v>0</v>
      </c>
      <c r="AH1458" s="2994">
        <v>0</v>
      </c>
      <c r="AI1458" s="2994">
        <v>0</v>
      </c>
      <c r="AJ1458" s="2994">
        <v>0</v>
      </c>
      <c r="AK1458" s="2994">
        <v>0</v>
      </c>
      <c r="AL1458" s="2994">
        <v>0</v>
      </c>
      <c r="AM1458" s="2994">
        <v>0</v>
      </c>
      <c r="AN1458" s="2994">
        <v>0</v>
      </c>
      <c r="AO1458" s="2994">
        <v>0</v>
      </c>
      <c r="AP1458" s="2994">
        <v>0</v>
      </c>
      <c r="AQ1458" s="2994">
        <v>0</v>
      </c>
      <c r="AR1458" s="2994">
        <v>0</v>
      </c>
      <c r="AS1458" s="2994">
        <v>0</v>
      </c>
      <c r="AT1458" s="2994">
        <v>0</v>
      </c>
      <c r="AU1458" s="2994">
        <v>0</v>
      </c>
      <c r="AV1458" s="2994">
        <v>0</v>
      </c>
      <c r="AW1458" s="2994">
        <v>0</v>
      </c>
      <c r="AX1458" s="2994">
        <v>0</v>
      </c>
      <c r="AY1458" s="2994">
        <v>0</v>
      </c>
      <c r="AZ1458" s="2994">
        <v>0</v>
      </c>
      <c r="BA1458" s="2994">
        <v>0</v>
      </c>
      <c r="BB1458" s="2994">
        <v>0</v>
      </c>
      <c r="BC1458" s="2994">
        <v>0</v>
      </c>
      <c r="BD1458" s="3471">
        <v>0</v>
      </c>
      <c r="BE1458" s="3471">
        <v>0</v>
      </c>
      <c r="BF1458" s="3471">
        <v>0</v>
      </c>
    </row>
    <row r="1459" spans="1:58">
      <c r="A1459" s="1817" t="str">
        <f t="shared" si="45"/>
        <v>Western EuropeSpinach</v>
      </c>
      <c r="B1459" s="1818" t="s">
        <v>301</v>
      </c>
      <c r="C1459" s="1818" t="s">
        <v>7378</v>
      </c>
      <c r="D1459" s="3463" t="str">
        <f>VLOOKUP(B1459,List_Yield!$G$4:$J$14,4,FALSE)</f>
        <v>Western Europe</v>
      </c>
      <c r="E1459" s="3463" t="str">
        <f t="shared" si="46"/>
        <v>Western EuropeSpinach</v>
      </c>
      <c r="F1459" s="2994">
        <v>15.241199999999999</v>
      </c>
      <c r="G1459" s="2994">
        <v>15.6913</v>
      </c>
      <c r="H1459" s="2994">
        <v>15.5458</v>
      </c>
      <c r="I1459" s="2994">
        <v>17.220700000000001</v>
      </c>
      <c r="J1459" s="2994">
        <v>16.866700000000002</v>
      </c>
      <c r="K1459" s="2994">
        <v>17.9252</v>
      </c>
      <c r="L1459" s="2994">
        <v>19.055499999999999</v>
      </c>
      <c r="M1459" s="2994">
        <v>18.0959</v>
      </c>
      <c r="N1459" s="2994">
        <v>17.638000000000002</v>
      </c>
      <c r="O1459" s="2994">
        <v>16.8599</v>
      </c>
      <c r="P1459" s="2994">
        <v>14.9533</v>
      </c>
      <c r="Q1459" s="2994">
        <v>17.211099999999998</v>
      </c>
      <c r="R1459" s="2994">
        <v>16.2744</v>
      </c>
      <c r="S1459" s="2994">
        <v>15.7523</v>
      </c>
      <c r="T1459" s="2994">
        <v>15.7271</v>
      </c>
      <c r="U1459" s="2994">
        <v>14.7835</v>
      </c>
      <c r="V1459" s="2994">
        <v>16.867799999999999</v>
      </c>
      <c r="W1459" s="2994">
        <v>15.7667</v>
      </c>
      <c r="X1459" s="2994">
        <v>15.031000000000001</v>
      </c>
      <c r="Y1459" s="2994">
        <v>16.438099999999999</v>
      </c>
      <c r="Z1459" s="2994">
        <v>16.2181</v>
      </c>
      <c r="AA1459" s="2994">
        <v>16.3935</v>
      </c>
      <c r="AB1459" s="2994">
        <v>15.2399</v>
      </c>
      <c r="AC1459" s="2994">
        <v>15.071099999999999</v>
      </c>
      <c r="AD1459" s="2994">
        <v>15.602</v>
      </c>
      <c r="AE1459" s="2994">
        <v>15.7432</v>
      </c>
      <c r="AF1459" s="2994">
        <v>15.700799999999999</v>
      </c>
      <c r="AG1459" s="2994">
        <v>14.856400000000001</v>
      </c>
      <c r="AH1459" s="2994">
        <v>17.2119</v>
      </c>
      <c r="AI1459" s="2994">
        <v>16.670999999999999</v>
      </c>
      <c r="AJ1459" s="2994">
        <v>17.956199999999999</v>
      </c>
      <c r="AK1459" s="2994">
        <v>17.0322</v>
      </c>
      <c r="AL1459" s="2994">
        <v>18.644100000000002</v>
      </c>
      <c r="AM1459" s="2994">
        <v>15.8485</v>
      </c>
      <c r="AN1459" s="2994">
        <v>18.440999999999999</v>
      </c>
      <c r="AO1459" s="2994">
        <v>18.454999999999998</v>
      </c>
      <c r="AP1459" s="2994">
        <v>18.613</v>
      </c>
      <c r="AQ1459" s="2994">
        <v>17.145099999999999</v>
      </c>
      <c r="AR1459" s="2994">
        <v>18.555700000000002</v>
      </c>
      <c r="AS1459" s="2994">
        <v>18.8002</v>
      </c>
      <c r="AT1459" s="2994">
        <v>16.904199999999999</v>
      </c>
      <c r="AU1459" s="2994">
        <v>19.586099999999998</v>
      </c>
      <c r="AV1459" s="2994">
        <v>18.9482</v>
      </c>
      <c r="AW1459" s="2994">
        <v>19.210999999999999</v>
      </c>
      <c r="AX1459" s="2994">
        <v>20.278400000000001</v>
      </c>
      <c r="AY1459" s="2994">
        <v>18.733499999999999</v>
      </c>
      <c r="AZ1459" s="2994">
        <v>20.237100000000002</v>
      </c>
      <c r="BA1459" s="2994">
        <v>18.9437</v>
      </c>
      <c r="BB1459" s="2994">
        <v>18.435199999999998</v>
      </c>
      <c r="BC1459" s="2994">
        <v>18.3126</v>
      </c>
      <c r="BD1459" s="3471">
        <v>19.5213</v>
      </c>
      <c r="BE1459" s="3471">
        <v>19.440300000000001</v>
      </c>
      <c r="BF1459" s="3471">
        <v>0</v>
      </c>
    </row>
    <row r="1460" spans="1:58">
      <c r="A1460" s="1817" t="str">
        <f t="shared" si="45"/>
        <v>Western EuropeStrawberries</v>
      </c>
      <c r="B1460" s="1818" t="s">
        <v>301</v>
      </c>
      <c r="C1460" s="1818" t="s">
        <v>1374</v>
      </c>
      <c r="D1460" s="3463" t="str">
        <f>VLOOKUP(B1460,List_Yield!$G$4:$J$14,4,FALSE)</f>
        <v>Western Europe</v>
      </c>
      <c r="E1460" s="3463" t="str">
        <f t="shared" si="46"/>
        <v>Western EuropeStrawberries</v>
      </c>
      <c r="F1460" s="2994">
        <v>43.718400000000003</v>
      </c>
      <c r="G1460" s="2994">
        <v>41.442599999999999</v>
      </c>
      <c r="H1460" s="2994">
        <v>41.363100000000003</v>
      </c>
      <c r="I1460" s="2994">
        <v>51.673000000000002</v>
      </c>
      <c r="J1460" s="2994">
        <v>52.128799999999998</v>
      </c>
      <c r="K1460" s="2994">
        <v>52.856499999999997</v>
      </c>
      <c r="L1460" s="2994">
        <v>54.241900000000001</v>
      </c>
      <c r="M1460" s="2994">
        <v>52.185000000000002</v>
      </c>
      <c r="N1460" s="2994">
        <v>58.682499999999997</v>
      </c>
      <c r="O1460" s="2994">
        <v>19.251300000000001</v>
      </c>
      <c r="P1460" s="2994">
        <v>18.572700000000001</v>
      </c>
      <c r="Q1460" s="2994">
        <v>19.178999999999998</v>
      </c>
      <c r="R1460" s="2994">
        <v>17.864899999999999</v>
      </c>
      <c r="S1460" s="2994">
        <v>18.853899999999999</v>
      </c>
      <c r="T1460" s="2994">
        <v>17.655999999999999</v>
      </c>
      <c r="U1460" s="2994">
        <v>16.280100000000001</v>
      </c>
      <c r="V1460" s="2994">
        <v>17.282299999999999</v>
      </c>
      <c r="W1460" s="2994">
        <v>18.942299999999999</v>
      </c>
      <c r="X1460" s="2994">
        <v>18.326699999999999</v>
      </c>
      <c r="Y1460" s="2994">
        <v>18.992599999999999</v>
      </c>
      <c r="Z1460" s="2994">
        <v>18.497399999999999</v>
      </c>
      <c r="AA1460" s="2994">
        <v>19.659500000000001</v>
      </c>
      <c r="AB1460" s="2994">
        <v>20.5289</v>
      </c>
      <c r="AC1460" s="2994">
        <v>22.182400000000001</v>
      </c>
      <c r="AD1460" s="2994">
        <v>10.865500000000001</v>
      </c>
      <c r="AE1460" s="2994">
        <v>10.9779</v>
      </c>
      <c r="AF1460" s="2994">
        <v>11.318099999999999</v>
      </c>
      <c r="AG1460" s="2994">
        <v>12.104799999999999</v>
      </c>
      <c r="AH1460" s="2994">
        <v>11.9442</v>
      </c>
      <c r="AI1460" s="2994">
        <v>13.127800000000001</v>
      </c>
      <c r="AJ1460" s="2994">
        <v>13.1295</v>
      </c>
      <c r="AK1460" s="2994">
        <v>13.2196</v>
      </c>
      <c r="AL1460" s="2994">
        <v>13.6214</v>
      </c>
      <c r="AM1460" s="2994">
        <v>13.145099999999999</v>
      </c>
      <c r="AN1460" s="2994">
        <v>13.798299999999999</v>
      </c>
      <c r="AO1460" s="2994">
        <v>13.579800000000001</v>
      </c>
      <c r="AP1460" s="2994">
        <v>13.3514</v>
      </c>
      <c r="AQ1460" s="2994">
        <v>14.3459</v>
      </c>
      <c r="AR1460" s="2994">
        <v>14.1797</v>
      </c>
      <c r="AS1460" s="2994">
        <v>13.9948</v>
      </c>
      <c r="AT1460" s="2994">
        <v>14.045999999999999</v>
      </c>
      <c r="AU1460" s="2994">
        <v>13.870799999999999</v>
      </c>
      <c r="AV1460" s="2994">
        <v>13.052899999999999</v>
      </c>
      <c r="AW1460" s="2994">
        <v>14.0708</v>
      </c>
      <c r="AX1460" s="2994">
        <v>14.199299999999999</v>
      </c>
      <c r="AY1460" s="2994">
        <v>14.481199999999999</v>
      </c>
      <c r="AZ1460" s="2994">
        <v>14.5131</v>
      </c>
      <c r="BA1460" s="2994">
        <v>14.154400000000001</v>
      </c>
      <c r="BB1460" s="2994">
        <v>14.694100000000001</v>
      </c>
      <c r="BC1460" s="2994">
        <v>14.2463</v>
      </c>
      <c r="BD1460" s="3471">
        <v>14.280099999999999</v>
      </c>
      <c r="BE1460" s="3471">
        <v>13.657500000000001</v>
      </c>
      <c r="BF1460" s="3471">
        <v>0</v>
      </c>
    </row>
    <row r="1461" spans="1:58">
      <c r="A1461" s="1817" t="str">
        <f t="shared" si="45"/>
        <v>Western EuropeString beans</v>
      </c>
      <c r="B1461" s="1818" t="s">
        <v>301</v>
      </c>
      <c r="C1461" s="1818" t="s">
        <v>7379</v>
      </c>
      <c r="D1461" s="3463" t="str">
        <f>VLOOKUP(B1461,List_Yield!$G$4:$J$14,4,FALSE)</f>
        <v>Western Europe</v>
      </c>
      <c r="E1461" s="3463" t="str">
        <f t="shared" si="46"/>
        <v>Western EuropeString beans</v>
      </c>
      <c r="F1461" s="2994">
        <v>5.8582999999999998</v>
      </c>
      <c r="G1461" s="2994">
        <v>5.8833000000000002</v>
      </c>
      <c r="H1461" s="2994">
        <v>6.3235999999999999</v>
      </c>
      <c r="I1461" s="2994">
        <v>6.3891</v>
      </c>
      <c r="J1461" s="2994">
        <v>6.4092000000000002</v>
      </c>
      <c r="K1461" s="2994">
        <v>6.7869000000000002</v>
      </c>
      <c r="L1461" s="2994">
        <v>6.5166000000000004</v>
      </c>
      <c r="M1461" s="2994">
        <v>6.4687000000000001</v>
      </c>
      <c r="N1461" s="2994">
        <v>6.6162000000000001</v>
      </c>
      <c r="O1461" s="2994">
        <v>6.0876999999999999</v>
      </c>
      <c r="P1461" s="2994">
        <v>5.8716999999999997</v>
      </c>
      <c r="Q1461" s="2994">
        <v>5.3013000000000003</v>
      </c>
      <c r="R1461" s="2994">
        <v>5.4372999999999996</v>
      </c>
      <c r="S1461" s="2994">
        <v>5.9063999999999997</v>
      </c>
      <c r="T1461" s="2994">
        <v>5.2239000000000004</v>
      </c>
      <c r="U1461" s="2994">
        <v>4.6292</v>
      </c>
      <c r="V1461" s="2994">
        <v>5.6101999999999999</v>
      </c>
      <c r="W1461" s="2994">
        <v>5.6601999999999997</v>
      </c>
      <c r="X1461" s="2994">
        <v>6.4451000000000001</v>
      </c>
      <c r="Y1461" s="2994">
        <v>5.9352999999999998</v>
      </c>
      <c r="Z1461" s="2994">
        <v>6.6257999999999999</v>
      </c>
      <c r="AA1461" s="2994">
        <v>6.9202000000000004</v>
      </c>
      <c r="AB1461" s="2994">
        <v>6.1387</v>
      </c>
      <c r="AC1461" s="2994">
        <v>6.5445000000000002</v>
      </c>
      <c r="AD1461" s="2994">
        <v>6.9161999999999999</v>
      </c>
      <c r="AE1461" s="2994">
        <v>6.8949999999999996</v>
      </c>
      <c r="AF1461" s="2994">
        <v>7.2687999999999997</v>
      </c>
      <c r="AG1461" s="2994">
        <v>7.1083999999999996</v>
      </c>
      <c r="AH1461" s="2994">
        <v>6.3242000000000003</v>
      </c>
      <c r="AI1461" s="2994">
        <v>5.2864000000000004</v>
      </c>
      <c r="AJ1461" s="2994">
        <v>7.2119</v>
      </c>
      <c r="AK1461" s="2994">
        <v>7.1163999999999996</v>
      </c>
      <c r="AL1461" s="2994">
        <v>7.4081000000000001</v>
      </c>
      <c r="AM1461" s="2994">
        <v>9.1542999999999992</v>
      </c>
      <c r="AN1461" s="2994">
        <v>9.4738000000000007</v>
      </c>
      <c r="AO1461" s="2994">
        <v>9.2447999999999997</v>
      </c>
      <c r="AP1461" s="2994">
        <v>9.9093999999999998</v>
      </c>
      <c r="AQ1461" s="2994">
        <v>9.8056999999999999</v>
      </c>
      <c r="AR1461" s="2994">
        <v>10.590199999999999</v>
      </c>
      <c r="AS1461" s="2994">
        <v>10.5549</v>
      </c>
      <c r="AT1461" s="2994">
        <v>10.997400000000001</v>
      </c>
      <c r="AU1461" s="2994">
        <v>11.283899999999999</v>
      </c>
      <c r="AV1461" s="2994">
        <v>10.527900000000001</v>
      </c>
      <c r="AW1461" s="2994">
        <v>11.5158</v>
      </c>
      <c r="AX1461" s="2994">
        <v>11.7362</v>
      </c>
      <c r="AY1461" s="2994">
        <v>11.8003</v>
      </c>
      <c r="AZ1461" s="2994">
        <v>10.415699999999999</v>
      </c>
      <c r="BA1461" s="2994">
        <v>10.825799999999999</v>
      </c>
      <c r="BB1461" s="2994">
        <v>11.991</v>
      </c>
      <c r="BC1461" s="2994">
        <v>9.2390000000000008</v>
      </c>
      <c r="BD1461" s="3471">
        <v>7.1451000000000002</v>
      </c>
      <c r="BE1461" s="3471">
        <v>8.0978999999999992</v>
      </c>
      <c r="BF1461" s="3471">
        <v>0</v>
      </c>
    </row>
    <row r="1462" spans="1:58">
      <c r="A1462" s="1817" t="str">
        <f t="shared" si="45"/>
        <v>Western EuropeSugar beet</v>
      </c>
      <c r="B1462" s="1818" t="s">
        <v>301</v>
      </c>
      <c r="C1462" s="1818" t="s">
        <v>1332</v>
      </c>
      <c r="D1462" s="3463" t="str">
        <f>VLOOKUP(B1462,List_Yield!$G$4:$J$14,4,FALSE)</f>
        <v>Western Europe</v>
      </c>
      <c r="E1462" s="3463" t="str">
        <f t="shared" si="46"/>
        <v>Western EuropeSugar beet</v>
      </c>
      <c r="F1462" s="2994">
        <v>34.851500000000001</v>
      </c>
      <c r="G1462" s="2994">
        <v>30.758299999999998</v>
      </c>
      <c r="H1462" s="2994">
        <v>37.077100000000002</v>
      </c>
      <c r="I1462" s="2994">
        <v>38.459499999999998</v>
      </c>
      <c r="J1462" s="2994">
        <v>37.1387</v>
      </c>
      <c r="K1462" s="2994">
        <v>40.840000000000003</v>
      </c>
      <c r="L1462" s="2994">
        <v>43.091799999999999</v>
      </c>
      <c r="M1462" s="2994">
        <v>44.260100000000001</v>
      </c>
      <c r="N1462" s="2994">
        <v>42.204799999999999</v>
      </c>
      <c r="O1462" s="2994">
        <v>42.312800000000003</v>
      </c>
      <c r="P1462" s="2994">
        <v>43.904699999999998</v>
      </c>
      <c r="Q1462" s="2994">
        <v>42.001899999999999</v>
      </c>
      <c r="R1462" s="2994">
        <v>43.4968</v>
      </c>
      <c r="S1462" s="2994">
        <v>41.014400000000002</v>
      </c>
      <c r="T1462" s="2994">
        <v>39.720500000000001</v>
      </c>
      <c r="U1462" s="2994">
        <v>38.1462</v>
      </c>
      <c r="V1462" s="2994">
        <v>45.198</v>
      </c>
      <c r="W1462" s="2994">
        <v>43.056199999999997</v>
      </c>
      <c r="X1462" s="2994">
        <v>44.258499999999998</v>
      </c>
      <c r="Y1462" s="2994">
        <v>46.537300000000002</v>
      </c>
      <c r="Z1462" s="2994">
        <v>52.2774</v>
      </c>
      <c r="AA1462" s="2994">
        <v>52.902700000000003</v>
      </c>
      <c r="AB1462" s="2994">
        <v>44.417400000000001</v>
      </c>
      <c r="AC1462" s="2994">
        <v>49.429200000000002</v>
      </c>
      <c r="AD1462" s="2994">
        <v>51.746099999999998</v>
      </c>
      <c r="AE1462" s="2994">
        <v>51.727800000000002</v>
      </c>
      <c r="AF1462" s="2994">
        <v>51.954999999999998</v>
      </c>
      <c r="AG1462" s="2994">
        <v>52.3703</v>
      </c>
      <c r="AH1462" s="2994">
        <v>55.222900000000003</v>
      </c>
      <c r="AI1462" s="2994">
        <v>58.523099999999999</v>
      </c>
      <c r="AJ1462" s="2994">
        <v>55.319200000000002</v>
      </c>
      <c r="AK1462" s="2994">
        <v>59.760599999999997</v>
      </c>
      <c r="AL1462" s="2994">
        <v>62.992400000000004</v>
      </c>
      <c r="AM1462" s="2994">
        <v>56.369900000000001</v>
      </c>
      <c r="AN1462" s="2994">
        <v>57.712499999999999</v>
      </c>
      <c r="AO1462" s="2994">
        <v>58.783700000000003</v>
      </c>
      <c r="AP1462" s="2994">
        <v>62.163899999999998</v>
      </c>
      <c r="AQ1462" s="2994">
        <v>59.575200000000002</v>
      </c>
      <c r="AR1462" s="2994">
        <v>65.175200000000004</v>
      </c>
      <c r="AS1462" s="2994">
        <v>67.483900000000006</v>
      </c>
      <c r="AT1462" s="2994">
        <v>58.555500000000002</v>
      </c>
      <c r="AU1462" s="2994">
        <v>66.480900000000005</v>
      </c>
      <c r="AV1462" s="2994">
        <v>63.143999999999998</v>
      </c>
      <c r="AW1462" s="2994">
        <v>69.663799999999995</v>
      </c>
      <c r="AX1462" s="2994">
        <v>70.150999999999996</v>
      </c>
      <c r="AY1462" s="2994">
        <v>68.000299999999996</v>
      </c>
      <c r="AZ1462" s="2994">
        <v>72.124399999999994</v>
      </c>
      <c r="BA1462" s="2994">
        <v>73.999700000000004</v>
      </c>
      <c r="BB1462" s="2994">
        <v>80.265000000000001</v>
      </c>
      <c r="BC1462" s="2994">
        <v>73.661600000000007</v>
      </c>
      <c r="BD1462" s="3471">
        <v>84.852699999999999</v>
      </c>
      <c r="BE1462" s="3471">
        <v>78.030199999999994</v>
      </c>
      <c r="BF1462" s="3471">
        <v>74.826999999999998</v>
      </c>
    </row>
    <row r="1463" spans="1:58">
      <c r="A1463" s="1817" t="str">
        <f t="shared" si="45"/>
        <v>Western EuropeSugar cane</v>
      </c>
      <c r="B1463" s="1818" t="s">
        <v>301</v>
      </c>
      <c r="C1463" s="1818" t="s">
        <v>1375</v>
      </c>
      <c r="D1463" s="3463" t="str">
        <f>VLOOKUP(B1463,List_Yield!$G$4:$J$14,4,FALSE)</f>
        <v>Western Europe</v>
      </c>
      <c r="E1463" s="3463" t="str">
        <f t="shared" si="46"/>
        <v>Western EuropeSugar cane</v>
      </c>
      <c r="F1463" s="2994">
        <v>0</v>
      </c>
      <c r="G1463" s="2994">
        <v>0</v>
      </c>
      <c r="H1463" s="2994">
        <v>0</v>
      </c>
      <c r="I1463" s="2994">
        <v>0</v>
      </c>
      <c r="J1463" s="2994">
        <v>0</v>
      </c>
      <c r="K1463" s="2994">
        <v>0</v>
      </c>
      <c r="L1463" s="2994">
        <v>0</v>
      </c>
      <c r="M1463" s="2994">
        <v>0</v>
      </c>
      <c r="N1463" s="2994">
        <v>0</v>
      </c>
      <c r="O1463" s="2994">
        <v>0</v>
      </c>
      <c r="P1463" s="2994">
        <v>0</v>
      </c>
      <c r="Q1463" s="2994">
        <v>0</v>
      </c>
      <c r="R1463" s="2994">
        <v>0</v>
      </c>
      <c r="S1463" s="2994">
        <v>0</v>
      </c>
      <c r="T1463" s="2994">
        <v>0</v>
      </c>
      <c r="U1463" s="2994">
        <v>0</v>
      </c>
      <c r="V1463" s="2994">
        <v>0</v>
      </c>
      <c r="W1463" s="2994">
        <v>0</v>
      </c>
      <c r="X1463" s="2994">
        <v>0</v>
      </c>
      <c r="Y1463" s="2994">
        <v>0</v>
      </c>
      <c r="Z1463" s="2994">
        <v>0</v>
      </c>
      <c r="AA1463" s="2994">
        <v>0</v>
      </c>
      <c r="AB1463" s="2994">
        <v>0</v>
      </c>
      <c r="AC1463" s="2994">
        <v>0</v>
      </c>
      <c r="AD1463" s="2994">
        <v>0</v>
      </c>
      <c r="AE1463" s="2994">
        <v>0</v>
      </c>
      <c r="AF1463" s="2994">
        <v>0</v>
      </c>
      <c r="AG1463" s="2994">
        <v>0</v>
      </c>
      <c r="AH1463" s="2994">
        <v>0</v>
      </c>
      <c r="AI1463" s="2994">
        <v>0</v>
      </c>
      <c r="AJ1463" s="2994">
        <v>0</v>
      </c>
      <c r="AK1463" s="2994">
        <v>0</v>
      </c>
      <c r="AL1463" s="2994">
        <v>0</v>
      </c>
      <c r="AM1463" s="2994">
        <v>0</v>
      </c>
      <c r="AN1463" s="2994">
        <v>0</v>
      </c>
      <c r="AO1463" s="2994">
        <v>0</v>
      </c>
      <c r="AP1463" s="2994">
        <v>0</v>
      </c>
      <c r="AQ1463" s="2994">
        <v>0</v>
      </c>
      <c r="AR1463" s="2994">
        <v>0</v>
      </c>
      <c r="AS1463" s="2994">
        <v>0</v>
      </c>
      <c r="AT1463" s="2994">
        <v>0</v>
      </c>
      <c r="AU1463" s="2994">
        <v>0</v>
      </c>
      <c r="AV1463" s="2994">
        <v>0</v>
      </c>
      <c r="AW1463" s="2994">
        <v>0</v>
      </c>
      <c r="AX1463" s="2994">
        <v>0</v>
      </c>
      <c r="AY1463" s="2994">
        <v>0</v>
      </c>
      <c r="AZ1463" s="2994">
        <v>0</v>
      </c>
      <c r="BA1463" s="2994">
        <v>0</v>
      </c>
      <c r="BB1463" s="2994">
        <v>0</v>
      </c>
      <c r="BC1463" s="2994">
        <v>0</v>
      </c>
      <c r="BD1463" s="3471">
        <v>0</v>
      </c>
      <c r="BE1463" s="3471">
        <v>0</v>
      </c>
      <c r="BF1463" s="3471">
        <v>0</v>
      </c>
    </row>
    <row r="1464" spans="1:58">
      <c r="A1464" s="1817" t="str">
        <f t="shared" si="45"/>
        <v>Western EuropeSugar crops, nes</v>
      </c>
      <c r="B1464" s="1818" t="s">
        <v>301</v>
      </c>
      <c r="C1464" s="1818" t="s">
        <v>7380</v>
      </c>
      <c r="D1464" s="3463" t="str">
        <f>VLOOKUP(B1464,List_Yield!$G$4:$J$14,4,FALSE)</f>
        <v>Western Europe</v>
      </c>
      <c r="E1464" s="3463" t="str">
        <f t="shared" si="46"/>
        <v>Western EuropeSugar crops, nes</v>
      </c>
      <c r="F1464" s="2994">
        <v>0</v>
      </c>
      <c r="G1464" s="2994">
        <v>0</v>
      </c>
      <c r="H1464" s="2994">
        <v>0</v>
      </c>
      <c r="I1464" s="2994">
        <v>0</v>
      </c>
      <c r="J1464" s="2994">
        <v>0</v>
      </c>
      <c r="K1464" s="2994">
        <v>0</v>
      </c>
      <c r="L1464" s="2994">
        <v>0</v>
      </c>
      <c r="M1464" s="2994">
        <v>0</v>
      </c>
      <c r="N1464" s="2994">
        <v>0</v>
      </c>
      <c r="O1464" s="2994">
        <v>0</v>
      </c>
      <c r="P1464" s="2994">
        <v>0</v>
      </c>
      <c r="Q1464" s="2994">
        <v>0</v>
      </c>
      <c r="R1464" s="2994">
        <v>0</v>
      </c>
      <c r="S1464" s="2994">
        <v>0</v>
      </c>
      <c r="T1464" s="2994">
        <v>0</v>
      </c>
      <c r="U1464" s="2994">
        <v>0</v>
      </c>
      <c r="V1464" s="2994">
        <v>0</v>
      </c>
      <c r="W1464" s="2994">
        <v>0</v>
      </c>
      <c r="X1464" s="2994">
        <v>0</v>
      </c>
      <c r="Y1464" s="2994">
        <v>0</v>
      </c>
      <c r="Z1464" s="2994">
        <v>0</v>
      </c>
      <c r="AA1464" s="2994">
        <v>0</v>
      </c>
      <c r="AB1464" s="2994">
        <v>0</v>
      </c>
      <c r="AC1464" s="2994">
        <v>0</v>
      </c>
      <c r="AD1464" s="2994">
        <v>0</v>
      </c>
      <c r="AE1464" s="2994">
        <v>0</v>
      </c>
      <c r="AF1464" s="2994">
        <v>0</v>
      </c>
      <c r="AG1464" s="2994">
        <v>0</v>
      </c>
      <c r="AH1464" s="2994">
        <v>0</v>
      </c>
      <c r="AI1464" s="2994">
        <v>0</v>
      </c>
      <c r="AJ1464" s="2994">
        <v>0</v>
      </c>
      <c r="AK1464" s="2994">
        <v>0</v>
      </c>
      <c r="AL1464" s="2994">
        <v>0</v>
      </c>
      <c r="AM1464" s="2994">
        <v>0</v>
      </c>
      <c r="AN1464" s="2994">
        <v>0</v>
      </c>
      <c r="AO1464" s="2994">
        <v>0</v>
      </c>
      <c r="AP1464" s="2994">
        <v>0</v>
      </c>
      <c r="AQ1464" s="2994">
        <v>0</v>
      </c>
      <c r="AR1464" s="2994">
        <v>0</v>
      </c>
      <c r="AS1464" s="2994">
        <v>0</v>
      </c>
      <c r="AT1464" s="2994">
        <v>0</v>
      </c>
      <c r="AU1464" s="2994">
        <v>0</v>
      </c>
      <c r="AV1464" s="2994">
        <v>0</v>
      </c>
      <c r="AW1464" s="2994">
        <v>0</v>
      </c>
      <c r="AX1464" s="2994">
        <v>0</v>
      </c>
      <c r="AY1464" s="2994">
        <v>0</v>
      </c>
      <c r="AZ1464" s="2994">
        <v>0</v>
      </c>
      <c r="BA1464" s="2994">
        <v>0</v>
      </c>
      <c r="BB1464" s="2994">
        <v>0</v>
      </c>
      <c r="BC1464" s="2994">
        <v>0</v>
      </c>
      <c r="BD1464" s="3471">
        <v>0</v>
      </c>
      <c r="BE1464" s="3471">
        <v>0</v>
      </c>
      <c r="BF1464" s="3471">
        <v>0</v>
      </c>
    </row>
    <row r="1465" spans="1:58">
      <c r="A1465" s="1817" t="str">
        <f t="shared" si="45"/>
        <v>Western EuropeSunflower seed</v>
      </c>
      <c r="B1465" s="1818" t="s">
        <v>301</v>
      </c>
      <c r="C1465" s="1818" t="s">
        <v>1376</v>
      </c>
      <c r="D1465" s="3463" t="str">
        <f>VLOOKUP(B1465,List_Yield!$G$4:$J$14,4,FALSE)</f>
        <v>Western Europe</v>
      </c>
      <c r="E1465" s="3463" t="str">
        <f t="shared" si="46"/>
        <v>Western EuropeSunflower seed</v>
      </c>
      <c r="F1465" s="2994">
        <v>1.7224999999999999</v>
      </c>
      <c r="G1465" s="2994">
        <v>1.6160000000000001</v>
      </c>
      <c r="H1465" s="2994">
        <v>1.3528</v>
      </c>
      <c r="I1465" s="2994">
        <v>1.4423999999999999</v>
      </c>
      <c r="J1465" s="2994">
        <v>1.5349999999999999</v>
      </c>
      <c r="K1465" s="2994">
        <v>1.7767999999999999</v>
      </c>
      <c r="L1465" s="2994">
        <v>1.5918000000000001</v>
      </c>
      <c r="M1465" s="2994">
        <v>1.8562000000000001</v>
      </c>
      <c r="N1465" s="2994">
        <v>1.7936000000000001</v>
      </c>
      <c r="O1465" s="2994">
        <v>1.7804</v>
      </c>
      <c r="P1465" s="2994">
        <v>1.7585999999999999</v>
      </c>
      <c r="Q1465" s="2994">
        <v>1.5333000000000001</v>
      </c>
      <c r="R1465" s="2994">
        <v>2.0455999999999999</v>
      </c>
      <c r="S1465" s="2994">
        <v>1.663</v>
      </c>
      <c r="T1465" s="2994">
        <v>1.496</v>
      </c>
      <c r="U1465" s="2994">
        <v>1.2729999999999999</v>
      </c>
      <c r="V1465" s="2994">
        <v>1.8174999999999999</v>
      </c>
      <c r="W1465" s="2994">
        <v>2.117</v>
      </c>
      <c r="X1465" s="2994">
        <v>2.1515</v>
      </c>
      <c r="Y1465" s="2994">
        <v>2.3841999999999999</v>
      </c>
      <c r="Z1465" s="2994">
        <v>2.5175000000000001</v>
      </c>
      <c r="AA1465" s="2994">
        <v>2.2210000000000001</v>
      </c>
      <c r="AB1465" s="2994">
        <v>1.9328000000000001</v>
      </c>
      <c r="AC1465" s="2994">
        <v>1.9400999999999999</v>
      </c>
      <c r="AD1465" s="2994">
        <v>2.3706</v>
      </c>
      <c r="AE1465" s="2994">
        <v>2.0847000000000002</v>
      </c>
      <c r="AF1465" s="2994">
        <v>2.5448</v>
      </c>
      <c r="AG1465" s="2994">
        <v>2.4815</v>
      </c>
      <c r="AH1465" s="2994">
        <v>2.3652000000000002</v>
      </c>
      <c r="AI1465" s="2994">
        <v>2.1457999999999999</v>
      </c>
      <c r="AJ1465" s="2994">
        <v>2.4685000000000001</v>
      </c>
      <c r="AK1465" s="2994">
        <v>2.1850000000000001</v>
      </c>
      <c r="AL1465" s="2994">
        <v>2.1637</v>
      </c>
      <c r="AM1465" s="2994">
        <v>2.0261</v>
      </c>
      <c r="AN1465" s="2994">
        <v>2.0689000000000002</v>
      </c>
      <c r="AO1465" s="2994">
        <v>2.2471999999999999</v>
      </c>
      <c r="AP1465" s="2994">
        <v>2.2858999999999998</v>
      </c>
      <c r="AQ1465" s="2994">
        <v>2.2155999999999998</v>
      </c>
      <c r="AR1465" s="2994">
        <v>2.3525999999999998</v>
      </c>
      <c r="AS1465" s="2994">
        <v>2.5165999999999999</v>
      </c>
      <c r="AT1465" s="2994">
        <v>2.2454999999999998</v>
      </c>
      <c r="AU1465" s="2994">
        <v>2.4281000000000001</v>
      </c>
      <c r="AV1465" s="2994">
        <v>2.1859999999999999</v>
      </c>
      <c r="AW1465" s="2994">
        <v>2.375</v>
      </c>
      <c r="AX1465" s="2994">
        <v>2.3618999999999999</v>
      </c>
      <c r="AY1465" s="2994">
        <v>2.2315</v>
      </c>
      <c r="AZ1465" s="2994">
        <v>2.5169999999999999</v>
      </c>
      <c r="BA1465" s="2994">
        <v>2.5354999999999999</v>
      </c>
      <c r="BB1465" s="2994">
        <v>2.3906000000000001</v>
      </c>
      <c r="BC1465" s="2994">
        <v>2.3584999999999998</v>
      </c>
      <c r="BD1465" s="3471">
        <v>2.5316999999999998</v>
      </c>
      <c r="BE1465" s="3471">
        <v>2.3157999999999999</v>
      </c>
      <c r="BF1465" s="3471">
        <v>2.0630999999999999</v>
      </c>
    </row>
    <row r="1466" spans="1:58">
      <c r="A1466" s="1817" t="str">
        <f t="shared" si="45"/>
        <v>Western EuropeSweet potatoes</v>
      </c>
      <c r="B1466" s="1818" t="s">
        <v>301</v>
      </c>
      <c r="C1466" s="1818" t="s">
        <v>1377</v>
      </c>
      <c r="D1466" s="3463" t="str">
        <f>VLOOKUP(B1466,List_Yield!$G$4:$J$14,4,FALSE)</f>
        <v>Western Europe</v>
      </c>
      <c r="E1466" s="3463" t="str">
        <f t="shared" si="46"/>
        <v>Western EuropeSweet potatoes</v>
      </c>
      <c r="F1466" s="2994">
        <v>0</v>
      </c>
      <c r="G1466" s="2994">
        <v>0</v>
      </c>
      <c r="H1466" s="2994">
        <v>0</v>
      </c>
      <c r="I1466" s="2994">
        <v>0</v>
      </c>
      <c r="J1466" s="2994">
        <v>0</v>
      </c>
      <c r="K1466" s="2994">
        <v>0</v>
      </c>
      <c r="L1466" s="2994">
        <v>0</v>
      </c>
      <c r="M1466" s="2994">
        <v>0</v>
      </c>
      <c r="N1466" s="2994">
        <v>0</v>
      </c>
      <c r="O1466" s="2994">
        <v>0</v>
      </c>
      <c r="P1466" s="2994">
        <v>0</v>
      </c>
      <c r="Q1466" s="2994">
        <v>0</v>
      </c>
      <c r="R1466" s="2994">
        <v>0</v>
      </c>
      <c r="S1466" s="2994">
        <v>0</v>
      </c>
      <c r="T1466" s="2994">
        <v>0</v>
      </c>
      <c r="U1466" s="2994">
        <v>0</v>
      </c>
      <c r="V1466" s="2994">
        <v>0</v>
      </c>
      <c r="W1466" s="2994">
        <v>0</v>
      </c>
      <c r="X1466" s="2994">
        <v>0</v>
      </c>
      <c r="Y1466" s="2994">
        <v>0</v>
      </c>
      <c r="Z1466" s="2994">
        <v>0</v>
      </c>
      <c r="AA1466" s="2994">
        <v>0</v>
      </c>
      <c r="AB1466" s="2994">
        <v>0</v>
      </c>
      <c r="AC1466" s="2994">
        <v>0</v>
      </c>
      <c r="AD1466" s="2994">
        <v>0</v>
      </c>
      <c r="AE1466" s="2994">
        <v>0</v>
      </c>
      <c r="AF1466" s="2994">
        <v>0</v>
      </c>
      <c r="AG1466" s="2994">
        <v>0</v>
      </c>
      <c r="AH1466" s="2994">
        <v>0</v>
      </c>
      <c r="AI1466" s="2994">
        <v>0</v>
      </c>
      <c r="AJ1466" s="2994">
        <v>0</v>
      </c>
      <c r="AK1466" s="2994">
        <v>0</v>
      </c>
      <c r="AL1466" s="2994">
        <v>0</v>
      </c>
      <c r="AM1466" s="2994">
        <v>0</v>
      </c>
      <c r="AN1466" s="2994">
        <v>0</v>
      </c>
      <c r="AO1466" s="2994">
        <v>0</v>
      </c>
      <c r="AP1466" s="2994">
        <v>0</v>
      </c>
      <c r="AQ1466" s="2994">
        <v>0</v>
      </c>
      <c r="AR1466" s="2994">
        <v>0</v>
      </c>
      <c r="AS1466" s="2994">
        <v>0</v>
      </c>
      <c r="AT1466" s="2994">
        <v>0</v>
      </c>
      <c r="AU1466" s="2994">
        <v>0</v>
      </c>
      <c r="AV1466" s="2994">
        <v>0</v>
      </c>
      <c r="AW1466" s="2994">
        <v>0</v>
      </c>
      <c r="AX1466" s="2994">
        <v>0</v>
      </c>
      <c r="AY1466" s="2994">
        <v>0</v>
      </c>
      <c r="AZ1466" s="2994">
        <v>0</v>
      </c>
      <c r="BA1466" s="2994">
        <v>0</v>
      </c>
      <c r="BB1466" s="2994">
        <v>0</v>
      </c>
      <c r="BC1466" s="2994">
        <v>0</v>
      </c>
      <c r="BD1466" s="3471">
        <v>0</v>
      </c>
      <c r="BE1466" s="3471">
        <v>0</v>
      </c>
      <c r="BF1466" s="3471">
        <v>0</v>
      </c>
    </row>
    <row r="1467" spans="1:58">
      <c r="A1467" s="1817" t="str">
        <f t="shared" si="45"/>
        <v>Western EuropeTallowtree seed</v>
      </c>
      <c r="B1467" s="1818" t="s">
        <v>301</v>
      </c>
      <c r="C1467" s="1818" t="s">
        <v>7381</v>
      </c>
      <c r="D1467" s="3463" t="str">
        <f>VLOOKUP(B1467,List_Yield!$G$4:$J$14,4,FALSE)</f>
        <v>Western Europe</v>
      </c>
      <c r="E1467" s="3463" t="str">
        <f t="shared" si="46"/>
        <v>Western EuropeTallowtree seed</v>
      </c>
      <c r="F1467" s="2994">
        <v>0</v>
      </c>
      <c r="G1467" s="2994">
        <v>0</v>
      </c>
      <c r="H1467" s="2994">
        <v>0</v>
      </c>
      <c r="I1467" s="2994">
        <v>0</v>
      </c>
      <c r="J1467" s="2994">
        <v>0</v>
      </c>
      <c r="K1467" s="2994">
        <v>0</v>
      </c>
      <c r="L1467" s="2994">
        <v>0</v>
      </c>
      <c r="M1467" s="2994">
        <v>0</v>
      </c>
      <c r="N1467" s="2994">
        <v>0</v>
      </c>
      <c r="O1467" s="2994">
        <v>0</v>
      </c>
      <c r="P1467" s="2994">
        <v>0</v>
      </c>
      <c r="Q1467" s="2994">
        <v>0</v>
      </c>
      <c r="R1467" s="2994">
        <v>0</v>
      </c>
      <c r="S1467" s="2994">
        <v>0</v>
      </c>
      <c r="T1467" s="2994">
        <v>0</v>
      </c>
      <c r="U1467" s="2994">
        <v>0</v>
      </c>
      <c r="V1467" s="2994">
        <v>0</v>
      </c>
      <c r="W1467" s="2994">
        <v>0</v>
      </c>
      <c r="X1467" s="2994">
        <v>0</v>
      </c>
      <c r="Y1467" s="2994">
        <v>0</v>
      </c>
      <c r="Z1467" s="2994">
        <v>0</v>
      </c>
      <c r="AA1467" s="2994">
        <v>0</v>
      </c>
      <c r="AB1467" s="2994">
        <v>0</v>
      </c>
      <c r="AC1467" s="2994">
        <v>0</v>
      </c>
      <c r="AD1467" s="2994">
        <v>0</v>
      </c>
      <c r="AE1467" s="2994">
        <v>0</v>
      </c>
      <c r="AF1467" s="2994">
        <v>0</v>
      </c>
      <c r="AG1467" s="2994">
        <v>0</v>
      </c>
      <c r="AH1467" s="2994">
        <v>0</v>
      </c>
      <c r="AI1467" s="2994">
        <v>0</v>
      </c>
      <c r="AJ1467" s="2994">
        <v>0</v>
      </c>
      <c r="AK1467" s="2994">
        <v>0</v>
      </c>
      <c r="AL1467" s="2994">
        <v>0</v>
      </c>
      <c r="AM1467" s="2994">
        <v>0</v>
      </c>
      <c r="AN1467" s="2994">
        <v>0</v>
      </c>
      <c r="AO1467" s="2994">
        <v>0</v>
      </c>
      <c r="AP1467" s="2994">
        <v>0</v>
      </c>
      <c r="AQ1467" s="2994">
        <v>0</v>
      </c>
      <c r="AR1467" s="2994">
        <v>0</v>
      </c>
      <c r="AS1467" s="2994">
        <v>0</v>
      </c>
      <c r="AT1467" s="2994">
        <v>0</v>
      </c>
      <c r="AU1467" s="2994">
        <v>0</v>
      </c>
      <c r="AV1467" s="2994">
        <v>0</v>
      </c>
      <c r="AW1467" s="2994">
        <v>0</v>
      </c>
      <c r="AX1467" s="2994">
        <v>0</v>
      </c>
      <c r="AY1467" s="2994">
        <v>0</v>
      </c>
      <c r="AZ1467" s="2994">
        <v>0</v>
      </c>
      <c r="BA1467" s="2994">
        <v>0</v>
      </c>
      <c r="BB1467" s="2994">
        <v>0</v>
      </c>
      <c r="BC1467" s="2994">
        <v>0</v>
      </c>
      <c r="BD1467" s="3471">
        <v>0</v>
      </c>
      <c r="BE1467" s="3471">
        <v>0</v>
      </c>
      <c r="BF1467" s="3471">
        <v>0</v>
      </c>
    </row>
    <row r="1468" spans="1:58">
      <c r="A1468" s="1817" t="str">
        <f t="shared" si="45"/>
        <v>Western EuropeTangerines, mandarins, clementines, satsumas</v>
      </c>
      <c r="B1468" s="1818" t="s">
        <v>301</v>
      </c>
      <c r="C1468" s="1818" t="s">
        <v>7382</v>
      </c>
      <c r="D1468" s="3463" t="str">
        <f>VLOOKUP(B1468,List_Yield!$G$4:$J$14,4,FALSE)</f>
        <v>Western Europe</v>
      </c>
      <c r="E1468" s="3463" t="str">
        <f t="shared" si="46"/>
        <v>Western EuropeTangerines, mandarins, clementines, satsumas</v>
      </c>
      <c r="F1468" s="2994">
        <v>4.1818</v>
      </c>
      <c r="G1468" s="2994">
        <v>2.875</v>
      </c>
      <c r="H1468" s="2994">
        <v>3.4375</v>
      </c>
      <c r="I1468" s="2994">
        <v>2.0312999999999999</v>
      </c>
      <c r="J1468" s="2994">
        <v>0.96289999999999998</v>
      </c>
      <c r="K1468" s="2994">
        <v>2.1415000000000002</v>
      </c>
      <c r="L1468" s="2994">
        <v>4.0917000000000003</v>
      </c>
      <c r="M1468" s="2994">
        <v>8.3851999999999993</v>
      </c>
      <c r="N1468" s="2994">
        <v>9.6454000000000004</v>
      </c>
      <c r="O1468" s="2994">
        <v>9.3467000000000002</v>
      </c>
      <c r="P1468" s="2994">
        <v>9.75</v>
      </c>
      <c r="Q1468" s="2994">
        <v>6.1337000000000002</v>
      </c>
      <c r="R1468" s="2994">
        <v>6.5012999999999996</v>
      </c>
      <c r="S1468" s="2994">
        <v>7.2797999999999998</v>
      </c>
      <c r="T1468" s="2994">
        <v>8.0066000000000006</v>
      </c>
      <c r="U1468" s="2994">
        <v>11.457100000000001</v>
      </c>
      <c r="V1468" s="2994">
        <v>9.5988000000000007</v>
      </c>
      <c r="W1468" s="2994">
        <v>10.589399999999999</v>
      </c>
      <c r="X1468" s="2994">
        <v>15.181800000000001</v>
      </c>
      <c r="Y1468" s="2994">
        <v>9.8094999999999999</v>
      </c>
      <c r="Z1468" s="2994">
        <v>12.823600000000001</v>
      </c>
      <c r="AA1468" s="2994">
        <v>13.5769</v>
      </c>
      <c r="AB1468" s="2994">
        <v>10.7692</v>
      </c>
      <c r="AC1468" s="2994">
        <v>12.1883</v>
      </c>
      <c r="AD1468" s="2994">
        <v>19.086400000000001</v>
      </c>
      <c r="AE1468" s="2994">
        <v>18.780799999999999</v>
      </c>
      <c r="AF1468" s="2994">
        <v>19.162299999999998</v>
      </c>
      <c r="AG1468" s="2994">
        <v>19.1465</v>
      </c>
      <c r="AH1468" s="2994">
        <v>18</v>
      </c>
      <c r="AI1468" s="2994">
        <v>11.8095</v>
      </c>
      <c r="AJ1468" s="2994">
        <v>17.408899999999999</v>
      </c>
      <c r="AK1468" s="2994">
        <v>10.6119</v>
      </c>
      <c r="AL1468" s="2994">
        <v>14.1846</v>
      </c>
      <c r="AM1468" s="2994">
        <v>11.3071</v>
      </c>
      <c r="AN1468" s="2994">
        <v>12.589499999999999</v>
      </c>
      <c r="AO1468" s="2994">
        <v>9.4164999999999992</v>
      </c>
      <c r="AP1468" s="2994">
        <v>10.379200000000001</v>
      </c>
      <c r="AQ1468" s="2994">
        <v>9.7106999999999992</v>
      </c>
      <c r="AR1468" s="2994">
        <v>10.5329</v>
      </c>
      <c r="AS1468" s="2994">
        <v>12.1122</v>
      </c>
      <c r="AT1468" s="2994">
        <v>11.293200000000001</v>
      </c>
      <c r="AU1468" s="2994">
        <v>13.706200000000001</v>
      </c>
      <c r="AV1468" s="2994">
        <v>11.269399999999999</v>
      </c>
      <c r="AW1468" s="2994">
        <v>15.730700000000001</v>
      </c>
      <c r="AX1468" s="2994">
        <v>12.535600000000001</v>
      </c>
      <c r="AY1468" s="2994">
        <v>16.9527</v>
      </c>
      <c r="AZ1468" s="2994">
        <v>10.9321</v>
      </c>
      <c r="BA1468" s="2994">
        <v>14.219799999999999</v>
      </c>
      <c r="BB1468" s="2994">
        <v>16.901399999999999</v>
      </c>
      <c r="BC1468" s="2994">
        <v>14.482100000000001</v>
      </c>
      <c r="BD1468" s="3471">
        <v>18.994199999999999</v>
      </c>
      <c r="BE1468" s="3471">
        <v>22.456800000000001</v>
      </c>
      <c r="BF1468" s="3471">
        <v>0</v>
      </c>
    </row>
    <row r="1469" spans="1:58">
      <c r="A1469" s="1817" t="str">
        <f t="shared" si="45"/>
        <v>Western EuropeTaro (cocoyam)</v>
      </c>
      <c r="B1469" s="1818" t="s">
        <v>301</v>
      </c>
      <c r="C1469" s="1818" t="s">
        <v>7383</v>
      </c>
      <c r="D1469" s="3463" t="str">
        <f>VLOOKUP(B1469,List_Yield!$G$4:$J$14,4,FALSE)</f>
        <v>Western Europe</v>
      </c>
      <c r="E1469" s="3463" t="str">
        <f t="shared" si="46"/>
        <v>Western EuropeTaro (cocoyam)</v>
      </c>
      <c r="F1469" s="2994">
        <v>0</v>
      </c>
      <c r="G1469" s="2994">
        <v>0</v>
      </c>
      <c r="H1469" s="2994">
        <v>0</v>
      </c>
      <c r="I1469" s="2994">
        <v>0</v>
      </c>
      <c r="J1469" s="2994">
        <v>0</v>
      </c>
      <c r="K1469" s="2994">
        <v>0</v>
      </c>
      <c r="L1469" s="2994">
        <v>0</v>
      </c>
      <c r="M1469" s="2994">
        <v>0</v>
      </c>
      <c r="N1469" s="2994">
        <v>0</v>
      </c>
      <c r="O1469" s="2994">
        <v>0</v>
      </c>
      <c r="P1469" s="2994">
        <v>0</v>
      </c>
      <c r="Q1469" s="2994">
        <v>0</v>
      </c>
      <c r="R1469" s="2994">
        <v>0</v>
      </c>
      <c r="S1469" s="2994">
        <v>0</v>
      </c>
      <c r="T1469" s="2994">
        <v>0</v>
      </c>
      <c r="U1469" s="2994">
        <v>0</v>
      </c>
      <c r="V1469" s="2994">
        <v>0</v>
      </c>
      <c r="W1469" s="2994">
        <v>0</v>
      </c>
      <c r="X1469" s="2994">
        <v>0</v>
      </c>
      <c r="Y1469" s="2994">
        <v>0</v>
      </c>
      <c r="Z1469" s="2994">
        <v>0</v>
      </c>
      <c r="AA1469" s="2994">
        <v>0</v>
      </c>
      <c r="AB1469" s="2994">
        <v>0</v>
      </c>
      <c r="AC1469" s="2994">
        <v>0</v>
      </c>
      <c r="AD1469" s="2994">
        <v>0</v>
      </c>
      <c r="AE1469" s="2994">
        <v>0</v>
      </c>
      <c r="AF1469" s="2994">
        <v>0</v>
      </c>
      <c r="AG1469" s="2994">
        <v>0</v>
      </c>
      <c r="AH1469" s="2994">
        <v>0</v>
      </c>
      <c r="AI1469" s="2994">
        <v>0</v>
      </c>
      <c r="AJ1469" s="2994">
        <v>0</v>
      </c>
      <c r="AK1469" s="2994">
        <v>0</v>
      </c>
      <c r="AL1469" s="2994">
        <v>0</v>
      </c>
      <c r="AM1469" s="2994">
        <v>0</v>
      </c>
      <c r="AN1469" s="2994">
        <v>0</v>
      </c>
      <c r="AO1469" s="2994">
        <v>0</v>
      </c>
      <c r="AP1469" s="2994">
        <v>0</v>
      </c>
      <c r="AQ1469" s="2994">
        <v>0</v>
      </c>
      <c r="AR1469" s="2994">
        <v>0</v>
      </c>
      <c r="AS1469" s="2994">
        <v>0</v>
      </c>
      <c r="AT1469" s="2994">
        <v>0</v>
      </c>
      <c r="AU1469" s="2994">
        <v>0</v>
      </c>
      <c r="AV1469" s="2994">
        <v>0</v>
      </c>
      <c r="AW1469" s="2994">
        <v>0</v>
      </c>
      <c r="AX1469" s="2994">
        <v>0</v>
      </c>
      <c r="AY1469" s="2994">
        <v>0</v>
      </c>
      <c r="AZ1469" s="2994">
        <v>0</v>
      </c>
      <c r="BA1469" s="2994">
        <v>0</v>
      </c>
      <c r="BB1469" s="2994">
        <v>0</v>
      </c>
      <c r="BC1469" s="2994">
        <v>0</v>
      </c>
      <c r="BD1469" s="3471">
        <v>0</v>
      </c>
      <c r="BE1469" s="3471">
        <v>0</v>
      </c>
      <c r="BF1469" s="3471">
        <v>0</v>
      </c>
    </row>
    <row r="1470" spans="1:58">
      <c r="A1470" s="1817" t="str">
        <f t="shared" si="45"/>
        <v>Western EuropeTea</v>
      </c>
      <c r="B1470" s="1818" t="s">
        <v>301</v>
      </c>
      <c r="C1470" s="1818" t="s">
        <v>1379</v>
      </c>
      <c r="D1470" s="3463" t="str">
        <f>VLOOKUP(B1470,List_Yield!$G$4:$J$14,4,FALSE)</f>
        <v>Western Europe</v>
      </c>
      <c r="E1470" s="3463" t="str">
        <f t="shared" si="46"/>
        <v>Western EuropeTea</v>
      </c>
      <c r="F1470" s="2994">
        <v>0</v>
      </c>
      <c r="G1470" s="2994">
        <v>0</v>
      </c>
      <c r="H1470" s="2994">
        <v>0</v>
      </c>
      <c r="I1470" s="2994">
        <v>0</v>
      </c>
      <c r="J1470" s="2994">
        <v>0</v>
      </c>
      <c r="K1470" s="2994">
        <v>0</v>
      </c>
      <c r="L1470" s="2994">
        <v>0</v>
      </c>
      <c r="M1470" s="2994">
        <v>0</v>
      </c>
      <c r="N1470" s="2994">
        <v>0</v>
      </c>
      <c r="O1470" s="2994">
        <v>0</v>
      </c>
      <c r="P1470" s="2994">
        <v>0</v>
      </c>
      <c r="Q1470" s="2994">
        <v>0</v>
      </c>
      <c r="R1470" s="2994">
        <v>0</v>
      </c>
      <c r="S1470" s="2994">
        <v>0</v>
      </c>
      <c r="T1470" s="2994">
        <v>0</v>
      </c>
      <c r="U1470" s="2994">
        <v>0</v>
      </c>
      <c r="V1470" s="2994">
        <v>0</v>
      </c>
      <c r="W1470" s="2994">
        <v>0</v>
      </c>
      <c r="X1470" s="2994">
        <v>0</v>
      </c>
      <c r="Y1470" s="2994">
        <v>0</v>
      </c>
      <c r="Z1470" s="2994">
        <v>0</v>
      </c>
      <c r="AA1470" s="2994">
        <v>0</v>
      </c>
      <c r="AB1470" s="2994">
        <v>0</v>
      </c>
      <c r="AC1470" s="2994">
        <v>0</v>
      </c>
      <c r="AD1470" s="2994">
        <v>0</v>
      </c>
      <c r="AE1470" s="2994">
        <v>0</v>
      </c>
      <c r="AF1470" s="2994">
        <v>0</v>
      </c>
      <c r="AG1470" s="2994">
        <v>0</v>
      </c>
      <c r="AH1470" s="2994">
        <v>0</v>
      </c>
      <c r="AI1470" s="2994">
        <v>0</v>
      </c>
      <c r="AJ1470" s="2994">
        <v>0</v>
      </c>
      <c r="AK1470" s="2994">
        <v>0</v>
      </c>
      <c r="AL1470" s="2994">
        <v>0</v>
      </c>
      <c r="AM1470" s="2994">
        <v>0</v>
      </c>
      <c r="AN1470" s="2994">
        <v>0</v>
      </c>
      <c r="AO1470" s="2994">
        <v>0</v>
      </c>
      <c r="AP1470" s="2994">
        <v>0</v>
      </c>
      <c r="AQ1470" s="2994">
        <v>0</v>
      </c>
      <c r="AR1470" s="2994">
        <v>0</v>
      </c>
      <c r="AS1470" s="2994">
        <v>0</v>
      </c>
      <c r="AT1470" s="2994">
        <v>0</v>
      </c>
      <c r="AU1470" s="2994">
        <v>0</v>
      </c>
      <c r="AV1470" s="2994">
        <v>0</v>
      </c>
      <c r="AW1470" s="2994">
        <v>0</v>
      </c>
      <c r="AX1470" s="2994">
        <v>0</v>
      </c>
      <c r="AY1470" s="2994">
        <v>0</v>
      </c>
      <c r="AZ1470" s="2994">
        <v>0</v>
      </c>
      <c r="BA1470" s="2994">
        <v>0</v>
      </c>
      <c r="BB1470" s="2994">
        <v>0</v>
      </c>
      <c r="BC1470" s="2994">
        <v>0</v>
      </c>
      <c r="BD1470" s="3471">
        <v>0</v>
      </c>
      <c r="BE1470" s="3471">
        <v>0</v>
      </c>
      <c r="BF1470" s="3471">
        <v>0</v>
      </c>
    </row>
    <row r="1471" spans="1:58">
      <c r="A1471" s="1817" t="str">
        <f t="shared" si="45"/>
        <v>Western EuropeTobacco, unmanufactured</v>
      </c>
      <c r="B1471" s="1818" t="s">
        <v>301</v>
      </c>
      <c r="C1471" s="1818" t="s">
        <v>1321</v>
      </c>
      <c r="D1471" s="3463" t="str">
        <f>VLOOKUP(B1471,List_Yield!$G$4:$J$14,4,FALSE)</f>
        <v>Western Europe</v>
      </c>
      <c r="E1471" s="3463" t="str">
        <f t="shared" si="46"/>
        <v>Western EuropeTobacco, unmanufactured</v>
      </c>
      <c r="F1471" s="2994">
        <v>1.6372</v>
      </c>
      <c r="G1471" s="2994">
        <v>1.8491</v>
      </c>
      <c r="H1471" s="2994">
        <v>1.9125000000000001</v>
      </c>
      <c r="I1471" s="2994">
        <v>2.1179999999999999</v>
      </c>
      <c r="J1471" s="2994">
        <v>2.1728000000000001</v>
      </c>
      <c r="K1471" s="2994">
        <v>2.2101000000000002</v>
      </c>
      <c r="L1471" s="2994">
        <v>2.2947000000000002</v>
      </c>
      <c r="M1471" s="2994">
        <v>2.3889999999999998</v>
      </c>
      <c r="N1471" s="2994">
        <v>2.2290000000000001</v>
      </c>
      <c r="O1471" s="2994">
        <v>2.3437000000000001</v>
      </c>
      <c r="P1471" s="2994">
        <v>2.1722000000000001</v>
      </c>
      <c r="Q1471" s="2994">
        <v>2.3929999999999998</v>
      </c>
      <c r="R1471" s="2994">
        <v>2.4628999999999999</v>
      </c>
      <c r="S1471" s="2994">
        <v>2.3738999999999999</v>
      </c>
      <c r="T1471" s="2994">
        <v>2.3999000000000001</v>
      </c>
      <c r="U1471" s="2994">
        <v>2.6926000000000001</v>
      </c>
      <c r="V1471" s="2994">
        <v>2.0693999999999999</v>
      </c>
      <c r="W1471" s="2994">
        <v>2.4316</v>
      </c>
      <c r="X1471" s="2994">
        <v>2.4929000000000001</v>
      </c>
      <c r="Y1471" s="2994">
        <v>2.2595000000000001</v>
      </c>
      <c r="Z1471" s="2994">
        <v>2.3881000000000001</v>
      </c>
      <c r="AA1471" s="2994">
        <v>2.5693999999999999</v>
      </c>
      <c r="AB1471" s="2994">
        <v>2.3534000000000002</v>
      </c>
      <c r="AC1471" s="2994">
        <v>2.3450000000000002</v>
      </c>
      <c r="AD1471" s="2994">
        <v>2.3639000000000001</v>
      </c>
      <c r="AE1471" s="2994">
        <v>2.4100999999999999</v>
      </c>
      <c r="AF1471" s="2994">
        <v>2.3243</v>
      </c>
      <c r="AG1471" s="2994">
        <v>2.2524999999999999</v>
      </c>
      <c r="AH1471" s="2994">
        <v>2.2665999999999999</v>
      </c>
      <c r="AI1471" s="2994">
        <v>2.3298000000000001</v>
      </c>
      <c r="AJ1471" s="2994">
        <v>2.57</v>
      </c>
      <c r="AK1471" s="2994">
        <v>2.2023000000000001</v>
      </c>
      <c r="AL1471" s="2994">
        <v>2.5087999999999999</v>
      </c>
      <c r="AM1471" s="2994">
        <v>2.4272999999999998</v>
      </c>
      <c r="AN1471" s="2994">
        <v>2.4952000000000001</v>
      </c>
      <c r="AO1471" s="2994">
        <v>2.7784</v>
      </c>
      <c r="AP1471" s="2994">
        <v>2.6145</v>
      </c>
      <c r="AQ1471" s="2994">
        <v>2.7418999999999998</v>
      </c>
      <c r="AR1471" s="2994">
        <v>2.6461000000000001</v>
      </c>
      <c r="AS1471" s="2994">
        <v>2.5859999999999999</v>
      </c>
      <c r="AT1471" s="2994">
        <v>2.5988000000000002</v>
      </c>
      <c r="AU1471" s="2994">
        <v>2.6055999999999999</v>
      </c>
      <c r="AV1471" s="2994">
        <v>2.7454000000000001</v>
      </c>
      <c r="AW1471" s="2994">
        <v>2.7509000000000001</v>
      </c>
      <c r="AX1471" s="2994">
        <v>2.6118999999999999</v>
      </c>
      <c r="AY1471" s="2994">
        <v>2.5062000000000002</v>
      </c>
      <c r="AZ1471" s="2994">
        <v>2.2894999999999999</v>
      </c>
      <c r="BA1471" s="2994">
        <v>2.6008</v>
      </c>
      <c r="BB1471" s="2994">
        <v>2.5590000000000002</v>
      </c>
      <c r="BC1471" s="2994">
        <v>2.5764</v>
      </c>
      <c r="BD1471" s="3471">
        <v>2.3513999999999999</v>
      </c>
      <c r="BE1471" s="3471">
        <v>2.4887999999999999</v>
      </c>
      <c r="BF1471" s="3471">
        <v>0</v>
      </c>
    </row>
    <row r="1472" spans="1:58">
      <c r="A1472" s="1817" t="str">
        <f t="shared" si="45"/>
        <v>Western EuropeTomatoes</v>
      </c>
      <c r="B1472" s="1818" t="s">
        <v>301</v>
      </c>
      <c r="C1472" s="1818" t="s">
        <v>1380</v>
      </c>
      <c r="D1472" s="3463" t="str">
        <f>VLOOKUP(B1472,List_Yield!$G$4:$J$14,4,FALSE)</f>
        <v>Western Europe</v>
      </c>
      <c r="E1472" s="3463" t="str">
        <f t="shared" si="46"/>
        <v>Western EuropeTomatoes</v>
      </c>
      <c r="F1472" s="2994">
        <v>33.240600000000001</v>
      </c>
      <c r="G1472" s="2994">
        <v>33.722799999999999</v>
      </c>
      <c r="H1472" s="2994">
        <v>29.185600000000001</v>
      </c>
      <c r="I1472" s="2994">
        <v>36.462899999999998</v>
      </c>
      <c r="J1472" s="2994">
        <v>38.067500000000003</v>
      </c>
      <c r="K1472" s="2994">
        <v>36.996699999999997</v>
      </c>
      <c r="L1472" s="2994">
        <v>38.873899999999999</v>
      </c>
      <c r="M1472" s="2994">
        <v>39.335599999999999</v>
      </c>
      <c r="N1472" s="2994">
        <v>42.383600000000001</v>
      </c>
      <c r="O1472" s="2994">
        <v>44.325200000000002</v>
      </c>
      <c r="P1472" s="2994">
        <v>48.297400000000003</v>
      </c>
      <c r="Q1472" s="2994">
        <v>44.389600000000002</v>
      </c>
      <c r="R1472" s="2994">
        <v>50.415199999999999</v>
      </c>
      <c r="S1472" s="2994">
        <v>50.4482</v>
      </c>
      <c r="T1472" s="2994">
        <v>51.433100000000003</v>
      </c>
      <c r="U1472" s="2994">
        <v>52.079300000000003</v>
      </c>
      <c r="V1472" s="2994">
        <v>52.148000000000003</v>
      </c>
      <c r="W1472" s="2994">
        <v>55.524900000000002</v>
      </c>
      <c r="X1472" s="2994">
        <v>54.858600000000003</v>
      </c>
      <c r="Y1472" s="2994">
        <v>59.033799999999999</v>
      </c>
      <c r="Z1472" s="2994">
        <v>59.872100000000003</v>
      </c>
      <c r="AA1472" s="2994">
        <v>65.351100000000002</v>
      </c>
      <c r="AB1472" s="2994">
        <v>66.586100000000002</v>
      </c>
      <c r="AC1472" s="2994">
        <v>69.055300000000003</v>
      </c>
      <c r="AD1472" s="2994">
        <v>76.648499999999999</v>
      </c>
      <c r="AE1472" s="2994">
        <v>78.662899999999993</v>
      </c>
      <c r="AF1472" s="2994">
        <v>84.171999999999997</v>
      </c>
      <c r="AG1472" s="2994">
        <v>91.316800000000001</v>
      </c>
      <c r="AH1472" s="2994">
        <v>98.214299999999994</v>
      </c>
      <c r="AI1472" s="2994">
        <v>107.1759</v>
      </c>
      <c r="AJ1472" s="2994">
        <v>114.10509999999999</v>
      </c>
      <c r="AK1472" s="2994">
        <v>122.6618</v>
      </c>
      <c r="AL1472" s="2994">
        <v>125.0536</v>
      </c>
      <c r="AM1472" s="2994">
        <v>127.2214</v>
      </c>
      <c r="AN1472" s="2994">
        <v>144.09700000000001</v>
      </c>
      <c r="AO1472" s="2994">
        <v>137.06059999999999</v>
      </c>
      <c r="AP1472" s="2994">
        <v>139.57339999999999</v>
      </c>
      <c r="AQ1472" s="2994">
        <v>149.55549999999999</v>
      </c>
      <c r="AR1472" s="2994">
        <v>149.66669999999999</v>
      </c>
      <c r="AS1472" s="2994">
        <v>167.28639999999999</v>
      </c>
      <c r="AT1472" s="2994">
        <v>175.18889999999999</v>
      </c>
      <c r="AU1472" s="2994">
        <v>185.3931</v>
      </c>
      <c r="AV1472" s="2994">
        <v>207.3537</v>
      </c>
      <c r="AW1472" s="2994">
        <v>218.73419999999999</v>
      </c>
      <c r="AX1472" s="2994">
        <v>236.2646</v>
      </c>
      <c r="AY1472" s="2994">
        <v>240.07320000000001</v>
      </c>
      <c r="AZ1472" s="2994">
        <v>243.72579999999999</v>
      </c>
      <c r="BA1472" s="2994">
        <v>215.18270000000001</v>
      </c>
      <c r="BB1472" s="2994">
        <v>192.38679999999999</v>
      </c>
      <c r="BC1472" s="2994">
        <v>199.16050000000001</v>
      </c>
      <c r="BD1472" s="3471">
        <v>200.00059999999999</v>
      </c>
      <c r="BE1472" s="3471">
        <v>191.90119999999999</v>
      </c>
      <c r="BF1472" s="3471">
        <v>0</v>
      </c>
    </row>
    <row r="1473" spans="1:58">
      <c r="A1473" s="1817" t="str">
        <f t="shared" si="45"/>
        <v>Western EuropeTriticale</v>
      </c>
      <c r="B1473" s="1818" t="s">
        <v>301</v>
      </c>
      <c r="C1473" s="1818" t="s">
        <v>1335</v>
      </c>
      <c r="D1473" s="3463" t="str">
        <f>VLOOKUP(B1473,List_Yield!$G$4:$J$14,4,FALSE)</f>
        <v>Western Europe</v>
      </c>
      <c r="E1473" s="3463" t="str">
        <f t="shared" si="46"/>
        <v>Western EuropeTriticale</v>
      </c>
      <c r="F1473" s="2994">
        <v>0</v>
      </c>
      <c r="G1473" s="2994">
        <v>0</v>
      </c>
      <c r="H1473" s="2994">
        <v>0</v>
      </c>
      <c r="I1473" s="2994">
        <v>0</v>
      </c>
      <c r="J1473" s="2994">
        <v>0</v>
      </c>
      <c r="K1473" s="2994">
        <v>0</v>
      </c>
      <c r="L1473" s="2994">
        <v>0</v>
      </c>
      <c r="M1473" s="2994">
        <v>0</v>
      </c>
      <c r="N1473" s="2994">
        <v>0</v>
      </c>
      <c r="O1473" s="2994">
        <v>0</v>
      </c>
      <c r="P1473" s="2994">
        <v>0</v>
      </c>
      <c r="Q1473" s="2994">
        <v>0</v>
      </c>
      <c r="R1473" s="2994">
        <v>0</v>
      </c>
      <c r="S1473" s="2994">
        <v>0</v>
      </c>
      <c r="T1473" s="2994">
        <v>0</v>
      </c>
      <c r="U1473" s="2994">
        <v>0</v>
      </c>
      <c r="V1473" s="2994">
        <v>0</v>
      </c>
      <c r="W1473" s="2994">
        <v>0</v>
      </c>
      <c r="X1473" s="2994">
        <v>0</v>
      </c>
      <c r="Y1473" s="2994">
        <v>0</v>
      </c>
      <c r="Z1473" s="2994">
        <v>0</v>
      </c>
      <c r="AA1473" s="2994">
        <v>0</v>
      </c>
      <c r="AB1473" s="2994">
        <v>0</v>
      </c>
      <c r="AC1473" s="2994">
        <v>4.5404999999999998</v>
      </c>
      <c r="AD1473" s="2994">
        <v>4.5251999999999999</v>
      </c>
      <c r="AE1473" s="2994">
        <v>3.4201000000000001</v>
      </c>
      <c r="AF1473" s="2994">
        <v>4.0747999999999998</v>
      </c>
      <c r="AG1473" s="2994">
        <v>4.2938000000000001</v>
      </c>
      <c r="AH1473" s="2994">
        <v>4.6364000000000001</v>
      </c>
      <c r="AI1473" s="2994">
        <v>4.6599000000000004</v>
      </c>
      <c r="AJ1473" s="2994">
        <v>5.0240999999999998</v>
      </c>
      <c r="AK1473" s="2994">
        <v>4.9665999999999997</v>
      </c>
      <c r="AL1473" s="2994">
        <v>5.0309999999999997</v>
      </c>
      <c r="AM1473" s="2994">
        <v>5.0804</v>
      </c>
      <c r="AN1473" s="2994">
        <v>5.2599</v>
      </c>
      <c r="AO1473" s="2994">
        <v>5.5860000000000003</v>
      </c>
      <c r="AP1473" s="2994">
        <v>5.5906000000000002</v>
      </c>
      <c r="AQ1473" s="2994">
        <v>5.7378999999999998</v>
      </c>
      <c r="AR1473" s="2994">
        <v>5.7065999999999999</v>
      </c>
      <c r="AS1473" s="2994">
        <v>5.4657</v>
      </c>
      <c r="AT1473" s="2994">
        <v>5.7972000000000001</v>
      </c>
      <c r="AU1473" s="2994">
        <v>5.4748999999999999</v>
      </c>
      <c r="AV1473" s="2994">
        <v>4.7615999999999996</v>
      </c>
      <c r="AW1473" s="2994">
        <v>6.0926999999999998</v>
      </c>
      <c r="AX1473" s="2994">
        <v>5.4996999999999998</v>
      </c>
      <c r="AY1473" s="2994">
        <v>5.3428000000000004</v>
      </c>
      <c r="AZ1473" s="2994">
        <v>5.0183</v>
      </c>
      <c r="BA1473" s="2994">
        <v>5.6628999999999996</v>
      </c>
      <c r="BB1473" s="2994">
        <v>5.9413</v>
      </c>
      <c r="BC1473" s="2994">
        <v>5.3807999999999998</v>
      </c>
      <c r="BD1473" s="3471">
        <v>5.1670999999999996</v>
      </c>
      <c r="BE1473" s="3471">
        <v>5.8002000000000002</v>
      </c>
      <c r="BF1473" s="3471">
        <v>5.8845999999999998</v>
      </c>
    </row>
    <row r="1474" spans="1:58">
      <c r="A1474" s="1817" t="str">
        <f t="shared" ref="A1474:A1537" si="47">CONCATENATE(B1474,C1474)</f>
        <v>Western EuropeTung nuts</v>
      </c>
      <c r="B1474" s="1818" t="s">
        <v>301</v>
      </c>
      <c r="C1474" s="1818" t="s">
        <v>7384</v>
      </c>
      <c r="D1474" s="3463" t="str">
        <f>VLOOKUP(B1474,List_Yield!$G$4:$J$14,4,FALSE)</f>
        <v>Western Europe</v>
      </c>
      <c r="E1474" s="3463" t="str">
        <f t="shared" si="46"/>
        <v>Western EuropeTung nuts</v>
      </c>
      <c r="F1474" s="2994">
        <v>0</v>
      </c>
      <c r="G1474" s="2994">
        <v>0</v>
      </c>
      <c r="H1474" s="2994">
        <v>0</v>
      </c>
      <c r="I1474" s="2994">
        <v>0</v>
      </c>
      <c r="J1474" s="2994">
        <v>0</v>
      </c>
      <c r="K1474" s="2994">
        <v>0</v>
      </c>
      <c r="L1474" s="2994">
        <v>0</v>
      </c>
      <c r="M1474" s="2994">
        <v>0</v>
      </c>
      <c r="N1474" s="2994">
        <v>0</v>
      </c>
      <c r="O1474" s="2994">
        <v>0</v>
      </c>
      <c r="P1474" s="2994">
        <v>0</v>
      </c>
      <c r="Q1474" s="2994">
        <v>0</v>
      </c>
      <c r="R1474" s="2994">
        <v>0</v>
      </c>
      <c r="S1474" s="2994">
        <v>0</v>
      </c>
      <c r="T1474" s="2994">
        <v>0</v>
      </c>
      <c r="U1474" s="2994">
        <v>0</v>
      </c>
      <c r="V1474" s="2994">
        <v>0</v>
      </c>
      <c r="W1474" s="2994">
        <v>0</v>
      </c>
      <c r="X1474" s="2994">
        <v>0</v>
      </c>
      <c r="Y1474" s="2994">
        <v>0</v>
      </c>
      <c r="Z1474" s="2994">
        <v>0</v>
      </c>
      <c r="AA1474" s="2994">
        <v>0</v>
      </c>
      <c r="AB1474" s="2994">
        <v>0</v>
      </c>
      <c r="AC1474" s="2994">
        <v>0</v>
      </c>
      <c r="AD1474" s="2994">
        <v>0</v>
      </c>
      <c r="AE1474" s="2994">
        <v>0</v>
      </c>
      <c r="AF1474" s="2994">
        <v>0</v>
      </c>
      <c r="AG1474" s="2994">
        <v>0</v>
      </c>
      <c r="AH1474" s="2994">
        <v>0</v>
      </c>
      <c r="AI1474" s="2994">
        <v>0</v>
      </c>
      <c r="AJ1474" s="2994">
        <v>0</v>
      </c>
      <c r="AK1474" s="2994">
        <v>0</v>
      </c>
      <c r="AL1474" s="2994">
        <v>0</v>
      </c>
      <c r="AM1474" s="2994">
        <v>0</v>
      </c>
      <c r="AN1474" s="2994">
        <v>0</v>
      </c>
      <c r="AO1474" s="2994">
        <v>0</v>
      </c>
      <c r="AP1474" s="2994">
        <v>0</v>
      </c>
      <c r="AQ1474" s="2994">
        <v>0</v>
      </c>
      <c r="AR1474" s="2994">
        <v>0</v>
      </c>
      <c r="AS1474" s="2994">
        <v>0</v>
      </c>
      <c r="AT1474" s="2994">
        <v>0</v>
      </c>
      <c r="AU1474" s="2994">
        <v>0</v>
      </c>
      <c r="AV1474" s="2994">
        <v>0</v>
      </c>
      <c r="AW1474" s="2994">
        <v>0</v>
      </c>
      <c r="AX1474" s="2994">
        <v>0</v>
      </c>
      <c r="AY1474" s="2994">
        <v>0</v>
      </c>
      <c r="AZ1474" s="2994">
        <v>0</v>
      </c>
      <c r="BA1474" s="2994">
        <v>0</v>
      </c>
      <c r="BB1474" s="2994">
        <v>0</v>
      </c>
      <c r="BC1474" s="2994">
        <v>0</v>
      </c>
      <c r="BD1474" s="3471">
        <v>0</v>
      </c>
      <c r="BE1474" s="3471">
        <v>0</v>
      </c>
      <c r="BF1474" s="3471">
        <v>0</v>
      </c>
    </row>
    <row r="1475" spans="1:58">
      <c r="A1475" s="1817" t="str">
        <f t="shared" si="47"/>
        <v>Western EuropeVanilla</v>
      </c>
      <c r="B1475" s="1818" t="s">
        <v>301</v>
      </c>
      <c r="C1475" s="1818" t="s">
        <v>7385</v>
      </c>
      <c r="D1475" s="3463" t="str">
        <f>VLOOKUP(B1475,List_Yield!$G$4:$J$14,4,FALSE)</f>
        <v>Western Europe</v>
      </c>
      <c r="E1475" s="3463" t="str">
        <f t="shared" si="46"/>
        <v>Western EuropeVanilla</v>
      </c>
      <c r="F1475" s="2994">
        <v>0</v>
      </c>
      <c r="G1475" s="2994">
        <v>0</v>
      </c>
      <c r="H1475" s="2994">
        <v>0</v>
      </c>
      <c r="I1475" s="2994">
        <v>0</v>
      </c>
      <c r="J1475" s="2994">
        <v>0</v>
      </c>
      <c r="K1475" s="2994">
        <v>0</v>
      </c>
      <c r="L1475" s="2994">
        <v>0</v>
      </c>
      <c r="M1475" s="2994">
        <v>0</v>
      </c>
      <c r="N1475" s="2994">
        <v>0</v>
      </c>
      <c r="O1475" s="2994">
        <v>0</v>
      </c>
      <c r="P1475" s="2994">
        <v>0</v>
      </c>
      <c r="Q1475" s="2994">
        <v>0</v>
      </c>
      <c r="R1475" s="2994">
        <v>0</v>
      </c>
      <c r="S1475" s="2994">
        <v>0</v>
      </c>
      <c r="T1475" s="2994">
        <v>0</v>
      </c>
      <c r="U1475" s="2994">
        <v>0</v>
      </c>
      <c r="V1475" s="2994">
        <v>0</v>
      </c>
      <c r="W1475" s="2994">
        <v>0</v>
      </c>
      <c r="X1475" s="2994">
        <v>0</v>
      </c>
      <c r="Y1475" s="2994">
        <v>0</v>
      </c>
      <c r="Z1475" s="2994">
        <v>0</v>
      </c>
      <c r="AA1475" s="2994">
        <v>0</v>
      </c>
      <c r="AB1475" s="2994">
        <v>0</v>
      </c>
      <c r="AC1475" s="2994">
        <v>0</v>
      </c>
      <c r="AD1475" s="2994">
        <v>0</v>
      </c>
      <c r="AE1475" s="2994">
        <v>0</v>
      </c>
      <c r="AF1475" s="2994">
        <v>0</v>
      </c>
      <c r="AG1475" s="2994">
        <v>0</v>
      </c>
      <c r="AH1475" s="2994">
        <v>0</v>
      </c>
      <c r="AI1475" s="2994">
        <v>0</v>
      </c>
      <c r="AJ1475" s="2994">
        <v>0</v>
      </c>
      <c r="AK1475" s="2994">
        <v>0</v>
      </c>
      <c r="AL1475" s="2994">
        <v>0</v>
      </c>
      <c r="AM1475" s="2994">
        <v>0</v>
      </c>
      <c r="AN1475" s="2994">
        <v>0</v>
      </c>
      <c r="AO1475" s="2994">
        <v>0</v>
      </c>
      <c r="AP1475" s="2994">
        <v>0</v>
      </c>
      <c r="AQ1475" s="2994">
        <v>0</v>
      </c>
      <c r="AR1475" s="2994">
        <v>0</v>
      </c>
      <c r="AS1475" s="2994">
        <v>0</v>
      </c>
      <c r="AT1475" s="2994">
        <v>0</v>
      </c>
      <c r="AU1475" s="2994">
        <v>0</v>
      </c>
      <c r="AV1475" s="2994">
        <v>0</v>
      </c>
      <c r="AW1475" s="2994">
        <v>0</v>
      </c>
      <c r="AX1475" s="2994">
        <v>0</v>
      </c>
      <c r="AY1475" s="2994">
        <v>0</v>
      </c>
      <c r="AZ1475" s="2994">
        <v>0</v>
      </c>
      <c r="BA1475" s="2994">
        <v>0</v>
      </c>
      <c r="BB1475" s="2994">
        <v>0</v>
      </c>
      <c r="BC1475" s="2994">
        <v>0</v>
      </c>
      <c r="BD1475" s="3471">
        <v>0</v>
      </c>
      <c r="BE1475" s="3471">
        <v>0</v>
      </c>
      <c r="BF1475" s="3471">
        <v>0</v>
      </c>
    </row>
    <row r="1476" spans="1:58">
      <c r="A1476" s="1817" t="str">
        <f t="shared" si="47"/>
        <v>Western EuropeVegetables, fresh nes</v>
      </c>
      <c r="B1476" s="1818" t="s">
        <v>301</v>
      </c>
      <c r="C1476" s="1818" t="s">
        <v>7386</v>
      </c>
      <c r="D1476" s="3463" t="str">
        <f>VLOOKUP(B1476,List_Yield!$G$4:$J$14,4,FALSE)</f>
        <v>Western Europe</v>
      </c>
      <c r="E1476" s="3463" t="str">
        <f t="shared" si="46"/>
        <v>Western EuropeVegetables, fresh nes</v>
      </c>
      <c r="F1476" s="2994">
        <v>12.161799999999999</v>
      </c>
      <c r="G1476" s="2994">
        <v>11.6008</v>
      </c>
      <c r="H1476" s="2994">
        <v>11.521800000000001</v>
      </c>
      <c r="I1476" s="2994">
        <v>11.871700000000001</v>
      </c>
      <c r="J1476" s="2994">
        <v>12.041399999999999</v>
      </c>
      <c r="K1476" s="2994">
        <v>12.6031</v>
      </c>
      <c r="L1476" s="2994">
        <v>12.9312</v>
      </c>
      <c r="M1476" s="2994">
        <v>12.668100000000001</v>
      </c>
      <c r="N1476" s="2994">
        <v>12.521100000000001</v>
      </c>
      <c r="O1476" s="2994">
        <v>12.760199999999999</v>
      </c>
      <c r="P1476" s="2994">
        <v>12.85</v>
      </c>
      <c r="Q1476" s="2994">
        <v>12.6288</v>
      </c>
      <c r="R1476" s="2994">
        <v>13.223100000000001</v>
      </c>
      <c r="S1476" s="2994">
        <v>13.4064</v>
      </c>
      <c r="T1476" s="2994">
        <v>12.475199999999999</v>
      </c>
      <c r="U1476" s="2994">
        <v>13.176600000000001</v>
      </c>
      <c r="V1476" s="2994">
        <v>13.1783</v>
      </c>
      <c r="W1476" s="2994">
        <v>13.5991</v>
      </c>
      <c r="X1476" s="2994">
        <v>14.5162</v>
      </c>
      <c r="Y1476" s="2994">
        <v>13.6266</v>
      </c>
      <c r="Z1476" s="2994">
        <v>16.159700000000001</v>
      </c>
      <c r="AA1476" s="2994">
        <v>15.428800000000001</v>
      </c>
      <c r="AB1476" s="2994">
        <v>15.381500000000001</v>
      </c>
      <c r="AC1476" s="2994">
        <v>16.4605</v>
      </c>
      <c r="AD1476" s="2994">
        <v>17.014500000000002</v>
      </c>
      <c r="AE1476" s="2994">
        <v>20.399699999999999</v>
      </c>
      <c r="AF1476" s="2994">
        <v>16.5169</v>
      </c>
      <c r="AG1476" s="2994">
        <v>17.841000000000001</v>
      </c>
      <c r="AH1476" s="2994">
        <v>17.420000000000002</v>
      </c>
      <c r="AI1476" s="2994">
        <v>17.069099999999999</v>
      </c>
      <c r="AJ1476" s="2994">
        <v>16.436800000000002</v>
      </c>
      <c r="AK1476" s="2994">
        <v>15.641400000000001</v>
      </c>
      <c r="AL1476" s="2994">
        <v>16.5748</v>
      </c>
      <c r="AM1476" s="2994">
        <v>23.634899999999998</v>
      </c>
      <c r="AN1476" s="2994">
        <v>22.261600000000001</v>
      </c>
      <c r="AO1476" s="2994">
        <v>22.852900000000002</v>
      </c>
      <c r="AP1476" s="2994">
        <v>21.126799999999999</v>
      </c>
      <c r="AQ1476" s="2994">
        <v>20.637599999999999</v>
      </c>
      <c r="AR1476" s="2994">
        <v>21.970400000000001</v>
      </c>
      <c r="AS1476" s="2994">
        <v>35.355400000000003</v>
      </c>
      <c r="AT1476" s="2994">
        <v>36.532400000000003</v>
      </c>
      <c r="AU1476" s="2994">
        <v>34.027000000000001</v>
      </c>
      <c r="AV1476" s="2994">
        <v>29.618200000000002</v>
      </c>
      <c r="AW1476" s="2994">
        <v>29.5883</v>
      </c>
      <c r="AX1476" s="2994">
        <v>29.648599999999998</v>
      </c>
      <c r="AY1476" s="2994">
        <v>33.4831</v>
      </c>
      <c r="AZ1476" s="2994">
        <v>25.8703</v>
      </c>
      <c r="BA1476" s="2994">
        <v>29.600899999999999</v>
      </c>
      <c r="BB1476" s="2994">
        <v>28.593900000000001</v>
      </c>
      <c r="BC1476" s="2994">
        <v>27.232600000000001</v>
      </c>
      <c r="BD1476" s="3471">
        <v>27.652799999999999</v>
      </c>
      <c r="BE1476" s="3471">
        <v>27.3507</v>
      </c>
      <c r="BF1476" s="3471">
        <v>0</v>
      </c>
    </row>
    <row r="1477" spans="1:58">
      <c r="A1477" s="1817" t="str">
        <f t="shared" si="47"/>
        <v>Western EuropeVegetables, leguminous nes</v>
      </c>
      <c r="B1477" s="1818" t="s">
        <v>301</v>
      </c>
      <c r="C1477" s="1818" t="s">
        <v>7387</v>
      </c>
      <c r="D1477" s="3463" t="str">
        <f>VLOOKUP(B1477,List_Yield!$G$4:$J$14,4,FALSE)</f>
        <v>Western Europe</v>
      </c>
      <c r="E1477" s="3463" t="str">
        <f t="shared" si="46"/>
        <v>Western EuropeVegetables, leguminous nes</v>
      </c>
      <c r="F1477" s="2994">
        <v>12.5334</v>
      </c>
      <c r="G1477" s="2994">
        <v>12.69</v>
      </c>
      <c r="H1477" s="2994">
        <v>12.7857</v>
      </c>
      <c r="I1477" s="2994">
        <v>11.2567</v>
      </c>
      <c r="J1477" s="2994">
        <v>11.7775</v>
      </c>
      <c r="K1477" s="2994">
        <v>10.1675</v>
      </c>
      <c r="L1477" s="2994">
        <v>12.1845</v>
      </c>
      <c r="M1477" s="2994">
        <v>12.463699999999999</v>
      </c>
      <c r="N1477" s="2994">
        <v>12.0251</v>
      </c>
      <c r="O1477" s="2994">
        <v>11.0425</v>
      </c>
      <c r="P1477" s="2994">
        <v>12.284000000000001</v>
      </c>
      <c r="Q1477" s="2994">
        <v>12.3513</v>
      </c>
      <c r="R1477" s="2994">
        <v>11.568300000000001</v>
      </c>
      <c r="S1477" s="2994">
        <v>11.6792</v>
      </c>
      <c r="T1477" s="2994">
        <v>10.3231</v>
      </c>
      <c r="U1477" s="2994">
        <v>7.8472999999999997</v>
      </c>
      <c r="V1477" s="2994">
        <v>8.6785999999999994</v>
      </c>
      <c r="W1477" s="2994">
        <v>8.9725000000000001</v>
      </c>
      <c r="X1477" s="2994">
        <v>9.6077999999999992</v>
      </c>
      <c r="Y1477" s="2994">
        <v>8.9253</v>
      </c>
      <c r="Z1477" s="2994">
        <v>9.3933999999999997</v>
      </c>
      <c r="AA1477" s="2994">
        <v>9.4682999999999993</v>
      </c>
      <c r="AB1477" s="2994">
        <v>9.1595999999999993</v>
      </c>
      <c r="AC1477" s="2994">
        <v>9.8026999999999997</v>
      </c>
      <c r="AD1477" s="2994">
        <v>6.8086000000000002</v>
      </c>
      <c r="AE1477" s="2994">
        <v>6.8159999999999998</v>
      </c>
      <c r="AF1477" s="2994">
        <v>8.5417000000000005</v>
      </c>
      <c r="AG1477" s="2994">
        <v>6.7114000000000003</v>
      </c>
      <c r="AH1477" s="2994">
        <v>6.7487000000000004</v>
      </c>
      <c r="AI1477" s="2994">
        <v>7.5385999999999997</v>
      </c>
      <c r="AJ1477" s="2994">
        <v>7.8788999999999998</v>
      </c>
      <c r="AK1477" s="2994">
        <v>8.2544000000000004</v>
      </c>
      <c r="AL1477" s="2994">
        <v>10.2956</v>
      </c>
      <c r="AM1477" s="2994">
        <v>9.9530999999999992</v>
      </c>
      <c r="AN1477" s="2994">
        <v>9.3229000000000006</v>
      </c>
      <c r="AO1477" s="2994">
        <v>9.3767999999999994</v>
      </c>
      <c r="AP1477" s="2994">
        <v>10.009</v>
      </c>
      <c r="AQ1477" s="2994">
        <v>6.1254999999999997</v>
      </c>
      <c r="AR1477" s="2994">
        <v>6.2286999999999999</v>
      </c>
      <c r="AS1477" s="2994">
        <v>7.0861000000000001</v>
      </c>
      <c r="AT1477" s="2994">
        <v>7.681</v>
      </c>
      <c r="AU1477" s="2994">
        <v>7.5852000000000004</v>
      </c>
      <c r="AV1477" s="2994">
        <v>7.1904000000000003</v>
      </c>
      <c r="AW1477" s="2994">
        <v>7.1040999999999999</v>
      </c>
      <c r="AX1477" s="2994">
        <v>7.5693999999999999</v>
      </c>
      <c r="AY1477" s="2994">
        <v>6.7775999999999996</v>
      </c>
      <c r="AZ1477" s="2994">
        <v>7.2306999999999997</v>
      </c>
      <c r="BA1477" s="2994">
        <v>7.1828000000000003</v>
      </c>
      <c r="BB1477" s="2994">
        <v>6.6051000000000002</v>
      </c>
      <c r="BC1477" s="2994">
        <v>6.3369</v>
      </c>
      <c r="BD1477" s="3471">
        <v>6.3756000000000004</v>
      </c>
      <c r="BE1477" s="3471">
        <v>6.4345999999999997</v>
      </c>
      <c r="BF1477" s="3471">
        <v>0</v>
      </c>
    </row>
    <row r="1478" spans="1:58">
      <c r="A1478" s="1817" t="str">
        <f t="shared" si="47"/>
        <v>Western EuropeVetches</v>
      </c>
      <c r="B1478" s="1818" t="s">
        <v>301</v>
      </c>
      <c r="C1478" s="1818" t="s">
        <v>1382</v>
      </c>
      <c r="D1478" s="3463" t="str">
        <f>VLOOKUP(B1478,List_Yield!$G$4:$J$14,4,FALSE)</f>
        <v>Western Europe</v>
      </c>
      <c r="E1478" s="3463" t="str">
        <f t="shared" si="46"/>
        <v>Western EuropeVetches</v>
      </c>
      <c r="F1478" s="2994">
        <v>0.86499999999999999</v>
      </c>
      <c r="G1478" s="2994">
        <v>0.97170000000000001</v>
      </c>
      <c r="H1478" s="2994">
        <v>0.76880000000000004</v>
      </c>
      <c r="I1478" s="2994">
        <v>0.83550000000000002</v>
      </c>
      <c r="J1478" s="2994">
        <v>1.1948000000000001</v>
      </c>
      <c r="K1478" s="2994">
        <v>1.0346</v>
      </c>
      <c r="L1478" s="2994">
        <v>1.1581999999999999</v>
      </c>
      <c r="M1478" s="2994">
        <v>1.0999000000000001</v>
      </c>
      <c r="N1478" s="2994">
        <v>0.89129999999999998</v>
      </c>
      <c r="O1478" s="2994">
        <v>1.0254000000000001</v>
      </c>
      <c r="P1478" s="2994">
        <v>1.0523</v>
      </c>
      <c r="Q1478" s="2994">
        <v>0.85550000000000004</v>
      </c>
      <c r="R1478" s="2994">
        <v>0.80269999999999997</v>
      </c>
      <c r="S1478" s="2994">
        <v>1.1479999999999999</v>
      </c>
      <c r="T1478" s="2994">
        <v>0.95489999999999997</v>
      </c>
      <c r="U1478" s="2994">
        <v>0.7339</v>
      </c>
      <c r="V1478" s="2994">
        <v>1.0190999999999999</v>
      </c>
      <c r="W1478" s="2994">
        <v>1.0118</v>
      </c>
      <c r="X1478" s="2994">
        <v>1.2439</v>
      </c>
      <c r="Y1478" s="2994">
        <v>0.89019999999999999</v>
      </c>
      <c r="Z1478" s="2994">
        <v>1.0357000000000001</v>
      </c>
      <c r="AA1478" s="2994">
        <v>1.1380999999999999</v>
      </c>
      <c r="AB1478" s="2994">
        <v>0.9879</v>
      </c>
      <c r="AC1478" s="2994">
        <v>1.1027</v>
      </c>
      <c r="AD1478" s="2994">
        <v>1.1642999999999999</v>
      </c>
      <c r="AE1478" s="2994">
        <v>1.1212</v>
      </c>
      <c r="AF1478" s="2994">
        <v>1.1037999999999999</v>
      </c>
      <c r="AG1478" s="2994">
        <v>1.0399</v>
      </c>
      <c r="AH1478" s="2994">
        <v>0.94589999999999996</v>
      </c>
      <c r="AI1478" s="2994">
        <v>1.0959000000000001</v>
      </c>
      <c r="AJ1478" s="2994">
        <v>0.9667</v>
      </c>
      <c r="AK1478" s="2994">
        <v>0.95</v>
      </c>
      <c r="AL1478" s="2994">
        <v>0.9</v>
      </c>
      <c r="AM1478" s="2994">
        <v>0.75</v>
      </c>
      <c r="AN1478" s="2994">
        <v>0</v>
      </c>
      <c r="AO1478" s="2994">
        <v>0</v>
      </c>
      <c r="AP1478" s="2994">
        <v>0</v>
      </c>
      <c r="AQ1478" s="2994">
        <v>0</v>
      </c>
      <c r="AR1478" s="2994">
        <v>0</v>
      </c>
      <c r="AS1478" s="2994">
        <v>0</v>
      </c>
      <c r="AT1478" s="2994">
        <v>0</v>
      </c>
      <c r="AU1478" s="2994">
        <v>0</v>
      </c>
      <c r="AV1478" s="2994">
        <v>1.9983</v>
      </c>
      <c r="AW1478" s="2994">
        <v>1.9986999999999999</v>
      </c>
      <c r="AX1478" s="2994">
        <v>2</v>
      </c>
      <c r="AY1478" s="2994">
        <v>2.0009999999999999</v>
      </c>
      <c r="AZ1478" s="2994">
        <v>2</v>
      </c>
      <c r="BA1478" s="2994">
        <v>2</v>
      </c>
      <c r="BB1478" s="2994">
        <v>1.9994000000000001</v>
      </c>
      <c r="BC1478" s="2994">
        <v>2</v>
      </c>
      <c r="BD1478" s="3471">
        <v>2.0007000000000001</v>
      </c>
      <c r="BE1478" s="3471">
        <v>2</v>
      </c>
      <c r="BF1478" s="3471">
        <v>1.9993000000000001</v>
      </c>
    </row>
    <row r="1479" spans="1:58">
      <c r="A1479" s="1817" t="str">
        <f t="shared" si="47"/>
        <v>Western EuropeWalnuts, with shell</v>
      </c>
      <c r="B1479" s="1818" t="s">
        <v>301</v>
      </c>
      <c r="C1479" s="1818" t="s">
        <v>7388</v>
      </c>
      <c r="D1479" s="3463" t="str">
        <f>VLOOKUP(B1479,List_Yield!$G$4:$J$14,4,FALSE)</f>
        <v>Western Europe</v>
      </c>
      <c r="E1479" s="3463" t="str">
        <f t="shared" si="46"/>
        <v>Western EuropeWalnuts, with shell</v>
      </c>
      <c r="F1479" s="2994">
        <v>0</v>
      </c>
      <c r="G1479" s="2994">
        <v>0</v>
      </c>
      <c r="H1479" s="2994">
        <v>0</v>
      </c>
      <c r="I1479" s="2994">
        <v>0</v>
      </c>
      <c r="J1479" s="2994">
        <v>0</v>
      </c>
      <c r="K1479" s="2994">
        <v>0</v>
      </c>
      <c r="L1479" s="2994">
        <v>0</v>
      </c>
      <c r="M1479" s="2994">
        <v>0</v>
      </c>
      <c r="N1479" s="2994">
        <v>0</v>
      </c>
      <c r="O1479" s="2994">
        <v>0</v>
      </c>
      <c r="P1479" s="2994">
        <v>0</v>
      </c>
      <c r="Q1479" s="2994">
        <v>0</v>
      </c>
      <c r="R1479" s="2994">
        <v>0</v>
      </c>
      <c r="S1479" s="2994">
        <v>0</v>
      </c>
      <c r="T1479" s="2994">
        <v>0</v>
      </c>
      <c r="U1479" s="2994">
        <v>0</v>
      </c>
      <c r="V1479" s="2994">
        <v>0</v>
      </c>
      <c r="W1479" s="2994">
        <v>0</v>
      </c>
      <c r="X1479" s="2994">
        <v>0</v>
      </c>
      <c r="Y1479" s="2994">
        <v>0</v>
      </c>
      <c r="Z1479" s="2994">
        <v>0</v>
      </c>
      <c r="AA1479" s="2994">
        <v>0</v>
      </c>
      <c r="AB1479" s="2994">
        <v>0</v>
      </c>
      <c r="AC1479" s="2994">
        <v>0</v>
      </c>
      <c r="AD1479" s="2994">
        <v>1.6696</v>
      </c>
      <c r="AE1479" s="2994">
        <v>1.9695</v>
      </c>
      <c r="AF1479" s="2994">
        <v>1.3801000000000001</v>
      </c>
      <c r="AG1479" s="2994">
        <v>1.8947000000000001</v>
      </c>
      <c r="AH1479" s="2994">
        <v>1.9614</v>
      </c>
      <c r="AI1479" s="2994">
        <v>2.1217999999999999</v>
      </c>
      <c r="AJ1479" s="2994">
        <v>1.3866000000000001</v>
      </c>
      <c r="AK1479" s="2994">
        <v>2.1238000000000001</v>
      </c>
      <c r="AL1479" s="2994">
        <v>1.8842000000000001</v>
      </c>
      <c r="AM1479" s="2994">
        <v>2.1111</v>
      </c>
      <c r="AN1479" s="2994">
        <v>1.9527000000000001</v>
      </c>
      <c r="AO1479" s="2994">
        <v>2.0065</v>
      </c>
      <c r="AP1479" s="2994">
        <v>2.0068999999999999</v>
      </c>
      <c r="AQ1479" s="2994">
        <v>2.4481999999999999</v>
      </c>
      <c r="AR1479" s="2994">
        <v>2.5844999999999998</v>
      </c>
      <c r="AS1479" s="2994">
        <v>2.3462999999999998</v>
      </c>
      <c r="AT1479" s="2994">
        <v>2.3134000000000001</v>
      </c>
      <c r="AU1479" s="2994">
        <v>2.4253</v>
      </c>
      <c r="AV1479" s="2994">
        <v>2.1617999999999999</v>
      </c>
      <c r="AW1479" s="2994">
        <v>2.1505999999999998</v>
      </c>
      <c r="AX1479" s="2994">
        <v>2.3584999999999998</v>
      </c>
      <c r="AY1479" s="2994">
        <v>2.7262</v>
      </c>
      <c r="AZ1479" s="2994">
        <v>2.3422000000000001</v>
      </c>
      <c r="BA1479" s="2994">
        <v>2.5299999999999998</v>
      </c>
      <c r="BB1479" s="2994">
        <v>2.6964999999999999</v>
      </c>
      <c r="BC1479" s="2994">
        <v>1.8569</v>
      </c>
      <c r="BD1479" s="3471">
        <v>2.1516999999999999</v>
      </c>
      <c r="BE1479" s="3471">
        <v>2.0808</v>
      </c>
      <c r="BF1479" s="3471">
        <v>0</v>
      </c>
    </row>
    <row r="1480" spans="1:58">
      <c r="A1480" s="1817" t="str">
        <f t="shared" si="47"/>
        <v>Western EuropeWatermelons</v>
      </c>
      <c r="B1480" s="1818" t="s">
        <v>301</v>
      </c>
      <c r="C1480" s="1818" t="s">
        <v>7389</v>
      </c>
      <c r="D1480" s="3463" t="str">
        <f>VLOOKUP(B1480,List_Yield!$G$4:$J$14,4,FALSE)</f>
        <v>Western Europe</v>
      </c>
      <c r="E1480" s="3463" t="str">
        <f t="shared" si="46"/>
        <v>Western EuropeWatermelons</v>
      </c>
      <c r="F1480" s="2994">
        <v>30.621500000000001</v>
      </c>
      <c r="G1480" s="2994">
        <v>27.2121</v>
      </c>
      <c r="H1480" s="2994">
        <v>23.309100000000001</v>
      </c>
      <c r="I1480" s="2994">
        <v>21.423100000000002</v>
      </c>
      <c r="J1480" s="2994">
        <v>16.0076</v>
      </c>
      <c r="K1480" s="2994">
        <v>16.747</v>
      </c>
      <c r="L1480" s="2994">
        <v>16.286899999999999</v>
      </c>
      <c r="M1480" s="2994">
        <v>20.026399999999999</v>
      </c>
      <c r="N1480" s="2994">
        <v>18.694299999999998</v>
      </c>
      <c r="O1480" s="2994">
        <v>18.7</v>
      </c>
      <c r="P1480" s="2994">
        <v>20.666699999999999</v>
      </c>
      <c r="Q1480" s="2994">
        <v>20.056000000000001</v>
      </c>
      <c r="R1480" s="2994">
        <v>20.289899999999999</v>
      </c>
      <c r="S1480" s="2994">
        <v>18.797000000000001</v>
      </c>
      <c r="T1480" s="2994">
        <v>20.080300000000001</v>
      </c>
      <c r="U1480" s="2994">
        <v>16.1157</v>
      </c>
      <c r="V1480" s="2994">
        <v>17.0306</v>
      </c>
      <c r="W1480" s="2994">
        <v>17.600000000000001</v>
      </c>
      <c r="X1480" s="2994">
        <v>17.1569</v>
      </c>
      <c r="Y1480" s="2994">
        <v>17.006799999999998</v>
      </c>
      <c r="Z1480" s="2994">
        <v>14.666700000000001</v>
      </c>
      <c r="AA1480" s="2994">
        <v>25</v>
      </c>
      <c r="AB1480" s="2994">
        <v>21</v>
      </c>
      <c r="AC1480" s="2994">
        <v>25.5</v>
      </c>
      <c r="AD1480" s="2994">
        <v>20.666699999999999</v>
      </c>
      <c r="AE1480" s="2994">
        <v>30</v>
      </c>
      <c r="AF1480" s="2994">
        <v>45</v>
      </c>
      <c r="AG1480" s="2994">
        <v>27</v>
      </c>
      <c r="AH1480" s="2994">
        <v>26.366599999999998</v>
      </c>
      <c r="AI1480" s="2994">
        <v>32.799100000000003</v>
      </c>
      <c r="AJ1480" s="2994">
        <v>36.560600000000001</v>
      </c>
      <c r="AK1480" s="2994">
        <v>34.871400000000001</v>
      </c>
      <c r="AL1480" s="2994">
        <v>29.7166</v>
      </c>
      <c r="AM1480" s="2994">
        <v>28.380099999999999</v>
      </c>
      <c r="AN1480" s="2994">
        <v>27.3293</v>
      </c>
      <c r="AO1480" s="2994">
        <v>30.2941</v>
      </c>
      <c r="AP1480" s="2994">
        <v>29.333300000000001</v>
      </c>
      <c r="AQ1480" s="2994">
        <v>31.549099999999999</v>
      </c>
      <c r="AR1480" s="2994">
        <v>32.846699999999998</v>
      </c>
      <c r="AS1480" s="2994">
        <v>33.864699999999999</v>
      </c>
      <c r="AT1480" s="2994">
        <v>34.311799999999998</v>
      </c>
      <c r="AU1480" s="2994">
        <v>35.537700000000001</v>
      </c>
      <c r="AV1480" s="2994">
        <v>33.421300000000002</v>
      </c>
      <c r="AW1480" s="2994">
        <v>39.448900000000002</v>
      </c>
      <c r="AX1480" s="2994">
        <v>41.860999999999997</v>
      </c>
      <c r="AY1480" s="2994">
        <v>42.032299999999999</v>
      </c>
      <c r="AZ1480" s="2994">
        <v>41.25</v>
      </c>
      <c r="BA1480" s="2994">
        <v>43.2714</v>
      </c>
      <c r="BB1480" s="2994">
        <v>18.781600000000001</v>
      </c>
      <c r="BC1480" s="2994">
        <v>19.0106</v>
      </c>
      <c r="BD1480" s="3471">
        <v>20.584399999999999</v>
      </c>
      <c r="BE1480" s="3471">
        <v>19.462599999999998</v>
      </c>
      <c r="BF1480" s="3471">
        <v>0</v>
      </c>
    </row>
    <row r="1481" spans="1:58">
      <c r="A1481" s="1817" t="str">
        <f t="shared" si="47"/>
        <v>Western EuropeWheat</v>
      </c>
      <c r="B1481" s="1818" t="s">
        <v>301</v>
      </c>
      <c r="C1481" s="1818" t="s">
        <v>1383</v>
      </c>
      <c r="D1481" s="3463" t="str">
        <f>VLOOKUP(B1481,List_Yield!$G$4:$J$14,4,FALSE)</f>
        <v>Western Europe</v>
      </c>
      <c r="E1481" s="3463" t="str">
        <f t="shared" si="46"/>
        <v>Western EuropeWheat</v>
      </c>
      <c r="F1481" s="2994">
        <v>2.6076000000000001</v>
      </c>
      <c r="G1481" s="2994">
        <v>3.2088000000000001</v>
      </c>
      <c r="H1481" s="2994">
        <v>2.9422999999999999</v>
      </c>
      <c r="I1481" s="2994">
        <v>3.3001999999999998</v>
      </c>
      <c r="J1481" s="2994">
        <v>3.2711999999999999</v>
      </c>
      <c r="K1481" s="2994">
        <v>2.9712000000000001</v>
      </c>
      <c r="L1481" s="2994">
        <v>3.7863000000000002</v>
      </c>
      <c r="M1481" s="2994">
        <v>3.8488000000000002</v>
      </c>
      <c r="N1481" s="2994">
        <v>3.6863999999999999</v>
      </c>
      <c r="O1481" s="2994">
        <v>3.5396000000000001</v>
      </c>
      <c r="P1481" s="2994">
        <v>4.0717999999999996</v>
      </c>
      <c r="Q1481" s="2994">
        <v>4.3226000000000004</v>
      </c>
      <c r="R1481" s="2994">
        <v>4.4356</v>
      </c>
      <c r="S1481" s="2994">
        <v>4.6243999999999996</v>
      </c>
      <c r="T1481" s="2994">
        <v>4.0228000000000002</v>
      </c>
      <c r="U1481" s="2994">
        <v>3.8999000000000001</v>
      </c>
      <c r="V1481" s="2994">
        <v>4.2588999999999997</v>
      </c>
      <c r="W1481" s="2994">
        <v>4.9776999999999996</v>
      </c>
      <c r="X1481" s="2994">
        <v>4.7526000000000002</v>
      </c>
      <c r="Y1481" s="2994">
        <v>5.0137</v>
      </c>
      <c r="Z1481" s="2994">
        <v>4.9593999999999996</v>
      </c>
      <c r="AA1481" s="2994">
        <v>5.2485999999999997</v>
      </c>
      <c r="AB1481" s="2994">
        <v>5.1637000000000004</v>
      </c>
      <c r="AC1481" s="2994">
        <v>6.2742000000000004</v>
      </c>
      <c r="AD1481" s="2994">
        <v>5.9164000000000003</v>
      </c>
      <c r="AE1481" s="2994">
        <v>5.6624999999999996</v>
      </c>
      <c r="AF1481" s="2994">
        <v>5.5983999999999998</v>
      </c>
      <c r="AG1481" s="2994">
        <v>6.1685999999999996</v>
      </c>
      <c r="AH1481" s="2994">
        <v>6.1283000000000003</v>
      </c>
      <c r="AI1481" s="2994">
        <v>6.3686999999999996</v>
      </c>
      <c r="AJ1481" s="2994">
        <v>6.6600999999999999</v>
      </c>
      <c r="AK1481" s="2994">
        <v>6.2617000000000003</v>
      </c>
      <c r="AL1481" s="2994">
        <v>6.4859</v>
      </c>
      <c r="AM1481" s="2994">
        <v>6.6791</v>
      </c>
      <c r="AN1481" s="2994">
        <v>6.6298000000000004</v>
      </c>
      <c r="AO1481" s="2994">
        <v>7.1916000000000002</v>
      </c>
      <c r="AP1481" s="2994">
        <v>6.8314000000000004</v>
      </c>
      <c r="AQ1481" s="2994">
        <v>7.4042000000000003</v>
      </c>
      <c r="AR1481" s="2994">
        <v>7.2910000000000004</v>
      </c>
      <c r="AS1481" s="2994">
        <v>7.1106999999999996</v>
      </c>
      <c r="AT1481" s="2994">
        <v>7.0477999999999996</v>
      </c>
      <c r="AU1481" s="2994">
        <v>7.1901000000000002</v>
      </c>
      <c r="AV1481" s="2994">
        <v>6.3543000000000003</v>
      </c>
      <c r="AW1481" s="2994">
        <v>7.7667999999999999</v>
      </c>
      <c r="AX1481" s="2994">
        <v>7.1313000000000004</v>
      </c>
      <c r="AY1481" s="2994">
        <v>6.8895999999999997</v>
      </c>
      <c r="AZ1481" s="2994">
        <v>6.4904999999999999</v>
      </c>
      <c r="BA1481" s="2994">
        <v>7.4444999999999997</v>
      </c>
      <c r="BB1481" s="2994">
        <v>7.5491000000000001</v>
      </c>
      <c r="BC1481" s="2994">
        <v>6.7657999999999996</v>
      </c>
      <c r="BD1481" s="3471">
        <v>6.5167000000000002</v>
      </c>
      <c r="BE1481" s="3471">
        <v>7.4081999999999999</v>
      </c>
      <c r="BF1481" s="3471">
        <v>7.4877000000000002</v>
      </c>
    </row>
    <row r="1482" spans="1:58">
      <c r="A1482" s="1817" t="str">
        <f t="shared" si="47"/>
        <v>Western EuropeYams</v>
      </c>
      <c r="B1482" s="1818" t="s">
        <v>301</v>
      </c>
      <c r="C1482" s="1818" t="s">
        <v>7390</v>
      </c>
      <c r="D1482" s="3463" t="str">
        <f>VLOOKUP(B1482,List_Yield!$G$4:$J$14,4,FALSE)</f>
        <v>Western Europe</v>
      </c>
      <c r="E1482" s="3463" t="str">
        <f t="shared" si="46"/>
        <v>Western EuropeYams</v>
      </c>
      <c r="F1482" s="2994">
        <v>0</v>
      </c>
      <c r="G1482" s="2994">
        <v>0</v>
      </c>
      <c r="H1482" s="2994">
        <v>0</v>
      </c>
      <c r="I1482" s="2994">
        <v>0</v>
      </c>
      <c r="J1482" s="2994">
        <v>0</v>
      </c>
      <c r="K1482" s="2994">
        <v>0</v>
      </c>
      <c r="L1482" s="2994">
        <v>0</v>
      </c>
      <c r="M1482" s="2994">
        <v>0</v>
      </c>
      <c r="N1482" s="2994">
        <v>0</v>
      </c>
      <c r="O1482" s="2994">
        <v>0</v>
      </c>
      <c r="P1482" s="2994">
        <v>0</v>
      </c>
      <c r="Q1482" s="2994">
        <v>0</v>
      </c>
      <c r="R1482" s="2994">
        <v>0</v>
      </c>
      <c r="S1482" s="2994">
        <v>0</v>
      </c>
      <c r="T1482" s="2994">
        <v>0</v>
      </c>
      <c r="U1482" s="2994">
        <v>0</v>
      </c>
      <c r="V1482" s="2994">
        <v>0</v>
      </c>
      <c r="W1482" s="2994">
        <v>0</v>
      </c>
      <c r="X1482" s="2994">
        <v>0</v>
      </c>
      <c r="Y1482" s="2994">
        <v>0</v>
      </c>
      <c r="Z1482" s="2994">
        <v>0</v>
      </c>
      <c r="AA1482" s="2994">
        <v>0</v>
      </c>
      <c r="AB1482" s="2994">
        <v>0</v>
      </c>
      <c r="AC1482" s="2994">
        <v>0</v>
      </c>
      <c r="AD1482" s="2994">
        <v>0</v>
      </c>
      <c r="AE1482" s="2994">
        <v>0</v>
      </c>
      <c r="AF1482" s="2994">
        <v>0</v>
      </c>
      <c r="AG1482" s="2994">
        <v>0</v>
      </c>
      <c r="AH1482" s="2994">
        <v>0</v>
      </c>
      <c r="AI1482" s="2994">
        <v>0</v>
      </c>
      <c r="AJ1482" s="2994">
        <v>0</v>
      </c>
      <c r="AK1482" s="2994">
        <v>0</v>
      </c>
      <c r="AL1482" s="2994">
        <v>0</v>
      </c>
      <c r="AM1482" s="2994">
        <v>0</v>
      </c>
      <c r="AN1482" s="2994">
        <v>0</v>
      </c>
      <c r="AO1482" s="2994">
        <v>0</v>
      </c>
      <c r="AP1482" s="2994">
        <v>0</v>
      </c>
      <c r="AQ1482" s="2994">
        <v>0</v>
      </c>
      <c r="AR1482" s="2994">
        <v>0</v>
      </c>
      <c r="AS1482" s="2994">
        <v>0</v>
      </c>
      <c r="AT1482" s="2994">
        <v>0</v>
      </c>
      <c r="AU1482" s="2994">
        <v>0</v>
      </c>
      <c r="AV1482" s="2994">
        <v>0</v>
      </c>
      <c r="AW1482" s="2994">
        <v>0</v>
      </c>
      <c r="AX1482" s="2994">
        <v>0</v>
      </c>
      <c r="AY1482" s="2994">
        <v>0</v>
      </c>
      <c r="AZ1482" s="2994">
        <v>0</v>
      </c>
      <c r="BA1482" s="2994">
        <v>0</v>
      </c>
      <c r="BB1482" s="2994">
        <v>0</v>
      </c>
      <c r="BC1482" s="2994">
        <v>0</v>
      </c>
      <c r="BD1482" s="3471">
        <v>0</v>
      </c>
      <c r="BE1482" s="3471">
        <v>0</v>
      </c>
      <c r="BF1482" s="3471">
        <v>0</v>
      </c>
    </row>
    <row r="1483" spans="1:58">
      <c r="A1483" s="1817" t="str">
        <f t="shared" si="47"/>
        <v>Western EuropeYautia (cocoyam)</v>
      </c>
      <c r="B1483" s="1818" t="s">
        <v>301</v>
      </c>
      <c r="C1483" s="1818" t="s">
        <v>7391</v>
      </c>
      <c r="D1483" s="3463" t="str">
        <f>VLOOKUP(B1483,List_Yield!$G$4:$J$14,4,FALSE)</f>
        <v>Western Europe</v>
      </c>
      <c r="E1483" s="3463" t="str">
        <f t="shared" si="46"/>
        <v>Western EuropeYautia (cocoyam)</v>
      </c>
      <c r="F1483" s="2994">
        <v>0</v>
      </c>
      <c r="G1483" s="2994">
        <v>0</v>
      </c>
      <c r="H1483" s="2994">
        <v>0</v>
      </c>
      <c r="I1483" s="2994">
        <v>0</v>
      </c>
      <c r="J1483" s="2994">
        <v>0</v>
      </c>
      <c r="K1483" s="2994">
        <v>0</v>
      </c>
      <c r="L1483" s="2994">
        <v>0</v>
      </c>
      <c r="M1483" s="2994">
        <v>0</v>
      </c>
      <c r="N1483" s="2994">
        <v>0</v>
      </c>
      <c r="O1483" s="2994">
        <v>0</v>
      </c>
      <c r="P1483" s="2994">
        <v>0</v>
      </c>
      <c r="Q1483" s="2994">
        <v>0</v>
      </c>
      <c r="R1483" s="2994">
        <v>0</v>
      </c>
      <c r="S1483" s="2994">
        <v>0</v>
      </c>
      <c r="T1483" s="2994">
        <v>0</v>
      </c>
      <c r="U1483" s="2994">
        <v>0</v>
      </c>
      <c r="V1483" s="2994">
        <v>0</v>
      </c>
      <c r="W1483" s="2994">
        <v>0</v>
      </c>
      <c r="X1483" s="2994">
        <v>0</v>
      </c>
      <c r="Y1483" s="2994">
        <v>0</v>
      </c>
      <c r="Z1483" s="2994">
        <v>0</v>
      </c>
      <c r="AA1483" s="2994">
        <v>0</v>
      </c>
      <c r="AB1483" s="2994">
        <v>0</v>
      </c>
      <c r="AC1483" s="2994">
        <v>0</v>
      </c>
      <c r="AD1483" s="2994">
        <v>0</v>
      </c>
      <c r="AE1483" s="2994">
        <v>0</v>
      </c>
      <c r="AF1483" s="2994">
        <v>0</v>
      </c>
      <c r="AG1483" s="2994">
        <v>0</v>
      </c>
      <c r="AH1483" s="2994">
        <v>0</v>
      </c>
      <c r="AI1483" s="2994">
        <v>0</v>
      </c>
      <c r="AJ1483" s="2994">
        <v>0</v>
      </c>
      <c r="AK1483" s="2994">
        <v>0</v>
      </c>
      <c r="AL1483" s="2994">
        <v>0</v>
      </c>
      <c r="AM1483" s="2994">
        <v>0</v>
      </c>
      <c r="AN1483" s="2994">
        <v>0</v>
      </c>
      <c r="AO1483" s="2994">
        <v>0</v>
      </c>
      <c r="AP1483" s="2994">
        <v>0</v>
      </c>
      <c r="AQ1483" s="2994">
        <v>0</v>
      </c>
      <c r="AR1483" s="2994">
        <v>0</v>
      </c>
      <c r="AS1483" s="2994">
        <v>0</v>
      </c>
      <c r="AT1483" s="2994">
        <v>0</v>
      </c>
      <c r="AU1483" s="2994">
        <v>0</v>
      </c>
      <c r="AV1483" s="2994">
        <v>0</v>
      </c>
      <c r="AW1483" s="2994">
        <v>0</v>
      </c>
      <c r="AX1483" s="2994">
        <v>0</v>
      </c>
      <c r="AY1483" s="2994">
        <v>0</v>
      </c>
      <c r="AZ1483" s="2994">
        <v>0</v>
      </c>
      <c r="BA1483" s="2994">
        <v>0</v>
      </c>
      <c r="BB1483" s="2994">
        <v>0</v>
      </c>
      <c r="BC1483" s="2994">
        <v>0</v>
      </c>
      <c r="BD1483" s="3471">
        <v>0</v>
      </c>
      <c r="BE1483" s="3471">
        <v>0</v>
      </c>
      <c r="BF1483" s="3471">
        <v>0</v>
      </c>
    </row>
    <row r="1484" spans="1:58">
      <c r="A1484" s="1817" t="str">
        <f t="shared" si="47"/>
        <v>Western EuropeCereals,Total + (Total)</v>
      </c>
      <c r="B1484" s="1818" t="s">
        <v>301</v>
      </c>
      <c r="C1484" s="1818" t="s">
        <v>7231</v>
      </c>
      <c r="D1484" s="3463" t="str">
        <f>VLOOKUP(B1484,List_Yield!$G$4:$J$14,4,FALSE)</f>
        <v>Western Europe</v>
      </c>
      <c r="E1484" s="3463" t="str">
        <f t="shared" si="46"/>
        <v>Western EuropeCereals,Total + (Total)</v>
      </c>
      <c r="F1484" s="2994">
        <v>2.4258000000000002</v>
      </c>
      <c r="G1484" s="2994">
        <v>2.8774999999999999</v>
      </c>
      <c r="H1484" s="2994">
        <v>2.8831000000000002</v>
      </c>
      <c r="I1484" s="2994">
        <v>3.0154999999999998</v>
      </c>
      <c r="J1484" s="2994">
        <v>3.0072000000000001</v>
      </c>
      <c r="K1484" s="2994">
        <v>2.9173</v>
      </c>
      <c r="L1484" s="2994">
        <v>3.5081000000000002</v>
      </c>
      <c r="M1484" s="2994">
        <v>3.5991</v>
      </c>
      <c r="N1484" s="2994">
        <v>3.5154999999999998</v>
      </c>
      <c r="O1484" s="2994">
        <v>3.2982999999999998</v>
      </c>
      <c r="P1484" s="2994">
        <v>3.8508</v>
      </c>
      <c r="Q1484" s="2994">
        <v>3.9704000000000002</v>
      </c>
      <c r="R1484" s="2994">
        <v>4.1769999999999996</v>
      </c>
      <c r="S1484" s="2994">
        <v>4.2065999999999999</v>
      </c>
      <c r="T1484" s="2994">
        <v>3.7812999999999999</v>
      </c>
      <c r="U1484" s="2994">
        <v>3.544</v>
      </c>
      <c r="V1484" s="2994">
        <v>3.996</v>
      </c>
      <c r="W1484" s="2994">
        <v>4.5007999999999999</v>
      </c>
      <c r="X1484" s="2994">
        <v>4.3337000000000003</v>
      </c>
      <c r="Y1484" s="2994">
        <v>4.5923999999999996</v>
      </c>
      <c r="Z1484" s="2994">
        <v>4.4936999999999996</v>
      </c>
      <c r="AA1484" s="2994">
        <v>4.8536999999999999</v>
      </c>
      <c r="AB1484" s="2994">
        <v>4.7165999999999997</v>
      </c>
      <c r="AC1484" s="2994">
        <v>5.5789</v>
      </c>
      <c r="AD1484" s="2994">
        <v>5.4591000000000003</v>
      </c>
      <c r="AE1484" s="2994">
        <v>5.2252999999999998</v>
      </c>
      <c r="AF1484" s="2994">
        <v>5.3411</v>
      </c>
      <c r="AG1484" s="2994">
        <v>5.6989999999999998</v>
      </c>
      <c r="AH1484" s="2994">
        <v>5.7260999999999997</v>
      </c>
      <c r="AI1484" s="2994">
        <v>5.7948000000000004</v>
      </c>
      <c r="AJ1484" s="2994">
        <v>6.2731000000000003</v>
      </c>
      <c r="AK1484" s="2994">
        <v>5.9934000000000003</v>
      </c>
      <c r="AL1484" s="2994">
        <v>6.1551</v>
      </c>
      <c r="AM1484" s="2994">
        <v>6.2077</v>
      </c>
      <c r="AN1484" s="2994">
        <v>6.29</v>
      </c>
      <c r="AO1484" s="2994">
        <v>6.7226999999999997</v>
      </c>
      <c r="AP1484" s="2994">
        <v>6.6962999999999999</v>
      </c>
      <c r="AQ1484" s="2994">
        <v>6.8973000000000004</v>
      </c>
      <c r="AR1484" s="2994">
        <v>6.9870000000000001</v>
      </c>
      <c r="AS1484" s="2994">
        <v>6.8581000000000003</v>
      </c>
      <c r="AT1484" s="2994">
        <v>6.8536000000000001</v>
      </c>
      <c r="AU1484" s="2994">
        <v>6.9282000000000004</v>
      </c>
      <c r="AV1484" s="2994">
        <v>6.0145</v>
      </c>
      <c r="AW1484" s="2994">
        <v>7.4683000000000002</v>
      </c>
      <c r="AX1484" s="2994">
        <v>6.8882000000000003</v>
      </c>
      <c r="AY1484" s="2994">
        <v>6.6811999999999996</v>
      </c>
      <c r="AZ1484" s="2994">
        <v>6.4218000000000002</v>
      </c>
      <c r="BA1484" s="2994">
        <v>7.2367999999999997</v>
      </c>
      <c r="BB1484" s="2994">
        <v>7.3487</v>
      </c>
      <c r="BC1484" s="2994">
        <v>6.77</v>
      </c>
      <c r="BD1484" s="3471">
        <v>6.6487999999999996</v>
      </c>
      <c r="BE1484" s="3471">
        <v>7.2492999999999999</v>
      </c>
      <c r="BF1484" s="3471">
        <v>7.1651999999999996</v>
      </c>
    </row>
    <row r="1485" spans="1:58">
      <c r="A1485" s="1817" t="str">
        <f t="shared" si="47"/>
        <v>Western EuropePulses,Total + (Total)</v>
      </c>
      <c r="B1485" s="1818" t="s">
        <v>301</v>
      </c>
      <c r="C1485" s="1818" t="s">
        <v>7228</v>
      </c>
      <c r="D1485" s="3463" t="str">
        <f>VLOOKUP(B1485,List_Yield!$G$4:$J$14,4,FALSE)</f>
        <v>Western Europe</v>
      </c>
      <c r="E1485" s="3463" t="str">
        <f t="shared" ref="E1485:E1548" si="48">CONCATENATE(D1485,C1485)</f>
        <v>Western EuropePulses,Total + (Total)</v>
      </c>
      <c r="F1485" s="2994">
        <v>1.5899000000000001</v>
      </c>
      <c r="G1485" s="2994">
        <v>1.6827000000000001</v>
      </c>
      <c r="H1485" s="2994">
        <v>1.6673</v>
      </c>
      <c r="I1485" s="2994">
        <v>1.6669</v>
      </c>
      <c r="J1485" s="2994">
        <v>1.7935000000000001</v>
      </c>
      <c r="K1485" s="2994">
        <v>1.8331</v>
      </c>
      <c r="L1485" s="2994">
        <v>2.0695000000000001</v>
      </c>
      <c r="M1485" s="2994">
        <v>2.0186000000000002</v>
      </c>
      <c r="N1485" s="2994">
        <v>1.921</v>
      </c>
      <c r="O1485" s="2994">
        <v>2.0912999999999999</v>
      </c>
      <c r="P1485" s="2994">
        <v>2.1240999999999999</v>
      </c>
      <c r="Q1485" s="2994">
        <v>1.7811999999999999</v>
      </c>
      <c r="R1485" s="2994">
        <v>2.0053999999999998</v>
      </c>
      <c r="S1485" s="2994">
        <v>2.2065000000000001</v>
      </c>
      <c r="T1485" s="2994">
        <v>2.2782</v>
      </c>
      <c r="U1485" s="2994">
        <v>1.5217000000000001</v>
      </c>
      <c r="V1485" s="2994">
        <v>2.1057999999999999</v>
      </c>
      <c r="W1485" s="2994">
        <v>2.3551000000000002</v>
      </c>
      <c r="X1485" s="2994">
        <v>2.7404999999999999</v>
      </c>
      <c r="Y1485" s="2994">
        <v>2.8136999999999999</v>
      </c>
      <c r="Z1485" s="2994">
        <v>2.8780000000000001</v>
      </c>
      <c r="AA1485" s="2994">
        <v>3.1878000000000002</v>
      </c>
      <c r="AB1485" s="2994">
        <v>3.2456999999999998</v>
      </c>
      <c r="AC1485" s="2994">
        <v>3.5804</v>
      </c>
      <c r="AD1485" s="2994">
        <v>3.9152999999999998</v>
      </c>
      <c r="AE1485" s="2994">
        <v>3.6057000000000001</v>
      </c>
      <c r="AF1485" s="2994">
        <v>3.6926000000000001</v>
      </c>
      <c r="AG1485" s="2994">
        <v>4.4176000000000002</v>
      </c>
      <c r="AH1485" s="2994">
        <v>4.0366</v>
      </c>
      <c r="AI1485" s="2994">
        <v>4.7392000000000003</v>
      </c>
      <c r="AJ1485" s="2994">
        <v>4.5145</v>
      </c>
      <c r="AK1485" s="2994">
        <v>4.4244000000000003</v>
      </c>
      <c r="AL1485" s="2994">
        <v>4.6605999999999996</v>
      </c>
      <c r="AM1485" s="2994">
        <v>4.7215999999999996</v>
      </c>
      <c r="AN1485" s="2994">
        <v>4.3658999999999999</v>
      </c>
      <c r="AO1485" s="2994">
        <v>4.4622000000000002</v>
      </c>
      <c r="AP1485" s="2994">
        <v>4.5617000000000001</v>
      </c>
      <c r="AQ1485" s="2994">
        <v>4.6958000000000002</v>
      </c>
      <c r="AR1485" s="2994">
        <v>4.8005000000000004</v>
      </c>
      <c r="AS1485" s="2994">
        <v>3.9260000000000002</v>
      </c>
      <c r="AT1485" s="2994">
        <v>3.7155999999999998</v>
      </c>
      <c r="AU1485" s="2994">
        <v>4.0175000000000001</v>
      </c>
      <c r="AV1485" s="2994">
        <v>3.5617999999999999</v>
      </c>
      <c r="AW1485" s="2994">
        <v>4.1215999999999999</v>
      </c>
      <c r="AX1485" s="2994">
        <v>3.5773000000000001</v>
      </c>
      <c r="AY1485" s="2994">
        <v>3.516</v>
      </c>
      <c r="AZ1485" s="2994">
        <v>3.1859000000000002</v>
      </c>
      <c r="BA1485" s="2994">
        <v>3.7181000000000002</v>
      </c>
      <c r="BB1485" s="2994">
        <v>4.0570000000000004</v>
      </c>
      <c r="BC1485" s="2994">
        <v>3.5583</v>
      </c>
      <c r="BD1485" s="3471">
        <v>3.2705000000000002</v>
      </c>
      <c r="BE1485" s="3471">
        <v>3.5487000000000002</v>
      </c>
      <c r="BF1485" s="3471">
        <v>3.4127000000000001</v>
      </c>
    </row>
    <row r="1486" spans="1:58">
      <c r="A1486" s="1817" t="str">
        <f t="shared" si="47"/>
        <v>Western EuropeRoots and Tubers,Total + (Total)</v>
      </c>
      <c r="B1486" s="1818" t="s">
        <v>301</v>
      </c>
      <c r="C1486" s="1818" t="s">
        <v>7234</v>
      </c>
      <c r="D1486" s="3463" t="str">
        <f>VLOOKUP(B1486,List_Yield!$G$4:$J$14,4,FALSE)</f>
        <v>Western Europe</v>
      </c>
      <c r="E1486" s="3463" t="str">
        <f t="shared" si="48"/>
        <v>Western EuropeRoots and Tubers,Total + (Total)</v>
      </c>
      <c r="F1486" s="2994">
        <v>18.319500000000001</v>
      </c>
      <c r="G1486" s="2994">
        <v>20.802399999999999</v>
      </c>
      <c r="H1486" s="2994">
        <v>22.238700000000001</v>
      </c>
      <c r="I1486" s="2994">
        <v>20.8569</v>
      </c>
      <c r="J1486" s="2994">
        <v>20.6173</v>
      </c>
      <c r="K1486" s="2994">
        <v>22.373200000000001</v>
      </c>
      <c r="L1486" s="2994">
        <v>24.96</v>
      </c>
      <c r="M1486" s="2994">
        <v>24.527100000000001</v>
      </c>
      <c r="N1486" s="2994">
        <v>22.594000000000001</v>
      </c>
      <c r="O1486" s="2994">
        <v>24.4894</v>
      </c>
      <c r="P1486" s="2994">
        <v>23.506</v>
      </c>
      <c r="Q1486" s="2994">
        <v>25.211300000000001</v>
      </c>
      <c r="R1486" s="2994">
        <v>24.275600000000001</v>
      </c>
      <c r="S1486" s="2994">
        <v>27.105799999999999</v>
      </c>
      <c r="T1486" s="2994">
        <v>21.765599999999999</v>
      </c>
      <c r="U1486" s="2994">
        <v>18.322700000000001</v>
      </c>
      <c r="V1486" s="2994">
        <v>24.683499999999999</v>
      </c>
      <c r="W1486" s="2994">
        <v>26.0718</v>
      </c>
      <c r="X1486" s="2994">
        <v>27.6601</v>
      </c>
      <c r="Y1486" s="2994">
        <v>25.138500000000001</v>
      </c>
      <c r="Z1486" s="2994">
        <v>28.103300000000001</v>
      </c>
      <c r="AA1486" s="2994">
        <v>26.684999999999999</v>
      </c>
      <c r="AB1486" s="2994">
        <v>22.568100000000001</v>
      </c>
      <c r="AC1486" s="2994">
        <v>30.498899999999999</v>
      </c>
      <c r="AD1486" s="2994">
        <v>32.329900000000002</v>
      </c>
      <c r="AE1486" s="2994">
        <v>30.040900000000001</v>
      </c>
      <c r="AF1486" s="2994">
        <v>32.917200000000001</v>
      </c>
      <c r="AG1486" s="2994">
        <v>33.270899999999997</v>
      </c>
      <c r="AH1486" s="2994">
        <v>29.624700000000001</v>
      </c>
      <c r="AI1486" s="2994">
        <v>29.658300000000001</v>
      </c>
      <c r="AJ1486" s="2994">
        <v>33.329599999999999</v>
      </c>
      <c r="AK1486" s="2994">
        <v>34.941600000000001</v>
      </c>
      <c r="AL1486" s="2994">
        <v>39.933900000000001</v>
      </c>
      <c r="AM1486" s="2994">
        <v>35.2789</v>
      </c>
      <c r="AN1486" s="2994">
        <v>34.8337</v>
      </c>
      <c r="AO1486" s="2994">
        <v>40.332700000000003</v>
      </c>
      <c r="AP1486" s="2994">
        <v>41.4666</v>
      </c>
      <c r="AQ1486" s="2994">
        <v>39.006</v>
      </c>
      <c r="AR1486" s="2994">
        <v>40.902000000000001</v>
      </c>
      <c r="AS1486" s="2994">
        <v>43.360599999999998</v>
      </c>
      <c r="AT1486" s="2994">
        <v>40.8277</v>
      </c>
      <c r="AU1486" s="2994">
        <v>42.0779</v>
      </c>
      <c r="AV1486" s="2994">
        <v>37.677</v>
      </c>
      <c r="AW1486" s="2994">
        <v>44.706800000000001</v>
      </c>
      <c r="AX1486" s="2994">
        <v>42.133099999999999</v>
      </c>
      <c r="AY1486" s="2994">
        <v>38.083100000000002</v>
      </c>
      <c r="AZ1486" s="2994">
        <v>43.389400000000002</v>
      </c>
      <c r="BA1486" s="2994">
        <v>43.512900000000002</v>
      </c>
      <c r="BB1486" s="2994">
        <v>44.6389</v>
      </c>
      <c r="BC1486" s="2994">
        <v>41.251199999999997</v>
      </c>
      <c r="BD1486" s="3471">
        <v>46.209099999999999</v>
      </c>
      <c r="BE1486" s="3471">
        <v>43.486899999999999</v>
      </c>
      <c r="BF1486" s="3471">
        <v>41.79</v>
      </c>
    </row>
    <row r="1487" spans="1:58">
      <c r="A1487" s="1817" t="str">
        <f t="shared" si="47"/>
        <v>OceaniaAgave fibres nes</v>
      </c>
      <c r="B1487" s="1818" t="s">
        <v>303</v>
      </c>
      <c r="C1487" s="1818" t="s">
        <v>7282</v>
      </c>
      <c r="D1487" s="3463" t="str">
        <f>VLOOKUP(B1487,List_Yield!$G$4:$J$14,4,FALSE)</f>
        <v>Oceania</v>
      </c>
      <c r="E1487" s="3463" t="str">
        <f t="shared" si="48"/>
        <v>OceaniaAgave fibres nes</v>
      </c>
      <c r="F1487" s="2994">
        <v>0</v>
      </c>
      <c r="G1487" s="2994">
        <v>0</v>
      </c>
      <c r="H1487" s="2994">
        <v>0</v>
      </c>
      <c r="I1487" s="2994">
        <v>0</v>
      </c>
      <c r="J1487" s="2994">
        <v>0</v>
      </c>
      <c r="K1487" s="2994">
        <v>0</v>
      </c>
      <c r="L1487" s="2994">
        <v>0</v>
      </c>
      <c r="M1487" s="2994">
        <v>0</v>
      </c>
      <c r="N1487" s="2994">
        <v>0</v>
      </c>
      <c r="O1487" s="2994">
        <v>0</v>
      </c>
      <c r="P1487" s="2994">
        <v>0</v>
      </c>
      <c r="Q1487" s="2994">
        <v>0</v>
      </c>
      <c r="R1487" s="2994">
        <v>0</v>
      </c>
      <c r="S1487" s="2994">
        <v>0</v>
      </c>
      <c r="T1487" s="2994">
        <v>0</v>
      </c>
      <c r="U1487" s="2994">
        <v>0</v>
      </c>
      <c r="V1487" s="2994">
        <v>0</v>
      </c>
      <c r="W1487" s="2994">
        <v>0</v>
      </c>
      <c r="X1487" s="2994">
        <v>0</v>
      </c>
      <c r="Y1487" s="2994">
        <v>0</v>
      </c>
      <c r="Z1487" s="2994">
        <v>0</v>
      </c>
      <c r="AA1487" s="2994">
        <v>0</v>
      </c>
      <c r="AB1487" s="2994">
        <v>0</v>
      </c>
      <c r="AC1487" s="2994">
        <v>0</v>
      </c>
      <c r="AD1487" s="2994">
        <v>0</v>
      </c>
      <c r="AE1487" s="2994">
        <v>0</v>
      </c>
      <c r="AF1487" s="2994">
        <v>0</v>
      </c>
      <c r="AG1487" s="2994">
        <v>0</v>
      </c>
      <c r="AH1487" s="2994">
        <v>0</v>
      </c>
      <c r="AI1487" s="2994">
        <v>0</v>
      </c>
      <c r="AJ1487" s="2994">
        <v>0</v>
      </c>
      <c r="AK1487" s="2994">
        <v>0</v>
      </c>
      <c r="AL1487" s="2994">
        <v>0</v>
      </c>
      <c r="AM1487" s="2994">
        <v>0</v>
      </c>
      <c r="AN1487" s="2994">
        <v>0</v>
      </c>
      <c r="AO1487" s="2994">
        <v>0</v>
      </c>
      <c r="AP1487" s="2994">
        <v>0</v>
      </c>
      <c r="AQ1487" s="2994">
        <v>0</v>
      </c>
      <c r="AR1487" s="2994">
        <v>0</v>
      </c>
      <c r="AS1487" s="2994">
        <v>0</v>
      </c>
      <c r="AT1487" s="2994">
        <v>0</v>
      </c>
      <c r="AU1487" s="2994">
        <v>0</v>
      </c>
      <c r="AV1487" s="2994">
        <v>0</v>
      </c>
      <c r="AW1487" s="2994">
        <v>0</v>
      </c>
      <c r="AX1487" s="2994">
        <v>0</v>
      </c>
      <c r="AY1487" s="2994">
        <v>0</v>
      </c>
      <c r="AZ1487" s="2994">
        <v>0</v>
      </c>
      <c r="BA1487" s="2994">
        <v>0</v>
      </c>
      <c r="BB1487" s="2994">
        <v>0</v>
      </c>
      <c r="BC1487" s="2994">
        <v>0</v>
      </c>
      <c r="BD1487" s="3471">
        <v>0</v>
      </c>
      <c r="BE1487" s="3471">
        <v>0</v>
      </c>
      <c r="BF1487" s="3471">
        <v>0</v>
      </c>
    </row>
    <row r="1488" spans="1:58">
      <c r="A1488" s="1817" t="str">
        <f t="shared" si="47"/>
        <v>OceaniaAlmonds, with shell</v>
      </c>
      <c r="B1488" s="1818" t="s">
        <v>303</v>
      </c>
      <c r="C1488" s="1818" t="s">
        <v>7283</v>
      </c>
      <c r="D1488" s="3463" t="str">
        <f>VLOOKUP(B1488,List_Yield!$G$4:$J$14,4,FALSE)</f>
        <v>Oceania</v>
      </c>
      <c r="E1488" s="3463" t="str">
        <f t="shared" si="48"/>
        <v>OceaniaAlmonds, with shell</v>
      </c>
      <c r="F1488" s="2994">
        <v>0</v>
      </c>
      <c r="G1488" s="2994">
        <v>0</v>
      </c>
      <c r="H1488" s="2994">
        <v>0</v>
      </c>
      <c r="I1488" s="2994">
        <v>0</v>
      </c>
      <c r="J1488" s="2994">
        <v>0</v>
      </c>
      <c r="K1488" s="2994">
        <v>0</v>
      </c>
      <c r="L1488" s="2994">
        <v>0</v>
      </c>
      <c r="M1488" s="2994">
        <v>0</v>
      </c>
      <c r="N1488" s="2994">
        <v>0</v>
      </c>
      <c r="O1488" s="2994">
        <v>0</v>
      </c>
      <c r="P1488" s="2994">
        <v>0</v>
      </c>
      <c r="Q1488" s="2994">
        <v>0</v>
      </c>
      <c r="R1488" s="2994">
        <v>0</v>
      </c>
      <c r="S1488" s="2994">
        <v>0</v>
      </c>
      <c r="T1488" s="2994">
        <v>0</v>
      </c>
      <c r="U1488" s="2994">
        <v>0</v>
      </c>
      <c r="V1488" s="2994">
        <v>0</v>
      </c>
      <c r="W1488" s="2994">
        <v>0</v>
      </c>
      <c r="X1488" s="2994">
        <v>0</v>
      </c>
      <c r="Y1488" s="2994">
        <v>4.1958000000000002</v>
      </c>
      <c r="Z1488" s="2994">
        <v>4.4828000000000001</v>
      </c>
      <c r="AA1488" s="2994">
        <v>4.6622000000000003</v>
      </c>
      <c r="AB1488" s="2994">
        <v>4.6154000000000002</v>
      </c>
      <c r="AC1488" s="2994">
        <v>4.4706000000000001</v>
      </c>
      <c r="AD1488" s="2994">
        <v>4.1025999999999998</v>
      </c>
      <c r="AE1488" s="2994">
        <v>3.5651999999999999</v>
      </c>
      <c r="AF1488" s="2994">
        <v>3.75</v>
      </c>
      <c r="AG1488" s="2994">
        <v>3.6537999999999999</v>
      </c>
      <c r="AH1488" s="2994">
        <v>3.3102999999999998</v>
      </c>
      <c r="AI1488" s="2994">
        <v>3.2120000000000002</v>
      </c>
      <c r="AJ1488" s="2994">
        <v>3.8994</v>
      </c>
      <c r="AK1488" s="2994">
        <v>3.6513</v>
      </c>
      <c r="AL1488" s="2994">
        <v>3.6</v>
      </c>
      <c r="AM1488" s="2994">
        <v>3.9331999999999998</v>
      </c>
      <c r="AN1488" s="2994">
        <v>4.3268000000000004</v>
      </c>
      <c r="AO1488" s="2994">
        <v>4.6265999999999998</v>
      </c>
      <c r="AP1488" s="2994">
        <v>4.82</v>
      </c>
      <c r="AQ1488" s="2994">
        <v>5.0342000000000002</v>
      </c>
      <c r="AR1488" s="2994">
        <v>5.1120000000000001</v>
      </c>
      <c r="AS1488" s="2994">
        <v>5.8616000000000001</v>
      </c>
      <c r="AT1488" s="2994">
        <v>6.1905999999999999</v>
      </c>
      <c r="AU1488" s="2994">
        <v>5.8669000000000002</v>
      </c>
      <c r="AV1488" s="2994">
        <v>5.0471000000000004</v>
      </c>
      <c r="AW1488" s="2994">
        <v>4.3902999999999999</v>
      </c>
      <c r="AX1488" s="2994">
        <v>4.9320000000000004</v>
      </c>
      <c r="AY1488" s="2994">
        <v>3.3855</v>
      </c>
      <c r="AZ1488" s="2994">
        <v>4.1329000000000002</v>
      </c>
      <c r="BA1488" s="2994">
        <v>3.7793999999999999</v>
      </c>
      <c r="BB1488" s="2994">
        <v>5.218</v>
      </c>
      <c r="BC1488" s="2994">
        <v>5.3280000000000003</v>
      </c>
      <c r="BD1488" s="3471">
        <v>4.9524999999999997</v>
      </c>
      <c r="BE1488" s="3471">
        <v>5.0063000000000004</v>
      </c>
      <c r="BF1488" s="3471">
        <v>0</v>
      </c>
    </row>
    <row r="1489" spans="1:58">
      <c r="A1489" s="1817" t="str">
        <f t="shared" si="47"/>
        <v>OceaniaAnise, badian, fennel, coriander</v>
      </c>
      <c r="B1489" s="1818" t="s">
        <v>303</v>
      </c>
      <c r="C1489" s="1818" t="s">
        <v>7284</v>
      </c>
      <c r="D1489" s="3463" t="str">
        <f>VLOOKUP(B1489,List_Yield!$G$4:$J$14,4,FALSE)</f>
        <v>Oceania</v>
      </c>
      <c r="E1489" s="3463" t="str">
        <f t="shared" si="48"/>
        <v>OceaniaAnise, badian, fennel, coriander</v>
      </c>
      <c r="F1489" s="2994">
        <v>0</v>
      </c>
      <c r="G1489" s="2994">
        <v>0</v>
      </c>
      <c r="H1489" s="2994">
        <v>0</v>
      </c>
      <c r="I1489" s="2994">
        <v>0</v>
      </c>
      <c r="J1489" s="2994">
        <v>0</v>
      </c>
      <c r="K1489" s="2994">
        <v>0</v>
      </c>
      <c r="L1489" s="2994">
        <v>0</v>
      </c>
      <c r="M1489" s="2994">
        <v>0</v>
      </c>
      <c r="N1489" s="2994">
        <v>0</v>
      </c>
      <c r="O1489" s="2994">
        <v>0</v>
      </c>
      <c r="P1489" s="2994">
        <v>0</v>
      </c>
      <c r="Q1489" s="2994">
        <v>0</v>
      </c>
      <c r="R1489" s="2994">
        <v>0</v>
      </c>
      <c r="S1489" s="2994">
        <v>0</v>
      </c>
      <c r="T1489" s="2994">
        <v>0</v>
      </c>
      <c r="U1489" s="2994">
        <v>0</v>
      </c>
      <c r="V1489" s="2994">
        <v>0</v>
      </c>
      <c r="W1489" s="2994">
        <v>0</v>
      </c>
      <c r="X1489" s="2994">
        <v>0</v>
      </c>
      <c r="Y1489" s="2994">
        <v>0</v>
      </c>
      <c r="Z1489" s="2994">
        <v>0</v>
      </c>
      <c r="AA1489" s="2994">
        <v>0</v>
      </c>
      <c r="AB1489" s="2994">
        <v>4.8094999999999999</v>
      </c>
      <c r="AC1489" s="2994">
        <v>3.65</v>
      </c>
      <c r="AD1489" s="2994">
        <v>3.64</v>
      </c>
      <c r="AE1489" s="2994">
        <v>1.1539999999999999</v>
      </c>
      <c r="AF1489" s="2994">
        <v>0.99429999999999996</v>
      </c>
      <c r="AG1489" s="2994">
        <v>1.0333000000000001</v>
      </c>
      <c r="AH1489" s="2994">
        <v>1.1318999999999999</v>
      </c>
      <c r="AI1489" s="2994">
        <v>1.2442</v>
      </c>
      <c r="AJ1489" s="2994">
        <v>1.5156000000000001</v>
      </c>
      <c r="AK1489" s="2994">
        <v>1.5002</v>
      </c>
      <c r="AL1489" s="2994">
        <v>0.95909999999999995</v>
      </c>
      <c r="AM1489" s="2994">
        <v>0.4642</v>
      </c>
      <c r="AN1489" s="2994">
        <v>0.67430000000000001</v>
      </c>
      <c r="AO1489" s="2994">
        <v>1.1809000000000001</v>
      </c>
      <c r="AP1489" s="2994">
        <v>1.2713000000000001</v>
      </c>
      <c r="AQ1489" s="2994">
        <v>0.92130000000000001</v>
      </c>
      <c r="AR1489" s="2994">
        <v>0.99739999999999995</v>
      </c>
      <c r="AS1489" s="2994">
        <v>0.66890000000000005</v>
      </c>
      <c r="AT1489" s="2994">
        <v>0.79479999999999995</v>
      </c>
      <c r="AU1489" s="2994">
        <v>0.86670000000000003</v>
      </c>
      <c r="AV1489" s="2994">
        <v>0.48509999999999998</v>
      </c>
      <c r="AW1489" s="2994">
        <v>0.78239999999999998</v>
      </c>
      <c r="AX1489" s="2994">
        <v>1.3145</v>
      </c>
      <c r="AY1489" s="2994">
        <v>1.9827999999999999</v>
      </c>
      <c r="AZ1489" s="2994">
        <v>1.7843</v>
      </c>
      <c r="BA1489" s="2994">
        <v>1.3577999999999999</v>
      </c>
      <c r="BB1489" s="2994">
        <v>2.0558999999999998</v>
      </c>
      <c r="BC1489" s="2994">
        <v>2.069</v>
      </c>
      <c r="BD1489" s="3471">
        <v>2</v>
      </c>
      <c r="BE1489" s="3471">
        <v>1.9655</v>
      </c>
      <c r="BF1489" s="3471">
        <v>0</v>
      </c>
    </row>
    <row r="1490" spans="1:58">
      <c r="A1490" s="1817" t="str">
        <f t="shared" si="47"/>
        <v>OceaniaApples</v>
      </c>
      <c r="B1490" s="1818" t="s">
        <v>303</v>
      </c>
      <c r="C1490" s="1818" t="s">
        <v>7285</v>
      </c>
      <c r="D1490" s="3463" t="str">
        <f>VLOOKUP(B1490,List_Yield!$G$4:$J$14,4,FALSE)</f>
        <v>Oceania</v>
      </c>
      <c r="E1490" s="3463" t="str">
        <f t="shared" si="48"/>
        <v>OceaniaApples</v>
      </c>
      <c r="F1490" s="2994">
        <v>12.324299999999999</v>
      </c>
      <c r="G1490" s="2994">
        <v>13.944100000000001</v>
      </c>
      <c r="H1490" s="2994">
        <v>13.966799999999999</v>
      </c>
      <c r="I1490" s="2994">
        <v>15.0914</v>
      </c>
      <c r="J1490" s="2994">
        <v>14.2379</v>
      </c>
      <c r="K1490" s="2994">
        <v>15.0137</v>
      </c>
      <c r="L1490" s="2994">
        <v>14.477600000000001</v>
      </c>
      <c r="M1490" s="2994">
        <v>14.989000000000001</v>
      </c>
      <c r="N1490" s="2994">
        <v>16.134</v>
      </c>
      <c r="O1490" s="2994">
        <v>16.804200000000002</v>
      </c>
      <c r="P1490" s="2994">
        <v>16.767099999999999</v>
      </c>
      <c r="Q1490" s="2994">
        <v>14.966900000000001</v>
      </c>
      <c r="R1490" s="2994">
        <v>18.1995</v>
      </c>
      <c r="S1490" s="2994">
        <v>17.121200000000002</v>
      </c>
      <c r="T1490" s="2994">
        <v>19.929099999999998</v>
      </c>
      <c r="U1490" s="2994">
        <v>18.008800000000001</v>
      </c>
      <c r="V1490" s="2994">
        <v>18.592300000000002</v>
      </c>
      <c r="W1490" s="2994">
        <v>18.956399999999999</v>
      </c>
      <c r="X1490" s="2994">
        <v>22.245999999999999</v>
      </c>
      <c r="Y1490" s="2994">
        <v>21.044899999999998</v>
      </c>
      <c r="Z1490" s="2994">
        <v>22.815000000000001</v>
      </c>
      <c r="AA1490" s="2994">
        <v>21.319800000000001</v>
      </c>
      <c r="AB1490" s="2994">
        <v>21.316700000000001</v>
      </c>
      <c r="AC1490" s="2994">
        <v>20.343699999999998</v>
      </c>
      <c r="AD1490" s="2994">
        <v>24.491299999999999</v>
      </c>
      <c r="AE1490" s="2994">
        <v>23.386299999999999</v>
      </c>
      <c r="AF1490" s="2994">
        <v>23.938600000000001</v>
      </c>
      <c r="AG1490" s="2994">
        <v>21.868300000000001</v>
      </c>
      <c r="AH1490" s="2994">
        <v>23.855399999999999</v>
      </c>
      <c r="AI1490" s="2994">
        <v>20.980699999999999</v>
      </c>
      <c r="AJ1490" s="2994">
        <v>21.075600000000001</v>
      </c>
      <c r="AK1490" s="2994">
        <v>25.126100000000001</v>
      </c>
      <c r="AL1490" s="2994">
        <v>23.494599999999998</v>
      </c>
      <c r="AM1490" s="2994">
        <v>22.5182</v>
      </c>
      <c r="AN1490" s="2994">
        <v>23.651499999999999</v>
      </c>
      <c r="AO1490" s="2994">
        <v>23.3109</v>
      </c>
      <c r="AP1490" s="2994">
        <v>25.877300000000002</v>
      </c>
      <c r="AQ1490" s="2994">
        <v>23.9314</v>
      </c>
      <c r="AR1490" s="2994">
        <v>25.667000000000002</v>
      </c>
      <c r="AS1490" s="2994">
        <v>27.788799999999998</v>
      </c>
      <c r="AT1490" s="2994">
        <v>21.0581</v>
      </c>
      <c r="AU1490" s="2994">
        <v>25.244199999999999</v>
      </c>
      <c r="AV1490" s="2994">
        <v>26.195799999999998</v>
      </c>
      <c r="AW1490" s="2994">
        <v>25.479600000000001</v>
      </c>
      <c r="AX1490" s="2994">
        <v>27.0198</v>
      </c>
      <c r="AY1490" s="2994">
        <v>21.211300000000001</v>
      </c>
      <c r="AZ1490" s="2994">
        <v>23.889299999999999</v>
      </c>
      <c r="BA1490" s="2994">
        <v>24.628900000000002</v>
      </c>
      <c r="BB1490" s="2994">
        <v>23.210999999999999</v>
      </c>
      <c r="BC1490" s="2994">
        <v>23.734300000000001</v>
      </c>
      <c r="BD1490" s="3471">
        <v>24.029</v>
      </c>
      <c r="BE1490" s="3471">
        <v>23.895700000000001</v>
      </c>
      <c r="BF1490" s="3471">
        <v>0</v>
      </c>
    </row>
    <row r="1491" spans="1:58">
      <c r="A1491" s="1817" t="str">
        <f t="shared" si="47"/>
        <v>OceaniaApricots</v>
      </c>
      <c r="B1491" s="1818" t="s">
        <v>303</v>
      </c>
      <c r="C1491" s="1818" t="s">
        <v>7286</v>
      </c>
      <c r="D1491" s="3463" t="str">
        <f>VLOOKUP(B1491,List_Yield!$G$4:$J$14,4,FALSE)</f>
        <v>Oceania</v>
      </c>
      <c r="E1491" s="3463" t="str">
        <f t="shared" si="48"/>
        <v>OceaniaApricots</v>
      </c>
      <c r="F1491" s="2994">
        <v>10.774699999999999</v>
      </c>
      <c r="G1491" s="2994">
        <v>10.7652</v>
      </c>
      <c r="H1491" s="2994">
        <v>10.946099999999999</v>
      </c>
      <c r="I1491" s="2994">
        <v>9.2629000000000001</v>
      </c>
      <c r="J1491" s="2994">
        <v>11.420400000000001</v>
      </c>
      <c r="K1491" s="2994">
        <v>10.419600000000001</v>
      </c>
      <c r="L1491" s="2994">
        <v>13.6432</v>
      </c>
      <c r="M1491" s="2994">
        <v>9.3919999999999995</v>
      </c>
      <c r="N1491" s="2994">
        <v>12.1555</v>
      </c>
      <c r="O1491" s="2994">
        <v>11.752000000000001</v>
      </c>
      <c r="P1491" s="2994">
        <v>15.148999999999999</v>
      </c>
      <c r="Q1491" s="2994">
        <v>13.392099999999999</v>
      </c>
      <c r="R1491" s="2994">
        <v>12.8872</v>
      </c>
      <c r="S1491" s="2994">
        <v>12.3299</v>
      </c>
      <c r="T1491" s="2994">
        <v>9.7002000000000006</v>
      </c>
      <c r="U1491" s="2994">
        <v>9.6376000000000008</v>
      </c>
      <c r="V1491" s="2994">
        <v>10.945</v>
      </c>
      <c r="W1491" s="2994">
        <v>10.1496</v>
      </c>
      <c r="X1491" s="2994">
        <v>12.898</v>
      </c>
      <c r="Y1491" s="2994">
        <v>11.0786</v>
      </c>
      <c r="Z1491" s="2994">
        <v>12.988099999999999</v>
      </c>
      <c r="AA1491" s="2994">
        <v>11.832100000000001</v>
      </c>
      <c r="AB1491" s="2994">
        <v>11.0143</v>
      </c>
      <c r="AC1491" s="2994">
        <v>10.5467</v>
      </c>
      <c r="AD1491" s="2994">
        <v>10.8179</v>
      </c>
      <c r="AE1491" s="2994">
        <v>12.760199999999999</v>
      </c>
      <c r="AF1491" s="2994">
        <v>11.4496</v>
      </c>
      <c r="AG1491" s="2994">
        <v>11.027799999999999</v>
      </c>
      <c r="AH1491" s="2994">
        <v>9.7693999999999992</v>
      </c>
      <c r="AI1491" s="2994">
        <v>10.507099999999999</v>
      </c>
      <c r="AJ1491" s="2994">
        <v>9.0810999999999993</v>
      </c>
      <c r="AK1491" s="2994">
        <v>9.8674999999999997</v>
      </c>
      <c r="AL1491" s="2994">
        <v>9.6137999999999995</v>
      </c>
      <c r="AM1491" s="2994">
        <v>6.9592999999999998</v>
      </c>
      <c r="AN1491" s="2994">
        <v>9.0203000000000007</v>
      </c>
      <c r="AO1491" s="2994">
        <v>6.9717000000000002</v>
      </c>
      <c r="AP1491" s="2994">
        <v>7.9194000000000004</v>
      </c>
      <c r="AQ1491" s="2994">
        <v>6.1416000000000004</v>
      </c>
      <c r="AR1491" s="2994">
        <v>5.9344999999999999</v>
      </c>
      <c r="AS1491" s="2994">
        <v>7.0678999999999998</v>
      </c>
      <c r="AT1491" s="2994">
        <v>6.2008999999999999</v>
      </c>
      <c r="AU1491" s="2994">
        <v>5.3231999999999999</v>
      </c>
      <c r="AV1491" s="2994">
        <v>6.5696000000000003</v>
      </c>
      <c r="AW1491" s="2994">
        <v>3.8347000000000002</v>
      </c>
      <c r="AX1491" s="2994">
        <v>6.2553000000000001</v>
      </c>
      <c r="AY1491" s="2994">
        <v>3.1722999999999999</v>
      </c>
      <c r="AZ1491" s="2994">
        <v>3.1341999999999999</v>
      </c>
      <c r="BA1491" s="2994">
        <v>3.0653999999999999</v>
      </c>
      <c r="BB1491" s="2994">
        <v>2.4464000000000001</v>
      </c>
      <c r="BC1491" s="2994">
        <v>2.4820000000000002</v>
      </c>
      <c r="BD1491" s="3471">
        <v>2.4034</v>
      </c>
      <c r="BE1491" s="3471">
        <v>2.3759999999999999</v>
      </c>
      <c r="BF1491" s="3471">
        <v>0</v>
      </c>
    </row>
    <row r="1492" spans="1:58">
      <c r="A1492" s="1817" t="str">
        <f t="shared" si="47"/>
        <v>OceaniaAreca nuts</v>
      </c>
      <c r="B1492" s="1818" t="s">
        <v>303</v>
      </c>
      <c r="C1492" s="1818" t="s">
        <v>7287</v>
      </c>
      <c r="D1492" s="3463" t="str">
        <f>VLOOKUP(B1492,List_Yield!$G$4:$J$14,4,FALSE)</f>
        <v>Oceania</v>
      </c>
      <c r="E1492" s="3463" t="str">
        <f t="shared" si="48"/>
        <v>OceaniaAreca nuts</v>
      </c>
      <c r="F1492" s="2994">
        <v>0</v>
      </c>
      <c r="G1492" s="2994">
        <v>0</v>
      </c>
      <c r="H1492" s="2994">
        <v>0</v>
      </c>
      <c r="I1492" s="2994">
        <v>0</v>
      </c>
      <c r="J1492" s="2994">
        <v>0</v>
      </c>
      <c r="K1492" s="2994">
        <v>0</v>
      </c>
      <c r="L1492" s="2994">
        <v>0</v>
      </c>
      <c r="M1492" s="2994">
        <v>0</v>
      </c>
      <c r="N1492" s="2994">
        <v>0</v>
      </c>
      <c r="O1492" s="2994">
        <v>0</v>
      </c>
      <c r="P1492" s="2994">
        <v>0</v>
      </c>
      <c r="Q1492" s="2994">
        <v>0</v>
      </c>
      <c r="R1492" s="2994">
        <v>0</v>
      </c>
      <c r="S1492" s="2994">
        <v>0</v>
      </c>
      <c r="T1492" s="2994">
        <v>0</v>
      </c>
      <c r="U1492" s="2994">
        <v>0</v>
      </c>
      <c r="V1492" s="2994">
        <v>0</v>
      </c>
      <c r="W1492" s="2994">
        <v>0</v>
      </c>
      <c r="X1492" s="2994">
        <v>0</v>
      </c>
      <c r="Y1492" s="2994">
        <v>0</v>
      </c>
      <c r="Z1492" s="2994">
        <v>0</v>
      </c>
      <c r="AA1492" s="2994">
        <v>0</v>
      </c>
      <c r="AB1492" s="2994">
        <v>0</v>
      </c>
      <c r="AC1492" s="2994">
        <v>0</v>
      </c>
      <c r="AD1492" s="2994">
        <v>0</v>
      </c>
      <c r="AE1492" s="2994">
        <v>0</v>
      </c>
      <c r="AF1492" s="2994">
        <v>0</v>
      </c>
      <c r="AG1492" s="2994">
        <v>0</v>
      </c>
      <c r="AH1492" s="2994">
        <v>0</v>
      </c>
      <c r="AI1492" s="2994">
        <v>0</v>
      </c>
      <c r="AJ1492" s="2994">
        <v>0</v>
      </c>
      <c r="AK1492" s="2994">
        <v>0</v>
      </c>
      <c r="AL1492" s="2994">
        <v>0</v>
      </c>
      <c r="AM1492" s="2994">
        <v>0</v>
      </c>
      <c r="AN1492" s="2994">
        <v>0</v>
      </c>
      <c r="AO1492" s="2994">
        <v>0</v>
      </c>
      <c r="AP1492" s="2994">
        <v>0</v>
      </c>
      <c r="AQ1492" s="2994">
        <v>0</v>
      </c>
      <c r="AR1492" s="2994">
        <v>0</v>
      </c>
      <c r="AS1492" s="2994">
        <v>0</v>
      </c>
      <c r="AT1492" s="2994">
        <v>0</v>
      </c>
      <c r="AU1492" s="2994">
        <v>0</v>
      </c>
      <c r="AV1492" s="2994">
        <v>0</v>
      </c>
      <c r="AW1492" s="2994">
        <v>0</v>
      </c>
      <c r="AX1492" s="2994">
        <v>0</v>
      </c>
      <c r="AY1492" s="2994">
        <v>0</v>
      </c>
      <c r="AZ1492" s="2994">
        <v>0</v>
      </c>
      <c r="BA1492" s="2994">
        <v>0</v>
      </c>
      <c r="BB1492" s="2994">
        <v>0</v>
      </c>
      <c r="BC1492" s="2994">
        <v>0</v>
      </c>
      <c r="BD1492" s="3471">
        <v>0</v>
      </c>
      <c r="BE1492" s="3471">
        <v>0</v>
      </c>
      <c r="BF1492" s="3471">
        <v>0</v>
      </c>
    </row>
    <row r="1493" spans="1:58">
      <c r="A1493" s="1817" t="str">
        <f t="shared" si="47"/>
        <v>OceaniaArtichokes</v>
      </c>
      <c r="B1493" s="1818" t="s">
        <v>303</v>
      </c>
      <c r="C1493" s="1818" t="s">
        <v>7288</v>
      </c>
      <c r="D1493" s="3463" t="str">
        <f>VLOOKUP(B1493,List_Yield!$G$4:$J$14,4,FALSE)</f>
        <v>Oceania</v>
      </c>
      <c r="E1493" s="3463" t="str">
        <f t="shared" si="48"/>
        <v>OceaniaArtichokes</v>
      </c>
      <c r="F1493" s="2994">
        <v>0</v>
      </c>
      <c r="G1493" s="2994">
        <v>0</v>
      </c>
      <c r="H1493" s="2994">
        <v>0</v>
      </c>
      <c r="I1493" s="2994">
        <v>0</v>
      </c>
      <c r="J1493" s="2994">
        <v>0</v>
      </c>
      <c r="K1493" s="2994">
        <v>0</v>
      </c>
      <c r="L1493" s="2994">
        <v>0</v>
      </c>
      <c r="M1493" s="2994">
        <v>0</v>
      </c>
      <c r="N1493" s="2994">
        <v>0</v>
      </c>
      <c r="O1493" s="2994">
        <v>0</v>
      </c>
      <c r="P1493" s="2994">
        <v>0</v>
      </c>
      <c r="Q1493" s="2994">
        <v>0</v>
      </c>
      <c r="R1493" s="2994">
        <v>0</v>
      </c>
      <c r="S1493" s="2994">
        <v>0</v>
      </c>
      <c r="T1493" s="2994">
        <v>0</v>
      </c>
      <c r="U1493" s="2994">
        <v>0</v>
      </c>
      <c r="V1493" s="2994">
        <v>0</v>
      </c>
      <c r="W1493" s="2994">
        <v>0</v>
      </c>
      <c r="X1493" s="2994">
        <v>0</v>
      </c>
      <c r="Y1493" s="2994">
        <v>0</v>
      </c>
      <c r="Z1493" s="2994">
        <v>0</v>
      </c>
      <c r="AA1493" s="2994">
        <v>0</v>
      </c>
      <c r="AB1493" s="2994">
        <v>0</v>
      </c>
      <c r="AC1493" s="2994">
        <v>0</v>
      </c>
      <c r="AD1493" s="2994">
        <v>0</v>
      </c>
      <c r="AE1493" s="2994">
        <v>0</v>
      </c>
      <c r="AF1493" s="2994">
        <v>0</v>
      </c>
      <c r="AG1493" s="2994">
        <v>0</v>
      </c>
      <c r="AH1493" s="2994">
        <v>0</v>
      </c>
      <c r="AI1493" s="2994">
        <v>0</v>
      </c>
      <c r="AJ1493" s="2994">
        <v>0</v>
      </c>
      <c r="AK1493" s="2994">
        <v>0</v>
      </c>
      <c r="AL1493" s="2994">
        <v>0</v>
      </c>
      <c r="AM1493" s="2994">
        <v>0</v>
      </c>
      <c r="AN1493" s="2994">
        <v>0</v>
      </c>
      <c r="AO1493" s="2994">
        <v>0</v>
      </c>
      <c r="AP1493" s="2994">
        <v>0</v>
      </c>
      <c r="AQ1493" s="2994">
        <v>0</v>
      </c>
      <c r="AR1493" s="2994">
        <v>0</v>
      </c>
      <c r="AS1493" s="2994">
        <v>0</v>
      </c>
      <c r="AT1493" s="2994">
        <v>0</v>
      </c>
      <c r="AU1493" s="2994">
        <v>0</v>
      </c>
      <c r="AV1493" s="2994">
        <v>0</v>
      </c>
      <c r="AW1493" s="2994">
        <v>0</v>
      </c>
      <c r="AX1493" s="2994">
        <v>0</v>
      </c>
      <c r="AY1493" s="2994">
        <v>0</v>
      </c>
      <c r="AZ1493" s="2994">
        <v>0</v>
      </c>
      <c r="BA1493" s="2994">
        <v>0</v>
      </c>
      <c r="BB1493" s="2994">
        <v>0</v>
      </c>
      <c r="BC1493" s="2994">
        <v>0</v>
      </c>
      <c r="BD1493" s="3471">
        <v>0</v>
      </c>
      <c r="BE1493" s="3471">
        <v>0</v>
      </c>
      <c r="BF1493" s="3471">
        <v>0</v>
      </c>
    </row>
    <row r="1494" spans="1:58">
      <c r="A1494" s="1817" t="str">
        <f t="shared" si="47"/>
        <v>OceaniaAsparagus</v>
      </c>
      <c r="B1494" s="1818" t="s">
        <v>303</v>
      </c>
      <c r="C1494" s="1818" t="s">
        <v>7289</v>
      </c>
      <c r="D1494" s="3463" t="str">
        <f>VLOOKUP(B1494,List_Yield!$G$4:$J$14,4,FALSE)</f>
        <v>Oceania</v>
      </c>
      <c r="E1494" s="3463" t="str">
        <f t="shared" si="48"/>
        <v>OceaniaAsparagus</v>
      </c>
      <c r="F1494" s="2994">
        <v>3.0236999999999998</v>
      </c>
      <c r="G1494" s="2994">
        <v>3.0221</v>
      </c>
      <c r="H1494" s="2994">
        <v>3.4824000000000002</v>
      </c>
      <c r="I1494" s="2994">
        <v>3.0356999999999998</v>
      </c>
      <c r="J1494" s="2994">
        <v>3.2749000000000001</v>
      </c>
      <c r="K1494" s="2994">
        <v>2.9457</v>
      </c>
      <c r="L1494" s="2994">
        <v>3.5314999999999999</v>
      </c>
      <c r="M1494" s="2994">
        <v>3.2423999999999999</v>
      </c>
      <c r="N1494" s="2994">
        <v>2.8016999999999999</v>
      </c>
      <c r="O1494" s="2994">
        <v>2.5617999999999999</v>
      </c>
      <c r="P1494" s="2994">
        <v>2.9912000000000001</v>
      </c>
      <c r="Q1494" s="2994">
        <v>2.4207000000000001</v>
      </c>
      <c r="R1494" s="2994">
        <v>2.5141</v>
      </c>
      <c r="S1494" s="2994">
        <v>2.4384999999999999</v>
      </c>
      <c r="T1494" s="2994">
        <v>2.0384000000000002</v>
      </c>
      <c r="U1494" s="2994">
        <v>2.4603999999999999</v>
      </c>
      <c r="V1494" s="2994">
        <v>2.9169999999999998</v>
      </c>
      <c r="W1494" s="2994">
        <v>2.8538999999999999</v>
      </c>
      <c r="X1494" s="2994">
        <v>3.0789</v>
      </c>
      <c r="Y1494" s="2994">
        <v>2.5777000000000001</v>
      </c>
      <c r="Z1494" s="2994">
        <v>2.1953999999999998</v>
      </c>
      <c r="AA1494" s="2994">
        <v>1.5157</v>
      </c>
      <c r="AB1494" s="2994">
        <v>1.9014</v>
      </c>
      <c r="AC1494" s="2994">
        <v>2.6366999999999998</v>
      </c>
      <c r="AD1494" s="2994">
        <v>2.0552000000000001</v>
      </c>
      <c r="AE1494" s="2994">
        <v>1.9326000000000001</v>
      </c>
      <c r="AF1494" s="2994">
        <v>2.3332000000000002</v>
      </c>
      <c r="AG1494" s="2994">
        <v>2.3653</v>
      </c>
      <c r="AH1494" s="2994">
        <v>2.5396999999999998</v>
      </c>
      <c r="AI1494" s="2994">
        <v>3.3605999999999998</v>
      </c>
      <c r="AJ1494" s="2994">
        <v>2.6438000000000001</v>
      </c>
      <c r="AK1494" s="2994">
        <v>2.5169999999999999</v>
      </c>
      <c r="AL1494" s="2994">
        <v>2.6739000000000002</v>
      </c>
      <c r="AM1494" s="2994">
        <v>2.7378</v>
      </c>
      <c r="AN1494" s="2994">
        <v>2.4746999999999999</v>
      </c>
      <c r="AO1494" s="2994">
        <v>2.5507</v>
      </c>
      <c r="AP1494" s="2994">
        <v>2.3094000000000001</v>
      </c>
      <c r="AQ1494" s="2994">
        <v>4.0972999999999997</v>
      </c>
      <c r="AR1494" s="2994">
        <v>3.7021999999999999</v>
      </c>
      <c r="AS1494" s="2994">
        <v>4.4504999999999999</v>
      </c>
      <c r="AT1494" s="2994">
        <v>3.7778999999999998</v>
      </c>
      <c r="AU1494" s="2994">
        <v>4.0999999999999996</v>
      </c>
      <c r="AV1494" s="2994">
        <v>4.0742000000000003</v>
      </c>
      <c r="AW1494" s="2994">
        <v>4.3700999999999999</v>
      </c>
      <c r="AX1494" s="2994">
        <v>4.3452000000000002</v>
      </c>
      <c r="AY1494" s="2994">
        <v>4.4162999999999997</v>
      </c>
      <c r="AZ1494" s="2994">
        <v>4.0537999999999998</v>
      </c>
      <c r="BA1494" s="2994">
        <v>5.2859999999999996</v>
      </c>
      <c r="BB1494" s="2994">
        <v>4.0713999999999997</v>
      </c>
      <c r="BC1494" s="2994">
        <v>4.1554000000000002</v>
      </c>
      <c r="BD1494" s="3471">
        <v>4.5772000000000004</v>
      </c>
      <c r="BE1494" s="3471">
        <v>4.6574999999999998</v>
      </c>
      <c r="BF1494" s="3471">
        <v>0</v>
      </c>
    </row>
    <row r="1495" spans="1:58">
      <c r="A1495" s="1817" t="str">
        <f t="shared" si="47"/>
        <v>OceaniaAvocados</v>
      </c>
      <c r="B1495" s="1818" t="s">
        <v>303</v>
      </c>
      <c r="C1495" s="1818" t="s">
        <v>7290</v>
      </c>
      <c r="D1495" s="3463" t="str">
        <f>VLOOKUP(B1495,List_Yield!$G$4:$J$14,4,FALSE)</f>
        <v>Oceania</v>
      </c>
      <c r="E1495" s="3463" t="str">
        <f t="shared" si="48"/>
        <v>OceaniaAvocados</v>
      </c>
      <c r="F1495" s="2994">
        <v>25.7</v>
      </c>
      <c r="G1495" s="2994">
        <v>25.178599999999999</v>
      </c>
      <c r="H1495" s="2994">
        <v>23.816299999999998</v>
      </c>
      <c r="I1495" s="2994">
        <v>21.616099999999999</v>
      </c>
      <c r="J1495" s="2994">
        <v>22.2393</v>
      </c>
      <c r="K1495" s="2994">
        <v>21.721299999999999</v>
      </c>
      <c r="L1495" s="2994">
        <v>22.88</v>
      </c>
      <c r="M1495" s="2994">
        <v>22.992100000000001</v>
      </c>
      <c r="N1495" s="2994">
        <v>23.692299999999999</v>
      </c>
      <c r="O1495" s="2994">
        <v>22.152799999999999</v>
      </c>
      <c r="P1495" s="2994">
        <v>22.857099999999999</v>
      </c>
      <c r="Q1495" s="2994">
        <v>22.854299999999999</v>
      </c>
      <c r="R1495" s="2994">
        <v>19.812100000000001</v>
      </c>
      <c r="S1495" s="2994">
        <v>18.466699999999999</v>
      </c>
      <c r="T1495" s="2994">
        <v>18.968399999999999</v>
      </c>
      <c r="U1495" s="2994">
        <v>15.1737</v>
      </c>
      <c r="V1495" s="2994">
        <v>12.073</v>
      </c>
      <c r="W1495" s="2994">
        <v>12.9199</v>
      </c>
      <c r="X1495" s="2994">
        <v>13.3408</v>
      </c>
      <c r="Y1495" s="2994">
        <v>12.130599999999999</v>
      </c>
      <c r="Z1495" s="2994">
        <v>11.2211</v>
      </c>
      <c r="AA1495" s="2994">
        <v>9.7071000000000005</v>
      </c>
      <c r="AB1495" s="2994">
        <v>7.7087000000000003</v>
      </c>
      <c r="AC1495" s="2994">
        <v>7.9943</v>
      </c>
      <c r="AD1495" s="2994">
        <v>2.4737</v>
      </c>
      <c r="AE1495" s="2994">
        <v>2.8835999999999999</v>
      </c>
      <c r="AF1495" s="2994">
        <v>2.8950999999999998</v>
      </c>
      <c r="AG1495" s="2994">
        <v>3.0417999999999998</v>
      </c>
      <c r="AH1495" s="2994">
        <v>3.0213000000000001</v>
      </c>
      <c r="AI1495" s="2994">
        <v>3.5655999999999999</v>
      </c>
      <c r="AJ1495" s="2994">
        <v>3.5975000000000001</v>
      </c>
      <c r="AK1495" s="2994">
        <v>3.5190999999999999</v>
      </c>
      <c r="AL1495" s="2994">
        <v>3.5933999999999999</v>
      </c>
      <c r="AM1495" s="2994">
        <v>3.5644999999999998</v>
      </c>
      <c r="AN1495" s="2994">
        <v>3.5699000000000001</v>
      </c>
      <c r="AO1495" s="2994">
        <v>3.6920999999999999</v>
      </c>
      <c r="AP1495" s="2994">
        <v>3.9453</v>
      </c>
      <c r="AQ1495" s="2994">
        <v>4.0799000000000003</v>
      </c>
      <c r="AR1495" s="2994">
        <v>4.7826000000000004</v>
      </c>
      <c r="AS1495" s="2994">
        <v>3.9767000000000001</v>
      </c>
      <c r="AT1495" s="2994">
        <v>5.2824</v>
      </c>
      <c r="AU1495" s="2994">
        <v>4.7088000000000001</v>
      </c>
      <c r="AV1495" s="2994">
        <v>5.1197999999999997</v>
      </c>
      <c r="AW1495" s="2994">
        <v>5.0716999999999999</v>
      </c>
      <c r="AX1495" s="2994">
        <v>5.7558999999999996</v>
      </c>
      <c r="AY1495" s="2994">
        <v>4.9379999999999997</v>
      </c>
      <c r="AZ1495" s="2994">
        <v>4.9482999999999997</v>
      </c>
      <c r="BA1495" s="2994">
        <v>4.5640999999999998</v>
      </c>
      <c r="BB1495" s="2994">
        <v>4.1872999999999996</v>
      </c>
      <c r="BC1495" s="2994">
        <v>4.2240000000000002</v>
      </c>
      <c r="BD1495" s="3471">
        <v>4.1962000000000002</v>
      </c>
      <c r="BE1495" s="3471">
        <v>4.9870999999999999</v>
      </c>
      <c r="BF1495" s="3471">
        <v>0</v>
      </c>
    </row>
    <row r="1496" spans="1:58">
      <c r="A1496" s="1817" t="str">
        <f t="shared" si="47"/>
        <v>OceaniaBambara beans</v>
      </c>
      <c r="B1496" s="1818" t="s">
        <v>303</v>
      </c>
      <c r="C1496" s="1818" t="s">
        <v>7291</v>
      </c>
      <c r="D1496" s="3463" t="str">
        <f>VLOOKUP(B1496,List_Yield!$G$4:$J$14,4,FALSE)</f>
        <v>Oceania</v>
      </c>
      <c r="E1496" s="3463" t="str">
        <f t="shared" si="48"/>
        <v>OceaniaBambara beans</v>
      </c>
      <c r="F1496" s="2994">
        <v>0</v>
      </c>
      <c r="G1496" s="2994">
        <v>0</v>
      </c>
      <c r="H1496" s="2994">
        <v>0</v>
      </c>
      <c r="I1496" s="2994">
        <v>0</v>
      </c>
      <c r="J1496" s="2994">
        <v>0</v>
      </c>
      <c r="K1496" s="2994">
        <v>0</v>
      </c>
      <c r="L1496" s="2994">
        <v>0</v>
      </c>
      <c r="M1496" s="2994">
        <v>0</v>
      </c>
      <c r="N1496" s="2994">
        <v>0</v>
      </c>
      <c r="O1496" s="2994">
        <v>0</v>
      </c>
      <c r="P1496" s="2994">
        <v>0</v>
      </c>
      <c r="Q1496" s="2994">
        <v>0</v>
      </c>
      <c r="R1496" s="2994">
        <v>0</v>
      </c>
      <c r="S1496" s="2994">
        <v>0</v>
      </c>
      <c r="T1496" s="2994">
        <v>0</v>
      </c>
      <c r="U1496" s="2994">
        <v>0</v>
      </c>
      <c r="V1496" s="2994">
        <v>0</v>
      </c>
      <c r="W1496" s="2994">
        <v>0</v>
      </c>
      <c r="X1496" s="2994">
        <v>0</v>
      </c>
      <c r="Y1496" s="2994">
        <v>0</v>
      </c>
      <c r="Z1496" s="2994">
        <v>0</v>
      </c>
      <c r="AA1496" s="2994">
        <v>0</v>
      </c>
      <c r="AB1496" s="2994">
        <v>0</v>
      </c>
      <c r="AC1496" s="2994">
        <v>0</v>
      </c>
      <c r="AD1496" s="2994">
        <v>0</v>
      </c>
      <c r="AE1496" s="2994">
        <v>0</v>
      </c>
      <c r="AF1496" s="2994">
        <v>0</v>
      </c>
      <c r="AG1496" s="2994">
        <v>0</v>
      </c>
      <c r="AH1496" s="2994">
        <v>0</v>
      </c>
      <c r="AI1496" s="2994">
        <v>0</v>
      </c>
      <c r="AJ1496" s="2994">
        <v>0</v>
      </c>
      <c r="AK1496" s="2994">
        <v>0</v>
      </c>
      <c r="AL1496" s="2994">
        <v>0</v>
      </c>
      <c r="AM1496" s="2994">
        <v>0</v>
      </c>
      <c r="AN1496" s="2994">
        <v>0</v>
      </c>
      <c r="AO1496" s="2994">
        <v>0</v>
      </c>
      <c r="AP1496" s="2994">
        <v>0</v>
      </c>
      <c r="AQ1496" s="2994">
        <v>0</v>
      </c>
      <c r="AR1496" s="2994">
        <v>0</v>
      </c>
      <c r="AS1496" s="2994">
        <v>0</v>
      </c>
      <c r="AT1496" s="2994">
        <v>0</v>
      </c>
      <c r="AU1496" s="2994">
        <v>0</v>
      </c>
      <c r="AV1496" s="2994">
        <v>0</v>
      </c>
      <c r="AW1496" s="2994">
        <v>0</v>
      </c>
      <c r="AX1496" s="2994">
        <v>0</v>
      </c>
      <c r="AY1496" s="2994">
        <v>0</v>
      </c>
      <c r="AZ1496" s="2994">
        <v>0</v>
      </c>
      <c r="BA1496" s="2994">
        <v>0</v>
      </c>
      <c r="BB1496" s="2994">
        <v>0</v>
      </c>
      <c r="BC1496" s="2994">
        <v>0</v>
      </c>
      <c r="BD1496" s="3471">
        <v>0</v>
      </c>
      <c r="BE1496" s="3471">
        <v>0</v>
      </c>
      <c r="BF1496" s="3471">
        <v>0</v>
      </c>
    </row>
    <row r="1497" spans="1:58">
      <c r="A1497" s="1817" t="str">
        <f t="shared" si="47"/>
        <v>OceaniaBananas</v>
      </c>
      <c r="B1497" s="1818" t="s">
        <v>303</v>
      </c>
      <c r="C1497" s="1818" t="s">
        <v>1336</v>
      </c>
      <c r="D1497" s="3463" t="str">
        <f>VLOOKUP(B1497,List_Yield!$G$4:$J$14,4,FALSE)</f>
        <v>Oceania</v>
      </c>
      <c r="E1497" s="3463" t="str">
        <f t="shared" si="48"/>
        <v>OceaniaBananas</v>
      </c>
      <c r="F1497" s="2994">
        <v>9.7536000000000005</v>
      </c>
      <c r="G1497" s="2994">
        <v>9.5568000000000008</v>
      </c>
      <c r="H1497" s="2994">
        <v>9.9307999999999996</v>
      </c>
      <c r="I1497" s="2994">
        <v>9.8565000000000005</v>
      </c>
      <c r="J1497" s="2994">
        <v>9.9262999999999995</v>
      </c>
      <c r="K1497" s="2994">
        <v>10.073399999999999</v>
      </c>
      <c r="L1497" s="2994">
        <v>10.806800000000001</v>
      </c>
      <c r="M1497" s="2994">
        <v>10.7981</v>
      </c>
      <c r="N1497" s="2994">
        <v>10.811</v>
      </c>
      <c r="O1497" s="2994">
        <v>10.7788</v>
      </c>
      <c r="P1497" s="2994">
        <v>10.6439</v>
      </c>
      <c r="Q1497" s="2994">
        <v>10.598800000000001</v>
      </c>
      <c r="R1497" s="2994">
        <v>10.2651</v>
      </c>
      <c r="S1497" s="2994">
        <v>11.5938</v>
      </c>
      <c r="T1497" s="2994">
        <v>10.937200000000001</v>
      </c>
      <c r="U1497" s="2994">
        <v>11.775</v>
      </c>
      <c r="V1497" s="2994">
        <v>11.746600000000001</v>
      </c>
      <c r="W1497" s="2994">
        <v>11.7445</v>
      </c>
      <c r="X1497" s="2994">
        <v>11.6957</v>
      </c>
      <c r="Y1497" s="2994">
        <v>12.2219</v>
      </c>
      <c r="Z1497" s="2994">
        <v>11.572699999999999</v>
      </c>
      <c r="AA1497" s="2994">
        <v>12.047599999999999</v>
      </c>
      <c r="AB1497" s="2994">
        <v>11.955</v>
      </c>
      <c r="AC1497" s="2994">
        <v>11.8804</v>
      </c>
      <c r="AD1497" s="2994">
        <v>11.882199999999999</v>
      </c>
      <c r="AE1497" s="2994">
        <v>10.9985</v>
      </c>
      <c r="AF1497" s="2994">
        <v>12.281000000000001</v>
      </c>
      <c r="AG1497" s="2994">
        <v>13.210699999999999</v>
      </c>
      <c r="AH1497" s="2994">
        <v>14.2742</v>
      </c>
      <c r="AI1497" s="2994">
        <v>14.2536</v>
      </c>
      <c r="AJ1497" s="2994">
        <v>13.997</v>
      </c>
      <c r="AK1497" s="2994">
        <v>14.3276</v>
      </c>
      <c r="AL1497" s="2994">
        <v>14.759499999999999</v>
      </c>
      <c r="AM1497" s="2994">
        <v>14.760199999999999</v>
      </c>
      <c r="AN1497" s="2994">
        <v>14.5</v>
      </c>
      <c r="AO1497" s="2994">
        <v>14.439299999999999</v>
      </c>
      <c r="AP1497" s="2994">
        <v>13.815899999999999</v>
      </c>
      <c r="AQ1497" s="2994">
        <v>13.883900000000001</v>
      </c>
      <c r="AR1497" s="2994">
        <v>13.7125</v>
      </c>
      <c r="AS1497" s="2994">
        <v>13.773099999999999</v>
      </c>
      <c r="AT1497" s="2994">
        <v>15.4749</v>
      </c>
      <c r="AU1497" s="2994">
        <v>14.646800000000001</v>
      </c>
      <c r="AV1497" s="2994">
        <v>14.5388</v>
      </c>
      <c r="AW1497" s="2994">
        <v>14.3377</v>
      </c>
      <c r="AX1497" s="2994">
        <v>14.59</v>
      </c>
      <c r="AY1497" s="2994">
        <v>13.838699999999999</v>
      </c>
      <c r="AZ1497" s="2994">
        <v>13.966799999999999</v>
      </c>
      <c r="BA1497" s="2994">
        <v>13.699299999999999</v>
      </c>
      <c r="BB1497" s="2994">
        <v>14.218400000000001</v>
      </c>
      <c r="BC1497" s="2994">
        <v>15.4358</v>
      </c>
      <c r="BD1497" s="3471">
        <v>14.8451</v>
      </c>
      <c r="BE1497" s="3471">
        <v>15.8888</v>
      </c>
      <c r="BF1497" s="3471">
        <v>0</v>
      </c>
    </row>
    <row r="1498" spans="1:58">
      <c r="A1498" s="1817" t="str">
        <f t="shared" si="47"/>
        <v>OceaniaBarley</v>
      </c>
      <c r="B1498" s="1818" t="s">
        <v>303</v>
      </c>
      <c r="C1498" s="1818" t="s">
        <v>1337</v>
      </c>
      <c r="D1498" s="3463" t="str">
        <f>VLOOKUP(B1498,List_Yield!$G$4:$J$14,4,FALSE)</f>
        <v>Oceania</v>
      </c>
      <c r="E1498" s="3463" t="str">
        <f t="shared" si="48"/>
        <v>OceaniaBarley</v>
      </c>
      <c r="F1498" s="2994">
        <v>1.028</v>
      </c>
      <c r="G1498" s="2994">
        <v>1.1488</v>
      </c>
      <c r="H1498" s="2994">
        <v>1.2698</v>
      </c>
      <c r="I1498" s="2994">
        <v>1.4307000000000001</v>
      </c>
      <c r="J1498" s="2994">
        <v>1.0929</v>
      </c>
      <c r="K1498" s="2994">
        <v>1.4460999999999999</v>
      </c>
      <c r="L1498" s="2994">
        <v>0.88529999999999998</v>
      </c>
      <c r="M1498" s="2994">
        <v>1.3290999999999999</v>
      </c>
      <c r="N1498" s="2994">
        <v>1.2186999999999999</v>
      </c>
      <c r="O1498" s="2994">
        <v>1.2282</v>
      </c>
      <c r="P1498" s="2994">
        <v>1.2704</v>
      </c>
      <c r="Q1498" s="2994">
        <v>0.92230000000000001</v>
      </c>
      <c r="R1498" s="2994">
        <v>1.3628</v>
      </c>
      <c r="S1498" s="2994">
        <v>1.4412</v>
      </c>
      <c r="T1498" s="2994">
        <v>1.4144000000000001</v>
      </c>
      <c r="U1498" s="2994">
        <v>1.3021</v>
      </c>
      <c r="V1498" s="2994">
        <v>0.92300000000000004</v>
      </c>
      <c r="W1498" s="2994">
        <v>1.4933000000000001</v>
      </c>
      <c r="X1498" s="2994">
        <v>1.5497000000000001</v>
      </c>
      <c r="Y1498" s="2994">
        <v>1.1560999999999999</v>
      </c>
      <c r="Z1498" s="2994">
        <v>1.3521000000000001</v>
      </c>
      <c r="AA1498" s="2994">
        <v>0.90339999999999998</v>
      </c>
      <c r="AB1498" s="2994">
        <v>1.6412</v>
      </c>
      <c r="AC1498" s="2994">
        <v>1.6812</v>
      </c>
      <c r="AD1498" s="2994">
        <v>1.6061000000000001</v>
      </c>
      <c r="AE1498" s="2994">
        <v>1.7012</v>
      </c>
      <c r="AF1498" s="2994">
        <v>1.5611999999999999</v>
      </c>
      <c r="AG1498" s="2994">
        <v>1.5844</v>
      </c>
      <c r="AH1498" s="2994">
        <v>1.8259000000000001</v>
      </c>
      <c r="AI1498" s="2994">
        <v>1.7858000000000001</v>
      </c>
      <c r="AJ1498" s="2994">
        <v>1.7984</v>
      </c>
      <c r="AK1498" s="2994">
        <v>1.8973</v>
      </c>
      <c r="AL1498" s="2994">
        <v>2.0154000000000001</v>
      </c>
      <c r="AM1498" s="2994">
        <v>1.3001</v>
      </c>
      <c r="AN1498" s="2994">
        <v>1.9281999999999999</v>
      </c>
      <c r="AO1498" s="2994">
        <v>2.0525000000000002</v>
      </c>
      <c r="AP1498" s="2994">
        <v>1.9159999999999999</v>
      </c>
      <c r="AQ1498" s="2994">
        <v>1.9613</v>
      </c>
      <c r="AR1498" s="2994">
        <v>2.0217000000000001</v>
      </c>
      <c r="AS1498" s="2994">
        <v>2.008</v>
      </c>
      <c r="AT1498" s="2994">
        <v>2.2887</v>
      </c>
      <c r="AU1498" s="2994">
        <v>1.0923</v>
      </c>
      <c r="AV1498" s="2994">
        <v>2.3692000000000002</v>
      </c>
      <c r="AW1498" s="2994">
        <v>1.7128000000000001</v>
      </c>
      <c r="AX1498" s="2994">
        <v>2.1960000000000002</v>
      </c>
      <c r="AY1498" s="2994">
        <v>1.0721000000000001</v>
      </c>
      <c r="AZ1498" s="2994">
        <v>1.5173000000000001</v>
      </c>
      <c r="BA1498" s="2994">
        <v>1.6537999999999999</v>
      </c>
      <c r="BB1498" s="2994">
        <v>1.8446</v>
      </c>
      <c r="BC1498" s="2994">
        <v>1.8362000000000001</v>
      </c>
      <c r="BD1498" s="3471">
        <v>2.2324999999999999</v>
      </c>
      <c r="BE1498" s="3471">
        <v>2.2885</v>
      </c>
      <c r="BF1498" s="3471">
        <v>2.4165000000000001</v>
      </c>
    </row>
    <row r="1499" spans="1:58">
      <c r="A1499" s="1817" t="str">
        <f t="shared" si="47"/>
        <v>OceaniaBastfibres, other</v>
      </c>
      <c r="B1499" s="1818" t="s">
        <v>303</v>
      </c>
      <c r="C1499" s="1818" t="s">
        <v>7292</v>
      </c>
      <c r="D1499" s="3463" t="str">
        <f>VLOOKUP(B1499,List_Yield!$G$4:$J$14,4,FALSE)</f>
        <v>Oceania</v>
      </c>
      <c r="E1499" s="3463" t="str">
        <f t="shared" si="48"/>
        <v>OceaniaBastfibres, other</v>
      </c>
      <c r="F1499" s="2994">
        <v>0</v>
      </c>
      <c r="G1499" s="2994">
        <v>0</v>
      </c>
      <c r="H1499" s="2994">
        <v>0</v>
      </c>
      <c r="I1499" s="2994">
        <v>0</v>
      </c>
      <c r="J1499" s="2994">
        <v>0</v>
      </c>
      <c r="K1499" s="2994">
        <v>0</v>
      </c>
      <c r="L1499" s="2994">
        <v>0</v>
      </c>
      <c r="M1499" s="2994">
        <v>0</v>
      </c>
      <c r="N1499" s="2994">
        <v>0</v>
      </c>
      <c r="O1499" s="2994">
        <v>0</v>
      </c>
      <c r="P1499" s="2994">
        <v>0</v>
      </c>
      <c r="Q1499" s="2994">
        <v>0</v>
      </c>
      <c r="R1499" s="2994">
        <v>0</v>
      </c>
      <c r="S1499" s="2994">
        <v>0</v>
      </c>
      <c r="T1499" s="2994">
        <v>0</v>
      </c>
      <c r="U1499" s="2994">
        <v>0</v>
      </c>
      <c r="V1499" s="2994">
        <v>0</v>
      </c>
      <c r="W1499" s="2994">
        <v>0</v>
      </c>
      <c r="X1499" s="2994">
        <v>0</v>
      </c>
      <c r="Y1499" s="2994">
        <v>0</v>
      </c>
      <c r="Z1499" s="2994">
        <v>0</v>
      </c>
      <c r="AA1499" s="2994">
        <v>0</v>
      </c>
      <c r="AB1499" s="2994">
        <v>0</v>
      </c>
      <c r="AC1499" s="2994">
        <v>0</v>
      </c>
      <c r="AD1499" s="2994">
        <v>0</v>
      </c>
      <c r="AE1499" s="2994">
        <v>0</v>
      </c>
      <c r="AF1499" s="2994">
        <v>0</v>
      </c>
      <c r="AG1499" s="2994">
        <v>0</v>
      </c>
      <c r="AH1499" s="2994">
        <v>0</v>
      </c>
      <c r="AI1499" s="2994">
        <v>0</v>
      </c>
      <c r="AJ1499" s="2994">
        <v>0</v>
      </c>
      <c r="AK1499" s="2994">
        <v>0</v>
      </c>
      <c r="AL1499" s="2994">
        <v>0</v>
      </c>
      <c r="AM1499" s="2994">
        <v>0</v>
      </c>
      <c r="AN1499" s="2994">
        <v>0</v>
      </c>
      <c r="AO1499" s="2994">
        <v>0</v>
      </c>
      <c r="AP1499" s="2994">
        <v>0</v>
      </c>
      <c r="AQ1499" s="2994">
        <v>0</v>
      </c>
      <c r="AR1499" s="2994">
        <v>0</v>
      </c>
      <c r="AS1499" s="2994">
        <v>0</v>
      </c>
      <c r="AT1499" s="2994">
        <v>0</v>
      </c>
      <c r="AU1499" s="2994">
        <v>0</v>
      </c>
      <c r="AV1499" s="2994">
        <v>0</v>
      </c>
      <c r="AW1499" s="2994">
        <v>0</v>
      </c>
      <c r="AX1499" s="2994">
        <v>0</v>
      </c>
      <c r="AY1499" s="2994">
        <v>0</v>
      </c>
      <c r="AZ1499" s="2994">
        <v>0</v>
      </c>
      <c r="BA1499" s="2994">
        <v>0</v>
      </c>
      <c r="BB1499" s="2994">
        <v>0</v>
      </c>
      <c r="BC1499" s="2994">
        <v>0</v>
      </c>
      <c r="BD1499" s="3471">
        <v>0</v>
      </c>
      <c r="BE1499" s="3471">
        <v>0</v>
      </c>
      <c r="BF1499" s="3471">
        <v>0</v>
      </c>
    </row>
    <row r="1500" spans="1:58">
      <c r="A1500" s="1817" t="str">
        <f t="shared" si="47"/>
        <v>OceaniaBeans, dry</v>
      </c>
      <c r="B1500" s="1818" t="s">
        <v>303</v>
      </c>
      <c r="C1500" s="1818" t="s">
        <v>1338</v>
      </c>
      <c r="D1500" s="3463" t="str">
        <f>VLOOKUP(B1500,List_Yield!$G$4:$J$14,4,FALSE)</f>
        <v>Oceania</v>
      </c>
      <c r="E1500" s="3463" t="str">
        <f t="shared" si="48"/>
        <v>OceaniaBeans, dry</v>
      </c>
      <c r="F1500" s="2994">
        <v>0.55249999999999999</v>
      </c>
      <c r="G1500" s="2994">
        <v>1.1001000000000001</v>
      </c>
      <c r="H1500" s="2994">
        <v>0.5151</v>
      </c>
      <c r="I1500" s="2994">
        <v>0.59389999999999998</v>
      </c>
      <c r="J1500" s="2994">
        <v>0.2026</v>
      </c>
      <c r="K1500" s="2994">
        <v>0.46860000000000002</v>
      </c>
      <c r="L1500" s="2994">
        <v>0.60460000000000003</v>
      </c>
      <c r="M1500" s="2994">
        <v>0.2087</v>
      </c>
      <c r="N1500" s="2994">
        <v>0.48060000000000003</v>
      </c>
      <c r="O1500" s="2994">
        <v>0.2414</v>
      </c>
      <c r="P1500" s="2994">
        <v>0.7732</v>
      </c>
      <c r="Q1500" s="2994">
        <v>0.18909999999999999</v>
      </c>
      <c r="R1500" s="2994">
        <v>0.56140000000000001</v>
      </c>
      <c r="S1500" s="2994">
        <v>0.87590000000000001</v>
      </c>
      <c r="T1500" s="2994">
        <v>0.79869999999999997</v>
      </c>
      <c r="U1500" s="2994">
        <v>0.72189999999999999</v>
      </c>
      <c r="V1500" s="2994">
        <v>0.79369999999999996</v>
      </c>
      <c r="W1500" s="2994">
        <v>1.0388999999999999</v>
      </c>
      <c r="X1500" s="2994">
        <v>0.35720000000000002</v>
      </c>
      <c r="Y1500" s="2994">
        <v>0.64939999999999998</v>
      </c>
      <c r="Z1500" s="2994">
        <v>1.0097</v>
      </c>
      <c r="AA1500" s="2994">
        <v>0.2271</v>
      </c>
      <c r="AB1500" s="2994">
        <v>0.65580000000000005</v>
      </c>
      <c r="AC1500" s="2994">
        <v>0.62229999999999996</v>
      </c>
      <c r="AD1500" s="2994">
        <v>0.46129999999999999</v>
      </c>
      <c r="AE1500" s="2994">
        <v>0.41239999999999999</v>
      </c>
      <c r="AF1500" s="2994">
        <v>0.59009999999999996</v>
      </c>
      <c r="AG1500" s="2994">
        <v>0.54069999999999996</v>
      </c>
      <c r="AH1500" s="2994">
        <v>0.58460000000000001</v>
      </c>
      <c r="AI1500" s="2994">
        <v>0.56110000000000004</v>
      </c>
      <c r="AJ1500" s="2994">
        <v>0.69420000000000004</v>
      </c>
      <c r="AK1500" s="2994">
        <v>0.5</v>
      </c>
      <c r="AL1500" s="2994">
        <v>1.1475</v>
      </c>
      <c r="AM1500" s="2994">
        <v>0.53810000000000002</v>
      </c>
      <c r="AN1500" s="2994">
        <v>0.5645</v>
      </c>
      <c r="AO1500" s="2994">
        <v>0.94499999999999995</v>
      </c>
      <c r="AP1500" s="2994">
        <v>0.84089999999999998</v>
      </c>
      <c r="AQ1500" s="2994">
        <v>0.98150000000000004</v>
      </c>
      <c r="AR1500" s="2994">
        <v>0.90380000000000005</v>
      </c>
      <c r="AS1500" s="2994">
        <v>1.1153999999999999</v>
      </c>
      <c r="AT1500" s="2994">
        <v>1.0592999999999999</v>
      </c>
      <c r="AU1500" s="2994">
        <v>0.7923</v>
      </c>
      <c r="AV1500" s="2994">
        <v>1.9492</v>
      </c>
      <c r="AW1500" s="2994">
        <v>1.7262999999999999</v>
      </c>
      <c r="AX1500" s="2994">
        <v>1.3125</v>
      </c>
      <c r="AY1500" s="2994">
        <v>1.2857000000000001</v>
      </c>
      <c r="AZ1500" s="2994">
        <v>0.64490000000000003</v>
      </c>
      <c r="BA1500" s="2994">
        <v>1.0111000000000001</v>
      </c>
      <c r="BB1500" s="2994">
        <v>0.92620000000000002</v>
      </c>
      <c r="BC1500" s="2994">
        <v>0.96879999999999999</v>
      </c>
      <c r="BD1500" s="3471">
        <v>0.81200000000000006</v>
      </c>
      <c r="BE1500" s="3471">
        <v>0.81220000000000003</v>
      </c>
      <c r="BF1500" s="3471">
        <v>0.81230000000000002</v>
      </c>
    </row>
    <row r="1501" spans="1:58">
      <c r="A1501" s="1817" t="str">
        <f t="shared" si="47"/>
        <v>OceaniaBeans, green</v>
      </c>
      <c r="B1501" s="1818" t="s">
        <v>303</v>
      </c>
      <c r="C1501" s="1818" t="s">
        <v>1339</v>
      </c>
      <c r="D1501" s="3463" t="str">
        <f>VLOOKUP(B1501,List_Yield!$G$4:$J$14,4,FALSE)</f>
        <v>Oceania</v>
      </c>
      <c r="E1501" s="3463" t="str">
        <f t="shared" si="48"/>
        <v>OceaniaBeans, green</v>
      </c>
      <c r="F1501" s="2994">
        <v>3.8288000000000002</v>
      </c>
      <c r="G1501" s="2994">
        <v>3.8077000000000001</v>
      </c>
      <c r="H1501" s="2994">
        <v>3.5074000000000001</v>
      </c>
      <c r="I1501" s="2994">
        <v>4.8117000000000001</v>
      </c>
      <c r="J1501" s="2994">
        <v>4.6700999999999997</v>
      </c>
      <c r="K1501" s="2994">
        <v>5.3371000000000004</v>
      </c>
      <c r="L1501" s="2994">
        <v>4.4569999999999999</v>
      </c>
      <c r="M1501" s="2994">
        <v>5.1760000000000002</v>
      </c>
      <c r="N1501" s="2994">
        <v>5.2371999999999996</v>
      </c>
      <c r="O1501" s="2994">
        <v>4.8644999999999996</v>
      </c>
      <c r="P1501" s="2994">
        <v>4.9333</v>
      </c>
      <c r="Q1501" s="2994">
        <v>5.2007000000000003</v>
      </c>
      <c r="R1501" s="2994">
        <v>5.1445999999999996</v>
      </c>
      <c r="S1501" s="2994">
        <v>5.0644</v>
      </c>
      <c r="T1501" s="2994">
        <v>6.4282000000000004</v>
      </c>
      <c r="U1501" s="2994">
        <v>4.9779999999999998</v>
      </c>
      <c r="V1501" s="2994">
        <v>5.3704999999999998</v>
      </c>
      <c r="W1501" s="2994">
        <v>5.9550999999999998</v>
      </c>
      <c r="X1501" s="2994">
        <v>5.7073</v>
      </c>
      <c r="Y1501" s="2994">
        <v>6.0252999999999997</v>
      </c>
      <c r="Z1501" s="2994">
        <v>5.3933</v>
      </c>
      <c r="AA1501" s="2994">
        <v>5.5650000000000004</v>
      </c>
      <c r="AB1501" s="2994">
        <v>5.4042000000000003</v>
      </c>
      <c r="AC1501" s="2994">
        <v>5.4606000000000003</v>
      </c>
      <c r="AD1501" s="2994">
        <v>5.9265999999999996</v>
      </c>
      <c r="AE1501" s="2994">
        <v>5.4119999999999999</v>
      </c>
      <c r="AF1501" s="2994">
        <v>5.8049999999999997</v>
      </c>
      <c r="AG1501" s="2994">
        <v>5.4625000000000004</v>
      </c>
      <c r="AH1501" s="2994">
        <v>5.5693000000000001</v>
      </c>
      <c r="AI1501" s="2994">
        <v>5.1725000000000003</v>
      </c>
      <c r="AJ1501" s="2994">
        <v>5.3307000000000002</v>
      </c>
      <c r="AK1501" s="2994">
        <v>5.2530000000000001</v>
      </c>
      <c r="AL1501" s="2994">
        <v>5.4391999999999996</v>
      </c>
      <c r="AM1501" s="2994">
        <v>5.6802999999999999</v>
      </c>
      <c r="AN1501" s="2994">
        <v>5.5726000000000004</v>
      </c>
      <c r="AO1501" s="2994">
        <v>5.2916999999999996</v>
      </c>
      <c r="AP1501" s="2994">
        <v>5.5564</v>
      </c>
      <c r="AQ1501" s="2994">
        <v>5.6402999999999999</v>
      </c>
      <c r="AR1501" s="2994">
        <v>5.4650999999999996</v>
      </c>
      <c r="AS1501" s="2994">
        <v>5.3841999999999999</v>
      </c>
      <c r="AT1501" s="2994">
        <v>5.0941000000000001</v>
      </c>
      <c r="AU1501" s="2994">
        <v>5.2598000000000003</v>
      </c>
      <c r="AV1501" s="2994">
        <v>5.1131000000000002</v>
      </c>
      <c r="AW1501" s="2994">
        <v>4.5877999999999997</v>
      </c>
      <c r="AX1501" s="2994">
        <v>5.7076000000000002</v>
      </c>
      <c r="AY1501" s="2994">
        <v>5.4157999999999999</v>
      </c>
      <c r="AZ1501" s="2994">
        <v>5.8726000000000003</v>
      </c>
      <c r="BA1501" s="2994">
        <v>5.5019</v>
      </c>
      <c r="BB1501" s="2994">
        <v>5.4280999999999997</v>
      </c>
      <c r="BC1501" s="2994">
        <v>5.1790000000000003</v>
      </c>
      <c r="BD1501" s="3471">
        <v>5.1520999999999999</v>
      </c>
      <c r="BE1501" s="3471">
        <v>5.2012</v>
      </c>
      <c r="BF1501" s="3471">
        <v>0</v>
      </c>
    </row>
    <row r="1502" spans="1:58">
      <c r="A1502" s="1817" t="str">
        <f t="shared" si="47"/>
        <v>OceaniaBerries nes</v>
      </c>
      <c r="B1502" s="1818" t="s">
        <v>303</v>
      </c>
      <c r="C1502" s="1818" t="s">
        <v>7293</v>
      </c>
      <c r="D1502" s="3463" t="str">
        <f>VLOOKUP(B1502,List_Yield!$G$4:$J$14,4,FALSE)</f>
        <v>Oceania</v>
      </c>
      <c r="E1502" s="3463" t="str">
        <f t="shared" si="48"/>
        <v>OceaniaBerries nes</v>
      </c>
      <c r="F1502" s="2994">
        <v>4.8162000000000003</v>
      </c>
      <c r="G1502" s="2994">
        <v>4.8685</v>
      </c>
      <c r="H1502" s="2994">
        <v>4.9516</v>
      </c>
      <c r="I1502" s="2994">
        <v>4.8106</v>
      </c>
      <c r="J1502" s="2994">
        <v>4.7823000000000002</v>
      </c>
      <c r="K1502" s="2994">
        <v>4.9489999999999998</v>
      </c>
      <c r="L1502" s="2994">
        <v>4.9221000000000004</v>
      </c>
      <c r="M1502" s="2994">
        <v>4.9626000000000001</v>
      </c>
      <c r="N1502" s="2994">
        <v>5.1966999999999999</v>
      </c>
      <c r="O1502" s="2994">
        <v>5.1635999999999997</v>
      </c>
      <c r="P1502" s="2994">
        <v>5.1810999999999998</v>
      </c>
      <c r="Q1502" s="2994">
        <v>5.1573000000000002</v>
      </c>
      <c r="R1502" s="2994">
        <v>5.3044000000000002</v>
      </c>
      <c r="S1502" s="2994">
        <v>5.2563000000000004</v>
      </c>
      <c r="T1502" s="2994">
        <v>5.2683999999999997</v>
      </c>
      <c r="U1502" s="2994">
        <v>5.1637000000000004</v>
      </c>
      <c r="V1502" s="2994">
        <v>5.1677999999999997</v>
      </c>
      <c r="W1502" s="2994">
        <v>5.1620999999999997</v>
      </c>
      <c r="X1502" s="2994">
        <v>5.2613000000000003</v>
      </c>
      <c r="Y1502" s="2994">
        <v>5.0846</v>
      </c>
      <c r="Z1502" s="2994">
        <v>5.1661000000000001</v>
      </c>
      <c r="AA1502" s="2994">
        <v>5.3032000000000004</v>
      </c>
      <c r="AB1502" s="2994">
        <v>5.2541000000000002</v>
      </c>
      <c r="AC1502" s="2994">
        <v>5.3094999999999999</v>
      </c>
      <c r="AD1502" s="2994">
        <v>5.3110999999999997</v>
      </c>
      <c r="AE1502" s="2994">
        <v>5.2060000000000004</v>
      </c>
      <c r="AF1502" s="2994">
        <v>5.1929999999999996</v>
      </c>
      <c r="AG1502" s="2994">
        <v>5.2378999999999998</v>
      </c>
      <c r="AH1502" s="2994">
        <v>5.2949999999999999</v>
      </c>
      <c r="AI1502" s="2994">
        <v>5.2394999999999996</v>
      </c>
      <c r="AJ1502" s="2994">
        <v>4.2548000000000004</v>
      </c>
      <c r="AK1502" s="2994">
        <v>4.1883999999999997</v>
      </c>
      <c r="AL1502" s="2994">
        <v>4.1403999999999996</v>
      </c>
      <c r="AM1502" s="2994">
        <v>5.3038999999999996</v>
      </c>
      <c r="AN1502" s="2994">
        <v>5.5796999999999999</v>
      </c>
      <c r="AO1502" s="2994">
        <v>5.7927999999999997</v>
      </c>
      <c r="AP1502" s="2994">
        <v>5.2031000000000001</v>
      </c>
      <c r="AQ1502" s="2994">
        <v>5.2011000000000003</v>
      </c>
      <c r="AR1502" s="2994">
        <v>4.7858999999999998</v>
      </c>
      <c r="AS1502" s="2994">
        <v>5.2843999999999998</v>
      </c>
      <c r="AT1502" s="2994">
        <v>5.1372999999999998</v>
      </c>
      <c r="AU1502" s="2994">
        <v>4.9443999999999999</v>
      </c>
      <c r="AV1502" s="2994">
        <v>4.7866999999999997</v>
      </c>
      <c r="AW1502" s="2994">
        <v>5.2267000000000001</v>
      </c>
      <c r="AX1502" s="2994">
        <v>5.3388999999999998</v>
      </c>
      <c r="AY1502" s="2994">
        <v>5.3178000000000001</v>
      </c>
      <c r="AZ1502" s="2994">
        <v>4.9524999999999997</v>
      </c>
      <c r="BA1502" s="2994">
        <v>5.1406999999999998</v>
      </c>
      <c r="BB1502" s="2994">
        <v>5.0800999999999998</v>
      </c>
      <c r="BC1502" s="2994">
        <v>5.1618000000000004</v>
      </c>
      <c r="BD1502" s="3471">
        <v>5.0735000000000001</v>
      </c>
      <c r="BE1502" s="3471">
        <v>5.0881999999999996</v>
      </c>
      <c r="BF1502" s="3471">
        <v>0</v>
      </c>
    </row>
    <row r="1503" spans="1:58">
      <c r="A1503" s="1817" t="str">
        <f t="shared" si="47"/>
        <v>OceaniaBlueberries</v>
      </c>
      <c r="B1503" s="1818" t="s">
        <v>303</v>
      </c>
      <c r="C1503" s="1818" t="s">
        <v>7294</v>
      </c>
      <c r="D1503" s="3463" t="str">
        <f>VLOOKUP(B1503,List_Yield!$G$4:$J$14,4,FALSE)</f>
        <v>Oceania</v>
      </c>
      <c r="E1503" s="3463" t="str">
        <f t="shared" si="48"/>
        <v>OceaniaBlueberries</v>
      </c>
      <c r="F1503" s="2994">
        <v>0</v>
      </c>
      <c r="G1503" s="2994">
        <v>0</v>
      </c>
      <c r="H1503" s="2994">
        <v>0</v>
      </c>
      <c r="I1503" s="2994">
        <v>0</v>
      </c>
      <c r="J1503" s="2994">
        <v>0</v>
      </c>
      <c r="K1503" s="2994">
        <v>0</v>
      </c>
      <c r="L1503" s="2994">
        <v>0</v>
      </c>
      <c r="M1503" s="2994">
        <v>0</v>
      </c>
      <c r="N1503" s="2994">
        <v>0</v>
      </c>
      <c r="O1503" s="2994">
        <v>0</v>
      </c>
      <c r="P1503" s="2994">
        <v>0</v>
      </c>
      <c r="Q1503" s="2994">
        <v>0.5</v>
      </c>
      <c r="R1503" s="2994">
        <v>1.5</v>
      </c>
      <c r="S1503" s="2994">
        <v>4</v>
      </c>
      <c r="T1503" s="2994">
        <v>0.5</v>
      </c>
      <c r="U1503" s="2994">
        <v>0.8</v>
      </c>
      <c r="V1503" s="2994">
        <v>0.625</v>
      </c>
      <c r="W1503" s="2994">
        <v>0.875</v>
      </c>
      <c r="X1503" s="2994">
        <v>1.2857000000000001</v>
      </c>
      <c r="Y1503" s="2994">
        <v>0.13850000000000001</v>
      </c>
      <c r="Z1503" s="2994">
        <v>0.1086</v>
      </c>
      <c r="AA1503" s="2994">
        <v>0.1111</v>
      </c>
      <c r="AB1503" s="2994">
        <v>0.20530000000000001</v>
      </c>
      <c r="AC1503" s="2994">
        <v>0.29070000000000001</v>
      </c>
      <c r="AD1503" s="2994">
        <v>0.5776</v>
      </c>
      <c r="AE1503" s="2994">
        <v>0.97170000000000001</v>
      </c>
      <c r="AF1503" s="2994">
        <v>1.2658</v>
      </c>
      <c r="AG1503" s="2994">
        <v>1.5976999999999999</v>
      </c>
      <c r="AH1503" s="2994">
        <v>1.901</v>
      </c>
      <c r="AI1503" s="2994">
        <v>3.5548999999999999</v>
      </c>
      <c r="AJ1503" s="2994">
        <v>3.4285999999999999</v>
      </c>
      <c r="AK1503" s="2994">
        <v>3.6585000000000001</v>
      </c>
      <c r="AL1503" s="2994">
        <v>3.2294</v>
      </c>
      <c r="AM1503" s="2994">
        <v>4.2016999999999998</v>
      </c>
      <c r="AN1503" s="2994">
        <v>4.2785000000000002</v>
      </c>
      <c r="AO1503" s="2994">
        <v>4.2857000000000003</v>
      </c>
      <c r="AP1503" s="2994">
        <v>5</v>
      </c>
      <c r="AQ1503" s="2994">
        <v>5</v>
      </c>
      <c r="AR1503" s="2994">
        <v>5</v>
      </c>
      <c r="AS1503" s="2994">
        <v>4.3102999999999998</v>
      </c>
      <c r="AT1503" s="2994">
        <v>3.6770999999999998</v>
      </c>
      <c r="AU1503" s="2994">
        <v>3.6701000000000001</v>
      </c>
      <c r="AV1503" s="2994">
        <v>3.4462000000000002</v>
      </c>
      <c r="AW1503" s="2994">
        <v>5</v>
      </c>
      <c r="AX1503" s="2994">
        <v>4.6341999999999999</v>
      </c>
      <c r="AY1503" s="2994">
        <v>3.7065999999999999</v>
      </c>
      <c r="AZ1503" s="2994">
        <v>2.6819999999999999</v>
      </c>
      <c r="BA1503" s="2994">
        <v>5</v>
      </c>
      <c r="BB1503" s="2994">
        <v>5.0092999999999996</v>
      </c>
      <c r="BC1503" s="2994">
        <v>5.0385</v>
      </c>
      <c r="BD1503" s="3471">
        <v>4.6010999999999997</v>
      </c>
      <c r="BE1503" s="3471">
        <v>4.3627000000000002</v>
      </c>
      <c r="BF1503" s="3471">
        <v>0</v>
      </c>
    </row>
    <row r="1504" spans="1:58">
      <c r="A1504" s="1817" t="str">
        <f t="shared" si="47"/>
        <v>OceaniaBrazil nuts, with shell</v>
      </c>
      <c r="B1504" s="1818" t="s">
        <v>303</v>
      </c>
      <c r="C1504" s="1818" t="s">
        <v>7295</v>
      </c>
      <c r="D1504" s="3463" t="str">
        <f>VLOOKUP(B1504,List_Yield!$G$4:$J$14,4,FALSE)</f>
        <v>Oceania</v>
      </c>
      <c r="E1504" s="3463" t="str">
        <f t="shared" si="48"/>
        <v>OceaniaBrazil nuts, with shell</v>
      </c>
      <c r="F1504" s="2994">
        <v>0</v>
      </c>
      <c r="G1504" s="2994">
        <v>0</v>
      </c>
      <c r="H1504" s="2994">
        <v>0</v>
      </c>
      <c r="I1504" s="2994">
        <v>0</v>
      </c>
      <c r="J1504" s="2994">
        <v>0</v>
      </c>
      <c r="K1504" s="2994">
        <v>0</v>
      </c>
      <c r="L1504" s="2994">
        <v>0</v>
      </c>
      <c r="M1504" s="2994">
        <v>0</v>
      </c>
      <c r="N1504" s="2994">
        <v>0</v>
      </c>
      <c r="O1504" s="2994">
        <v>0</v>
      </c>
      <c r="P1504" s="2994">
        <v>0</v>
      </c>
      <c r="Q1504" s="2994">
        <v>0</v>
      </c>
      <c r="R1504" s="2994">
        <v>0</v>
      </c>
      <c r="S1504" s="2994">
        <v>0</v>
      </c>
      <c r="T1504" s="2994">
        <v>0</v>
      </c>
      <c r="U1504" s="2994">
        <v>0</v>
      </c>
      <c r="V1504" s="2994">
        <v>0</v>
      </c>
      <c r="W1504" s="2994">
        <v>0</v>
      </c>
      <c r="X1504" s="2994">
        <v>0</v>
      </c>
      <c r="Y1504" s="2994">
        <v>0</v>
      </c>
      <c r="Z1504" s="2994">
        <v>0</v>
      </c>
      <c r="AA1504" s="2994">
        <v>0</v>
      </c>
      <c r="AB1504" s="2994">
        <v>0</v>
      </c>
      <c r="AC1504" s="2994">
        <v>0</v>
      </c>
      <c r="AD1504" s="2994">
        <v>0</v>
      </c>
      <c r="AE1504" s="2994">
        <v>0</v>
      </c>
      <c r="AF1504" s="2994">
        <v>0</v>
      </c>
      <c r="AG1504" s="2994">
        <v>0</v>
      </c>
      <c r="AH1504" s="2994">
        <v>0</v>
      </c>
      <c r="AI1504" s="2994">
        <v>0</v>
      </c>
      <c r="AJ1504" s="2994">
        <v>0</v>
      </c>
      <c r="AK1504" s="2994">
        <v>0</v>
      </c>
      <c r="AL1504" s="2994">
        <v>0</v>
      </c>
      <c r="AM1504" s="2994">
        <v>0</v>
      </c>
      <c r="AN1504" s="2994">
        <v>0</v>
      </c>
      <c r="AO1504" s="2994">
        <v>0</v>
      </c>
      <c r="AP1504" s="2994">
        <v>0</v>
      </c>
      <c r="AQ1504" s="2994">
        <v>0</v>
      </c>
      <c r="AR1504" s="2994">
        <v>0</v>
      </c>
      <c r="AS1504" s="2994">
        <v>0</v>
      </c>
      <c r="AT1504" s="2994">
        <v>0</v>
      </c>
      <c r="AU1504" s="2994">
        <v>0</v>
      </c>
      <c r="AV1504" s="2994">
        <v>0</v>
      </c>
      <c r="AW1504" s="2994">
        <v>0</v>
      </c>
      <c r="AX1504" s="2994">
        <v>0</v>
      </c>
      <c r="AY1504" s="2994">
        <v>0</v>
      </c>
      <c r="AZ1504" s="2994">
        <v>0</v>
      </c>
      <c r="BA1504" s="2994">
        <v>0</v>
      </c>
      <c r="BB1504" s="2994">
        <v>0</v>
      </c>
      <c r="BC1504" s="2994">
        <v>0</v>
      </c>
      <c r="BD1504" s="3471">
        <v>0</v>
      </c>
      <c r="BE1504" s="3471">
        <v>0</v>
      </c>
      <c r="BF1504" s="3471">
        <v>0</v>
      </c>
    </row>
    <row r="1505" spans="1:58">
      <c r="A1505" s="1817" t="str">
        <f t="shared" si="47"/>
        <v>OceaniaBroad beans, horse beans, dry</v>
      </c>
      <c r="B1505" s="1818" t="s">
        <v>303</v>
      </c>
      <c r="C1505" s="1818" t="s">
        <v>7296</v>
      </c>
      <c r="D1505" s="3463" t="str">
        <f>VLOOKUP(B1505,List_Yield!$G$4:$J$14,4,FALSE)</f>
        <v>Oceania</v>
      </c>
      <c r="E1505" s="3463" t="str">
        <f t="shared" si="48"/>
        <v>OceaniaBroad beans, horse beans, dry</v>
      </c>
      <c r="F1505" s="2994">
        <v>0.39250000000000002</v>
      </c>
      <c r="G1505" s="2994">
        <v>1.2198</v>
      </c>
      <c r="H1505" s="2994">
        <v>0.88639999999999997</v>
      </c>
      <c r="I1505" s="2994">
        <v>0.90100000000000002</v>
      </c>
      <c r="J1505" s="2994">
        <v>1.1188</v>
      </c>
      <c r="K1505" s="2994">
        <v>1.2621</v>
      </c>
      <c r="L1505" s="2994">
        <v>0.62380000000000002</v>
      </c>
      <c r="M1505" s="2994">
        <v>0.49509999999999998</v>
      </c>
      <c r="N1505" s="2994">
        <v>0.46529999999999999</v>
      </c>
      <c r="O1505" s="2994">
        <v>0.57430000000000003</v>
      </c>
      <c r="P1505" s="2994">
        <v>0.55000000000000004</v>
      </c>
      <c r="Q1505" s="2994">
        <v>0.57499999999999996</v>
      </c>
      <c r="R1505" s="2994">
        <v>0.64380000000000004</v>
      </c>
      <c r="S1505" s="2994">
        <v>0.63490000000000002</v>
      </c>
      <c r="T1505" s="2994">
        <v>0.63439999999999996</v>
      </c>
      <c r="U1505" s="2994">
        <v>0.36770000000000003</v>
      </c>
      <c r="V1505" s="2994">
        <v>0.44969999999999999</v>
      </c>
      <c r="W1505" s="2994">
        <v>0.5</v>
      </c>
      <c r="X1505" s="2994">
        <v>0.6</v>
      </c>
      <c r="Y1505" s="2994">
        <v>0.85</v>
      </c>
      <c r="Z1505" s="2994">
        <v>0.79649999999999999</v>
      </c>
      <c r="AA1505" s="2994">
        <v>0.54259999999999997</v>
      </c>
      <c r="AB1505" s="2994">
        <v>0.26910000000000001</v>
      </c>
      <c r="AC1505" s="2994">
        <v>0.30840000000000001</v>
      </c>
      <c r="AD1505" s="2994">
        <v>1.4794</v>
      </c>
      <c r="AE1505" s="2994">
        <v>1.6553</v>
      </c>
      <c r="AF1505" s="2994">
        <v>1.4259999999999999</v>
      </c>
      <c r="AG1505" s="2994">
        <v>1.2436</v>
      </c>
      <c r="AH1505" s="2994">
        <v>1.6113</v>
      </c>
      <c r="AI1505" s="2994">
        <v>1.0563</v>
      </c>
      <c r="AJ1505" s="2994">
        <v>1.1084000000000001</v>
      </c>
      <c r="AK1505" s="2994">
        <v>1.2073</v>
      </c>
      <c r="AL1505" s="2994">
        <v>1.5517000000000001</v>
      </c>
      <c r="AM1505" s="2994">
        <v>0.58140000000000003</v>
      </c>
      <c r="AN1505" s="2994">
        <v>1.5871</v>
      </c>
      <c r="AO1505" s="2994">
        <v>1.7607999999999999</v>
      </c>
      <c r="AP1505" s="2994">
        <v>1.0509999999999999</v>
      </c>
      <c r="AQ1505" s="2994">
        <v>1.4360999999999999</v>
      </c>
      <c r="AR1505" s="2994">
        <v>1.5422</v>
      </c>
      <c r="AS1505" s="2994">
        <v>1.4213</v>
      </c>
      <c r="AT1505" s="2994">
        <v>1.9443999999999999</v>
      </c>
      <c r="AU1505" s="2994">
        <v>0.84140000000000004</v>
      </c>
      <c r="AV1505" s="2994">
        <v>1.7870999999999999</v>
      </c>
      <c r="AW1505" s="2994">
        <v>0.86119999999999997</v>
      </c>
      <c r="AX1505" s="2994">
        <v>1.7978000000000001</v>
      </c>
      <c r="AY1505" s="2994">
        <v>0.57869999999999999</v>
      </c>
      <c r="AZ1505" s="2994">
        <v>1.0376000000000001</v>
      </c>
      <c r="BA1505" s="2994">
        <v>1.6821999999999999</v>
      </c>
      <c r="BB1505" s="2994">
        <v>1.4328000000000001</v>
      </c>
      <c r="BC1505" s="2994">
        <v>1.5152000000000001</v>
      </c>
      <c r="BD1505" s="3471">
        <v>1.9998</v>
      </c>
      <c r="BE1505" s="3471">
        <v>2.6562999999999999</v>
      </c>
      <c r="BF1505" s="3471">
        <v>2.6562999999999999</v>
      </c>
    </row>
    <row r="1506" spans="1:58">
      <c r="A1506" s="1817" t="str">
        <f t="shared" si="47"/>
        <v>OceaniaBuckwheat</v>
      </c>
      <c r="B1506" s="1818" t="s">
        <v>303</v>
      </c>
      <c r="C1506" s="1818" t="s">
        <v>7297</v>
      </c>
      <c r="D1506" s="3463" t="str">
        <f>VLOOKUP(B1506,List_Yield!$G$4:$J$14,4,FALSE)</f>
        <v>Oceania</v>
      </c>
      <c r="E1506" s="3463" t="str">
        <f t="shared" si="48"/>
        <v>OceaniaBuckwheat</v>
      </c>
      <c r="F1506" s="2994">
        <v>0</v>
      </c>
      <c r="G1506" s="2994">
        <v>0</v>
      </c>
      <c r="H1506" s="2994">
        <v>0</v>
      </c>
      <c r="I1506" s="2994">
        <v>0</v>
      </c>
      <c r="J1506" s="2994">
        <v>0</v>
      </c>
      <c r="K1506" s="2994">
        <v>0</v>
      </c>
      <c r="L1506" s="2994">
        <v>0</v>
      </c>
      <c r="M1506" s="2994">
        <v>0</v>
      </c>
      <c r="N1506" s="2994">
        <v>0</v>
      </c>
      <c r="O1506" s="2994">
        <v>0</v>
      </c>
      <c r="P1506" s="2994">
        <v>0</v>
      </c>
      <c r="Q1506" s="2994">
        <v>0</v>
      </c>
      <c r="R1506" s="2994">
        <v>0</v>
      </c>
      <c r="S1506" s="2994">
        <v>0</v>
      </c>
      <c r="T1506" s="2994">
        <v>0</v>
      </c>
      <c r="U1506" s="2994">
        <v>0</v>
      </c>
      <c r="V1506" s="2994">
        <v>0</v>
      </c>
      <c r="W1506" s="2994">
        <v>0</v>
      </c>
      <c r="X1506" s="2994">
        <v>0</v>
      </c>
      <c r="Y1506" s="2994">
        <v>0</v>
      </c>
      <c r="Z1506" s="2994">
        <v>0</v>
      </c>
      <c r="AA1506" s="2994">
        <v>0</v>
      </c>
      <c r="AB1506" s="2994">
        <v>0</v>
      </c>
      <c r="AC1506" s="2994">
        <v>0</v>
      </c>
      <c r="AD1506" s="2994">
        <v>0</v>
      </c>
      <c r="AE1506" s="2994">
        <v>0</v>
      </c>
      <c r="AF1506" s="2994">
        <v>0</v>
      </c>
      <c r="AG1506" s="2994">
        <v>0</v>
      </c>
      <c r="AH1506" s="2994">
        <v>0</v>
      </c>
      <c r="AI1506" s="2994">
        <v>0</v>
      </c>
      <c r="AJ1506" s="2994">
        <v>0</v>
      </c>
      <c r="AK1506" s="2994">
        <v>0</v>
      </c>
      <c r="AL1506" s="2994">
        <v>0</v>
      </c>
      <c r="AM1506" s="2994">
        <v>0</v>
      </c>
      <c r="AN1506" s="2994">
        <v>0</v>
      </c>
      <c r="AO1506" s="2994">
        <v>0</v>
      </c>
      <c r="AP1506" s="2994">
        <v>0</v>
      </c>
      <c r="AQ1506" s="2994">
        <v>0</v>
      </c>
      <c r="AR1506" s="2994">
        <v>0</v>
      </c>
      <c r="AS1506" s="2994">
        <v>0</v>
      </c>
      <c r="AT1506" s="2994">
        <v>0</v>
      </c>
      <c r="AU1506" s="2994">
        <v>0</v>
      </c>
      <c r="AV1506" s="2994">
        <v>0</v>
      </c>
      <c r="AW1506" s="2994">
        <v>0</v>
      </c>
      <c r="AX1506" s="2994">
        <v>0</v>
      </c>
      <c r="AY1506" s="2994">
        <v>0</v>
      </c>
      <c r="AZ1506" s="2994">
        <v>0</v>
      </c>
      <c r="BA1506" s="2994">
        <v>0</v>
      </c>
      <c r="BB1506" s="2994">
        <v>0</v>
      </c>
      <c r="BC1506" s="2994">
        <v>0</v>
      </c>
      <c r="BD1506" s="3471">
        <v>0</v>
      </c>
      <c r="BE1506" s="3471">
        <v>0</v>
      </c>
      <c r="BF1506" s="3471">
        <v>0</v>
      </c>
    </row>
    <row r="1507" spans="1:58">
      <c r="A1507" s="1817" t="str">
        <f t="shared" si="47"/>
        <v>OceaniaCabbages and other brassicas</v>
      </c>
      <c r="B1507" s="1818" t="s">
        <v>303</v>
      </c>
      <c r="C1507" s="1818" t="s">
        <v>7298</v>
      </c>
      <c r="D1507" s="3463" t="str">
        <f>VLOOKUP(B1507,List_Yield!$G$4:$J$14,4,FALSE)</f>
        <v>Oceania</v>
      </c>
      <c r="E1507" s="3463" t="str">
        <f t="shared" si="48"/>
        <v>OceaniaCabbages and other brassicas</v>
      </c>
      <c r="F1507" s="2994">
        <v>24.881399999999999</v>
      </c>
      <c r="G1507" s="2994">
        <v>25.7149</v>
      </c>
      <c r="H1507" s="2994">
        <v>24.776599999999998</v>
      </c>
      <c r="I1507" s="2994">
        <v>24.9771</v>
      </c>
      <c r="J1507" s="2994">
        <v>26.302099999999999</v>
      </c>
      <c r="K1507" s="2994">
        <v>28.454899999999999</v>
      </c>
      <c r="L1507" s="2994">
        <v>26.215599999999998</v>
      </c>
      <c r="M1507" s="2994">
        <v>25.7911</v>
      </c>
      <c r="N1507" s="2994">
        <v>24.919699999999999</v>
      </c>
      <c r="O1507" s="2994">
        <v>25.378699999999998</v>
      </c>
      <c r="P1507" s="2994">
        <v>26.384799999999998</v>
      </c>
      <c r="Q1507" s="2994">
        <v>25.659300000000002</v>
      </c>
      <c r="R1507" s="2994">
        <v>25.066700000000001</v>
      </c>
      <c r="S1507" s="2994">
        <v>26.3935</v>
      </c>
      <c r="T1507" s="2994">
        <v>25.508400000000002</v>
      </c>
      <c r="U1507" s="2994">
        <v>25.530999999999999</v>
      </c>
      <c r="V1507" s="2994">
        <v>25.216200000000001</v>
      </c>
      <c r="W1507" s="2994">
        <v>34.891800000000003</v>
      </c>
      <c r="X1507" s="2994">
        <v>24.8765</v>
      </c>
      <c r="Y1507" s="2994">
        <v>28.719200000000001</v>
      </c>
      <c r="Z1507" s="2994">
        <v>26.527799999999999</v>
      </c>
      <c r="AA1507" s="2994">
        <v>24.5166</v>
      </c>
      <c r="AB1507" s="2994">
        <v>24.9102</v>
      </c>
      <c r="AC1507" s="2994">
        <v>26.1311</v>
      </c>
      <c r="AD1507" s="2994">
        <v>25.914400000000001</v>
      </c>
      <c r="AE1507" s="2994">
        <v>27.871200000000002</v>
      </c>
      <c r="AF1507" s="2994">
        <v>28.567399999999999</v>
      </c>
      <c r="AG1507" s="2994">
        <v>34.403799999999997</v>
      </c>
      <c r="AH1507" s="2994">
        <v>31.898499999999999</v>
      </c>
      <c r="AI1507" s="2994">
        <v>31.582599999999999</v>
      </c>
      <c r="AJ1507" s="2994">
        <v>32.661099999999998</v>
      </c>
      <c r="AK1507" s="2994">
        <v>29.067699999999999</v>
      </c>
      <c r="AL1507" s="2994">
        <v>27.384899999999998</v>
      </c>
      <c r="AM1507" s="2994">
        <v>28.4314</v>
      </c>
      <c r="AN1507" s="2994">
        <v>28.465199999999999</v>
      </c>
      <c r="AO1507" s="2994">
        <v>27.541399999999999</v>
      </c>
      <c r="AP1507" s="2994">
        <v>25.886800000000001</v>
      </c>
      <c r="AQ1507" s="2994">
        <v>31.7013</v>
      </c>
      <c r="AR1507" s="2994">
        <v>33.556699999999999</v>
      </c>
      <c r="AS1507" s="2994">
        <v>36.319699999999997</v>
      </c>
      <c r="AT1507" s="2994">
        <v>37.989199999999997</v>
      </c>
      <c r="AU1507" s="2994">
        <v>40.898899999999998</v>
      </c>
      <c r="AV1507" s="2994">
        <v>36.378799999999998</v>
      </c>
      <c r="AW1507" s="2994">
        <v>40.151499999999999</v>
      </c>
      <c r="AX1507" s="2994">
        <v>39.753599999999999</v>
      </c>
      <c r="AY1507" s="2994">
        <v>40.082999999999998</v>
      </c>
      <c r="AZ1507" s="2994">
        <v>42.6629</v>
      </c>
      <c r="BA1507" s="2994">
        <v>40.157800000000002</v>
      </c>
      <c r="BB1507" s="2994">
        <v>40.314999999999998</v>
      </c>
      <c r="BC1507" s="2994">
        <v>38.329000000000001</v>
      </c>
      <c r="BD1507" s="3471">
        <v>37.560600000000001</v>
      </c>
      <c r="BE1507" s="3471">
        <v>36.311199999999999</v>
      </c>
      <c r="BF1507" s="3471">
        <v>0</v>
      </c>
    </row>
    <row r="1508" spans="1:58">
      <c r="A1508" s="1817" t="str">
        <f t="shared" si="47"/>
        <v>OceaniaCanary seed</v>
      </c>
      <c r="B1508" s="1818" t="s">
        <v>303</v>
      </c>
      <c r="C1508" s="1818" t="s">
        <v>7299</v>
      </c>
      <c r="D1508" s="3463" t="str">
        <f>VLOOKUP(B1508,List_Yield!$G$4:$J$14,4,FALSE)</f>
        <v>Oceania</v>
      </c>
      <c r="E1508" s="3463" t="str">
        <f t="shared" si="48"/>
        <v>OceaniaCanary seed</v>
      </c>
      <c r="F1508" s="2994">
        <v>0.4123</v>
      </c>
      <c r="G1508" s="2994">
        <v>0.66590000000000005</v>
      </c>
      <c r="H1508" s="2994">
        <v>0.62739999999999996</v>
      </c>
      <c r="I1508" s="2994">
        <v>0.77070000000000005</v>
      </c>
      <c r="J1508" s="2994">
        <v>0.66320000000000001</v>
      </c>
      <c r="K1508" s="2994">
        <v>0.90529999999999999</v>
      </c>
      <c r="L1508" s="2994">
        <v>0.52610000000000001</v>
      </c>
      <c r="M1508" s="2994">
        <v>0.63</v>
      </c>
      <c r="N1508" s="2994">
        <v>0.65059999999999996</v>
      </c>
      <c r="O1508" s="2994">
        <v>0.56379999999999997</v>
      </c>
      <c r="P1508" s="2994">
        <v>0.63900000000000001</v>
      </c>
      <c r="Q1508" s="2994">
        <v>0.5796</v>
      </c>
      <c r="R1508" s="2994">
        <v>0.70320000000000005</v>
      </c>
      <c r="S1508" s="2994">
        <v>0.92279999999999995</v>
      </c>
      <c r="T1508" s="2994">
        <v>0.87109999999999999</v>
      </c>
      <c r="U1508" s="2994">
        <v>0.96240000000000003</v>
      </c>
      <c r="V1508" s="2994">
        <v>0.43680000000000002</v>
      </c>
      <c r="W1508" s="2994">
        <v>1.1916</v>
      </c>
      <c r="X1508" s="2994">
        <v>0.79990000000000006</v>
      </c>
      <c r="Y1508" s="2994">
        <v>0.42409999999999998</v>
      </c>
      <c r="Z1508" s="2994">
        <v>0.66769999999999996</v>
      </c>
      <c r="AA1508" s="2994">
        <v>0.68420000000000003</v>
      </c>
      <c r="AB1508" s="2994">
        <v>0.96799999999999997</v>
      </c>
      <c r="AC1508" s="2994">
        <v>0.80369999999999997</v>
      </c>
      <c r="AD1508" s="2994">
        <v>1.1226</v>
      </c>
      <c r="AE1508" s="2994">
        <v>0.6966</v>
      </c>
      <c r="AF1508" s="2994">
        <v>0.84619999999999995</v>
      </c>
      <c r="AG1508" s="2994">
        <v>0.72629999999999995</v>
      </c>
      <c r="AH1508" s="2994">
        <v>0.75290000000000001</v>
      </c>
      <c r="AI1508" s="2994">
        <v>0.69850000000000001</v>
      </c>
      <c r="AJ1508" s="2994">
        <v>0.88290000000000002</v>
      </c>
      <c r="AK1508" s="2994">
        <v>0.3916</v>
      </c>
      <c r="AL1508" s="2994">
        <v>1.3144</v>
      </c>
      <c r="AM1508" s="2994">
        <v>0.57140000000000002</v>
      </c>
      <c r="AN1508" s="2994">
        <v>0.5</v>
      </c>
      <c r="AO1508" s="2994">
        <v>0.43719999999999998</v>
      </c>
      <c r="AP1508" s="2994">
        <v>0.4012</v>
      </c>
      <c r="AQ1508" s="2994">
        <v>0.6</v>
      </c>
      <c r="AR1508" s="2994">
        <v>0.625</v>
      </c>
      <c r="AS1508" s="2994">
        <v>0.64710000000000001</v>
      </c>
      <c r="AT1508" s="2994">
        <v>0.73180000000000001</v>
      </c>
      <c r="AU1508" s="2994">
        <v>0.64959999999999996</v>
      </c>
      <c r="AV1508" s="2994">
        <v>0.56989999999999996</v>
      </c>
      <c r="AW1508" s="2994">
        <v>0.56000000000000005</v>
      </c>
      <c r="AX1508" s="2994">
        <v>0.59489999999999998</v>
      </c>
      <c r="AY1508" s="2994">
        <v>0.6</v>
      </c>
      <c r="AZ1508" s="2994">
        <v>0.57140000000000002</v>
      </c>
      <c r="BA1508" s="2994">
        <v>0.625</v>
      </c>
      <c r="BB1508" s="2994">
        <v>0.62629999999999997</v>
      </c>
      <c r="BC1508" s="2994">
        <v>0.63700000000000001</v>
      </c>
      <c r="BD1508" s="3471">
        <v>0.66669999999999996</v>
      </c>
      <c r="BE1508" s="3471">
        <v>0.75</v>
      </c>
      <c r="BF1508" s="3471">
        <v>0.71789999999999998</v>
      </c>
    </row>
    <row r="1509" spans="1:58">
      <c r="A1509" s="1817" t="str">
        <f t="shared" si="47"/>
        <v>OceaniaCarobs</v>
      </c>
      <c r="B1509" s="1818" t="s">
        <v>303</v>
      </c>
      <c r="C1509" s="1818" t="s">
        <v>7300</v>
      </c>
      <c r="D1509" s="3463" t="str">
        <f>VLOOKUP(B1509,List_Yield!$G$4:$J$14,4,FALSE)</f>
        <v>Oceania</v>
      </c>
      <c r="E1509" s="3463" t="str">
        <f t="shared" si="48"/>
        <v>OceaniaCarobs</v>
      </c>
      <c r="F1509" s="2994">
        <v>0</v>
      </c>
      <c r="G1509" s="2994">
        <v>0</v>
      </c>
      <c r="H1509" s="2994">
        <v>0</v>
      </c>
      <c r="I1509" s="2994">
        <v>0</v>
      </c>
      <c r="J1509" s="2994">
        <v>0</v>
      </c>
      <c r="K1509" s="2994">
        <v>0</v>
      </c>
      <c r="L1509" s="2994">
        <v>0</v>
      </c>
      <c r="M1509" s="2994">
        <v>0</v>
      </c>
      <c r="N1509" s="2994">
        <v>0</v>
      </c>
      <c r="O1509" s="2994">
        <v>0</v>
      </c>
      <c r="P1509" s="2994">
        <v>0</v>
      </c>
      <c r="Q1509" s="2994">
        <v>0</v>
      </c>
      <c r="R1509" s="2994">
        <v>0</v>
      </c>
      <c r="S1509" s="2994">
        <v>0</v>
      </c>
      <c r="T1509" s="2994">
        <v>0</v>
      </c>
      <c r="U1509" s="2994">
        <v>0</v>
      </c>
      <c r="V1509" s="2994">
        <v>0</v>
      </c>
      <c r="W1509" s="2994">
        <v>0</v>
      </c>
      <c r="X1509" s="2994">
        <v>0</v>
      </c>
      <c r="Y1509" s="2994">
        <v>0</v>
      </c>
      <c r="Z1509" s="2994">
        <v>0</v>
      </c>
      <c r="AA1509" s="2994">
        <v>0</v>
      </c>
      <c r="AB1509" s="2994">
        <v>0</v>
      </c>
      <c r="AC1509" s="2994">
        <v>0</v>
      </c>
      <c r="AD1509" s="2994">
        <v>0</v>
      </c>
      <c r="AE1509" s="2994">
        <v>0</v>
      </c>
      <c r="AF1509" s="2994">
        <v>0</v>
      </c>
      <c r="AG1509" s="2994">
        <v>0</v>
      </c>
      <c r="AH1509" s="2994">
        <v>0</v>
      </c>
      <c r="AI1509" s="2994">
        <v>0</v>
      </c>
      <c r="AJ1509" s="2994">
        <v>0</v>
      </c>
      <c r="AK1509" s="2994">
        <v>0</v>
      </c>
      <c r="AL1509" s="2994">
        <v>0</v>
      </c>
      <c r="AM1509" s="2994">
        <v>0</v>
      </c>
      <c r="AN1509" s="2994">
        <v>0</v>
      </c>
      <c r="AO1509" s="2994">
        <v>0</v>
      </c>
      <c r="AP1509" s="2994">
        <v>0</v>
      </c>
      <c r="AQ1509" s="2994">
        <v>0</v>
      </c>
      <c r="AR1509" s="2994">
        <v>0</v>
      </c>
      <c r="AS1509" s="2994">
        <v>0</v>
      </c>
      <c r="AT1509" s="2994">
        <v>0</v>
      </c>
      <c r="AU1509" s="2994">
        <v>0</v>
      </c>
      <c r="AV1509" s="2994">
        <v>0</v>
      </c>
      <c r="AW1509" s="2994">
        <v>0</v>
      </c>
      <c r="AX1509" s="2994">
        <v>0</v>
      </c>
      <c r="AY1509" s="2994">
        <v>0</v>
      </c>
      <c r="AZ1509" s="2994">
        <v>0</v>
      </c>
      <c r="BA1509" s="2994">
        <v>0</v>
      </c>
      <c r="BB1509" s="2994">
        <v>0</v>
      </c>
      <c r="BC1509" s="2994">
        <v>0</v>
      </c>
      <c r="BD1509" s="3471">
        <v>0</v>
      </c>
      <c r="BE1509" s="3471">
        <v>0</v>
      </c>
      <c r="BF1509" s="3471">
        <v>0</v>
      </c>
    </row>
    <row r="1510" spans="1:58">
      <c r="A1510" s="1817" t="str">
        <f t="shared" si="47"/>
        <v>OceaniaCarrots and turnips</v>
      </c>
      <c r="B1510" s="1818" t="s">
        <v>303</v>
      </c>
      <c r="C1510" s="1818" t="s">
        <v>1340</v>
      </c>
      <c r="D1510" s="3463" t="str">
        <f>VLOOKUP(B1510,List_Yield!$G$4:$J$14,4,FALSE)</f>
        <v>Oceania</v>
      </c>
      <c r="E1510" s="3463" t="str">
        <f t="shared" si="48"/>
        <v>OceaniaCarrots and turnips</v>
      </c>
      <c r="F1510" s="2994">
        <v>25.974399999999999</v>
      </c>
      <c r="G1510" s="2994">
        <v>27.3279</v>
      </c>
      <c r="H1510" s="2994">
        <v>27.694400000000002</v>
      </c>
      <c r="I1510" s="2994">
        <v>28.619499999999999</v>
      </c>
      <c r="J1510" s="2994">
        <v>30.778400000000001</v>
      </c>
      <c r="K1510" s="2994">
        <v>31.137</v>
      </c>
      <c r="L1510" s="2994">
        <v>28.5305</v>
      </c>
      <c r="M1510" s="2994">
        <v>28.758099999999999</v>
      </c>
      <c r="N1510" s="2994">
        <v>28.4941</v>
      </c>
      <c r="O1510" s="2994">
        <v>28.935099999999998</v>
      </c>
      <c r="P1510" s="2994">
        <v>30.1206</v>
      </c>
      <c r="Q1510" s="2994">
        <v>28.6097</v>
      </c>
      <c r="R1510" s="2994">
        <v>28.4664</v>
      </c>
      <c r="S1510" s="2994">
        <v>29.460799999999999</v>
      </c>
      <c r="T1510" s="2994">
        <v>26.764299999999999</v>
      </c>
      <c r="U1510" s="2994">
        <v>27.607800000000001</v>
      </c>
      <c r="V1510" s="2994">
        <v>28.2974</v>
      </c>
      <c r="W1510" s="2994">
        <v>29.066400000000002</v>
      </c>
      <c r="X1510" s="2994">
        <v>28.0093</v>
      </c>
      <c r="Y1510" s="2994">
        <v>30.192</v>
      </c>
      <c r="Z1510" s="2994">
        <v>29.374500000000001</v>
      </c>
      <c r="AA1510" s="2994">
        <v>28.389600000000002</v>
      </c>
      <c r="AB1510" s="2994">
        <v>29.0428</v>
      </c>
      <c r="AC1510" s="2994">
        <v>29.023099999999999</v>
      </c>
      <c r="AD1510" s="2994">
        <v>30.215699999999998</v>
      </c>
      <c r="AE1510" s="2994">
        <v>31.779199999999999</v>
      </c>
      <c r="AF1510" s="2994">
        <v>31.7485</v>
      </c>
      <c r="AG1510" s="2994">
        <v>32.192700000000002</v>
      </c>
      <c r="AH1510" s="2994">
        <v>33.5822</v>
      </c>
      <c r="AI1510" s="2994">
        <v>36.433199999999999</v>
      </c>
      <c r="AJ1510" s="2994">
        <v>34.926499999999997</v>
      </c>
      <c r="AK1510" s="2994">
        <v>35.182400000000001</v>
      </c>
      <c r="AL1510" s="2994">
        <v>33.914000000000001</v>
      </c>
      <c r="AM1510" s="2994">
        <v>35.068399999999997</v>
      </c>
      <c r="AN1510" s="2994">
        <v>34.369399999999999</v>
      </c>
      <c r="AO1510" s="2994">
        <v>34.087400000000002</v>
      </c>
      <c r="AP1510" s="2994">
        <v>36.804000000000002</v>
      </c>
      <c r="AQ1510" s="2994">
        <v>37.706499999999998</v>
      </c>
      <c r="AR1510" s="2994">
        <v>38.3264</v>
      </c>
      <c r="AS1510" s="2994">
        <v>37.930399999999999</v>
      </c>
      <c r="AT1510" s="2994">
        <v>38.003399999999999</v>
      </c>
      <c r="AU1510" s="2994">
        <v>40.832299999999996</v>
      </c>
      <c r="AV1510" s="2994">
        <v>40.385399999999997</v>
      </c>
      <c r="AW1510" s="2994">
        <v>41.219200000000001</v>
      </c>
      <c r="AX1510" s="2994">
        <v>45.125799999999998</v>
      </c>
      <c r="AY1510" s="2994">
        <v>42.447600000000001</v>
      </c>
      <c r="AZ1510" s="2994">
        <v>46.7761</v>
      </c>
      <c r="BA1510" s="2994">
        <v>54.430799999999998</v>
      </c>
      <c r="BB1510" s="2994">
        <v>49.227800000000002</v>
      </c>
      <c r="BC1510" s="2994">
        <v>47.176099999999998</v>
      </c>
      <c r="BD1510" s="3471">
        <v>47.078299999999999</v>
      </c>
      <c r="BE1510" s="3471">
        <v>53.662399999999998</v>
      </c>
      <c r="BF1510" s="3471">
        <v>0</v>
      </c>
    </row>
    <row r="1511" spans="1:58">
      <c r="A1511" s="1817" t="str">
        <f t="shared" si="47"/>
        <v>OceaniaCashew nuts, with shell</v>
      </c>
      <c r="B1511" s="1818" t="s">
        <v>303</v>
      </c>
      <c r="C1511" s="1818" t="s">
        <v>1341</v>
      </c>
      <c r="D1511" s="3463" t="str">
        <f>VLOOKUP(B1511,List_Yield!$G$4:$J$14,4,FALSE)</f>
        <v>Oceania</v>
      </c>
      <c r="E1511" s="3463" t="str">
        <f t="shared" si="48"/>
        <v>OceaniaCashew nuts, with shell</v>
      </c>
      <c r="F1511" s="2994">
        <v>0</v>
      </c>
      <c r="G1511" s="2994">
        <v>0</v>
      </c>
      <c r="H1511" s="2994">
        <v>0</v>
      </c>
      <c r="I1511" s="2994">
        <v>0</v>
      </c>
      <c r="J1511" s="2994">
        <v>0</v>
      </c>
      <c r="K1511" s="2994">
        <v>0</v>
      </c>
      <c r="L1511" s="2994">
        <v>0</v>
      </c>
      <c r="M1511" s="2994">
        <v>0</v>
      </c>
      <c r="N1511" s="2994">
        <v>0</v>
      </c>
      <c r="O1511" s="2994">
        <v>0</v>
      </c>
      <c r="P1511" s="2994">
        <v>0</v>
      </c>
      <c r="Q1511" s="2994">
        <v>0</v>
      </c>
      <c r="R1511" s="2994">
        <v>0</v>
      </c>
      <c r="S1511" s="2994">
        <v>0</v>
      </c>
      <c r="T1511" s="2994">
        <v>0</v>
      </c>
      <c r="U1511" s="2994">
        <v>0</v>
      </c>
      <c r="V1511" s="2994">
        <v>0</v>
      </c>
      <c r="W1511" s="2994">
        <v>0</v>
      </c>
      <c r="X1511" s="2994">
        <v>0</v>
      </c>
      <c r="Y1511" s="2994">
        <v>0</v>
      </c>
      <c r="Z1511" s="2994">
        <v>0</v>
      </c>
      <c r="AA1511" s="2994">
        <v>0</v>
      </c>
      <c r="AB1511" s="2994">
        <v>0</v>
      </c>
      <c r="AC1511" s="2994">
        <v>0</v>
      </c>
      <c r="AD1511" s="2994">
        <v>0</v>
      </c>
      <c r="AE1511" s="2994">
        <v>0</v>
      </c>
      <c r="AF1511" s="2994">
        <v>0</v>
      </c>
      <c r="AG1511" s="2994">
        <v>0</v>
      </c>
      <c r="AH1511" s="2994">
        <v>0</v>
      </c>
      <c r="AI1511" s="2994">
        <v>0</v>
      </c>
      <c r="AJ1511" s="2994">
        <v>0</v>
      </c>
      <c r="AK1511" s="2994">
        <v>0</v>
      </c>
      <c r="AL1511" s="2994">
        <v>0</v>
      </c>
      <c r="AM1511" s="2994">
        <v>0</v>
      </c>
      <c r="AN1511" s="2994">
        <v>0</v>
      </c>
      <c r="AO1511" s="2994">
        <v>0</v>
      </c>
      <c r="AP1511" s="2994">
        <v>0</v>
      </c>
      <c r="AQ1511" s="2994">
        <v>0</v>
      </c>
      <c r="AR1511" s="2994">
        <v>0</v>
      </c>
      <c r="AS1511" s="2994">
        <v>0</v>
      </c>
      <c r="AT1511" s="2994">
        <v>0</v>
      </c>
      <c r="AU1511" s="2994">
        <v>0</v>
      </c>
      <c r="AV1511" s="2994">
        <v>0</v>
      </c>
      <c r="AW1511" s="2994">
        <v>0</v>
      </c>
      <c r="AX1511" s="2994">
        <v>0</v>
      </c>
      <c r="AY1511" s="2994">
        <v>0</v>
      </c>
      <c r="AZ1511" s="2994">
        <v>0</v>
      </c>
      <c r="BA1511" s="2994">
        <v>0</v>
      </c>
      <c r="BB1511" s="2994">
        <v>0</v>
      </c>
      <c r="BC1511" s="2994">
        <v>0</v>
      </c>
      <c r="BD1511" s="3471">
        <v>0</v>
      </c>
      <c r="BE1511" s="3471">
        <v>0</v>
      </c>
      <c r="BF1511" s="3471">
        <v>0</v>
      </c>
    </row>
    <row r="1512" spans="1:58">
      <c r="A1512" s="1817" t="str">
        <f t="shared" si="47"/>
        <v>OceaniaCashewapple</v>
      </c>
      <c r="B1512" s="1818" t="s">
        <v>303</v>
      </c>
      <c r="C1512" s="1818" t="s">
        <v>7301</v>
      </c>
      <c r="D1512" s="3463" t="str">
        <f>VLOOKUP(B1512,List_Yield!$G$4:$J$14,4,FALSE)</f>
        <v>Oceania</v>
      </c>
      <c r="E1512" s="3463" t="str">
        <f t="shared" si="48"/>
        <v>OceaniaCashewapple</v>
      </c>
      <c r="F1512" s="2994">
        <v>0</v>
      </c>
      <c r="G1512" s="2994">
        <v>0</v>
      </c>
      <c r="H1512" s="2994">
        <v>0</v>
      </c>
      <c r="I1512" s="2994">
        <v>0</v>
      </c>
      <c r="J1512" s="2994">
        <v>0</v>
      </c>
      <c r="K1512" s="2994">
        <v>0</v>
      </c>
      <c r="L1512" s="2994">
        <v>0</v>
      </c>
      <c r="M1512" s="2994">
        <v>0</v>
      </c>
      <c r="N1512" s="2994">
        <v>0</v>
      </c>
      <c r="O1512" s="2994">
        <v>0</v>
      </c>
      <c r="P1512" s="2994">
        <v>0</v>
      </c>
      <c r="Q1512" s="2994">
        <v>0</v>
      </c>
      <c r="R1512" s="2994">
        <v>0</v>
      </c>
      <c r="S1512" s="2994">
        <v>0</v>
      </c>
      <c r="T1512" s="2994">
        <v>0</v>
      </c>
      <c r="U1512" s="2994">
        <v>0</v>
      </c>
      <c r="V1512" s="2994">
        <v>0</v>
      </c>
      <c r="W1512" s="2994">
        <v>0</v>
      </c>
      <c r="X1512" s="2994">
        <v>0</v>
      </c>
      <c r="Y1512" s="2994">
        <v>0</v>
      </c>
      <c r="Z1512" s="2994">
        <v>0</v>
      </c>
      <c r="AA1512" s="2994">
        <v>0</v>
      </c>
      <c r="AB1512" s="2994">
        <v>0</v>
      </c>
      <c r="AC1512" s="2994">
        <v>0</v>
      </c>
      <c r="AD1512" s="2994">
        <v>0</v>
      </c>
      <c r="AE1512" s="2994">
        <v>0</v>
      </c>
      <c r="AF1512" s="2994">
        <v>0</v>
      </c>
      <c r="AG1512" s="2994">
        <v>0</v>
      </c>
      <c r="AH1512" s="2994">
        <v>0</v>
      </c>
      <c r="AI1512" s="2994">
        <v>0</v>
      </c>
      <c r="AJ1512" s="2994">
        <v>0</v>
      </c>
      <c r="AK1512" s="2994">
        <v>0</v>
      </c>
      <c r="AL1512" s="2994">
        <v>0</v>
      </c>
      <c r="AM1512" s="2994">
        <v>0</v>
      </c>
      <c r="AN1512" s="2994">
        <v>0</v>
      </c>
      <c r="AO1512" s="2994">
        <v>0</v>
      </c>
      <c r="AP1512" s="2994">
        <v>0</v>
      </c>
      <c r="AQ1512" s="2994">
        <v>0</v>
      </c>
      <c r="AR1512" s="2994">
        <v>0</v>
      </c>
      <c r="AS1512" s="2994">
        <v>0</v>
      </c>
      <c r="AT1512" s="2994">
        <v>0</v>
      </c>
      <c r="AU1512" s="2994">
        <v>0</v>
      </c>
      <c r="AV1512" s="2994">
        <v>0</v>
      </c>
      <c r="AW1512" s="2994">
        <v>0</v>
      </c>
      <c r="AX1512" s="2994">
        <v>0</v>
      </c>
      <c r="AY1512" s="2994">
        <v>0</v>
      </c>
      <c r="AZ1512" s="2994">
        <v>0</v>
      </c>
      <c r="BA1512" s="2994">
        <v>0</v>
      </c>
      <c r="BB1512" s="2994">
        <v>0</v>
      </c>
      <c r="BC1512" s="2994">
        <v>0</v>
      </c>
      <c r="BD1512" s="3471">
        <v>0</v>
      </c>
      <c r="BE1512" s="3471">
        <v>0</v>
      </c>
      <c r="BF1512" s="3471">
        <v>0</v>
      </c>
    </row>
    <row r="1513" spans="1:58">
      <c r="A1513" s="1817" t="str">
        <f t="shared" si="47"/>
        <v>OceaniaCassava</v>
      </c>
      <c r="B1513" s="1818" t="s">
        <v>303</v>
      </c>
      <c r="C1513" s="1818" t="s">
        <v>1342</v>
      </c>
      <c r="D1513" s="3463" t="str">
        <f>VLOOKUP(B1513,List_Yield!$G$4:$J$14,4,FALSE)</f>
        <v>Oceania</v>
      </c>
      <c r="E1513" s="3463" t="str">
        <f t="shared" si="48"/>
        <v>OceaniaCassava</v>
      </c>
      <c r="F1513" s="2994">
        <v>9.7585999999999995</v>
      </c>
      <c r="G1513" s="2994">
        <v>10.150600000000001</v>
      </c>
      <c r="H1513" s="2994">
        <v>10.148999999999999</v>
      </c>
      <c r="I1513" s="2994">
        <v>10.119999999999999</v>
      </c>
      <c r="J1513" s="2994">
        <v>10.1585</v>
      </c>
      <c r="K1513" s="2994">
        <v>10.0617</v>
      </c>
      <c r="L1513" s="2994">
        <v>10.180300000000001</v>
      </c>
      <c r="M1513" s="2994">
        <v>10.085699999999999</v>
      </c>
      <c r="N1513" s="2994">
        <v>10.2193</v>
      </c>
      <c r="O1513" s="2994">
        <v>10.433</v>
      </c>
      <c r="P1513" s="2994">
        <v>11.9558</v>
      </c>
      <c r="Q1513" s="2994">
        <v>11.3279</v>
      </c>
      <c r="R1513" s="2994">
        <v>10.8582</v>
      </c>
      <c r="S1513" s="2994">
        <v>10.174899999999999</v>
      </c>
      <c r="T1513" s="2994">
        <v>10.086399999999999</v>
      </c>
      <c r="U1513" s="2994">
        <v>10.198</v>
      </c>
      <c r="V1513" s="2994">
        <v>10.318300000000001</v>
      </c>
      <c r="W1513" s="2994">
        <v>10.114599999999999</v>
      </c>
      <c r="X1513" s="2994">
        <v>10.172800000000001</v>
      </c>
      <c r="Y1513" s="2994">
        <v>10.238300000000001</v>
      </c>
      <c r="Z1513" s="2994">
        <v>10.2408</v>
      </c>
      <c r="AA1513" s="2994">
        <v>10.3329</v>
      </c>
      <c r="AB1513" s="2994">
        <v>10.457100000000001</v>
      </c>
      <c r="AC1513" s="2994">
        <v>10.267899999999999</v>
      </c>
      <c r="AD1513" s="2994">
        <v>10.260999999999999</v>
      </c>
      <c r="AE1513" s="2994">
        <v>10.299799999999999</v>
      </c>
      <c r="AF1513" s="2994">
        <v>10.4443</v>
      </c>
      <c r="AG1513" s="2994">
        <v>10.545199999999999</v>
      </c>
      <c r="AH1513" s="2994">
        <v>10.646699999999999</v>
      </c>
      <c r="AI1513" s="2994">
        <v>9.5396999999999998</v>
      </c>
      <c r="AJ1513" s="2994">
        <v>11.077500000000001</v>
      </c>
      <c r="AK1513" s="2994">
        <v>11.050700000000001</v>
      </c>
      <c r="AL1513" s="2994">
        <v>10.566000000000001</v>
      </c>
      <c r="AM1513" s="2994">
        <v>11.315</v>
      </c>
      <c r="AN1513" s="2994">
        <v>11.535</v>
      </c>
      <c r="AO1513" s="2994">
        <v>11.821400000000001</v>
      </c>
      <c r="AP1513" s="2994">
        <v>10.307</v>
      </c>
      <c r="AQ1513" s="2994">
        <v>11.4293</v>
      </c>
      <c r="AR1513" s="2994">
        <v>11.3964</v>
      </c>
      <c r="AS1513" s="2994">
        <v>11.2988</v>
      </c>
      <c r="AT1513" s="2994">
        <v>10.950699999999999</v>
      </c>
      <c r="AU1513" s="2994">
        <v>11.3276</v>
      </c>
      <c r="AV1513" s="2994">
        <v>10.824199999999999</v>
      </c>
      <c r="AW1513" s="2994">
        <v>11.7814</v>
      </c>
      <c r="AX1513" s="2994">
        <v>11.608599999999999</v>
      </c>
      <c r="AY1513" s="2994">
        <v>10.836</v>
      </c>
      <c r="AZ1513" s="2994">
        <v>10.1327</v>
      </c>
      <c r="BA1513" s="2994">
        <v>9.8832000000000004</v>
      </c>
      <c r="BB1513" s="2994">
        <v>10.414199999999999</v>
      </c>
      <c r="BC1513" s="2994">
        <v>10.920199999999999</v>
      </c>
      <c r="BD1513" s="3471">
        <v>10.8545</v>
      </c>
      <c r="BE1513" s="3471">
        <v>13.0326</v>
      </c>
      <c r="BF1513" s="3471">
        <v>12.3499</v>
      </c>
    </row>
    <row r="1514" spans="1:58">
      <c r="A1514" s="1817" t="str">
        <f t="shared" si="47"/>
        <v>OceaniaCassava leaves</v>
      </c>
      <c r="B1514" s="1818" t="s">
        <v>303</v>
      </c>
      <c r="C1514" s="1818" t="s">
        <v>7302</v>
      </c>
      <c r="D1514" s="3463" t="str">
        <f>VLOOKUP(B1514,List_Yield!$G$4:$J$14,4,FALSE)</f>
        <v>Oceania</v>
      </c>
      <c r="E1514" s="3463" t="str">
        <f t="shared" si="48"/>
        <v>OceaniaCassava leaves</v>
      </c>
      <c r="F1514" s="2994">
        <v>0</v>
      </c>
      <c r="G1514" s="2994">
        <v>0</v>
      </c>
      <c r="H1514" s="2994">
        <v>0</v>
      </c>
      <c r="I1514" s="2994">
        <v>0</v>
      </c>
      <c r="J1514" s="2994">
        <v>0</v>
      </c>
      <c r="K1514" s="2994">
        <v>0</v>
      </c>
      <c r="L1514" s="2994">
        <v>0</v>
      </c>
      <c r="M1514" s="2994">
        <v>0</v>
      </c>
      <c r="N1514" s="2994">
        <v>0</v>
      </c>
      <c r="O1514" s="2994">
        <v>0</v>
      </c>
      <c r="P1514" s="2994">
        <v>0</v>
      </c>
      <c r="Q1514" s="2994">
        <v>0</v>
      </c>
      <c r="R1514" s="2994">
        <v>0</v>
      </c>
      <c r="S1514" s="2994">
        <v>0</v>
      </c>
      <c r="T1514" s="2994">
        <v>0</v>
      </c>
      <c r="U1514" s="2994">
        <v>0</v>
      </c>
      <c r="V1514" s="2994">
        <v>0</v>
      </c>
      <c r="W1514" s="2994">
        <v>0</v>
      </c>
      <c r="X1514" s="2994">
        <v>0</v>
      </c>
      <c r="Y1514" s="2994">
        <v>0</v>
      </c>
      <c r="Z1514" s="2994">
        <v>0</v>
      </c>
      <c r="AA1514" s="2994">
        <v>0</v>
      </c>
      <c r="AB1514" s="2994">
        <v>0</v>
      </c>
      <c r="AC1514" s="2994">
        <v>0</v>
      </c>
      <c r="AD1514" s="2994">
        <v>0</v>
      </c>
      <c r="AE1514" s="2994">
        <v>0</v>
      </c>
      <c r="AF1514" s="2994">
        <v>0</v>
      </c>
      <c r="AG1514" s="2994">
        <v>0</v>
      </c>
      <c r="AH1514" s="2994">
        <v>0</v>
      </c>
      <c r="AI1514" s="2994">
        <v>0</v>
      </c>
      <c r="AJ1514" s="2994">
        <v>0</v>
      </c>
      <c r="AK1514" s="2994">
        <v>0</v>
      </c>
      <c r="AL1514" s="2994">
        <v>0</v>
      </c>
      <c r="AM1514" s="2994">
        <v>0</v>
      </c>
      <c r="AN1514" s="2994">
        <v>0</v>
      </c>
      <c r="AO1514" s="2994">
        <v>0</v>
      </c>
      <c r="AP1514" s="2994">
        <v>0</v>
      </c>
      <c r="AQ1514" s="2994">
        <v>0</v>
      </c>
      <c r="AR1514" s="2994">
        <v>0</v>
      </c>
      <c r="AS1514" s="2994">
        <v>0</v>
      </c>
      <c r="AT1514" s="2994">
        <v>0</v>
      </c>
      <c r="AU1514" s="2994">
        <v>0</v>
      </c>
      <c r="AV1514" s="2994">
        <v>0</v>
      </c>
      <c r="AW1514" s="2994">
        <v>0</v>
      </c>
      <c r="AX1514" s="2994">
        <v>0</v>
      </c>
      <c r="AY1514" s="2994">
        <v>0</v>
      </c>
      <c r="AZ1514" s="2994">
        <v>0</v>
      </c>
      <c r="BA1514" s="2994">
        <v>0</v>
      </c>
      <c r="BB1514" s="2994">
        <v>0</v>
      </c>
      <c r="BC1514" s="2994">
        <v>0</v>
      </c>
      <c r="BD1514" s="3471">
        <v>0</v>
      </c>
      <c r="BE1514" s="3471">
        <v>0</v>
      </c>
      <c r="BF1514" s="3471">
        <v>0</v>
      </c>
    </row>
    <row r="1515" spans="1:58">
      <c r="A1515" s="1817" t="str">
        <f t="shared" si="47"/>
        <v>OceaniaCastor oil seed</v>
      </c>
      <c r="B1515" s="1818" t="s">
        <v>303</v>
      </c>
      <c r="C1515" s="1818" t="s">
        <v>7303</v>
      </c>
      <c r="D1515" s="3463" t="str">
        <f>VLOOKUP(B1515,List_Yield!$G$4:$J$14,4,FALSE)</f>
        <v>Oceania</v>
      </c>
      <c r="E1515" s="3463" t="str">
        <f t="shared" si="48"/>
        <v>OceaniaCastor oil seed</v>
      </c>
      <c r="F1515" s="2994">
        <v>0</v>
      </c>
      <c r="G1515" s="2994">
        <v>0</v>
      </c>
      <c r="H1515" s="2994">
        <v>0</v>
      </c>
      <c r="I1515" s="2994">
        <v>0</v>
      </c>
      <c r="J1515" s="2994">
        <v>0</v>
      </c>
      <c r="K1515" s="2994">
        <v>0</v>
      </c>
      <c r="L1515" s="2994">
        <v>0</v>
      </c>
      <c r="M1515" s="2994">
        <v>0</v>
      </c>
      <c r="N1515" s="2994">
        <v>0</v>
      </c>
      <c r="O1515" s="2994">
        <v>0</v>
      </c>
      <c r="P1515" s="2994">
        <v>0</v>
      </c>
      <c r="Q1515" s="2994">
        <v>0</v>
      </c>
      <c r="R1515" s="2994">
        <v>0</v>
      </c>
      <c r="S1515" s="2994">
        <v>0</v>
      </c>
      <c r="T1515" s="2994">
        <v>0</v>
      </c>
      <c r="U1515" s="2994">
        <v>0</v>
      </c>
      <c r="V1515" s="2994">
        <v>0</v>
      </c>
      <c r="W1515" s="2994">
        <v>0</v>
      </c>
      <c r="X1515" s="2994">
        <v>0</v>
      </c>
      <c r="Y1515" s="2994">
        <v>0</v>
      </c>
      <c r="Z1515" s="2994">
        <v>0</v>
      </c>
      <c r="AA1515" s="2994">
        <v>0</v>
      </c>
      <c r="AB1515" s="2994">
        <v>0</v>
      </c>
      <c r="AC1515" s="2994">
        <v>0</v>
      </c>
      <c r="AD1515" s="2994">
        <v>0</v>
      </c>
      <c r="AE1515" s="2994">
        <v>0</v>
      </c>
      <c r="AF1515" s="2994">
        <v>0</v>
      </c>
      <c r="AG1515" s="2994">
        <v>0</v>
      </c>
      <c r="AH1515" s="2994">
        <v>0</v>
      </c>
      <c r="AI1515" s="2994">
        <v>0</v>
      </c>
      <c r="AJ1515" s="2994">
        <v>0</v>
      </c>
      <c r="AK1515" s="2994">
        <v>0</v>
      </c>
      <c r="AL1515" s="2994">
        <v>0</v>
      </c>
      <c r="AM1515" s="2994">
        <v>0</v>
      </c>
      <c r="AN1515" s="2994">
        <v>0</v>
      </c>
      <c r="AO1515" s="2994">
        <v>0</v>
      </c>
      <c r="AP1515" s="2994">
        <v>0</v>
      </c>
      <c r="AQ1515" s="2994">
        <v>0</v>
      </c>
      <c r="AR1515" s="2994">
        <v>0</v>
      </c>
      <c r="AS1515" s="2994">
        <v>0</v>
      </c>
      <c r="AT1515" s="2994">
        <v>0</v>
      </c>
      <c r="AU1515" s="2994">
        <v>0</v>
      </c>
      <c r="AV1515" s="2994">
        <v>0</v>
      </c>
      <c r="AW1515" s="2994">
        <v>0</v>
      </c>
      <c r="AX1515" s="2994">
        <v>0</v>
      </c>
      <c r="AY1515" s="2994">
        <v>0</v>
      </c>
      <c r="AZ1515" s="2994">
        <v>0</v>
      </c>
      <c r="BA1515" s="2994">
        <v>0</v>
      </c>
      <c r="BB1515" s="2994">
        <v>0</v>
      </c>
      <c r="BC1515" s="2994">
        <v>0</v>
      </c>
      <c r="BD1515" s="3471">
        <v>0</v>
      </c>
      <c r="BE1515" s="3471">
        <v>0</v>
      </c>
      <c r="BF1515" s="3471">
        <v>0</v>
      </c>
    </row>
    <row r="1516" spans="1:58">
      <c r="A1516" s="1817" t="str">
        <f t="shared" si="47"/>
        <v>OceaniaCauliflowers and broccoli</v>
      </c>
      <c r="B1516" s="1818" t="s">
        <v>303</v>
      </c>
      <c r="C1516" s="1818" t="s">
        <v>1343</v>
      </c>
      <c r="D1516" s="3463" t="str">
        <f>VLOOKUP(B1516,List_Yield!$G$4:$J$14,4,FALSE)</f>
        <v>Oceania</v>
      </c>
      <c r="E1516" s="3463" t="str">
        <f t="shared" si="48"/>
        <v>OceaniaCauliflowers and broccoli</v>
      </c>
      <c r="F1516" s="2994">
        <v>26.342500000000001</v>
      </c>
      <c r="G1516" s="2994">
        <v>26.7285</v>
      </c>
      <c r="H1516" s="2994">
        <v>24.9451</v>
      </c>
      <c r="I1516" s="2994">
        <v>24.2746</v>
      </c>
      <c r="J1516" s="2994">
        <v>25.208400000000001</v>
      </c>
      <c r="K1516" s="2994">
        <v>27.6831</v>
      </c>
      <c r="L1516" s="2994">
        <v>26.7698</v>
      </c>
      <c r="M1516" s="2994">
        <v>25.4267</v>
      </c>
      <c r="N1516" s="2994">
        <v>29.485099999999999</v>
      </c>
      <c r="O1516" s="2994">
        <v>28.377500000000001</v>
      </c>
      <c r="P1516" s="2994">
        <v>27.397200000000002</v>
      </c>
      <c r="Q1516" s="2994">
        <v>27.133900000000001</v>
      </c>
      <c r="R1516" s="2994">
        <v>23.125699999999998</v>
      </c>
      <c r="S1516" s="2994">
        <v>20.731200000000001</v>
      </c>
      <c r="T1516" s="2994">
        <v>25.1111</v>
      </c>
      <c r="U1516" s="2994">
        <v>25.2319</v>
      </c>
      <c r="V1516" s="2994">
        <v>30.4602</v>
      </c>
      <c r="W1516" s="2994">
        <v>31.7773</v>
      </c>
      <c r="X1516" s="2994">
        <v>25.999300000000002</v>
      </c>
      <c r="Y1516" s="2994">
        <v>24.950800000000001</v>
      </c>
      <c r="Z1516" s="2994">
        <v>24.9863</v>
      </c>
      <c r="AA1516" s="2994">
        <v>18.517499999999998</v>
      </c>
      <c r="AB1516" s="2994">
        <v>18.608799999999999</v>
      </c>
      <c r="AC1516" s="2994">
        <v>20.044699999999999</v>
      </c>
      <c r="AD1516" s="2994">
        <v>18.9772</v>
      </c>
      <c r="AE1516" s="2994">
        <v>16.121500000000001</v>
      </c>
      <c r="AF1516" s="2994">
        <v>17.8691</v>
      </c>
      <c r="AG1516" s="2994">
        <v>13.8361</v>
      </c>
      <c r="AH1516" s="2994">
        <v>14.310499999999999</v>
      </c>
      <c r="AI1516" s="2994">
        <v>14.9879</v>
      </c>
      <c r="AJ1516" s="2994">
        <v>14.039400000000001</v>
      </c>
      <c r="AK1516" s="2994">
        <v>13.741300000000001</v>
      </c>
      <c r="AL1516" s="2994">
        <v>16.264700000000001</v>
      </c>
      <c r="AM1516" s="2994">
        <v>14.645899999999999</v>
      </c>
      <c r="AN1516" s="2994">
        <v>15.821199999999999</v>
      </c>
      <c r="AO1516" s="2994">
        <v>16.620899999999999</v>
      </c>
      <c r="AP1516" s="2994">
        <v>13.5893</v>
      </c>
      <c r="AQ1516" s="2994">
        <v>13.1585</v>
      </c>
      <c r="AR1516" s="2994">
        <v>14.706899999999999</v>
      </c>
      <c r="AS1516" s="2994">
        <v>14.5159</v>
      </c>
      <c r="AT1516" s="2994">
        <v>14.5579</v>
      </c>
      <c r="AU1516" s="2994">
        <v>27.002700000000001</v>
      </c>
      <c r="AV1516" s="2994">
        <v>14.7502</v>
      </c>
      <c r="AW1516" s="2994">
        <v>15.710900000000001</v>
      </c>
      <c r="AX1516" s="2994">
        <v>14.825200000000001</v>
      </c>
      <c r="AY1516" s="2994">
        <v>34.573599999999999</v>
      </c>
      <c r="AZ1516" s="2994">
        <v>25.854299999999999</v>
      </c>
      <c r="BA1516" s="2994">
        <v>29.4727</v>
      </c>
      <c r="BB1516" s="2994">
        <v>28.3765</v>
      </c>
      <c r="BC1516" s="2994">
        <v>26.974499999999999</v>
      </c>
      <c r="BD1516" s="3471">
        <v>26.338000000000001</v>
      </c>
      <c r="BE1516" s="3471">
        <v>26.776900000000001</v>
      </c>
      <c r="BF1516" s="3471">
        <v>0</v>
      </c>
    </row>
    <row r="1517" spans="1:58">
      <c r="A1517" s="1817" t="str">
        <f t="shared" si="47"/>
        <v>OceaniaCereals, nes</v>
      </c>
      <c r="B1517" s="1818" t="s">
        <v>303</v>
      </c>
      <c r="C1517" s="1818" t="s">
        <v>1344</v>
      </c>
      <c r="D1517" s="3463" t="str">
        <f>VLOOKUP(B1517,List_Yield!$G$4:$J$14,4,FALSE)</f>
        <v>Oceania</v>
      </c>
      <c r="E1517" s="3463" t="str">
        <f t="shared" si="48"/>
        <v>OceaniaCereals, nes</v>
      </c>
      <c r="F1517" s="2994">
        <v>2.5</v>
      </c>
      <c r="G1517" s="2994">
        <v>2.5</v>
      </c>
      <c r="H1517" s="2994">
        <v>2.5</v>
      </c>
      <c r="I1517" s="2994">
        <v>2.5</v>
      </c>
      <c r="J1517" s="2994">
        <v>2.5</v>
      </c>
      <c r="K1517" s="2994">
        <v>4.3478000000000003</v>
      </c>
      <c r="L1517" s="2994">
        <v>4.3478000000000003</v>
      </c>
      <c r="M1517" s="2994">
        <v>4.3478000000000003</v>
      </c>
      <c r="N1517" s="2994">
        <v>4.3478000000000003</v>
      </c>
      <c r="O1517" s="2994">
        <v>2</v>
      </c>
      <c r="P1517" s="2994">
        <v>2</v>
      </c>
      <c r="Q1517" s="2994">
        <v>2</v>
      </c>
      <c r="R1517" s="2994">
        <v>4</v>
      </c>
      <c r="S1517" s="2994">
        <v>6</v>
      </c>
      <c r="T1517" s="2994">
        <v>10</v>
      </c>
      <c r="U1517" s="2994">
        <v>8</v>
      </c>
      <c r="V1517" s="2994">
        <v>5.7691999999999997</v>
      </c>
      <c r="W1517" s="2994">
        <v>5.7691999999999997</v>
      </c>
      <c r="X1517" s="2994">
        <v>5.7691999999999997</v>
      </c>
      <c r="Y1517" s="2994">
        <v>2.4340999999999999</v>
      </c>
      <c r="Z1517" s="2994">
        <v>2.4156</v>
      </c>
      <c r="AA1517" s="2994">
        <v>3.7481</v>
      </c>
      <c r="AB1517" s="2994">
        <v>2.9357000000000002</v>
      </c>
      <c r="AC1517" s="2994">
        <v>2.6718000000000002</v>
      </c>
      <c r="AD1517" s="2994">
        <v>3.3933</v>
      </c>
      <c r="AE1517" s="2994">
        <v>2.8563999999999998</v>
      </c>
      <c r="AF1517" s="2994">
        <v>3.1905999999999999</v>
      </c>
      <c r="AG1517" s="2994">
        <v>2.9016999999999999</v>
      </c>
      <c r="AH1517" s="2994">
        <v>2.5</v>
      </c>
      <c r="AI1517" s="2994">
        <v>2.8227000000000002</v>
      </c>
      <c r="AJ1517" s="2994">
        <v>2.9660000000000002</v>
      </c>
      <c r="AK1517" s="2994">
        <v>2.5493999999999999</v>
      </c>
      <c r="AL1517" s="2994">
        <v>2.3782999999999999</v>
      </c>
      <c r="AM1517" s="2994">
        <v>3.1324999999999998</v>
      </c>
      <c r="AN1517" s="2994">
        <v>3.0720999999999998</v>
      </c>
      <c r="AO1517" s="2994">
        <v>2.9666999999999999</v>
      </c>
      <c r="AP1517" s="2994">
        <v>2.7726000000000002</v>
      </c>
      <c r="AQ1517" s="2994">
        <v>2.7193000000000001</v>
      </c>
      <c r="AR1517" s="2994">
        <v>2.8571</v>
      </c>
      <c r="AS1517" s="2994">
        <v>2.9079000000000002</v>
      </c>
      <c r="AT1517" s="2994">
        <v>3.0045000000000002</v>
      </c>
      <c r="AU1517" s="2994">
        <v>3.2812999999999999</v>
      </c>
      <c r="AV1517" s="2994">
        <v>5.0416999999999996</v>
      </c>
      <c r="AW1517" s="2994">
        <v>5.9259000000000004</v>
      </c>
      <c r="AX1517" s="2994">
        <v>6.7647000000000004</v>
      </c>
      <c r="AY1517" s="2994">
        <v>4.75</v>
      </c>
      <c r="AZ1517" s="2994">
        <v>6.0472000000000001</v>
      </c>
      <c r="BA1517" s="2994">
        <v>7.3947000000000003</v>
      </c>
      <c r="BB1517" s="2994">
        <v>6.3635999999999999</v>
      </c>
      <c r="BC1517" s="2994">
        <v>5.8207000000000004</v>
      </c>
      <c r="BD1517" s="3471">
        <v>5.5171000000000001</v>
      </c>
      <c r="BE1517" s="3471">
        <v>5.6927000000000003</v>
      </c>
      <c r="BF1517" s="3471">
        <v>5.9523999999999999</v>
      </c>
    </row>
    <row r="1518" spans="1:58">
      <c r="A1518" s="1817" t="str">
        <f t="shared" si="47"/>
        <v>OceaniaCherries</v>
      </c>
      <c r="B1518" s="1818" t="s">
        <v>303</v>
      </c>
      <c r="C1518" s="1818" t="s">
        <v>7304</v>
      </c>
      <c r="D1518" s="3463" t="str">
        <f>VLOOKUP(B1518,List_Yield!$G$4:$J$14,4,FALSE)</f>
        <v>Oceania</v>
      </c>
      <c r="E1518" s="3463" t="str">
        <f t="shared" si="48"/>
        <v>OceaniaCherries</v>
      </c>
      <c r="F1518" s="2994">
        <v>6.0088999999999997</v>
      </c>
      <c r="G1518" s="2994">
        <v>5.9573999999999998</v>
      </c>
      <c r="H1518" s="2994">
        <v>4.8582999999999998</v>
      </c>
      <c r="I1518" s="2994">
        <v>5.6618000000000004</v>
      </c>
      <c r="J1518" s="2994">
        <v>5.6294000000000004</v>
      </c>
      <c r="K1518" s="2994">
        <v>5.8776999999999999</v>
      </c>
      <c r="L1518" s="2994">
        <v>4.2427999999999999</v>
      </c>
      <c r="M1518" s="2994">
        <v>5.3151000000000002</v>
      </c>
      <c r="N1518" s="2994">
        <v>4.8445</v>
      </c>
      <c r="O1518" s="2994">
        <v>5.0145999999999997</v>
      </c>
      <c r="P1518" s="2994">
        <v>5.6783999999999999</v>
      </c>
      <c r="Q1518" s="2994">
        <v>6.3716999999999997</v>
      </c>
      <c r="R1518" s="2994">
        <v>6.3708</v>
      </c>
      <c r="S1518" s="2994">
        <v>5.8776000000000002</v>
      </c>
      <c r="T1518" s="2994">
        <v>7.2192999999999996</v>
      </c>
      <c r="U1518" s="2994">
        <v>6.9877000000000002</v>
      </c>
      <c r="V1518" s="2994">
        <v>5.0659000000000001</v>
      </c>
      <c r="W1518" s="2994">
        <v>5.7065999999999999</v>
      </c>
      <c r="X1518" s="2994">
        <v>5.4595000000000002</v>
      </c>
      <c r="Y1518" s="2994">
        <v>4.1886999999999999</v>
      </c>
      <c r="Z1518" s="2994">
        <v>5.5197000000000003</v>
      </c>
      <c r="AA1518" s="2994">
        <v>4.6078999999999999</v>
      </c>
      <c r="AB1518" s="2994">
        <v>3.7841</v>
      </c>
      <c r="AC1518" s="2994">
        <v>3.1962999999999999</v>
      </c>
      <c r="AD1518" s="2994">
        <v>3.4245999999999999</v>
      </c>
      <c r="AE1518" s="2994">
        <v>3.4140999999999999</v>
      </c>
      <c r="AF1518" s="2994">
        <v>3.323</v>
      </c>
      <c r="AG1518" s="2994">
        <v>3.2235999999999998</v>
      </c>
      <c r="AH1518" s="2994">
        <v>2.8889</v>
      </c>
      <c r="AI1518" s="2994">
        <v>3.1981999999999999</v>
      </c>
      <c r="AJ1518" s="2994">
        <v>4.1618000000000004</v>
      </c>
      <c r="AK1518" s="2994">
        <v>3.3414000000000001</v>
      </c>
      <c r="AL1518" s="2994">
        <v>3.6213000000000002</v>
      </c>
      <c r="AM1518" s="2994">
        <v>4.3670999999999998</v>
      </c>
      <c r="AN1518" s="2994">
        <v>4.0917000000000003</v>
      </c>
      <c r="AO1518" s="2994">
        <v>3.6023999999999998</v>
      </c>
      <c r="AP1518" s="2994">
        <v>4.5754999999999999</v>
      </c>
      <c r="AQ1518" s="2994">
        <v>4.0659000000000001</v>
      </c>
      <c r="AR1518" s="2994">
        <v>3.6374</v>
      </c>
      <c r="AS1518" s="2994">
        <v>3.2924000000000002</v>
      </c>
      <c r="AT1518" s="2994">
        <v>4.9306000000000001</v>
      </c>
      <c r="AU1518" s="2994">
        <v>3.923</v>
      </c>
      <c r="AV1518" s="2994">
        <v>4.8544999999999998</v>
      </c>
      <c r="AW1518" s="2994">
        <v>4.6428000000000003</v>
      </c>
      <c r="AX1518" s="2994">
        <v>4.5686</v>
      </c>
      <c r="AY1518" s="2994">
        <v>5.3177000000000003</v>
      </c>
      <c r="AZ1518" s="2994">
        <v>5.0129000000000001</v>
      </c>
      <c r="BA1518" s="2994">
        <v>5.0670999999999999</v>
      </c>
      <c r="BB1518" s="2994">
        <v>5.1974999999999998</v>
      </c>
      <c r="BC1518" s="2994">
        <v>5.2843</v>
      </c>
      <c r="BD1518" s="3471">
        <v>4.7237</v>
      </c>
      <c r="BE1518" s="3471">
        <v>4.7308000000000003</v>
      </c>
      <c r="BF1518" s="3471">
        <v>0</v>
      </c>
    </row>
    <row r="1519" spans="1:58">
      <c r="A1519" s="1817" t="str">
        <f t="shared" si="47"/>
        <v>OceaniaCherries, sour</v>
      </c>
      <c r="B1519" s="1818" t="s">
        <v>303</v>
      </c>
      <c r="C1519" s="1818" t="s">
        <v>7305</v>
      </c>
      <c r="D1519" s="3463" t="str">
        <f>VLOOKUP(B1519,List_Yield!$G$4:$J$14,4,FALSE)</f>
        <v>Oceania</v>
      </c>
      <c r="E1519" s="3463" t="str">
        <f t="shared" si="48"/>
        <v>OceaniaCherries, sour</v>
      </c>
      <c r="F1519" s="2994">
        <v>0</v>
      </c>
      <c r="G1519" s="2994">
        <v>0</v>
      </c>
      <c r="H1519" s="2994">
        <v>0</v>
      </c>
      <c r="I1519" s="2994">
        <v>0</v>
      </c>
      <c r="J1519" s="2994">
        <v>0</v>
      </c>
      <c r="K1519" s="2994">
        <v>0</v>
      </c>
      <c r="L1519" s="2994">
        <v>0</v>
      </c>
      <c r="M1519" s="2994">
        <v>0</v>
      </c>
      <c r="N1519" s="2994">
        <v>0</v>
      </c>
      <c r="O1519" s="2994">
        <v>0</v>
      </c>
      <c r="P1519" s="2994">
        <v>0</v>
      </c>
      <c r="Q1519" s="2994">
        <v>0</v>
      </c>
      <c r="R1519" s="2994">
        <v>0</v>
      </c>
      <c r="S1519" s="2994">
        <v>0</v>
      </c>
      <c r="T1519" s="2994">
        <v>0</v>
      </c>
      <c r="U1519" s="2994">
        <v>0</v>
      </c>
      <c r="V1519" s="2994">
        <v>0</v>
      </c>
      <c r="W1519" s="2994">
        <v>0</v>
      </c>
      <c r="X1519" s="2994">
        <v>0</v>
      </c>
      <c r="Y1519" s="2994">
        <v>0</v>
      </c>
      <c r="Z1519" s="2994">
        <v>0</v>
      </c>
      <c r="AA1519" s="2994">
        <v>0</v>
      </c>
      <c r="AB1519" s="2994">
        <v>0</v>
      </c>
      <c r="AC1519" s="2994">
        <v>0</v>
      </c>
      <c r="AD1519" s="2994">
        <v>0</v>
      </c>
      <c r="AE1519" s="2994">
        <v>0</v>
      </c>
      <c r="AF1519" s="2994">
        <v>0</v>
      </c>
      <c r="AG1519" s="2994">
        <v>0</v>
      </c>
      <c r="AH1519" s="2994">
        <v>0</v>
      </c>
      <c r="AI1519" s="2994">
        <v>0</v>
      </c>
      <c r="AJ1519" s="2994">
        <v>0</v>
      </c>
      <c r="AK1519" s="2994">
        <v>0</v>
      </c>
      <c r="AL1519" s="2994">
        <v>0</v>
      </c>
      <c r="AM1519" s="2994">
        <v>0</v>
      </c>
      <c r="AN1519" s="2994">
        <v>0</v>
      </c>
      <c r="AO1519" s="2994">
        <v>0</v>
      </c>
      <c r="AP1519" s="2994">
        <v>0</v>
      </c>
      <c r="AQ1519" s="2994">
        <v>0</v>
      </c>
      <c r="AR1519" s="2994">
        <v>0</v>
      </c>
      <c r="AS1519" s="2994">
        <v>0</v>
      </c>
      <c r="AT1519" s="2994">
        <v>0</v>
      </c>
      <c r="AU1519" s="2994">
        <v>0</v>
      </c>
      <c r="AV1519" s="2994">
        <v>0</v>
      </c>
      <c r="AW1519" s="2994">
        <v>0</v>
      </c>
      <c r="AX1519" s="2994">
        <v>0</v>
      </c>
      <c r="AY1519" s="2994">
        <v>0</v>
      </c>
      <c r="AZ1519" s="2994">
        <v>0</v>
      </c>
      <c r="BA1519" s="2994">
        <v>0</v>
      </c>
      <c r="BB1519" s="2994">
        <v>0</v>
      </c>
      <c r="BC1519" s="2994">
        <v>0</v>
      </c>
      <c r="BD1519" s="3471">
        <v>0</v>
      </c>
      <c r="BE1519" s="3471">
        <v>0</v>
      </c>
      <c r="BF1519" s="3471">
        <v>0</v>
      </c>
    </row>
    <row r="1520" spans="1:58">
      <c r="A1520" s="1817" t="str">
        <f t="shared" si="47"/>
        <v>OceaniaChestnut</v>
      </c>
      <c r="B1520" s="1818" t="s">
        <v>303</v>
      </c>
      <c r="C1520" s="1818" t="s">
        <v>7306</v>
      </c>
      <c r="D1520" s="3463" t="str">
        <f>VLOOKUP(B1520,List_Yield!$G$4:$J$14,4,FALSE)</f>
        <v>Oceania</v>
      </c>
      <c r="E1520" s="3463" t="str">
        <f t="shared" si="48"/>
        <v>OceaniaChestnut</v>
      </c>
      <c r="F1520" s="2994">
        <v>0</v>
      </c>
      <c r="G1520" s="2994">
        <v>0</v>
      </c>
      <c r="H1520" s="2994">
        <v>0</v>
      </c>
      <c r="I1520" s="2994">
        <v>0</v>
      </c>
      <c r="J1520" s="2994">
        <v>0</v>
      </c>
      <c r="K1520" s="2994">
        <v>0</v>
      </c>
      <c r="L1520" s="2994">
        <v>0</v>
      </c>
      <c r="M1520" s="2994">
        <v>0</v>
      </c>
      <c r="N1520" s="2994">
        <v>0</v>
      </c>
      <c r="O1520" s="2994">
        <v>0</v>
      </c>
      <c r="P1520" s="2994">
        <v>0</v>
      </c>
      <c r="Q1520" s="2994">
        <v>0</v>
      </c>
      <c r="R1520" s="2994">
        <v>0</v>
      </c>
      <c r="S1520" s="2994">
        <v>0</v>
      </c>
      <c r="T1520" s="2994">
        <v>0</v>
      </c>
      <c r="U1520" s="2994">
        <v>0</v>
      </c>
      <c r="V1520" s="2994">
        <v>0</v>
      </c>
      <c r="W1520" s="2994">
        <v>0</v>
      </c>
      <c r="X1520" s="2994">
        <v>0</v>
      </c>
      <c r="Y1520" s="2994">
        <v>0</v>
      </c>
      <c r="Z1520" s="2994">
        <v>0</v>
      </c>
      <c r="AA1520" s="2994">
        <v>0</v>
      </c>
      <c r="AB1520" s="2994">
        <v>0</v>
      </c>
      <c r="AC1520" s="2994">
        <v>0</v>
      </c>
      <c r="AD1520" s="2994">
        <v>0</v>
      </c>
      <c r="AE1520" s="2994">
        <v>0</v>
      </c>
      <c r="AF1520" s="2994">
        <v>0</v>
      </c>
      <c r="AG1520" s="2994">
        <v>0</v>
      </c>
      <c r="AH1520" s="2994">
        <v>0</v>
      </c>
      <c r="AI1520" s="2994">
        <v>0</v>
      </c>
      <c r="AJ1520" s="2994">
        <v>0</v>
      </c>
      <c r="AK1520" s="2994">
        <v>0</v>
      </c>
      <c r="AL1520" s="2994">
        <v>0</v>
      </c>
      <c r="AM1520" s="2994">
        <v>0</v>
      </c>
      <c r="AN1520" s="2994">
        <v>0</v>
      </c>
      <c r="AO1520" s="2994">
        <v>0</v>
      </c>
      <c r="AP1520" s="2994">
        <v>0</v>
      </c>
      <c r="AQ1520" s="2994">
        <v>0</v>
      </c>
      <c r="AR1520" s="2994">
        <v>0</v>
      </c>
      <c r="AS1520" s="2994">
        <v>0</v>
      </c>
      <c r="AT1520" s="2994">
        <v>0</v>
      </c>
      <c r="AU1520" s="2994">
        <v>0</v>
      </c>
      <c r="AV1520" s="2994">
        <v>0</v>
      </c>
      <c r="AW1520" s="2994">
        <v>0</v>
      </c>
      <c r="AX1520" s="2994">
        <v>0</v>
      </c>
      <c r="AY1520" s="2994">
        <v>0</v>
      </c>
      <c r="AZ1520" s="2994">
        <v>0</v>
      </c>
      <c r="BA1520" s="2994">
        <v>0</v>
      </c>
      <c r="BB1520" s="2994">
        <v>0</v>
      </c>
      <c r="BC1520" s="2994">
        <v>0</v>
      </c>
      <c r="BD1520" s="3471">
        <v>0</v>
      </c>
      <c r="BE1520" s="3471">
        <v>0</v>
      </c>
      <c r="BF1520" s="3471">
        <v>0</v>
      </c>
    </row>
    <row r="1521" spans="1:58">
      <c r="A1521" s="1817" t="str">
        <f t="shared" si="47"/>
        <v>OceaniaChick peas</v>
      </c>
      <c r="B1521" s="1818" t="s">
        <v>303</v>
      </c>
      <c r="C1521" s="1818" t="s">
        <v>7307</v>
      </c>
      <c r="D1521" s="3463" t="str">
        <f>VLOOKUP(B1521,List_Yield!$G$4:$J$14,4,FALSE)</f>
        <v>Oceania</v>
      </c>
      <c r="E1521" s="3463" t="str">
        <f t="shared" si="48"/>
        <v>OceaniaChick peas</v>
      </c>
      <c r="F1521" s="2994">
        <v>0</v>
      </c>
      <c r="G1521" s="2994">
        <v>0</v>
      </c>
      <c r="H1521" s="2994">
        <v>0</v>
      </c>
      <c r="I1521" s="2994">
        <v>0</v>
      </c>
      <c r="J1521" s="2994">
        <v>0</v>
      </c>
      <c r="K1521" s="2994">
        <v>0</v>
      </c>
      <c r="L1521" s="2994">
        <v>0</v>
      </c>
      <c r="M1521" s="2994">
        <v>0</v>
      </c>
      <c r="N1521" s="2994">
        <v>0</v>
      </c>
      <c r="O1521" s="2994">
        <v>0</v>
      </c>
      <c r="P1521" s="2994">
        <v>0</v>
      </c>
      <c r="Q1521" s="2994">
        <v>0</v>
      </c>
      <c r="R1521" s="2994">
        <v>0</v>
      </c>
      <c r="S1521" s="2994">
        <v>0</v>
      </c>
      <c r="T1521" s="2994">
        <v>0</v>
      </c>
      <c r="U1521" s="2994">
        <v>0</v>
      </c>
      <c r="V1521" s="2994">
        <v>0</v>
      </c>
      <c r="W1521" s="2994">
        <v>0</v>
      </c>
      <c r="X1521" s="2994">
        <v>0</v>
      </c>
      <c r="Y1521" s="2994">
        <v>0</v>
      </c>
      <c r="Z1521" s="2994">
        <v>0</v>
      </c>
      <c r="AA1521" s="2994">
        <v>0</v>
      </c>
      <c r="AB1521" s="2994">
        <v>1.1613</v>
      </c>
      <c r="AC1521" s="2994">
        <v>0.92190000000000005</v>
      </c>
      <c r="AD1521" s="2994">
        <v>1.3788</v>
      </c>
      <c r="AE1521" s="2994">
        <v>0.92459999999999998</v>
      </c>
      <c r="AF1521" s="2994">
        <v>0.98529999999999995</v>
      </c>
      <c r="AG1521" s="2994">
        <v>1.2727999999999999</v>
      </c>
      <c r="AH1521" s="2994">
        <v>1.175</v>
      </c>
      <c r="AI1521" s="2994">
        <v>1.0724</v>
      </c>
      <c r="AJ1521" s="2994">
        <v>0.88859999999999995</v>
      </c>
      <c r="AK1521" s="2994">
        <v>1.1627000000000001</v>
      </c>
      <c r="AL1521" s="2994">
        <v>1.3150999999999999</v>
      </c>
      <c r="AM1521" s="2994">
        <v>0.32990000000000003</v>
      </c>
      <c r="AN1521" s="2994">
        <v>1.3257000000000001</v>
      </c>
      <c r="AO1521" s="2994">
        <v>1.1914</v>
      </c>
      <c r="AP1521" s="2994">
        <v>0.73199999999999998</v>
      </c>
      <c r="AQ1521" s="2994">
        <v>0.60809999999999997</v>
      </c>
      <c r="AR1521" s="2994">
        <v>1.0546</v>
      </c>
      <c r="AS1521" s="2994">
        <v>0.61829999999999996</v>
      </c>
      <c r="AT1521" s="2994">
        <v>1.3230999999999999</v>
      </c>
      <c r="AU1521" s="2994">
        <v>0.64</v>
      </c>
      <c r="AV1521" s="2994">
        <v>0.99019999999999997</v>
      </c>
      <c r="AW1521" s="2994">
        <v>1.2273000000000001</v>
      </c>
      <c r="AX1521" s="2994">
        <v>1.1661999999999999</v>
      </c>
      <c r="AY1521" s="2994">
        <v>0.95079999999999998</v>
      </c>
      <c r="AZ1521" s="2994">
        <v>1.0228999999999999</v>
      </c>
      <c r="BA1521" s="2994">
        <v>1.3084</v>
      </c>
      <c r="BB1521" s="2994">
        <v>1.2259</v>
      </c>
      <c r="BC1521" s="2994">
        <v>1.204</v>
      </c>
      <c r="BD1521" s="3471">
        <v>0.78600000000000003</v>
      </c>
      <c r="BE1521" s="3471">
        <v>1.4764999999999999</v>
      </c>
      <c r="BF1521" s="3471">
        <v>1.4178999999999999</v>
      </c>
    </row>
    <row r="1522" spans="1:58">
      <c r="A1522" s="1817" t="str">
        <f t="shared" si="47"/>
        <v>OceaniaChicory roots</v>
      </c>
      <c r="B1522" s="1818" t="s">
        <v>303</v>
      </c>
      <c r="C1522" s="1818" t="s">
        <v>7308</v>
      </c>
      <c r="D1522" s="3463" t="str">
        <f>VLOOKUP(B1522,List_Yield!$G$4:$J$14,4,FALSE)</f>
        <v>Oceania</v>
      </c>
      <c r="E1522" s="3463" t="str">
        <f t="shared" si="48"/>
        <v>OceaniaChicory roots</v>
      </c>
      <c r="F1522" s="2994">
        <v>0</v>
      </c>
      <c r="G1522" s="2994">
        <v>0</v>
      </c>
      <c r="H1522" s="2994">
        <v>0</v>
      </c>
      <c r="I1522" s="2994">
        <v>0</v>
      </c>
      <c r="J1522" s="2994">
        <v>0</v>
      </c>
      <c r="K1522" s="2994">
        <v>0</v>
      </c>
      <c r="L1522" s="2994">
        <v>0</v>
      </c>
      <c r="M1522" s="2994">
        <v>0</v>
      </c>
      <c r="N1522" s="2994">
        <v>0</v>
      </c>
      <c r="O1522" s="2994">
        <v>0</v>
      </c>
      <c r="P1522" s="2994">
        <v>0</v>
      </c>
      <c r="Q1522" s="2994">
        <v>0</v>
      </c>
      <c r="R1522" s="2994">
        <v>0</v>
      </c>
      <c r="S1522" s="2994">
        <v>0</v>
      </c>
      <c r="T1522" s="2994">
        <v>0</v>
      </c>
      <c r="U1522" s="2994">
        <v>0</v>
      </c>
      <c r="V1522" s="2994">
        <v>0</v>
      </c>
      <c r="W1522" s="2994">
        <v>0</v>
      </c>
      <c r="X1522" s="2994">
        <v>0</v>
      </c>
      <c r="Y1522" s="2994">
        <v>0</v>
      </c>
      <c r="Z1522" s="2994">
        <v>0</v>
      </c>
      <c r="AA1522" s="2994">
        <v>0</v>
      </c>
      <c r="AB1522" s="2994">
        <v>0</v>
      </c>
      <c r="AC1522" s="2994">
        <v>0</v>
      </c>
      <c r="AD1522" s="2994">
        <v>0</v>
      </c>
      <c r="AE1522" s="2994">
        <v>0</v>
      </c>
      <c r="AF1522" s="2994">
        <v>0</v>
      </c>
      <c r="AG1522" s="2994">
        <v>0</v>
      </c>
      <c r="AH1522" s="2994">
        <v>0</v>
      </c>
      <c r="AI1522" s="2994">
        <v>0</v>
      </c>
      <c r="AJ1522" s="2994">
        <v>0</v>
      </c>
      <c r="AK1522" s="2994">
        <v>0</v>
      </c>
      <c r="AL1522" s="2994">
        <v>0</v>
      </c>
      <c r="AM1522" s="2994">
        <v>0</v>
      </c>
      <c r="AN1522" s="2994">
        <v>0</v>
      </c>
      <c r="AO1522" s="2994">
        <v>0</v>
      </c>
      <c r="AP1522" s="2994">
        <v>0</v>
      </c>
      <c r="AQ1522" s="2994">
        <v>0</v>
      </c>
      <c r="AR1522" s="2994">
        <v>0</v>
      </c>
      <c r="AS1522" s="2994">
        <v>0</v>
      </c>
      <c r="AT1522" s="2994">
        <v>0</v>
      </c>
      <c r="AU1522" s="2994">
        <v>0</v>
      </c>
      <c r="AV1522" s="2994">
        <v>0</v>
      </c>
      <c r="AW1522" s="2994">
        <v>0</v>
      </c>
      <c r="AX1522" s="2994">
        <v>0</v>
      </c>
      <c r="AY1522" s="2994">
        <v>0</v>
      </c>
      <c r="AZ1522" s="2994">
        <v>0</v>
      </c>
      <c r="BA1522" s="2994">
        <v>0</v>
      </c>
      <c r="BB1522" s="2994">
        <v>0</v>
      </c>
      <c r="BC1522" s="2994">
        <v>0</v>
      </c>
      <c r="BD1522" s="3471">
        <v>0</v>
      </c>
      <c r="BE1522" s="3471">
        <v>0</v>
      </c>
      <c r="BF1522" s="3471">
        <v>0</v>
      </c>
    </row>
    <row r="1523" spans="1:58">
      <c r="A1523" s="1817" t="str">
        <f t="shared" si="47"/>
        <v>OceaniaChillies and peppers, dry</v>
      </c>
      <c r="B1523" s="1818" t="s">
        <v>303</v>
      </c>
      <c r="C1523" s="1818" t="s">
        <v>7309</v>
      </c>
      <c r="D1523" s="3463" t="str">
        <f>VLOOKUP(B1523,List_Yield!$G$4:$J$14,4,FALSE)</f>
        <v>Oceania</v>
      </c>
      <c r="E1523" s="3463" t="str">
        <f t="shared" si="48"/>
        <v>OceaniaChillies and peppers, dry</v>
      </c>
      <c r="F1523" s="2994">
        <v>0</v>
      </c>
      <c r="G1523" s="2994">
        <v>0</v>
      </c>
      <c r="H1523" s="2994">
        <v>0</v>
      </c>
      <c r="I1523" s="2994">
        <v>0</v>
      </c>
      <c r="J1523" s="2994">
        <v>0</v>
      </c>
      <c r="K1523" s="2994">
        <v>0</v>
      </c>
      <c r="L1523" s="2994">
        <v>0</v>
      </c>
      <c r="M1523" s="2994">
        <v>0</v>
      </c>
      <c r="N1523" s="2994">
        <v>0</v>
      </c>
      <c r="O1523" s="2994">
        <v>0</v>
      </c>
      <c r="P1523" s="2994">
        <v>0</v>
      </c>
      <c r="Q1523" s="2994">
        <v>0</v>
      </c>
      <c r="R1523" s="2994">
        <v>0</v>
      </c>
      <c r="S1523" s="2994">
        <v>0</v>
      </c>
      <c r="T1523" s="2994">
        <v>0</v>
      </c>
      <c r="U1523" s="2994">
        <v>0</v>
      </c>
      <c r="V1523" s="2994">
        <v>0</v>
      </c>
      <c r="W1523" s="2994">
        <v>0</v>
      </c>
      <c r="X1523" s="2994">
        <v>0</v>
      </c>
      <c r="Y1523" s="2994">
        <v>0</v>
      </c>
      <c r="Z1523" s="2994">
        <v>1.0962000000000001</v>
      </c>
      <c r="AA1523" s="2994">
        <v>1</v>
      </c>
      <c r="AB1523" s="2994">
        <v>1.0667</v>
      </c>
      <c r="AC1523" s="2994">
        <v>0.83330000000000004</v>
      </c>
      <c r="AD1523" s="2994">
        <v>1.05</v>
      </c>
      <c r="AE1523" s="2994">
        <v>1.1765000000000001</v>
      </c>
      <c r="AF1523" s="2994">
        <v>1.2250000000000001</v>
      </c>
      <c r="AG1523" s="2994">
        <v>1.1429</v>
      </c>
      <c r="AH1523" s="2994">
        <v>1.25</v>
      </c>
      <c r="AI1523" s="2994">
        <v>1.1429</v>
      </c>
      <c r="AJ1523" s="2994">
        <v>1.1429</v>
      </c>
      <c r="AK1523" s="2994">
        <v>1</v>
      </c>
      <c r="AL1523" s="2994">
        <v>1</v>
      </c>
      <c r="AM1523" s="2994">
        <v>1.0545</v>
      </c>
      <c r="AN1523" s="2994">
        <v>1.0526</v>
      </c>
      <c r="AO1523" s="2994">
        <v>0.8</v>
      </c>
      <c r="AP1523" s="2994">
        <v>1.125</v>
      </c>
      <c r="AQ1523" s="2994">
        <v>0.92500000000000004</v>
      </c>
      <c r="AR1523" s="2994">
        <v>1.1429</v>
      </c>
      <c r="AS1523" s="2994">
        <v>1</v>
      </c>
      <c r="AT1523" s="2994">
        <v>1.25</v>
      </c>
      <c r="AU1523" s="2994">
        <v>1.1111</v>
      </c>
      <c r="AV1523" s="2994">
        <v>1.7142999999999999</v>
      </c>
      <c r="AW1523" s="2994">
        <v>1.2</v>
      </c>
      <c r="AX1523" s="2994">
        <v>1.25</v>
      </c>
      <c r="AY1523" s="2994">
        <v>1.3332999999999999</v>
      </c>
      <c r="AZ1523" s="2994">
        <v>1.5</v>
      </c>
      <c r="BA1523" s="2994">
        <v>2</v>
      </c>
      <c r="BB1523" s="2994">
        <v>2</v>
      </c>
      <c r="BC1523" s="2994">
        <v>1.6667000000000001</v>
      </c>
      <c r="BD1523" s="3471">
        <v>1.6667000000000001</v>
      </c>
      <c r="BE1523" s="3471">
        <v>1.6667000000000001</v>
      </c>
      <c r="BF1523" s="3471">
        <v>0</v>
      </c>
    </row>
    <row r="1524" spans="1:58">
      <c r="A1524" s="1817" t="str">
        <f t="shared" si="47"/>
        <v>OceaniaChillies and peppers, green</v>
      </c>
      <c r="B1524" s="1818" t="s">
        <v>303</v>
      </c>
      <c r="C1524" s="1818" t="s">
        <v>7310</v>
      </c>
      <c r="D1524" s="3463" t="str">
        <f>VLOOKUP(B1524,List_Yield!$G$4:$J$14,4,FALSE)</f>
        <v>Oceania</v>
      </c>
      <c r="E1524" s="3463" t="str">
        <f t="shared" si="48"/>
        <v>OceaniaChillies and peppers, green</v>
      </c>
      <c r="F1524" s="2994">
        <v>5</v>
      </c>
      <c r="G1524" s="2994">
        <v>5</v>
      </c>
      <c r="H1524" s="2994">
        <v>5</v>
      </c>
      <c r="I1524" s="2994">
        <v>6</v>
      </c>
      <c r="J1524" s="2994">
        <v>6</v>
      </c>
      <c r="K1524" s="2994">
        <v>6</v>
      </c>
      <c r="L1524" s="2994">
        <v>7</v>
      </c>
      <c r="M1524" s="2994">
        <v>7</v>
      </c>
      <c r="N1524" s="2994">
        <v>8</v>
      </c>
      <c r="O1524" s="2994">
        <v>8</v>
      </c>
      <c r="P1524" s="2994">
        <v>9</v>
      </c>
      <c r="Q1524" s="2994">
        <v>9</v>
      </c>
      <c r="R1524" s="2994">
        <v>9</v>
      </c>
      <c r="S1524" s="2994">
        <v>9</v>
      </c>
      <c r="T1524" s="2994">
        <v>10.199999999999999</v>
      </c>
      <c r="U1524" s="2994">
        <v>11.857100000000001</v>
      </c>
      <c r="V1524" s="2994">
        <v>11.666700000000001</v>
      </c>
      <c r="W1524" s="2994">
        <v>13.391299999999999</v>
      </c>
      <c r="X1524" s="2994">
        <v>15.62</v>
      </c>
      <c r="Y1524" s="2994">
        <v>12.5741</v>
      </c>
      <c r="Z1524" s="2994">
        <v>10.984400000000001</v>
      </c>
      <c r="AA1524" s="2994">
        <v>11.4918</v>
      </c>
      <c r="AB1524" s="2994">
        <v>10.0571</v>
      </c>
      <c r="AC1524" s="2994">
        <v>10.333299999999999</v>
      </c>
      <c r="AD1524" s="2994">
        <v>11.0383</v>
      </c>
      <c r="AE1524" s="2994">
        <v>12.1286</v>
      </c>
      <c r="AF1524" s="2994">
        <v>12.5807</v>
      </c>
      <c r="AG1524" s="2994">
        <v>13.222899999999999</v>
      </c>
      <c r="AH1524" s="2994">
        <v>14.5519</v>
      </c>
      <c r="AI1524" s="2994">
        <v>16.125900000000001</v>
      </c>
      <c r="AJ1524" s="2994">
        <v>16.155899999999999</v>
      </c>
      <c r="AK1524" s="2994">
        <v>17.206299999999999</v>
      </c>
      <c r="AL1524" s="2994">
        <v>17.497699999999998</v>
      </c>
      <c r="AM1524" s="2994">
        <v>17.391100000000002</v>
      </c>
      <c r="AN1524" s="2994">
        <v>17.246700000000001</v>
      </c>
      <c r="AO1524" s="2994">
        <v>18.1556</v>
      </c>
      <c r="AP1524" s="2994">
        <v>16.978400000000001</v>
      </c>
      <c r="AQ1524" s="2994">
        <v>17.212599999999998</v>
      </c>
      <c r="AR1524" s="2994">
        <v>18.217099999999999</v>
      </c>
      <c r="AS1524" s="2994">
        <v>17.736899999999999</v>
      </c>
      <c r="AT1524" s="2994">
        <v>16.822199999999999</v>
      </c>
      <c r="AU1524" s="2994">
        <v>17.875699999999998</v>
      </c>
      <c r="AV1524" s="2994">
        <v>16.594000000000001</v>
      </c>
      <c r="AW1524" s="2994">
        <v>19.6755</v>
      </c>
      <c r="AX1524" s="2994">
        <v>20.028500000000001</v>
      </c>
      <c r="AY1524" s="2994">
        <v>23.962800000000001</v>
      </c>
      <c r="AZ1524" s="2994">
        <v>24.655799999999999</v>
      </c>
      <c r="BA1524" s="2994">
        <v>25.186900000000001</v>
      </c>
      <c r="BB1524" s="2994">
        <v>21.798400000000001</v>
      </c>
      <c r="BC1524" s="2994">
        <v>20.7986</v>
      </c>
      <c r="BD1524" s="3471">
        <v>20.959700000000002</v>
      </c>
      <c r="BE1524" s="3471">
        <v>20.9438</v>
      </c>
      <c r="BF1524" s="3471">
        <v>0</v>
      </c>
    </row>
    <row r="1525" spans="1:58">
      <c r="A1525" s="1817" t="str">
        <f t="shared" si="47"/>
        <v>OceaniaCinnamon (canella)</v>
      </c>
      <c r="B1525" s="1818" t="s">
        <v>303</v>
      </c>
      <c r="C1525" s="1818" t="s">
        <v>7311</v>
      </c>
      <c r="D1525" s="3463" t="str">
        <f>VLOOKUP(B1525,List_Yield!$G$4:$J$14,4,FALSE)</f>
        <v>Oceania</v>
      </c>
      <c r="E1525" s="3463" t="str">
        <f t="shared" si="48"/>
        <v>OceaniaCinnamon (canella)</v>
      </c>
      <c r="F1525" s="2994">
        <v>0</v>
      </c>
      <c r="G1525" s="2994">
        <v>0</v>
      </c>
      <c r="H1525" s="2994">
        <v>0</v>
      </c>
      <c r="I1525" s="2994">
        <v>0</v>
      </c>
      <c r="J1525" s="2994">
        <v>0</v>
      </c>
      <c r="K1525" s="2994">
        <v>0</v>
      </c>
      <c r="L1525" s="2994">
        <v>0</v>
      </c>
      <c r="M1525" s="2994">
        <v>0</v>
      </c>
      <c r="N1525" s="2994">
        <v>0</v>
      </c>
      <c r="O1525" s="2994">
        <v>0</v>
      </c>
      <c r="P1525" s="2994">
        <v>0</v>
      </c>
      <c r="Q1525" s="2994">
        <v>0</v>
      </c>
      <c r="R1525" s="2994">
        <v>0</v>
      </c>
      <c r="S1525" s="2994">
        <v>0</v>
      </c>
      <c r="T1525" s="2994">
        <v>0</v>
      </c>
      <c r="U1525" s="2994">
        <v>0</v>
      </c>
      <c r="V1525" s="2994">
        <v>0</v>
      </c>
      <c r="W1525" s="2994">
        <v>0</v>
      </c>
      <c r="X1525" s="2994">
        <v>0</v>
      </c>
      <c r="Y1525" s="2994">
        <v>0</v>
      </c>
      <c r="Z1525" s="2994">
        <v>0</v>
      </c>
      <c r="AA1525" s="2994">
        <v>0</v>
      </c>
      <c r="AB1525" s="2994">
        <v>0</v>
      </c>
      <c r="AC1525" s="2994">
        <v>0</v>
      </c>
      <c r="AD1525" s="2994">
        <v>0</v>
      </c>
      <c r="AE1525" s="2994">
        <v>0</v>
      </c>
      <c r="AF1525" s="2994">
        <v>0</v>
      </c>
      <c r="AG1525" s="2994">
        <v>0</v>
      </c>
      <c r="AH1525" s="2994">
        <v>0</v>
      </c>
      <c r="AI1525" s="2994">
        <v>0</v>
      </c>
      <c r="AJ1525" s="2994">
        <v>0</v>
      </c>
      <c r="AK1525" s="2994">
        <v>0</v>
      </c>
      <c r="AL1525" s="2994">
        <v>0</v>
      </c>
      <c r="AM1525" s="2994">
        <v>0</v>
      </c>
      <c r="AN1525" s="2994">
        <v>0</v>
      </c>
      <c r="AO1525" s="2994">
        <v>0</v>
      </c>
      <c r="AP1525" s="2994">
        <v>0</v>
      </c>
      <c r="AQ1525" s="2994">
        <v>0</v>
      </c>
      <c r="AR1525" s="2994">
        <v>0</v>
      </c>
      <c r="AS1525" s="2994">
        <v>0</v>
      </c>
      <c r="AT1525" s="2994">
        <v>0</v>
      </c>
      <c r="AU1525" s="2994">
        <v>0</v>
      </c>
      <c r="AV1525" s="2994">
        <v>0</v>
      </c>
      <c r="AW1525" s="2994">
        <v>0</v>
      </c>
      <c r="AX1525" s="2994">
        <v>0</v>
      </c>
      <c r="AY1525" s="2994">
        <v>0</v>
      </c>
      <c r="AZ1525" s="2994">
        <v>0</v>
      </c>
      <c r="BA1525" s="2994">
        <v>0</v>
      </c>
      <c r="BB1525" s="2994">
        <v>0</v>
      </c>
      <c r="BC1525" s="2994">
        <v>0</v>
      </c>
      <c r="BD1525" s="3471">
        <v>0</v>
      </c>
      <c r="BE1525" s="3471">
        <v>0</v>
      </c>
      <c r="BF1525" s="3471">
        <v>0</v>
      </c>
    </row>
    <row r="1526" spans="1:58">
      <c r="A1526" s="1817" t="str">
        <f t="shared" si="47"/>
        <v>OceaniaCloves</v>
      </c>
      <c r="B1526" s="1818" t="s">
        <v>303</v>
      </c>
      <c r="C1526" s="1818" t="s">
        <v>7312</v>
      </c>
      <c r="D1526" s="3463" t="str">
        <f>VLOOKUP(B1526,List_Yield!$G$4:$J$14,4,FALSE)</f>
        <v>Oceania</v>
      </c>
      <c r="E1526" s="3463" t="str">
        <f t="shared" si="48"/>
        <v>OceaniaCloves</v>
      </c>
      <c r="F1526" s="2994">
        <v>0</v>
      </c>
      <c r="G1526" s="2994">
        <v>0</v>
      </c>
      <c r="H1526" s="2994">
        <v>0</v>
      </c>
      <c r="I1526" s="2994">
        <v>0</v>
      </c>
      <c r="J1526" s="2994">
        <v>0</v>
      </c>
      <c r="K1526" s="2994">
        <v>0</v>
      </c>
      <c r="L1526" s="2994">
        <v>0</v>
      </c>
      <c r="M1526" s="2994">
        <v>0</v>
      </c>
      <c r="N1526" s="2994">
        <v>0</v>
      </c>
      <c r="O1526" s="2994">
        <v>0</v>
      </c>
      <c r="P1526" s="2994">
        <v>0</v>
      </c>
      <c r="Q1526" s="2994">
        <v>0</v>
      </c>
      <c r="R1526" s="2994">
        <v>0</v>
      </c>
      <c r="S1526" s="2994">
        <v>0</v>
      </c>
      <c r="T1526" s="2994">
        <v>0</v>
      </c>
      <c r="U1526" s="2994">
        <v>0</v>
      </c>
      <c r="V1526" s="2994">
        <v>0</v>
      </c>
      <c r="W1526" s="2994">
        <v>0</v>
      </c>
      <c r="X1526" s="2994">
        <v>0</v>
      </c>
      <c r="Y1526" s="2994">
        <v>0</v>
      </c>
      <c r="Z1526" s="2994">
        <v>0</v>
      </c>
      <c r="AA1526" s="2994">
        <v>0</v>
      </c>
      <c r="AB1526" s="2994">
        <v>0</v>
      </c>
      <c r="AC1526" s="2994">
        <v>0</v>
      </c>
      <c r="AD1526" s="2994">
        <v>0</v>
      </c>
      <c r="AE1526" s="2994">
        <v>0</v>
      </c>
      <c r="AF1526" s="2994">
        <v>0</v>
      </c>
      <c r="AG1526" s="2994">
        <v>0</v>
      </c>
      <c r="AH1526" s="2994">
        <v>0</v>
      </c>
      <c r="AI1526" s="2994">
        <v>0</v>
      </c>
      <c r="AJ1526" s="2994">
        <v>0</v>
      </c>
      <c r="AK1526" s="2994">
        <v>0</v>
      </c>
      <c r="AL1526" s="2994">
        <v>0</v>
      </c>
      <c r="AM1526" s="2994">
        <v>0</v>
      </c>
      <c r="AN1526" s="2994">
        <v>0</v>
      </c>
      <c r="AO1526" s="2994">
        <v>0</v>
      </c>
      <c r="AP1526" s="2994">
        <v>0</v>
      </c>
      <c r="AQ1526" s="2994">
        <v>0</v>
      </c>
      <c r="AR1526" s="2994">
        <v>0</v>
      </c>
      <c r="AS1526" s="2994">
        <v>0</v>
      </c>
      <c r="AT1526" s="2994">
        <v>0</v>
      </c>
      <c r="AU1526" s="2994">
        <v>0</v>
      </c>
      <c r="AV1526" s="2994">
        <v>0</v>
      </c>
      <c r="AW1526" s="2994">
        <v>0</v>
      </c>
      <c r="AX1526" s="2994">
        <v>0</v>
      </c>
      <c r="AY1526" s="2994">
        <v>0</v>
      </c>
      <c r="AZ1526" s="2994">
        <v>0</v>
      </c>
      <c r="BA1526" s="2994">
        <v>0</v>
      </c>
      <c r="BB1526" s="2994">
        <v>0</v>
      </c>
      <c r="BC1526" s="2994">
        <v>0</v>
      </c>
      <c r="BD1526" s="3471">
        <v>0</v>
      </c>
      <c r="BE1526" s="3471">
        <v>0</v>
      </c>
      <c r="BF1526" s="3471">
        <v>0</v>
      </c>
    </row>
    <row r="1527" spans="1:58">
      <c r="A1527" s="1817" t="str">
        <f t="shared" si="47"/>
        <v>OceaniaCocoa, beans</v>
      </c>
      <c r="B1527" s="1818" t="s">
        <v>303</v>
      </c>
      <c r="C1527" s="1818" t="s">
        <v>7313</v>
      </c>
      <c r="D1527" s="3463" t="str">
        <f>VLOOKUP(B1527,List_Yield!$G$4:$J$14,4,FALSE)</f>
        <v>Oceania</v>
      </c>
      <c r="E1527" s="3463" t="str">
        <f t="shared" si="48"/>
        <v>OceaniaCocoa, beans</v>
      </c>
      <c r="F1527" s="2994">
        <v>0.3775</v>
      </c>
      <c r="G1527" s="2994">
        <v>0.4466</v>
      </c>
      <c r="H1527" s="2994">
        <v>0.48720000000000002</v>
      </c>
      <c r="I1527" s="2994">
        <v>0.36070000000000002</v>
      </c>
      <c r="J1527" s="2994">
        <v>0.49340000000000001</v>
      </c>
      <c r="K1527" s="2994">
        <v>0.49049999999999999</v>
      </c>
      <c r="L1527" s="2994">
        <v>0.4667</v>
      </c>
      <c r="M1527" s="2994">
        <v>0.4496</v>
      </c>
      <c r="N1527" s="2994">
        <v>0.48159999999999997</v>
      </c>
      <c r="O1527" s="2994">
        <v>0.46539999999999998</v>
      </c>
      <c r="P1527" s="2994">
        <v>0.51100000000000001</v>
      </c>
      <c r="Q1527" s="2994">
        <v>0.47810000000000002</v>
      </c>
      <c r="R1527" s="2994">
        <v>0.36909999999999998</v>
      </c>
      <c r="S1527" s="2994">
        <v>0.45829999999999999</v>
      </c>
      <c r="T1527" s="2994">
        <v>0.45610000000000001</v>
      </c>
      <c r="U1527" s="2994">
        <v>0.41360000000000002</v>
      </c>
      <c r="V1527" s="2994">
        <v>0.36049999999999999</v>
      </c>
      <c r="W1527" s="2994">
        <v>0.35520000000000002</v>
      </c>
      <c r="X1527" s="2994">
        <v>0.36009999999999998</v>
      </c>
      <c r="Y1527" s="2994">
        <v>0.38879999999999998</v>
      </c>
      <c r="Z1527" s="2994">
        <v>0.38600000000000001</v>
      </c>
      <c r="AA1527" s="2994">
        <v>0.32719999999999999</v>
      </c>
      <c r="AB1527" s="2994">
        <v>0.3518</v>
      </c>
      <c r="AC1527" s="2994">
        <v>0.4244</v>
      </c>
      <c r="AD1527" s="2994">
        <v>0.43030000000000002</v>
      </c>
      <c r="AE1527" s="2994">
        <v>0.373</v>
      </c>
      <c r="AF1527" s="2994">
        <v>0.36</v>
      </c>
      <c r="AG1527" s="2994">
        <v>0.38790000000000002</v>
      </c>
      <c r="AH1527" s="2994">
        <v>0.48420000000000002</v>
      </c>
      <c r="AI1527" s="2994">
        <v>0.42830000000000001</v>
      </c>
      <c r="AJ1527" s="2994">
        <v>0.36520000000000002</v>
      </c>
      <c r="AK1527" s="2994">
        <v>0.40889999999999999</v>
      </c>
      <c r="AL1527" s="2994">
        <v>0.69430000000000003</v>
      </c>
      <c r="AM1527" s="2994">
        <v>0.3871</v>
      </c>
      <c r="AN1527" s="2994">
        <v>0.36449999999999999</v>
      </c>
      <c r="AO1527" s="2994">
        <v>0.40300000000000002</v>
      </c>
      <c r="AP1527" s="2994">
        <v>0.44269999999999998</v>
      </c>
      <c r="AQ1527" s="2994">
        <v>0.31840000000000002</v>
      </c>
      <c r="AR1527" s="2994">
        <v>0.37640000000000001</v>
      </c>
      <c r="AS1527" s="2994">
        <v>0.46839999999999998</v>
      </c>
      <c r="AT1527" s="2994">
        <v>0.41289999999999999</v>
      </c>
      <c r="AU1527" s="2994">
        <v>0.45900000000000002</v>
      </c>
      <c r="AV1527" s="2994">
        <v>0.43</v>
      </c>
      <c r="AW1527" s="2994">
        <v>0.40029999999999999</v>
      </c>
      <c r="AX1527" s="2994">
        <v>0.43120000000000003</v>
      </c>
      <c r="AY1527" s="2994">
        <v>0.42270000000000002</v>
      </c>
      <c r="AZ1527" s="2994">
        <v>0.40799999999999997</v>
      </c>
      <c r="BA1527" s="2994">
        <v>0.39360000000000001</v>
      </c>
      <c r="BB1527" s="2994">
        <v>0.41170000000000001</v>
      </c>
      <c r="BC1527" s="2994">
        <v>0.318</v>
      </c>
      <c r="BD1527" s="3471">
        <v>0.31219999999999998</v>
      </c>
      <c r="BE1527" s="3471">
        <v>0.31</v>
      </c>
      <c r="BF1527" s="3471">
        <v>0</v>
      </c>
    </row>
    <row r="1528" spans="1:58">
      <c r="A1528" s="1817" t="str">
        <f t="shared" si="47"/>
        <v>OceaniaCoconuts</v>
      </c>
      <c r="B1528" s="1818" t="s">
        <v>303</v>
      </c>
      <c r="C1528" s="1818" t="s">
        <v>7314</v>
      </c>
      <c r="D1528" s="3463" t="str">
        <f>VLOOKUP(B1528,List_Yield!$G$4:$J$14,4,FALSE)</f>
        <v>Oceania</v>
      </c>
      <c r="E1528" s="3463" t="str">
        <f t="shared" si="48"/>
        <v>OceaniaCoconuts</v>
      </c>
      <c r="F1528" s="2994">
        <v>3.8647</v>
      </c>
      <c r="G1528" s="2994">
        <v>3.7614000000000001</v>
      </c>
      <c r="H1528" s="2994">
        <v>4.0686</v>
      </c>
      <c r="I1528" s="2994">
        <v>4.1047000000000002</v>
      </c>
      <c r="J1528" s="2994">
        <v>3.7949999999999999</v>
      </c>
      <c r="K1528" s="2994">
        <v>3.8921000000000001</v>
      </c>
      <c r="L1528" s="2994">
        <v>3.8925000000000001</v>
      </c>
      <c r="M1528" s="2994">
        <v>3.7658</v>
      </c>
      <c r="N1528" s="2994">
        <v>4.0182000000000002</v>
      </c>
      <c r="O1528" s="2994">
        <v>3.9415</v>
      </c>
      <c r="P1528" s="2994">
        <v>4.1723999999999997</v>
      </c>
      <c r="Q1528" s="2994">
        <v>4.1467999999999998</v>
      </c>
      <c r="R1528" s="2994">
        <v>3.9681999999999999</v>
      </c>
      <c r="S1528" s="2994">
        <v>4.1546000000000003</v>
      </c>
      <c r="T1528" s="2994">
        <v>4.1050000000000004</v>
      </c>
      <c r="U1528" s="2994">
        <v>4.1379999999999999</v>
      </c>
      <c r="V1528" s="2994">
        <v>4.5991</v>
      </c>
      <c r="W1528" s="2994">
        <v>4.5975000000000001</v>
      </c>
      <c r="X1528" s="2994">
        <v>4.4128999999999996</v>
      </c>
      <c r="Y1528" s="2994">
        <v>4.8464999999999998</v>
      </c>
      <c r="Z1528" s="2994">
        <v>4.7534000000000001</v>
      </c>
      <c r="AA1528" s="2994">
        <v>4.5795000000000003</v>
      </c>
      <c r="AB1528" s="2994">
        <v>4.5570000000000004</v>
      </c>
      <c r="AC1528" s="2994">
        <v>5.1069000000000004</v>
      </c>
      <c r="AD1528" s="2994">
        <v>4.6281999999999996</v>
      </c>
      <c r="AE1528" s="2994">
        <v>4.5951000000000004</v>
      </c>
      <c r="AF1528" s="2994">
        <v>4.3470000000000004</v>
      </c>
      <c r="AG1528" s="2994">
        <v>3.8549000000000002</v>
      </c>
      <c r="AH1528" s="2994">
        <v>3.4998999999999998</v>
      </c>
      <c r="AI1528" s="2994">
        <v>3.4653</v>
      </c>
      <c r="AJ1528" s="2994">
        <v>3.1793</v>
      </c>
      <c r="AK1528" s="2994">
        <v>3.5402999999999998</v>
      </c>
      <c r="AL1528" s="2994">
        <v>3.6251000000000002</v>
      </c>
      <c r="AM1528" s="2994">
        <v>3.2705000000000002</v>
      </c>
      <c r="AN1528" s="2994">
        <v>3.5047999999999999</v>
      </c>
      <c r="AO1528" s="2994">
        <v>4.0948000000000002</v>
      </c>
      <c r="AP1528" s="2994">
        <v>4.3707000000000003</v>
      </c>
      <c r="AQ1528" s="2994">
        <v>4.1025</v>
      </c>
      <c r="AR1528" s="2994">
        <v>4.1246999999999998</v>
      </c>
      <c r="AS1528" s="2994">
        <v>4.0130999999999997</v>
      </c>
      <c r="AT1528" s="2994">
        <v>3.4043999999999999</v>
      </c>
      <c r="AU1528" s="2994">
        <v>3.5985</v>
      </c>
      <c r="AV1528" s="2994">
        <v>3.4611000000000001</v>
      </c>
      <c r="AW1528" s="2994">
        <v>4.0039999999999996</v>
      </c>
      <c r="AX1528" s="2994">
        <v>3.8553999999999999</v>
      </c>
      <c r="AY1528" s="2994">
        <v>3.9424000000000001</v>
      </c>
      <c r="AZ1528" s="2994">
        <v>4.9817</v>
      </c>
      <c r="BA1528" s="2994">
        <v>5.0163000000000002</v>
      </c>
      <c r="BB1528" s="2994">
        <v>5.0058999999999996</v>
      </c>
      <c r="BC1528" s="2994">
        <v>5.2141999999999999</v>
      </c>
      <c r="BD1528" s="3471">
        <v>5.1086999999999998</v>
      </c>
      <c r="BE1528" s="3471">
        <v>5.2013999999999996</v>
      </c>
      <c r="BF1528" s="3471">
        <v>5.2207999999999997</v>
      </c>
    </row>
    <row r="1529" spans="1:58">
      <c r="A1529" s="1817" t="str">
        <f t="shared" si="47"/>
        <v>OceaniaCoffee, green</v>
      </c>
      <c r="B1529" s="1818" t="s">
        <v>303</v>
      </c>
      <c r="C1529" s="1818" t="s">
        <v>1347</v>
      </c>
      <c r="D1529" s="3463" t="str">
        <f>VLOOKUP(B1529,List_Yield!$G$4:$J$14,4,FALSE)</f>
        <v>Oceania</v>
      </c>
      <c r="E1529" s="3463" t="str">
        <f t="shared" si="48"/>
        <v>OceaniaCoffee, green</v>
      </c>
      <c r="F1529" s="2994">
        <v>0.40310000000000001</v>
      </c>
      <c r="G1529" s="2994">
        <v>0.50080000000000002</v>
      </c>
      <c r="H1529" s="2994">
        <v>0.54259999999999997</v>
      </c>
      <c r="I1529" s="2994">
        <v>0.66779999999999995</v>
      </c>
      <c r="J1529" s="2994">
        <v>0.73140000000000005</v>
      </c>
      <c r="K1529" s="2994">
        <v>0.76700000000000002</v>
      </c>
      <c r="L1529" s="2994">
        <v>0.83260000000000001</v>
      </c>
      <c r="M1529" s="2994">
        <v>0.70630000000000004</v>
      </c>
      <c r="N1529" s="2994">
        <v>0.96860000000000002</v>
      </c>
      <c r="O1529" s="2994">
        <v>1.0366</v>
      </c>
      <c r="P1529" s="2994">
        <v>1.0291999999999999</v>
      </c>
      <c r="Q1529" s="2994">
        <v>1.0367</v>
      </c>
      <c r="R1529" s="2994">
        <v>1.1892</v>
      </c>
      <c r="S1529" s="2994">
        <v>1.0898000000000001</v>
      </c>
      <c r="T1529" s="2994">
        <v>1.161</v>
      </c>
      <c r="U1529" s="2994">
        <v>0.99919999999999998</v>
      </c>
      <c r="V1529" s="2994">
        <v>0.88429999999999997</v>
      </c>
      <c r="W1529" s="2994">
        <v>1.0375000000000001</v>
      </c>
      <c r="X1529" s="2994">
        <v>1.1419999999999999</v>
      </c>
      <c r="Y1529" s="2994">
        <v>1.2603</v>
      </c>
      <c r="Z1529" s="2994">
        <v>1.1456</v>
      </c>
      <c r="AA1529" s="2994">
        <v>0.92149999999999999</v>
      </c>
      <c r="AB1529" s="2994">
        <v>1.1829000000000001</v>
      </c>
      <c r="AC1529" s="2994">
        <v>0.93930000000000002</v>
      </c>
      <c r="AD1529" s="2994">
        <v>1.1873</v>
      </c>
      <c r="AE1529" s="2994">
        <v>0.93669999999999998</v>
      </c>
      <c r="AF1529" s="2994">
        <v>1.4459</v>
      </c>
      <c r="AG1529" s="2994">
        <v>1.5134000000000001</v>
      </c>
      <c r="AH1529" s="2994">
        <v>1.575</v>
      </c>
      <c r="AI1529" s="2994">
        <v>1.0630999999999999</v>
      </c>
      <c r="AJ1529" s="2994">
        <v>0.84619999999999995</v>
      </c>
      <c r="AK1529" s="2994">
        <v>1.0837000000000001</v>
      </c>
      <c r="AL1529" s="2994">
        <v>1.5323</v>
      </c>
      <c r="AM1529" s="2994">
        <v>1.3566</v>
      </c>
      <c r="AN1529" s="2994">
        <v>1.1797</v>
      </c>
      <c r="AO1529" s="2994">
        <v>1.115</v>
      </c>
      <c r="AP1529" s="2994">
        <v>0.74</v>
      </c>
      <c r="AQ1529" s="2994">
        <v>0.69579999999999997</v>
      </c>
      <c r="AR1529" s="2994">
        <v>0.9506</v>
      </c>
      <c r="AS1529" s="2994">
        <v>1.1902999999999999</v>
      </c>
      <c r="AT1529" s="2994">
        <v>0.95830000000000004</v>
      </c>
      <c r="AU1529" s="2994">
        <v>0.92679999999999996</v>
      </c>
      <c r="AV1529" s="2994">
        <v>0.98650000000000004</v>
      </c>
      <c r="AW1529" s="2994">
        <v>1.3269</v>
      </c>
      <c r="AX1529" s="2994">
        <v>1.1654</v>
      </c>
      <c r="AY1529" s="2994">
        <v>0.92589999999999995</v>
      </c>
      <c r="AZ1529" s="2994">
        <v>1.0513999999999999</v>
      </c>
      <c r="BA1529" s="2994">
        <v>1.1152</v>
      </c>
      <c r="BB1529" s="2994">
        <v>1.0920000000000001</v>
      </c>
      <c r="BC1529" s="2994">
        <v>1.0612999999999999</v>
      </c>
      <c r="BD1529" s="3471">
        <v>1.1753</v>
      </c>
      <c r="BE1529" s="3471">
        <v>1.1746000000000001</v>
      </c>
      <c r="BF1529" s="3471">
        <v>0</v>
      </c>
    </row>
    <row r="1530" spans="1:58">
      <c r="A1530" s="1817" t="str">
        <f t="shared" si="47"/>
        <v>OceaniaCoir</v>
      </c>
      <c r="B1530" s="1818" t="s">
        <v>303</v>
      </c>
      <c r="C1530" s="1818" t="s">
        <v>7315</v>
      </c>
      <c r="D1530" s="3463" t="str">
        <f>VLOOKUP(B1530,List_Yield!$G$4:$J$14,4,FALSE)</f>
        <v>Oceania</v>
      </c>
      <c r="E1530" s="3463" t="str">
        <f t="shared" si="48"/>
        <v>OceaniaCoir</v>
      </c>
      <c r="F1530" s="2994">
        <v>0</v>
      </c>
      <c r="G1530" s="2994">
        <v>0</v>
      </c>
      <c r="H1530" s="2994">
        <v>0</v>
      </c>
      <c r="I1530" s="2994">
        <v>0</v>
      </c>
      <c r="J1530" s="2994">
        <v>0</v>
      </c>
      <c r="K1530" s="2994">
        <v>0</v>
      </c>
      <c r="L1530" s="2994">
        <v>0</v>
      </c>
      <c r="M1530" s="2994">
        <v>0</v>
      </c>
      <c r="N1530" s="2994">
        <v>0</v>
      </c>
      <c r="O1530" s="2994">
        <v>0</v>
      </c>
      <c r="P1530" s="2994">
        <v>0</v>
      </c>
      <c r="Q1530" s="2994">
        <v>0</v>
      </c>
      <c r="R1530" s="2994">
        <v>0</v>
      </c>
      <c r="S1530" s="2994">
        <v>0</v>
      </c>
      <c r="T1530" s="2994">
        <v>0</v>
      </c>
      <c r="U1530" s="2994">
        <v>0</v>
      </c>
      <c r="V1530" s="2994">
        <v>0</v>
      </c>
      <c r="W1530" s="2994">
        <v>0</v>
      </c>
      <c r="X1530" s="2994">
        <v>0</v>
      </c>
      <c r="Y1530" s="2994">
        <v>0</v>
      </c>
      <c r="Z1530" s="2994">
        <v>0</v>
      </c>
      <c r="AA1530" s="2994">
        <v>0</v>
      </c>
      <c r="AB1530" s="2994">
        <v>0</v>
      </c>
      <c r="AC1530" s="2994">
        <v>0</v>
      </c>
      <c r="AD1530" s="2994">
        <v>0</v>
      </c>
      <c r="AE1530" s="2994">
        <v>0</v>
      </c>
      <c r="AF1530" s="2994">
        <v>0</v>
      </c>
      <c r="AG1530" s="2994">
        <v>0</v>
      </c>
      <c r="AH1530" s="2994">
        <v>0</v>
      </c>
      <c r="AI1530" s="2994">
        <v>0</v>
      </c>
      <c r="AJ1530" s="2994">
        <v>0</v>
      </c>
      <c r="AK1530" s="2994">
        <v>0</v>
      </c>
      <c r="AL1530" s="2994">
        <v>0</v>
      </c>
      <c r="AM1530" s="2994">
        <v>0</v>
      </c>
      <c r="AN1530" s="2994">
        <v>0</v>
      </c>
      <c r="AO1530" s="2994">
        <v>0</v>
      </c>
      <c r="AP1530" s="2994">
        <v>0</v>
      </c>
      <c r="AQ1530" s="2994">
        <v>0</v>
      </c>
      <c r="AR1530" s="2994">
        <v>0</v>
      </c>
      <c r="AS1530" s="2994">
        <v>0</v>
      </c>
      <c r="AT1530" s="2994">
        <v>0</v>
      </c>
      <c r="AU1530" s="2994">
        <v>0</v>
      </c>
      <c r="AV1530" s="2994">
        <v>0</v>
      </c>
      <c r="AW1530" s="2994">
        <v>0</v>
      </c>
      <c r="AX1530" s="2994">
        <v>0</v>
      </c>
      <c r="AY1530" s="2994">
        <v>0</v>
      </c>
      <c r="AZ1530" s="2994">
        <v>0</v>
      </c>
      <c r="BA1530" s="2994">
        <v>0</v>
      </c>
      <c r="BB1530" s="2994">
        <v>0</v>
      </c>
      <c r="BC1530" s="2994">
        <v>0</v>
      </c>
      <c r="BD1530" s="3471">
        <v>0</v>
      </c>
      <c r="BE1530" s="3471">
        <v>0</v>
      </c>
      <c r="BF1530" s="3471">
        <v>0</v>
      </c>
    </row>
    <row r="1531" spans="1:58">
      <c r="A1531" s="1817" t="str">
        <f t="shared" si="47"/>
        <v>OceaniaCow peas, dry</v>
      </c>
      <c r="B1531" s="1818" t="s">
        <v>303</v>
      </c>
      <c r="C1531" s="1818" t="s">
        <v>1329</v>
      </c>
      <c r="D1531" s="3463" t="str">
        <f>VLOOKUP(B1531,List_Yield!$G$4:$J$14,4,FALSE)</f>
        <v>Oceania</v>
      </c>
      <c r="E1531" s="3463" t="str">
        <f t="shared" si="48"/>
        <v>OceaniaCow peas, dry</v>
      </c>
      <c r="F1531" s="2994">
        <v>0</v>
      </c>
      <c r="G1531" s="2994">
        <v>0</v>
      </c>
      <c r="H1531" s="2994">
        <v>0</v>
      </c>
      <c r="I1531" s="2994">
        <v>0</v>
      </c>
      <c r="J1531" s="2994">
        <v>0</v>
      </c>
      <c r="K1531" s="2994">
        <v>0</v>
      </c>
      <c r="L1531" s="2994">
        <v>0</v>
      </c>
      <c r="M1531" s="2994">
        <v>0</v>
      </c>
      <c r="N1531" s="2994">
        <v>0</v>
      </c>
      <c r="O1531" s="2994">
        <v>0</v>
      </c>
      <c r="P1531" s="2994">
        <v>0</v>
      </c>
      <c r="Q1531" s="2994">
        <v>0</v>
      </c>
      <c r="R1531" s="2994">
        <v>0</v>
      </c>
      <c r="S1531" s="2994">
        <v>0</v>
      </c>
      <c r="T1531" s="2994">
        <v>0</v>
      </c>
      <c r="U1531" s="2994">
        <v>0</v>
      </c>
      <c r="V1531" s="2994">
        <v>0</v>
      </c>
      <c r="W1531" s="2994">
        <v>0</v>
      </c>
      <c r="X1531" s="2994">
        <v>0</v>
      </c>
      <c r="Y1531" s="2994">
        <v>0</v>
      </c>
      <c r="Z1531" s="2994">
        <v>0</v>
      </c>
      <c r="AA1531" s="2994">
        <v>0</v>
      </c>
      <c r="AB1531" s="2994">
        <v>0</v>
      </c>
      <c r="AC1531" s="2994">
        <v>0.47699999999999998</v>
      </c>
      <c r="AD1531" s="2994">
        <v>0.49059999999999998</v>
      </c>
      <c r="AE1531" s="2994">
        <v>0.40479999999999999</v>
      </c>
      <c r="AF1531" s="2994">
        <v>0.625</v>
      </c>
      <c r="AG1531" s="2994">
        <v>0.29199999999999998</v>
      </c>
      <c r="AH1531" s="2994">
        <v>0.54290000000000005</v>
      </c>
      <c r="AI1531" s="2994">
        <v>0.44180000000000003</v>
      </c>
      <c r="AJ1531" s="2994">
        <v>0.39119999999999999</v>
      </c>
      <c r="AK1531" s="2994">
        <v>0.47449999999999998</v>
      </c>
      <c r="AL1531" s="2994">
        <v>0.36709999999999998</v>
      </c>
      <c r="AM1531" s="2994">
        <v>0</v>
      </c>
      <c r="AN1531" s="2994">
        <v>0</v>
      </c>
      <c r="AO1531" s="2994">
        <v>0</v>
      </c>
      <c r="AP1531" s="2994">
        <v>0</v>
      </c>
      <c r="AQ1531" s="2994">
        <v>0</v>
      </c>
      <c r="AR1531" s="2994">
        <v>0</v>
      </c>
      <c r="AS1531" s="2994">
        <v>0</v>
      </c>
      <c r="AT1531" s="2994">
        <v>0</v>
      </c>
      <c r="AU1531" s="2994">
        <v>0</v>
      </c>
      <c r="AV1531" s="2994">
        <v>0</v>
      </c>
      <c r="AW1531" s="2994">
        <v>0</v>
      </c>
      <c r="AX1531" s="2994">
        <v>0</v>
      </c>
      <c r="AY1531" s="2994">
        <v>0</v>
      </c>
      <c r="AZ1531" s="2994">
        <v>0</v>
      </c>
      <c r="BA1531" s="2994">
        <v>0</v>
      </c>
      <c r="BB1531" s="2994">
        <v>0</v>
      </c>
      <c r="BC1531" s="2994">
        <v>0</v>
      </c>
      <c r="BD1531" s="3471">
        <v>0</v>
      </c>
      <c r="BE1531" s="3471">
        <v>0</v>
      </c>
      <c r="BF1531" s="3471">
        <v>0</v>
      </c>
    </row>
    <row r="1532" spans="1:58">
      <c r="A1532" s="1817" t="str">
        <f t="shared" si="47"/>
        <v>OceaniaCranberries</v>
      </c>
      <c r="B1532" s="1818" t="s">
        <v>303</v>
      </c>
      <c r="C1532" s="1818" t="s">
        <v>7316</v>
      </c>
      <c r="D1532" s="3463" t="str">
        <f>VLOOKUP(B1532,List_Yield!$G$4:$J$14,4,FALSE)</f>
        <v>Oceania</v>
      </c>
      <c r="E1532" s="3463" t="str">
        <f t="shared" si="48"/>
        <v>OceaniaCranberries</v>
      </c>
      <c r="F1532" s="2994">
        <v>0</v>
      </c>
      <c r="G1532" s="2994">
        <v>0</v>
      </c>
      <c r="H1532" s="2994">
        <v>0</v>
      </c>
      <c r="I1532" s="2994">
        <v>0</v>
      </c>
      <c r="J1532" s="2994">
        <v>0</v>
      </c>
      <c r="K1532" s="2994">
        <v>0</v>
      </c>
      <c r="L1532" s="2994">
        <v>0</v>
      </c>
      <c r="M1532" s="2994">
        <v>0</v>
      </c>
      <c r="N1532" s="2994">
        <v>0</v>
      </c>
      <c r="O1532" s="2994">
        <v>0</v>
      </c>
      <c r="P1532" s="2994">
        <v>0</v>
      </c>
      <c r="Q1532" s="2994">
        <v>0</v>
      </c>
      <c r="R1532" s="2994">
        <v>0</v>
      </c>
      <c r="S1532" s="2994">
        <v>0</v>
      </c>
      <c r="T1532" s="2994">
        <v>0</v>
      </c>
      <c r="U1532" s="2994">
        <v>0</v>
      </c>
      <c r="V1532" s="2994">
        <v>0</v>
      </c>
      <c r="W1532" s="2994">
        <v>0</v>
      </c>
      <c r="X1532" s="2994">
        <v>0</v>
      </c>
      <c r="Y1532" s="2994">
        <v>0</v>
      </c>
      <c r="Z1532" s="2994">
        <v>0</v>
      </c>
      <c r="AA1532" s="2994">
        <v>0</v>
      </c>
      <c r="AB1532" s="2994">
        <v>0</v>
      </c>
      <c r="AC1532" s="2994">
        <v>0</v>
      </c>
      <c r="AD1532" s="2994">
        <v>0</v>
      </c>
      <c r="AE1532" s="2994">
        <v>0</v>
      </c>
      <c r="AF1532" s="2994">
        <v>0</v>
      </c>
      <c r="AG1532" s="2994">
        <v>0</v>
      </c>
      <c r="AH1532" s="2994">
        <v>0</v>
      </c>
      <c r="AI1532" s="2994">
        <v>0</v>
      </c>
      <c r="AJ1532" s="2994">
        <v>0</v>
      </c>
      <c r="AK1532" s="2994">
        <v>0</v>
      </c>
      <c r="AL1532" s="2994">
        <v>0</v>
      </c>
      <c r="AM1532" s="2994">
        <v>0</v>
      </c>
      <c r="AN1532" s="2994">
        <v>0</v>
      </c>
      <c r="AO1532" s="2994">
        <v>0</v>
      </c>
      <c r="AP1532" s="2994">
        <v>0</v>
      </c>
      <c r="AQ1532" s="2994">
        <v>0</v>
      </c>
      <c r="AR1532" s="2994">
        <v>0</v>
      </c>
      <c r="AS1532" s="2994">
        <v>0</v>
      </c>
      <c r="AT1532" s="2994">
        <v>0</v>
      </c>
      <c r="AU1532" s="2994">
        <v>0</v>
      </c>
      <c r="AV1532" s="2994">
        <v>0</v>
      </c>
      <c r="AW1532" s="2994">
        <v>0</v>
      </c>
      <c r="AX1532" s="2994">
        <v>0</v>
      </c>
      <c r="AY1532" s="2994">
        <v>0</v>
      </c>
      <c r="AZ1532" s="2994">
        <v>0</v>
      </c>
      <c r="BA1532" s="2994">
        <v>0</v>
      </c>
      <c r="BB1532" s="2994">
        <v>0</v>
      </c>
      <c r="BC1532" s="2994">
        <v>0</v>
      </c>
      <c r="BD1532" s="3471">
        <v>0</v>
      </c>
      <c r="BE1532" s="3471">
        <v>0</v>
      </c>
      <c r="BF1532" s="3471">
        <v>0</v>
      </c>
    </row>
    <row r="1533" spans="1:58">
      <c r="A1533" s="1817" t="str">
        <f t="shared" si="47"/>
        <v>OceaniaCucumbers and gherkins</v>
      </c>
      <c r="B1533" s="1818" t="s">
        <v>303</v>
      </c>
      <c r="C1533" s="1818" t="s">
        <v>7317</v>
      </c>
      <c r="D1533" s="3463" t="str">
        <f>VLOOKUP(B1533,List_Yield!$G$4:$J$14,4,FALSE)</f>
        <v>Oceania</v>
      </c>
      <c r="E1533" s="3463" t="str">
        <f t="shared" si="48"/>
        <v>OceaniaCucumbers and gherkins</v>
      </c>
      <c r="F1533" s="2994">
        <v>14.1211</v>
      </c>
      <c r="G1533" s="2994">
        <v>13.5213</v>
      </c>
      <c r="H1533" s="2994">
        <v>12.673999999999999</v>
      </c>
      <c r="I1533" s="2994">
        <v>13.991400000000001</v>
      </c>
      <c r="J1533" s="2994">
        <v>16.177700000000002</v>
      </c>
      <c r="K1533" s="2994">
        <v>12.332599999999999</v>
      </c>
      <c r="L1533" s="2994">
        <v>11.797499999999999</v>
      </c>
      <c r="M1533" s="2994">
        <v>12.416700000000001</v>
      </c>
      <c r="N1533" s="2994">
        <v>12.802899999999999</v>
      </c>
      <c r="O1533" s="2994">
        <v>11.8157</v>
      </c>
      <c r="P1533" s="2994">
        <v>13.0152</v>
      </c>
      <c r="Q1533" s="2994">
        <v>13.337400000000001</v>
      </c>
      <c r="R1533" s="2994">
        <v>13.330299999999999</v>
      </c>
      <c r="S1533" s="2994">
        <v>13.1678</v>
      </c>
      <c r="T1533" s="2994">
        <v>11.711399999999999</v>
      </c>
      <c r="U1533" s="2994">
        <v>11.5862</v>
      </c>
      <c r="V1533" s="2994">
        <v>12.9961</v>
      </c>
      <c r="W1533" s="2994">
        <v>13.1419</v>
      </c>
      <c r="X1533" s="2994">
        <v>13.177</v>
      </c>
      <c r="Y1533" s="2994">
        <v>13.2286</v>
      </c>
      <c r="Z1533" s="2994">
        <v>13.2194</v>
      </c>
      <c r="AA1533" s="2994">
        <v>12.402900000000001</v>
      </c>
      <c r="AB1533" s="2994">
        <v>13.398999999999999</v>
      </c>
      <c r="AC1533" s="2994">
        <v>13.2606</v>
      </c>
      <c r="AD1533" s="2994">
        <v>13.7357</v>
      </c>
      <c r="AE1533" s="2994">
        <v>13.692399999999999</v>
      </c>
      <c r="AF1533" s="2994">
        <v>13.4648</v>
      </c>
      <c r="AG1533" s="2994">
        <v>15.17</v>
      </c>
      <c r="AH1533" s="2994">
        <v>12.851599999999999</v>
      </c>
      <c r="AI1533" s="2994">
        <v>14.6609</v>
      </c>
      <c r="AJ1533" s="2994">
        <v>13.8613</v>
      </c>
      <c r="AK1533" s="2994">
        <v>15.073700000000001</v>
      </c>
      <c r="AL1533" s="2994">
        <v>15.4826</v>
      </c>
      <c r="AM1533" s="2994">
        <v>14.530200000000001</v>
      </c>
      <c r="AN1533" s="2994">
        <v>14.2927</v>
      </c>
      <c r="AO1533" s="2994">
        <v>14.896599999999999</v>
      </c>
      <c r="AP1533" s="2994">
        <v>15.7974</v>
      </c>
      <c r="AQ1533" s="2994">
        <v>13.878299999999999</v>
      </c>
      <c r="AR1533" s="2994">
        <v>18.3248</v>
      </c>
      <c r="AS1533" s="2994">
        <v>14.1652</v>
      </c>
      <c r="AT1533" s="2994">
        <v>9.1623000000000001</v>
      </c>
      <c r="AU1533" s="2994">
        <v>14.6206</v>
      </c>
      <c r="AV1533" s="2994">
        <v>13.7964</v>
      </c>
      <c r="AW1533" s="2994">
        <v>15.25</v>
      </c>
      <c r="AX1533" s="2994">
        <v>12.7819</v>
      </c>
      <c r="AY1533" s="2994">
        <v>27.030100000000001</v>
      </c>
      <c r="AZ1533" s="2994">
        <v>53.521500000000003</v>
      </c>
      <c r="BA1533" s="2994">
        <v>28.819199999999999</v>
      </c>
      <c r="BB1533" s="2994">
        <v>21.789000000000001</v>
      </c>
      <c r="BC1533" s="2994">
        <v>20.529699999999998</v>
      </c>
      <c r="BD1533" s="3471">
        <v>20.290900000000001</v>
      </c>
      <c r="BE1533" s="3471">
        <v>19.735299999999999</v>
      </c>
      <c r="BF1533" s="3471">
        <v>0</v>
      </c>
    </row>
    <row r="1534" spans="1:58">
      <c r="A1534" s="1817" t="str">
        <f t="shared" si="47"/>
        <v>OceaniaCurrants</v>
      </c>
      <c r="B1534" s="1818" t="s">
        <v>303</v>
      </c>
      <c r="C1534" s="1818" t="s">
        <v>7318</v>
      </c>
      <c r="D1534" s="3463" t="str">
        <f>VLOOKUP(B1534,List_Yield!$G$4:$J$14,4,FALSE)</f>
        <v>Oceania</v>
      </c>
      <c r="E1534" s="3463" t="str">
        <f t="shared" si="48"/>
        <v>OceaniaCurrants</v>
      </c>
      <c r="F1534" s="2994">
        <v>2.8153999999999999</v>
      </c>
      <c r="G1534" s="2994">
        <v>3.6608999999999998</v>
      </c>
      <c r="H1534" s="2994">
        <v>3.3555000000000001</v>
      </c>
      <c r="I1534" s="2994">
        <v>3.0388000000000002</v>
      </c>
      <c r="J1534" s="2994">
        <v>4.32</v>
      </c>
      <c r="K1534" s="2994">
        <v>4.3792999999999997</v>
      </c>
      <c r="L1534" s="2994">
        <v>4.5503999999999998</v>
      </c>
      <c r="M1534" s="2994">
        <v>5.0533999999999999</v>
      </c>
      <c r="N1534" s="2994">
        <v>4.1540999999999997</v>
      </c>
      <c r="O1534" s="2994">
        <v>4.2534999999999998</v>
      </c>
      <c r="P1534" s="2994">
        <v>4.53</v>
      </c>
      <c r="Q1534" s="2994">
        <v>3.5430999999999999</v>
      </c>
      <c r="R1534" s="2994">
        <v>3.9902000000000002</v>
      </c>
      <c r="S1534" s="2994">
        <v>3.3475000000000001</v>
      </c>
      <c r="T1534" s="2994">
        <v>2.4074</v>
      </c>
      <c r="U1534" s="2994">
        <v>2.7734000000000001</v>
      </c>
      <c r="V1534" s="2994">
        <v>3.0377999999999998</v>
      </c>
      <c r="W1534" s="2994">
        <v>2.8584999999999998</v>
      </c>
      <c r="X1534" s="2994">
        <v>1.8584000000000001</v>
      </c>
      <c r="Y1534" s="2994">
        <v>0.99380000000000002</v>
      </c>
      <c r="Z1534" s="2994">
        <v>1.3250999999999999</v>
      </c>
      <c r="AA1534" s="2994">
        <v>1.6174999999999999</v>
      </c>
      <c r="AB1534" s="2994">
        <v>1.7361</v>
      </c>
      <c r="AC1534" s="2994">
        <v>1.7104999999999999</v>
      </c>
      <c r="AD1534" s="2994">
        <v>1.6828000000000001</v>
      </c>
      <c r="AE1534" s="2994">
        <v>3.1530999999999998</v>
      </c>
      <c r="AF1534" s="2994">
        <v>3.0409000000000002</v>
      </c>
      <c r="AG1534" s="2994">
        <v>2.9647999999999999</v>
      </c>
      <c r="AH1534" s="2994">
        <v>3.6173999999999999</v>
      </c>
      <c r="AI1534" s="2994">
        <v>3.7989999999999999</v>
      </c>
      <c r="AJ1534" s="2994">
        <v>3.9941</v>
      </c>
      <c r="AK1534" s="2994">
        <v>3.6436999999999999</v>
      </c>
      <c r="AL1534" s="2994">
        <v>4.6033999999999997</v>
      </c>
      <c r="AM1534" s="2994">
        <v>3.6547999999999998</v>
      </c>
      <c r="AN1534" s="2994">
        <v>3.9036</v>
      </c>
      <c r="AO1534" s="2994">
        <v>3.4298999999999999</v>
      </c>
      <c r="AP1534" s="2994">
        <v>4.1852999999999998</v>
      </c>
      <c r="AQ1534" s="2994">
        <v>5.9211</v>
      </c>
      <c r="AR1534" s="2994">
        <v>4.2683999999999997</v>
      </c>
      <c r="AS1534" s="2994">
        <v>3.6029</v>
      </c>
      <c r="AT1534" s="2994">
        <v>2.8169</v>
      </c>
      <c r="AU1534" s="2994">
        <v>2.2780999999999998</v>
      </c>
      <c r="AV1534" s="2994">
        <v>4.3901000000000003</v>
      </c>
      <c r="AW1534" s="2994">
        <v>5.4619</v>
      </c>
      <c r="AX1534" s="2994">
        <v>6.1336000000000004</v>
      </c>
      <c r="AY1534" s="2994">
        <v>4.7153</v>
      </c>
      <c r="AZ1534" s="2994">
        <v>6.0231000000000003</v>
      </c>
      <c r="BA1534" s="2994">
        <v>5.8807999999999998</v>
      </c>
      <c r="BB1534" s="2994">
        <v>6.3141999999999996</v>
      </c>
      <c r="BC1534" s="2994">
        <v>6.4450000000000003</v>
      </c>
      <c r="BD1534" s="3471">
        <v>5.9675000000000002</v>
      </c>
      <c r="BE1534" s="3471">
        <v>5.4127000000000001</v>
      </c>
      <c r="BF1534" s="3471">
        <v>0</v>
      </c>
    </row>
    <row r="1535" spans="1:58">
      <c r="A1535" s="1817" t="str">
        <f t="shared" si="47"/>
        <v>OceaniaDates</v>
      </c>
      <c r="B1535" s="1818" t="s">
        <v>303</v>
      </c>
      <c r="C1535" s="1818" t="s">
        <v>1348</v>
      </c>
      <c r="D1535" s="3463" t="str">
        <f>VLOOKUP(B1535,List_Yield!$G$4:$J$14,4,FALSE)</f>
        <v>Oceania</v>
      </c>
      <c r="E1535" s="3463" t="str">
        <f t="shared" si="48"/>
        <v>OceaniaDates</v>
      </c>
      <c r="F1535" s="2994">
        <v>0</v>
      </c>
      <c r="G1535" s="2994">
        <v>0</v>
      </c>
      <c r="H1535" s="2994">
        <v>0</v>
      </c>
      <c r="I1535" s="2994">
        <v>0</v>
      </c>
      <c r="J1535" s="2994">
        <v>0</v>
      </c>
      <c r="K1535" s="2994">
        <v>0</v>
      </c>
      <c r="L1535" s="2994">
        <v>0</v>
      </c>
      <c r="M1535" s="2994">
        <v>0</v>
      </c>
      <c r="N1535" s="2994">
        <v>0</v>
      </c>
      <c r="O1535" s="2994">
        <v>0</v>
      </c>
      <c r="P1535" s="2994">
        <v>0</v>
      </c>
      <c r="Q1535" s="2994">
        <v>0</v>
      </c>
      <c r="R1535" s="2994">
        <v>0</v>
      </c>
      <c r="S1535" s="2994">
        <v>0</v>
      </c>
      <c r="T1535" s="2994">
        <v>0</v>
      </c>
      <c r="U1535" s="2994">
        <v>0</v>
      </c>
      <c r="V1535" s="2994">
        <v>0</v>
      </c>
      <c r="W1535" s="2994">
        <v>0</v>
      </c>
      <c r="X1535" s="2994">
        <v>0</v>
      </c>
      <c r="Y1535" s="2994">
        <v>0</v>
      </c>
      <c r="Z1535" s="2994">
        <v>0</v>
      </c>
      <c r="AA1535" s="2994">
        <v>0</v>
      </c>
      <c r="AB1535" s="2994">
        <v>0</v>
      </c>
      <c r="AC1535" s="2994">
        <v>0</v>
      </c>
      <c r="AD1535" s="2994">
        <v>0</v>
      </c>
      <c r="AE1535" s="2994">
        <v>0</v>
      </c>
      <c r="AF1535" s="2994">
        <v>0</v>
      </c>
      <c r="AG1535" s="2994">
        <v>0</v>
      </c>
      <c r="AH1535" s="2994">
        <v>0</v>
      </c>
      <c r="AI1535" s="2994">
        <v>0</v>
      </c>
      <c r="AJ1535" s="2994">
        <v>0</v>
      </c>
      <c r="AK1535" s="2994">
        <v>0</v>
      </c>
      <c r="AL1535" s="2994">
        <v>0</v>
      </c>
      <c r="AM1535" s="2994">
        <v>0</v>
      </c>
      <c r="AN1535" s="2994">
        <v>0</v>
      </c>
      <c r="AO1535" s="2994">
        <v>0</v>
      </c>
      <c r="AP1535" s="2994">
        <v>0</v>
      </c>
      <c r="AQ1535" s="2994">
        <v>0</v>
      </c>
      <c r="AR1535" s="2994">
        <v>0</v>
      </c>
      <c r="AS1535" s="2994">
        <v>0</v>
      </c>
      <c r="AT1535" s="2994">
        <v>0</v>
      </c>
      <c r="AU1535" s="2994">
        <v>0</v>
      </c>
      <c r="AV1535" s="2994">
        <v>0</v>
      </c>
      <c r="AW1535" s="2994">
        <v>0</v>
      </c>
      <c r="AX1535" s="2994">
        <v>0</v>
      </c>
      <c r="AY1535" s="2994">
        <v>0</v>
      </c>
      <c r="AZ1535" s="2994">
        <v>0</v>
      </c>
      <c r="BA1535" s="2994">
        <v>0</v>
      </c>
      <c r="BB1535" s="2994">
        <v>0</v>
      </c>
      <c r="BC1535" s="2994">
        <v>0</v>
      </c>
      <c r="BD1535" s="3471">
        <v>0</v>
      </c>
      <c r="BE1535" s="3471">
        <v>0</v>
      </c>
      <c r="BF1535" s="3471">
        <v>0</v>
      </c>
    </row>
    <row r="1536" spans="1:58">
      <c r="A1536" s="1817" t="str">
        <f t="shared" si="47"/>
        <v>OceaniaEggplants (aubergines)</v>
      </c>
      <c r="B1536" s="1818" t="s">
        <v>303</v>
      </c>
      <c r="C1536" s="1818" t="s">
        <v>1349</v>
      </c>
      <c r="D1536" s="3463" t="str">
        <f>VLOOKUP(B1536,List_Yield!$G$4:$J$14,4,FALSE)</f>
        <v>Oceania</v>
      </c>
      <c r="E1536" s="3463" t="str">
        <f t="shared" si="48"/>
        <v>OceaniaEggplants (aubergines)</v>
      </c>
      <c r="F1536" s="2994">
        <v>5</v>
      </c>
      <c r="G1536" s="2994">
        <v>5</v>
      </c>
      <c r="H1536" s="2994">
        <v>5</v>
      </c>
      <c r="I1536" s="2994">
        <v>5</v>
      </c>
      <c r="J1536" s="2994">
        <v>5</v>
      </c>
      <c r="K1536" s="2994">
        <v>5</v>
      </c>
      <c r="L1536" s="2994">
        <v>5</v>
      </c>
      <c r="M1536" s="2994">
        <v>5</v>
      </c>
      <c r="N1536" s="2994">
        <v>5</v>
      </c>
      <c r="O1536" s="2994">
        <v>5</v>
      </c>
      <c r="P1536" s="2994">
        <v>5</v>
      </c>
      <c r="Q1536" s="2994">
        <v>5</v>
      </c>
      <c r="R1536" s="2994">
        <v>5</v>
      </c>
      <c r="S1536" s="2994">
        <v>5</v>
      </c>
      <c r="T1536" s="2994">
        <v>12.533300000000001</v>
      </c>
      <c r="U1536" s="2994">
        <v>7.3333000000000004</v>
      </c>
      <c r="V1536" s="2994">
        <v>9.6667000000000005</v>
      </c>
      <c r="W1536" s="2994">
        <v>9.7667000000000002</v>
      </c>
      <c r="X1536" s="2994">
        <v>11.1</v>
      </c>
      <c r="Y1536" s="2994">
        <v>7.4667000000000003</v>
      </c>
      <c r="Z1536" s="2994">
        <v>8.6</v>
      </c>
      <c r="AA1536" s="2994">
        <v>6.78</v>
      </c>
      <c r="AB1536" s="2994">
        <v>6.68</v>
      </c>
      <c r="AC1536" s="2994">
        <v>6.82</v>
      </c>
      <c r="AD1536" s="2994">
        <v>6.68</v>
      </c>
      <c r="AE1536" s="2994">
        <v>6.74</v>
      </c>
      <c r="AF1536" s="2994">
        <v>6.54</v>
      </c>
      <c r="AG1536" s="2994">
        <v>6.66</v>
      </c>
      <c r="AH1536" s="2994">
        <v>6.6</v>
      </c>
      <c r="AI1536" s="2994">
        <v>5.6226000000000003</v>
      </c>
      <c r="AJ1536" s="2994">
        <v>5.78</v>
      </c>
      <c r="AK1536" s="2994">
        <v>5.0713999999999997</v>
      </c>
      <c r="AL1536" s="2994">
        <v>8.9026999999999994</v>
      </c>
      <c r="AM1536" s="2994">
        <v>11.0481</v>
      </c>
      <c r="AN1536" s="2994">
        <v>7.64</v>
      </c>
      <c r="AO1536" s="2994">
        <v>5.0244</v>
      </c>
      <c r="AP1536" s="2994">
        <v>5.39</v>
      </c>
      <c r="AQ1536" s="2994">
        <v>5.1524999999999999</v>
      </c>
      <c r="AR1536" s="2994">
        <v>5.1875</v>
      </c>
      <c r="AS1536" s="2994">
        <v>5.0735999999999999</v>
      </c>
      <c r="AT1536" s="2994">
        <v>5.5740999999999996</v>
      </c>
      <c r="AU1536" s="2994">
        <v>5.8769999999999998</v>
      </c>
      <c r="AV1536" s="2994">
        <v>5.1558000000000002</v>
      </c>
      <c r="AW1536" s="2994">
        <v>5.6848000000000001</v>
      </c>
      <c r="AX1536" s="2994">
        <v>5.4467999999999996</v>
      </c>
      <c r="AY1536" s="2994">
        <v>4.9641999999999999</v>
      </c>
      <c r="AZ1536" s="2994">
        <v>5.0336999999999996</v>
      </c>
      <c r="BA1536" s="2994">
        <v>6.5689000000000002</v>
      </c>
      <c r="BB1536" s="2994">
        <v>7.0330000000000004</v>
      </c>
      <c r="BC1536" s="2994">
        <v>6.6689999999999996</v>
      </c>
      <c r="BD1536" s="3471">
        <v>5.6672000000000002</v>
      </c>
      <c r="BE1536" s="3471">
        <v>5.8433999999999999</v>
      </c>
      <c r="BF1536" s="3471">
        <v>0</v>
      </c>
    </row>
    <row r="1537" spans="1:58">
      <c r="A1537" s="1817" t="str">
        <f t="shared" si="47"/>
        <v>OceaniaFibre crops nes</v>
      </c>
      <c r="B1537" s="1818" t="s">
        <v>303</v>
      </c>
      <c r="C1537" s="1818" t="s">
        <v>7319</v>
      </c>
      <c r="D1537" s="3463" t="str">
        <f>VLOOKUP(B1537,List_Yield!$G$4:$J$14,4,FALSE)</f>
        <v>Oceania</v>
      </c>
      <c r="E1537" s="3463" t="str">
        <f t="shared" si="48"/>
        <v>OceaniaFibre crops nes</v>
      </c>
      <c r="F1537" s="2994">
        <v>1.0848</v>
      </c>
      <c r="G1537" s="2994">
        <v>0.34110000000000001</v>
      </c>
      <c r="H1537" s="2994">
        <v>0.30020000000000002</v>
      </c>
      <c r="I1537" s="2994">
        <v>0.3054</v>
      </c>
      <c r="J1537" s="2994">
        <v>0.29770000000000002</v>
      </c>
      <c r="K1537" s="2994">
        <v>0.314</v>
      </c>
      <c r="L1537" s="2994">
        <v>0.2757</v>
      </c>
      <c r="M1537" s="2994">
        <v>0.33260000000000001</v>
      </c>
      <c r="N1537" s="2994">
        <v>0.30159999999999998</v>
      </c>
      <c r="O1537" s="2994">
        <v>0.30059999999999998</v>
      </c>
      <c r="P1537" s="2994">
        <v>0.29970000000000002</v>
      </c>
      <c r="Q1537" s="2994">
        <v>0.29289999999999999</v>
      </c>
      <c r="R1537" s="2994">
        <v>0.29289999999999999</v>
      </c>
      <c r="S1537" s="2994">
        <v>0.29289999999999999</v>
      </c>
      <c r="T1537" s="2994">
        <v>0.3</v>
      </c>
      <c r="U1537" s="2994">
        <v>0.3</v>
      </c>
      <c r="V1537" s="2994">
        <v>0.3</v>
      </c>
      <c r="W1537" s="2994">
        <v>0.3</v>
      </c>
      <c r="X1537" s="2994">
        <v>0.31</v>
      </c>
      <c r="Y1537" s="2994">
        <v>0.31</v>
      </c>
      <c r="Z1537" s="2994">
        <v>0.32500000000000001</v>
      </c>
      <c r="AA1537" s="2994">
        <v>0.32500000000000001</v>
      </c>
      <c r="AB1537" s="2994">
        <v>0.35</v>
      </c>
      <c r="AC1537" s="2994">
        <v>0.35</v>
      </c>
      <c r="AD1537" s="2994">
        <v>0.35</v>
      </c>
      <c r="AE1537" s="2994">
        <v>0.4</v>
      </c>
      <c r="AF1537" s="2994">
        <v>0.4</v>
      </c>
      <c r="AG1537" s="2994">
        <v>0.4</v>
      </c>
      <c r="AH1537" s="2994">
        <v>0.4</v>
      </c>
      <c r="AI1537" s="2994">
        <v>0.39140000000000003</v>
      </c>
      <c r="AJ1537" s="2994">
        <v>0.41710000000000003</v>
      </c>
      <c r="AK1537" s="2994">
        <v>0.48370000000000002</v>
      </c>
      <c r="AL1537" s="2994">
        <v>0.46189999999999998</v>
      </c>
      <c r="AM1537" s="2994">
        <v>0.57779999999999998</v>
      </c>
      <c r="AN1537" s="2994">
        <v>0.58479999999999999</v>
      </c>
      <c r="AO1537" s="2994">
        <v>0.61199999999999999</v>
      </c>
      <c r="AP1537" s="2994">
        <v>0.62839999999999996</v>
      </c>
      <c r="AQ1537" s="2994">
        <v>0.66510000000000002</v>
      </c>
      <c r="AR1537" s="2994">
        <v>0.64219999999999999</v>
      </c>
      <c r="AS1537" s="2994">
        <v>0.59670000000000001</v>
      </c>
      <c r="AT1537" s="2994">
        <v>0.59809999999999997</v>
      </c>
      <c r="AU1537" s="2994">
        <v>0.59940000000000004</v>
      </c>
      <c r="AV1537" s="2994">
        <v>0.57969999999999999</v>
      </c>
      <c r="AW1537" s="2994">
        <v>0.5514</v>
      </c>
      <c r="AX1537" s="2994">
        <v>0.55720000000000003</v>
      </c>
      <c r="AY1537" s="2994">
        <v>0.57769999999999999</v>
      </c>
      <c r="AZ1537" s="2994">
        <v>0.54079999999999995</v>
      </c>
      <c r="BA1537" s="2994">
        <v>0.38890000000000002</v>
      </c>
      <c r="BB1537" s="2994">
        <v>0.50309999999999999</v>
      </c>
      <c r="BC1537" s="2994">
        <v>0.69569999999999999</v>
      </c>
      <c r="BD1537" s="3471">
        <v>0.69569999999999999</v>
      </c>
      <c r="BE1537" s="3471">
        <v>0.69569999999999999</v>
      </c>
      <c r="BF1537" s="3471">
        <v>0</v>
      </c>
    </row>
    <row r="1538" spans="1:58">
      <c r="A1538" s="1817" t="str">
        <f t="shared" ref="A1538:A1601" si="49">CONCATENATE(B1538,C1538)</f>
        <v>OceaniaFigs</v>
      </c>
      <c r="B1538" s="1818" t="s">
        <v>303</v>
      </c>
      <c r="C1538" s="1818" t="s">
        <v>7320</v>
      </c>
      <c r="D1538" s="3463" t="str">
        <f>VLOOKUP(B1538,List_Yield!$G$4:$J$14,4,FALSE)</f>
        <v>Oceania</v>
      </c>
      <c r="E1538" s="3463" t="str">
        <f t="shared" si="48"/>
        <v>OceaniaFigs</v>
      </c>
      <c r="F1538" s="2994">
        <v>5.9316000000000004</v>
      </c>
      <c r="G1538" s="2994">
        <v>6.0373999999999999</v>
      </c>
      <c r="H1538" s="2994">
        <v>7.3654000000000002</v>
      </c>
      <c r="I1538" s="2994">
        <v>7.6322000000000001</v>
      </c>
      <c r="J1538" s="2994">
        <v>7.5479000000000003</v>
      </c>
      <c r="K1538" s="2994">
        <v>7.7245999999999997</v>
      </c>
      <c r="L1538" s="2994">
        <v>8.5692000000000004</v>
      </c>
      <c r="M1538" s="2994">
        <v>9.7797000000000001</v>
      </c>
      <c r="N1538" s="2994">
        <v>8.8135999999999992</v>
      </c>
      <c r="O1538" s="2994">
        <v>10.8545</v>
      </c>
      <c r="P1538" s="2994">
        <v>8.48</v>
      </c>
      <c r="Q1538" s="2994">
        <v>8.2444000000000006</v>
      </c>
      <c r="R1538" s="2994">
        <v>7.375</v>
      </c>
      <c r="S1538" s="2994">
        <v>12.3667</v>
      </c>
      <c r="T1538" s="2994">
        <v>6.52</v>
      </c>
      <c r="U1538" s="2994">
        <v>9.3000000000000007</v>
      </c>
      <c r="V1538" s="2994">
        <v>6.85</v>
      </c>
      <c r="W1538" s="2994">
        <v>7.5332999999999997</v>
      </c>
      <c r="X1538" s="2994">
        <v>3.8666999999999998</v>
      </c>
      <c r="Y1538" s="2994">
        <v>3.8666999999999998</v>
      </c>
      <c r="Z1538" s="2994">
        <v>4</v>
      </c>
      <c r="AA1538" s="2994">
        <v>4.4000000000000004</v>
      </c>
      <c r="AB1538" s="2994">
        <v>4.4000000000000004</v>
      </c>
      <c r="AC1538" s="2994">
        <v>5.4</v>
      </c>
      <c r="AD1538" s="2994">
        <v>6.2</v>
      </c>
      <c r="AE1538" s="2994">
        <v>2.3167</v>
      </c>
      <c r="AF1538" s="2994">
        <v>2.625</v>
      </c>
      <c r="AG1538" s="2994">
        <v>2.7713999999999999</v>
      </c>
      <c r="AH1538" s="2994">
        <v>3.65</v>
      </c>
      <c r="AI1538" s="2994">
        <v>3.7332999999999998</v>
      </c>
      <c r="AJ1538" s="2994">
        <v>4.3102999999999998</v>
      </c>
      <c r="AK1538" s="2994">
        <v>4.2903000000000002</v>
      </c>
      <c r="AL1538" s="2994">
        <v>3.4375</v>
      </c>
      <c r="AM1538" s="2994">
        <v>3</v>
      </c>
      <c r="AN1538" s="2994">
        <v>2.7332999999999998</v>
      </c>
      <c r="AO1538" s="2994">
        <v>2.3529</v>
      </c>
      <c r="AP1538" s="2994">
        <v>2.1892</v>
      </c>
      <c r="AQ1538" s="2994">
        <v>1.8974</v>
      </c>
      <c r="AR1538" s="2994">
        <v>1.6667000000000001</v>
      </c>
      <c r="AS1538" s="2994">
        <v>1.5489999999999999</v>
      </c>
      <c r="AT1538" s="2994">
        <v>1.5085</v>
      </c>
      <c r="AU1538" s="2994">
        <v>1.4286000000000001</v>
      </c>
      <c r="AV1538" s="2994">
        <v>1.4032</v>
      </c>
      <c r="AW1538" s="2994">
        <v>1.4375</v>
      </c>
      <c r="AX1538" s="2994">
        <v>1.5077</v>
      </c>
      <c r="AY1538" s="2994">
        <v>1.1765000000000001</v>
      </c>
      <c r="AZ1538" s="2994">
        <v>1.1806000000000001</v>
      </c>
      <c r="BA1538" s="2994">
        <v>1.3571</v>
      </c>
      <c r="BB1538" s="2994">
        <v>1.2639</v>
      </c>
      <c r="BC1538" s="2994">
        <v>1.2754000000000001</v>
      </c>
      <c r="BD1538" s="3471">
        <v>1.1972</v>
      </c>
      <c r="BE1538" s="3471">
        <v>1.25</v>
      </c>
      <c r="BF1538" s="3471">
        <v>0</v>
      </c>
    </row>
    <row r="1539" spans="1:58">
      <c r="A1539" s="1817" t="str">
        <f t="shared" si="49"/>
        <v>OceaniaFlax fibre and tow</v>
      </c>
      <c r="B1539" s="1818" t="s">
        <v>303</v>
      </c>
      <c r="C1539" s="1818" t="s">
        <v>7321</v>
      </c>
      <c r="D1539" s="3463" t="str">
        <f>VLOOKUP(B1539,List_Yield!$G$4:$J$14,4,FALSE)</f>
        <v>Oceania</v>
      </c>
      <c r="E1539" s="3463" t="str">
        <f t="shared" si="48"/>
        <v>OceaniaFlax fibre and tow</v>
      </c>
      <c r="F1539" s="2994">
        <v>0.92390000000000005</v>
      </c>
      <c r="G1539" s="2994">
        <v>1.0064</v>
      </c>
      <c r="H1539" s="2994">
        <v>1</v>
      </c>
      <c r="I1539" s="2994">
        <v>0.97219999999999995</v>
      </c>
      <c r="J1539" s="2994">
        <v>1.6782999999999999</v>
      </c>
      <c r="K1539" s="2994">
        <v>1.1389</v>
      </c>
      <c r="L1539" s="2994">
        <v>1</v>
      </c>
      <c r="M1539" s="2994">
        <v>0.86670000000000003</v>
      </c>
      <c r="N1539" s="2994">
        <v>1.0149999999999999</v>
      </c>
      <c r="O1539" s="2994">
        <v>1.0149999999999999</v>
      </c>
      <c r="P1539" s="2994">
        <v>1.0149999999999999</v>
      </c>
      <c r="Q1539" s="2994">
        <v>1</v>
      </c>
      <c r="R1539" s="2994">
        <v>1.0524</v>
      </c>
      <c r="S1539" s="2994">
        <v>1.0476000000000001</v>
      </c>
      <c r="T1539" s="2994">
        <v>1.0476000000000001</v>
      </c>
      <c r="U1539" s="2994">
        <v>1.0476000000000001</v>
      </c>
      <c r="V1539" s="2994">
        <v>1.0731999999999999</v>
      </c>
      <c r="W1539" s="2994">
        <v>1.0648</v>
      </c>
      <c r="X1539" s="2994">
        <v>1.0896999999999999</v>
      </c>
      <c r="Y1539" s="2994">
        <v>1.125</v>
      </c>
      <c r="Z1539" s="2994">
        <v>0</v>
      </c>
      <c r="AA1539" s="2994">
        <v>0</v>
      </c>
      <c r="AB1539" s="2994">
        <v>0</v>
      </c>
      <c r="AC1539" s="2994">
        <v>0</v>
      </c>
      <c r="AD1539" s="2994">
        <v>0</v>
      </c>
      <c r="AE1539" s="2994">
        <v>0</v>
      </c>
      <c r="AF1539" s="2994">
        <v>0</v>
      </c>
      <c r="AG1539" s="2994">
        <v>0</v>
      </c>
      <c r="AH1539" s="2994">
        <v>0</v>
      </c>
      <c r="AI1539" s="2994">
        <v>0</v>
      </c>
      <c r="AJ1539" s="2994">
        <v>0</v>
      </c>
      <c r="AK1539" s="2994">
        <v>0</v>
      </c>
      <c r="AL1539" s="2994">
        <v>0</v>
      </c>
      <c r="AM1539" s="2994">
        <v>0</v>
      </c>
      <c r="AN1539" s="2994">
        <v>0</v>
      </c>
      <c r="AO1539" s="2994">
        <v>0</v>
      </c>
      <c r="AP1539" s="2994">
        <v>0</v>
      </c>
      <c r="AQ1539" s="2994">
        <v>0</v>
      </c>
      <c r="AR1539" s="2994">
        <v>0</v>
      </c>
      <c r="AS1539" s="2994">
        <v>0</v>
      </c>
      <c r="AT1539" s="2994">
        <v>0</v>
      </c>
      <c r="AU1539" s="2994">
        <v>0</v>
      </c>
      <c r="AV1539" s="2994">
        <v>0</v>
      </c>
      <c r="AW1539" s="2994">
        <v>0</v>
      </c>
      <c r="AX1539" s="2994">
        <v>0</v>
      </c>
      <c r="AY1539" s="2994">
        <v>0</v>
      </c>
      <c r="AZ1539" s="2994">
        <v>0</v>
      </c>
      <c r="BA1539" s="2994">
        <v>0</v>
      </c>
      <c r="BB1539" s="2994">
        <v>0</v>
      </c>
      <c r="BC1539" s="2994">
        <v>0</v>
      </c>
      <c r="BD1539" s="3471">
        <v>0</v>
      </c>
      <c r="BE1539" s="3471">
        <v>0</v>
      </c>
      <c r="BF1539" s="3471">
        <v>0</v>
      </c>
    </row>
    <row r="1540" spans="1:58">
      <c r="A1540" s="1817" t="str">
        <f t="shared" si="49"/>
        <v>OceaniaFonio</v>
      </c>
      <c r="B1540" s="1818" t="s">
        <v>303</v>
      </c>
      <c r="C1540" s="1818" t="s">
        <v>7322</v>
      </c>
      <c r="D1540" s="3463" t="str">
        <f>VLOOKUP(B1540,List_Yield!$G$4:$J$14,4,FALSE)</f>
        <v>Oceania</v>
      </c>
      <c r="E1540" s="3463" t="str">
        <f t="shared" si="48"/>
        <v>OceaniaFonio</v>
      </c>
      <c r="F1540" s="2994">
        <v>0</v>
      </c>
      <c r="G1540" s="2994">
        <v>0</v>
      </c>
      <c r="H1540" s="2994">
        <v>0</v>
      </c>
      <c r="I1540" s="2994">
        <v>0</v>
      </c>
      <c r="J1540" s="2994">
        <v>0</v>
      </c>
      <c r="K1540" s="2994">
        <v>0</v>
      </c>
      <c r="L1540" s="2994">
        <v>0</v>
      </c>
      <c r="M1540" s="2994">
        <v>0</v>
      </c>
      <c r="N1540" s="2994">
        <v>0</v>
      </c>
      <c r="O1540" s="2994">
        <v>0</v>
      </c>
      <c r="P1540" s="2994">
        <v>0</v>
      </c>
      <c r="Q1540" s="2994">
        <v>0</v>
      </c>
      <c r="R1540" s="2994">
        <v>0</v>
      </c>
      <c r="S1540" s="2994">
        <v>0</v>
      </c>
      <c r="T1540" s="2994">
        <v>0</v>
      </c>
      <c r="U1540" s="2994">
        <v>0</v>
      </c>
      <c r="V1540" s="2994">
        <v>0</v>
      </c>
      <c r="W1540" s="2994">
        <v>0</v>
      </c>
      <c r="X1540" s="2994">
        <v>0</v>
      </c>
      <c r="Y1540" s="2994">
        <v>0</v>
      </c>
      <c r="Z1540" s="2994">
        <v>0</v>
      </c>
      <c r="AA1540" s="2994">
        <v>0</v>
      </c>
      <c r="AB1540" s="2994">
        <v>0</v>
      </c>
      <c r="AC1540" s="2994">
        <v>0</v>
      </c>
      <c r="AD1540" s="2994">
        <v>0</v>
      </c>
      <c r="AE1540" s="2994">
        <v>0</v>
      </c>
      <c r="AF1540" s="2994">
        <v>0</v>
      </c>
      <c r="AG1540" s="2994">
        <v>0</v>
      </c>
      <c r="AH1540" s="2994">
        <v>0</v>
      </c>
      <c r="AI1540" s="2994">
        <v>0</v>
      </c>
      <c r="AJ1540" s="2994">
        <v>0</v>
      </c>
      <c r="AK1540" s="2994">
        <v>0</v>
      </c>
      <c r="AL1540" s="2994">
        <v>0</v>
      </c>
      <c r="AM1540" s="2994">
        <v>0</v>
      </c>
      <c r="AN1540" s="2994">
        <v>0</v>
      </c>
      <c r="AO1540" s="2994">
        <v>0</v>
      </c>
      <c r="AP1540" s="2994">
        <v>0</v>
      </c>
      <c r="AQ1540" s="2994">
        <v>0</v>
      </c>
      <c r="AR1540" s="2994">
        <v>0</v>
      </c>
      <c r="AS1540" s="2994">
        <v>0</v>
      </c>
      <c r="AT1540" s="2994">
        <v>0</v>
      </c>
      <c r="AU1540" s="2994">
        <v>0</v>
      </c>
      <c r="AV1540" s="2994">
        <v>0</v>
      </c>
      <c r="AW1540" s="2994">
        <v>0</v>
      </c>
      <c r="AX1540" s="2994">
        <v>0</v>
      </c>
      <c r="AY1540" s="2994">
        <v>0</v>
      </c>
      <c r="AZ1540" s="2994">
        <v>0</v>
      </c>
      <c r="BA1540" s="2994">
        <v>0</v>
      </c>
      <c r="BB1540" s="2994">
        <v>0</v>
      </c>
      <c r="BC1540" s="2994">
        <v>0</v>
      </c>
      <c r="BD1540" s="3471">
        <v>0</v>
      </c>
      <c r="BE1540" s="3471">
        <v>0</v>
      </c>
      <c r="BF1540" s="3471">
        <v>0</v>
      </c>
    </row>
    <row r="1541" spans="1:58">
      <c r="A1541" s="1817" t="str">
        <f t="shared" si="49"/>
        <v>OceaniaFruit, citrus nes</v>
      </c>
      <c r="B1541" s="1818" t="s">
        <v>303</v>
      </c>
      <c r="C1541" s="1818" t="s">
        <v>7323</v>
      </c>
      <c r="D1541" s="3463" t="str">
        <f>VLOOKUP(B1541,List_Yield!$G$4:$J$14,4,FALSE)</f>
        <v>Oceania</v>
      </c>
      <c r="E1541" s="3463" t="str">
        <f t="shared" si="48"/>
        <v>OceaniaFruit, citrus nes</v>
      </c>
      <c r="F1541" s="2994">
        <v>6.6271000000000004</v>
      </c>
      <c r="G1541" s="2994">
        <v>6.5469999999999997</v>
      </c>
      <c r="H1541" s="2994">
        <v>6.5956999999999999</v>
      </c>
      <c r="I1541" s="2994">
        <v>6.25</v>
      </c>
      <c r="J1541" s="2994">
        <v>6.093</v>
      </c>
      <c r="K1541" s="2994">
        <v>5.8422999999999998</v>
      </c>
      <c r="L1541" s="2994">
        <v>5.3609999999999998</v>
      </c>
      <c r="M1541" s="2994">
        <v>6.0403000000000002</v>
      </c>
      <c r="N1541" s="2994">
        <v>5.7184999999999997</v>
      </c>
      <c r="O1541" s="2994">
        <v>6.3529</v>
      </c>
      <c r="P1541" s="2994">
        <v>6.7854999999999999</v>
      </c>
      <c r="Q1541" s="2994">
        <v>7.4634</v>
      </c>
      <c r="R1541" s="2994">
        <v>6.7511000000000001</v>
      </c>
      <c r="S1541" s="2994">
        <v>7.0281000000000002</v>
      </c>
      <c r="T1541" s="2994">
        <v>6.3834999999999997</v>
      </c>
      <c r="U1541" s="2994">
        <v>6.3682999999999996</v>
      </c>
      <c r="V1541" s="2994">
        <v>6.4297000000000004</v>
      </c>
      <c r="W1541" s="2994">
        <v>8.8595000000000006</v>
      </c>
      <c r="X1541" s="2994">
        <v>9.8691999999999993</v>
      </c>
      <c r="Y1541" s="2994">
        <v>12.767799999999999</v>
      </c>
      <c r="Z1541" s="2994">
        <v>9.9831000000000003</v>
      </c>
      <c r="AA1541" s="2994">
        <v>9.1725999999999992</v>
      </c>
      <c r="AB1541" s="2994">
        <v>9.0803999999999991</v>
      </c>
      <c r="AC1541" s="2994">
        <v>8.6946999999999992</v>
      </c>
      <c r="AD1541" s="2994">
        <v>8.6873000000000005</v>
      </c>
      <c r="AE1541" s="2994">
        <v>8.6557999999999993</v>
      </c>
      <c r="AF1541" s="2994">
        <v>8.0119000000000007</v>
      </c>
      <c r="AG1541" s="2994">
        <v>8.1448</v>
      </c>
      <c r="AH1541" s="2994">
        <v>8.4093</v>
      </c>
      <c r="AI1541" s="2994">
        <v>9.0561000000000007</v>
      </c>
      <c r="AJ1541" s="2994">
        <v>9.1243999999999996</v>
      </c>
      <c r="AK1541" s="2994">
        <v>10.1524</v>
      </c>
      <c r="AL1541" s="2994">
        <v>9.51</v>
      </c>
      <c r="AM1541" s="2994">
        <v>10.871499999999999</v>
      </c>
      <c r="AN1541" s="2994">
        <v>10.913600000000001</v>
      </c>
      <c r="AO1541" s="2994">
        <v>11.331899999999999</v>
      </c>
      <c r="AP1541" s="2994">
        <v>11.8476</v>
      </c>
      <c r="AQ1541" s="2994">
        <v>11.3834</v>
      </c>
      <c r="AR1541" s="2994">
        <v>10.2049</v>
      </c>
      <c r="AS1541" s="2994">
        <v>10.3386</v>
      </c>
      <c r="AT1541" s="2994">
        <v>10.122</v>
      </c>
      <c r="AU1541" s="2994">
        <v>9.9945000000000004</v>
      </c>
      <c r="AV1541" s="2994">
        <v>9.4977</v>
      </c>
      <c r="AW1541" s="2994">
        <v>10.8146</v>
      </c>
      <c r="AX1541" s="2994">
        <v>10.3271</v>
      </c>
      <c r="AY1541" s="2994">
        <v>9.3292000000000002</v>
      </c>
      <c r="AZ1541" s="2994">
        <v>8.3150999999999993</v>
      </c>
      <c r="BA1541" s="2994">
        <v>10.112299999999999</v>
      </c>
      <c r="BB1541" s="2994">
        <v>9.7782</v>
      </c>
      <c r="BC1541" s="2994">
        <v>9.8989999999999991</v>
      </c>
      <c r="BD1541" s="3471">
        <v>9.3496000000000006</v>
      </c>
      <c r="BE1541" s="3471">
        <v>9.4277999999999995</v>
      </c>
      <c r="BF1541" s="3471">
        <v>0</v>
      </c>
    </row>
    <row r="1542" spans="1:58">
      <c r="A1542" s="1817" t="str">
        <f t="shared" si="49"/>
        <v>OceaniaFruit, fresh nes</v>
      </c>
      <c r="B1542" s="1818" t="s">
        <v>303</v>
      </c>
      <c r="C1542" s="1818" t="s">
        <v>7324</v>
      </c>
      <c r="D1542" s="3463" t="str">
        <f>VLOOKUP(B1542,List_Yield!$G$4:$J$14,4,FALSE)</f>
        <v>Oceania</v>
      </c>
      <c r="E1542" s="3463" t="str">
        <f t="shared" si="48"/>
        <v>OceaniaFruit, fresh nes</v>
      </c>
      <c r="F1542" s="2994">
        <v>8.0479000000000003</v>
      </c>
      <c r="G1542" s="2994">
        <v>8.1006</v>
      </c>
      <c r="H1542" s="2994">
        <v>8.0906000000000002</v>
      </c>
      <c r="I1542" s="2994">
        <v>8.1423000000000005</v>
      </c>
      <c r="J1542" s="2994">
        <v>8.1031999999999993</v>
      </c>
      <c r="K1542" s="2994">
        <v>8.0573999999999995</v>
      </c>
      <c r="L1542" s="2994">
        <v>8.0518000000000001</v>
      </c>
      <c r="M1542" s="2994">
        <v>8.0785</v>
      </c>
      <c r="N1542" s="2994">
        <v>8.0313999999999997</v>
      </c>
      <c r="O1542" s="2994">
        <v>8.0214999999999996</v>
      </c>
      <c r="P1542" s="2994">
        <v>8.0335000000000001</v>
      </c>
      <c r="Q1542" s="2994">
        <v>8.0117999999999991</v>
      </c>
      <c r="R1542" s="2994">
        <v>8.0457000000000001</v>
      </c>
      <c r="S1542" s="2994">
        <v>8.0488999999999997</v>
      </c>
      <c r="T1542" s="2994">
        <v>8.0475999999999992</v>
      </c>
      <c r="U1542" s="2994">
        <v>8.0411000000000001</v>
      </c>
      <c r="V1542" s="2994">
        <v>8.0450999999999997</v>
      </c>
      <c r="W1542" s="2994">
        <v>8.0351999999999997</v>
      </c>
      <c r="X1542" s="2994">
        <v>8.0570000000000004</v>
      </c>
      <c r="Y1542" s="2994">
        <v>8.0677000000000003</v>
      </c>
      <c r="Z1542" s="2994">
        <v>8.0877999999999997</v>
      </c>
      <c r="AA1542" s="2994">
        <v>8.0831999999999997</v>
      </c>
      <c r="AB1542" s="2994">
        <v>8.1037999999999997</v>
      </c>
      <c r="AC1542" s="2994">
        <v>8.0459999999999994</v>
      </c>
      <c r="AD1542" s="2994">
        <v>8.0184999999999995</v>
      </c>
      <c r="AE1542" s="2994">
        <v>7.9600999999999997</v>
      </c>
      <c r="AF1542" s="2994">
        <v>8.0160999999999998</v>
      </c>
      <c r="AG1542" s="2994">
        <v>8.0534999999999997</v>
      </c>
      <c r="AH1542" s="2994">
        <v>8.0559999999999992</v>
      </c>
      <c r="AI1542" s="2994">
        <v>8.0974000000000004</v>
      </c>
      <c r="AJ1542" s="2994">
        <v>8.0902999999999992</v>
      </c>
      <c r="AK1542" s="2994">
        <v>8.0955999999999992</v>
      </c>
      <c r="AL1542" s="2994">
        <v>8.0902999999999992</v>
      </c>
      <c r="AM1542" s="2994">
        <v>8.0894999999999992</v>
      </c>
      <c r="AN1542" s="2994">
        <v>8.1341999999999999</v>
      </c>
      <c r="AO1542" s="2994">
        <v>8.0967000000000002</v>
      </c>
      <c r="AP1542" s="2994">
        <v>8.1384000000000007</v>
      </c>
      <c r="AQ1542" s="2994">
        <v>8.1260999999999992</v>
      </c>
      <c r="AR1542" s="2994">
        <v>8.0731999999999999</v>
      </c>
      <c r="AS1542" s="2994">
        <v>8.0524000000000004</v>
      </c>
      <c r="AT1542" s="2994">
        <v>7.9545000000000003</v>
      </c>
      <c r="AU1542" s="2994">
        <v>7.9573</v>
      </c>
      <c r="AV1542" s="2994">
        <v>8.0129999999999999</v>
      </c>
      <c r="AW1542" s="2994">
        <v>7.9324000000000003</v>
      </c>
      <c r="AX1542" s="2994">
        <v>7.8802000000000003</v>
      </c>
      <c r="AY1542" s="2994">
        <v>7.9668000000000001</v>
      </c>
      <c r="AZ1542" s="2994">
        <v>8.0900999999999996</v>
      </c>
      <c r="BA1542" s="2994">
        <v>8.0327000000000002</v>
      </c>
      <c r="BB1542" s="2994">
        <v>8.0350999999999999</v>
      </c>
      <c r="BC1542" s="2994">
        <v>8.1034000000000006</v>
      </c>
      <c r="BD1542" s="3471">
        <v>8.2027999999999999</v>
      </c>
      <c r="BE1542" s="3471">
        <v>8.4799000000000007</v>
      </c>
      <c r="BF1542" s="3471">
        <v>0</v>
      </c>
    </row>
    <row r="1543" spans="1:58">
      <c r="A1543" s="1817" t="str">
        <f t="shared" si="49"/>
        <v>OceaniaFruit, pome nes</v>
      </c>
      <c r="B1543" s="1818" t="s">
        <v>303</v>
      </c>
      <c r="C1543" s="1818" t="s">
        <v>7325</v>
      </c>
      <c r="D1543" s="3463" t="str">
        <f>VLOOKUP(B1543,List_Yield!$G$4:$J$14,4,FALSE)</f>
        <v>Oceania</v>
      </c>
      <c r="E1543" s="3463" t="str">
        <f t="shared" si="48"/>
        <v>OceaniaFruit, pome nes</v>
      </c>
      <c r="F1543" s="2994">
        <v>0</v>
      </c>
      <c r="G1543" s="2994">
        <v>0</v>
      </c>
      <c r="H1543" s="2994">
        <v>0</v>
      </c>
      <c r="I1543" s="2994">
        <v>0</v>
      </c>
      <c r="J1543" s="2994">
        <v>0</v>
      </c>
      <c r="K1543" s="2994">
        <v>0</v>
      </c>
      <c r="L1543" s="2994">
        <v>0</v>
      </c>
      <c r="M1543" s="2994">
        <v>0</v>
      </c>
      <c r="N1543" s="2994">
        <v>0</v>
      </c>
      <c r="O1543" s="2994">
        <v>0</v>
      </c>
      <c r="P1543" s="2994">
        <v>0</v>
      </c>
      <c r="Q1543" s="2994">
        <v>0</v>
      </c>
      <c r="R1543" s="2994">
        <v>0</v>
      </c>
      <c r="S1543" s="2994">
        <v>0</v>
      </c>
      <c r="T1543" s="2994">
        <v>0</v>
      </c>
      <c r="U1543" s="2994">
        <v>0</v>
      </c>
      <c r="V1543" s="2994">
        <v>0</v>
      </c>
      <c r="W1543" s="2994">
        <v>0</v>
      </c>
      <c r="X1543" s="2994">
        <v>0</v>
      </c>
      <c r="Y1543" s="2994">
        <v>0</v>
      </c>
      <c r="Z1543" s="2994">
        <v>0</v>
      </c>
      <c r="AA1543" s="2994">
        <v>0</v>
      </c>
      <c r="AB1543" s="2994">
        <v>0</v>
      </c>
      <c r="AC1543" s="2994">
        <v>0</v>
      </c>
      <c r="AD1543" s="2994">
        <v>0</v>
      </c>
      <c r="AE1543" s="2994">
        <v>0</v>
      </c>
      <c r="AF1543" s="2994">
        <v>0</v>
      </c>
      <c r="AG1543" s="2994">
        <v>0</v>
      </c>
      <c r="AH1543" s="2994">
        <v>0</v>
      </c>
      <c r="AI1543" s="2994">
        <v>0</v>
      </c>
      <c r="AJ1543" s="2994">
        <v>0</v>
      </c>
      <c r="AK1543" s="2994">
        <v>0</v>
      </c>
      <c r="AL1543" s="2994">
        <v>0</v>
      </c>
      <c r="AM1543" s="2994">
        <v>0</v>
      </c>
      <c r="AN1543" s="2994">
        <v>0</v>
      </c>
      <c r="AO1543" s="2994">
        <v>0</v>
      </c>
      <c r="AP1543" s="2994">
        <v>0</v>
      </c>
      <c r="AQ1543" s="2994">
        <v>0</v>
      </c>
      <c r="AR1543" s="2994">
        <v>0</v>
      </c>
      <c r="AS1543" s="2994">
        <v>0</v>
      </c>
      <c r="AT1543" s="2994">
        <v>0</v>
      </c>
      <c r="AU1543" s="2994">
        <v>0</v>
      </c>
      <c r="AV1543" s="2994">
        <v>0</v>
      </c>
      <c r="AW1543" s="2994">
        <v>0</v>
      </c>
      <c r="AX1543" s="2994">
        <v>0</v>
      </c>
      <c r="AY1543" s="2994">
        <v>0</v>
      </c>
      <c r="AZ1543" s="2994">
        <v>0</v>
      </c>
      <c r="BA1543" s="2994">
        <v>0</v>
      </c>
      <c r="BB1543" s="2994">
        <v>0</v>
      </c>
      <c r="BC1543" s="2994">
        <v>0</v>
      </c>
      <c r="BD1543" s="3471">
        <v>0</v>
      </c>
      <c r="BE1543" s="3471">
        <v>0</v>
      </c>
      <c r="BF1543" s="3471">
        <v>0</v>
      </c>
    </row>
    <row r="1544" spans="1:58">
      <c r="A1544" s="1817" t="str">
        <f t="shared" si="49"/>
        <v>OceaniaFruit, stone nes</v>
      </c>
      <c r="B1544" s="1818" t="s">
        <v>303</v>
      </c>
      <c r="C1544" s="1818" t="s">
        <v>7326</v>
      </c>
      <c r="D1544" s="3463" t="str">
        <f>VLOOKUP(B1544,List_Yield!$G$4:$J$14,4,FALSE)</f>
        <v>Oceania</v>
      </c>
      <c r="E1544" s="3463" t="str">
        <f t="shared" si="48"/>
        <v>OceaniaFruit, stone nes</v>
      </c>
      <c r="F1544" s="2994">
        <v>15</v>
      </c>
      <c r="G1544" s="2994">
        <v>15</v>
      </c>
      <c r="H1544" s="2994">
        <v>13.333299999999999</v>
      </c>
      <c r="I1544" s="2994">
        <v>12.5</v>
      </c>
      <c r="J1544" s="2994">
        <v>12</v>
      </c>
      <c r="K1544" s="2994">
        <v>11.666700000000001</v>
      </c>
      <c r="L1544" s="2994">
        <v>11.1111</v>
      </c>
      <c r="M1544" s="2994">
        <v>10.7692</v>
      </c>
      <c r="N1544" s="2994">
        <v>11.1111</v>
      </c>
      <c r="O1544" s="2994">
        <v>10.8696</v>
      </c>
      <c r="P1544" s="2994">
        <v>11.1111</v>
      </c>
      <c r="Q1544" s="2994">
        <v>11.1111</v>
      </c>
      <c r="R1544" s="2994">
        <v>11.1111</v>
      </c>
      <c r="S1544" s="2994">
        <v>11.1111</v>
      </c>
      <c r="T1544" s="2994">
        <v>11.1111</v>
      </c>
      <c r="U1544" s="2994">
        <v>11.1111</v>
      </c>
      <c r="V1544" s="2994">
        <v>11.2903</v>
      </c>
      <c r="W1544" s="2994">
        <v>11.2903</v>
      </c>
      <c r="X1544" s="2994">
        <v>11.2903</v>
      </c>
      <c r="Y1544" s="2994">
        <v>11.428599999999999</v>
      </c>
      <c r="Z1544" s="2994">
        <v>11.25</v>
      </c>
      <c r="AA1544" s="2994">
        <v>11.1111</v>
      </c>
      <c r="AB1544" s="2994">
        <v>11.1111</v>
      </c>
      <c r="AC1544" s="2994">
        <v>11.1111</v>
      </c>
      <c r="AD1544" s="2994">
        <v>11.25</v>
      </c>
      <c r="AE1544" s="2994">
        <v>11.0526</v>
      </c>
      <c r="AF1544" s="2994">
        <v>11.0448</v>
      </c>
      <c r="AG1544" s="2994">
        <v>11.8056</v>
      </c>
      <c r="AH1544" s="2994">
        <v>12.766</v>
      </c>
      <c r="AI1544" s="2994">
        <v>15.384600000000001</v>
      </c>
      <c r="AJ1544" s="2994">
        <v>18.333300000000001</v>
      </c>
      <c r="AK1544" s="2994">
        <v>19.285699999999999</v>
      </c>
      <c r="AL1544" s="2994">
        <v>21.764700000000001</v>
      </c>
      <c r="AM1544" s="2994">
        <v>22.352900000000002</v>
      </c>
      <c r="AN1544" s="2994">
        <v>23.529399999999999</v>
      </c>
      <c r="AO1544" s="2994">
        <v>23.529399999999999</v>
      </c>
      <c r="AP1544" s="2994">
        <v>23.529399999999999</v>
      </c>
      <c r="AQ1544" s="2994">
        <v>23.529399999999999</v>
      </c>
      <c r="AR1544" s="2994">
        <v>23.529399999999999</v>
      </c>
      <c r="AS1544" s="2994">
        <v>23.333300000000001</v>
      </c>
      <c r="AT1544" s="2994">
        <v>23.333300000000001</v>
      </c>
      <c r="AU1544" s="2994">
        <v>23.157900000000001</v>
      </c>
      <c r="AV1544" s="2994">
        <v>23.157900000000001</v>
      </c>
      <c r="AW1544" s="2994">
        <v>23.157900000000001</v>
      </c>
      <c r="AX1544" s="2994">
        <v>23.157900000000001</v>
      </c>
      <c r="AY1544" s="2994">
        <v>23</v>
      </c>
      <c r="AZ1544" s="2994">
        <v>19.583300000000001</v>
      </c>
      <c r="BA1544" s="2994">
        <v>20</v>
      </c>
      <c r="BB1544" s="2994">
        <v>19.561</v>
      </c>
      <c r="BC1544" s="2994">
        <v>19.7881</v>
      </c>
      <c r="BD1544" s="3471">
        <v>18.603300000000001</v>
      </c>
      <c r="BE1544" s="3471">
        <v>19.166699999999999</v>
      </c>
      <c r="BF1544" s="3471">
        <v>0</v>
      </c>
    </row>
    <row r="1545" spans="1:58">
      <c r="A1545" s="1817" t="str">
        <f t="shared" si="49"/>
        <v>OceaniaFruit, tropical fresh nes</v>
      </c>
      <c r="B1545" s="1818" t="s">
        <v>303</v>
      </c>
      <c r="C1545" s="1818" t="s">
        <v>7327</v>
      </c>
      <c r="D1545" s="3463" t="str">
        <f>VLOOKUP(B1545,List_Yield!$G$4:$J$14,4,FALSE)</f>
        <v>Oceania</v>
      </c>
      <c r="E1545" s="3463" t="str">
        <f t="shared" si="48"/>
        <v>OceaniaFruit, tropical fresh nes</v>
      </c>
      <c r="F1545" s="2994">
        <v>4.1993</v>
      </c>
      <c r="G1545" s="2994">
        <v>4.2293000000000003</v>
      </c>
      <c r="H1545" s="2994">
        <v>4.4108000000000001</v>
      </c>
      <c r="I1545" s="2994">
        <v>4.6543000000000001</v>
      </c>
      <c r="J1545" s="2994">
        <v>4.9001999999999999</v>
      </c>
      <c r="K1545" s="2994">
        <v>5.2979000000000003</v>
      </c>
      <c r="L1545" s="2994">
        <v>5.3407</v>
      </c>
      <c r="M1545" s="2994">
        <v>5.3951000000000002</v>
      </c>
      <c r="N1545" s="2994">
        <v>5.1360999999999999</v>
      </c>
      <c r="O1545" s="2994">
        <v>5.5079000000000002</v>
      </c>
      <c r="P1545" s="2994">
        <v>5.4516999999999998</v>
      </c>
      <c r="Q1545" s="2994">
        <v>5.6351000000000004</v>
      </c>
      <c r="R1545" s="2994">
        <v>5.7792000000000003</v>
      </c>
      <c r="S1545" s="2994">
        <v>6.1013000000000002</v>
      </c>
      <c r="T1545" s="2994">
        <v>5.5841000000000003</v>
      </c>
      <c r="U1545" s="2994">
        <v>5.8567999999999998</v>
      </c>
      <c r="V1545" s="2994">
        <v>5.6555999999999997</v>
      </c>
      <c r="W1545" s="2994">
        <v>5.4991000000000003</v>
      </c>
      <c r="X1545" s="2994">
        <v>5.9603000000000002</v>
      </c>
      <c r="Y1545" s="2994">
        <v>5.9778000000000002</v>
      </c>
      <c r="Z1545" s="2994">
        <v>6.5358000000000001</v>
      </c>
      <c r="AA1545" s="2994">
        <v>5.8415999999999997</v>
      </c>
      <c r="AB1545" s="2994">
        <v>5.8486000000000002</v>
      </c>
      <c r="AC1545" s="2994">
        <v>6.7096999999999998</v>
      </c>
      <c r="AD1545" s="2994">
        <v>4.9145000000000003</v>
      </c>
      <c r="AE1545" s="2994">
        <v>5.1528999999999998</v>
      </c>
      <c r="AF1545" s="2994">
        <v>5.3143000000000002</v>
      </c>
      <c r="AG1545" s="2994">
        <v>5.4261999999999997</v>
      </c>
      <c r="AH1545" s="2994">
        <v>5.7291999999999996</v>
      </c>
      <c r="AI1545" s="2994">
        <v>5.5335000000000001</v>
      </c>
      <c r="AJ1545" s="2994">
        <v>5.4366000000000003</v>
      </c>
      <c r="AK1545" s="2994">
        <v>5.0132000000000003</v>
      </c>
      <c r="AL1545" s="2994">
        <v>5.0949</v>
      </c>
      <c r="AM1545" s="2994">
        <v>5.0808999999999997</v>
      </c>
      <c r="AN1545" s="2994">
        <v>5.2602000000000002</v>
      </c>
      <c r="AO1545" s="2994">
        <v>5.0963000000000003</v>
      </c>
      <c r="AP1545" s="2994">
        <v>5.3632</v>
      </c>
      <c r="AQ1545" s="2994">
        <v>5.2816999999999998</v>
      </c>
      <c r="AR1545" s="2994">
        <v>5.0194000000000001</v>
      </c>
      <c r="AS1545" s="2994">
        <v>5.0522999999999998</v>
      </c>
      <c r="AT1545" s="2994">
        <v>4.8880999999999997</v>
      </c>
      <c r="AU1545" s="2994">
        <v>4.7579000000000002</v>
      </c>
      <c r="AV1545" s="2994">
        <v>4.9268999999999998</v>
      </c>
      <c r="AW1545" s="2994">
        <v>5.1231</v>
      </c>
      <c r="AX1545" s="2994">
        <v>5.5946999999999996</v>
      </c>
      <c r="AY1545" s="2994">
        <v>5.1966000000000001</v>
      </c>
      <c r="AZ1545" s="2994">
        <v>4.4463999999999997</v>
      </c>
      <c r="BA1545" s="2994">
        <v>4.9141000000000004</v>
      </c>
      <c r="BB1545" s="2994">
        <v>4.6768000000000001</v>
      </c>
      <c r="BC1545" s="2994">
        <v>4.7525000000000004</v>
      </c>
      <c r="BD1545" s="3471">
        <v>4.5860000000000003</v>
      </c>
      <c r="BE1545" s="3471">
        <v>4.6193999999999997</v>
      </c>
      <c r="BF1545" s="3471">
        <v>0</v>
      </c>
    </row>
    <row r="1546" spans="1:58">
      <c r="A1546" s="1817" t="str">
        <f t="shared" si="49"/>
        <v>OceaniaGarlic</v>
      </c>
      <c r="B1546" s="1818" t="s">
        <v>303</v>
      </c>
      <c r="C1546" s="1818" t="s">
        <v>7328</v>
      </c>
      <c r="D1546" s="3463" t="str">
        <f>VLOOKUP(B1546,List_Yield!$G$4:$J$14,4,FALSE)</f>
        <v>Oceania</v>
      </c>
      <c r="E1546" s="3463" t="str">
        <f t="shared" si="48"/>
        <v>OceaniaGarlic</v>
      </c>
      <c r="F1546" s="2994">
        <v>1</v>
      </c>
      <c r="G1546" s="2994">
        <v>1</v>
      </c>
      <c r="H1546" s="2994">
        <v>1</v>
      </c>
      <c r="I1546" s="2994">
        <v>1</v>
      </c>
      <c r="J1546" s="2994">
        <v>1</v>
      </c>
      <c r="K1546" s="2994">
        <v>1.5</v>
      </c>
      <c r="L1546" s="2994">
        <v>1</v>
      </c>
      <c r="M1546" s="2994">
        <v>1</v>
      </c>
      <c r="N1546" s="2994">
        <v>1</v>
      </c>
      <c r="O1546" s="2994">
        <v>1</v>
      </c>
      <c r="P1546" s="2994">
        <v>1</v>
      </c>
      <c r="Q1546" s="2994">
        <v>1</v>
      </c>
      <c r="R1546" s="2994">
        <v>1</v>
      </c>
      <c r="S1546" s="2994">
        <v>1</v>
      </c>
      <c r="T1546" s="2994">
        <v>1</v>
      </c>
      <c r="U1546" s="2994">
        <v>1</v>
      </c>
      <c r="V1546" s="2994">
        <v>7</v>
      </c>
      <c r="W1546" s="2994">
        <v>7.1326999999999998</v>
      </c>
      <c r="X1546" s="2994">
        <v>7.2949999999999999</v>
      </c>
      <c r="Y1546" s="2994">
        <v>7.2282999999999999</v>
      </c>
      <c r="Z1546" s="2994">
        <v>6.3708999999999998</v>
      </c>
      <c r="AA1546" s="2994">
        <v>6.0391000000000004</v>
      </c>
      <c r="AB1546" s="2994">
        <v>5.9090999999999996</v>
      </c>
      <c r="AC1546" s="2994">
        <v>6.6666999999999996</v>
      </c>
      <c r="AD1546" s="2994">
        <v>6.1333000000000002</v>
      </c>
      <c r="AE1546" s="2994">
        <v>6.1</v>
      </c>
      <c r="AF1546" s="2994">
        <v>6.1364000000000001</v>
      </c>
      <c r="AG1546" s="2994">
        <v>6.1863999999999999</v>
      </c>
      <c r="AH1546" s="2994">
        <v>6.1947000000000001</v>
      </c>
      <c r="AI1546" s="2994">
        <v>5.9542000000000002</v>
      </c>
      <c r="AJ1546" s="2994">
        <v>5.7142999999999997</v>
      </c>
      <c r="AK1546" s="2994">
        <v>5.0898000000000003</v>
      </c>
      <c r="AL1546" s="2994">
        <v>7.0643000000000002</v>
      </c>
      <c r="AM1546" s="2994">
        <v>6</v>
      </c>
      <c r="AN1546" s="2994">
        <v>5.9221000000000004</v>
      </c>
      <c r="AO1546" s="2994">
        <v>7.3280000000000003</v>
      </c>
      <c r="AP1546" s="2994">
        <v>5.5724999999999998</v>
      </c>
      <c r="AQ1546" s="2994">
        <v>7.1429</v>
      </c>
      <c r="AR1546" s="2994">
        <v>7.1429</v>
      </c>
      <c r="AS1546" s="2994">
        <v>5.2816999999999998</v>
      </c>
      <c r="AT1546" s="2994">
        <v>5.2826000000000004</v>
      </c>
      <c r="AU1546" s="2994">
        <v>5.2798999999999996</v>
      </c>
      <c r="AV1546" s="2994">
        <v>5.2857000000000003</v>
      </c>
      <c r="AW1546" s="2994">
        <v>5.3758999999999997</v>
      </c>
      <c r="AX1546" s="2994">
        <v>5.4211999999999998</v>
      </c>
      <c r="AY1546" s="2994">
        <v>6.6963999999999997</v>
      </c>
      <c r="AZ1546" s="2994">
        <v>5.3448000000000002</v>
      </c>
      <c r="BA1546" s="2994">
        <v>5.13</v>
      </c>
      <c r="BB1546" s="2994">
        <v>5.0955000000000004</v>
      </c>
      <c r="BC1546" s="2994">
        <v>4.8353000000000002</v>
      </c>
      <c r="BD1546" s="3471">
        <v>4.1020000000000003</v>
      </c>
      <c r="BE1546" s="3471">
        <v>4.2857000000000003</v>
      </c>
      <c r="BF1546" s="3471">
        <v>0</v>
      </c>
    </row>
    <row r="1547" spans="1:58">
      <c r="A1547" s="1817" t="str">
        <f t="shared" si="49"/>
        <v>OceaniaGinger</v>
      </c>
      <c r="B1547" s="1818" t="s">
        <v>303</v>
      </c>
      <c r="C1547" s="1818" t="s">
        <v>7329</v>
      </c>
      <c r="D1547" s="3463" t="str">
        <f>VLOOKUP(B1547,List_Yield!$G$4:$J$14,4,FALSE)</f>
        <v>Oceania</v>
      </c>
      <c r="E1547" s="3463" t="str">
        <f t="shared" si="48"/>
        <v>OceaniaGinger</v>
      </c>
      <c r="F1547" s="2994">
        <v>8.5714000000000006</v>
      </c>
      <c r="G1547" s="2994">
        <v>7</v>
      </c>
      <c r="H1547" s="2994">
        <v>8.8234999999999992</v>
      </c>
      <c r="I1547" s="2994">
        <v>9.0908999999999995</v>
      </c>
      <c r="J1547" s="2994">
        <v>9.0908999999999995</v>
      </c>
      <c r="K1547" s="2994">
        <v>8.6667000000000005</v>
      </c>
      <c r="L1547" s="2994">
        <v>8.8234999999999992</v>
      </c>
      <c r="M1547" s="2994">
        <v>8.9474</v>
      </c>
      <c r="N1547" s="2994">
        <v>8.9474</v>
      </c>
      <c r="O1547" s="2994">
        <v>8.9474</v>
      </c>
      <c r="P1547" s="2994">
        <v>8.9474</v>
      </c>
      <c r="Q1547" s="2994">
        <v>8.9474</v>
      </c>
      <c r="R1547" s="2994">
        <v>12.631600000000001</v>
      </c>
      <c r="S1547" s="2994">
        <v>8.8234999999999992</v>
      </c>
      <c r="T1547" s="2994">
        <v>8.7879000000000005</v>
      </c>
      <c r="U1547" s="2994">
        <v>8.7805</v>
      </c>
      <c r="V1547" s="2994">
        <v>8.85</v>
      </c>
      <c r="W1547" s="2994">
        <v>6.4749999999999996</v>
      </c>
      <c r="X1547" s="2994">
        <v>5.9047999999999998</v>
      </c>
      <c r="Y1547" s="2994">
        <v>5.8076999999999996</v>
      </c>
      <c r="Z1547" s="2994">
        <v>4.1493000000000002</v>
      </c>
      <c r="AA1547" s="2994">
        <v>7.1260000000000003</v>
      </c>
      <c r="AB1547" s="2994">
        <v>6.1280000000000001</v>
      </c>
      <c r="AC1547" s="2994">
        <v>31.7073</v>
      </c>
      <c r="AD1547" s="2994">
        <v>32.330800000000004</v>
      </c>
      <c r="AE1547" s="2994">
        <v>32.051299999999998</v>
      </c>
      <c r="AF1547" s="2994">
        <v>33.582099999999997</v>
      </c>
      <c r="AG1547" s="2994">
        <v>33.333300000000001</v>
      </c>
      <c r="AH1547" s="2994">
        <v>37.503500000000003</v>
      </c>
      <c r="AI1547" s="2994">
        <v>32.905299999999997</v>
      </c>
      <c r="AJ1547" s="2994">
        <v>32.338299999999997</v>
      </c>
      <c r="AK1547" s="2994">
        <v>31.087199999999999</v>
      </c>
      <c r="AL1547" s="2994">
        <v>42.354199999999999</v>
      </c>
      <c r="AM1547" s="2994">
        <v>25.576899999999998</v>
      </c>
      <c r="AN1547" s="2994">
        <v>38.2759</v>
      </c>
      <c r="AO1547" s="2994">
        <v>36.969200000000001</v>
      </c>
      <c r="AP1547" s="2994">
        <v>36.753399999999999</v>
      </c>
      <c r="AQ1547" s="2994">
        <v>36.842100000000002</v>
      </c>
      <c r="AR1547" s="2994">
        <v>36.732399999999998</v>
      </c>
      <c r="AS1547" s="2994">
        <v>36.9694</v>
      </c>
      <c r="AT1547" s="2994">
        <v>35.924999999999997</v>
      </c>
      <c r="AU1547" s="2994">
        <v>37.1</v>
      </c>
      <c r="AV1547" s="2994">
        <v>36.966299999999997</v>
      </c>
      <c r="AW1547" s="2994">
        <v>34.907400000000003</v>
      </c>
      <c r="AX1547" s="2994">
        <v>35.115400000000001</v>
      </c>
      <c r="AY1547" s="2994">
        <v>34.880400000000002</v>
      </c>
      <c r="AZ1547" s="2994">
        <v>34.955100000000002</v>
      </c>
      <c r="BA1547" s="2994">
        <v>34.971400000000003</v>
      </c>
      <c r="BB1547" s="2994">
        <v>34.954000000000001</v>
      </c>
      <c r="BC1547" s="2994">
        <v>33.4</v>
      </c>
      <c r="BD1547" s="3471">
        <v>34.333300000000001</v>
      </c>
      <c r="BE1547" s="3471">
        <v>33.333300000000001</v>
      </c>
      <c r="BF1547" s="3471">
        <v>0</v>
      </c>
    </row>
    <row r="1548" spans="1:58">
      <c r="A1548" s="1817" t="str">
        <f t="shared" si="49"/>
        <v>OceaniaGooseberries</v>
      </c>
      <c r="B1548" s="1818" t="s">
        <v>303</v>
      </c>
      <c r="C1548" s="1818" t="s">
        <v>7330</v>
      </c>
      <c r="D1548" s="3463" t="str">
        <f>VLOOKUP(B1548,List_Yield!$G$4:$J$14,4,FALSE)</f>
        <v>Oceania</v>
      </c>
      <c r="E1548" s="3463" t="str">
        <f t="shared" si="48"/>
        <v>OceaniaGooseberries</v>
      </c>
      <c r="F1548" s="2994">
        <v>7.5556000000000001</v>
      </c>
      <c r="G1548" s="2994">
        <v>7.9619999999999997</v>
      </c>
      <c r="H1548" s="2994">
        <v>7</v>
      </c>
      <c r="I1548" s="2994">
        <v>8.1818000000000008</v>
      </c>
      <c r="J1548" s="2994">
        <v>8.4614999999999991</v>
      </c>
      <c r="K1548" s="2994">
        <v>4.1852</v>
      </c>
      <c r="L1548" s="2994">
        <v>3.3077000000000001</v>
      </c>
      <c r="M1548" s="2994">
        <v>4.6538000000000004</v>
      </c>
      <c r="N1548" s="2994">
        <v>3.875</v>
      </c>
      <c r="O1548" s="2994">
        <v>7.3913000000000002</v>
      </c>
      <c r="P1548" s="2994">
        <v>7.9</v>
      </c>
      <c r="Q1548" s="2994">
        <v>5.5237999999999996</v>
      </c>
      <c r="R1548" s="2994">
        <v>7</v>
      </c>
      <c r="S1548" s="2994">
        <v>7.0587999999999997</v>
      </c>
      <c r="T1548" s="2994">
        <v>6.4118000000000004</v>
      </c>
      <c r="U1548" s="2994">
        <v>4.7857000000000003</v>
      </c>
      <c r="V1548" s="2994">
        <v>6.5454999999999997</v>
      </c>
      <c r="W1548" s="2994">
        <v>3.6</v>
      </c>
      <c r="X1548" s="2994">
        <v>1.9231</v>
      </c>
      <c r="Y1548" s="2994">
        <v>1.3332999999999999</v>
      </c>
      <c r="Z1548" s="2994">
        <v>0.91890000000000005</v>
      </c>
      <c r="AA1548" s="2994">
        <v>1.25</v>
      </c>
      <c r="AB1548" s="2994">
        <v>1.25</v>
      </c>
      <c r="AC1548" s="2994">
        <v>1.25</v>
      </c>
      <c r="AD1548" s="2994">
        <v>1.3332999999999999</v>
      </c>
      <c r="AE1548" s="2994">
        <v>1.25</v>
      </c>
      <c r="AF1548" s="2994">
        <v>1.1537999999999999</v>
      </c>
      <c r="AG1548" s="2994">
        <v>1.2</v>
      </c>
      <c r="AH1548" s="2994">
        <v>1.5</v>
      </c>
      <c r="AI1548" s="2994">
        <v>1.6667000000000001</v>
      </c>
      <c r="AJ1548" s="2994">
        <v>1.2</v>
      </c>
      <c r="AK1548" s="2994">
        <v>1.4</v>
      </c>
      <c r="AL1548" s="2994">
        <v>1.3</v>
      </c>
      <c r="AM1548" s="2994">
        <v>1.25</v>
      </c>
      <c r="AN1548" s="2994">
        <v>1.35</v>
      </c>
      <c r="AO1548" s="2994">
        <v>1.2</v>
      </c>
      <c r="AP1548" s="2994">
        <v>5</v>
      </c>
      <c r="AQ1548" s="2994">
        <v>5</v>
      </c>
      <c r="AR1548" s="2994">
        <v>5</v>
      </c>
      <c r="AS1548" s="2994">
        <v>5</v>
      </c>
      <c r="AT1548" s="2994">
        <v>5</v>
      </c>
      <c r="AU1548" s="2994">
        <v>5</v>
      </c>
      <c r="AV1548" s="2994">
        <v>5</v>
      </c>
      <c r="AW1548" s="2994">
        <v>5.5</v>
      </c>
      <c r="AX1548" s="2994">
        <v>6</v>
      </c>
      <c r="AY1548" s="2994">
        <v>5</v>
      </c>
      <c r="AZ1548" s="2994">
        <v>4.5</v>
      </c>
      <c r="BA1548" s="2994">
        <v>5</v>
      </c>
      <c r="BB1548" s="2994">
        <v>5</v>
      </c>
      <c r="BC1548" s="2994">
        <v>5</v>
      </c>
      <c r="BD1548" s="3471">
        <v>5</v>
      </c>
      <c r="BE1548" s="3471">
        <v>5</v>
      </c>
      <c r="BF1548" s="3471">
        <v>0</v>
      </c>
    </row>
    <row r="1549" spans="1:58">
      <c r="A1549" s="1817" t="str">
        <f t="shared" si="49"/>
        <v>OceaniaGrain, mixed</v>
      </c>
      <c r="B1549" s="1818" t="s">
        <v>303</v>
      </c>
      <c r="C1549" s="1818" t="s">
        <v>7331</v>
      </c>
      <c r="D1549" s="3463" t="str">
        <f>VLOOKUP(B1549,List_Yield!$G$4:$J$14,4,FALSE)</f>
        <v>Oceania</v>
      </c>
      <c r="E1549" s="3463" t="str">
        <f t="shared" ref="E1549:E1612" si="50">CONCATENATE(D1549,C1549)</f>
        <v>OceaniaGrain, mixed</v>
      </c>
      <c r="F1549" s="2994">
        <v>0</v>
      </c>
      <c r="G1549" s="2994">
        <v>0</v>
      </c>
      <c r="H1549" s="2994">
        <v>0</v>
      </c>
      <c r="I1549" s="2994">
        <v>0</v>
      </c>
      <c r="J1549" s="2994">
        <v>0</v>
      </c>
      <c r="K1549" s="2994">
        <v>0</v>
      </c>
      <c r="L1549" s="2994">
        <v>0</v>
      </c>
      <c r="M1549" s="2994">
        <v>0</v>
      </c>
      <c r="N1549" s="2994">
        <v>0</v>
      </c>
      <c r="O1549" s="2994">
        <v>0</v>
      </c>
      <c r="P1549" s="2994">
        <v>0</v>
      </c>
      <c r="Q1549" s="2994">
        <v>0</v>
      </c>
      <c r="R1549" s="2994">
        <v>0</v>
      </c>
      <c r="S1549" s="2994">
        <v>0</v>
      </c>
      <c r="T1549" s="2994">
        <v>0</v>
      </c>
      <c r="U1549" s="2994">
        <v>0</v>
      </c>
      <c r="V1549" s="2994">
        <v>0</v>
      </c>
      <c r="W1549" s="2994">
        <v>0</v>
      </c>
      <c r="X1549" s="2994">
        <v>0</v>
      </c>
      <c r="Y1549" s="2994">
        <v>0</v>
      </c>
      <c r="Z1549" s="2994">
        <v>0</v>
      </c>
      <c r="AA1549" s="2994">
        <v>0</v>
      </c>
      <c r="AB1549" s="2994">
        <v>0</v>
      </c>
      <c r="AC1549" s="2994">
        <v>0</v>
      </c>
      <c r="AD1549" s="2994">
        <v>0</v>
      </c>
      <c r="AE1549" s="2994">
        <v>0</v>
      </c>
      <c r="AF1549" s="2994">
        <v>0</v>
      </c>
      <c r="AG1549" s="2994">
        <v>0</v>
      </c>
      <c r="AH1549" s="2994">
        <v>0</v>
      </c>
      <c r="AI1549" s="2994">
        <v>0</v>
      </c>
      <c r="AJ1549" s="2994">
        <v>0</v>
      </c>
      <c r="AK1549" s="2994">
        <v>0</v>
      </c>
      <c r="AL1549" s="2994">
        <v>0</v>
      </c>
      <c r="AM1549" s="2994">
        <v>0</v>
      </c>
      <c r="AN1549" s="2994">
        <v>0</v>
      </c>
      <c r="AO1549" s="2994">
        <v>0</v>
      </c>
      <c r="AP1549" s="2994">
        <v>0</v>
      </c>
      <c r="AQ1549" s="2994">
        <v>0</v>
      </c>
      <c r="AR1549" s="2994">
        <v>0</v>
      </c>
      <c r="AS1549" s="2994">
        <v>0</v>
      </c>
      <c r="AT1549" s="2994">
        <v>0</v>
      </c>
      <c r="AU1549" s="2994">
        <v>0</v>
      </c>
      <c r="AV1549" s="2994">
        <v>0</v>
      </c>
      <c r="AW1549" s="2994">
        <v>0</v>
      </c>
      <c r="AX1549" s="2994">
        <v>0</v>
      </c>
      <c r="AY1549" s="2994">
        <v>0</v>
      </c>
      <c r="AZ1549" s="2994">
        <v>0</v>
      </c>
      <c r="BA1549" s="2994">
        <v>0</v>
      </c>
      <c r="BB1549" s="2994">
        <v>0</v>
      </c>
      <c r="BC1549" s="2994">
        <v>0</v>
      </c>
      <c r="BD1549" s="3471">
        <v>0</v>
      </c>
      <c r="BE1549" s="3471">
        <v>0</v>
      </c>
      <c r="BF1549" s="3471">
        <v>0</v>
      </c>
    </row>
    <row r="1550" spans="1:58">
      <c r="A1550" s="1817" t="str">
        <f t="shared" si="49"/>
        <v>OceaniaGrapefruit (inc. pomelos)</v>
      </c>
      <c r="B1550" s="1818" t="s">
        <v>303</v>
      </c>
      <c r="C1550" s="1818" t="s">
        <v>1351</v>
      </c>
      <c r="D1550" s="3463" t="str">
        <f>VLOOKUP(B1550,List_Yield!$G$4:$J$14,4,FALSE)</f>
        <v>Oceania</v>
      </c>
      <c r="E1550" s="3463" t="str">
        <f t="shared" si="50"/>
        <v>OceaniaGrapefruit (inc. pomelos)</v>
      </c>
      <c r="F1550" s="2994">
        <v>16.695900000000002</v>
      </c>
      <c r="G1550" s="2994">
        <v>18.427700000000002</v>
      </c>
      <c r="H1550" s="2994">
        <v>21.159800000000001</v>
      </c>
      <c r="I1550" s="2994">
        <v>19.5778</v>
      </c>
      <c r="J1550" s="2994">
        <v>20.0228</v>
      </c>
      <c r="K1550" s="2994">
        <v>19.738600000000002</v>
      </c>
      <c r="L1550" s="2994">
        <v>17.849399999999999</v>
      </c>
      <c r="M1550" s="2994">
        <v>21.494199999999999</v>
      </c>
      <c r="N1550" s="2994">
        <v>17.235700000000001</v>
      </c>
      <c r="O1550" s="2994">
        <v>21.838100000000001</v>
      </c>
      <c r="P1550" s="2994">
        <v>17.8705</v>
      </c>
      <c r="Q1550" s="2994">
        <v>18.131799999999998</v>
      </c>
      <c r="R1550" s="2994">
        <v>13.156499999999999</v>
      </c>
      <c r="S1550" s="2994">
        <v>13.7727</v>
      </c>
      <c r="T1550" s="2994">
        <v>13.421200000000001</v>
      </c>
      <c r="U1550" s="2994">
        <v>16.023099999999999</v>
      </c>
      <c r="V1550" s="2994">
        <v>17.741900000000001</v>
      </c>
      <c r="W1550" s="2994">
        <v>18.5944</v>
      </c>
      <c r="X1550" s="2994">
        <v>21.052700000000002</v>
      </c>
      <c r="Y1550" s="2994">
        <v>24.8598</v>
      </c>
      <c r="Z1550" s="2994">
        <v>25.523599999999998</v>
      </c>
      <c r="AA1550" s="2994">
        <v>23.8142</v>
      </c>
      <c r="AB1550" s="2994">
        <v>25.334</v>
      </c>
      <c r="AC1550" s="2994">
        <v>30.207799999999999</v>
      </c>
      <c r="AD1550" s="2994">
        <v>30.075099999999999</v>
      </c>
      <c r="AE1550" s="2994">
        <v>32.112099999999998</v>
      </c>
      <c r="AF1550" s="2994">
        <v>30.174099999999999</v>
      </c>
      <c r="AG1550" s="2994">
        <v>31.191299999999998</v>
      </c>
      <c r="AH1550" s="2994">
        <v>29.9861</v>
      </c>
      <c r="AI1550" s="2994">
        <v>29.394500000000001</v>
      </c>
      <c r="AJ1550" s="2994">
        <v>28.0274</v>
      </c>
      <c r="AK1550" s="2994">
        <v>27.8538</v>
      </c>
      <c r="AL1550" s="2994">
        <v>29.8216</v>
      </c>
      <c r="AM1550" s="2994">
        <v>25.722100000000001</v>
      </c>
      <c r="AN1550" s="2994">
        <v>25.5763</v>
      </c>
      <c r="AO1550" s="2994">
        <v>32.743699999999997</v>
      </c>
      <c r="AP1550" s="2994">
        <v>18.702500000000001</v>
      </c>
      <c r="AQ1550" s="2994">
        <v>23.58</v>
      </c>
      <c r="AR1550" s="2994">
        <v>18.867100000000001</v>
      </c>
      <c r="AS1550" s="2994">
        <v>13.808299999999999</v>
      </c>
      <c r="AT1550" s="2994">
        <v>10.6607</v>
      </c>
      <c r="AU1550" s="2994">
        <v>11.490399999999999</v>
      </c>
      <c r="AV1550" s="2994">
        <v>14.4292</v>
      </c>
      <c r="AW1550" s="2994">
        <v>12.2974</v>
      </c>
      <c r="AX1550" s="2994">
        <v>14.899100000000001</v>
      </c>
      <c r="AY1550" s="2994">
        <v>11.392899999999999</v>
      </c>
      <c r="AZ1550" s="2994">
        <v>15.099</v>
      </c>
      <c r="BA1550" s="2994">
        <v>15.206899999999999</v>
      </c>
      <c r="BB1550" s="2994">
        <v>14.2729</v>
      </c>
      <c r="BC1550" s="2994">
        <v>14.6539</v>
      </c>
      <c r="BD1550" s="3471">
        <v>12.763400000000001</v>
      </c>
      <c r="BE1550" s="3471">
        <v>13.705500000000001</v>
      </c>
      <c r="BF1550" s="3471">
        <v>0</v>
      </c>
    </row>
    <row r="1551" spans="1:58">
      <c r="A1551" s="1817" t="str">
        <f t="shared" si="49"/>
        <v>OceaniaGrapes</v>
      </c>
      <c r="B1551" s="1818" t="s">
        <v>303</v>
      </c>
      <c r="C1551" s="1818" t="s">
        <v>1352</v>
      </c>
      <c r="D1551" s="3463" t="str">
        <f>VLOOKUP(B1551,List_Yield!$G$4:$J$14,4,FALSE)</f>
        <v>Oceania</v>
      </c>
      <c r="E1551" s="3463" t="str">
        <f t="shared" si="50"/>
        <v>OceaniaGrapes</v>
      </c>
      <c r="F1551" s="2994">
        <v>10.857100000000001</v>
      </c>
      <c r="G1551" s="2994">
        <v>12.9124</v>
      </c>
      <c r="H1551" s="2994">
        <v>9.7439</v>
      </c>
      <c r="I1551" s="2994">
        <v>13.2812</v>
      </c>
      <c r="J1551" s="2994">
        <v>13.614599999999999</v>
      </c>
      <c r="K1551" s="2994">
        <v>11.545299999999999</v>
      </c>
      <c r="L1551" s="2994">
        <v>13.535500000000001</v>
      </c>
      <c r="M1551" s="2994">
        <v>12.4231</v>
      </c>
      <c r="N1551" s="2994">
        <v>10.8794</v>
      </c>
      <c r="O1551" s="2994">
        <v>14.472099999999999</v>
      </c>
      <c r="P1551" s="2994">
        <v>10.305300000000001</v>
      </c>
      <c r="Q1551" s="2994">
        <v>14.427</v>
      </c>
      <c r="R1551" s="2994">
        <v>10.1404</v>
      </c>
      <c r="S1551" s="2994">
        <v>8.8850999999999996</v>
      </c>
      <c r="T1551" s="2994">
        <v>11.3254</v>
      </c>
      <c r="U1551" s="2994">
        <v>11.2126</v>
      </c>
      <c r="V1551" s="2994">
        <v>11.2357</v>
      </c>
      <c r="W1551" s="2994">
        <v>10.6168</v>
      </c>
      <c r="X1551" s="2994">
        <v>10.8085</v>
      </c>
      <c r="Y1551" s="2994">
        <v>12.8781</v>
      </c>
      <c r="Z1551" s="2994">
        <v>11.1629</v>
      </c>
      <c r="AA1551" s="2994">
        <v>13.658899999999999</v>
      </c>
      <c r="AB1551" s="2994">
        <v>12.491300000000001</v>
      </c>
      <c r="AC1551" s="2994">
        <v>13.5436</v>
      </c>
      <c r="AD1551" s="2994">
        <v>14.684699999999999</v>
      </c>
      <c r="AE1551" s="2994">
        <v>14.9764</v>
      </c>
      <c r="AF1551" s="2994">
        <v>14.295500000000001</v>
      </c>
      <c r="AG1551" s="2994">
        <v>14.6616</v>
      </c>
      <c r="AH1551" s="2994">
        <v>15.790800000000001</v>
      </c>
      <c r="AI1551" s="2994">
        <v>15.2148</v>
      </c>
      <c r="AJ1551" s="2994">
        <v>15.3058</v>
      </c>
      <c r="AK1551" s="2994">
        <v>16.770600000000002</v>
      </c>
      <c r="AL1551" s="2994">
        <v>12.9581</v>
      </c>
      <c r="AM1551" s="2994">
        <v>14.4298</v>
      </c>
      <c r="AN1551" s="2994">
        <v>12.299899999999999</v>
      </c>
      <c r="AO1551" s="2994">
        <v>16.256399999999999</v>
      </c>
      <c r="AP1551" s="2994">
        <v>12.613200000000001</v>
      </c>
      <c r="AQ1551" s="2994">
        <v>13.896000000000001</v>
      </c>
      <c r="AR1551" s="2994">
        <v>12.897600000000001</v>
      </c>
      <c r="AS1551" s="2994">
        <v>11.516999999999999</v>
      </c>
      <c r="AT1551" s="2994">
        <v>11.3682</v>
      </c>
      <c r="AU1551" s="2994">
        <v>11.9152</v>
      </c>
      <c r="AV1551" s="2994">
        <v>9.9206000000000003</v>
      </c>
      <c r="AW1551" s="2994">
        <v>12.927199999999999</v>
      </c>
      <c r="AX1551" s="2994">
        <v>12.447900000000001</v>
      </c>
      <c r="AY1551" s="2994">
        <v>11.9823</v>
      </c>
      <c r="AZ1551" s="2994">
        <v>9.1674000000000007</v>
      </c>
      <c r="BA1551" s="2994">
        <v>11.4665</v>
      </c>
      <c r="BB1551" s="2994">
        <v>10.287100000000001</v>
      </c>
      <c r="BC1551" s="2994">
        <v>9.8895</v>
      </c>
      <c r="BD1551" s="3471">
        <v>10.1768</v>
      </c>
      <c r="BE1551" s="3471">
        <v>10.9049</v>
      </c>
      <c r="BF1551" s="3471">
        <v>0</v>
      </c>
    </row>
    <row r="1552" spans="1:58">
      <c r="A1552" s="1817" t="str">
        <f t="shared" si="49"/>
        <v>OceaniaGroundnuts, with shell</v>
      </c>
      <c r="B1552" s="1818" t="s">
        <v>303</v>
      </c>
      <c r="C1552" s="1818" t="s">
        <v>1353</v>
      </c>
      <c r="D1552" s="3463" t="str">
        <f>VLOOKUP(B1552,List_Yield!$G$4:$J$14,4,FALSE)</f>
        <v>Oceania</v>
      </c>
      <c r="E1552" s="3463" t="str">
        <f t="shared" si="50"/>
        <v>OceaniaGroundnuts, with shell</v>
      </c>
      <c r="F1552" s="2994">
        <v>1.3033999999999999</v>
      </c>
      <c r="G1552" s="2994">
        <v>1.1301000000000001</v>
      </c>
      <c r="H1552" s="2994">
        <v>1.0457000000000001</v>
      </c>
      <c r="I1552" s="2994">
        <v>1.1778999999999999</v>
      </c>
      <c r="J1552" s="2994">
        <v>0.59230000000000005</v>
      </c>
      <c r="K1552" s="2994">
        <v>1.1533</v>
      </c>
      <c r="L1552" s="2994">
        <v>1.4215</v>
      </c>
      <c r="M1552" s="2994">
        <v>1.1756</v>
      </c>
      <c r="N1552" s="2994">
        <v>0.57110000000000005</v>
      </c>
      <c r="O1552" s="2994">
        <v>1.2143999999999999</v>
      </c>
      <c r="P1552" s="2994">
        <v>0.81140000000000001</v>
      </c>
      <c r="Q1552" s="2994">
        <v>1.2919</v>
      </c>
      <c r="R1552" s="2994">
        <v>1.2504999999999999</v>
      </c>
      <c r="S1552" s="2994">
        <v>1.0825</v>
      </c>
      <c r="T1552" s="2994">
        <v>1.2713000000000001</v>
      </c>
      <c r="U1552" s="2994">
        <v>1.2587999999999999</v>
      </c>
      <c r="V1552" s="2994">
        <v>1.0227999999999999</v>
      </c>
      <c r="W1552" s="2994">
        <v>1.2508999999999999</v>
      </c>
      <c r="X1552" s="2994">
        <v>1.6177999999999999</v>
      </c>
      <c r="Y1552" s="2994">
        <v>1.2024999999999999</v>
      </c>
      <c r="Z1552" s="2994">
        <v>1.5103</v>
      </c>
      <c r="AA1552" s="2994">
        <v>1.6424000000000001</v>
      </c>
      <c r="AB1552" s="2994">
        <v>0.69069999999999998</v>
      </c>
      <c r="AC1552" s="2994">
        <v>1.4159999999999999</v>
      </c>
      <c r="AD1552" s="2994">
        <v>1.3646</v>
      </c>
      <c r="AE1552" s="2994">
        <v>1.4267000000000001</v>
      </c>
      <c r="AF1552" s="2994">
        <v>1.3564000000000001</v>
      </c>
      <c r="AG1552" s="2994">
        <v>1.1918</v>
      </c>
      <c r="AH1552" s="2994">
        <v>1.4107000000000001</v>
      </c>
      <c r="AI1552" s="2994">
        <v>1.3028999999999999</v>
      </c>
      <c r="AJ1552" s="2994">
        <v>1.8109999999999999</v>
      </c>
      <c r="AK1552" s="2994">
        <v>1.3230999999999999</v>
      </c>
      <c r="AL1552" s="2994">
        <v>1.9059999999999999</v>
      </c>
      <c r="AM1552" s="2994">
        <v>1.6742999999999999</v>
      </c>
      <c r="AN1552" s="2994">
        <v>1.7305999999999999</v>
      </c>
      <c r="AO1552" s="2994">
        <v>1.6351</v>
      </c>
      <c r="AP1552" s="2994">
        <v>1.6039000000000001</v>
      </c>
      <c r="AQ1552" s="2994">
        <v>1.6495</v>
      </c>
      <c r="AR1552" s="2994">
        <v>1.9184000000000001</v>
      </c>
      <c r="AS1552" s="2994">
        <v>1.7977000000000001</v>
      </c>
      <c r="AT1552" s="2994">
        <v>2.1511999999999998</v>
      </c>
      <c r="AU1552" s="2994">
        <v>2.3582999999999998</v>
      </c>
      <c r="AV1552" s="2994">
        <v>2.6743999999999999</v>
      </c>
      <c r="AW1552" s="2994">
        <v>1.9574</v>
      </c>
      <c r="AX1552" s="2994">
        <v>2.0148000000000001</v>
      </c>
      <c r="AY1552" s="2994">
        <v>1.75</v>
      </c>
      <c r="AZ1552" s="2994">
        <v>1.2681</v>
      </c>
      <c r="BA1552" s="2994">
        <v>1.7694000000000001</v>
      </c>
      <c r="BB1552" s="2994">
        <v>1.5328999999999999</v>
      </c>
      <c r="BC1552" s="2994">
        <v>1.8261000000000001</v>
      </c>
      <c r="BD1552" s="3471">
        <v>1.7723</v>
      </c>
      <c r="BE1552" s="3471">
        <v>1.7625999999999999</v>
      </c>
      <c r="BF1552" s="3471">
        <v>1.9910000000000001</v>
      </c>
    </row>
    <row r="1553" spans="1:58">
      <c r="A1553" s="1817" t="str">
        <f t="shared" si="49"/>
        <v>OceaniaHazelnuts, with shell</v>
      </c>
      <c r="B1553" s="1818" t="s">
        <v>303</v>
      </c>
      <c r="C1553" s="1818" t="s">
        <v>7332</v>
      </c>
      <c r="D1553" s="3463" t="str">
        <f>VLOOKUP(B1553,List_Yield!$G$4:$J$14,4,FALSE)</f>
        <v>Oceania</v>
      </c>
      <c r="E1553" s="3463" t="str">
        <f t="shared" si="50"/>
        <v>OceaniaHazelnuts, with shell</v>
      </c>
      <c r="F1553" s="2994">
        <v>0</v>
      </c>
      <c r="G1553" s="2994">
        <v>0</v>
      </c>
      <c r="H1553" s="2994">
        <v>0</v>
      </c>
      <c r="I1553" s="2994">
        <v>0</v>
      </c>
      <c r="J1553" s="2994">
        <v>0</v>
      </c>
      <c r="K1553" s="2994">
        <v>0</v>
      </c>
      <c r="L1553" s="2994">
        <v>0</v>
      </c>
      <c r="M1553" s="2994">
        <v>0</v>
      </c>
      <c r="N1553" s="2994">
        <v>0</v>
      </c>
      <c r="O1553" s="2994">
        <v>0</v>
      </c>
      <c r="P1553" s="2994">
        <v>0</v>
      </c>
      <c r="Q1553" s="2994">
        <v>0</v>
      </c>
      <c r="R1553" s="2994">
        <v>0</v>
      </c>
      <c r="S1553" s="2994">
        <v>0</v>
      </c>
      <c r="T1553" s="2994">
        <v>0</v>
      </c>
      <c r="U1553" s="2994">
        <v>0</v>
      </c>
      <c r="V1553" s="2994">
        <v>0</v>
      </c>
      <c r="W1553" s="2994">
        <v>0</v>
      </c>
      <c r="X1553" s="2994">
        <v>0</v>
      </c>
      <c r="Y1553" s="2994">
        <v>0</v>
      </c>
      <c r="Z1553" s="2994">
        <v>0</v>
      </c>
      <c r="AA1553" s="2994">
        <v>0</v>
      </c>
      <c r="AB1553" s="2994">
        <v>0</v>
      </c>
      <c r="AC1553" s="2994">
        <v>0</v>
      </c>
      <c r="AD1553" s="2994">
        <v>0</v>
      </c>
      <c r="AE1553" s="2994">
        <v>0</v>
      </c>
      <c r="AF1553" s="2994">
        <v>0</v>
      </c>
      <c r="AG1553" s="2994">
        <v>0</v>
      </c>
      <c r="AH1553" s="2994">
        <v>0</v>
      </c>
      <c r="AI1553" s="2994">
        <v>0</v>
      </c>
      <c r="AJ1553" s="2994">
        <v>0</v>
      </c>
      <c r="AK1553" s="2994">
        <v>0</v>
      </c>
      <c r="AL1553" s="2994">
        <v>0</v>
      </c>
      <c r="AM1553" s="2994">
        <v>0</v>
      </c>
      <c r="AN1553" s="2994">
        <v>0</v>
      </c>
      <c r="AO1553" s="2994">
        <v>0</v>
      </c>
      <c r="AP1553" s="2994">
        <v>0</v>
      </c>
      <c r="AQ1553" s="2994">
        <v>0</v>
      </c>
      <c r="AR1553" s="2994">
        <v>0</v>
      </c>
      <c r="AS1553" s="2994">
        <v>0</v>
      </c>
      <c r="AT1553" s="2994">
        <v>0</v>
      </c>
      <c r="AU1553" s="2994">
        <v>0</v>
      </c>
      <c r="AV1553" s="2994">
        <v>0</v>
      </c>
      <c r="AW1553" s="2994">
        <v>0</v>
      </c>
      <c r="AX1553" s="2994">
        <v>0</v>
      </c>
      <c r="AY1553" s="2994">
        <v>0</v>
      </c>
      <c r="AZ1553" s="2994">
        <v>0</v>
      </c>
      <c r="BA1553" s="2994">
        <v>0</v>
      </c>
      <c r="BB1553" s="2994">
        <v>0</v>
      </c>
      <c r="BC1553" s="2994">
        <v>0</v>
      </c>
      <c r="BD1553" s="3471">
        <v>0</v>
      </c>
      <c r="BE1553" s="3471">
        <v>0</v>
      </c>
      <c r="BF1553" s="3471">
        <v>0</v>
      </c>
    </row>
    <row r="1554" spans="1:58">
      <c r="A1554" s="1817" t="str">
        <f t="shared" si="49"/>
        <v>OceaniaHemp tow waste</v>
      </c>
      <c r="B1554" s="1818" t="s">
        <v>303</v>
      </c>
      <c r="C1554" s="1818" t="s">
        <v>7333</v>
      </c>
      <c r="D1554" s="3463" t="str">
        <f>VLOOKUP(B1554,List_Yield!$G$4:$J$14,4,FALSE)</f>
        <v>Oceania</v>
      </c>
      <c r="E1554" s="3463" t="str">
        <f t="shared" si="50"/>
        <v>OceaniaHemp tow waste</v>
      </c>
      <c r="F1554" s="2994">
        <v>0</v>
      </c>
      <c r="G1554" s="2994">
        <v>0</v>
      </c>
      <c r="H1554" s="2994">
        <v>0</v>
      </c>
      <c r="I1554" s="2994">
        <v>0</v>
      </c>
      <c r="J1554" s="2994">
        <v>0</v>
      </c>
      <c r="K1554" s="2994">
        <v>0</v>
      </c>
      <c r="L1554" s="2994">
        <v>0</v>
      </c>
      <c r="M1554" s="2994">
        <v>0</v>
      </c>
      <c r="N1554" s="2994">
        <v>0</v>
      </c>
      <c r="O1554" s="2994">
        <v>0</v>
      </c>
      <c r="P1554" s="2994">
        <v>0</v>
      </c>
      <c r="Q1554" s="2994">
        <v>0</v>
      </c>
      <c r="R1554" s="2994">
        <v>0</v>
      </c>
      <c r="S1554" s="2994">
        <v>0</v>
      </c>
      <c r="T1554" s="2994">
        <v>0</v>
      </c>
      <c r="U1554" s="2994">
        <v>0</v>
      </c>
      <c r="V1554" s="2994">
        <v>0</v>
      </c>
      <c r="W1554" s="2994">
        <v>0</v>
      </c>
      <c r="X1554" s="2994">
        <v>0</v>
      </c>
      <c r="Y1554" s="2994">
        <v>0</v>
      </c>
      <c r="Z1554" s="2994">
        <v>0</v>
      </c>
      <c r="AA1554" s="2994">
        <v>0</v>
      </c>
      <c r="AB1554" s="2994">
        <v>0</v>
      </c>
      <c r="AC1554" s="2994">
        <v>0</v>
      </c>
      <c r="AD1554" s="2994">
        <v>0</v>
      </c>
      <c r="AE1554" s="2994">
        <v>0</v>
      </c>
      <c r="AF1554" s="2994">
        <v>0</v>
      </c>
      <c r="AG1554" s="2994">
        <v>0</v>
      </c>
      <c r="AH1554" s="2994">
        <v>0</v>
      </c>
      <c r="AI1554" s="2994">
        <v>0</v>
      </c>
      <c r="AJ1554" s="2994">
        <v>0</v>
      </c>
      <c r="AK1554" s="2994">
        <v>0</v>
      </c>
      <c r="AL1554" s="2994">
        <v>0</v>
      </c>
      <c r="AM1554" s="2994">
        <v>0</v>
      </c>
      <c r="AN1554" s="2994">
        <v>0</v>
      </c>
      <c r="AO1554" s="2994">
        <v>0</v>
      </c>
      <c r="AP1554" s="2994">
        <v>0</v>
      </c>
      <c r="AQ1554" s="2994">
        <v>0</v>
      </c>
      <c r="AR1554" s="2994">
        <v>0</v>
      </c>
      <c r="AS1554" s="2994">
        <v>0</v>
      </c>
      <c r="AT1554" s="2994">
        <v>0</v>
      </c>
      <c r="AU1554" s="2994">
        <v>0</v>
      </c>
      <c r="AV1554" s="2994">
        <v>0</v>
      </c>
      <c r="AW1554" s="2994">
        <v>0</v>
      </c>
      <c r="AX1554" s="2994">
        <v>0</v>
      </c>
      <c r="AY1554" s="2994">
        <v>0</v>
      </c>
      <c r="AZ1554" s="2994">
        <v>0</v>
      </c>
      <c r="BA1554" s="2994">
        <v>0</v>
      </c>
      <c r="BB1554" s="2994">
        <v>0</v>
      </c>
      <c r="BC1554" s="2994">
        <v>0</v>
      </c>
      <c r="BD1554" s="3471">
        <v>0</v>
      </c>
      <c r="BE1554" s="3471">
        <v>0</v>
      </c>
      <c r="BF1554" s="3471">
        <v>0</v>
      </c>
    </row>
    <row r="1555" spans="1:58">
      <c r="A1555" s="1817" t="str">
        <f t="shared" si="49"/>
        <v>OceaniaHempseed</v>
      </c>
      <c r="B1555" s="1818" t="s">
        <v>303</v>
      </c>
      <c r="C1555" s="1818" t="s">
        <v>7334</v>
      </c>
      <c r="D1555" s="3463" t="str">
        <f>VLOOKUP(B1555,List_Yield!$G$4:$J$14,4,FALSE)</f>
        <v>Oceania</v>
      </c>
      <c r="E1555" s="3463" t="str">
        <f t="shared" si="50"/>
        <v>OceaniaHempseed</v>
      </c>
      <c r="F1555" s="2994">
        <v>0</v>
      </c>
      <c r="G1555" s="2994">
        <v>0</v>
      </c>
      <c r="H1555" s="2994">
        <v>0</v>
      </c>
      <c r="I1555" s="2994">
        <v>0</v>
      </c>
      <c r="J1555" s="2994">
        <v>0</v>
      </c>
      <c r="K1555" s="2994">
        <v>0</v>
      </c>
      <c r="L1555" s="2994">
        <v>0</v>
      </c>
      <c r="M1555" s="2994">
        <v>0</v>
      </c>
      <c r="N1555" s="2994">
        <v>0</v>
      </c>
      <c r="O1555" s="2994">
        <v>0</v>
      </c>
      <c r="P1555" s="2994">
        <v>0</v>
      </c>
      <c r="Q1555" s="2994">
        <v>0</v>
      </c>
      <c r="R1555" s="2994">
        <v>0</v>
      </c>
      <c r="S1555" s="2994">
        <v>0</v>
      </c>
      <c r="T1555" s="2994">
        <v>0</v>
      </c>
      <c r="U1555" s="2994">
        <v>0</v>
      </c>
      <c r="V1555" s="2994">
        <v>0</v>
      </c>
      <c r="W1555" s="2994">
        <v>0</v>
      </c>
      <c r="X1555" s="2994">
        <v>0</v>
      </c>
      <c r="Y1555" s="2994">
        <v>0</v>
      </c>
      <c r="Z1555" s="2994">
        <v>0</v>
      </c>
      <c r="AA1555" s="2994">
        <v>0</v>
      </c>
      <c r="AB1555" s="2994">
        <v>0</v>
      </c>
      <c r="AC1555" s="2994">
        <v>0</v>
      </c>
      <c r="AD1555" s="2994">
        <v>0</v>
      </c>
      <c r="AE1555" s="2994">
        <v>0</v>
      </c>
      <c r="AF1555" s="2994">
        <v>0</v>
      </c>
      <c r="AG1555" s="2994">
        <v>0</v>
      </c>
      <c r="AH1555" s="2994">
        <v>0</v>
      </c>
      <c r="AI1555" s="2994">
        <v>0</v>
      </c>
      <c r="AJ1555" s="2994">
        <v>0</v>
      </c>
      <c r="AK1555" s="2994">
        <v>0</v>
      </c>
      <c r="AL1555" s="2994">
        <v>0</v>
      </c>
      <c r="AM1555" s="2994">
        <v>0</v>
      </c>
      <c r="AN1555" s="2994">
        <v>0</v>
      </c>
      <c r="AO1555" s="2994">
        <v>0</v>
      </c>
      <c r="AP1555" s="2994">
        <v>0</v>
      </c>
      <c r="AQ1555" s="2994">
        <v>0</v>
      </c>
      <c r="AR1555" s="2994">
        <v>0</v>
      </c>
      <c r="AS1555" s="2994">
        <v>0</v>
      </c>
      <c r="AT1555" s="2994">
        <v>0</v>
      </c>
      <c r="AU1555" s="2994">
        <v>0</v>
      </c>
      <c r="AV1555" s="2994">
        <v>0</v>
      </c>
      <c r="AW1555" s="2994">
        <v>0</v>
      </c>
      <c r="AX1555" s="2994">
        <v>0</v>
      </c>
      <c r="AY1555" s="2994">
        <v>0</v>
      </c>
      <c r="AZ1555" s="2994">
        <v>0</v>
      </c>
      <c r="BA1555" s="2994">
        <v>0</v>
      </c>
      <c r="BB1555" s="2994">
        <v>0</v>
      </c>
      <c r="BC1555" s="2994">
        <v>0</v>
      </c>
      <c r="BD1555" s="3471">
        <v>0</v>
      </c>
      <c r="BE1555" s="3471">
        <v>0</v>
      </c>
      <c r="BF1555" s="3471">
        <v>0</v>
      </c>
    </row>
    <row r="1556" spans="1:58">
      <c r="A1556" s="1817" t="str">
        <f t="shared" si="49"/>
        <v>OceaniaHops</v>
      </c>
      <c r="B1556" s="1818" t="s">
        <v>303</v>
      </c>
      <c r="C1556" s="1818" t="s">
        <v>7335</v>
      </c>
      <c r="D1556" s="3463" t="str">
        <f>VLOOKUP(B1556,List_Yield!$G$4:$J$14,4,FALSE)</f>
        <v>Oceania</v>
      </c>
      <c r="E1556" s="3463" t="str">
        <f t="shared" si="50"/>
        <v>OceaniaHops</v>
      </c>
      <c r="F1556" s="2994">
        <v>2.1143000000000001</v>
      </c>
      <c r="G1556" s="2994">
        <v>2.0991</v>
      </c>
      <c r="H1556" s="2994">
        <v>1.9754</v>
      </c>
      <c r="I1556" s="2994">
        <v>1.1964999999999999</v>
      </c>
      <c r="J1556" s="2994">
        <v>1.8144</v>
      </c>
      <c r="K1556" s="2994">
        <v>2.2652999999999999</v>
      </c>
      <c r="L1556" s="2994">
        <v>1.7111000000000001</v>
      </c>
      <c r="M1556" s="2994">
        <v>2.1827999999999999</v>
      </c>
      <c r="N1556" s="2994">
        <v>2.5510000000000002</v>
      </c>
      <c r="O1556" s="2994">
        <v>2.1225000000000001</v>
      </c>
      <c r="P1556" s="2994">
        <v>2.0682</v>
      </c>
      <c r="Q1556" s="2994">
        <v>1.8920999999999999</v>
      </c>
      <c r="R1556" s="2994">
        <v>1.8665</v>
      </c>
      <c r="S1556" s="2994">
        <v>2.2776999999999998</v>
      </c>
      <c r="T1556" s="2994">
        <v>1.9079999999999999</v>
      </c>
      <c r="U1556" s="2994">
        <v>1.869</v>
      </c>
      <c r="V1556" s="2994">
        <v>1.9631000000000001</v>
      </c>
      <c r="W1556" s="2994">
        <v>1.9816</v>
      </c>
      <c r="X1556" s="2994">
        <v>2.1234000000000002</v>
      </c>
      <c r="Y1556" s="2994">
        <v>1.9356</v>
      </c>
      <c r="Z1556" s="2994">
        <v>1.9348000000000001</v>
      </c>
      <c r="AA1556" s="2994">
        <v>1.8429</v>
      </c>
      <c r="AB1556" s="2994">
        <v>1.6640999999999999</v>
      </c>
      <c r="AC1556" s="2994">
        <v>1.9791000000000001</v>
      </c>
      <c r="AD1556" s="2994">
        <v>1.5725</v>
      </c>
      <c r="AE1556" s="2994">
        <v>1.536</v>
      </c>
      <c r="AF1556" s="2994">
        <v>1.6035999999999999</v>
      </c>
      <c r="AG1556" s="2994">
        <v>1.9865999999999999</v>
      </c>
      <c r="AH1556" s="2994">
        <v>2.1511999999999998</v>
      </c>
      <c r="AI1556" s="2994">
        <v>1.9765999999999999</v>
      </c>
      <c r="AJ1556" s="2994">
        <v>2.5674999999999999</v>
      </c>
      <c r="AK1556" s="2994">
        <v>2.52</v>
      </c>
      <c r="AL1556" s="2994">
        <v>2.3626999999999998</v>
      </c>
      <c r="AM1556" s="2994">
        <v>2.4556</v>
      </c>
      <c r="AN1556" s="2994">
        <v>2.3582000000000001</v>
      </c>
      <c r="AO1556" s="2994">
        <v>2.4689000000000001</v>
      </c>
      <c r="AP1556" s="2994">
        <v>2.0985</v>
      </c>
      <c r="AQ1556" s="2994">
        <v>1.6858</v>
      </c>
      <c r="AR1556" s="2994">
        <v>2.0356999999999998</v>
      </c>
      <c r="AS1556" s="2994">
        <v>2.5137999999999998</v>
      </c>
      <c r="AT1556" s="2994">
        <v>2.6951999999999998</v>
      </c>
      <c r="AU1556" s="2994">
        <v>2.3513999999999999</v>
      </c>
      <c r="AV1556" s="2994">
        <v>2.4154</v>
      </c>
      <c r="AW1556" s="2994">
        <v>2.4434999999999998</v>
      </c>
      <c r="AX1556" s="2994">
        <v>2.2766000000000002</v>
      </c>
      <c r="AY1556" s="2994">
        <v>2.2208000000000001</v>
      </c>
      <c r="AZ1556" s="2994">
        <v>2.3464999999999998</v>
      </c>
      <c r="BA1556" s="2994">
        <v>2.3380000000000001</v>
      </c>
      <c r="BB1556" s="2994">
        <v>2.3740000000000001</v>
      </c>
      <c r="BC1556" s="2994">
        <v>2.3492999999999999</v>
      </c>
      <c r="BD1556" s="3471">
        <v>2.3736999999999999</v>
      </c>
      <c r="BE1556" s="3471">
        <v>2.3757999999999999</v>
      </c>
      <c r="BF1556" s="3471">
        <v>0</v>
      </c>
    </row>
    <row r="1557" spans="1:58">
      <c r="A1557" s="1817" t="str">
        <f t="shared" si="49"/>
        <v>OceaniaJojoba seed</v>
      </c>
      <c r="B1557" s="1818" t="s">
        <v>303</v>
      </c>
      <c r="C1557" s="1818" t="s">
        <v>7336</v>
      </c>
      <c r="D1557" s="3463" t="str">
        <f>VLOOKUP(B1557,List_Yield!$G$4:$J$14,4,FALSE)</f>
        <v>Oceania</v>
      </c>
      <c r="E1557" s="3463" t="str">
        <f t="shared" si="50"/>
        <v>OceaniaJojoba seed</v>
      </c>
      <c r="F1557" s="2994">
        <v>0</v>
      </c>
      <c r="G1557" s="2994">
        <v>0</v>
      </c>
      <c r="H1557" s="2994">
        <v>0</v>
      </c>
      <c r="I1557" s="2994">
        <v>0</v>
      </c>
      <c r="J1557" s="2994">
        <v>0</v>
      </c>
      <c r="K1557" s="2994">
        <v>0</v>
      </c>
      <c r="L1557" s="2994">
        <v>0</v>
      </c>
      <c r="M1557" s="2994">
        <v>0</v>
      </c>
      <c r="N1557" s="2994">
        <v>0</v>
      </c>
      <c r="O1557" s="2994">
        <v>0</v>
      </c>
      <c r="P1557" s="2994">
        <v>0</v>
      </c>
      <c r="Q1557" s="2994">
        <v>0</v>
      </c>
      <c r="R1557" s="2994">
        <v>0</v>
      </c>
      <c r="S1557" s="2994">
        <v>0</v>
      </c>
      <c r="T1557" s="2994">
        <v>0</v>
      </c>
      <c r="U1557" s="2994">
        <v>0</v>
      </c>
      <c r="V1557" s="2994">
        <v>0</v>
      </c>
      <c r="W1557" s="2994">
        <v>0</v>
      </c>
      <c r="X1557" s="2994">
        <v>0</v>
      </c>
      <c r="Y1557" s="2994">
        <v>0</v>
      </c>
      <c r="Z1557" s="2994">
        <v>0</v>
      </c>
      <c r="AA1557" s="2994">
        <v>0</v>
      </c>
      <c r="AB1557" s="2994">
        <v>0</v>
      </c>
      <c r="AC1557" s="2994">
        <v>0</v>
      </c>
      <c r="AD1557" s="2994">
        <v>0</v>
      </c>
      <c r="AE1557" s="2994">
        <v>0</v>
      </c>
      <c r="AF1557" s="2994">
        <v>0</v>
      </c>
      <c r="AG1557" s="2994">
        <v>0</v>
      </c>
      <c r="AH1557" s="2994">
        <v>0</v>
      </c>
      <c r="AI1557" s="2994">
        <v>0</v>
      </c>
      <c r="AJ1557" s="2994">
        <v>0</v>
      </c>
      <c r="AK1557" s="2994">
        <v>0</v>
      </c>
      <c r="AL1557" s="2994">
        <v>0</v>
      </c>
      <c r="AM1557" s="2994">
        <v>0</v>
      </c>
      <c r="AN1557" s="2994">
        <v>0</v>
      </c>
      <c r="AO1557" s="2994">
        <v>0</v>
      </c>
      <c r="AP1557" s="2994">
        <v>0</v>
      </c>
      <c r="AQ1557" s="2994">
        <v>0</v>
      </c>
      <c r="AR1557" s="2994">
        <v>0</v>
      </c>
      <c r="AS1557" s="2994">
        <v>0</v>
      </c>
      <c r="AT1557" s="2994">
        <v>0</v>
      </c>
      <c r="AU1557" s="2994">
        <v>0</v>
      </c>
      <c r="AV1557" s="2994">
        <v>0</v>
      </c>
      <c r="AW1557" s="2994">
        <v>0</v>
      </c>
      <c r="AX1557" s="2994">
        <v>0</v>
      </c>
      <c r="AY1557" s="2994">
        <v>0</v>
      </c>
      <c r="AZ1557" s="2994">
        <v>0</v>
      </c>
      <c r="BA1557" s="2994">
        <v>0</v>
      </c>
      <c r="BB1557" s="2994">
        <v>0</v>
      </c>
      <c r="BC1557" s="2994">
        <v>0</v>
      </c>
      <c r="BD1557" s="3471">
        <v>0</v>
      </c>
      <c r="BE1557" s="3471">
        <v>0</v>
      </c>
      <c r="BF1557" s="3471">
        <v>0</v>
      </c>
    </row>
    <row r="1558" spans="1:58">
      <c r="A1558" s="1817" t="str">
        <f t="shared" si="49"/>
        <v>OceaniaJute</v>
      </c>
      <c r="B1558" s="1818" t="s">
        <v>303</v>
      </c>
      <c r="C1558" s="1818" t="s">
        <v>7337</v>
      </c>
      <c r="D1558" s="3463" t="str">
        <f>VLOOKUP(B1558,List_Yield!$G$4:$J$14,4,FALSE)</f>
        <v>Oceania</v>
      </c>
      <c r="E1558" s="3463" t="str">
        <f t="shared" si="50"/>
        <v>OceaniaJute</v>
      </c>
      <c r="F1558" s="2994">
        <v>0</v>
      </c>
      <c r="G1558" s="2994">
        <v>0</v>
      </c>
      <c r="H1558" s="2994">
        <v>0</v>
      </c>
      <c r="I1558" s="2994">
        <v>0</v>
      </c>
      <c r="J1558" s="2994">
        <v>0</v>
      </c>
      <c r="K1558" s="2994">
        <v>0</v>
      </c>
      <c r="L1558" s="2994">
        <v>0</v>
      </c>
      <c r="M1558" s="2994">
        <v>0</v>
      </c>
      <c r="N1558" s="2994">
        <v>0</v>
      </c>
      <c r="O1558" s="2994">
        <v>0</v>
      </c>
      <c r="P1558" s="2994">
        <v>0</v>
      </c>
      <c r="Q1558" s="2994">
        <v>0</v>
      </c>
      <c r="R1558" s="2994">
        <v>0</v>
      </c>
      <c r="S1558" s="2994">
        <v>0</v>
      </c>
      <c r="T1558" s="2994">
        <v>0</v>
      </c>
      <c r="U1558" s="2994">
        <v>0</v>
      </c>
      <c r="V1558" s="2994">
        <v>0</v>
      </c>
      <c r="W1558" s="2994">
        <v>0</v>
      </c>
      <c r="X1558" s="2994">
        <v>0</v>
      </c>
      <c r="Y1558" s="2994">
        <v>0</v>
      </c>
      <c r="Z1558" s="2994">
        <v>0</v>
      </c>
      <c r="AA1558" s="2994">
        <v>0</v>
      </c>
      <c r="AB1558" s="2994">
        <v>0</v>
      </c>
      <c r="AC1558" s="2994">
        <v>0</v>
      </c>
      <c r="AD1558" s="2994">
        <v>0</v>
      </c>
      <c r="AE1558" s="2994">
        <v>0</v>
      </c>
      <c r="AF1558" s="2994">
        <v>0</v>
      </c>
      <c r="AG1558" s="2994">
        <v>0</v>
      </c>
      <c r="AH1558" s="2994">
        <v>0</v>
      </c>
      <c r="AI1558" s="2994">
        <v>0</v>
      </c>
      <c r="AJ1558" s="2994">
        <v>0</v>
      </c>
      <c r="AK1558" s="2994">
        <v>0</v>
      </c>
      <c r="AL1558" s="2994">
        <v>0</v>
      </c>
      <c r="AM1558" s="2994">
        <v>0</v>
      </c>
      <c r="AN1558" s="2994">
        <v>0</v>
      </c>
      <c r="AO1558" s="2994">
        <v>0</v>
      </c>
      <c r="AP1558" s="2994">
        <v>0</v>
      </c>
      <c r="AQ1558" s="2994">
        <v>0</v>
      </c>
      <c r="AR1558" s="2994">
        <v>0</v>
      </c>
      <c r="AS1558" s="2994">
        <v>0</v>
      </c>
      <c r="AT1558" s="2994">
        <v>0</v>
      </c>
      <c r="AU1558" s="2994">
        <v>0</v>
      </c>
      <c r="AV1558" s="2994">
        <v>0</v>
      </c>
      <c r="AW1558" s="2994">
        <v>0</v>
      </c>
      <c r="AX1558" s="2994">
        <v>0</v>
      </c>
      <c r="AY1558" s="2994">
        <v>0</v>
      </c>
      <c r="AZ1558" s="2994">
        <v>0</v>
      </c>
      <c r="BA1558" s="2994">
        <v>0</v>
      </c>
      <c r="BB1558" s="2994">
        <v>0</v>
      </c>
      <c r="BC1558" s="2994">
        <v>0</v>
      </c>
      <c r="BD1558" s="3471">
        <v>0</v>
      </c>
      <c r="BE1558" s="3471">
        <v>0</v>
      </c>
      <c r="BF1558" s="3471">
        <v>0</v>
      </c>
    </row>
    <row r="1559" spans="1:58">
      <c r="A1559" s="1817" t="str">
        <f t="shared" si="49"/>
        <v>OceaniaKapok fruit</v>
      </c>
      <c r="B1559" s="1818" t="s">
        <v>303</v>
      </c>
      <c r="C1559" s="1818" t="s">
        <v>7338</v>
      </c>
      <c r="D1559" s="3463" t="str">
        <f>VLOOKUP(B1559,List_Yield!$G$4:$J$14,4,FALSE)</f>
        <v>Oceania</v>
      </c>
      <c r="E1559" s="3463" t="str">
        <f t="shared" si="50"/>
        <v>OceaniaKapok fruit</v>
      </c>
      <c r="F1559" s="2994">
        <v>0</v>
      </c>
      <c r="G1559" s="2994">
        <v>0</v>
      </c>
      <c r="H1559" s="2994">
        <v>0</v>
      </c>
      <c r="I1559" s="2994">
        <v>0</v>
      </c>
      <c r="J1559" s="2994">
        <v>0</v>
      </c>
      <c r="K1559" s="2994">
        <v>0</v>
      </c>
      <c r="L1559" s="2994">
        <v>0</v>
      </c>
      <c r="M1559" s="2994">
        <v>0</v>
      </c>
      <c r="N1559" s="2994">
        <v>0</v>
      </c>
      <c r="O1559" s="2994">
        <v>0</v>
      </c>
      <c r="P1559" s="2994">
        <v>0</v>
      </c>
      <c r="Q1559" s="2994">
        <v>0</v>
      </c>
      <c r="R1559" s="2994">
        <v>0</v>
      </c>
      <c r="S1559" s="2994">
        <v>0</v>
      </c>
      <c r="T1559" s="2994">
        <v>0</v>
      </c>
      <c r="U1559" s="2994">
        <v>0</v>
      </c>
      <c r="V1559" s="2994">
        <v>0</v>
      </c>
      <c r="W1559" s="2994">
        <v>0</v>
      </c>
      <c r="X1559" s="2994">
        <v>0</v>
      </c>
      <c r="Y1559" s="2994">
        <v>0</v>
      </c>
      <c r="Z1559" s="2994">
        <v>0</v>
      </c>
      <c r="AA1559" s="2994">
        <v>0</v>
      </c>
      <c r="AB1559" s="2994">
        <v>0</v>
      </c>
      <c r="AC1559" s="2994">
        <v>0</v>
      </c>
      <c r="AD1559" s="2994">
        <v>0</v>
      </c>
      <c r="AE1559" s="2994">
        <v>0</v>
      </c>
      <c r="AF1559" s="2994">
        <v>0</v>
      </c>
      <c r="AG1559" s="2994">
        <v>0</v>
      </c>
      <c r="AH1559" s="2994">
        <v>0</v>
      </c>
      <c r="AI1559" s="2994">
        <v>0</v>
      </c>
      <c r="AJ1559" s="2994">
        <v>0</v>
      </c>
      <c r="AK1559" s="2994">
        <v>0</v>
      </c>
      <c r="AL1559" s="2994">
        <v>0</v>
      </c>
      <c r="AM1559" s="2994">
        <v>0</v>
      </c>
      <c r="AN1559" s="2994">
        <v>0</v>
      </c>
      <c r="AO1559" s="2994">
        <v>0</v>
      </c>
      <c r="AP1559" s="2994">
        <v>0</v>
      </c>
      <c r="AQ1559" s="2994">
        <v>0</v>
      </c>
      <c r="AR1559" s="2994">
        <v>0</v>
      </c>
      <c r="AS1559" s="2994">
        <v>0</v>
      </c>
      <c r="AT1559" s="2994">
        <v>0</v>
      </c>
      <c r="AU1559" s="2994">
        <v>0</v>
      </c>
      <c r="AV1559" s="2994">
        <v>0</v>
      </c>
      <c r="AW1559" s="2994">
        <v>0</v>
      </c>
      <c r="AX1559" s="2994">
        <v>0</v>
      </c>
      <c r="AY1559" s="2994">
        <v>0</v>
      </c>
      <c r="AZ1559" s="2994">
        <v>0</v>
      </c>
      <c r="BA1559" s="2994">
        <v>0</v>
      </c>
      <c r="BB1559" s="2994">
        <v>0</v>
      </c>
      <c r="BC1559" s="2994">
        <v>0</v>
      </c>
      <c r="BD1559" s="3471">
        <v>0</v>
      </c>
      <c r="BE1559" s="3471">
        <v>0</v>
      </c>
      <c r="BF1559" s="3471">
        <v>0</v>
      </c>
    </row>
    <row r="1560" spans="1:58">
      <c r="A1560" s="1817" t="str">
        <f t="shared" si="49"/>
        <v>OceaniaKarite nuts (sheanuts)</v>
      </c>
      <c r="B1560" s="1818" t="s">
        <v>303</v>
      </c>
      <c r="C1560" s="1818" t="s">
        <v>7339</v>
      </c>
      <c r="D1560" s="3463" t="str">
        <f>VLOOKUP(B1560,List_Yield!$G$4:$J$14,4,FALSE)</f>
        <v>Oceania</v>
      </c>
      <c r="E1560" s="3463" t="str">
        <f t="shared" si="50"/>
        <v>OceaniaKarite nuts (sheanuts)</v>
      </c>
      <c r="F1560" s="2994">
        <v>0</v>
      </c>
      <c r="G1560" s="2994">
        <v>0</v>
      </c>
      <c r="H1560" s="2994">
        <v>0</v>
      </c>
      <c r="I1560" s="2994">
        <v>0</v>
      </c>
      <c r="J1560" s="2994">
        <v>0</v>
      </c>
      <c r="K1560" s="2994">
        <v>0</v>
      </c>
      <c r="L1560" s="2994">
        <v>0</v>
      </c>
      <c r="M1560" s="2994">
        <v>0</v>
      </c>
      <c r="N1560" s="2994">
        <v>0</v>
      </c>
      <c r="O1560" s="2994">
        <v>0</v>
      </c>
      <c r="P1560" s="2994">
        <v>0</v>
      </c>
      <c r="Q1560" s="2994">
        <v>0</v>
      </c>
      <c r="R1560" s="2994">
        <v>0</v>
      </c>
      <c r="S1560" s="2994">
        <v>0</v>
      </c>
      <c r="T1560" s="2994">
        <v>0</v>
      </c>
      <c r="U1560" s="2994">
        <v>0</v>
      </c>
      <c r="V1560" s="2994">
        <v>0</v>
      </c>
      <c r="W1560" s="2994">
        <v>0</v>
      </c>
      <c r="X1560" s="2994">
        <v>0</v>
      </c>
      <c r="Y1560" s="2994">
        <v>0</v>
      </c>
      <c r="Z1560" s="2994">
        <v>0</v>
      </c>
      <c r="AA1560" s="2994">
        <v>0</v>
      </c>
      <c r="AB1560" s="2994">
        <v>0</v>
      </c>
      <c r="AC1560" s="2994">
        <v>0</v>
      </c>
      <c r="AD1560" s="2994">
        <v>0</v>
      </c>
      <c r="AE1560" s="2994">
        <v>0</v>
      </c>
      <c r="AF1560" s="2994">
        <v>0</v>
      </c>
      <c r="AG1560" s="2994">
        <v>0</v>
      </c>
      <c r="AH1560" s="2994">
        <v>0</v>
      </c>
      <c r="AI1560" s="2994">
        <v>0</v>
      </c>
      <c r="AJ1560" s="2994">
        <v>0</v>
      </c>
      <c r="AK1560" s="2994">
        <v>0</v>
      </c>
      <c r="AL1560" s="2994">
        <v>0</v>
      </c>
      <c r="AM1560" s="2994">
        <v>0</v>
      </c>
      <c r="AN1560" s="2994">
        <v>0</v>
      </c>
      <c r="AO1560" s="2994">
        <v>0</v>
      </c>
      <c r="AP1560" s="2994">
        <v>0</v>
      </c>
      <c r="AQ1560" s="2994">
        <v>0</v>
      </c>
      <c r="AR1560" s="2994">
        <v>0</v>
      </c>
      <c r="AS1560" s="2994">
        <v>0</v>
      </c>
      <c r="AT1560" s="2994">
        <v>0</v>
      </c>
      <c r="AU1560" s="2994">
        <v>0</v>
      </c>
      <c r="AV1560" s="2994">
        <v>0</v>
      </c>
      <c r="AW1560" s="2994">
        <v>0</v>
      </c>
      <c r="AX1560" s="2994">
        <v>0</v>
      </c>
      <c r="AY1560" s="2994">
        <v>0</v>
      </c>
      <c r="AZ1560" s="2994">
        <v>0</v>
      </c>
      <c r="BA1560" s="2994">
        <v>0</v>
      </c>
      <c r="BB1560" s="2994">
        <v>0</v>
      </c>
      <c r="BC1560" s="2994">
        <v>0</v>
      </c>
      <c r="BD1560" s="3471">
        <v>0</v>
      </c>
      <c r="BE1560" s="3471">
        <v>0</v>
      </c>
      <c r="BF1560" s="3471">
        <v>0</v>
      </c>
    </row>
    <row r="1561" spans="1:58">
      <c r="A1561" s="1817" t="str">
        <f t="shared" si="49"/>
        <v>OceaniaKiwi fruit</v>
      </c>
      <c r="B1561" s="1818" t="s">
        <v>303</v>
      </c>
      <c r="C1561" s="1818" t="s">
        <v>7340</v>
      </c>
      <c r="D1561" s="3463" t="str">
        <f>VLOOKUP(B1561,List_Yield!$G$4:$J$14,4,FALSE)</f>
        <v>Oceania</v>
      </c>
      <c r="E1561" s="3463" t="str">
        <f t="shared" si="50"/>
        <v>OceaniaKiwi fruit</v>
      </c>
      <c r="F1561" s="2994">
        <v>0</v>
      </c>
      <c r="G1561" s="2994">
        <v>0</v>
      </c>
      <c r="H1561" s="2994">
        <v>0</v>
      </c>
      <c r="I1561" s="2994">
        <v>0</v>
      </c>
      <c r="J1561" s="2994">
        <v>0</v>
      </c>
      <c r="K1561" s="2994">
        <v>0</v>
      </c>
      <c r="L1561" s="2994">
        <v>0</v>
      </c>
      <c r="M1561" s="2994">
        <v>0</v>
      </c>
      <c r="N1561" s="2994">
        <v>0</v>
      </c>
      <c r="O1561" s="2994">
        <v>5</v>
      </c>
      <c r="P1561" s="2994">
        <v>4.7169999999999996</v>
      </c>
      <c r="Q1561" s="2994">
        <v>4.7416999999999998</v>
      </c>
      <c r="R1561" s="2994">
        <v>4.9295</v>
      </c>
      <c r="S1561" s="2994">
        <v>6.5975999999999999</v>
      </c>
      <c r="T1561" s="2994">
        <v>4.3327</v>
      </c>
      <c r="U1561" s="2994">
        <v>4.9238</v>
      </c>
      <c r="V1561" s="2994">
        <v>4.8361000000000001</v>
      </c>
      <c r="W1561" s="2994">
        <v>4.3625999999999996</v>
      </c>
      <c r="X1561" s="2994">
        <v>5.3483999999999998</v>
      </c>
      <c r="Y1561" s="2994">
        <v>3.3466</v>
      </c>
      <c r="Z1561" s="2994">
        <v>3.8942999999999999</v>
      </c>
      <c r="AA1561" s="2994">
        <v>2.6867000000000001</v>
      </c>
      <c r="AB1561" s="2994">
        <v>2.6989999999999998</v>
      </c>
      <c r="AC1561" s="2994">
        <v>5.6041999999999996</v>
      </c>
      <c r="AD1561" s="2994">
        <v>5.8304999999999998</v>
      </c>
      <c r="AE1561" s="2994">
        <v>7.5643000000000002</v>
      </c>
      <c r="AF1561" s="2994">
        <v>10.6523</v>
      </c>
      <c r="AG1561" s="2994">
        <v>12.0572</v>
      </c>
      <c r="AH1561" s="2994">
        <v>10.6928</v>
      </c>
      <c r="AI1561" s="2994">
        <v>15.822699999999999</v>
      </c>
      <c r="AJ1561" s="2994">
        <v>15.3956</v>
      </c>
      <c r="AK1561" s="2994">
        <v>16.927499999999998</v>
      </c>
      <c r="AL1561" s="2994">
        <v>16.524100000000001</v>
      </c>
      <c r="AM1561" s="2994">
        <v>17.976700000000001</v>
      </c>
      <c r="AN1561" s="2994">
        <v>18.4331</v>
      </c>
      <c r="AO1561" s="2994">
        <v>19.333500000000001</v>
      </c>
      <c r="AP1561" s="2994">
        <v>22.685300000000002</v>
      </c>
      <c r="AQ1561" s="2994">
        <v>22.819600000000001</v>
      </c>
      <c r="AR1561" s="2994">
        <v>20.927299999999999</v>
      </c>
      <c r="AS1561" s="2994">
        <v>21.188700000000001</v>
      </c>
      <c r="AT1561" s="2994">
        <v>26.003599999999999</v>
      </c>
      <c r="AU1561" s="2994">
        <v>20.279599999999999</v>
      </c>
      <c r="AV1561" s="2994">
        <v>22.333100000000002</v>
      </c>
      <c r="AW1561" s="2994">
        <v>28.087399999999999</v>
      </c>
      <c r="AX1561" s="2994">
        <v>27.554500000000001</v>
      </c>
      <c r="AY1561" s="2994">
        <v>27.218800000000002</v>
      </c>
      <c r="AZ1561" s="2994">
        <v>27.5975</v>
      </c>
      <c r="BA1561" s="2994">
        <v>30.629200000000001</v>
      </c>
      <c r="BB1561" s="2994">
        <v>28.8932</v>
      </c>
      <c r="BC1561" s="2994">
        <v>33.013599999999997</v>
      </c>
      <c r="BD1561" s="3471">
        <v>31.927199999999999</v>
      </c>
      <c r="BE1561" s="3471">
        <v>29.2928</v>
      </c>
      <c r="BF1561" s="3471">
        <v>0</v>
      </c>
    </row>
    <row r="1562" spans="1:58">
      <c r="A1562" s="1817" t="str">
        <f t="shared" si="49"/>
        <v>OceaniaKola nuts</v>
      </c>
      <c r="B1562" s="1818" t="s">
        <v>303</v>
      </c>
      <c r="C1562" s="1818" t="s">
        <v>7341</v>
      </c>
      <c r="D1562" s="3463" t="str">
        <f>VLOOKUP(B1562,List_Yield!$G$4:$J$14,4,FALSE)</f>
        <v>Oceania</v>
      </c>
      <c r="E1562" s="3463" t="str">
        <f t="shared" si="50"/>
        <v>OceaniaKola nuts</v>
      </c>
      <c r="F1562" s="2994">
        <v>0</v>
      </c>
      <c r="G1562" s="2994">
        <v>0</v>
      </c>
      <c r="H1562" s="2994">
        <v>0</v>
      </c>
      <c r="I1562" s="2994">
        <v>0</v>
      </c>
      <c r="J1562" s="2994">
        <v>0</v>
      </c>
      <c r="K1562" s="2994">
        <v>0</v>
      </c>
      <c r="L1562" s="2994">
        <v>0</v>
      </c>
      <c r="M1562" s="2994">
        <v>0</v>
      </c>
      <c r="N1562" s="2994">
        <v>0</v>
      </c>
      <c r="O1562" s="2994">
        <v>0</v>
      </c>
      <c r="P1562" s="2994">
        <v>0</v>
      </c>
      <c r="Q1562" s="2994">
        <v>0</v>
      </c>
      <c r="R1562" s="2994">
        <v>0</v>
      </c>
      <c r="S1562" s="2994">
        <v>0</v>
      </c>
      <c r="T1562" s="2994">
        <v>0</v>
      </c>
      <c r="U1562" s="2994">
        <v>0</v>
      </c>
      <c r="V1562" s="2994">
        <v>0</v>
      </c>
      <c r="W1562" s="2994">
        <v>0</v>
      </c>
      <c r="X1562" s="2994">
        <v>0</v>
      </c>
      <c r="Y1562" s="2994">
        <v>0</v>
      </c>
      <c r="Z1562" s="2994">
        <v>0</v>
      </c>
      <c r="AA1562" s="2994">
        <v>0</v>
      </c>
      <c r="AB1562" s="2994">
        <v>0</v>
      </c>
      <c r="AC1562" s="2994">
        <v>0</v>
      </c>
      <c r="AD1562" s="2994">
        <v>0</v>
      </c>
      <c r="AE1562" s="2994">
        <v>0</v>
      </c>
      <c r="AF1562" s="2994">
        <v>0</v>
      </c>
      <c r="AG1562" s="2994">
        <v>0</v>
      </c>
      <c r="AH1562" s="2994">
        <v>0</v>
      </c>
      <c r="AI1562" s="2994">
        <v>0</v>
      </c>
      <c r="AJ1562" s="2994">
        <v>0</v>
      </c>
      <c r="AK1562" s="2994">
        <v>0</v>
      </c>
      <c r="AL1562" s="2994">
        <v>0</v>
      </c>
      <c r="AM1562" s="2994">
        <v>0</v>
      </c>
      <c r="AN1562" s="2994">
        <v>0</v>
      </c>
      <c r="AO1562" s="2994">
        <v>0</v>
      </c>
      <c r="AP1562" s="2994">
        <v>0</v>
      </c>
      <c r="AQ1562" s="2994">
        <v>0</v>
      </c>
      <c r="AR1562" s="2994">
        <v>0</v>
      </c>
      <c r="AS1562" s="2994">
        <v>0</v>
      </c>
      <c r="AT1562" s="2994">
        <v>0</v>
      </c>
      <c r="AU1562" s="2994">
        <v>0</v>
      </c>
      <c r="AV1562" s="2994">
        <v>0</v>
      </c>
      <c r="AW1562" s="2994">
        <v>0</v>
      </c>
      <c r="AX1562" s="2994">
        <v>0</v>
      </c>
      <c r="AY1562" s="2994">
        <v>0</v>
      </c>
      <c r="AZ1562" s="2994">
        <v>0</v>
      </c>
      <c r="BA1562" s="2994">
        <v>0</v>
      </c>
      <c r="BB1562" s="2994">
        <v>0</v>
      </c>
      <c r="BC1562" s="2994">
        <v>0</v>
      </c>
      <c r="BD1562" s="3471">
        <v>0</v>
      </c>
      <c r="BE1562" s="3471">
        <v>0</v>
      </c>
      <c r="BF1562" s="3471">
        <v>0</v>
      </c>
    </row>
    <row r="1563" spans="1:58">
      <c r="A1563" s="1817" t="str">
        <f t="shared" si="49"/>
        <v>OceaniaLeeks, other alliaceous vegetables</v>
      </c>
      <c r="B1563" s="1818" t="s">
        <v>303</v>
      </c>
      <c r="C1563" s="1818" t="s">
        <v>7342</v>
      </c>
      <c r="D1563" s="3463" t="str">
        <f>VLOOKUP(B1563,List_Yield!$G$4:$J$14,4,FALSE)</f>
        <v>Oceania</v>
      </c>
      <c r="E1563" s="3463" t="str">
        <f t="shared" si="50"/>
        <v>OceaniaLeeks, other alliaceous vegetables</v>
      </c>
      <c r="F1563" s="2994">
        <v>0</v>
      </c>
      <c r="G1563" s="2994">
        <v>0</v>
      </c>
      <c r="H1563" s="2994">
        <v>0</v>
      </c>
      <c r="I1563" s="2994">
        <v>0</v>
      </c>
      <c r="J1563" s="2994">
        <v>0</v>
      </c>
      <c r="K1563" s="2994">
        <v>0</v>
      </c>
      <c r="L1563" s="2994">
        <v>0</v>
      </c>
      <c r="M1563" s="2994">
        <v>0</v>
      </c>
      <c r="N1563" s="2994">
        <v>0</v>
      </c>
      <c r="O1563" s="2994">
        <v>0</v>
      </c>
      <c r="P1563" s="2994">
        <v>0</v>
      </c>
      <c r="Q1563" s="2994">
        <v>0</v>
      </c>
      <c r="R1563" s="2994">
        <v>0</v>
      </c>
      <c r="S1563" s="2994">
        <v>0</v>
      </c>
      <c r="T1563" s="2994">
        <v>0</v>
      </c>
      <c r="U1563" s="2994">
        <v>0</v>
      </c>
      <c r="V1563" s="2994">
        <v>0</v>
      </c>
      <c r="W1563" s="2994">
        <v>22.171900000000001</v>
      </c>
      <c r="X1563" s="2994">
        <v>20.574100000000001</v>
      </c>
      <c r="Y1563" s="2994">
        <v>19.260899999999999</v>
      </c>
      <c r="Z1563" s="2994">
        <v>18.5349</v>
      </c>
      <c r="AA1563" s="2994">
        <v>22.084700000000002</v>
      </c>
      <c r="AB1563" s="2994">
        <v>22.1538</v>
      </c>
      <c r="AC1563" s="2994">
        <v>22.142900000000001</v>
      </c>
      <c r="AD1563" s="2994">
        <v>22.125</v>
      </c>
      <c r="AE1563" s="2994">
        <v>22.068999999999999</v>
      </c>
      <c r="AF1563" s="2994">
        <v>22.135899999999999</v>
      </c>
      <c r="AG1563" s="2994">
        <v>22.159099999999999</v>
      </c>
      <c r="AH1563" s="2994">
        <v>20.555599999999998</v>
      </c>
      <c r="AI1563" s="2994">
        <v>20.161300000000001</v>
      </c>
      <c r="AJ1563" s="2994">
        <v>20</v>
      </c>
      <c r="AK1563" s="2994">
        <v>15.3277</v>
      </c>
      <c r="AL1563" s="2994">
        <v>19.831800000000001</v>
      </c>
      <c r="AM1563" s="2994">
        <v>26.092600000000001</v>
      </c>
      <c r="AN1563" s="2994">
        <v>26.126100000000001</v>
      </c>
      <c r="AO1563" s="2994">
        <v>34.1111</v>
      </c>
      <c r="AP1563" s="2994">
        <v>29.9</v>
      </c>
      <c r="AQ1563" s="2994">
        <v>28.203700000000001</v>
      </c>
      <c r="AR1563" s="2994">
        <v>37.457799999999999</v>
      </c>
      <c r="AS1563" s="2994">
        <v>39.0595</v>
      </c>
      <c r="AT1563" s="2994">
        <v>20</v>
      </c>
      <c r="AU1563" s="2994">
        <v>46.941200000000002</v>
      </c>
      <c r="AV1563" s="2994">
        <v>40.906700000000001</v>
      </c>
      <c r="AW1563" s="2994">
        <v>47.2254</v>
      </c>
      <c r="AX1563" s="2994">
        <v>43.0822</v>
      </c>
      <c r="AY1563" s="2994">
        <v>54.5</v>
      </c>
      <c r="AZ1563" s="2994">
        <v>48.5152</v>
      </c>
      <c r="BA1563" s="2994">
        <v>55.754399999999997</v>
      </c>
      <c r="BB1563" s="2994">
        <v>54.216700000000003</v>
      </c>
      <c r="BC1563" s="2994">
        <v>51.296900000000001</v>
      </c>
      <c r="BD1563" s="3471">
        <v>43.348500000000001</v>
      </c>
      <c r="BE1563" s="3471">
        <v>41.428600000000003</v>
      </c>
      <c r="BF1563" s="3471">
        <v>0</v>
      </c>
    </row>
    <row r="1564" spans="1:58">
      <c r="A1564" s="1817" t="str">
        <f t="shared" si="49"/>
        <v>OceaniaLemons and limes</v>
      </c>
      <c r="B1564" s="1818" t="s">
        <v>303</v>
      </c>
      <c r="C1564" s="1818" t="s">
        <v>7343</v>
      </c>
      <c r="D1564" s="3463" t="str">
        <f>VLOOKUP(B1564,List_Yield!$G$4:$J$14,4,FALSE)</f>
        <v>Oceania</v>
      </c>
      <c r="E1564" s="3463" t="str">
        <f t="shared" si="50"/>
        <v>OceaniaLemons and limes</v>
      </c>
      <c r="F1564" s="2994">
        <v>8.3571000000000009</v>
      </c>
      <c r="G1564" s="2994">
        <v>8.7375000000000007</v>
      </c>
      <c r="H1564" s="2994">
        <v>9.8927999999999994</v>
      </c>
      <c r="I1564" s="2994">
        <v>8.4534000000000002</v>
      </c>
      <c r="J1564" s="2994">
        <v>8.8148999999999997</v>
      </c>
      <c r="K1564" s="2994">
        <v>8.2339000000000002</v>
      </c>
      <c r="L1564" s="2994">
        <v>9.5167000000000002</v>
      </c>
      <c r="M1564" s="2994">
        <v>11.071999999999999</v>
      </c>
      <c r="N1564" s="2994">
        <v>10.4147</v>
      </c>
      <c r="O1564" s="2994">
        <v>11.101000000000001</v>
      </c>
      <c r="P1564" s="2994">
        <v>12.080299999999999</v>
      </c>
      <c r="Q1564" s="2994">
        <v>11.6418</v>
      </c>
      <c r="R1564" s="2994">
        <v>12.15</v>
      </c>
      <c r="S1564" s="2994">
        <v>12.1648</v>
      </c>
      <c r="T1564" s="2994">
        <v>12.923400000000001</v>
      </c>
      <c r="U1564" s="2994">
        <v>12.6373</v>
      </c>
      <c r="V1564" s="2994">
        <v>13.701599999999999</v>
      </c>
      <c r="W1564" s="2994">
        <v>14.190899999999999</v>
      </c>
      <c r="X1564" s="2994">
        <v>17.965399999999999</v>
      </c>
      <c r="Y1564" s="2994">
        <v>15.065799999999999</v>
      </c>
      <c r="Z1564" s="2994">
        <v>18.402200000000001</v>
      </c>
      <c r="AA1564" s="2994">
        <v>15.8375</v>
      </c>
      <c r="AB1564" s="2994">
        <v>13.945399999999999</v>
      </c>
      <c r="AC1564" s="2994">
        <v>13.810499999999999</v>
      </c>
      <c r="AD1564" s="2994">
        <v>18.2836</v>
      </c>
      <c r="AE1564" s="2994">
        <v>18.497199999999999</v>
      </c>
      <c r="AF1564" s="2994">
        <v>16.6511</v>
      </c>
      <c r="AG1564" s="2994">
        <v>14.0579</v>
      </c>
      <c r="AH1564" s="2994">
        <v>14.0465</v>
      </c>
      <c r="AI1564" s="2994">
        <v>14.9716</v>
      </c>
      <c r="AJ1564" s="2994">
        <v>13.715</v>
      </c>
      <c r="AK1564" s="2994">
        <v>13.479100000000001</v>
      </c>
      <c r="AL1564" s="2994">
        <v>11.651199999999999</v>
      </c>
      <c r="AM1564" s="2994">
        <v>14.537599999999999</v>
      </c>
      <c r="AN1564" s="2994">
        <v>13.864000000000001</v>
      </c>
      <c r="AO1564" s="2994">
        <v>11.141</v>
      </c>
      <c r="AP1564" s="2994">
        <v>13.095599999999999</v>
      </c>
      <c r="AQ1564" s="2994">
        <v>11.519</v>
      </c>
      <c r="AR1564" s="2994">
        <v>11.317600000000001</v>
      </c>
      <c r="AS1564" s="2994">
        <v>12.081799999999999</v>
      </c>
      <c r="AT1564" s="2994">
        <v>13.1988</v>
      </c>
      <c r="AU1564" s="2994">
        <v>13.6813</v>
      </c>
      <c r="AV1564" s="2994">
        <v>12.5367</v>
      </c>
      <c r="AW1564" s="2994">
        <v>10.472300000000001</v>
      </c>
      <c r="AX1564" s="2994">
        <v>10.525600000000001</v>
      </c>
      <c r="AY1564" s="2994">
        <v>13.9154</v>
      </c>
      <c r="AZ1564" s="2994">
        <v>14.678900000000001</v>
      </c>
      <c r="BA1564" s="2994">
        <v>14.8529</v>
      </c>
      <c r="BB1564" s="2994">
        <v>13.505100000000001</v>
      </c>
      <c r="BC1564" s="2994">
        <v>13.638199999999999</v>
      </c>
      <c r="BD1564" s="3471">
        <v>13.873200000000001</v>
      </c>
      <c r="BE1564" s="3471">
        <v>13.915100000000001</v>
      </c>
      <c r="BF1564" s="3471">
        <v>0</v>
      </c>
    </row>
    <row r="1565" spans="1:58">
      <c r="A1565" s="1817" t="str">
        <f t="shared" si="49"/>
        <v>OceaniaLentils</v>
      </c>
      <c r="B1565" s="1818" t="s">
        <v>303</v>
      </c>
      <c r="C1565" s="1818" t="s">
        <v>7344</v>
      </c>
      <c r="D1565" s="3463" t="str">
        <f>VLOOKUP(B1565,List_Yield!$G$4:$J$14,4,FALSE)</f>
        <v>Oceania</v>
      </c>
      <c r="E1565" s="3463" t="str">
        <f t="shared" si="50"/>
        <v>OceaniaLentils</v>
      </c>
      <c r="F1565" s="2994">
        <v>0</v>
      </c>
      <c r="G1565" s="2994">
        <v>0</v>
      </c>
      <c r="H1565" s="2994">
        <v>0</v>
      </c>
      <c r="I1565" s="2994">
        <v>0</v>
      </c>
      <c r="J1565" s="2994">
        <v>0</v>
      </c>
      <c r="K1565" s="2994">
        <v>0</v>
      </c>
      <c r="L1565" s="2994">
        <v>0</v>
      </c>
      <c r="M1565" s="2994">
        <v>0</v>
      </c>
      <c r="N1565" s="2994">
        <v>0</v>
      </c>
      <c r="O1565" s="2994">
        <v>0</v>
      </c>
      <c r="P1565" s="2994">
        <v>0</v>
      </c>
      <c r="Q1565" s="2994">
        <v>0</v>
      </c>
      <c r="R1565" s="2994">
        <v>0</v>
      </c>
      <c r="S1565" s="2994">
        <v>0</v>
      </c>
      <c r="T1565" s="2994">
        <v>0</v>
      </c>
      <c r="U1565" s="2994">
        <v>0</v>
      </c>
      <c r="V1565" s="2994">
        <v>0</v>
      </c>
      <c r="W1565" s="2994">
        <v>0</v>
      </c>
      <c r="X1565" s="2994">
        <v>0</v>
      </c>
      <c r="Y1565" s="2994">
        <v>0</v>
      </c>
      <c r="Z1565" s="2994">
        <v>0</v>
      </c>
      <c r="AA1565" s="2994">
        <v>0</v>
      </c>
      <c r="AB1565" s="2994">
        <v>0</v>
      </c>
      <c r="AC1565" s="2994">
        <v>0</v>
      </c>
      <c r="AD1565" s="2994">
        <v>2</v>
      </c>
      <c r="AE1565" s="2994">
        <v>2</v>
      </c>
      <c r="AF1565" s="2994">
        <v>2</v>
      </c>
      <c r="AG1565" s="2994">
        <v>1.25</v>
      </c>
      <c r="AH1565" s="2994">
        <v>1.6364000000000001</v>
      </c>
      <c r="AI1565" s="2994">
        <v>1.4175</v>
      </c>
      <c r="AJ1565" s="2994">
        <v>1.4155</v>
      </c>
      <c r="AK1565" s="2994">
        <v>1.8427</v>
      </c>
      <c r="AL1565" s="2994">
        <v>1.0221</v>
      </c>
      <c r="AM1565" s="2994">
        <v>0.83330000000000004</v>
      </c>
      <c r="AN1565" s="2994">
        <v>2.1276999999999999</v>
      </c>
      <c r="AO1565" s="2994">
        <v>2.1269</v>
      </c>
      <c r="AP1565" s="2994">
        <v>0.65390000000000004</v>
      </c>
      <c r="AQ1565" s="2994">
        <v>0.60150000000000003</v>
      </c>
      <c r="AR1565" s="2994">
        <v>1.3774999999999999</v>
      </c>
      <c r="AS1565" s="2994">
        <v>1.3956999999999999</v>
      </c>
      <c r="AT1565" s="2994">
        <v>1.6845000000000001</v>
      </c>
      <c r="AU1565" s="2994">
        <v>0.41089999999999999</v>
      </c>
      <c r="AV1565" s="2994">
        <v>1.2621</v>
      </c>
      <c r="AW1565" s="2994">
        <v>0.42959999999999998</v>
      </c>
      <c r="AX1565" s="2994">
        <v>1.6527000000000001</v>
      </c>
      <c r="AY1565" s="2994">
        <v>0.24379999999999999</v>
      </c>
      <c r="AZ1565" s="2994">
        <v>1.0108999999999999</v>
      </c>
      <c r="BA1565" s="2994">
        <v>0.56110000000000004</v>
      </c>
      <c r="BB1565" s="2994">
        <v>1.3805000000000001</v>
      </c>
      <c r="BC1565" s="2994">
        <v>1.0027999999999999</v>
      </c>
      <c r="BD1565" s="3471">
        <v>1.7423999999999999</v>
      </c>
      <c r="BE1565" s="3471">
        <v>2.2378999999999998</v>
      </c>
      <c r="BF1565" s="3471">
        <v>2.2402000000000002</v>
      </c>
    </row>
    <row r="1566" spans="1:58">
      <c r="A1566" s="1817" t="str">
        <f t="shared" si="49"/>
        <v>OceaniaLettuce and chicory</v>
      </c>
      <c r="B1566" s="1818" t="s">
        <v>303</v>
      </c>
      <c r="C1566" s="1818" t="s">
        <v>7345</v>
      </c>
      <c r="D1566" s="3463" t="str">
        <f>VLOOKUP(B1566,List_Yield!$G$4:$J$14,4,FALSE)</f>
        <v>Oceania</v>
      </c>
      <c r="E1566" s="3463" t="str">
        <f t="shared" si="50"/>
        <v>OceaniaLettuce and chicory</v>
      </c>
      <c r="F1566" s="2994">
        <v>14.116199999999999</v>
      </c>
      <c r="G1566" s="2994">
        <v>13.8348</v>
      </c>
      <c r="H1566" s="2994">
        <v>14.39</v>
      </c>
      <c r="I1566" s="2994">
        <v>15.0573</v>
      </c>
      <c r="J1566" s="2994">
        <v>14.7805</v>
      </c>
      <c r="K1566" s="2994">
        <v>14.406700000000001</v>
      </c>
      <c r="L1566" s="2994">
        <v>13.7934</v>
      </c>
      <c r="M1566" s="2994">
        <v>13.6823</v>
      </c>
      <c r="N1566" s="2994">
        <v>16.181100000000001</v>
      </c>
      <c r="O1566" s="2994">
        <v>16.9755</v>
      </c>
      <c r="P1566" s="2994">
        <v>17.679300000000001</v>
      </c>
      <c r="Q1566" s="2994">
        <v>17.6721</v>
      </c>
      <c r="R1566" s="2994">
        <v>16.8978</v>
      </c>
      <c r="S1566" s="2994">
        <v>17.1402</v>
      </c>
      <c r="T1566" s="2994">
        <v>18.065200000000001</v>
      </c>
      <c r="U1566" s="2994">
        <v>19.703800000000001</v>
      </c>
      <c r="V1566" s="2994">
        <v>17.454499999999999</v>
      </c>
      <c r="W1566" s="2994">
        <v>18.516999999999999</v>
      </c>
      <c r="X1566" s="2994">
        <v>15.671799999999999</v>
      </c>
      <c r="Y1566" s="2994">
        <v>18.753599999999999</v>
      </c>
      <c r="Z1566" s="2994">
        <v>18.136500000000002</v>
      </c>
      <c r="AA1566" s="2994">
        <v>19.109100000000002</v>
      </c>
      <c r="AB1566" s="2994">
        <v>19.888400000000001</v>
      </c>
      <c r="AC1566" s="2994">
        <v>19.949100000000001</v>
      </c>
      <c r="AD1566" s="2994">
        <v>21.050999999999998</v>
      </c>
      <c r="AE1566" s="2994">
        <v>21.9025</v>
      </c>
      <c r="AF1566" s="2994">
        <v>21.5578</v>
      </c>
      <c r="AG1566" s="2994">
        <v>21.962399999999999</v>
      </c>
      <c r="AH1566" s="2994">
        <v>21.665500000000002</v>
      </c>
      <c r="AI1566" s="2994">
        <v>23.4665</v>
      </c>
      <c r="AJ1566" s="2994">
        <v>24.932400000000001</v>
      </c>
      <c r="AK1566" s="2994">
        <v>24.438099999999999</v>
      </c>
      <c r="AL1566" s="2994">
        <v>24.631</v>
      </c>
      <c r="AM1566" s="2994">
        <v>26.485399999999998</v>
      </c>
      <c r="AN1566" s="2994">
        <v>22.522300000000001</v>
      </c>
      <c r="AO1566" s="2994">
        <v>22.328800000000001</v>
      </c>
      <c r="AP1566" s="2994">
        <v>22.147500000000001</v>
      </c>
      <c r="AQ1566" s="2994">
        <v>24.534600000000001</v>
      </c>
      <c r="AR1566" s="2994">
        <v>23.266999999999999</v>
      </c>
      <c r="AS1566" s="2994">
        <v>27.960100000000001</v>
      </c>
      <c r="AT1566" s="2994">
        <v>25.856400000000001</v>
      </c>
      <c r="AU1566" s="2994">
        <v>22.707799999999999</v>
      </c>
      <c r="AV1566" s="2994">
        <v>20.3873</v>
      </c>
      <c r="AW1566" s="2994">
        <v>21.415500000000002</v>
      </c>
      <c r="AX1566" s="2994">
        <v>22.876999999999999</v>
      </c>
      <c r="AY1566" s="2994">
        <v>20.977399999999999</v>
      </c>
      <c r="AZ1566" s="2994">
        <v>26.855899999999998</v>
      </c>
      <c r="BA1566" s="2994">
        <v>23.392199999999999</v>
      </c>
      <c r="BB1566" s="2994">
        <v>22.674900000000001</v>
      </c>
      <c r="BC1566" s="2994">
        <v>21.539300000000001</v>
      </c>
      <c r="BD1566" s="3471">
        <v>17.065799999999999</v>
      </c>
      <c r="BE1566" s="3471">
        <v>18.835599999999999</v>
      </c>
      <c r="BF1566" s="3471">
        <v>0</v>
      </c>
    </row>
    <row r="1567" spans="1:58">
      <c r="A1567" s="1817" t="str">
        <f t="shared" si="49"/>
        <v>OceaniaLinseed</v>
      </c>
      <c r="B1567" s="1818" t="s">
        <v>303</v>
      </c>
      <c r="C1567" s="1818" t="s">
        <v>1355</v>
      </c>
      <c r="D1567" s="3463" t="str">
        <f>VLOOKUP(B1567,List_Yield!$G$4:$J$14,4,FALSE)</f>
        <v>Oceania</v>
      </c>
      <c r="E1567" s="3463" t="str">
        <f t="shared" si="50"/>
        <v>OceaniaLinseed</v>
      </c>
      <c r="F1567" s="2994">
        <v>0.60089999999999999</v>
      </c>
      <c r="G1567" s="2994">
        <v>0.74739999999999995</v>
      </c>
      <c r="H1567" s="2994">
        <v>0.74319999999999997</v>
      </c>
      <c r="I1567" s="2994">
        <v>0.94069999999999998</v>
      </c>
      <c r="J1567" s="2994">
        <v>0.8579</v>
      </c>
      <c r="K1567" s="2994">
        <v>1.0741000000000001</v>
      </c>
      <c r="L1567" s="2994">
        <v>0.6845</v>
      </c>
      <c r="M1567" s="2994">
        <v>0.80149999999999999</v>
      </c>
      <c r="N1567" s="2994">
        <v>0.86629999999999996</v>
      </c>
      <c r="O1567" s="2994">
        <v>0.92010000000000003</v>
      </c>
      <c r="P1567" s="2994">
        <v>0.86060000000000003</v>
      </c>
      <c r="Q1567" s="2994">
        <v>1.0174000000000001</v>
      </c>
      <c r="R1567" s="2994">
        <v>1.1071</v>
      </c>
      <c r="S1567" s="2994">
        <v>1.0258</v>
      </c>
      <c r="T1567" s="2994">
        <v>1.157</v>
      </c>
      <c r="U1567" s="2994">
        <v>1.2977000000000001</v>
      </c>
      <c r="V1567" s="2994">
        <v>0.76049999999999995</v>
      </c>
      <c r="W1567" s="2994">
        <v>1.2876000000000001</v>
      </c>
      <c r="X1567" s="2994">
        <v>1.0313000000000001</v>
      </c>
      <c r="Y1567" s="2994">
        <v>0.91410000000000002</v>
      </c>
      <c r="Z1567" s="2994">
        <v>1.1193</v>
      </c>
      <c r="AA1567" s="2994">
        <v>0.84379999999999999</v>
      </c>
      <c r="AB1567" s="2994">
        <v>0.90610000000000002</v>
      </c>
      <c r="AC1567" s="2994">
        <v>1.0642</v>
      </c>
      <c r="AD1567" s="2994">
        <v>1.2009000000000001</v>
      </c>
      <c r="AE1567" s="2994">
        <v>0.99039999999999995</v>
      </c>
      <c r="AF1567" s="2994">
        <v>0.93400000000000005</v>
      </c>
      <c r="AG1567" s="2994">
        <v>1.0323</v>
      </c>
      <c r="AH1567" s="2994">
        <v>1.0517000000000001</v>
      </c>
      <c r="AI1567" s="2994">
        <v>1.0335000000000001</v>
      </c>
      <c r="AJ1567" s="2994">
        <v>1.0006999999999999</v>
      </c>
      <c r="AK1567" s="2994">
        <v>0.83420000000000005</v>
      </c>
      <c r="AL1567" s="2994">
        <v>1.2112000000000001</v>
      </c>
      <c r="AM1567" s="2994">
        <v>1.1243000000000001</v>
      </c>
      <c r="AN1567" s="2994">
        <v>0.77910000000000001</v>
      </c>
      <c r="AO1567" s="2994">
        <v>1.1422000000000001</v>
      </c>
      <c r="AP1567" s="2994">
        <v>0.94120000000000004</v>
      </c>
      <c r="AQ1567" s="2994">
        <v>1.0229999999999999</v>
      </c>
      <c r="AR1567" s="2994">
        <v>1.0367999999999999</v>
      </c>
      <c r="AS1567" s="2994">
        <v>0.95330000000000004</v>
      </c>
      <c r="AT1567" s="2994">
        <v>0.94389999999999996</v>
      </c>
      <c r="AU1567" s="2994">
        <v>1.0526</v>
      </c>
      <c r="AV1567" s="2994">
        <v>1.0731999999999999</v>
      </c>
      <c r="AW1567" s="2994">
        <v>1.0651999999999999</v>
      </c>
      <c r="AX1567" s="2994">
        <v>1.0651999999999999</v>
      </c>
      <c r="AY1567" s="2994">
        <v>0.88</v>
      </c>
      <c r="AZ1567" s="2994">
        <v>0.96260000000000001</v>
      </c>
      <c r="BA1567" s="2994">
        <v>1.0764</v>
      </c>
      <c r="BB1567" s="2994">
        <v>1.1112</v>
      </c>
      <c r="BC1567" s="2994">
        <v>1.1158999999999999</v>
      </c>
      <c r="BD1567" s="3471">
        <v>1.1111</v>
      </c>
      <c r="BE1567" s="3471">
        <v>1.1333</v>
      </c>
      <c r="BF1567" s="3471">
        <v>1.1325000000000001</v>
      </c>
    </row>
    <row r="1568" spans="1:58">
      <c r="A1568" s="1817" t="str">
        <f t="shared" si="49"/>
        <v>OceaniaLupins</v>
      </c>
      <c r="B1568" s="1818" t="s">
        <v>303</v>
      </c>
      <c r="C1568" s="1818" t="s">
        <v>7346</v>
      </c>
      <c r="D1568" s="3463" t="str">
        <f>VLOOKUP(B1568,List_Yield!$G$4:$J$14,4,FALSE)</f>
        <v>Oceania</v>
      </c>
      <c r="E1568" s="3463" t="str">
        <f t="shared" si="50"/>
        <v>OceaniaLupins</v>
      </c>
      <c r="F1568" s="2994">
        <v>0.3881</v>
      </c>
      <c r="G1568" s="2994">
        <v>0.33360000000000001</v>
      </c>
      <c r="H1568" s="2994">
        <v>0.2823</v>
      </c>
      <c r="I1568" s="2994">
        <v>0.35360000000000003</v>
      </c>
      <c r="J1568" s="2994">
        <v>0.40329999999999999</v>
      </c>
      <c r="K1568" s="2994">
        <v>0.37080000000000002</v>
      </c>
      <c r="L1568" s="2994">
        <v>0.35010000000000002</v>
      </c>
      <c r="M1568" s="2994">
        <v>0.4541</v>
      </c>
      <c r="N1568" s="2994">
        <v>0.3029</v>
      </c>
      <c r="O1568" s="2994">
        <v>0.59630000000000005</v>
      </c>
      <c r="P1568" s="2994">
        <v>0.71709999999999996</v>
      </c>
      <c r="Q1568" s="2994">
        <v>0.33989999999999998</v>
      </c>
      <c r="R1568" s="2994">
        <v>0.76880000000000004</v>
      </c>
      <c r="S1568" s="2994">
        <v>0.67259999999999998</v>
      </c>
      <c r="T1568" s="2994">
        <v>0.74590000000000001</v>
      </c>
      <c r="U1568" s="2994">
        <v>0.29020000000000001</v>
      </c>
      <c r="V1568" s="2994">
        <v>0.40849999999999997</v>
      </c>
      <c r="W1568" s="2994">
        <v>0.81920000000000004</v>
      </c>
      <c r="X1568" s="2994">
        <v>0.73919999999999997</v>
      </c>
      <c r="Y1568" s="2994">
        <v>0.81399999999999995</v>
      </c>
      <c r="Z1568" s="2994">
        <v>0.84209999999999996</v>
      </c>
      <c r="AA1568" s="2994">
        <v>0.77380000000000004</v>
      </c>
      <c r="AB1568" s="2994">
        <v>0.999</v>
      </c>
      <c r="AC1568" s="2994">
        <v>0.9778</v>
      </c>
      <c r="AD1568" s="2994">
        <v>0.89219999999999999</v>
      </c>
      <c r="AE1568" s="2994">
        <v>1.0762</v>
      </c>
      <c r="AF1568" s="2994">
        <v>0.84199999999999997</v>
      </c>
      <c r="AG1568" s="2994">
        <v>1.0911999999999999</v>
      </c>
      <c r="AH1568" s="2994">
        <v>0.95289999999999997</v>
      </c>
      <c r="AI1568" s="2994">
        <v>0.95599999999999996</v>
      </c>
      <c r="AJ1568" s="2994">
        <v>1.1158999999999999</v>
      </c>
      <c r="AK1568" s="2994">
        <v>1.1574</v>
      </c>
      <c r="AL1568" s="2994">
        <v>1.2862</v>
      </c>
      <c r="AM1568" s="2994">
        <v>0.76490000000000002</v>
      </c>
      <c r="AN1568" s="2994">
        <v>1.1783999999999999</v>
      </c>
      <c r="AO1568" s="2994">
        <v>1.208</v>
      </c>
      <c r="AP1568" s="2994">
        <v>1.0953999999999999</v>
      </c>
      <c r="AQ1568" s="2994">
        <v>1.2062999999999999</v>
      </c>
      <c r="AR1568" s="2994">
        <v>1.4610000000000001</v>
      </c>
      <c r="AS1568" s="2994">
        <v>0.89410000000000001</v>
      </c>
      <c r="AT1568" s="2994">
        <v>1.0667</v>
      </c>
      <c r="AU1568" s="2994">
        <v>0.70840000000000003</v>
      </c>
      <c r="AV1568" s="2994">
        <v>1.387</v>
      </c>
      <c r="AW1568" s="2994">
        <v>1.1089</v>
      </c>
      <c r="AX1568" s="2994">
        <v>1.6975</v>
      </c>
      <c r="AY1568" s="2994">
        <v>0.63829999999999998</v>
      </c>
      <c r="AZ1568" s="2994">
        <v>0.87990000000000002</v>
      </c>
      <c r="BA1568" s="2994">
        <v>1.2349000000000001</v>
      </c>
      <c r="BB1568" s="2994">
        <v>1.2712000000000001</v>
      </c>
      <c r="BC1568" s="2994">
        <v>1.0625</v>
      </c>
      <c r="BD1568" s="3471">
        <v>1.0686</v>
      </c>
      <c r="BE1568" s="3471">
        <v>1.4244000000000001</v>
      </c>
      <c r="BF1568" s="3471">
        <v>1.0188999999999999</v>
      </c>
    </row>
    <row r="1569" spans="1:58">
      <c r="A1569" s="1817" t="str">
        <f t="shared" si="49"/>
        <v>OceaniaMaize</v>
      </c>
      <c r="B1569" s="1818" t="s">
        <v>303</v>
      </c>
      <c r="C1569" s="1818" t="s">
        <v>1356</v>
      </c>
      <c r="D1569" s="3463" t="str">
        <f>VLOOKUP(B1569,List_Yield!$G$4:$J$14,4,FALSE)</f>
        <v>Oceania</v>
      </c>
      <c r="E1569" s="3463" t="str">
        <f t="shared" si="50"/>
        <v>OceaniaMaize</v>
      </c>
      <c r="F1569" s="2994">
        <v>2.1533000000000002</v>
      </c>
      <c r="G1569" s="2994">
        <v>2.2385000000000002</v>
      </c>
      <c r="H1569" s="2994">
        <v>2.3054000000000001</v>
      </c>
      <c r="I1569" s="2994">
        <v>2.0743</v>
      </c>
      <c r="J1569" s="2994">
        <v>2.1888999999999998</v>
      </c>
      <c r="K1569" s="2994">
        <v>1.7332000000000001</v>
      </c>
      <c r="L1569" s="2994">
        <v>2.4430000000000001</v>
      </c>
      <c r="M1569" s="2994">
        <v>2.4706999999999999</v>
      </c>
      <c r="N1569" s="2994">
        <v>2.6833999999999998</v>
      </c>
      <c r="O1569" s="2994">
        <v>2.8149999999999999</v>
      </c>
      <c r="P1569" s="2994">
        <v>3.1707000000000001</v>
      </c>
      <c r="Q1569" s="2994">
        <v>3.5055000000000001</v>
      </c>
      <c r="R1569" s="2994">
        <v>3.5036</v>
      </c>
      <c r="S1569" s="2994">
        <v>3.2793000000000001</v>
      </c>
      <c r="T1569" s="2994">
        <v>3.9741</v>
      </c>
      <c r="U1569" s="2994">
        <v>4.2625999999999999</v>
      </c>
      <c r="V1569" s="2994">
        <v>4.2637999999999998</v>
      </c>
      <c r="W1569" s="2994">
        <v>4.2104999999999997</v>
      </c>
      <c r="X1569" s="2994">
        <v>4.6920999999999999</v>
      </c>
      <c r="Y1569" s="2994">
        <v>4.0873999999999997</v>
      </c>
      <c r="Z1569" s="2994">
        <v>4.2884000000000002</v>
      </c>
      <c r="AA1569" s="2994">
        <v>4.6603000000000003</v>
      </c>
      <c r="AB1569" s="2994">
        <v>3.3856000000000002</v>
      </c>
      <c r="AC1569" s="2994">
        <v>4.4455</v>
      </c>
      <c r="AD1569" s="2994">
        <v>3.8180000000000001</v>
      </c>
      <c r="AE1569" s="2994">
        <v>4.4131999999999998</v>
      </c>
      <c r="AF1569" s="2994">
        <v>4.8407</v>
      </c>
      <c r="AG1569" s="2994">
        <v>4.6661000000000001</v>
      </c>
      <c r="AH1569" s="2994">
        <v>5.1467000000000001</v>
      </c>
      <c r="AI1569" s="2994">
        <v>5.2503000000000002</v>
      </c>
      <c r="AJ1569" s="2994">
        <v>5.4089999999999998</v>
      </c>
      <c r="AK1569" s="2994">
        <v>5.9954000000000001</v>
      </c>
      <c r="AL1569" s="2994">
        <v>5.2736999999999998</v>
      </c>
      <c r="AM1569" s="2994">
        <v>5.7470999999999997</v>
      </c>
      <c r="AN1569" s="2994">
        <v>5.8489000000000004</v>
      </c>
      <c r="AO1569" s="2994">
        <v>6.8799000000000001</v>
      </c>
      <c r="AP1569" s="2994">
        <v>6.6698000000000004</v>
      </c>
      <c r="AQ1569" s="2994">
        <v>5.8743999999999996</v>
      </c>
      <c r="AR1569" s="2994">
        <v>6.1052</v>
      </c>
      <c r="AS1569" s="2994">
        <v>5.7323000000000004</v>
      </c>
      <c r="AT1569" s="2994">
        <v>5.5941000000000001</v>
      </c>
      <c r="AU1569" s="2994">
        <v>6.0404</v>
      </c>
      <c r="AV1569" s="2994">
        <v>7.1642999999999999</v>
      </c>
      <c r="AW1569" s="2994">
        <v>6.4168000000000003</v>
      </c>
      <c r="AX1569" s="2994">
        <v>6.6547000000000001</v>
      </c>
      <c r="AY1569" s="2994">
        <v>6.1845999999999997</v>
      </c>
      <c r="AZ1569" s="2994">
        <v>6.2339000000000002</v>
      </c>
      <c r="BA1569" s="2994">
        <v>6.6501000000000001</v>
      </c>
      <c r="BB1569" s="2994">
        <v>6.9093999999999998</v>
      </c>
      <c r="BC1569" s="2994">
        <v>6.5419</v>
      </c>
      <c r="BD1569" s="3471">
        <v>6.8246000000000002</v>
      </c>
      <c r="BE1569" s="3471">
        <v>7.1924000000000001</v>
      </c>
      <c r="BF1569" s="3471">
        <v>7.0831</v>
      </c>
    </row>
    <row r="1570" spans="1:58">
      <c r="A1570" s="1817" t="str">
        <f t="shared" si="49"/>
        <v>OceaniaMaize, green</v>
      </c>
      <c r="B1570" s="1818" t="s">
        <v>303</v>
      </c>
      <c r="C1570" s="1818" t="s">
        <v>1357</v>
      </c>
      <c r="D1570" s="3463" t="str">
        <f>VLOOKUP(B1570,List_Yield!$G$4:$J$14,4,FALSE)</f>
        <v>Oceania</v>
      </c>
      <c r="E1570" s="3463" t="str">
        <f t="shared" si="50"/>
        <v>OceaniaMaize, green</v>
      </c>
      <c r="F1570" s="2994">
        <v>10.048400000000001</v>
      </c>
      <c r="G1570" s="2994">
        <v>10.036899999999999</v>
      </c>
      <c r="H1570" s="2994">
        <v>10.0311</v>
      </c>
      <c r="I1570" s="2994">
        <v>10.0265</v>
      </c>
      <c r="J1570" s="2994">
        <v>10.0128</v>
      </c>
      <c r="K1570" s="2994">
        <v>9.9298000000000002</v>
      </c>
      <c r="L1570" s="2994">
        <v>10.087400000000001</v>
      </c>
      <c r="M1570" s="2994">
        <v>10.309200000000001</v>
      </c>
      <c r="N1570" s="2994">
        <v>10.156599999999999</v>
      </c>
      <c r="O1570" s="2994">
        <v>10.071999999999999</v>
      </c>
      <c r="P1570" s="2994">
        <v>10.3622</v>
      </c>
      <c r="Q1570" s="2994">
        <v>10.307</v>
      </c>
      <c r="R1570" s="2994">
        <v>10.2553</v>
      </c>
      <c r="S1570" s="2994">
        <v>10.187799999999999</v>
      </c>
      <c r="T1570" s="2994">
        <v>10.1968</v>
      </c>
      <c r="U1570" s="2994">
        <v>9.9169</v>
      </c>
      <c r="V1570" s="2994">
        <v>10.1889</v>
      </c>
      <c r="W1570" s="2994">
        <v>10.728400000000001</v>
      </c>
      <c r="X1570" s="2994">
        <v>10.589499999999999</v>
      </c>
      <c r="Y1570" s="2994">
        <v>10.557600000000001</v>
      </c>
      <c r="Z1570" s="2994">
        <v>10.5082</v>
      </c>
      <c r="AA1570" s="2994">
        <v>10.187799999999999</v>
      </c>
      <c r="AB1570" s="2994">
        <v>10.731400000000001</v>
      </c>
      <c r="AC1570" s="2994">
        <v>10.4412</v>
      </c>
      <c r="AD1570" s="2994">
        <v>10.726699999999999</v>
      </c>
      <c r="AE1570" s="2994">
        <v>10.978300000000001</v>
      </c>
      <c r="AF1570" s="2994">
        <v>11.071099999999999</v>
      </c>
      <c r="AG1570" s="2994">
        <v>11.1975</v>
      </c>
      <c r="AH1570" s="2994">
        <v>11.230499999999999</v>
      </c>
      <c r="AI1570" s="2994">
        <v>11.3766</v>
      </c>
      <c r="AJ1570" s="2994">
        <v>11.474500000000001</v>
      </c>
      <c r="AK1570" s="2994">
        <v>10.7865</v>
      </c>
      <c r="AL1570" s="2994">
        <v>10.752700000000001</v>
      </c>
      <c r="AM1570" s="2994">
        <v>11.15</v>
      </c>
      <c r="AN1570" s="2994">
        <v>11.677300000000001</v>
      </c>
      <c r="AO1570" s="2994">
        <v>11.3919</v>
      </c>
      <c r="AP1570" s="2994">
        <v>11.196300000000001</v>
      </c>
      <c r="AQ1570" s="2994">
        <v>11.317299999999999</v>
      </c>
      <c r="AR1570" s="2994">
        <v>11.126200000000001</v>
      </c>
      <c r="AS1570" s="2994">
        <v>10.9892</v>
      </c>
      <c r="AT1570" s="2994">
        <v>11.2028</v>
      </c>
      <c r="AU1570" s="2994">
        <v>11.2439</v>
      </c>
      <c r="AV1570" s="2994">
        <v>11.109299999999999</v>
      </c>
      <c r="AW1570" s="2994">
        <v>11.4247</v>
      </c>
      <c r="AX1570" s="2994">
        <v>10.7791</v>
      </c>
      <c r="AY1570" s="2994">
        <v>10.893000000000001</v>
      </c>
      <c r="AZ1570" s="2994">
        <v>10.8293</v>
      </c>
      <c r="BA1570" s="2994">
        <v>11.267099999999999</v>
      </c>
      <c r="BB1570" s="2994">
        <v>11.728300000000001</v>
      </c>
      <c r="BC1570" s="2994">
        <v>11.510199999999999</v>
      </c>
      <c r="BD1570" s="3471">
        <v>10.841799999999999</v>
      </c>
      <c r="BE1570" s="3471">
        <v>11.0632</v>
      </c>
      <c r="BF1570" s="3471">
        <v>0</v>
      </c>
    </row>
    <row r="1571" spans="1:58">
      <c r="A1571" s="1817" t="str">
        <f t="shared" si="49"/>
        <v>OceaniaMangoes, mangosteens, guavas</v>
      </c>
      <c r="B1571" s="1818" t="s">
        <v>303</v>
      </c>
      <c r="C1571" s="1818" t="s">
        <v>1358</v>
      </c>
      <c r="D1571" s="3463" t="str">
        <f>VLOOKUP(B1571,List_Yield!$G$4:$J$14,4,FALSE)</f>
        <v>Oceania</v>
      </c>
      <c r="E1571" s="3463" t="str">
        <f t="shared" si="50"/>
        <v>OceaniaMangoes, mangosteens, guavas</v>
      </c>
      <c r="F1571" s="2994">
        <v>13.626799999999999</v>
      </c>
      <c r="G1571" s="2994">
        <v>13.869199999999999</v>
      </c>
      <c r="H1571" s="2994">
        <v>13.442399999999999</v>
      </c>
      <c r="I1571" s="2994">
        <v>14.2982</v>
      </c>
      <c r="J1571" s="2994">
        <v>14.8477</v>
      </c>
      <c r="K1571" s="2994">
        <v>14.3268</v>
      </c>
      <c r="L1571" s="2994">
        <v>13.503</v>
      </c>
      <c r="M1571" s="2994">
        <v>13.918100000000001</v>
      </c>
      <c r="N1571" s="2994">
        <v>14.037000000000001</v>
      </c>
      <c r="O1571" s="2994">
        <v>13.587400000000001</v>
      </c>
      <c r="P1571" s="2994">
        <v>14.0829</v>
      </c>
      <c r="Q1571" s="2994">
        <v>13.1067</v>
      </c>
      <c r="R1571" s="2994">
        <v>12.818199999999999</v>
      </c>
      <c r="S1571" s="2994">
        <v>12.4764</v>
      </c>
      <c r="T1571" s="2994">
        <v>13.2706</v>
      </c>
      <c r="U1571" s="2994">
        <v>13.654500000000001</v>
      </c>
      <c r="V1571" s="2994">
        <v>14.0984</v>
      </c>
      <c r="W1571" s="2994">
        <v>13.651199999999999</v>
      </c>
      <c r="X1571" s="2994">
        <v>11.9232</v>
      </c>
      <c r="Y1571" s="2994">
        <v>12.2387</v>
      </c>
      <c r="Z1571" s="2994">
        <v>9.5266000000000002</v>
      </c>
      <c r="AA1571" s="2994">
        <v>9.7498000000000005</v>
      </c>
      <c r="AB1571" s="2994">
        <v>4.2064000000000004</v>
      </c>
      <c r="AC1571" s="2994">
        <v>2.9931000000000001</v>
      </c>
      <c r="AD1571" s="2994">
        <v>4.0616000000000003</v>
      </c>
      <c r="AE1571" s="2994">
        <v>5.3384</v>
      </c>
      <c r="AF1571" s="2994">
        <v>4.2931999999999997</v>
      </c>
      <c r="AG1571" s="2994">
        <v>5.4451000000000001</v>
      </c>
      <c r="AH1571" s="2994">
        <v>3.8723000000000001</v>
      </c>
      <c r="AI1571" s="2994">
        <v>4.2762000000000002</v>
      </c>
      <c r="AJ1571" s="2994">
        <v>4.2613000000000003</v>
      </c>
      <c r="AK1571" s="2994">
        <v>4.6242000000000001</v>
      </c>
      <c r="AL1571" s="2994">
        <v>4.5598000000000001</v>
      </c>
      <c r="AM1571" s="2994">
        <v>3.9916</v>
      </c>
      <c r="AN1571" s="2994">
        <v>5.6116999999999999</v>
      </c>
      <c r="AO1571" s="2994">
        <v>5.1456999999999997</v>
      </c>
      <c r="AP1571" s="2994">
        <v>5.6322000000000001</v>
      </c>
      <c r="AQ1571" s="2994">
        <v>5.8388999999999998</v>
      </c>
      <c r="AR1571" s="2994">
        <v>5.0187999999999997</v>
      </c>
      <c r="AS1571" s="2994">
        <v>5.5960999999999999</v>
      </c>
      <c r="AT1571" s="2994">
        <v>4.7859999999999996</v>
      </c>
      <c r="AU1571" s="2994">
        <v>5.5571000000000002</v>
      </c>
      <c r="AV1571" s="2994">
        <v>5.407</v>
      </c>
      <c r="AW1571" s="2994">
        <v>5.0107999999999997</v>
      </c>
      <c r="AX1571" s="2994">
        <v>6.5370999999999997</v>
      </c>
      <c r="AY1571" s="2994">
        <v>6.6536999999999997</v>
      </c>
      <c r="AZ1571" s="2994">
        <v>6.4261999999999997</v>
      </c>
      <c r="BA1571" s="2994">
        <v>5.5170000000000003</v>
      </c>
      <c r="BB1571" s="2994">
        <v>4.4509999999999996</v>
      </c>
      <c r="BC1571" s="2994">
        <v>5.0255000000000001</v>
      </c>
      <c r="BD1571" s="3471">
        <v>4.4358000000000004</v>
      </c>
      <c r="BE1571" s="3471">
        <v>5.0216000000000003</v>
      </c>
      <c r="BF1571" s="3471">
        <v>0</v>
      </c>
    </row>
    <row r="1572" spans="1:58">
      <c r="A1572" s="1817" t="str">
        <f t="shared" si="49"/>
        <v>OceaniaManila fibre (abaca)</v>
      </c>
      <c r="B1572" s="1818" t="s">
        <v>303</v>
      </c>
      <c r="C1572" s="1818" t="s">
        <v>7347</v>
      </c>
      <c r="D1572" s="3463" t="str">
        <f>VLOOKUP(B1572,List_Yield!$G$4:$J$14,4,FALSE)</f>
        <v>Oceania</v>
      </c>
      <c r="E1572" s="3463" t="str">
        <f t="shared" si="50"/>
        <v>OceaniaManila fibre (abaca)</v>
      </c>
      <c r="F1572" s="2994">
        <v>0</v>
      </c>
      <c r="G1572" s="2994">
        <v>0</v>
      </c>
      <c r="H1572" s="2994">
        <v>0</v>
      </c>
      <c r="I1572" s="2994">
        <v>0</v>
      </c>
      <c r="J1572" s="2994">
        <v>0</v>
      </c>
      <c r="K1572" s="2994">
        <v>0</v>
      </c>
      <c r="L1572" s="2994">
        <v>0</v>
      </c>
      <c r="M1572" s="2994">
        <v>0</v>
      </c>
      <c r="N1572" s="2994">
        <v>0</v>
      </c>
      <c r="O1572" s="2994">
        <v>0</v>
      </c>
      <c r="P1572" s="2994">
        <v>0</v>
      </c>
      <c r="Q1572" s="2994">
        <v>0</v>
      </c>
      <c r="R1572" s="2994">
        <v>0</v>
      </c>
      <c r="S1572" s="2994">
        <v>0</v>
      </c>
      <c r="T1572" s="2994">
        <v>0</v>
      </c>
      <c r="U1572" s="2994">
        <v>0</v>
      </c>
      <c r="V1572" s="2994">
        <v>0</v>
      </c>
      <c r="W1572" s="2994">
        <v>0</v>
      </c>
      <c r="X1572" s="2994">
        <v>0</v>
      </c>
      <c r="Y1572" s="2994">
        <v>0</v>
      </c>
      <c r="Z1572" s="2994">
        <v>0</v>
      </c>
      <c r="AA1572" s="2994">
        <v>0</v>
      </c>
      <c r="AB1572" s="2994">
        <v>0</v>
      </c>
      <c r="AC1572" s="2994">
        <v>0</v>
      </c>
      <c r="AD1572" s="2994">
        <v>0</v>
      </c>
      <c r="AE1572" s="2994">
        <v>0</v>
      </c>
      <c r="AF1572" s="2994">
        <v>0</v>
      </c>
      <c r="AG1572" s="2994">
        <v>0</v>
      </c>
      <c r="AH1572" s="2994">
        <v>0</v>
      </c>
      <c r="AI1572" s="2994">
        <v>0</v>
      </c>
      <c r="AJ1572" s="2994">
        <v>0</v>
      </c>
      <c r="AK1572" s="2994">
        <v>0</v>
      </c>
      <c r="AL1572" s="2994">
        <v>0</v>
      </c>
      <c r="AM1572" s="2994">
        <v>0</v>
      </c>
      <c r="AN1572" s="2994">
        <v>0</v>
      </c>
      <c r="AO1572" s="2994">
        <v>0</v>
      </c>
      <c r="AP1572" s="2994">
        <v>0</v>
      </c>
      <c r="AQ1572" s="2994">
        <v>0</v>
      </c>
      <c r="AR1572" s="2994">
        <v>0</v>
      </c>
      <c r="AS1572" s="2994">
        <v>0</v>
      </c>
      <c r="AT1572" s="2994">
        <v>0</v>
      </c>
      <c r="AU1572" s="2994">
        <v>0</v>
      </c>
      <c r="AV1572" s="2994">
        <v>0</v>
      </c>
      <c r="AW1572" s="2994">
        <v>0</v>
      </c>
      <c r="AX1572" s="2994">
        <v>0</v>
      </c>
      <c r="AY1572" s="2994">
        <v>0</v>
      </c>
      <c r="AZ1572" s="2994">
        <v>0</v>
      </c>
      <c r="BA1572" s="2994">
        <v>0</v>
      </c>
      <c r="BB1572" s="2994">
        <v>0</v>
      </c>
      <c r="BC1572" s="2994">
        <v>0</v>
      </c>
      <c r="BD1572" s="3471">
        <v>0</v>
      </c>
      <c r="BE1572" s="3471">
        <v>0</v>
      </c>
      <c r="BF1572" s="3471">
        <v>0</v>
      </c>
    </row>
    <row r="1573" spans="1:58">
      <c r="A1573" s="1817" t="str">
        <f t="shared" si="49"/>
        <v>OceaniaMaté</v>
      </c>
      <c r="B1573" s="1818" t="s">
        <v>303</v>
      </c>
      <c r="C1573" s="1818" t="s">
        <v>2268</v>
      </c>
      <c r="D1573" s="3463" t="str">
        <f>VLOOKUP(B1573,List_Yield!$G$4:$J$14,4,FALSE)</f>
        <v>Oceania</v>
      </c>
      <c r="E1573" s="3463" t="str">
        <f t="shared" si="50"/>
        <v>OceaniaMaté</v>
      </c>
      <c r="F1573" s="2994">
        <v>0</v>
      </c>
      <c r="G1573" s="2994">
        <v>0</v>
      </c>
      <c r="H1573" s="2994">
        <v>0</v>
      </c>
      <c r="I1573" s="2994">
        <v>0</v>
      </c>
      <c r="J1573" s="2994">
        <v>0</v>
      </c>
      <c r="K1573" s="2994">
        <v>0</v>
      </c>
      <c r="L1573" s="2994">
        <v>0</v>
      </c>
      <c r="M1573" s="2994">
        <v>0</v>
      </c>
      <c r="N1573" s="2994">
        <v>0</v>
      </c>
      <c r="O1573" s="2994">
        <v>0</v>
      </c>
      <c r="P1573" s="2994">
        <v>0</v>
      </c>
      <c r="Q1573" s="2994">
        <v>0</v>
      </c>
      <c r="R1573" s="2994">
        <v>0</v>
      </c>
      <c r="S1573" s="2994">
        <v>0</v>
      </c>
      <c r="T1573" s="2994">
        <v>0</v>
      </c>
      <c r="U1573" s="2994">
        <v>0</v>
      </c>
      <c r="V1573" s="2994">
        <v>0</v>
      </c>
      <c r="W1573" s="2994">
        <v>0</v>
      </c>
      <c r="X1573" s="2994">
        <v>0</v>
      </c>
      <c r="Y1573" s="2994">
        <v>0</v>
      </c>
      <c r="Z1573" s="2994">
        <v>0</v>
      </c>
      <c r="AA1573" s="2994">
        <v>0</v>
      </c>
      <c r="AB1573" s="2994">
        <v>0</v>
      </c>
      <c r="AC1573" s="2994">
        <v>0</v>
      </c>
      <c r="AD1573" s="2994">
        <v>0</v>
      </c>
      <c r="AE1573" s="2994">
        <v>0</v>
      </c>
      <c r="AF1573" s="2994">
        <v>0</v>
      </c>
      <c r="AG1573" s="2994">
        <v>0</v>
      </c>
      <c r="AH1573" s="2994">
        <v>0</v>
      </c>
      <c r="AI1573" s="2994">
        <v>0</v>
      </c>
      <c r="AJ1573" s="2994">
        <v>0</v>
      </c>
      <c r="AK1573" s="2994">
        <v>0</v>
      </c>
      <c r="AL1573" s="2994">
        <v>0</v>
      </c>
      <c r="AM1573" s="2994">
        <v>0</v>
      </c>
      <c r="AN1573" s="2994">
        <v>0</v>
      </c>
      <c r="AO1573" s="2994">
        <v>0</v>
      </c>
      <c r="AP1573" s="2994">
        <v>0</v>
      </c>
      <c r="AQ1573" s="2994">
        <v>0</v>
      </c>
      <c r="AR1573" s="2994">
        <v>0</v>
      </c>
      <c r="AS1573" s="2994">
        <v>0</v>
      </c>
      <c r="AT1573" s="2994">
        <v>0</v>
      </c>
      <c r="AU1573" s="2994">
        <v>0</v>
      </c>
      <c r="AV1573" s="2994">
        <v>0</v>
      </c>
      <c r="AW1573" s="2994">
        <v>0</v>
      </c>
      <c r="AX1573" s="2994">
        <v>0</v>
      </c>
      <c r="AY1573" s="2994">
        <v>0</v>
      </c>
      <c r="AZ1573" s="2994">
        <v>0</v>
      </c>
      <c r="BA1573" s="2994">
        <v>0</v>
      </c>
      <c r="BB1573" s="2994">
        <v>0</v>
      </c>
      <c r="BC1573" s="2994">
        <v>0</v>
      </c>
      <c r="BD1573" s="3471">
        <v>0</v>
      </c>
      <c r="BE1573" s="3471">
        <v>0</v>
      </c>
      <c r="BF1573" s="3471">
        <v>0</v>
      </c>
    </row>
    <row r="1574" spans="1:58">
      <c r="A1574" s="1817" t="str">
        <f t="shared" si="49"/>
        <v>OceaniaMelons, other (inc.cantaloupes)</v>
      </c>
      <c r="B1574" s="1818" t="s">
        <v>303</v>
      </c>
      <c r="C1574" s="1818" t="s">
        <v>7348</v>
      </c>
      <c r="D1574" s="3463" t="str">
        <f>VLOOKUP(B1574,List_Yield!$G$4:$J$14,4,FALSE)</f>
        <v>Oceania</v>
      </c>
      <c r="E1574" s="3463" t="str">
        <f t="shared" si="50"/>
        <v>OceaniaMelons, other (inc.cantaloupes)</v>
      </c>
      <c r="F1574" s="2994">
        <v>8.2012999999999998</v>
      </c>
      <c r="G1574" s="2994">
        <v>8.2620000000000005</v>
      </c>
      <c r="H1574" s="2994">
        <v>8.6277000000000008</v>
      </c>
      <c r="I1574" s="2994">
        <v>9.3690999999999995</v>
      </c>
      <c r="J1574" s="2994">
        <v>9.0158000000000005</v>
      </c>
      <c r="K1574" s="2994">
        <v>9.0221999999999998</v>
      </c>
      <c r="L1574" s="2994">
        <v>9.3475999999999999</v>
      </c>
      <c r="M1574" s="2994">
        <v>9.3472000000000008</v>
      </c>
      <c r="N1574" s="2994">
        <v>9.2382000000000009</v>
      </c>
      <c r="O1574" s="2994">
        <v>8.8545999999999996</v>
      </c>
      <c r="P1574" s="2994">
        <v>8.0510999999999999</v>
      </c>
      <c r="Q1574" s="2994">
        <v>9.4239999999999995</v>
      </c>
      <c r="R1574" s="2994">
        <v>9.8131000000000004</v>
      </c>
      <c r="S1574" s="2994">
        <v>9.7010000000000005</v>
      </c>
      <c r="T1574" s="2994">
        <v>10.401899999999999</v>
      </c>
      <c r="U1574" s="2994">
        <v>9.0799000000000003</v>
      </c>
      <c r="V1574" s="2994">
        <v>9.9224999999999994</v>
      </c>
      <c r="W1574" s="2994">
        <v>10.0413</v>
      </c>
      <c r="X1574" s="2994">
        <v>10.279</v>
      </c>
      <c r="Y1574" s="2994">
        <v>10.3506</v>
      </c>
      <c r="Z1574" s="2994">
        <v>11.802</v>
      </c>
      <c r="AA1574" s="2994">
        <v>11.3964</v>
      </c>
      <c r="AB1574" s="2994">
        <v>13.4091</v>
      </c>
      <c r="AC1574" s="2994">
        <v>12.4495</v>
      </c>
      <c r="AD1574" s="2994">
        <v>13.277100000000001</v>
      </c>
      <c r="AE1574" s="2994">
        <v>13.164099999999999</v>
      </c>
      <c r="AF1574" s="2994">
        <v>12.942500000000001</v>
      </c>
      <c r="AG1574" s="2994">
        <v>14.6448</v>
      </c>
      <c r="AH1574" s="2994">
        <v>16.464400000000001</v>
      </c>
      <c r="AI1574" s="2994">
        <v>16.011500000000002</v>
      </c>
      <c r="AJ1574" s="2994">
        <v>15.1472</v>
      </c>
      <c r="AK1574" s="2994">
        <v>18.1463</v>
      </c>
      <c r="AL1574" s="2994">
        <v>18.657900000000001</v>
      </c>
      <c r="AM1574" s="2994">
        <v>21.0181</v>
      </c>
      <c r="AN1574" s="2994">
        <v>21.965299999999999</v>
      </c>
      <c r="AO1574" s="2994">
        <v>22.944700000000001</v>
      </c>
      <c r="AP1574" s="2994">
        <v>22.2517</v>
      </c>
      <c r="AQ1574" s="2994">
        <v>23.7849</v>
      </c>
      <c r="AR1574" s="2994">
        <v>18.765999999999998</v>
      </c>
      <c r="AS1574" s="2994">
        <v>21.363</v>
      </c>
      <c r="AT1574" s="2994">
        <v>23.058800000000002</v>
      </c>
      <c r="AU1574" s="2994">
        <v>23.900500000000001</v>
      </c>
      <c r="AV1574" s="2994">
        <v>26.571300000000001</v>
      </c>
      <c r="AW1574" s="2994">
        <v>31.972999999999999</v>
      </c>
      <c r="AX1574" s="2994">
        <v>24.2118</v>
      </c>
      <c r="AY1574" s="2994">
        <v>11.2323</v>
      </c>
      <c r="AZ1574" s="2994">
        <v>13.8438</v>
      </c>
      <c r="BA1574" s="2994">
        <v>24.411899999999999</v>
      </c>
      <c r="BB1574" s="2994">
        <v>20.447500000000002</v>
      </c>
      <c r="BC1574" s="2994">
        <v>19.595099999999999</v>
      </c>
      <c r="BD1574" s="3471">
        <v>21.057099999999998</v>
      </c>
      <c r="BE1574" s="3471">
        <v>21.537700000000001</v>
      </c>
      <c r="BF1574" s="3471">
        <v>0</v>
      </c>
    </row>
    <row r="1575" spans="1:58">
      <c r="A1575" s="1817" t="str">
        <f t="shared" si="49"/>
        <v>OceaniaMelonseed</v>
      </c>
      <c r="B1575" s="1818" t="s">
        <v>303</v>
      </c>
      <c r="C1575" s="1818" t="s">
        <v>7349</v>
      </c>
      <c r="D1575" s="3463" t="str">
        <f>VLOOKUP(B1575,List_Yield!$G$4:$J$14,4,FALSE)</f>
        <v>Oceania</v>
      </c>
      <c r="E1575" s="3463" t="str">
        <f t="shared" si="50"/>
        <v>OceaniaMelonseed</v>
      </c>
      <c r="F1575" s="2994">
        <v>0</v>
      </c>
      <c r="G1575" s="2994">
        <v>0</v>
      </c>
      <c r="H1575" s="2994">
        <v>0</v>
      </c>
      <c r="I1575" s="2994">
        <v>0</v>
      </c>
      <c r="J1575" s="2994">
        <v>0</v>
      </c>
      <c r="K1575" s="2994">
        <v>0</v>
      </c>
      <c r="L1575" s="2994">
        <v>0</v>
      </c>
      <c r="M1575" s="2994">
        <v>0</v>
      </c>
      <c r="N1575" s="2994">
        <v>0</v>
      </c>
      <c r="O1575" s="2994">
        <v>0</v>
      </c>
      <c r="P1575" s="2994">
        <v>0</v>
      </c>
      <c r="Q1575" s="2994">
        <v>0</v>
      </c>
      <c r="R1575" s="2994">
        <v>0</v>
      </c>
      <c r="S1575" s="2994">
        <v>0</v>
      </c>
      <c r="T1575" s="2994">
        <v>0</v>
      </c>
      <c r="U1575" s="2994">
        <v>0</v>
      </c>
      <c r="V1575" s="2994">
        <v>0</v>
      </c>
      <c r="W1575" s="2994">
        <v>0</v>
      </c>
      <c r="X1575" s="2994">
        <v>0</v>
      </c>
      <c r="Y1575" s="2994">
        <v>0</v>
      </c>
      <c r="Z1575" s="2994">
        <v>0</v>
      </c>
      <c r="AA1575" s="2994">
        <v>0</v>
      </c>
      <c r="AB1575" s="2994">
        <v>0</v>
      </c>
      <c r="AC1575" s="2994">
        <v>0</v>
      </c>
      <c r="AD1575" s="2994">
        <v>0</v>
      </c>
      <c r="AE1575" s="2994">
        <v>0</v>
      </c>
      <c r="AF1575" s="2994">
        <v>0</v>
      </c>
      <c r="AG1575" s="2994">
        <v>0</v>
      </c>
      <c r="AH1575" s="2994">
        <v>0</v>
      </c>
      <c r="AI1575" s="2994">
        <v>0</v>
      </c>
      <c r="AJ1575" s="2994">
        <v>0</v>
      </c>
      <c r="AK1575" s="2994">
        <v>0</v>
      </c>
      <c r="AL1575" s="2994">
        <v>0</v>
      </c>
      <c r="AM1575" s="2994">
        <v>0</v>
      </c>
      <c r="AN1575" s="2994">
        <v>0</v>
      </c>
      <c r="AO1575" s="2994">
        <v>0</v>
      </c>
      <c r="AP1575" s="2994">
        <v>0</v>
      </c>
      <c r="AQ1575" s="2994">
        <v>0</v>
      </c>
      <c r="AR1575" s="2994">
        <v>0</v>
      </c>
      <c r="AS1575" s="2994">
        <v>0</v>
      </c>
      <c r="AT1575" s="2994">
        <v>0</v>
      </c>
      <c r="AU1575" s="2994">
        <v>0</v>
      </c>
      <c r="AV1575" s="2994">
        <v>0</v>
      </c>
      <c r="AW1575" s="2994">
        <v>0</v>
      </c>
      <c r="AX1575" s="2994">
        <v>0</v>
      </c>
      <c r="AY1575" s="2994">
        <v>0</v>
      </c>
      <c r="AZ1575" s="2994">
        <v>0</v>
      </c>
      <c r="BA1575" s="2994">
        <v>0</v>
      </c>
      <c r="BB1575" s="2994">
        <v>0</v>
      </c>
      <c r="BC1575" s="2994">
        <v>0</v>
      </c>
      <c r="BD1575" s="3471">
        <v>0</v>
      </c>
      <c r="BE1575" s="3471">
        <v>0</v>
      </c>
      <c r="BF1575" s="3471">
        <v>0</v>
      </c>
    </row>
    <row r="1576" spans="1:58">
      <c r="A1576" s="1817" t="str">
        <f t="shared" si="49"/>
        <v>OceaniaMillet</v>
      </c>
      <c r="B1576" s="1818" t="s">
        <v>303</v>
      </c>
      <c r="C1576" s="1818" t="s">
        <v>1359</v>
      </c>
      <c r="D1576" s="3463" t="str">
        <f>VLOOKUP(B1576,List_Yield!$G$4:$J$14,4,FALSE)</f>
        <v>Oceania</v>
      </c>
      <c r="E1576" s="3463" t="str">
        <f t="shared" si="50"/>
        <v>OceaniaMillet</v>
      </c>
      <c r="F1576" s="2994">
        <v>1.0089999999999999</v>
      </c>
      <c r="G1576" s="2994">
        <v>1.1012</v>
      </c>
      <c r="H1576" s="2994">
        <v>1.1507000000000001</v>
      </c>
      <c r="I1576" s="2994">
        <v>0.96099999999999997</v>
      </c>
      <c r="J1576" s="2994">
        <v>1.1091</v>
      </c>
      <c r="K1576" s="2994">
        <v>0.8629</v>
      </c>
      <c r="L1576" s="2994">
        <v>1.2155</v>
      </c>
      <c r="M1576" s="2994">
        <v>1.0203</v>
      </c>
      <c r="N1576" s="2994">
        <v>0.67149999999999999</v>
      </c>
      <c r="O1576" s="2994">
        <v>0.89710000000000001</v>
      </c>
      <c r="P1576" s="2994">
        <v>1.1595</v>
      </c>
      <c r="Q1576" s="2994">
        <v>1.0854999999999999</v>
      </c>
      <c r="R1576" s="2994">
        <v>0.95730000000000004</v>
      </c>
      <c r="S1576" s="2994">
        <v>0.88290000000000002</v>
      </c>
      <c r="T1576" s="2994">
        <v>0.9758</v>
      </c>
      <c r="U1576" s="2994">
        <v>0.96809999999999996</v>
      </c>
      <c r="V1576" s="2994">
        <v>0.77969999999999995</v>
      </c>
      <c r="W1576" s="2994">
        <v>0.6573</v>
      </c>
      <c r="X1576" s="2994">
        <v>1.1223000000000001</v>
      </c>
      <c r="Y1576" s="2994">
        <v>0.76980000000000004</v>
      </c>
      <c r="Z1576" s="2994">
        <v>1.0056</v>
      </c>
      <c r="AA1576" s="2994">
        <v>1.1059000000000001</v>
      </c>
      <c r="AB1576" s="2994">
        <v>0.81430000000000002</v>
      </c>
      <c r="AC1576" s="2994">
        <v>1.1577</v>
      </c>
      <c r="AD1576" s="2994">
        <v>0.88270000000000004</v>
      </c>
      <c r="AE1576" s="2994">
        <v>1.0323</v>
      </c>
      <c r="AF1576" s="2994">
        <v>0.92789999999999995</v>
      </c>
      <c r="AG1576" s="2994">
        <v>1.2922</v>
      </c>
      <c r="AH1576" s="2994">
        <v>0.79620000000000002</v>
      </c>
      <c r="AI1576" s="2994">
        <v>1.1415</v>
      </c>
      <c r="AJ1576" s="2994">
        <v>0.6593</v>
      </c>
      <c r="AK1576" s="2994">
        <v>1.2536</v>
      </c>
      <c r="AL1576" s="2994">
        <v>0.65290000000000004</v>
      </c>
      <c r="AM1576" s="2994">
        <v>0.99009999999999998</v>
      </c>
      <c r="AN1576" s="2994">
        <v>0.99729999999999996</v>
      </c>
      <c r="AO1576" s="2994">
        <v>1.2981</v>
      </c>
      <c r="AP1576" s="2994">
        <v>1.2</v>
      </c>
      <c r="AQ1576" s="2994">
        <v>0.96879999999999999</v>
      </c>
      <c r="AR1576" s="2994">
        <v>1.2285999999999999</v>
      </c>
      <c r="AS1576" s="2994">
        <v>1.4574</v>
      </c>
      <c r="AT1576" s="2994">
        <v>1.5278</v>
      </c>
      <c r="AU1576" s="2994">
        <v>1.375</v>
      </c>
      <c r="AV1576" s="2994">
        <v>0.89859999999999995</v>
      </c>
      <c r="AW1576" s="2994">
        <v>1.2821</v>
      </c>
      <c r="AX1576" s="2994">
        <v>1.0198</v>
      </c>
      <c r="AY1576" s="2994">
        <v>1</v>
      </c>
      <c r="AZ1576" s="2994">
        <v>1</v>
      </c>
      <c r="BA1576" s="2994">
        <v>1</v>
      </c>
      <c r="BB1576" s="2994">
        <v>0.95</v>
      </c>
      <c r="BC1576" s="2994">
        <v>0.97370000000000001</v>
      </c>
      <c r="BD1576" s="3471">
        <v>1.0667</v>
      </c>
      <c r="BE1576" s="3471">
        <v>1.1841999999999999</v>
      </c>
      <c r="BF1576" s="3471">
        <v>1.1429</v>
      </c>
    </row>
    <row r="1577" spans="1:58">
      <c r="A1577" s="1817" t="str">
        <f t="shared" si="49"/>
        <v>OceaniaMushrooms and truffles</v>
      </c>
      <c r="B1577" s="1818" t="s">
        <v>303</v>
      </c>
      <c r="C1577" s="1818" t="s">
        <v>7350</v>
      </c>
      <c r="D1577" s="3463" t="str">
        <f>VLOOKUP(B1577,List_Yield!$G$4:$J$14,4,FALSE)</f>
        <v>Oceania</v>
      </c>
      <c r="E1577" s="3463" t="str">
        <f t="shared" si="50"/>
        <v>OceaniaMushrooms and truffles</v>
      </c>
      <c r="F1577" s="2994">
        <v>30</v>
      </c>
      <c r="G1577" s="2994">
        <v>47.692300000000003</v>
      </c>
      <c r="H1577" s="2994">
        <v>50.769199999999998</v>
      </c>
      <c r="I1577" s="2994">
        <v>53.076900000000002</v>
      </c>
      <c r="J1577" s="2994">
        <v>53.846200000000003</v>
      </c>
      <c r="K1577" s="2994">
        <v>700</v>
      </c>
      <c r="L1577" s="2994">
        <v>800</v>
      </c>
      <c r="M1577" s="2994">
        <v>183.33330000000001</v>
      </c>
      <c r="N1577" s="2994">
        <v>238.33330000000001</v>
      </c>
      <c r="O1577" s="2994">
        <v>216.5</v>
      </c>
      <c r="P1577" s="2994">
        <v>214.6</v>
      </c>
      <c r="Q1577" s="2994">
        <v>256</v>
      </c>
      <c r="R1577" s="2994">
        <v>141.80000000000001</v>
      </c>
      <c r="S1577" s="2994">
        <v>91.514300000000006</v>
      </c>
      <c r="T1577" s="2994">
        <v>135.12960000000001</v>
      </c>
      <c r="U1577" s="2994">
        <v>152.1961</v>
      </c>
      <c r="V1577" s="2994">
        <v>147.41669999999999</v>
      </c>
      <c r="W1577" s="2994">
        <v>162.15</v>
      </c>
      <c r="X1577" s="2994">
        <v>167.59020000000001</v>
      </c>
      <c r="Y1577" s="2994">
        <v>174.24189999999999</v>
      </c>
      <c r="Z1577" s="2994">
        <v>177.7937</v>
      </c>
      <c r="AA1577" s="2994">
        <v>193.46879999999999</v>
      </c>
      <c r="AB1577" s="2994">
        <v>175.2286</v>
      </c>
      <c r="AC1577" s="2994">
        <v>176.16220000000001</v>
      </c>
      <c r="AD1577" s="2994">
        <v>181.96250000000001</v>
      </c>
      <c r="AE1577" s="2994">
        <v>201.726</v>
      </c>
      <c r="AF1577" s="2994">
        <v>211.28749999999999</v>
      </c>
      <c r="AG1577" s="2994">
        <v>249.47499999999999</v>
      </c>
      <c r="AH1577" s="2994">
        <v>207.61170000000001</v>
      </c>
      <c r="AI1577" s="2994">
        <v>245.14580000000001</v>
      </c>
      <c r="AJ1577" s="2994">
        <v>249.03639999999999</v>
      </c>
      <c r="AK1577" s="2994">
        <v>258.94639999999998</v>
      </c>
      <c r="AL1577" s="2994">
        <v>218.3219</v>
      </c>
      <c r="AM1577" s="2994">
        <v>265.61540000000002</v>
      </c>
      <c r="AN1577" s="2994">
        <v>216.9665</v>
      </c>
      <c r="AO1577" s="2994">
        <v>229.13890000000001</v>
      </c>
      <c r="AP1577" s="2994">
        <v>263.71170000000001</v>
      </c>
      <c r="AQ1577" s="2994">
        <v>278.20589999999999</v>
      </c>
      <c r="AR1577" s="2994">
        <v>264.26589999999999</v>
      </c>
      <c r="AS1577" s="2994">
        <v>245.85640000000001</v>
      </c>
      <c r="AT1577" s="2994">
        <v>337.2817</v>
      </c>
      <c r="AU1577" s="2994">
        <v>296.64</v>
      </c>
      <c r="AV1577" s="2994">
        <v>282.76920000000001</v>
      </c>
      <c r="AW1577" s="2994">
        <v>287.0052</v>
      </c>
      <c r="AX1577" s="2994">
        <v>285.81819999999999</v>
      </c>
      <c r="AY1577" s="2994">
        <v>254.42179999999999</v>
      </c>
      <c r="AZ1577" s="2994">
        <v>231.85069999999999</v>
      </c>
      <c r="BA1577" s="2994">
        <v>263.87849999999997</v>
      </c>
      <c r="BB1577" s="2994">
        <v>266.9282</v>
      </c>
      <c r="BC1577" s="2994">
        <v>291.2235</v>
      </c>
      <c r="BD1577" s="3471">
        <v>303.9796</v>
      </c>
      <c r="BE1577" s="3471">
        <v>345.45530000000002</v>
      </c>
      <c r="BF1577" s="3471">
        <v>0</v>
      </c>
    </row>
    <row r="1578" spans="1:58">
      <c r="A1578" s="1817" t="str">
        <f t="shared" si="49"/>
        <v>OceaniaMustard seed</v>
      </c>
      <c r="B1578" s="1818" t="s">
        <v>303</v>
      </c>
      <c r="C1578" s="1818" t="s">
        <v>7351</v>
      </c>
      <c r="D1578" s="3463" t="str">
        <f>VLOOKUP(B1578,List_Yield!$G$4:$J$14,4,FALSE)</f>
        <v>Oceania</v>
      </c>
      <c r="E1578" s="3463" t="str">
        <f t="shared" si="50"/>
        <v>OceaniaMustard seed</v>
      </c>
      <c r="F1578" s="2994">
        <v>0.40670000000000001</v>
      </c>
      <c r="G1578" s="2994">
        <v>0.73580000000000001</v>
      </c>
      <c r="H1578" s="2994">
        <v>0.58340000000000003</v>
      </c>
      <c r="I1578" s="2994">
        <v>0.437</v>
      </c>
      <c r="J1578" s="2994">
        <v>0.76539999999999997</v>
      </c>
      <c r="K1578" s="2994">
        <v>0.50860000000000005</v>
      </c>
      <c r="L1578" s="2994">
        <v>0.59260000000000002</v>
      </c>
      <c r="M1578" s="2994">
        <v>0.40489999999999998</v>
      </c>
      <c r="N1578" s="2994">
        <v>0.87649999999999995</v>
      </c>
      <c r="O1578" s="2994">
        <v>0.70860000000000001</v>
      </c>
      <c r="P1578" s="2994">
        <v>0.54879999999999995</v>
      </c>
      <c r="Q1578" s="2994">
        <v>0.74070000000000003</v>
      </c>
      <c r="R1578" s="2994">
        <v>0.878</v>
      </c>
      <c r="S1578" s="2994">
        <v>0.52980000000000005</v>
      </c>
      <c r="T1578" s="2994">
        <v>0.16739999999999999</v>
      </c>
      <c r="U1578" s="2994">
        <v>0.63690000000000002</v>
      </c>
      <c r="V1578" s="2994">
        <v>0.39700000000000002</v>
      </c>
      <c r="W1578" s="2994">
        <v>0.54149999999999998</v>
      </c>
      <c r="X1578" s="2994">
        <v>0.6855</v>
      </c>
      <c r="Y1578" s="2994">
        <v>0.28739999999999999</v>
      </c>
      <c r="Z1578" s="2994">
        <v>0.52710000000000001</v>
      </c>
      <c r="AA1578" s="2994">
        <v>0.53010000000000002</v>
      </c>
      <c r="AB1578" s="2994">
        <v>0.32990000000000003</v>
      </c>
      <c r="AC1578" s="2994">
        <v>0.80500000000000005</v>
      </c>
      <c r="AD1578" s="2994">
        <v>1.2985</v>
      </c>
      <c r="AE1578" s="2994">
        <v>1.2217</v>
      </c>
      <c r="AF1578" s="2994">
        <v>0.56830000000000003</v>
      </c>
      <c r="AG1578" s="2994">
        <v>0.68030000000000002</v>
      </c>
      <c r="AH1578" s="2994">
        <v>0.87</v>
      </c>
      <c r="AI1578" s="2994">
        <v>0.82250000000000001</v>
      </c>
      <c r="AJ1578" s="2994">
        <v>0.80269999999999997</v>
      </c>
      <c r="AK1578" s="2994">
        <v>0.67279999999999995</v>
      </c>
      <c r="AL1578" s="2994">
        <v>0.62029999999999996</v>
      </c>
      <c r="AM1578" s="2994">
        <v>0</v>
      </c>
      <c r="AN1578" s="2994">
        <v>0</v>
      </c>
      <c r="AO1578" s="2994">
        <v>0</v>
      </c>
      <c r="AP1578" s="2994">
        <v>0</v>
      </c>
      <c r="AQ1578" s="2994">
        <v>0</v>
      </c>
      <c r="AR1578" s="2994">
        <v>0</v>
      </c>
      <c r="AS1578" s="2994">
        <v>0</v>
      </c>
      <c r="AT1578" s="2994">
        <v>0</v>
      </c>
      <c r="AU1578" s="2994">
        <v>0</v>
      </c>
      <c r="AV1578" s="2994">
        <v>0</v>
      </c>
      <c r="AW1578" s="2994">
        <v>0</v>
      </c>
      <c r="AX1578" s="2994">
        <v>0</v>
      </c>
      <c r="AY1578" s="2994">
        <v>0</v>
      </c>
      <c r="AZ1578" s="2994">
        <v>0</v>
      </c>
      <c r="BA1578" s="2994">
        <v>0</v>
      </c>
      <c r="BB1578" s="2994">
        <v>0</v>
      </c>
      <c r="BC1578" s="2994">
        <v>0</v>
      </c>
      <c r="BD1578" s="3471">
        <v>0</v>
      </c>
      <c r="BE1578" s="3471">
        <v>0</v>
      </c>
      <c r="BF1578" s="3471">
        <v>0</v>
      </c>
    </row>
    <row r="1579" spans="1:58">
      <c r="A1579" s="1817" t="str">
        <f t="shared" si="49"/>
        <v>OceaniaNutmeg, mace and cardamoms</v>
      </c>
      <c r="B1579" s="1818" t="s">
        <v>303</v>
      </c>
      <c r="C1579" s="1818" t="s">
        <v>7352</v>
      </c>
      <c r="D1579" s="3463" t="str">
        <f>VLOOKUP(B1579,List_Yield!$G$4:$J$14,4,FALSE)</f>
        <v>Oceania</v>
      </c>
      <c r="E1579" s="3463" t="str">
        <f t="shared" si="50"/>
        <v>OceaniaNutmeg, mace and cardamoms</v>
      </c>
      <c r="F1579" s="2994">
        <v>0</v>
      </c>
      <c r="G1579" s="2994">
        <v>0</v>
      </c>
      <c r="H1579" s="2994">
        <v>0</v>
      </c>
      <c r="I1579" s="2994">
        <v>0</v>
      </c>
      <c r="J1579" s="2994">
        <v>0</v>
      </c>
      <c r="K1579" s="2994">
        <v>0</v>
      </c>
      <c r="L1579" s="2994">
        <v>0</v>
      </c>
      <c r="M1579" s="2994">
        <v>0</v>
      </c>
      <c r="N1579" s="2994">
        <v>0</v>
      </c>
      <c r="O1579" s="2994">
        <v>0</v>
      </c>
      <c r="P1579" s="2994">
        <v>0</v>
      </c>
      <c r="Q1579" s="2994">
        <v>0</v>
      </c>
      <c r="R1579" s="2994">
        <v>0</v>
      </c>
      <c r="S1579" s="2994">
        <v>0</v>
      </c>
      <c r="T1579" s="2994">
        <v>0</v>
      </c>
      <c r="U1579" s="2994">
        <v>0</v>
      </c>
      <c r="V1579" s="2994">
        <v>0</v>
      </c>
      <c r="W1579" s="2994">
        <v>0</v>
      </c>
      <c r="X1579" s="2994">
        <v>0</v>
      </c>
      <c r="Y1579" s="2994">
        <v>0</v>
      </c>
      <c r="Z1579" s="2994">
        <v>0.3125</v>
      </c>
      <c r="AA1579" s="2994">
        <v>0.25</v>
      </c>
      <c r="AB1579" s="2994">
        <v>0.3</v>
      </c>
      <c r="AC1579" s="2994">
        <v>0.4</v>
      </c>
      <c r="AD1579" s="2994">
        <v>0.55879999999999996</v>
      </c>
      <c r="AE1579" s="2994">
        <v>0.4667</v>
      </c>
      <c r="AF1579" s="2994">
        <v>0.52939999999999998</v>
      </c>
      <c r="AG1579" s="2994">
        <v>0.50670000000000004</v>
      </c>
      <c r="AH1579" s="2994">
        <v>0.42859999999999998</v>
      </c>
      <c r="AI1579" s="2994">
        <v>0.3</v>
      </c>
      <c r="AJ1579" s="2994">
        <v>0.26669999999999999</v>
      </c>
      <c r="AK1579" s="2994">
        <v>0.27779999999999999</v>
      </c>
      <c r="AL1579" s="2994">
        <v>0.26669999999999999</v>
      </c>
      <c r="AM1579" s="2994">
        <v>0.29820000000000002</v>
      </c>
      <c r="AN1579" s="2994">
        <v>0.30769999999999997</v>
      </c>
      <c r="AO1579" s="2994">
        <v>0.28000000000000003</v>
      </c>
      <c r="AP1579" s="2994">
        <v>0.30399999999999999</v>
      </c>
      <c r="AQ1579" s="2994">
        <v>0.25</v>
      </c>
      <c r="AR1579" s="2994">
        <v>0.3</v>
      </c>
      <c r="AS1579" s="2994">
        <v>0.25</v>
      </c>
      <c r="AT1579" s="2994">
        <v>0.33329999999999999</v>
      </c>
      <c r="AU1579" s="2994">
        <v>0.56579999999999997</v>
      </c>
      <c r="AV1579" s="2994">
        <v>0.5</v>
      </c>
      <c r="AW1579" s="2994">
        <v>0.46250000000000002</v>
      </c>
      <c r="AX1579" s="2994">
        <v>0.4471</v>
      </c>
      <c r="AY1579" s="2994">
        <v>0.5333</v>
      </c>
      <c r="AZ1579" s="2994">
        <v>0.5</v>
      </c>
      <c r="BA1579" s="2994">
        <v>0.5</v>
      </c>
      <c r="BB1579" s="2994">
        <v>0.4</v>
      </c>
      <c r="BC1579" s="2994">
        <v>0.32</v>
      </c>
      <c r="BD1579" s="3471">
        <v>0.4</v>
      </c>
      <c r="BE1579" s="3471">
        <v>0.4</v>
      </c>
      <c r="BF1579" s="3471">
        <v>0</v>
      </c>
    </row>
    <row r="1580" spans="1:58">
      <c r="A1580" s="1817" t="str">
        <f t="shared" si="49"/>
        <v>OceaniaNuts, nes</v>
      </c>
      <c r="B1580" s="1818" t="s">
        <v>303</v>
      </c>
      <c r="C1580" s="1818" t="s">
        <v>7353</v>
      </c>
      <c r="D1580" s="3463" t="str">
        <f>VLOOKUP(B1580,List_Yield!$G$4:$J$14,4,FALSE)</f>
        <v>Oceania</v>
      </c>
      <c r="E1580" s="3463" t="str">
        <f t="shared" si="50"/>
        <v>OceaniaNuts, nes</v>
      </c>
      <c r="F1580" s="2994">
        <v>0.55959999999999999</v>
      </c>
      <c r="G1580" s="2994">
        <v>0.52459999999999996</v>
      </c>
      <c r="H1580" s="2994">
        <v>0.52500000000000002</v>
      </c>
      <c r="I1580" s="2994">
        <v>0.54220000000000002</v>
      </c>
      <c r="J1580" s="2994">
        <v>0.56489999999999996</v>
      </c>
      <c r="K1580" s="2994">
        <v>0.57040000000000002</v>
      </c>
      <c r="L1580" s="2994">
        <v>0.5786</v>
      </c>
      <c r="M1580" s="2994">
        <v>0.54390000000000005</v>
      </c>
      <c r="N1580" s="2994">
        <v>0.5625</v>
      </c>
      <c r="O1580" s="2994">
        <v>0.56730000000000003</v>
      </c>
      <c r="P1580" s="2994">
        <v>0.58009999999999995</v>
      </c>
      <c r="Q1580" s="2994">
        <v>0.59079999999999999</v>
      </c>
      <c r="R1580" s="2994">
        <v>0.59609999999999996</v>
      </c>
      <c r="S1580" s="2994">
        <v>0.59440000000000004</v>
      </c>
      <c r="T1580" s="2994">
        <v>0.59489999999999998</v>
      </c>
      <c r="U1580" s="2994">
        <v>0.5806</v>
      </c>
      <c r="V1580" s="2994">
        <v>0.59030000000000005</v>
      </c>
      <c r="W1580" s="2994">
        <v>0.63639999999999997</v>
      </c>
      <c r="X1580" s="2994">
        <v>0.67659999999999998</v>
      </c>
      <c r="Y1580" s="2994">
        <v>0.65780000000000005</v>
      </c>
      <c r="Z1580" s="2994">
        <v>0.74990000000000001</v>
      </c>
      <c r="AA1580" s="2994">
        <v>0.67420000000000002</v>
      </c>
      <c r="AB1580" s="2994">
        <v>0.70740000000000003</v>
      </c>
      <c r="AC1580" s="2994">
        <v>0.77769999999999995</v>
      </c>
      <c r="AD1580" s="2994">
        <v>0.8347</v>
      </c>
      <c r="AE1580" s="2994">
        <v>0.84099999999999997</v>
      </c>
      <c r="AF1580" s="2994">
        <v>0.74070000000000003</v>
      </c>
      <c r="AG1580" s="2994">
        <v>0.77949999999999997</v>
      </c>
      <c r="AH1580" s="2994">
        <v>0.86770000000000003</v>
      </c>
      <c r="AI1580" s="2994">
        <v>0.90939999999999999</v>
      </c>
      <c r="AJ1580" s="2994">
        <v>1.1035999999999999</v>
      </c>
      <c r="AK1580" s="2994">
        <v>0.98619999999999997</v>
      </c>
      <c r="AL1580" s="2994">
        <v>0.98109999999999997</v>
      </c>
      <c r="AM1580" s="2994">
        <v>0.97819999999999996</v>
      </c>
      <c r="AN1580" s="2994">
        <v>0.8579</v>
      </c>
      <c r="AO1580" s="2994">
        <v>1.0117</v>
      </c>
      <c r="AP1580" s="2994">
        <v>1.1329</v>
      </c>
      <c r="AQ1580" s="2994">
        <v>1.3327</v>
      </c>
      <c r="AR1580" s="2994">
        <v>1.6256999999999999</v>
      </c>
      <c r="AS1580" s="2994">
        <v>1.8018000000000001</v>
      </c>
      <c r="AT1580" s="2994">
        <v>1.849</v>
      </c>
      <c r="AU1580" s="2994">
        <v>1.5723</v>
      </c>
      <c r="AV1580" s="2994">
        <v>1.31</v>
      </c>
      <c r="AW1580" s="2994">
        <v>1.4772000000000001</v>
      </c>
      <c r="AX1580" s="2994">
        <v>1.5384</v>
      </c>
      <c r="AY1580" s="2994">
        <v>1.6716</v>
      </c>
      <c r="AZ1580" s="2994">
        <v>1.7882</v>
      </c>
      <c r="BA1580" s="2994">
        <v>1.5327</v>
      </c>
      <c r="BB1580" s="2994">
        <v>1.64</v>
      </c>
      <c r="BC1580" s="2994">
        <v>1.5359</v>
      </c>
      <c r="BD1580" s="3471">
        <v>1.3202</v>
      </c>
      <c r="BE1580" s="3471">
        <v>1.2544999999999999</v>
      </c>
      <c r="BF1580" s="3471">
        <v>0</v>
      </c>
    </row>
    <row r="1581" spans="1:58">
      <c r="A1581" s="1817" t="str">
        <f t="shared" si="49"/>
        <v>OceaniaOats</v>
      </c>
      <c r="B1581" s="1818" t="s">
        <v>303</v>
      </c>
      <c r="C1581" s="1818" t="s">
        <v>1323</v>
      </c>
      <c r="D1581" s="3463" t="str">
        <f>VLOOKUP(B1581,List_Yield!$G$4:$J$14,4,FALSE)</f>
        <v>Oceania</v>
      </c>
      <c r="E1581" s="3463" t="str">
        <f t="shared" si="50"/>
        <v>OceaniaOats</v>
      </c>
      <c r="F1581" s="2994">
        <v>0.82069999999999999</v>
      </c>
      <c r="G1581" s="2994">
        <v>0.95279999999999998</v>
      </c>
      <c r="H1581" s="2994">
        <v>0.90990000000000004</v>
      </c>
      <c r="I1581" s="2994">
        <v>0.91069999999999995</v>
      </c>
      <c r="J1581" s="2994">
        <v>0.74480000000000002</v>
      </c>
      <c r="K1581" s="2994">
        <v>1.1426000000000001</v>
      </c>
      <c r="L1581" s="2994">
        <v>0.54259999999999997</v>
      </c>
      <c r="M1581" s="2994">
        <v>1.1102000000000001</v>
      </c>
      <c r="N1581" s="2994">
        <v>0.93420000000000003</v>
      </c>
      <c r="O1581" s="2994">
        <v>1.0612999999999999</v>
      </c>
      <c r="P1581" s="2994">
        <v>1.0569999999999999</v>
      </c>
      <c r="Q1581" s="2994">
        <v>0.77659999999999996</v>
      </c>
      <c r="R1581" s="2994">
        <v>0.96220000000000006</v>
      </c>
      <c r="S1581" s="2994">
        <v>1.0209999999999999</v>
      </c>
      <c r="T1581" s="2994">
        <v>1.1829000000000001</v>
      </c>
      <c r="U1581" s="2994">
        <v>1.1046</v>
      </c>
      <c r="V1581" s="2994">
        <v>0.95950000000000002</v>
      </c>
      <c r="W1581" s="2994">
        <v>1.3196000000000001</v>
      </c>
      <c r="X1581" s="2994">
        <v>1.2871999999999999</v>
      </c>
      <c r="Y1581" s="2994">
        <v>1.0711999999999999</v>
      </c>
      <c r="Z1581" s="2994">
        <v>1.1868000000000001</v>
      </c>
      <c r="AA1581" s="2994">
        <v>0.74029999999999996</v>
      </c>
      <c r="AB1581" s="2994">
        <v>1.3244</v>
      </c>
      <c r="AC1581" s="2994">
        <v>1.3595999999999999</v>
      </c>
      <c r="AD1581" s="2994">
        <v>1.2761</v>
      </c>
      <c r="AE1581" s="2994">
        <v>1.4169</v>
      </c>
      <c r="AF1581" s="2994">
        <v>1.3695999999999999</v>
      </c>
      <c r="AG1581" s="2994">
        <v>1.4334</v>
      </c>
      <c r="AH1581" s="2994">
        <v>1.5410999999999999</v>
      </c>
      <c r="AI1581" s="2994">
        <v>1.5116000000000001</v>
      </c>
      <c r="AJ1581" s="2994">
        <v>1.4871000000000001</v>
      </c>
      <c r="AK1581" s="2994">
        <v>1.7144999999999999</v>
      </c>
      <c r="AL1581" s="2994">
        <v>1.7726</v>
      </c>
      <c r="AM1581" s="2994">
        <v>1.0789</v>
      </c>
      <c r="AN1581" s="2994">
        <v>1.6695</v>
      </c>
      <c r="AO1581" s="2994">
        <v>1.5952</v>
      </c>
      <c r="AP1581" s="2994">
        <v>1.7745</v>
      </c>
      <c r="AQ1581" s="2994">
        <v>2.0013000000000001</v>
      </c>
      <c r="AR1581" s="2994">
        <v>1.9525999999999999</v>
      </c>
      <c r="AS1581" s="2994">
        <v>1.6495</v>
      </c>
      <c r="AT1581" s="2994">
        <v>1.8459000000000001</v>
      </c>
      <c r="AU1581" s="2994">
        <v>1.0802</v>
      </c>
      <c r="AV1581" s="2994">
        <v>1.8704000000000001</v>
      </c>
      <c r="AW1581" s="2994">
        <v>1.4545999999999999</v>
      </c>
      <c r="AX1581" s="2994">
        <v>1.8321000000000001</v>
      </c>
      <c r="AY1581" s="2994">
        <v>0.76990000000000003</v>
      </c>
      <c r="AZ1581" s="2994">
        <v>1.2302</v>
      </c>
      <c r="BA1581" s="2994">
        <v>1.3541000000000001</v>
      </c>
      <c r="BB1581" s="2994">
        <v>1.3912</v>
      </c>
      <c r="BC1581" s="2994">
        <v>1.655</v>
      </c>
      <c r="BD1581" s="3471">
        <v>1.3894</v>
      </c>
      <c r="BE1581" s="3471">
        <v>1.7416</v>
      </c>
      <c r="BF1581" s="3471">
        <v>1.6232</v>
      </c>
    </row>
    <row r="1582" spans="1:58">
      <c r="A1582" s="1817" t="str">
        <f t="shared" si="49"/>
        <v>OceaniaOil, palm fruit</v>
      </c>
      <c r="B1582" s="1818" t="s">
        <v>303</v>
      </c>
      <c r="C1582" s="1818" t="s">
        <v>7354</v>
      </c>
      <c r="D1582" s="3463" t="str">
        <f>VLOOKUP(B1582,List_Yield!$G$4:$J$14,4,FALSE)</f>
        <v>Oceania</v>
      </c>
      <c r="E1582" s="3463" t="str">
        <f t="shared" si="50"/>
        <v>OceaniaOil, palm fruit</v>
      </c>
      <c r="F1582" s="2994">
        <v>18.181799999999999</v>
      </c>
      <c r="G1582" s="2994">
        <v>18.181799999999999</v>
      </c>
      <c r="H1582" s="2994">
        <v>18.181799999999999</v>
      </c>
      <c r="I1582" s="2994">
        <v>18.181799999999999</v>
      </c>
      <c r="J1582" s="2994">
        <v>18.181799999999999</v>
      </c>
      <c r="K1582" s="2994">
        <v>18.181799999999999</v>
      </c>
      <c r="L1582" s="2994">
        <v>18.181799999999999</v>
      </c>
      <c r="M1582" s="2994">
        <v>18.181799999999999</v>
      </c>
      <c r="N1582" s="2994">
        <v>18.181799999999999</v>
      </c>
      <c r="O1582" s="2994">
        <v>18.181799999999999</v>
      </c>
      <c r="P1582" s="2994">
        <v>17.045500000000001</v>
      </c>
      <c r="Q1582" s="2994">
        <v>16.7683</v>
      </c>
      <c r="R1582" s="2994">
        <v>16.7197</v>
      </c>
      <c r="S1582" s="2994">
        <v>16.819600000000001</v>
      </c>
      <c r="T1582" s="2994">
        <v>15.5556</v>
      </c>
      <c r="U1582" s="2994">
        <v>16.277200000000001</v>
      </c>
      <c r="V1582" s="2994">
        <v>15.2194</v>
      </c>
      <c r="W1582" s="2994">
        <v>15.8169</v>
      </c>
      <c r="X1582" s="2994">
        <v>16.1632</v>
      </c>
      <c r="Y1582" s="2994">
        <v>16.726099999999999</v>
      </c>
      <c r="Z1582" s="2994">
        <v>15.6037</v>
      </c>
      <c r="AA1582" s="2994">
        <v>15.7759</v>
      </c>
      <c r="AB1582" s="2994">
        <v>16.6374</v>
      </c>
      <c r="AC1582" s="2994">
        <v>13.6912</v>
      </c>
      <c r="AD1582" s="2994">
        <v>15.438800000000001</v>
      </c>
      <c r="AE1582" s="2994">
        <v>13.9617</v>
      </c>
      <c r="AF1582" s="2994">
        <v>13.026400000000001</v>
      </c>
      <c r="AG1582" s="2994">
        <v>14.657999999999999</v>
      </c>
      <c r="AH1582" s="2994">
        <v>14.9352</v>
      </c>
      <c r="AI1582" s="2994">
        <v>14.85</v>
      </c>
      <c r="AJ1582" s="2994">
        <v>16.752199999999998</v>
      </c>
      <c r="AK1582" s="2994">
        <v>17.7087</v>
      </c>
      <c r="AL1582" s="2994">
        <v>17.857700000000001</v>
      </c>
      <c r="AM1582" s="2994">
        <v>16.630600000000001</v>
      </c>
      <c r="AN1582" s="2994">
        <v>15.9085</v>
      </c>
      <c r="AO1582" s="2994">
        <v>16.285699999999999</v>
      </c>
      <c r="AP1582" s="2994">
        <v>14.929600000000001</v>
      </c>
      <c r="AQ1582" s="2994">
        <v>16.5</v>
      </c>
      <c r="AR1582" s="2994">
        <v>16.315799999999999</v>
      </c>
      <c r="AS1582" s="2994">
        <v>17.222200000000001</v>
      </c>
      <c r="AT1582" s="2994">
        <v>16.285699999999999</v>
      </c>
      <c r="AU1582" s="2994">
        <v>15.0909</v>
      </c>
      <c r="AV1582" s="2994">
        <v>14.6739</v>
      </c>
      <c r="AW1582" s="2994">
        <v>14.893599999999999</v>
      </c>
      <c r="AX1582" s="2994">
        <v>14.948499999999999</v>
      </c>
      <c r="AY1582" s="2994">
        <v>14.901999999999999</v>
      </c>
      <c r="AZ1582" s="2994">
        <v>14.811299999999999</v>
      </c>
      <c r="BA1582" s="2994">
        <v>14.666399999999999</v>
      </c>
      <c r="BB1582" s="2994">
        <v>14.593999999999999</v>
      </c>
      <c r="BC1582" s="2994">
        <v>13.7905</v>
      </c>
      <c r="BD1582" s="3471">
        <v>13.955399999999999</v>
      </c>
      <c r="BE1582" s="3471">
        <v>14.205</v>
      </c>
      <c r="BF1582" s="3471">
        <v>14.096399999999999</v>
      </c>
    </row>
    <row r="1583" spans="1:58">
      <c r="A1583" s="1817" t="str">
        <f t="shared" si="49"/>
        <v>OceaniaOilseeds nes</v>
      </c>
      <c r="B1583" s="1818" t="s">
        <v>303</v>
      </c>
      <c r="C1583" s="1818" t="s">
        <v>7355</v>
      </c>
      <c r="D1583" s="3463" t="str">
        <f>VLOOKUP(B1583,List_Yield!$G$4:$J$14,4,FALSE)</f>
        <v>Oceania</v>
      </c>
      <c r="E1583" s="3463" t="str">
        <f t="shared" si="50"/>
        <v>OceaniaOilseeds nes</v>
      </c>
      <c r="F1583" s="2994">
        <v>0.5</v>
      </c>
      <c r="G1583" s="2994">
        <v>0.5</v>
      </c>
      <c r="H1583" s="2994">
        <v>0.5</v>
      </c>
      <c r="I1583" s="2994">
        <v>0.5</v>
      </c>
      <c r="J1583" s="2994">
        <v>0.5</v>
      </c>
      <c r="K1583" s="2994">
        <v>0.5</v>
      </c>
      <c r="L1583" s="2994">
        <v>0.5</v>
      </c>
      <c r="M1583" s="2994">
        <v>0.5</v>
      </c>
      <c r="N1583" s="2994">
        <v>0.5</v>
      </c>
      <c r="O1583" s="2994">
        <v>0.5</v>
      </c>
      <c r="P1583" s="2994">
        <v>0.5</v>
      </c>
      <c r="Q1583" s="2994">
        <v>0.5</v>
      </c>
      <c r="R1583" s="2994">
        <v>0.5</v>
      </c>
      <c r="S1583" s="2994">
        <v>0.5</v>
      </c>
      <c r="T1583" s="2994">
        <v>0.5</v>
      </c>
      <c r="U1583" s="2994">
        <v>0.5</v>
      </c>
      <c r="V1583" s="2994">
        <v>0.5</v>
      </c>
      <c r="W1583" s="2994">
        <v>0.5</v>
      </c>
      <c r="X1583" s="2994">
        <v>0.5</v>
      </c>
      <c r="Y1583" s="2994">
        <v>0.5</v>
      </c>
      <c r="Z1583" s="2994">
        <v>0.5</v>
      </c>
      <c r="AA1583" s="2994">
        <v>0.5</v>
      </c>
      <c r="AB1583" s="2994">
        <v>0.5</v>
      </c>
      <c r="AC1583" s="2994">
        <v>0.5</v>
      </c>
      <c r="AD1583" s="2994">
        <v>0.5</v>
      </c>
      <c r="AE1583" s="2994">
        <v>0.5</v>
      </c>
      <c r="AF1583" s="2994">
        <v>0.5</v>
      </c>
      <c r="AG1583" s="2994">
        <v>0.5</v>
      </c>
      <c r="AH1583" s="2994">
        <v>0.5</v>
      </c>
      <c r="AI1583" s="2994">
        <v>0.5635</v>
      </c>
      <c r="AJ1583" s="2994">
        <v>0.52400000000000002</v>
      </c>
      <c r="AK1583" s="2994">
        <v>0.63639999999999997</v>
      </c>
      <c r="AL1583" s="2994">
        <v>0.54590000000000005</v>
      </c>
      <c r="AM1583" s="2994">
        <v>0.40839999999999999</v>
      </c>
      <c r="AN1583" s="2994">
        <v>0.46150000000000002</v>
      </c>
      <c r="AO1583" s="2994">
        <v>0.52590000000000003</v>
      </c>
      <c r="AP1583" s="2994">
        <v>0.50860000000000005</v>
      </c>
      <c r="AQ1583" s="2994">
        <v>0.4506</v>
      </c>
      <c r="AR1583" s="2994">
        <v>0.3841</v>
      </c>
      <c r="AS1583" s="2994">
        <v>0.42780000000000001</v>
      </c>
      <c r="AT1583" s="2994">
        <v>0.44169999999999998</v>
      </c>
      <c r="AU1583" s="2994">
        <v>0.38900000000000001</v>
      </c>
      <c r="AV1583" s="2994">
        <v>0.39900000000000002</v>
      </c>
      <c r="AW1583" s="2994">
        <v>0.3639</v>
      </c>
      <c r="AX1583" s="2994">
        <v>0.51480000000000004</v>
      </c>
      <c r="AY1583" s="2994">
        <v>0.4103</v>
      </c>
      <c r="AZ1583" s="2994">
        <v>0.37309999999999999</v>
      </c>
      <c r="BA1583" s="2994">
        <v>0.32900000000000001</v>
      </c>
      <c r="BB1583" s="2994">
        <v>0.37009999999999998</v>
      </c>
      <c r="BC1583" s="2994">
        <v>0.37580000000000002</v>
      </c>
      <c r="BD1583" s="3471">
        <v>0.37759999999999999</v>
      </c>
      <c r="BE1583" s="3471">
        <v>0.38</v>
      </c>
      <c r="BF1583" s="3471">
        <v>0.38</v>
      </c>
    </row>
    <row r="1584" spans="1:58">
      <c r="A1584" s="1817" t="str">
        <f t="shared" si="49"/>
        <v>OceaniaOkra</v>
      </c>
      <c r="B1584" s="1818" t="s">
        <v>303</v>
      </c>
      <c r="C1584" s="1818" t="s">
        <v>7356</v>
      </c>
      <c r="D1584" s="3463" t="str">
        <f>VLOOKUP(B1584,List_Yield!$G$4:$J$14,4,FALSE)</f>
        <v>Oceania</v>
      </c>
      <c r="E1584" s="3463" t="str">
        <f t="shared" si="50"/>
        <v>OceaniaOkra</v>
      </c>
      <c r="F1584" s="2994">
        <v>2.5</v>
      </c>
      <c r="G1584" s="2994">
        <v>2.5</v>
      </c>
      <c r="H1584" s="2994">
        <v>2.5</v>
      </c>
      <c r="I1584" s="2994">
        <v>2.5</v>
      </c>
      <c r="J1584" s="2994">
        <v>2.5</v>
      </c>
      <c r="K1584" s="2994">
        <v>2.5</v>
      </c>
      <c r="L1584" s="2994">
        <v>2.5</v>
      </c>
      <c r="M1584" s="2994">
        <v>2.5</v>
      </c>
      <c r="N1584" s="2994">
        <v>2.5</v>
      </c>
      <c r="O1584" s="2994">
        <v>2.5</v>
      </c>
      <c r="P1584" s="2994">
        <v>2.5</v>
      </c>
      <c r="Q1584" s="2994">
        <v>2.5</v>
      </c>
      <c r="R1584" s="2994">
        <v>2.5</v>
      </c>
      <c r="S1584" s="2994">
        <v>2.5</v>
      </c>
      <c r="T1584" s="2994">
        <v>2.5</v>
      </c>
      <c r="U1584" s="2994">
        <v>2.5</v>
      </c>
      <c r="V1584" s="2994">
        <v>2.5</v>
      </c>
      <c r="W1584" s="2994">
        <v>2.5</v>
      </c>
      <c r="X1584" s="2994">
        <v>2.5</v>
      </c>
      <c r="Y1584" s="2994">
        <v>2.8571</v>
      </c>
      <c r="Z1584" s="2994">
        <v>2.8571</v>
      </c>
      <c r="AA1584" s="2994">
        <v>2.8571</v>
      </c>
      <c r="AB1584" s="2994">
        <v>2.8571</v>
      </c>
      <c r="AC1584" s="2994">
        <v>2.8571</v>
      </c>
      <c r="AD1584" s="2994">
        <v>2.8571</v>
      </c>
      <c r="AE1584" s="2994">
        <v>3.0769000000000002</v>
      </c>
      <c r="AF1584" s="2994">
        <v>3.0769000000000002</v>
      </c>
      <c r="AG1584" s="2994">
        <v>3.0769000000000002</v>
      </c>
      <c r="AH1584" s="2994">
        <v>3.0769000000000002</v>
      </c>
      <c r="AI1584" s="2994">
        <v>2.6377000000000002</v>
      </c>
      <c r="AJ1584" s="2994">
        <v>2.7538</v>
      </c>
      <c r="AK1584" s="2994">
        <v>2.4443999999999999</v>
      </c>
      <c r="AL1584" s="2994">
        <v>3.3561000000000001</v>
      </c>
      <c r="AM1584" s="2994">
        <v>5.8204000000000002</v>
      </c>
      <c r="AN1584" s="2994">
        <v>5.5556000000000001</v>
      </c>
      <c r="AO1584" s="2994">
        <v>5.9782999999999999</v>
      </c>
      <c r="AP1584" s="2994">
        <v>5.9443999999999999</v>
      </c>
      <c r="AQ1584" s="2994">
        <v>6.1111000000000004</v>
      </c>
      <c r="AR1584" s="2994">
        <v>6.3807</v>
      </c>
      <c r="AS1584" s="2994">
        <v>5.8823999999999996</v>
      </c>
      <c r="AT1584" s="2994">
        <v>6.5122</v>
      </c>
      <c r="AU1584" s="2994">
        <v>6.9006999999999996</v>
      </c>
      <c r="AV1584" s="2994">
        <v>6.0713999999999997</v>
      </c>
      <c r="AW1584" s="2994">
        <v>6.7237</v>
      </c>
      <c r="AX1584" s="2994">
        <v>6.4362000000000004</v>
      </c>
      <c r="AY1584" s="2994">
        <v>5.8333000000000004</v>
      </c>
      <c r="AZ1584" s="2994">
        <v>5.7895000000000003</v>
      </c>
      <c r="BA1584" s="2994">
        <v>7.5929000000000002</v>
      </c>
      <c r="BB1584" s="2994">
        <v>8.1381999999999994</v>
      </c>
      <c r="BC1584" s="2994">
        <v>7.7099000000000002</v>
      </c>
      <c r="BD1584" s="3471">
        <v>6.5671999999999997</v>
      </c>
      <c r="BE1584" s="3471">
        <v>6.6666999999999996</v>
      </c>
      <c r="BF1584" s="3471">
        <v>0</v>
      </c>
    </row>
    <row r="1585" spans="1:58">
      <c r="A1585" s="1817" t="str">
        <f t="shared" si="49"/>
        <v>OceaniaOlives</v>
      </c>
      <c r="B1585" s="1818" t="s">
        <v>303</v>
      </c>
      <c r="C1585" s="1818" t="s">
        <v>1361</v>
      </c>
      <c r="D1585" s="3463" t="str">
        <f>VLOOKUP(B1585,List_Yield!$G$4:$J$14,4,FALSE)</f>
        <v>Oceania</v>
      </c>
      <c r="E1585" s="3463" t="str">
        <f t="shared" si="50"/>
        <v>OceaniaOlives</v>
      </c>
      <c r="F1585" s="2994">
        <v>0.99260000000000004</v>
      </c>
      <c r="G1585" s="2994">
        <v>0.94110000000000005</v>
      </c>
      <c r="H1585" s="2994">
        <v>1.0105</v>
      </c>
      <c r="I1585" s="2994">
        <v>1.4954000000000001</v>
      </c>
      <c r="J1585" s="2994">
        <v>0.95399999999999996</v>
      </c>
      <c r="K1585" s="2994">
        <v>1.5903</v>
      </c>
      <c r="L1585" s="2994">
        <v>1.5244</v>
      </c>
      <c r="M1585" s="2994">
        <v>1.6930000000000001</v>
      </c>
      <c r="N1585" s="2994">
        <v>1.7745</v>
      </c>
      <c r="O1585" s="2994">
        <v>1.4961</v>
      </c>
      <c r="P1585" s="2994">
        <v>1.7354000000000001</v>
      </c>
      <c r="Q1585" s="2994">
        <v>1.7562</v>
      </c>
      <c r="R1585" s="2994">
        <v>1.9254</v>
      </c>
      <c r="S1585" s="2994">
        <v>1.9392</v>
      </c>
      <c r="T1585" s="2994">
        <v>1.6492</v>
      </c>
      <c r="U1585" s="2994">
        <v>2.4184999999999999</v>
      </c>
      <c r="V1585" s="2994">
        <v>1.3207</v>
      </c>
      <c r="W1585" s="2994">
        <v>2.0954000000000002</v>
      </c>
      <c r="X1585" s="2994">
        <v>2.1429</v>
      </c>
      <c r="Y1585" s="2994">
        <v>1.5369999999999999</v>
      </c>
      <c r="Z1585" s="2994">
        <v>1.0246999999999999</v>
      </c>
      <c r="AA1585" s="2994">
        <v>1.8587</v>
      </c>
      <c r="AB1585" s="2994">
        <v>0.86799999999999999</v>
      </c>
      <c r="AC1585" s="2994">
        <v>1.8438000000000001</v>
      </c>
      <c r="AD1585" s="2994">
        <v>1.9</v>
      </c>
      <c r="AE1585" s="2994">
        <v>1.605</v>
      </c>
      <c r="AF1585" s="2994">
        <v>0.97199999999999998</v>
      </c>
      <c r="AG1585" s="2994">
        <v>1.4924999999999999</v>
      </c>
      <c r="AH1585" s="2994">
        <v>1.3075000000000001</v>
      </c>
      <c r="AI1585" s="2994">
        <v>1.78</v>
      </c>
      <c r="AJ1585" s="2994">
        <v>1.71</v>
      </c>
      <c r="AK1585" s="2994">
        <v>1.5549999999999999</v>
      </c>
      <c r="AL1585" s="2994">
        <v>1.2438</v>
      </c>
      <c r="AM1585" s="2994">
        <v>1.0746</v>
      </c>
      <c r="AN1585" s="2994">
        <v>1.0452999999999999</v>
      </c>
      <c r="AO1585" s="2994">
        <v>1.4544999999999999</v>
      </c>
      <c r="AP1585" s="2994">
        <v>1.4267000000000001</v>
      </c>
      <c r="AQ1585" s="2994">
        <v>1.526</v>
      </c>
      <c r="AR1585" s="2994">
        <v>2.0032999999999999</v>
      </c>
      <c r="AS1585" s="2994">
        <v>1.4782999999999999</v>
      </c>
      <c r="AT1585" s="2994">
        <v>1.63</v>
      </c>
      <c r="AU1585" s="2994">
        <v>1.8</v>
      </c>
      <c r="AV1585" s="2994">
        <v>2.1273</v>
      </c>
      <c r="AW1585" s="2994">
        <v>2.0764999999999998</v>
      </c>
      <c r="AX1585" s="2994">
        <v>2.0945999999999998</v>
      </c>
      <c r="AY1585" s="2994">
        <v>2.1089000000000002</v>
      </c>
      <c r="AZ1585" s="2994">
        <v>2.1156999999999999</v>
      </c>
      <c r="BA1585" s="2994">
        <v>2.0979000000000001</v>
      </c>
      <c r="BB1585" s="2994">
        <v>2.0884999999999998</v>
      </c>
      <c r="BC1585" s="2994">
        <v>2.2222</v>
      </c>
      <c r="BD1585" s="3471">
        <v>2.4950000000000001</v>
      </c>
      <c r="BE1585" s="3471">
        <v>2.2368000000000001</v>
      </c>
      <c r="BF1585" s="3471">
        <v>2.2265999999999999</v>
      </c>
    </row>
    <row r="1586" spans="1:58">
      <c r="A1586" s="1817" t="str">
        <f t="shared" si="49"/>
        <v>OceaniaOnions, dry</v>
      </c>
      <c r="B1586" s="1818" t="s">
        <v>303</v>
      </c>
      <c r="C1586" s="1818" t="s">
        <v>1362</v>
      </c>
      <c r="D1586" s="3463" t="str">
        <f>VLOOKUP(B1586,List_Yield!$G$4:$J$14,4,FALSE)</f>
        <v>Oceania</v>
      </c>
      <c r="E1586" s="3463" t="str">
        <f t="shared" si="50"/>
        <v>OceaniaOnions, dry</v>
      </c>
      <c r="F1586" s="2994">
        <v>15.5588</v>
      </c>
      <c r="G1586" s="2994">
        <v>15.5609</v>
      </c>
      <c r="H1586" s="2994">
        <v>15.913500000000001</v>
      </c>
      <c r="I1586" s="2994">
        <v>16.1358</v>
      </c>
      <c r="J1586" s="2994">
        <v>18.030799999999999</v>
      </c>
      <c r="K1586" s="2994">
        <v>17.6692</v>
      </c>
      <c r="L1586" s="2994">
        <v>20.752199999999998</v>
      </c>
      <c r="M1586" s="2994">
        <v>14.8888</v>
      </c>
      <c r="N1586" s="2994">
        <v>19.102799999999998</v>
      </c>
      <c r="O1586" s="2994">
        <v>20.484200000000001</v>
      </c>
      <c r="P1586" s="2994">
        <v>21.4162</v>
      </c>
      <c r="Q1586" s="2994">
        <v>23.846900000000002</v>
      </c>
      <c r="R1586" s="2994">
        <v>20.831600000000002</v>
      </c>
      <c r="S1586" s="2994">
        <v>22.345500000000001</v>
      </c>
      <c r="T1586" s="2994">
        <v>24.538399999999999</v>
      </c>
      <c r="U1586" s="2994">
        <v>23.5334</v>
      </c>
      <c r="V1586" s="2994">
        <v>24.489799999999999</v>
      </c>
      <c r="W1586" s="2994">
        <v>27.947600000000001</v>
      </c>
      <c r="X1586" s="2994">
        <v>28.030100000000001</v>
      </c>
      <c r="Y1586" s="2994">
        <v>29.921399999999998</v>
      </c>
      <c r="Z1586" s="2994">
        <v>28.945799999999998</v>
      </c>
      <c r="AA1586" s="2994">
        <v>32.039000000000001</v>
      </c>
      <c r="AB1586" s="2994">
        <v>30.412299999999998</v>
      </c>
      <c r="AC1586" s="2994">
        <v>30.4358</v>
      </c>
      <c r="AD1586" s="2994">
        <v>34.17</v>
      </c>
      <c r="AE1586" s="2994">
        <v>36.021999999999998</v>
      </c>
      <c r="AF1586" s="2994">
        <v>37.950699999999998</v>
      </c>
      <c r="AG1586" s="2994">
        <v>36.040300000000002</v>
      </c>
      <c r="AH1586" s="2994">
        <v>36.429699999999997</v>
      </c>
      <c r="AI1586" s="2994">
        <v>37.869399999999999</v>
      </c>
      <c r="AJ1586" s="2994">
        <v>39.292700000000004</v>
      </c>
      <c r="AK1586" s="2994">
        <v>40.467199999999998</v>
      </c>
      <c r="AL1586" s="2994">
        <v>38.188299999999998</v>
      </c>
      <c r="AM1586" s="2994">
        <v>40.977899999999998</v>
      </c>
      <c r="AN1586" s="2994">
        <v>38.798699999999997</v>
      </c>
      <c r="AO1586" s="2994">
        <v>44.509</v>
      </c>
      <c r="AP1586" s="2994">
        <v>41.306100000000001</v>
      </c>
      <c r="AQ1586" s="2994">
        <v>38.845999999999997</v>
      </c>
      <c r="AR1586" s="2994">
        <v>41.851799999999997</v>
      </c>
      <c r="AS1586" s="2994">
        <v>46.740299999999998</v>
      </c>
      <c r="AT1586" s="2994">
        <v>44.4557</v>
      </c>
      <c r="AU1586" s="2994">
        <v>51.236899999999999</v>
      </c>
      <c r="AV1586" s="2994">
        <v>43.429099999999998</v>
      </c>
      <c r="AW1586" s="2994">
        <v>41.9709</v>
      </c>
      <c r="AX1586" s="2994">
        <v>42.853499999999997</v>
      </c>
      <c r="AY1586" s="2994">
        <v>48.883000000000003</v>
      </c>
      <c r="AZ1586" s="2994">
        <v>45.497599999999998</v>
      </c>
      <c r="BA1586" s="2994">
        <v>50.691899999999997</v>
      </c>
      <c r="BB1586" s="2994">
        <v>51.907499999999999</v>
      </c>
      <c r="BC1586" s="2994">
        <v>48.735799999999998</v>
      </c>
      <c r="BD1586" s="3471">
        <v>53.842100000000002</v>
      </c>
      <c r="BE1586" s="3471">
        <v>51.631399999999999</v>
      </c>
      <c r="BF1586" s="3471">
        <v>0</v>
      </c>
    </row>
    <row r="1587" spans="1:58">
      <c r="A1587" s="1817" t="str">
        <f t="shared" si="49"/>
        <v>OceaniaOnions, shallots, green</v>
      </c>
      <c r="B1587" s="1818" t="s">
        <v>303</v>
      </c>
      <c r="C1587" s="1818" t="s">
        <v>7357</v>
      </c>
      <c r="D1587" s="3463" t="str">
        <f>VLOOKUP(B1587,List_Yield!$G$4:$J$14,4,FALSE)</f>
        <v>Oceania</v>
      </c>
      <c r="E1587" s="3463" t="str">
        <f t="shared" si="50"/>
        <v>OceaniaOnions, shallots, green</v>
      </c>
      <c r="F1587" s="2994">
        <v>8.5714000000000006</v>
      </c>
      <c r="G1587" s="2994">
        <v>23.896100000000001</v>
      </c>
      <c r="H1587" s="2994">
        <v>27.596699999999998</v>
      </c>
      <c r="I1587" s="2994">
        <v>32.185899999999997</v>
      </c>
      <c r="J1587" s="2994">
        <v>25.667899999999999</v>
      </c>
      <c r="K1587" s="2994">
        <v>29.007100000000001</v>
      </c>
      <c r="L1587" s="2994">
        <v>31.094100000000001</v>
      </c>
      <c r="M1587" s="2994">
        <v>25.154699999999998</v>
      </c>
      <c r="N1587" s="2994">
        <v>25.894100000000002</v>
      </c>
      <c r="O1587" s="2994">
        <v>36.154600000000002</v>
      </c>
      <c r="P1587" s="2994">
        <v>31.273900000000001</v>
      </c>
      <c r="Q1587" s="2994">
        <v>33.308500000000002</v>
      </c>
      <c r="R1587" s="2994">
        <v>32.785499999999999</v>
      </c>
      <c r="S1587" s="2994">
        <v>29.6128</v>
      </c>
      <c r="T1587" s="2994">
        <v>30.892199999999999</v>
      </c>
      <c r="U1587" s="2994">
        <v>33.751300000000001</v>
      </c>
      <c r="V1587" s="2994">
        <v>33.500900000000001</v>
      </c>
      <c r="W1587" s="2994">
        <v>32.420900000000003</v>
      </c>
      <c r="X1587" s="2994">
        <v>32.496000000000002</v>
      </c>
      <c r="Y1587" s="2994">
        <v>34.548400000000001</v>
      </c>
      <c r="Z1587" s="2994">
        <v>32.216999999999999</v>
      </c>
      <c r="AA1587" s="2994">
        <v>31.307700000000001</v>
      </c>
      <c r="AB1587" s="2994">
        <v>38.3688</v>
      </c>
      <c r="AC1587" s="2994">
        <v>39.712499999999999</v>
      </c>
      <c r="AD1587" s="2994">
        <v>33.310400000000001</v>
      </c>
      <c r="AE1587" s="2994">
        <v>34.481099999999998</v>
      </c>
      <c r="AF1587" s="2994">
        <v>30.110399999999998</v>
      </c>
      <c r="AG1587" s="2994">
        <v>40.855400000000003</v>
      </c>
      <c r="AH1587" s="2994">
        <v>33.356400000000001</v>
      </c>
      <c r="AI1587" s="2994">
        <v>35.124600000000001</v>
      </c>
      <c r="AJ1587" s="2994">
        <v>32.720100000000002</v>
      </c>
      <c r="AK1587" s="2994">
        <v>33.825699999999998</v>
      </c>
      <c r="AL1587" s="2994">
        <v>35.211399999999998</v>
      </c>
      <c r="AM1587" s="2994">
        <v>38.330199999999998</v>
      </c>
      <c r="AN1587" s="2994">
        <v>38.306199999999997</v>
      </c>
      <c r="AO1587" s="2994">
        <v>46.713700000000003</v>
      </c>
      <c r="AP1587" s="2994">
        <v>39.982599999999998</v>
      </c>
      <c r="AQ1587" s="2994">
        <v>37.9559</v>
      </c>
      <c r="AR1587" s="2994">
        <v>37.880899999999997</v>
      </c>
      <c r="AS1587" s="2994">
        <v>34.055199999999999</v>
      </c>
      <c r="AT1587" s="2994">
        <v>34.963500000000003</v>
      </c>
      <c r="AU1587" s="2994">
        <v>38.205500000000001</v>
      </c>
      <c r="AV1587" s="2994">
        <v>36.904800000000002</v>
      </c>
      <c r="AW1587" s="2994">
        <v>49.943100000000001</v>
      </c>
      <c r="AX1587" s="2994">
        <v>31.475000000000001</v>
      </c>
      <c r="AY1587" s="2994">
        <v>43.142499999999998</v>
      </c>
      <c r="AZ1587" s="2994">
        <v>44.635399999999997</v>
      </c>
      <c r="BA1587" s="2994">
        <v>44.319899999999997</v>
      </c>
      <c r="BB1587" s="2994">
        <v>44.872900000000001</v>
      </c>
      <c r="BC1587" s="2994">
        <v>43.633200000000002</v>
      </c>
      <c r="BD1587" s="3471">
        <v>44.229399999999998</v>
      </c>
      <c r="BE1587" s="3471">
        <v>44.837299999999999</v>
      </c>
      <c r="BF1587" s="3471">
        <v>0</v>
      </c>
    </row>
    <row r="1588" spans="1:58">
      <c r="A1588" s="1817" t="str">
        <f t="shared" si="49"/>
        <v>OceaniaOranges</v>
      </c>
      <c r="B1588" s="1818" t="s">
        <v>303</v>
      </c>
      <c r="C1588" s="1818" t="s">
        <v>1363</v>
      </c>
      <c r="D1588" s="3463" t="str">
        <f>VLOOKUP(B1588,List_Yield!$G$4:$J$14,4,FALSE)</f>
        <v>Oceania</v>
      </c>
      <c r="E1588" s="3463" t="str">
        <f t="shared" si="50"/>
        <v>OceaniaOranges</v>
      </c>
      <c r="F1588" s="2994">
        <v>10.9488</v>
      </c>
      <c r="G1588" s="2994">
        <v>10.907</v>
      </c>
      <c r="H1588" s="2994">
        <v>12.0268</v>
      </c>
      <c r="I1588" s="2994">
        <v>10.985099999999999</v>
      </c>
      <c r="J1588" s="2994">
        <v>13.1967</v>
      </c>
      <c r="K1588" s="2994">
        <v>11.0501</v>
      </c>
      <c r="L1588" s="2994">
        <v>12.776999999999999</v>
      </c>
      <c r="M1588" s="2994">
        <v>11.439399999999999</v>
      </c>
      <c r="N1588" s="2994">
        <v>13.3416</v>
      </c>
      <c r="O1588" s="2994">
        <v>11.929</v>
      </c>
      <c r="P1588" s="2994">
        <v>16.208100000000002</v>
      </c>
      <c r="Q1588" s="2994">
        <v>14.8736</v>
      </c>
      <c r="R1588" s="2994">
        <v>18.348099999999999</v>
      </c>
      <c r="S1588" s="2994">
        <v>16.537099999999999</v>
      </c>
      <c r="T1588" s="2994">
        <v>18.581499999999998</v>
      </c>
      <c r="U1588" s="2994">
        <v>19.583400000000001</v>
      </c>
      <c r="V1588" s="2994">
        <v>17.157900000000001</v>
      </c>
      <c r="W1588" s="2994">
        <v>18.720199999999998</v>
      </c>
      <c r="X1588" s="2994">
        <v>19.145800000000001</v>
      </c>
      <c r="Y1588" s="2994">
        <v>19.353000000000002</v>
      </c>
      <c r="Z1588" s="2994">
        <v>19.7971</v>
      </c>
      <c r="AA1588" s="2994">
        <v>17.057099999999998</v>
      </c>
      <c r="AB1588" s="2994">
        <v>18.318899999999999</v>
      </c>
      <c r="AC1588" s="2994">
        <v>17.133700000000001</v>
      </c>
      <c r="AD1588" s="2994">
        <v>18.6633</v>
      </c>
      <c r="AE1588" s="2994">
        <v>20.7669</v>
      </c>
      <c r="AF1588" s="2994">
        <v>20.384699999999999</v>
      </c>
      <c r="AG1588" s="2994">
        <v>19.2927</v>
      </c>
      <c r="AH1588" s="2994">
        <v>15.889200000000001</v>
      </c>
      <c r="AI1588" s="2994">
        <v>19.075099999999999</v>
      </c>
      <c r="AJ1588" s="2994">
        <v>17.403700000000001</v>
      </c>
      <c r="AK1588" s="2994">
        <v>17.453600000000002</v>
      </c>
      <c r="AL1588" s="2994">
        <v>22.549600000000002</v>
      </c>
      <c r="AM1588" s="2994">
        <v>20.6782</v>
      </c>
      <c r="AN1588" s="2994">
        <v>19.344899999999999</v>
      </c>
      <c r="AO1588" s="2994">
        <v>16.5686</v>
      </c>
      <c r="AP1588" s="2994">
        <v>19.1311</v>
      </c>
      <c r="AQ1588" s="2994">
        <v>18.261399999999998</v>
      </c>
      <c r="AR1588" s="2994">
        <v>16.7545</v>
      </c>
      <c r="AS1588" s="2994">
        <v>18.505199999999999</v>
      </c>
      <c r="AT1588" s="2994">
        <v>22.402999999999999</v>
      </c>
      <c r="AU1588" s="2994">
        <v>17.381699999999999</v>
      </c>
      <c r="AV1588" s="2994">
        <v>23.4194</v>
      </c>
      <c r="AW1588" s="2994">
        <v>17.815000000000001</v>
      </c>
      <c r="AX1588" s="2994">
        <v>22.110700000000001</v>
      </c>
      <c r="AY1588" s="2994">
        <v>19.8249</v>
      </c>
      <c r="AZ1588" s="2994">
        <v>17.898499999999999</v>
      </c>
      <c r="BA1588" s="2994">
        <v>18.144400000000001</v>
      </c>
      <c r="BB1588" s="2994">
        <v>17.805</v>
      </c>
      <c r="BC1588" s="2994">
        <v>18.2043</v>
      </c>
      <c r="BD1588" s="3471">
        <v>13.0526</v>
      </c>
      <c r="BE1588" s="3471">
        <v>17.309999999999999</v>
      </c>
      <c r="BF1588" s="3471">
        <v>0</v>
      </c>
    </row>
    <row r="1589" spans="1:58">
      <c r="A1589" s="1817" t="str">
        <f t="shared" si="49"/>
        <v>OceaniaPapayas</v>
      </c>
      <c r="B1589" s="1818" t="s">
        <v>303</v>
      </c>
      <c r="C1589" s="1818" t="s">
        <v>7358</v>
      </c>
      <c r="D1589" s="3463" t="str">
        <f>VLOOKUP(B1589,List_Yield!$G$4:$J$14,4,FALSE)</f>
        <v>Oceania</v>
      </c>
      <c r="E1589" s="3463" t="str">
        <f t="shared" si="50"/>
        <v>OceaniaPapayas</v>
      </c>
      <c r="F1589" s="2994">
        <v>16.124400000000001</v>
      </c>
      <c r="G1589" s="2994">
        <v>16.4177</v>
      </c>
      <c r="H1589" s="2994">
        <v>17.056699999999999</v>
      </c>
      <c r="I1589" s="2994">
        <v>16.252800000000001</v>
      </c>
      <c r="J1589" s="2994">
        <v>16.9588</v>
      </c>
      <c r="K1589" s="2994">
        <v>15.04</v>
      </c>
      <c r="L1589" s="2994">
        <v>17.8993</v>
      </c>
      <c r="M1589" s="2994">
        <v>16.7623</v>
      </c>
      <c r="N1589" s="2994">
        <v>16.652899999999999</v>
      </c>
      <c r="O1589" s="2994">
        <v>16.381399999999999</v>
      </c>
      <c r="P1589" s="2994">
        <v>16.993200000000002</v>
      </c>
      <c r="Q1589" s="2994">
        <v>17.642700000000001</v>
      </c>
      <c r="R1589" s="2994">
        <v>17.320599999999999</v>
      </c>
      <c r="S1589" s="2994">
        <v>16.592400000000001</v>
      </c>
      <c r="T1589" s="2994">
        <v>17.200500000000002</v>
      </c>
      <c r="U1589" s="2994">
        <v>17.498000000000001</v>
      </c>
      <c r="V1589" s="2994">
        <v>17.0518</v>
      </c>
      <c r="W1589" s="2994">
        <v>17.045000000000002</v>
      </c>
      <c r="X1589" s="2994">
        <v>16.737500000000001</v>
      </c>
      <c r="Y1589" s="2994">
        <v>16.03</v>
      </c>
      <c r="Z1589" s="2994">
        <v>15.4818</v>
      </c>
      <c r="AA1589" s="2994">
        <v>15.0227</v>
      </c>
      <c r="AB1589" s="2994">
        <v>14.194000000000001</v>
      </c>
      <c r="AC1589" s="2994">
        <v>13.8277</v>
      </c>
      <c r="AD1589" s="2994">
        <v>13.7174</v>
      </c>
      <c r="AE1589" s="2994">
        <v>14.8901</v>
      </c>
      <c r="AF1589" s="2994">
        <v>14.806800000000001</v>
      </c>
      <c r="AG1589" s="2994">
        <v>14.0463</v>
      </c>
      <c r="AH1589" s="2994">
        <v>14.537000000000001</v>
      </c>
      <c r="AI1589" s="2994">
        <v>15.0166</v>
      </c>
      <c r="AJ1589" s="2994">
        <v>15.530900000000001</v>
      </c>
      <c r="AK1589" s="2994">
        <v>12.3231</v>
      </c>
      <c r="AL1589" s="2994">
        <v>14.772</v>
      </c>
      <c r="AM1589" s="2994">
        <v>16.7121</v>
      </c>
      <c r="AN1589" s="2994">
        <v>18.506699999999999</v>
      </c>
      <c r="AO1589" s="2994">
        <v>18.9344</v>
      </c>
      <c r="AP1589" s="2994">
        <v>21.663399999999999</v>
      </c>
      <c r="AQ1589" s="2994">
        <v>21.249600000000001</v>
      </c>
      <c r="AR1589" s="2994">
        <v>18.585100000000001</v>
      </c>
      <c r="AS1589" s="2994">
        <v>13.0837</v>
      </c>
      <c r="AT1589" s="2994">
        <v>16.106000000000002</v>
      </c>
      <c r="AU1589" s="2994">
        <v>19.629300000000001</v>
      </c>
      <c r="AV1589" s="2994">
        <v>13.8116</v>
      </c>
      <c r="AW1589" s="2994">
        <v>13.0738</v>
      </c>
      <c r="AX1589" s="2994">
        <v>13.9057</v>
      </c>
      <c r="AY1589" s="2994">
        <v>14.589700000000001</v>
      </c>
      <c r="AZ1589" s="2994">
        <v>12.3697</v>
      </c>
      <c r="BA1589" s="2994">
        <v>13.1069</v>
      </c>
      <c r="BB1589" s="2994">
        <v>15.6473</v>
      </c>
      <c r="BC1589" s="2994">
        <v>15.3353</v>
      </c>
      <c r="BD1589" s="3471">
        <v>15.210800000000001</v>
      </c>
      <c r="BE1589" s="3471">
        <v>14.719099999999999</v>
      </c>
      <c r="BF1589" s="3471">
        <v>0</v>
      </c>
    </row>
    <row r="1590" spans="1:58">
      <c r="A1590" s="1817" t="str">
        <f t="shared" si="49"/>
        <v>OceaniaPeaches and nectarines</v>
      </c>
      <c r="B1590" s="1818" t="s">
        <v>303</v>
      </c>
      <c r="C1590" s="1818" t="s">
        <v>1364</v>
      </c>
      <c r="D1590" s="3463" t="str">
        <f>VLOOKUP(B1590,List_Yield!$G$4:$J$14,4,FALSE)</f>
        <v>Oceania</v>
      </c>
      <c r="E1590" s="3463" t="str">
        <f t="shared" si="50"/>
        <v>OceaniaPeaches and nectarines</v>
      </c>
      <c r="F1590" s="2994">
        <v>8.6427999999999994</v>
      </c>
      <c r="G1590" s="2994">
        <v>8.7047000000000008</v>
      </c>
      <c r="H1590" s="2994">
        <v>10.8154</v>
      </c>
      <c r="I1590" s="2994">
        <v>9.8035999999999994</v>
      </c>
      <c r="J1590" s="2994">
        <v>9.9368999999999996</v>
      </c>
      <c r="K1590" s="2994">
        <v>10.914099999999999</v>
      </c>
      <c r="L1590" s="2994">
        <v>11.6866</v>
      </c>
      <c r="M1590" s="2994">
        <v>12.3954</v>
      </c>
      <c r="N1590" s="2994">
        <v>13.5527</v>
      </c>
      <c r="O1590" s="2994">
        <v>12.2418</v>
      </c>
      <c r="P1590" s="2994">
        <v>12.3249</v>
      </c>
      <c r="Q1590" s="2994">
        <v>13.028</v>
      </c>
      <c r="R1590" s="2994">
        <v>13.042999999999999</v>
      </c>
      <c r="S1590" s="2994">
        <v>13.777699999999999</v>
      </c>
      <c r="T1590" s="2994">
        <v>11.462199999999999</v>
      </c>
      <c r="U1590" s="2994">
        <v>13.7333</v>
      </c>
      <c r="V1590" s="2994">
        <v>13.2812</v>
      </c>
      <c r="W1590" s="2994">
        <v>11.9107</v>
      </c>
      <c r="X1590" s="2994">
        <v>12.0802</v>
      </c>
      <c r="Y1590" s="2994">
        <v>12.6975</v>
      </c>
      <c r="Z1590" s="2994">
        <v>13.095700000000001</v>
      </c>
      <c r="AA1590" s="2994">
        <v>13.491199999999999</v>
      </c>
      <c r="AB1590" s="2994">
        <v>10.8369</v>
      </c>
      <c r="AC1590" s="2994">
        <v>10.945600000000001</v>
      </c>
      <c r="AD1590" s="2994">
        <v>8.3452999999999999</v>
      </c>
      <c r="AE1590" s="2994">
        <v>9.6897000000000002</v>
      </c>
      <c r="AF1590" s="2994">
        <v>9.6740999999999993</v>
      </c>
      <c r="AG1590" s="2994">
        <v>9.0806000000000004</v>
      </c>
      <c r="AH1590" s="2994">
        <v>8.8468</v>
      </c>
      <c r="AI1590" s="2994">
        <v>5.9471999999999996</v>
      </c>
      <c r="AJ1590" s="2994">
        <v>6.1962000000000002</v>
      </c>
      <c r="AK1590" s="2994">
        <v>6.1386000000000003</v>
      </c>
      <c r="AL1590" s="2994">
        <v>6.7542999999999997</v>
      </c>
      <c r="AM1590" s="2994">
        <v>6.6326999999999998</v>
      </c>
      <c r="AN1590" s="2994">
        <v>5.99</v>
      </c>
      <c r="AO1590" s="2994">
        <v>6.1992000000000003</v>
      </c>
      <c r="AP1590" s="2994">
        <v>7.5522</v>
      </c>
      <c r="AQ1590" s="2994">
        <v>7.1540999999999997</v>
      </c>
      <c r="AR1590" s="2994">
        <v>6.7352999999999996</v>
      </c>
      <c r="AS1590" s="2994">
        <v>5.5263</v>
      </c>
      <c r="AT1590" s="2994">
        <v>6.3338000000000001</v>
      </c>
      <c r="AU1590" s="2994">
        <v>6.0221999999999998</v>
      </c>
      <c r="AV1590" s="2994">
        <v>5.7717999999999998</v>
      </c>
      <c r="AW1590" s="2994">
        <v>5.3651</v>
      </c>
      <c r="AX1590" s="2994">
        <v>6.7756999999999996</v>
      </c>
      <c r="AY1590" s="2994">
        <v>7.1455000000000002</v>
      </c>
      <c r="AZ1590" s="2994">
        <v>6.6550000000000002</v>
      </c>
      <c r="BA1590" s="2994">
        <v>6.4977</v>
      </c>
      <c r="BB1590" s="2994">
        <v>5.7468000000000004</v>
      </c>
      <c r="BC1590" s="2994">
        <v>5.8311999999999999</v>
      </c>
      <c r="BD1590" s="3471">
        <v>5.4583000000000004</v>
      </c>
      <c r="BE1590" s="3471">
        <v>5.4661</v>
      </c>
      <c r="BF1590" s="3471">
        <v>0</v>
      </c>
    </row>
    <row r="1591" spans="1:58">
      <c r="A1591" s="1817" t="str">
        <f t="shared" si="49"/>
        <v>OceaniaPears</v>
      </c>
      <c r="B1591" s="1818" t="s">
        <v>303</v>
      </c>
      <c r="C1591" s="1818" t="s">
        <v>7359</v>
      </c>
      <c r="D1591" s="3463" t="str">
        <f>VLOOKUP(B1591,List_Yield!$G$4:$J$14,4,FALSE)</f>
        <v>Oceania</v>
      </c>
      <c r="E1591" s="3463" t="str">
        <f t="shared" si="50"/>
        <v>OceaniaPears</v>
      </c>
      <c r="F1591" s="2994">
        <v>15.8971</v>
      </c>
      <c r="G1591" s="2994">
        <v>18.979600000000001</v>
      </c>
      <c r="H1591" s="2994">
        <v>15.132999999999999</v>
      </c>
      <c r="I1591" s="2994">
        <v>18.099799999999998</v>
      </c>
      <c r="J1591" s="2994">
        <v>16.472999999999999</v>
      </c>
      <c r="K1591" s="2994">
        <v>20.0989</v>
      </c>
      <c r="L1591" s="2994">
        <v>17.8323</v>
      </c>
      <c r="M1591" s="2994">
        <v>19.067299999999999</v>
      </c>
      <c r="N1591" s="2994">
        <v>13.8268</v>
      </c>
      <c r="O1591" s="2994">
        <v>23.419799999999999</v>
      </c>
      <c r="P1591" s="2994">
        <v>22.764600000000002</v>
      </c>
      <c r="Q1591" s="2994">
        <v>23.6114</v>
      </c>
      <c r="R1591" s="2994">
        <v>25.663900000000002</v>
      </c>
      <c r="S1591" s="2994">
        <v>23.428599999999999</v>
      </c>
      <c r="T1591" s="2994">
        <v>23.3766</v>
      </c>
      <c r="U1591" s="2994">
        <v>23.990500000000001</v>
      </c>
      <c r="V1591" s="2994">
        <v>20.1416</v>
      </c>
      <c r="W1591" s="2994">
        <v>21.691800000000001</v>
      </c>
      <c r="X1591" s="2994">
        <v>25.453499999999998</v>
      </c>
      <c r="Y1591" s="2994">
        <v>25.4527</v>
      </c>
      <c r="Z1591" s="2994">
        <v>28.311399999999999</v>
      </c>
      <c r="AA1591" s="2994">
        <v>21.495200000000001</v>
      </c>
      <c r="AB1591" s="2994">
        <v>23.054500000000001</v>
      </c>
      <c r="AC1591" s="2994">
        <v>23.8658</v>
      </c>
      <c r="AD1591" s="2994">
        <v>28.149799999999999</v>
      </c>
      <c r="AE1591" s="2994">
        <v>27.291799999999999</v>
      </c>
      <c r="AF1591" s="2994">
        <v>27.5717</v>
      </c>
      <c r="AG1591" s="2994">
        <v>26.834499999999998</v>
      </c>
      <c r="AH1591" s="2994">
        <v>21.183299999999999</v>
      </c>
      <c r="AI1591" s="2994">
        <v>22.3736</v>
      </c>
      <c r="AJ1591" s="2994">
        <v>22.613800000000001</v>
      </c>
      <c r="AK1591" s="2994">
        <v>25.203800000000001</v>
      </c>
      <c r="AL1591" s="2994">
        <v>22.597300000000001</v>
      </c>
      <c r="AM1591" s="2994">
        <v>22.3599</v>
      </c>
      <c r="AN1591" s="2994">
        <v>21.8459</v>
      </c>
      <c r="AO1591" s="2994">
        <v>21.867799999999999</v>
      </c>
      <c r="AP1591" s="2994">
        <v>21.7166</v>
      </c>
      <c r="AQ1591" s="2994">
        <v>19.715</v>
      </c>
      <c r="AR1591" s="2994">
        <v>23.123699999999999</v>
      </c>
      <c r="AS1591" s="2994">
        <v>21.696300000000001</v>
      </c>
      <c r="AT1591" s="2994">
        <v>28.272400000000001</v>
      </c>
      <c r="AU1591" s="2994">
        <v>20.679600000000001</v>
      </c>
      <c r="AV1591" s="2994">
        <v>22.101199999999999</v>
      </c>
      <c r="AW1591" s="2994">
        <v>22.817599999999999</v>
      </c>
      <c r="AX1591" s="2994">
        <v>24.232800000000001</v>
      </c>
      <c r="AY1591" s="2994">
        <v>22.710999999999999</v>
      </c>
      <c r="AZ1591" s="2994">
        <v>21.7898</v>
      </c>
      <c r="BA1591" s="2994">
        <v>21.8781</v>
      </c>
      <c r="BB1591" s="2994">
        <v>21.981200000000001</v>
      </c>
      <c r="BC1591" s="2994">
        <v>17.3765</v>
      </c>
      <c r="BD1591" s="3471">
        <v>18.508099999999999</v>
      </c>
      <c r="BE1591" s="3471">
        <v>18.912199999999999</v>
      </c>
      <c r="BF1591" s="3471">
        <v>0</v>
      </c>
    </row>
    <row r="1592" spans="1:58">
      <c r="A1592" s="1817" t="str">
        <f t="shared" si="49"/>
        <v>OceaniaPeas, dry</v>
      </c>
      <c r="B1592" s="1818" t="s">
        <v>303</v>
      </c>
      <c r="C1592" s="1818" t="s">
        <v>1365</v>
      </c>
      <c r="D1592" s="3463" t="str">
        <f>VLOOKUP(B1592,List_Yield!$G$4:$J$14,4,FALSE)</f>
        <v>Oceania</v>
      </c>
      <c r="E1592" s="3463" t="str">
        <f t="shared" si="50"/>
        <v>OceaniaPeas, dry</v>
      </c>
      <c r="F1592" s="2994">
        <v>1.3473999999999999</v>
      </c>
      <c r="G1592" s="2994">
        <v>1.2655000000000001</v>
      </c>
      <c r="H1592" s="2994">
        <v>1.5287999999999999</v>
      </c>
      <c r="I1592" s="2994">
        <v>1.6301000000000001</v>
      </c>
      <c r="J1592" s="2994">
        <v>1.1538999999999999</v>
      </c>
      <c r="K1592" s="2994">
        <v>1.3672</v>
      </c>
      <c r="L1592" s="2994">
        <v>1.2879</v>
      </c>
      <c r="M1592" s="2994">
        <v>1.6229</v>
      </c>
      <c r="N1592" s="2994">
        <v>1.6113999999999999</v>
      </c>
      <c r="O1592" s="2994">
        <v>1.4519</v>
      </c>
      <c r="P1592" s="2994">
        <v>1.5399</v>
      </c>
      <c r="Q1592" s="2994">
        <v>1.615</v>
      </c>
      <c r="R1592" s="2994">
        <v>1.9564999999999999</v>
      </c>
      <c r="S1592" s="2994">
        <v>1.8845000000000001</v>
      </c>
      <c r="T1592" s="2994">
        <v>1.6569</v>
      </c>
      <c r="U1592" s="2994">
        <v>1.8891</v>
      </c>
      <c r="V1592" s="2994">
        <v>1.2464</v>
      </c>
      <c r="W1592" s="2994">
        <v>1.8483000000000001</v>
      </c>
      <c r="X1592" s="2994">
        <v>1.68</v>
      </c>
      <c r="Y1592" s="2994">
        <v>1.661</v>
      </c>
      <c r="Z1592" s="2994">
        <v>1.5629</v>
      </c>
      <c r="AA1592" s="2994">
        <v>1.992</v>
      </c>
      <c r="AB1592" s="2994">
        <v>1.8224</v>
      </c>
      <c r="AC1592" s="2994">
        <v>1.4875</v>
      </c>
      <c r="AD1592" s="2994">
        <v>1.3742000000000001</v>
      </c>
      <c r="AE1592" s="2994">
        <v>1.6934</v>
      </c>
      <c r="AF1592" s="2994">
        <v>1.2354000000000001</v>
      </c>
      <c r="AG1592" s="2994">
        <v>1.2286999999999999</v>
      </c>
      <c r="AH1592" s="2994">
        <v>1.2523</v>
      </c>
      <c r="AI1592" s="2994">
        <v>1.1181000000000001</v>
      </c>
      <c r="AJ1592" s="2994">
        <v>1.2067000000000001</v>
      </c>
      <c r="AK1592" s="2994">
        <v>1.3126</v>
      </c>
      <c r="AL1592" s="2994">
        <v>1.4821</v>
      </c>
      <c r="AM1592" s="2994">
        <v>0.62529999999999997</v>
      </c>
      <c r="AN1592" s="2994">
        <v>1.4658</v>
      </c>
      <c r="AO1592" s="2994">
        <v>1.4262999999999999</v>
      </c>
      <c r="AP1592" s="2994">
        <v>0.95840000000000003</v>
      </c>
      <c r="AQ1592" s="2994">
        <v>0.93459999999999999</v>
      </c>
      <c r="AR1592" s="2994">
        <v>1.2121999999999999</v>
      </c>
      <c r="AS1592" s="2994">
        <v>1.2470000000000001</v>
      </c>
      <c r="AT1592" s="2994">
        <v>1.5706</v>
      </c>
      <c r="AU1592" s="2994">
        <v>0.53180000000000005</v>
      </c>
      <c r="AV1592" s="2994">
        <v>1.4274</v>
      </c>
      <c r="AW1592" s="2994">
        <v>0.75549999999999995</v>
      </c>
      <c r="AX1592" s="2994">
        <v>1.6459999999999999</v>
      </c>
      <c r="AY1592" s="2994">
        <v>0.436</v>
      </c>
      <c r="AZ1592" s="2994">
        <v>0.96919999999999995</v>
      </c>
      <c r="BA1592" s="2994">
        <v>0.84379999999999999</v>
      </c>
      <c r="BB1592" s="2994">
        <v>1.2896000000000001</v>
      </c>
      <c r="BC1592" s="2994">
        <v>1.0971</v>
      </c>
      <c r="BD1592" s="3471">
        <v>1.2992999999999999</v>
      </c>
      <c r="BE1592" s="3471">
        <v>1.4205000000000001</v>
      </c>
      <c r="BF1592" s="3471">
        <v>1.4490000000000001</v>
      </c>
    </row>
    <row r="1593" spans="1:58">
      <c r="A1593" s="1817" t="str">
        <f t="shared" si="49"/>
        <v>OceaniaPeas, green</v>
      </c>
      <c r="B1593" s="1818" t="s">
        <v>303</v>
      </c>
      <c r="C1593" s="1818" t="s">
        <v>1366</v>
      </c>
      <c r="D1593" s="3463" t="str">
        <f>VLOOKUP(B1593,List_Yield!$G$4:$J$14,4,FALSE)</f>
        <v>Oceania</v>
      </c>
      <c r="E1593" s="3463" t="str">
        <f t="shared" si="50"/>
        <v>OceaniaPeas, green</v>
      </c>
      <c r="F1593" s="2994">
        <v>3.4350000000000001</v>
      </c>
      <c r="G1593" s="2994">
        <v>3.3921999999999999</v>
      </c>
      <c r="H1593" s="2994">
        <v>3.4051</v>
      </c>
      <c r="I1593" s="2994">
        <v>4.1738999999999997</v>
      </c>
      <c r="J1593" s="2994">
        <v>3.8092000000000001</v>
      </c>
      <c r="K1593" s="2994">
        <v>4.3171999999999997</v>
      </c>
      <c r="L1593" s="2994">
        <v>3.9725999999999999</v>
      </c>
      <c r="M1593" s="2994">
        <v>4.6477000000000004</v>
      </c>
      <c r="N1593" s="2994">
        <v>5.0316000000000001</v>
      </c>
      <c r="O1593" s="2994">
        <v>4.4465000000000003</v>
      </c>
      <c r="P1593" s="2994">
        <v>4.9915000000000003</v>
      </c>
      <c r="Q1593" s="2994">
        <v>4.5742000000000003</v>
      </c>
      <c r="R1593" s="2994">
        <v>5.1407999999999996</v>
      </c>
      <c r="S1593" s="2994">
        <v>5.6699000000000002</v>
      </c>
      <c r="T1593" s="2994">
        <v>4.7167000000000003</v>
      </c>
      <c r="U1593" s="2994">
        <v>5.8792</v>
      </c>
      <c r="V1593" s="2994">
        <v>5.0804999999999998</v>
      </c>
      <c r="W1593" s="2994">
        <v>5.9507000000000003</v>
      </c>
      <c r="X1593" s="2994">
        <v>5.9602000000000004</v>
      </c>
      <c r="Y1593" s="2994">
        <v>6.0345000000000004</v>
      </c>
      <c r="Z1593" s="2994">
        <v>6.1604999999999999</v>
      </c>
      <c r="AA1593" s="2994">
        <v>6.1111000000000004</v>
      </c>
      <c r="AB1593" s="2994">
        <v>6.3174999999999999</v>
      </c>
      <c r="AC1593" s="2994">
        <v>5.8662999999999998</v>
      </c>
      <c r="AD1593" s="2994">
        <v>5.4585999999999997</v>
      </c>
      <c r="AE1593" s="2994">
        <v>4.2649999999999997</v>
      </c>
      <c r="AF1593" s="2994">
        <v>4.1287000000000003</v>
      </c>
      <c r="AG1593" s="2994">
        <v>4.8368000000000002</v>
      </c>
      <c r="AH1593" s="2994">
        <v>4.9973999999999998</v>
      </c>
      <c r="AI1593" s="2994">
        <v>5.1757</v>
      </c>
      <c r="AJ1593" s="2994">
        <v>5.3201999999999998</v>
      </c>
      <c r="AK1593" s="2994">
        <v>4.8696999999999999</v>
      </c>
      <c r="AL1593" s="2994">
        <v>5.1649000000000003</v>
      </c>
      <c r="AM1593" s="2994">
        <v>5.2526000000000002</v>
      </c>
      <c r="AN1593" s="2994">
        <v>5.4942000000000002</v>
      </c>
      <c r="AO1593" s="2994">
        <v>5.5026000000000002</v>
      </c>
      <c r="AP1593" s="2994">
        <v>5.8101000000000003</v>
      </c>
      <c r="AQ1593" s="2994">
        <v>5.1455000000000002</v>
      </c>
      <c r="AR1593" s="2994">
        <v>7.0224000000000002</v>
      </c>
      <c r="AS1593" s="2994">
        <v>7.6909000000000001</v>
      </c>
      <c r="AT1593" s="2994">
        <v>7.3536999999999999</v>
      </c>
      <c r="AU1593" s="2994">
        <v>5.3037000000000001</v>
      </c>
      <c r="AV1593" s="2994">
        <v>5.5921000000000003</v>
      </c>
      <c r="AW1593" s="2994">
        <v>5.9874999999999998</v>
      </c>
      <c r="AX1593" s="2994">
        <v>6.5896999999999997</v>
      </c>
      <c r="AY1593" s="2994">
        <v>8.4648000000000003</v>
      </c>
      <c r="AZ1593" s="2994">
        <v>8.0639000000000003</v>
      </c>
      <c r="BA1593" s="2994">
        <v>9.4254999999999995</v>
      </c>
      <c r="BB1593" s="2994">
        <v>8.7911999999999999</v>
      </c>
      <c r="BC1593" s="2994">
        <v>8.2818000000000005</v>
      </c>
      <c r="BD1593" s="3471">
        <v>7.1205999999999996</v>
      </c>
      <c r="BE1593" s="3471">
        <v>7.4542999999999999</v>
      </c>
      <c r="BF1593" s="3471">
        <v>0</v>
      </c>
    </row>
    <row r="1594" spans="1:58">
      <c r="A1594" s="1817" t="str">
        <f t="shared" si="49"/>
        <v>OceaniaPepper (piper spp.)</v>
      </c>
      <c r="B1594" s="1818" t="s">
        <v>303</v>
      </c>
      <c r="C1594" s="1818" t="s">
        <v>7360</v>
      </c>
      <c r="D1594" s="3463" t="str">
        <f>VLOOKUP(B1594,List_Yield!$G$4:$J$14,4,FALSE)</f>
        <v>Oceania</v>
      </c>
      <c r="E1594" s="3463" t="str">
        <f t="shared" si="50"/>
        <v>OceaniaPepper (piper spp.)</v>
      </c>
      <c r="F1594" s="2994">
        <v>8.7400000000000005E-2</v>
      </c>
      <c r="G1594" s="2994">
        <v>8.7400000000000005E-2</v>
      </c>
      <c r="H1594" s="2994">
        <v>8.7800000000000003E-2</v>
      </c>
      <c r="I1594" s="2994">
        <v>8.7800000000000003E-2</v>
      </c>
      <c r="J1594" s="2994">
        <v>8.7800000000000003E-2</v>
      </c>
      <c r="K1594" s="2994">
        <v>8.2299999999999998E-2</v>
      </c>
      <c r="L1594" s="2994">
        <v>8.7800000000000003E-2</v>
      </c>
      <c r="M1594" s="2994">
        <v>4.41E-2</v>
      </c>
      <c r="N1594" s="2994">
        <v>4.8899999999999999E-2</v>
      </c>
      <c r="O1594" s="2994">
        <v>5.3199999999999997E-2</v>
      </c>
      <c r="P1594" s="2994">
        <v>5.7500000000000002E-2</v>
      </c>
      <c r="Q1594" s="2994">
        <v>6.1800000000000001E-2</v>
      </c>
      <c r="R1594" s="2994">
        <v>6.6199999999999995E-2</v>
      </c>
      <c r="S1594" s="2994">
        <v>7.0699999999999999E-2</v>
      </c>
      <c r="T1594" s="2994">
        <v>7.5300000000000006E-2</v>
      </c>
      <c r="U1594" s="2994">
        <v>7.9799999999999996E-2</v>
      </c>
      <c r="V1594" s="2994">
        <v>8.2500000000000004E-2</v>
      </c>
      <c r="W1594" s="2994">
        <v>8.2500000000000004E-2</v>
      </c>
      <c r="X1594" s="2994">
        <v>8.3699999999999997E-2</v>
      </c>
      <c r="Y1594" s="2994">
        <v>8.3699999999999997E-2</v>
      </c>
      <c r="Z1594" s="2994">
        <v>8.3699999999999997E-2</v>
      </c>
      <c r="AA1594" s="2994">
        <v>8.3699999999999997E-2</v>
      </c>
      <c r="AB1594" s="2994">
        <v>8.3699999999999997E-2</v>
      </c>
      <c r="AC1594" s="2994">
        <v>8.3699999999999997E-2</v>
      </c>
      <c r="AD1594" s="2994">
        <v>8.3699999999999997E-2</v>
      </c>
      <c r="AE1594" s="2994">
        <v>8.3699999999999997E-2</v>
      </c>
      <c r="AF1594" s="2994">
        <v>8.3699999999999997E-2</v>
      </c>
      <c r="AG1594" s="2994">
        <v>8.7400000000000005E-2</v>
      </c>
      <c r="AH1594" s="2994">
        <v>8.7400000000000005E-2</v>
      </c>
      <c r="AI1594" s="2994">
        <v>7.6100000000000001E-2</v>
      </c>
      <c r="AJ1594" s="2994">
        <v>6.4100000000000004E-2</v>
      </c>
      <c r="AK1594" s="2994">
        <v>9.0200000000000002E-2</v>
      </c>
      <c r="AL1594" s="2994">
        <v>0.1236</v>
      </c>
      <c r="AM1594" s="2994">
        <v>9.11E-2</v>
      </c>
      <c r="AN1594" s="2994">
        <v>0.13550000000000001</v>
      </c>
      <c r="AO1594" s="2994">
        <v>9.0499999999999997E-2</v>
      </c>
      <c r="AP1594" s="2994">
        <v>9.9199999999999997E-2</v>
      </c>
      <c r="AQ1594" s="2994">
        <v>9.0499999999999997E-2</v>
      </c>
      <c r="AR1594" s="2994">
        <v>9.0499999999999997E-2</v>
      </c>
      <c r="AS1594" s="2994">
        <v>0.1241</v>
      </c>
      <c r="AT1594" s="2994">
        <v>9.1999999999999998E-2</v>
      </c>
      <c r="AU1594" s="2994">
        <v>9.2600000000000002E-2</v>
      </c>
      <c r="AV1594" s="2994">
        <v>9.2600000000000002E-2</v>
      </c>
      <c r="AW1594" s="2994">
        <v>9.1999999999999998E-2</v>
      </c>
      <c r="AX1594" s="2994">
        <v>9.1999999999999998E-2</v>
      </c>
      <c r="AY1594" s="2994">
        <v>9.3700000000000006E-2</v>
      </c>
      <c r="AZ1594" s="2994">
        <v>9.3700000000000006E-2</v>
      </c>
      <c r="BA1594" s="2994">
        <v>9.3700000000000006E-2</v>
      </c>
      <c r="BB1594" s="2994">
        <v>9.0300000000000005E-2</v>
      </c>
      <c r="BC1594" s="2994">
        <v>6.93E-2</v>
      </c>
      <c r="BD1594" s="3471">
        <v>6.93E-2</v>
      </c>
      <c r="BE1594" s="3471">
        <v>7.1499999999999994E-2</v>
      </c>
      <c r="BF1594" s="3471">
        <v>0</v>
      </c>
    </row>
    <row r="1595" spans="1:58">
      <c r="A1595" s="1817" t="str">
        <f t="shared" si="49"/>
        <v>OceaniaPeppermint</v>
      </c>
      <c r="B1595" s="1818" t="s">
        <v>303</v>
      </c>
      <c r="C1595" s="1818" t="s">
        <v>7361</v>
      </c>
      <c r="D1595" s="3463" t="str">
        <f>VLOOKUP(B1595,List_Yield!$G$4:$J$14,4,FALSE)</f>
        <v>Oceania</v>
      </c>
      <c r="E1595" s="3463" t="str">
        <f t="shared" si="50"/>
        <v>OceaniaPeppermint</v>
      </c>
      <c r="F1595" s="2994">
        <v>0</v>
      </c>
      <c r="G1595" s="2994">
        <v>0</v>
      </c>
      <c r="H1595" s="2994">
        <v>0</v>
      </c>
      <c r="I1595" s="2994">
        <v>0</v>
      </c>
      <c r="J1595" s="2994">
        <v>0</v>
      </c>
      <c r="K1595" s="2994">
        <v>0</v>
      </c>
      <c r="L1595" s="2994">
        <v>0</v>
      </c>
      <c r="M1595" s="2994">
        <v>0</v>
      </c>
      <c r="N1595" s="2994">
        <v>0</v>
      </c>
      <c r="O1595" s="2994">
        <v>0</v>
      </c>
      <c r="P1595" s="2994">
        <v>0</v>
      </c>
      <c r="Q1595" s="2994">
        <v>0</v>
      </c>
      <c r="R1595" s="2994">
        <v>0</v>
      </c>
      <c r="S1595" s="2994">
        <v>0</v>
      </c>
      <c r="T1595" s="2994">
        <v>0</v>
      </c>
      <c r="U1595" s="2994">
        <v>0</v>
      </c>
      <c r="V1595" s="2994">
        <v>0</v>
      </c>
      <c r="W1595" s="2994">
        <v>0</v>
      </c>
      <c r="X1595" s="2994">
        <v>0</v>
      </c>
      <c r="Y1595" s="2994">
        <v>0</v>
      </c>
      <c r="Z1595" s="2994">
        <v>0</v>
      </c>
      <c r="AA1595" s="2994">
        <v>0</v>
      </c>
      <c r="AB1595" s="2994">
        <v>0</v>
      </c>
      <c r="AC1595" s="2994">
        <v>0</v>
      </c>
      <c r="AD1595" s="2994">
        <v>0</v>
      </c>
      <c r="AE1595" s="2994">
        <v>0</v>
      </c>
      <c r="AF1595" s="2994">
        <v>0</v>
      </c>
      <c r="AG1595" s="2994">
        <v>0</v>
      </c>
      <c r="AH1595" s="2994">
        <v>0</v>
      </c>
      <c r="AI1595" s="2994">
        <v>0</v>
      </c>
      <c r="AJ1595" s="2994">
        <v>0</v>
      </c>
      <c r="AK1595" s="2994">
        <v>0</v>
      </c>
      <c r="AL1595" s="2994">
        <v>0</v>
      </c>
      <c r="AM1595" s="2994">
        <v>0</v>
      </c>
      <c r="AN1595" s="2994">
        <v>0</v>
      </c>
      <c r="AO1595" s="2994">
        <v>0</v>
      </c>
      <c r="AP1595" s="2994">
        <v>0</v>
      </c>
      <c r="AQ1595" s="2994">
        <v>0</v>
      </c>
      <c r="AR1595" s="2994">
        <v>0</v>
      </c>
      <c r="AS1595" s="2994">
        <v>0</v>
      </c>
      <c r="AT1595" s="2994">
        <v>0</v>
      </c>
      <c r="AU1595" s="2994">
        <v>0</v>
      </c>
      <c r="AV1595" s="2994">
        <v>0</v>
      </c>
      <c r="AW1595" s="2994">
        <v>0</v>
      </c>
      <c r="AX1595" s="2994">
        <v>0</v>
      </c>
      <c r="AY1595" s="2994">
        <v>0</v>
      </c>
      <c r="AZ1595" s="2994">
        <v>0</v>
      </c>
      <c r="BA1595" s="2994">
        <v>0</v>
      </c>
      <c r="BB1595" s="2994">
        <v>0</v>
      </c>
      <c r="BC1595" s="2994">
        <v>0</v>
      </c>
      <c r="BD1595" s="3471">
        <v>0</v>
      </c>
      <c r="BE1595" s="3471">
        <v>0</v>
      </c>
      <c r="BF1595" s="3471">
        <v>0</v>
      </c>
    </row>
    <row r="1596" spans="1:58">
      <c r="A1596" s="1817" t="str">
        <f t="shared" si="49"/>
        <v>OceaniaPersimmons</v>
      </c>
      <c r="B1596" s="1818" t="s">
        <v>303</v>
      </c>
      <c r="C1596" s="1818" t="s">
        <v>7362</v>
      </c>
      <c r="D1596" s="3463" t="str">
        <f>VLOOKUP(B1596,List_Yield!$G$4:$J$14,4,FALSE)</f>
        <v>Oceania</v>
      </c>
      <c r="E1596" s="3463" t="str">
        <f t="shared" si="50"/>
        <v>OceaniaPersimmons</v>
      </c>
      <c r="F1596" s="2994">
        <v>0</v>
      </c>
      <c r="G1596" s="2994">
        <v>0</v>
      </c>
      <c r="H1596" s="2994">
        <v>0</v>
      </c>
      <c r="I1596" s="2994">
        <v>0</v>
      </c>
      <c r="J1596" s="2994">
        <v>0</v>
      </c>
      <c r="K1596" s="2994">
        <v>0</v>
      </c>
      <c r="L1596" s="2994">
        <v>0</v>
      </c>
      <c r="M1596" s="2994">
        <v>0</v>
      </c>
      <c r="N1596" s="2994">
        <v>0</v>
      </c>
      <c r="O1596" s="2994">
        <v>0</v>
      </c>
      <c r="P1596" s="2994">
        <v>0</v>
      </c>
      <c r="Q1596" s="2994">
        <v>0</v>
      </c>
      <c r="R1596" s="2994">
        <v>0</v>
      </c>
      <c r="S1596" s="2994">
        <v>0</v>
      </c>
      <c r="T1596" s="2994">
        <v>0</v>
      </c>
      <c r="U1596" s="2994">
        <v>0</v>
      </c>
      <c r="V1596" s="2994">
        <v>0</v>
      </c>
      <c r="W1596" s="2994">
        <v>0</v>
      </c>
      <c r="X1596" s="2994">
        <v>0</v>
      </c>
      <c r="Y1596" s="2994">
        <v>0</v>
      </c>
      <c r="Z1596" s="2994">
        <v>0</v>
      </c>
      <c r="AA1596" s="2994">
        <v>0</v>
      </c>
      <c r="AB1596" s="2994">
        <v>8.1999999999999993</v>
      </c>
      <c r="AC1596" s="2994">
        <v>8.3332999999999995</v>
      </c>
      <c r="AD1596" s="2994">
        <v>7.2</v>
      </c>
      <c r="AE1596" s="2994">
        <v>1.9731000000000001</v>
      </c>
      <c r="AF1596" s="2994">
        <v>1.9357</v>
      </c>
      <c r="AG1596" s="2994">
        <v>1.8684000000000001</v>
      </c>
      <c r="AH1596" s="2994">
        <v>1.7796000000000001</v>
      </c>
      <c r="AI1596" s="2994">
        <v>2.4546999999999999</v>
      </c>
      <c r="AJ1596" s="2994">
        <v>3.6875</v>
      </c>
      <c r="AK1596" s="2994">
        <v>3.6204999999999998</v>
      </c>
      <c r="AL1596" s="2994">
        <v>4.617</v>
      </c>
      <c r="AM1596" s="2994">
        <v>4.4565999999999999</v>
      </c>
      <c r="AN1596" s="2994">
        <v>4.3872</v>
      </c>
      <c r="AO1596" s="2994">
        <v>4.2431000000000001</v>
      </c>
      <c r="AP1596" s="2994">
        <v>4.1105999999999998</v>
      </c>
      <c r="AQ1596" s="2994">
        <v>4.1482000000000001</v>
      </c>
      <c r="AR1596" s="2994">
        <v>4.0399000000000003</v>
      </c>
      <c r="AS1596" s="2994">
        <v>4.2474999999999996</v>
      </c>
      <c r="AT1596" s="2994">
        <v>8.6184999999999992</v>
      </c>
      <c r="AU1596" s="2994">
        <v>8.9453999999999994</v>
      </c>
      <c r="AV1596" s="2994">
        <v>9.4251000000000005</v>
      </c>
      <c r="AW1596" s="2994">
        <v>10.4328</v>
      </c>
      <c r="AX1596" s="2994">
        <v>11.6313</v>
      </c>
      <c r="AY1596" s="2994">
        <v>11.1714</v>
      </c>
      <c r="AZ1596" s="2994">
        <v>10.9466</v>
      </c>
      <c r="BA1596" s="2994">
        <v>13.5075</v>
      </c>
      <c r="BB1596" s="2994">
        <v>12.6343</v>
      </c>
      <c r="BC1596" s="2994">
        <v>12.8863</v>
      </c>
      <c r="BD1596" s="3471">
        <v>12.3613</v>
      </c>
      <c r="BE1596" s="3471">
        <v>12.3361</v>
      </c>
      <c r="BF1596" s="3471">
        <v>0</v>
      </c>
    </row>
    <row r="1597" spans="1:58">
      <c r="A1597" s="1817" t="str">
        <f t="shared" si="49"/>
        <v>OceaniaPigeon peas</v>
      </c>
      <c r="B1597" s="1818" t="s">
        <v>303</v>
      </c>
      <c r="C1597" s="1818" t="s">
        <v>7363</v>
      </c>
      <c r="D1597" s="3463" t="str">
        <f>VLOOKUP(B1597,List_Yield!$G$4:$J$14,4,FALSE)</f>
        <v>Oceania</v>
      </c>
      <c r="E1597" s="3463" t="str">
        <f t="shared" si="50"/>
        <v>OceaniaPigeon peas</v>
      </c>
      <c r="F1597" s="2994">
        <v>0</v>
      </c>
      <c r="G1597" s="2994">
        <v>0</v>
      </c>
      <c r="H1597" s="2994">
        <v>0</v>
      </c>
      <c r="I1597" s="2994">
        <v>0</v>
      </c>
      <c r="J1597" s="2994">
        <v>0</v>
      </c>
      <c r="K1597" s="2994">
        <v>0</v>
      </c>
      <c r="L1597" s="2994">
        <v>0</v>
      </c>
      <c r="M1597" s="2994">
        <v>0</v>
      </c>
      <c r="N1597" s="2994">
        <v>0</v>
      </c>
      <c r="O1597" s="2994">
        <v>0</v>
      </c>
      <c r="P1597" s="2994">
        <v>0</v>
      </c>
      <c r="Q1597" s="2994">
        <v>0</v>
      </c>
      <c r="R1597" s="2994">
        <v>0</v>
      </c>
      <c r="S1597" s="2994">
        <v>0</v>
      </c>
      <c r="T1597" s="2994">
        <v>0</v>
      </c>
      <c r="U1597" s="2994">
        <v>0</v>
      </c>
      <c r="V1597" s="2994">
        <v>0</v>
      </c>
      <c r="W1597" s="2994">
        <v>0</v>
      </c>
      <c r="X1597" s="2994">
        <v>0</v>
      </c>
      <c r="Y1597" s="2994">
        <v>0</v>
      </c>
      <c r="Z1597" s="2994">
        <v>0</v>
      </c>
      <c r="AA1597" s="2994">
        <v>0</v>
      </c>
      <c r="AB1597" s="2994">
        <v>0</v>
      </c>
      <c r="AC1597" s="2994">
        <v>0</v>
      </c>
      <c r="AD1597" s="2994">
        <v>0</v>
      </c>
      <c r="AE1597" s="2994">
        <v>0</v>
      </c>
      <c r="AF1597" s="2994">
        <v>0</v>
      </c>
      <c r="AG1597" s="2994">
        <v>0</v>
      </c>
      <c r="AH1597" s="2994">
        <v>0</v>
      </c>
      <c r="AI1597" s="2994">
        <v>0</v>
      </c>
      <c r="AJ1597" s="2994">
        <v>0</v>
      </c>
      <c r="AK1597" s="2994">
        <v>0</v>
      </c>
      <c r="AL1597" s="2994">
        <v>0</v>
      </c>
      <c r="AM1597" s="2994">
        <v>0</v>
      </c>
      <c r="AN1597" s="2994">
        <v>0</v>
      </c>
      <c r="AO1597" s="2994">
        <v>0</v>
      </c>
      <c r="AP1597" s="2994">
        <v>0</v>
      </c>
      <c r="AQ1597" s="2994">
        <v>0</v>
      </c>
      <c r="AR1597" s="2994">
        <v>0</v>
      </c>
      <c r="AS1597" s="2994">
        <v>0</v>
      </c>
      <c r="AT1597" s="2994">
        <v>0</v>
      </c>
      <c r="AU1597" s="2994">
        <v>0</v>
      </c>
      <c r="AV1597" s="2994">
        <v>0</v>
      </c>
      <c r="AW1597" s="2994">
        <v>0</v>
      </c>
      <c r="AX1597" s="2994">
        <v>0</v>
      </c>
      <c r="AY1597" s="2994">
        <v>0</v>
      </c>
      <c r="AZ1597" s="2994">
        <v>0</v>
      </c>
      <c r="BA1597" s="2994">
        <v>0</v>
      </c>
      <c r="BB1597" s="2994">
        <v>0</v>
      </c>
      <c r="BC1597" s="2994">
        <v>0</v>
      </c>
      <c r="BD1597" s="3471">
        <v>0</v>
      </c>
      <c r="BE1597" s="3471">
        <v>0</v>
      </c>
      <c r="BF1597" s="3471">
        <v>0</v>
      </c>
    </row>
    <row r="1598" spans="1:58">
      <c r="A1598" s="1817" t="str">
        <f t="shared" si="49"/>
        <v>OceaniaPineapples</v>
      </c>
      <c r="B1598" s="1818" t="s">
        <v>303</v>
      </c>
      <c r="C1598" s="1818" t="s">
        <v>1325</v>
      </c>
      <c r="D1598" s="3463" t="str">
        <f>VLOOKUP(B1598,List_Yield!$G$4:$J$14,4,FALSE)</f>
        <v>Oceania</v>
      </c>
      <c r="E1598" s="3463" t="str">
        <f t="shared" si="50"/>
        <v>OceaniaPineapples</v>
      </c>
      <c r="F1598" s="2994">
        <v>24.1953</v>
      </c>
      <c r="G1598" s="2994">
        <v>24.223700000000001</v>
      </c>
      <c r="H1598" s="2994">
        <v>25.601299999999998</v>
      </c>
      <c r="I1598" s="2994">
        <v>26.341799999999999</v>
      </c>
      <c r="J1598" s="2994">
        <v>25.08</v>
      </c>
      <c r="K1598" s="2994">
        <v>25.736000000000001</v>
      </c>
      <c r="L1598" s="2994">
        <v>27.6797</v>
      </c>
      <c r="M1598" s="2994">
        <v>28.461300000000001</v>
      </c>
      <c r="N1598" s="2994">
        <v>26.663799999999998</v>
      </c>
      <c r="O1598" s="2994">
        <v>26.420999999999999</v>
      </c>
      <c r="P1598" s="2994">
        <v>25.964300000000001</v>
      </c>
      <c r="Q1598" s="2994">
        <v>28.975100000000001</v>
      </c>
      <c r="R1598" s="2994">
        <v>28.607199999999999</v>
      </c>
      <c r="S1598" s="2994">
        <v>21.480499999999999</v>
      </c>
      <c r="T1598" s="2994">
        <v>21.846599999999999</v>
      </c>
      <c r="U1598" s="2994">
        <v>20.832100000000001</v>
      </c>
      <c r="V1598" s="2994">
        <v>26.398800000000001</v>
      </c>
      <c r="W1598" s="2994">
        <v>24.064699999999998</v>
      </c>
      <c r="X1598" s="2994">
        <v>24.979199999999999</v>
      </c>
      <c r="Y1598" s="2994">
        <v>27.963899999999999</v>
      </c>
      <c r="Z1598" s="2994">
        <v>27.749500000000001</v>
      </c>
      <c r="AA1598" s="2994">
        <v>28.3263</v>
      </c>
      <c r="AB1598" s="2994">
        <v>27.459199999999999</v>
      </c>
      <c r="AC1598" s="2994">
        <v>28.182700000000001</v>
      </c>
      <c r="AD1598" s="2994">
        <v>28.861899999999999</v>
      </c>
      <c r="AE1598" s="2994">
        <v>30.7379</v>
      </c>
      <c r="AF1598" s="2994">
        <v>31.344000000000001</v>
      </c>
      <c r="AG1598" s="2994">
        <v>32.166200000000003</v>
      </c>
      <c r="AH1598" s="2994">
        <v>33.822000000000003</v>
      </c>
      <c r="AI1598" s="2994">
        <v>29.677</v>
      </c>
      <c r="AJ1598" s="2994">
        <v>31.325600000000001</v>
      </c>
      <c r="AK1598" s="2994">
        <v>33.585299999999997</v>
      </c>
      <c r="AL1598" s="2994">
        <v>34.514499999999998</v>
      </c>
      <c r="AM1598" s="2994">
        <v>35.746000000000002</v>
      </c>
      <c r="AN1598" s="2994">
        <v>35.627899999999997</v>
      </c>
      <c r="AO1598" s="2994">
        <v>37.031300000000002</v>
      </c>
      <c r="AP1598" s="2994">
        <v>37.804200000000002</v>
      </c>
      <c r="AQ1598" s="2994">
        <v>36.517800000000001</v>
      </c>
      <c r="AR1598" s="2994">
        <v>39.375100000000003</v>
      </c>
      <c r="AS1598" s="2994">
        <v>41.336799999999997</v>
      </c>
      <c r="AT1598" s="2994">
        <v>36.237900000000003</v>
      </c>
      <c r="AU1598" s="2994">
        <v>33.439300000000003</v>
      </c>
      <c r="AV1598" s="2994">
        <v>33.3322</v>
      </c>
      <c r="AW1598" s="2994">
        <v>34.210599999999999</v>
      </c>
      <c r="AX1598" s="2994">
        <v>31.000499999999999</v>
      </c>
      <c r="AY1598" s="2994">
        <v>27.703399999999998</v>
      </c>
      <c r="AZ1598" s="2994">
        <v>28.870100000000001</v>
      </c>
      <c r="BA1598" s="2994">
        <v>28.866299999999999</v>
      </c>
      <c r="BB1598" s="2994">
        <v>28.6662</v>
      </c>
      <c r="BC1598" s="2994">
        <v>29.454999999999998</v>
      </c>
      <c r="BD1598" s="3471">
        <v>27.061599999999999</v>
      </c>
      <c r="BE1598" s="3471">
        <v>26.944400000000002</v>
      </c>
      <c r="BF1598" s="3471">
        <v>0</v>
      </c>
    </row>
    <row r="1599" spans="1:58">
      <c r="A1599" s="1817" t="str">
        <f t="shared" si="49"/>
        <v>OceaniaPistachios</v>
      </c>
      <c r="B1599" s="1818" t="s">
        <v>303</v>
      </c>
      <c r="C1599" s="1818" t="s">
        <v>7364</v>
      </c>
      <c r="D1599" s="3463" t="str">
        <f>VLOOKUP(B1599,List_Yield!$G$4:$J$14,4,FALSE)</f>
        <v>Oceania</v>
      </c>
      <c r="E1599" s="3463" t="str">
        <f t="shared" si="50"/>
        <v>OceaniaPistachios</v>
      </c>
      <c r="F1599" s="2994">
        <v>0</v>
      </c>
      <c r="G1599" s="2994">
        <v>0</v>
      </c>
      <c r="H1599" s="2994">
        <v>0</v>
      </c>
      <c r="I1599" s="2994">
        <v>0</v>
      </c>
      <c r="J1599" s="2994">
        <v>0</v>
      </c>
      <c r="K1599" s="2994">
        <v>0</v>
      </c>
      <c r="L1599" s="2994">
        <v>0</v>
      </c>
      <c r="M1599" s="2994">
        <v>0</v>
      </c>
      <c r="N1599" s="2994">
        <v>0</v>
      </c>
      <c r="O1599" s="2994">
        <v>0</v>
      </c>
      <c r="P1599" s="2994">
        <v>0</v>
      </c>
      <c r="Q1599" s="2994">
        <v>0</v>
      </c>
      <c r="R1599" s="2994">
        <v>0</v>
      </c>
      <c r="S1599" s="2994">
        <v>0</v>
      </c>
      <c r="T1599" s="2994">
        <v>0</v>
      </c>
      <c r="U1599" s="2994">
        <v>0</v>
      </c>
      <c r="V1599" s="2994">
        <v>0</v>
      </c>
      <c r="W1599" s="2994">
        <v>0</v>
      </c>
      <c r="X1599" s="2994">
        <v>0</v>
      </c>
      <c r="Y1599" s="2994">
        <v>0</v>
      </c>
      <c r="Z1599" s="2994">
        <v>0</v>
      </c>
      <c r="AA1599" s="2994">
        <v>0</v>
      </c>
      <c r="AB1599" s="2994">
        <v>0</v>
      </c>
      <c r="AC1599" s="2994">
        <v>0</v>
      </c>
      <c r="AD1599" s="2994">
        <v>0</v>
      </c>
      <c r="AE1599" s="2994">
        <v>0</v>
      </c>
      <c r="AF1599" s="2994">
        <v>0</v>
      </c>
      <c r="AG1599" s="2994">
        <v>0</v>
      </c>
      <c r="AH1599" s="2994">
        <v>0</v>
      </c>
      <c r="AI1599" s="2994">
        <v>0</v>
      </c>
      <c r="AJ1599" s="2994">
        <v>0</v>
      </c>
      <c r="AK1599" s="2994">
        <v>0</v>
      </c>
      <c r="AL1599" s="2994">
        <v>0</v>
      </c>
      <c r="AM1599" s="2994">
        <v>0</v>
      </c>
      <c r="AN1599" s="2994">
        <v>0</v>
      </c>
      <c r="AO1599" s="2994">
        <v>0</v>
      </c>
      <c r="AP1599" s="2994">
        <v>0</v>
      </c>
      <c r="AQ1599" s="2994">
        <v>0</v>
      </c>
      <c r="AR1599" s="2994">
        <v>0</v>
      </c>
      <c r="AS1599" s="2994">
        <v>0</v>
      </c>
      <c r="AT1599" s="2994">
        <v>0</v>
      </c>
      <c r="AU1599" s="2994">
        <v>0</v>
      </c>
      <c r="AV1599" s="2994">
        <v>0</v>
      </c>
      <c r="AW1599" s="2994">
        <v>0</v>
      </c>
      <c r="AX1599" s="2994">
        <v>0</v>
      </c>
      <c r="AY1599" s="2994">
        <v>1.1904999999999999</v>
      </c>
      <c r="AZ1599" s="2994">
        <v>0.58819999999999995</v>
      </c>
      <c r="BA1599" s="2994">
        <v>2</v>
      </c>
      <c r="BB1599" s="2994">
        <v>0.6522</v>
      </c>
      <c r="BC1599" s="2994">
        <v>1.0526</v>
      </c>
      <c r="BD1599" s="3471">
        <v>1.0299</v>
      </c>
      <c r="BE1599" s="3471">
        <v>1.0299</v>
      </c>
      <c r="BF1599" s="3471">
        <v>0</v>
      </c>
    </row>
    <row r="1600" spans="1:58">
      <c r="A1600" s="1817" t="str">
        <f t="shared" si="49"/>
        <v>OceaniaPlantains</v>
      </c>
      <c r="B1600" s="1818" t="s">
        <v>303</v>
      </c>
      <c r="C1600" s="1818" t="s">
        <v>1367</v>
      </c>
      <c r="D1600" s="3463" t="str">
        <f>VLOOKUP(B1600,List_Yield!$G$4:$J$14,4,FALSE)</f>
        <v>Oceania</v>
      </c>
      <c r="E1600" s="3463" t="str">
        <f t="shared" si="50"/>
        <v>OceaniaPlantains</v>
      </c>
      <c r="F1600" s="2994">
        <v>3.125</v>
      </c>
      <c r="G1600" s="2994">
        <v>3.0323000000000002</v>
      </c>
      <c r="H1600" s="2994">
        <v>2.9971000000000001</v>
      </c>
      <c r="I1600" s="2994">
        <v>5.3273000000000001</v>
      </c>
      <c r="J1600" s="2994">
        <v>4.9524999999999997</v>
      </c>
      <c r="K1600" s="2994">
        <v>4.8182</v>
      </c>
      <c r="L1600" s="2994">
        <v>4.9375</v>
      </c>
      <c r="M1600" s="2994">
        <v>4.9375</v>
      </c>
      <c r="N1600" s="2994">
        <v>4.625</v>
      </c>
      <c r="O1600" s="2994">
        <v>5.8235000000000001</v>
      </c>
      <c r="P1600" s="2994">
        <v>5.5952000000000002</v>
      </c>
      <c r="Q1600" s="2994">
        <v>5.4762000000000004</v>
      </c>
      <c r="R1600" s="2994">
        <v>5.3292999999999999</v>
      </c>
      <c r="S1600" s="2994">
        <v>5.3613999999999997</v>
      </c>
      <c r="T1600" s="2994">
        <v>4.3635999999999999</v>
      </c>
      <c r="U1600" s="2994">
        <v>4.5454999999999997</v>
      </c>
      <c r="V1600" s="2994">
        <v>4.9090999999999996</v>
      </c>
      <c r="W1600" s="2994">
        <v>4.3635999999999999</v>
      </c>
      <c r="X1600" s="2994">
        <v>5.0303000000000004</v>
      </c>
      <c r="Y1600" s="2994">
        <v>4.7878999999999996</v>
      </c>
      <c r="Z1600" s="2994">
        <v>2.8241999999999998</v>
      </c>
      <c r="AA1600" s="2994">
        <v>2.3635999999999999</v>
      </c>
      <c r="AB1600" s="2994">
        <v>2.0345</v>
      </c>
      <c r="AC1600" s="2994">
        <v>2.8976999999999999</v>
      </c>
      <c r="AD1600" s="2994">
        <v>3.3323999999999998</v>
      </c>
      <c r="AE1600" s="2994">
        <v>3.5766</v>
      </c>
      <c r="AF1600" s="2994">
        <v>3.8346</v>
      </c>
      <c r="AG1600" s="2994">
        <v>4.2510000000000003</v>
      </c>
      <c r="AH1600" s="2994">
        <v>4.5187999999999997</v>
      </c>
      <c r="AI1600" s="2994">
        <v>4.8102999999999998</v>
      </c>
      <c r="AJ1600" s="2994">
        <v>8.4464000000000006</v>
      </c>
      <c r="AK1600" s="2994">
        <v>9.5178999999999991</v>
      </c>
      <c r="AL1600" s="2994">
        <v>9.6831999999999994</v>
      </c>
      <c r="AM1600" s="2994">
        <v>6.8518999999999997</v>
      </c>
      <c r="AN1600" s="2994">
        <v>4.5930999999999997</v>
      </c>
      <c r="AO1600" s="2994">
        <v>5.6383000000000001</v>
      </c>
      <c r="AP1600" s="2994">
        <v>5.5167999999999999</v>
      </c>
      <c r="AQ1600" s="2994">
        <v>4.9756</v>
      </c>
      <c r="AR1600" s="2994">
        <v>3.4607000000000001</v>
      </c>
      <c r="AS1600" s="2994">
        <v>3.2724000000000002</v>
      </c>
      <c r="AT1600" s="2994">
        <v>3.125</v>
      </c>
      <c r="AU1600" s="2994">
        <v>2.0169000000000001</v>
      </c>
      <c r="AV1600" s="2994">
        <v>1.9585999999999999</v>
      </c>
      <c r="AW1600" s="2994">
        <v>2.0520999999999998</v>
      </c>
      <c r="AX1600" s="2994">
        <v>2.1061999999999999</v>
      </c>
      <c r="AY1600" s="2994">
        <v>2.9266000000000001</v>
      </c>
      <c r="AZ1600" s="2994">
        <v>3.8934000000000002</v>
      </c>
      <c r="BA1600" s="2994">
        <v>3.7993999999999999</v>
      </c>
      <c r="BB1600" s="2994">
        <v>3.5466000000000002</v>
      </c>
      <c r="BC1600" s="2994">
        <v>3.2130999999999998</v>
      </c>
      <c r="BD1600" s="3471">
        <v>3.0280999999999998</v>
      </c>
      <c r="BE1600" s="3471">
        <v>3.0550000000000002</v>
      </c>
      <c r="BF1600" s="3471">
        <v>0</v>
      </c>
    </row>
    <row r="1601" spans="1:58">
      <c r="A1601" s="1817" t="str">
        <f t="shared" si="49"/>
        <v>OceaniaPlums and sloes</v>
      </c>
      <c r="B1601" s="1818" t="s">
        <v>303</v>
      </c>
      <c r="C1601" s="1818" t="s">
        <v>7365</v>
      </c>
      <c r="D1601" s="3463" t="str">
        <f>VLOOKUP(B1601,List_Yield!$G$4:$J$14,4,FALSE)</f>
        <v>Oceania</v>
      </c>
      <c r="E1601" s="3463" t="str">
        <f t="shared" si="50"/>
        <v>OceaniaPlums and sloes</v>
      </c>
      <c r="F1601" s="2994">
        <v>6.9828999999999999</v>
      </c>
      <c r="G1601" s="2994">
        <v>7.0347999999999997</v>
      </c>
      <c r="H1601" s="2994">
        <v>7.3872999999999998</v>
      </c>
      <c r="I1601" s="2994">
        <v>7.9916999999999998</v>
      </c>
      <c r="J1601" s="2994">
        <v>7.3513000000000002</v>
      </c>
      <c r="K1601" s="2994">
        <v>7.7797999999999998</v>
      </c>
      <c r="L1601" s="2994">
        <v>6.7859999999999996</v>
      </c>
      <c r="M1601" s="2994">
        <v>8.5010999999999992</v>
      </c>
      <c r="N1601" s="2994">
        <v>6.0613000000000001</v>
      </c>
      <c r="O1601" s="2994">
        <v>6.7305000000000001</v>
      </c>
      <c r="P1601" s="2994">
        <v>6.8205</v>
      </c>
      <c r="Q1601" s="2994">
        <v>8.3360000000000003</v>
      </c>
      <c r="R1601" s="2994">
        <v>6.9433999999999996</v>
      </c>
      <c r="S1601" s="2994">
        <v>7.3605</v>
      </c>
      <c r="T1601" s="2994">
        <v>6.6241000000000003</v>
      </c>
      <c r="U1601" s="2994">
        <v>7.6508000000000003</v>
      </c>
      <c r="V1601" s="2994">
        <v>9.2826000000000004</v>
      </c>
      <c r="W1601" s="2994">
        <v>7.3129</v>
      </c>
      <c r="X1601" s="2994">
        <v>7.0270000000000001</v>
      </c>
      <c r="Y1601" s="2994">
        <v>9.6274999999999995</v>
      </c>
      <c r="Z1601" s="2994">
        <v>10.285399999999999</v>
      </c>
      <c r="AA1601" s="2994">
        <v>9.6306999999999992</v>
      </c>
      <c r="AB1601" s="2994">
        <v>8.1859000000000002</v>
      </c>
      <c r="AC1601" s="2994">
        <v>10.693</v>
      </c>
      <c r="AD1601" s="2994">
        <v>8.6170000000000009</v>
      </c>
      <c r="AE1601" s="2994">
        <v>8.7698</v>
      </c>
      <c r="AF1601" s="2994">
        <v>9.3702000000000005</v>
      </c>
      <c r="AG1601" s="2994">
        <v>9.1598000000000006</v>
      </c>
      <c r="AH1601" s="2994">
        <v>6.6989000000000001</v>
      </c>
      <c r="AI1601" s="2994">
        <v>6.9067999999999996</v>
      </c>
      <c r="AJ1601" s="2994">
        <v>6.6041999999999996</v>
      </c>
      <c r="AK1601" s="2994">
        <v>6.8676000000000004</v>
      </c>
      <c r="AL1601" s="2994">
        <v>6.9447000000000001</v>
      </c>
      <c r="AM1601" s="2994">
        <v>7.2984</v>
      </c>
      <c r="AN1601" s="2994">
        <v>6.7988999999999997</v>
      </c>
      <c r="AO1601" s="2994">
        <v>6.6346999999999996</v>
      </c>
      <c r="AP1601" s="2994">
        <v>6.7244000000000002</v>
      </c>
      <c r="AQ1601" s="2994">
        <v>7.0941999999999998</v>
      </c>
      <c r="AR1601" s="2994">
        <v>6.9916</v>
      </c>
      <c r="AS1601" s="2994">
        <v>6.8326000000000002</v>
      </c>
      <c r="AT1601" s="2994">
        <v>9.2474000000000007</v>
      </c>
      <c r="AU1601" s="2994">
        <v>7.1692</v>
      </c>
      <c r="AV1601" s="2994">
        <v>9.0521999999999991</v>
      </c>
      <c r="AW1601" s="2994">
        <v>6.6218000000000004</v>
      </c>
      <c r="AX1601" s="2994">
        <v>8.6437000000000008</v>
      </c>
      <c r="AY1601" s="2994">
        <v>5.0534999999999997</v>
      </c>
      <c r="AZ1601" s="2994">
        <v>5.7649999999999997</v>
      </c>
      <c r="BA1601" s="2994">
        <v>5.476</v>
      </c>
      <c r="BB1601" s="2994">
        <v>5.1123000000000003</v>
      </c>
      <c r="BC1601" s="2994">
        <v>5.1148999999999996</v>
      </c>
      <c r="BD1601" s="3471">
        <v>5.2686999999999999</v>
      </c>
      <c r="BE1601" s="3471">
        <v>5.2051999999999996</v>
      </c>
      <c r="BF1601" s="3471">
        <v>0</v>
      </c>
    </row>
    <row r="1602" spans="1:58">
      <c r="A1602" s="1817" t="str">
        <f t="shared" ref="A1602:A1651" si="51">CONCATENATE(B1602,C1602)</f>
        <v>OceaniaPopcorn</v>
      </c>
      <c r="B1602" s="1818" t="s">
        <v>303</v>
      </c>
      <c r="C1602" s="1818" t="s">
        <v>7366</v>
      </c>
      <c r="D1602" s="3463" t="str">
        <f>VLOOKUP(B1602,List_Yield!$G$4:$J$14,4,FALSE)</f>
        <v>Oceania</v>
      </c>
      <c r="E1602" s="3463" t="str">
        <f t="shared" si="50"/>
        <v>OceaniaPopcorn</v>
      </c>
      <c r="F1602" s="2994">
        <v>0</v>
      </c>
      <c r="G1602" s="2994">
        <v>0</v>
      </c>
      <c r="H1602" s="2994">
        <v>0</v>
      </c>
      <c r="I1602" s="2994">
        <v>0</v>
      </c>
      <c r="J1602" s="2994">
        <v>0</v>
      </c>
      <c r="K1602" s="2994">
        <v>0</v>
      </c>
      <c r="L1602" s="2994">
        <v>0</v>
      </c>
      <c r="M1602" s="2994">
        <v>0</v>
      </c>
      <c r="N1602" s="2994">
        <v>0</v>
      </c>
      <c r="O1602" s="2994">
        <v>0</v>
      </c>
      <c r="P1602" s="2994">
        <v>0</v>
      </c>
      <c r="Q1602" s="2994">
        <v>0</v>
      </c>
      <c r="R1602" s="2994">
        <v>0</v>
      </c>
      <c r="S1602" s="2994">
        <v>0</v>
      </c>
      <c r="T1602" s="2994">
        <v>0</v>
      </c>
      <c r="U1602" s="2994">
        <v>0</v>
      </c>
      <c r="V1602" s="2994">
        <v>0</v>
      </c>
      <c r="W1602" s="2994">
        <v>0</v>
      </c>
      <c r="X1602" s="2994">
        <v>0</v>
      </c>
      <c r="Y1602" s="2994">
        <v>0</v>
      </c>
      <c r="Z1602" s="2994">
        <v>0</v>
      </c>
      <c r="AA1602" s="2994">
        <v>0</v>
      </c>
      <c r="AB1602" s="2994">
        <v>0</v>
      </c>
      <c r="AC1602" s="2994">
        <v>0</v>
      </c>
      <c r="AD1602" s="2994">
        <v>0</v>
      </c>
      <c r="AE1602" s="2994">
        <v>0</v>
      </c>
      <c r="AF1602" s="2994">
        <v>0</v>
      </c>
      <c r="AG1602" s="2994">
        <v>0</v>
      </c>
      <c r="AH1602" s="2994">
        <v>0</v>
      </c>
      <c r="AI1602" s="2994">
        <v>0</v>
      </c>
      <c r="AJ1602" s="2994">
        <v>0</v>
      </c>
      <c r="AK1602" s="2994">
        <v>0</v>
      </c>
      <c r="AL1602" s="2994">
        <v>0</v>
      </c>
      <c r="AM1602" s="2994">
        <v>0</v>
      </c>
      <c r="AN1602" s="2994">
        <v>0</v>
      </c>
      <c r="AO1602" s="2994">
        <v>0</v>
      </c>
      <c r="AP1602" s="2994">
        <v>0</v>
      </c>
      <c r="AQ1602" s="2994">
        <v>0</v>
      </c>
      <c r="AR1602" s="2994">
        <v>0</v>
      </c>
      <c r="AS1602" s="2994">
        <v>0</v>
      </c>
      <c r="AT1602" s="2994">
        <v>0</v>
      </c>
      <c r="AU1602" s="2994">
        <v>0</v>
      </c>
      <c r="AV1602" s="2994">
        <v>0</v>
      </c>
      <c r="AW1602" s="2994">
        <v>0</v>
      </c>
      <c r="AX1602" s="2994">
        <v>0</v>
      </c>
      <c r="AY1602" s="2994">
        <v>0</v>
      </c>
      <c r="AZ1602" s="2994">
        <v>0</v>
      </c>
      <c r="BA1602" s="2994">
        <v>0</v>
      </c>
      <c r="BB1602" s="2994">
        <v>0</v>
      </c>
      <c r="BC1602" s="2994">
        <v>0</v>
      </c>
      <c r="BD1602" s="3471">
        <v>0</v>
      </c>
      <c r="BE1602" s="3471">
        <v>0</v>
      </c>
      <c r="BF1602" s="3471">
        <v>0</v>
      </c>
    </row>
    <row r="1603" spans="1:58">
      <c r="A1603" s="1817" t="str">
        <f t="shared" si="51"/>
        <v>OceaniaPoppy seed</v>
      </c>
      <c r="B1603" s="1818" t="s">
        <v>303</v>
      </c>
      <c r="C1603" s="1818" t="s">
        <v>7367</v>
      </c>
      <c r="D1603" s="3463" t="str">
        <f>VLOOKUP(B1603,List_Yield!$G$4:$J$14,4,FALSE)</f>
        <v>Oceania</v>
      </c>
      <c r="E1603" s="3463" t="str">
        <f t="shared" si="50"/>
        <v>OceaniaPoppy seed</v>
      </c>
      <c r="F1603" s="2994">
        <v>0</v>
      </c>
      <c r="G1603" s="2994">
        <v>0</v>
      </c>
      <c r="H1603" s="2994">
        <v>0</v>
      </c>
      <c r="I1603" s="2994">
        <v>0</v>
      </c>
      <c r="J1603" s="2994">
        <v>0</v>
      </c>
      <c r="K1603" s="2994">
        <v>0</v>
      </c>
      <c r="L1603" s="2994">
        <v>0</v>
      </c>
      <c r="M1603" s="2994">
        <v>0</v>
      </c>
      <c r="N1603" s="2994">
        <v>0</v>
      </c>
      <c r="O1603" s="2994">
        <v>0</v>
      </c>
      <c r="P1603" s="2994">
        <v>0</v>
      </c>
      <c r="Q1603" s="2994">
        <v>0</v>
      </c>
      <c r="R1603" s="2994">
        <v>0</v>
      </c>
      <c r="S1603" s="2994">
        <v>0</v>
      </c>
      <c r="T1603" s="2994">
        <v>0</v>
      </c>
      <c r="U1603" s="2994">
        <v>0</v>
      </c>
      <c r="V1603" s="2994">
        <v>0</v>
      </c>
      <c r="W1603" s="2994">
        <v>0</v>
      </c>
      <c r="X1603" s="2994">
        <v>0</v>
      </c>
      <c r="Y1603" s="2994">
        <v>0</v>
      </c>
      <c r="Z1603" s="2994">
        <v>0</v>
      </c>
      <c r="AA1603" s="2994">
        <v>0</v>
      </c>
      <c r="AB1603" s="2994">
        <v>0</v>
      </c>
      <c r="AC1603" s="2994">
        <v>0</v>
      </c>
      <c r="AD1603" s="2994">
        <v>0</v>
      </c>
      <c r="AE1603" s="2994">
        <v>0</v>
      </c>
      <c r="AF1603" s="2994">
        <v>0</v>
      </c>
      <c r="AG1603" s="2994">
        <v>0</v>
      </c>
      <c r="AH1603" s="2994">
        <v>0</v>
      </c>
      <c r="AI1603" s="2994">
        <v>0</v>
      </c>
      <c r="AJ1603" s="2994">
        <v>0</v>
      </c>
      <c r="AK1603" s="2994">
        <v>0</v>
      </c>
      <c r="AL1603" s="2994">
        <v>0</v>
      </c>
      <c r="AM1603" s="2994">
        <v>0</v>
      </c>
      <c r="AN1603" s="2994">
        <v>0</v>
      </c>
      <c r="AO1603" s="2994">
        <v>0</v>
      </c>
      <c r="AP1603" s="2994">
        <v>0</v>
      </c>
      <c r="AQ1603" s="2994">
        <v>0</v>
      </c>
      <c r="AR1603" s="2994">
        <v>0</v>
      </c>
      <c r="AS1603" s="2994">
        <v>0</v>
      </c>
      <c r="AT1603" s="2994">
        <v>0</v>
      </c>
      <c r="AU1603" s="2994">
        <v>0</v>
      </c>
      <c r="AV1603" s="2994">
        <v>0</v>
      </c>
      <c r="AW1603" s="2994">
        <v>0</v>
      </c>
      <c r="AX1603" s="2994">
        <v>0</v>
      </c>
      <c r="AY1603" s="2994">
        <v>0</v>
      </c>
      <c r="AZ1603" s="2994">
        <v>0</v>
      </c>
      <c r="BA1603" s="2994">
        <v>0</v>
      </c>
      <c r="BB1603" s="2994">
        <v>0</v>
      </c>
      <c r="BC1603" s="2994">
        <v>0</v>
      </c>
      <c r="BD1603" s="3471">
        <v>0</v>
      </c>
      <c r="BE1603" s="3471">
        <v>0</v>
      </c>
      <c r="BF1603" s="3471">
        <v>0</v>
      </c>
    </row>
    <row r="1604" spans="1:58">
      <c r="A1604" s="1817" t="str">
        <f t="shared" si="51"/>
        <v>OceaniaPotatoes</v>
      </c>
      <c r="B1604" s="1818" t="s">
        <v>303</v>
      </c>
      <c r="C1604" s="1818" t="s">
        <v>1368</v>
      </c>
      <c r="D1604" s="3463" t="str">
        <f>VLOOKUP(B1604,List_Yield!$G$4:$J$14,4,FALSE)</f>
        <v>Oceania</v>
      </c>
      <c r="E1604" s="3463" t="str">
        <f t="shared" si="50"/>
        <v>OceaniaPotatoes</v>
      </c>
      <c r="F1604" s="2994">
        <v>14.31</v>
      </c>
      <c r="G1604" s="2994">
        <v>15.532400000000001</v>
      </c>
      <c r="H1604" s="2994">
        <v>15.7225</v>
      </c>
      <c r="I1604" s="2994">
        <v>15.170299999999999</v>
      </c>
      <c r="J1604" s="2994">
        <v>16.4437</v>
      </c>
      <c r="K1604" s="2994">
        <v>17.723500000000001</v>
      </c>
      <c r="L1604" s="2994">
        <v>18.093299999999999</v>
      </c>
      <c r="M1604" s="2994">
        <v>18.0884</v>
      </c>
      <c r="N1604" s="2994">
        <v>19.846</v>
      </c>
      <c r="O1604" s="2994">
        <v>19.785299999999999</v>
      </c>
      <c r="P1604" s="2994">
        <v>21.681100000000001</v>
      </c>
      <c r="Q1604" s="2994">
        <v>21.891999999999999</v>
      </c>
      <c r="R1604" s="2994">
        <v>21.641300000000001</v>
      </c>
      <c r="S1604" s="2994">
        <v>20.2438</v>
      </c>
      <c r="T1604" s="2994">
        <v>20.63</v>
      </c>
      <c r="U1604" s="2994">
        <v>21.759899999999998</v>
      </c>
      <c r="V1604" s="2994">
        <v>22.537099999999999</v>
      </c>
      <c r="W1604" s="2994">
        <v>22.019300000000001</v>
      </c>
      <c r="X1604" s="2994">
        <v>23.371200000000002</v>
      </c>
      <c r="Y1604" s="2994">
        <v>23.934000000000001</v>
      </c>
      <c r="Z1604" s="2994">
        <v>24.5322</v>
      </c>
      <c r="AA1604" s="2994">
        <v>25.483499999999999</v>
      </c>
      <c r="AB1604" s="2994">
        <v>23.929200000000002</v>
      </c>
      <c r="AC1604" s="2994">
        <v>27.3474</v>
      </c>
      <c r="AD1604" s="2994">
        <v>26.367000000000001</v>
      </c>
      <c r="AE1604" s="2994">
        <v>27.5029</v>
      </c>
      <c r="AF1604" s="2994">
        <v>27.959</v>
      </c>
      <c r="AG1604" s="2994">
        <v>27.589700000000001</v>
      </c>
      <c r="AH1604" s="2994">
        <v>28.1813</v>
      </c>
      <c r="AI1604" s="2994">
        <v>29.439800000000002</v>
      </c>
      <c r="AJ1604" s="2994">
        <v>29.379300000000001</v>
      </c>
      <c r="AK1604" s="2994">
        <v>30.611699999999999</v>
      </c>
      <c r="AL1604" s="2994">
        <v>31.6892</v>
      </c>
      <c r="AM1604" s="2994">
        <v>32.046900000000001</v>
      </c>
      <c r="AN1604" s="2994">
        <v>33.007199999999997</v>
      </c>
      <c r="AO1604" s="2994">
        <v>33.813699999999997</v>
      </c>
      <c r="AP1604" s="2994">
        <v>33.751300000000001</v>
      </c>
      <c r="AQ1604" s="2994">
        <v>32.804699999999997</v>
      </c>
      <c r="AR1604" s="2994">
        <v>34.073999999999998</v>
      </c>
      <c r="AS1604" s="2994">
        <v>31.316099999999999</v>
      </c>
      <c r="AT1604" s="2994">
        <v>34.950400000000002</v>
      </c>
      <c r="AU1604" s="2994">
        <v>37.492400000000004</v>
      </c>
      <c r="AV1604" s="2994">
        <v>37.072899999999997</v>
      </c>
      <c r="AW1604" s="2994">
        <v>38.0959</v>
      </c>
      <c r="AX1604" s="2994">
        <v>36.631999999999998</v>
      </c>
      <c r="AY1604" s="2994">
        <v>36.982399999999998</v>
      </c>
      <c r="AZ1604" s="2994">
        <v>38.012700000000002</v>
      </c>
      <c r="BA1604" s="2994">
        <v>38.433700000000002</v>
      </c>
      <c r="BB1604" s="2994">
        <v>38.895800000000001</v>
      </c>
      <c r="BC1604" s="2994">
        <v>38.138300000000001</v>
      </c>
      <c r="BD1604" s="3471">
        <v>38.356999999999999</v>
      </c>
      <c r="BE1604" s="3471">
        <v>40.313000000000002</v>
      </c>
      <c r="BF1604" s="3471">
        <v>40.391199999999998</v>
      </c>
    </row>
    <row r="1605" spans="1:58">
      <c r="A1605" s="1817" t="str">
        <f t="shared" si="51"/>
        <v>OceaniaPulses, nes</v>
      </c>
      <c r="B1605" s="1818" t="s">
        <v>303</v>
      </c>
      <c r="C1605" s="1818" t="s">
        <v>1369</v>
      </c>
      <c r="D1605" s="3463" t="str">
        <f>VLOOKUP(B1605,List_Yield!$G$4:$J$14,4,FALSE)</f>
        <v>Oceania</v>
      </c>
      <c r="E1605" s="3463" t="str">
        <f t="shared" si="50"/>
        <v>OceaniaPulses, nes</v>
      </c>
      <c r="F1605" s="2994">
        <v>0.5726</v>
      </c>
      <c r="G1605" s="2994">
        <v>0.57010000000000005</v>
      </c>
      <c r="H1605" s="2994">
        <v>0.57350000000000001</v>
      </c>
      <c r="I1605" s="2994">
        <v>0.56530000000000002</v>
      </c>
      <c r="J1605" s="2994">
        <v>0.57140000000000002</v>
      </c>
      <c r="K1605" s="2994">
        <v>0.56799999999999995</v>
      </c>
      <c r="L1605" s="2994">
        <v>0.58230000000000004</v>
      </c>
      <c r="M1605" s="2994">
        <v>0.55530000000000002</v>
      </c>
      <c r="N1605" s="2994">
        <v>0.57320000000000004</v>
      </c>
      <c r="O1605" s="2994">
        <v>0.58730000000000004</v>
      </c>
      <c r="P1605" s="2994">
        <v>0.59730000000000005</v>
      </c>
      <c r="Q1605" s="2994">
        <v>0.59719999999999995</v>
      </c>
      <c r="R1605" s="2994">
        <v>0.60580000000000001</v>
      </c>
      <c r="S1605" s="2994">
        <v>0.6008</v>
      </c>
      <c r="T1605" s="2994">
        <v>0.60640000000000005</v>
      </c>
      <c r="U1605" s="2994">
        <v>0.60819999999999996</v>
      </c>
      <c r="V1605" s="2994">
        <v>0.60309999999999997</v>
      </c>
      <c r="W1605" s="2994">
        <v>0.61099999999999999</v>
      </c>
      <c r="X1605" s="2994">
        <v>0.62380000000000002</v>
      </c>
      <c r="Y1605" s="2994">
        <v>0.62519999999999998</v>
      </c>
      <c r="Z1605" s="2994">
        <v>0.63419999999999999</v>
      </c>
      <c r="AA1605" s="2994">
        <v>0.6341</v>
      </c>
      <c r="AB1605" s="2994">
        <v>0.66830000000000001</v>
      </c>
      <c r="AC1605" s="2994">
        <v>0.67720000000000002</v>
      </c>
      <c r="AD1605" s="2994">
        <v>0.68079999999999996</v>
      </c>
      <c r="AE1605" s="2994">
        <v>0.67630000000000001</v>
      </c>
      <c r="AF1605" s="2994">
        <v>0.68969999999999998</v>
      </c>
      <c r="AG1605" s="2994">
        <v>0.70099999999999996</v>
      </c>
      <c r="AH1605" s="2994">
        <v>0.69130000000000003</v>
      </c>
      <c r="AI1605" s="2994">
        <v>0.69710000000000005</v>
      </c>
      <c r="AJ1605" s="2994">
        <v>0.93149999999999999</v>
      </c>
      <c r="AK1605" s="2994">
        <v>0.71140000000000003</v>
      </c>
      <c r="AL1605" s="2994">
        <v>0.75360000000000005</v>
      </c>
      <c r="AM1605" s="2994">
        <v>0.77700000000000002</v>
      </c>
      <c r="AN1605" s="2994">
        <v>0.81330000000000002</v>
      </c>
      <c r="AO1605" s="2994">
        <v>0.77810000000000001</v>
      </c>
      <c r="AP1605" s="2994">
        <v>0.67920000000000003</v>
      </c>
      <c r="AQ1605" s="2994">
        <v>0.8276</v>
      </c>
      <c r="AR1605" s="2994">
        <v>0.79190000000000005</v>
      </c>
      <c r="AS1605" s="2994">
        <v>0.86</v>
      </c>
      <c r="AT1605" s="2994">
        <v>0.82979999999999998</v>
      </c>
      <c r="AU1605" s="2994">
        <v>0.71919999999999995</v>
      </c>
      <c r="AV1605" s="2994">
        <v>0.85240000000000005</v>
      </c>
      <c r="AW1605" s="2994">
        <v>0.76600000000000001</v>
      </c>
      <c r="AX1605" s="2994">
        <v>0.83120000000000005</v>
      </c>
      <c r="AY1605" s="2994">
        <v>0.73080000000000001</v>
      </c>
      <c r="AZ1605" s="2994">
        <v>0.78649999999999998</v>
      </c>
      <c r="BA1605" s="2994">
        <v>0.84470000000000001</v>
      </c>
      <c r="BB1605" s="2994">
        <v>0.75649999999999995</v>
      </c>
      <c r="BC1605" s="2994">
        <v>0.69710000000000005</v>
      </c>
      <c r="BD1605" s="3471">
        <v>0.69010000000000005</v>
      </c>
      <c r="BE1605" s="3471">
        <v>1.3697999999999999</v>
      </c>
      <c r="BF1605" s="3471">
        <v>1.3880999999999999</v>
      </c>
    </row>
    <row r="1606" spans="1:58">
      <c r="A1606" s="1817" t="str">
        <f t="shared" si="51"/>
        <v>OceaniaPumpkins, squash and gourds</v>
      </c>
      <c r="B1606" s="1818" t="s">
        <v>303</v>
      </c>
      <c r="C1606" s="1818" t="s">
        <v>7368</v>
      </c>
      <c r="D1606" s="3463" t="str">
        <f>VLOOKUP(B1606,List_Yield!$G$4:$J$14,4,FALSE)</f>
        <v>Oceania</v>
      </c>
      <c r="E1606" s="3463" t="str">
        <f t="shared" si="50"/>
        <v>OceaniaPumpkins, squash and gourds</v>
      </c>
      <c r="F1606" s="2994">
        <v>11.1769</v>
      </c>
      <c r="G1606" s="2994">
        <v>11.216799999999999</v>
      </c>
      <c r="H1606" s="2994">
        <v>11.113799999999999</v>
      </c>
      <c r="I1606" s="2994">
        <v>10.833600000000001</v>
      </c>
      <c r="J1606" s="2994">
        <v>10.433199999999999</v>
      </c>
      <c r="K1606" s="2994">
        <v>9.4146000000000001</v>
      </c>
      <c r="L1606" s="2994">
        <v>9.4616000000000007</v>
      </c>
      <c r="M1606" s="2994">
        <v>8.9610000000000003</v>
      </c>
      <c r="N1606" s="2994">
        <v>10.040100000000001</v>
      </c>
      <c r="O1606" s="2994">
        <v>8.5521999999999991</v>
      </c>
      <c r="P1606" s="2994">
        <v>9.6460000000000008</v>
      </c>
      <c r="Q1606" s="2994">
        <v>10.2029</v>
      </c>
      <c r="R1606" s="2994">
        <v>9.1115999999999993</v>
      </c>
      <c r="S1606" s="2994">
        <v>8.9422999999999995</v>
      </c>
      <c r="T1606" s="2994">
        <v>8.7376000000000005</v>
      </c>
      <c r="U1606" s="2994">
        <v>9.0533999999999999</v>
      </c>
      <c r="V1606" s="2994">
        <v>9.1066000000000003</v>
      </c>
      <c r="W1606" s="2994">
        <v>10.049899999999999</v>
      </c>
      <c r="X1606" s="2994">
        <v>9.3149999999999995</v>
      </c>
      <c r="Y1606" s="2994">
        <v>10.4564</v>
      </c>
      <c r="Z1606" s="2994">
        <v>10.071999999999999</v>
      </c>
      <c r="AA1606" s="2994">
        <v>11.158200000000001</v>
      </c>
      <c r="AB1606" s="2994">
        <v>11.326700000000001</v>
      </c>
      <c r="AC1606" s="2994">
        <v>12.5428</v>
      </c>
      <c r="AD1606" s="2994">
        <v>13.036300000000001</v>
      </c>
      <c r="AE1606" s="2994">
        <v>12.079599999999999</v>
      </c>
      <c r="AF1606" s="2994">
        <v>11.958</v>
      </c>
      <c r="AG1606" s="2994">
        <v>12.0504</v>
      </c>
      <c r="AH1606" s="2994">
        <v>12.8089</v>
      </c>
      <c r="AI1606" s="2994">
        <v>12.9054</v>
      </c>
      <c r="AJ1606" s="2994">
        <v>13.860099999999999</v>
      </c>
      <c r="AK1606" s="2994">
        <v>14.4034</v>
      </c>
      <c r="AL1606" s="2994">
        <v>14.904999999999999</v>
      </c>
      <c r="AM1606" s="2994">
        <v>16.096399999999999</v>
      </c>
      <c r="AN1606" s="2994">
        <v>16.973600000000001</v>
      </c>
      <c r="AO1606" s="2994">
        <v>17.019600000000001</v>
      </c>
      <c r="AP1606" s="2994">
        <v>15.982799999999999</v>
      </c>
      <c r="AQ1606" s="2994">
        <v>16.110900000000001</v>
      </c>
      <c r="AR1606" s="2994">
        <v>14.491300000000001</v>
      </c>
      <c r="AS1606" s="2994">
        <v>14.3659</v>
      </c>
      <c r="AT1606" s="2994">
        <v>16.821999999999999</v>
      </c>
      <c r="AU1606" s="2994">
        <v>17.9451</v>
      </c>
      <c r="AV1606" s="2994">
        <v>14.473800000000001</v>
      </c>
      <c r="AW1606" s="2994">
        <v>14.0448</v>
      </c>
      <c r="AX1606" s="2994">
        <v>13.4863</v>
      </c>
      <c r="AY1606" s="2994">
        <v>17.141400000000001</v>
      </c>
      <c r="AZ1606" s="2994">
        <v>17.994299999999999</v>
      </c>
      <c r="BA1606" s="2994">
        <v>17.6936</v>
      </c>
      <c r="BB1606" s="2994">
        <v>17.967099999999999</v>
      </c>
      <c r="BC1606" s="2994">
        <v>16.444900000000001</v>
      </c>
      <c r="BD1606" s="3471">
        <v>15.9024</v>
      </c>
      <c r="BE1606" s="3471">
        <v>15.8232</v>
      </c>
      <c r="BF1606" s="3471">
        <v>0</v>
      </c>
    </row>
    <row r="1607" spans="1:58">
      <c r="A1607" s="1817" t="str">
        <f t="shared" si="51"/>
        <v>OceaniaPyrethrum, dried</v>
      </c>
      <c r="B1607" s="1818" t="s">
        <v>303</v>
      </c>
      <c r="C1607" s="1818" t="s">
        <v>7369</v>
      </c>
      <c r="D1607" s="3463" t="str">
        <f>VLOOKUP(B1607,List_Yield!$G$4:$J$14,4,FALSE)</f>
        <v>Oceania</v>
      </c>
      <c r="E1607" s="3463" t="str">
        <f t="shared" si="50"/>
        <v>OceaniaPyrethrum, dried</v>
      </c>
      <c r="F1607" s="2994">
        <v>0.33329999999999999</v>
      </c>
      <c r="G1607" s="2994">
        <v>0.37040000000000001</v>
      </c>
      <c r="H1607" s="2994">
        <v>0.375</v>
      </c>
      <c r="I1607" s="2994">
        <v>0.4</v>
      </c>
      <c r="J1607" s="2994">
        <v>0.41670000000000001</v>
      </c>
      <c r="K1607" s="2994">
        <v>0.48</v>
      </c>
      <c r="L1607" s="2994">
        <v>0.49170000000000003</v>
      </c>
      <c r="M1607" s="2994">
        <v>0.49790000000000001</v>
      </c>
      <c r="N1607" s="2994">
        <v>0.3342</v>
      </c>
      <c r="O1607" s="2994">
        <v>0.46589999999999998</v>
      </c>
      <c r="P1607" s="2994">
        <v>0.45450000000000002</v>
      </c>
      <c r="Q1607" s="2994">
        <v>0.50460000000000005</v>
      </c>
      <c r="R1607" s="2994">
        <v>0.3427</v>
      </c>
      <c r="S1607" s="2994">
        <v>0.46529999999999999</v>
      </c>
      <c r="T1607" s="2994">
        <v>0.44800000000000001</v>
      </c>
      <c r="U1607" s="2994">
        <v>0.44669999999999999</v>
      </c>
      <c r="V1607" s="2994">
        <v>0.44890000000000002</v>
      </c>
      <c r="W1607" s="2994">
        <v>0.38</v>
      </c>
      <c r="X1607" s="2994">
        <v>0.38</v>
      </c>
      <c r="Y1607" s="2994">
        <v>0.37819999999999998</v>
      </c>
      <c r="Z1607" s="2994">
        <v>0.45879999999999999</v>
      </c>
      <c r="AA1607" s="2994">
        <v>0.45879999999999999</v>
      </c>
      <c r="AB1607" s="2994">
        <v>0.45879999999999999</v>
      </c>
      <c r="AC1607" s="2994">
        <v>0.45879999999999999</v>
      </c>
      <c r="AD1607" s="2994">
        <v>0.45979999999999999</v>
      </c>
      <c r="AE1607" s="2994">
        <v>0.4556</v>
      </c>
      <c r="AF1607" s="2994">
        <v>0.4556</v>
      </c>
      <c r="AG1607" s="2994">
        <v>0.4632</v>
      </c>
      <c r="AH1607" s="2994">
        <v>0.4632</v>
      </c>
      <c r="AI1607" s="2994">
        <v>0.4592</v>
      </c>
      <c r="AJ1607" s="2994">
        <v>0.5111</v>
      </c>
      <c r="AK1607" s="2994">
        <v>0.51090000000000002</v>
      </c>
      <c r="AL1607" s="2994">
        <v>0.51349999999999996</v>
      </c>
      <c r="AM1607" s="2994">
        <v>0.5</v>
      </c>
      <c r="AN1607" s="2994">
        <v>0.5</v>
      </c>
      <c r="AO1607" s="2994">
        <v>0.4783</v>
      </c>
      <c r="AP1607" s="2994">
        <v>0.5</v>
      </c>
      <c r="AQ1607" s="2994">
        <v>0.53849999999999998</v>
      </c>
      <c r="AR1607" s="2994">
        <v>0.57140000000000002</v>
      </c>
      <c r="AS1607" s="2994">
        <v>0.56669999999999998</v>
      </c>
      <c r="AT1607" s="2994">
        <v>0.5625</v>
      </c>
      <c r="AU1607" s="2994">
        <v>0.5625</v>
      </c>
      <c r="AV1607" s="2994">
        <v>0.58819999999999995</v>
      </c>
      <c r="AW1607" s="2994">
        <v>0.58819999999999995</v>
      </c>
      <c r="AX1607" s="2994">
        <v>0.61109999999999998</v>
      </c>
      <c r="AY1607" s="2994">
        <v>0.61109999999999998</v>
      </c>
      <c r="AZ1607" s="2994">
        <v>0.61109999999999998</v>
      </c>
      <c r="BA1607" s="2994">
        <v>0.60529999999999995</v>
      </c>
      <c r="BB1607" s="2994">
        <v>0.60529999999999995</v>
      </c>
      <c r="BC1607" s="2994">
        <v>0.60529999999999995</v>
      </c>
      <c r="BD1607" s="3471">
        <v>0.60529999999999995</v>
      </c>
      <c r="BE1607" s="3471">
        <v>0.60529999999999995</v>
      </c>
      <c r="BF1607" s="3471">
        <v>0</v>
      </c>
    </row>
    <row r="1608" spans="1:58">
      <c r="A1608" s="1817" t="str">
        <f t="shared" si="51"/>
        <v>OceaniaQuinces</v>
      </c>
      <c r="B1608" s="1818" t="s">
        <v>303</v>
      </c>
      <c r="C1608" s="1818" t="s">
        <v>7370</v>
      </c>
      <c r="D1608" s="3463" t="str">
        <f>VLOOKUP(B1608,List_Yield!$G$4:$J$14,4,FALSE)</f>
        <v>Oceania</v>
      </c>
      <c r="E1608" s="3463" t="str">
        <f t="shared" si="50"/>
        <v>OceaniaQuinces</v>
      </c>
      <c r="F1608" s="2994">
        <v>82.764700000000005</v>
      </c>
      <c r="G1608" s="2994">
        <v>104.75</v>
      </c>
      <c r="H1608" s="2994">
        <v>139.4444</v>
      </c>
      <c r="I1608" s="2994">
        <v>184.875</v>
      </c>
      <c r="J1608" s="2994">
        <v>147.5</v>
      </c>
      <c r="K1608" s="2994">
        <v>152.75</v>
      </c>
      <c r="L1608" s="2994">
        <v>144.375</v>
      </c>
      <c r="M1608" s="2994">
        <v>145</v>
      </c>
      <c r="N1608" s="2994">
        <v>203.5</v>
      </c>
      <c r="O1608" s="2994">
        <v>261.75</v>
      </c>
      <c r="P1608" s="2994">
        <v>156.80000000000001</v>
      </c>
      <c r="Q1608" s="2994">
        <v>97.666700000000006</v>
      </c>
      <c r="R1608" s="2994">
        <v>105.4</v>
      </c>
      <c r="S1608" s="2994">
        <v>174.33330000000001</v>
      </c>
      <c r="T1608" s="2994">
        <v>78.400000000000006</v>
      </c>
      <c r="U1608" s="2994">
        <v>151.33330000000001</v>
      </c>
      <c r="V1608" s="2994">
        <v>188.5</v>
      </c>
      <c r="W1608" s="2994">
        <v>115</v>
      </c>
      <c r="X1608" s="2994">
        <v>100.25</v>
      </c>
      <c r="Y1608" s="2994">
        <v>52.5</v>
      </c>
      <c r="Z1608" s="2994">
        <v>54.2</v>
      </c>
      <c r="AA1608" s="2994">
        <v>52.2</v>
      </c>
      <c r="AB1608" s="2994">
        <v>33.75</v>
      </c>
      <c r="AC1608" s="2994">
        <v>24.625</v>
      </c>
      <c r="AD1608" s="2994">
        <v>13.318199999999999</v>
      </c>
      <c r="AE1608" s="2994">
        <v>13.8462</v>
      </c>
      <c r="AF1608" s="2994">
        <v>12.984</v>
      </c>
      <c r="AG1608" s="2994">
        <v>13.3279</v>
      </c>
      <c r="AH1608" s="2994">
        <v>15.486499999999999</v>
      </c>
      <c r="AI1608" s="2994">
        <v>14.517899999999999</v>
      </c>
      <c r="AJ1608" s="2994">
        <v>13.1111</v>
      </c>
      <c r="AK1608" s="2994">
        <v>14.379300000000001</v>
      </c>
      <c r="AL1608" s="2994">
        <v>14.4627</v>
      </c>
      <c r="AM1608" s="2994">
        <v>13.6364</v>
      </c>
      <c r="AN1608" s="2994">
        <v>14.4107</v>
      </c>
      <c r="AO1608" s="2994">
        <v>13.333299999999999</v>
      </c>
      <c r="AP1608" s="2994">
        <v>13.966100000000001</v>
      </c>
      <c r="AQ1608" s="2994">
        <v>13.0769</v>
      </c>
      <c r="AR1608" s="2994">
        <v>12.805999999999999</v>
      </c>
      <c r="AS1608" s="2994">
        <v>12.857100000000001</v>
      </c>
      <c r="AT1608" s="2994">
        <v>14.9254</v>
      </c>
      <c r="AU1608" s="2994">
        <v>14.8378</v>
      </c>
      <c r="AV1608" s="2994">
        <v>14.0282</v>
      </c>
      <c r="AW1608" s="2994">
        <v>16.263200000000001</v>
      </c>
      <c r="AX1608" s="2994">
        <v>15.074999999999999</v>
      </c>
      <c r="AY1608" s="2994">
        <v>12.0494</v>
      </c>
      <c r="AZ1608" s="2994">
        <v>8.9175000000000004</v>
      </c>
      <c r="BA1608" s="2994">
        <v>9.8080999999999996</v>
      </c>
      <c r="BB1608" s="2994">
        <v>11.7723</v>
      </c>
      <c r="BC1608" s="2994">
        <v>11.8969</v>
      </c>
      <c r="BD1608" s="3471">
        <v>11.2424</v>
      </c>
      <c r="BE1608" s="3471">
        <v>12</v>
      </c>
      <c r="BF1608" s="3471">
        <v>0</v>
      </c>
    </row>
    <row r="1609" spans="1:58">
      <c r="A1609" s="1817" t="str">
        <f t="shared" si="51"/>
        <v>OceaniaQuinoa</v>
      </c>
      <c r="B1609" s="1818" t="s">
        <v>303</v>
      </c>
      <c r="C1609" s="1818" t="s">
        <v>1385</v>
      </c>
      <c r="D1609" s="3463" t="str">
        <f>VLOOKUP(B1609,List_Yield!$G$4:$J$14,4,FALSE)</f>
        <v>Oceania</v>
      </c>
      <c r="E1609" s="3463" t="str">
        <f t="shared" si="50"/>
        <v>OceaniaQuinoa</v>
      </c>
      <c r="F1609" s="2994">
        <v>0</v>
      </c>
      <c r="G1609" s="2994">
        <v>0</v>
      </c>
      <c r="H1609" s="2994">
        <v>0</v>
      </c>
      <c r="I1609" s="2994">
        <v>0</v>
      </c>
      <c r="J1609" s="2994">
        <v>0</v>
      </c>
      <c r="K1609" s="2994">
        <v>0</v>
      </c>
      <c r="L1609" s="2994">
        <v>0</v>
      </c>
      <c r="M1609" s="2994">
        <v>0</v>
      </c>
      <c r="N1609" s="2994">
        <v>0</v>
      </c>
      <c r="O1609" s="2994">
        <v>0</v>
      </c>
      <c r="P1609" s="2994">
        <v>0</v>
      </c>
      <c r="Q1609" s="2994">
        <v>0</v>
      </c>
      <c r="R1609" s="2994">
        <v>0</v>
      </c>
      <c r="S1609" s="2994">
        <v>0</v>
      </c>
      <c r="T1609" s="2994">
        <v>0</v>
      </c>
      <c r="U1609" s="2994">
        <v>0</v>
      </c>
      <c r="V1609" s="2994">
        <v>0</v>
      </c>
      <c r="W1609" s="2994">
        <v>0</v>
      </c>
      <c r="X1609" s="2994">
        <v>0</v>
      </c>
      <c r="Y1609" s="2994">
        <v>0</v>
      </c>
      <c r="Z1609" s="2994">
        <v>0</v>
      </c>
      <c r="AA1609" s="2994">
        <v>0</v>
      </c>
      <c r="AB1609" s="2994">
        <v>0</v>
      </c>
      <c r="AC1609" s="2994">
        <v>0</v>
      </c>
      <c r="AD1609" s="2994">
        <v>0</v>
      </c>
      <c r="AE1609" s="2994">
        <v>0</v>
      </c>
      <c r="AF1609" s="2994">
        <v>0</v>
      </c>
      <c r="AG1609" s="2994">
        <v>0</v>
      </c>
      <c r="AH1609" s="2994">
        <v>0</v>
      </c>
      <c r="AI1609" s="2994">
        <v>0</v>
      </c>
      <c r="AJ1609" s="2994">
        <v>0</v>
      </c>
      <c r="AK1609" s="2994">
        <v>0</v>
      </c>
      <c r="AL1609" s="2994">
        <v>0</v>
      </c>
      <c r="AM1609" s="2994">
        <v>0</v>
      </c>
      <c r="AN1609" s="2994">
        <v>0</v>
      </c>
      <c r="AO1609" s="2994">
        <v>0</v>
      </c>
      <c r="AP1609" s="2994">
        <v>0</v>
      </c>
      <c r="AQ1609" s="2994">
        <v>0</v>
      </c>
      <c r="AR1609" s="2994">
        <v>0</v>
      </c>
      <c r="AS1609" s="2994">
        <v>0</v>
      </c>
      <c r="AT1609" s="2994">
        <v>0</v>
      </c>
      <c r="AU1609" s="2994">
        <v>0</v>
      </c>
      <c r="AV1609" s="2994">
        <v>0</v>
      </c>
      <c r="AW1609" s="2994">
        <v>0</v>
      </c>
      <c r="AX1609" s="2994">
        <v>0</v>
      </c>
      <c r="AY1609" s="2994">
        <v>0</v>
      </c>
      <c r="AZ1609" s="2994">
        <v>0</v>
      </c>
      <c r="BA1609" s="2994">
        <v>0</v>
      </c>
      <c r="BB1609" s="2994">
        <v>0</v>
      </c>
      <c r="BC1609" s="2994">
        <v>0</v>
      </c>
      <c r="BD1609" s="3471">
        <v>0</v>
      </c>
      <c r="BE1609" s="3471">
        <v>0</v>
      </c>
      <c r="BF1609" s="3471">
        <v>0</v>
      </c>
    </row>
    <row r="1610" spans="1:58">
      <c r="A1610" s="1817" t="str">
        <f t="shared" si="51"/>
        <v>OceaniaRamie</v>
      </c>
      <c r="B1610" s="1818" t="s">
        <v>303</v>
      </c>
      <c r="C1610" s="1818" t="s">
        <v>7371</v>
      </c>
      <c r="D1610" s="3463" t="str">
        <f>VLOOKUP(B1610,List_Yield!$G$4:$J$14,4,FALSE)</f>
        <v>Oceania</v>
      </c>
      <c r="E1610" s="3463" t="str">
        <f t="shared" si="50"/>
        <v>OceaniaRamie</v>
      </c>
      <c r="F1610" s="2994">
        <v>0</v>
      </c>
      <c r="G1610" s="2994">
        <v>0</v>
      </c>
      <c r="H1610" s="2994">
        <v>0</v>
      </c>
      <c r="I1610" s="2994">
        <v>0</v>
      </c>
      <c r="J1610" s="2994">
        <v>0</v>
      </c>
      <c r="K1610" s="2994">
        <v>0</v>
      </c>
      <c r="L1610" s="2994">
        <v>0</v>
      </c>
      <c r="M1610" s="2994">
        <v>0</v>
      </c>
      <c r="N1610" s="2994">
        <v>0</v>
      </c>
      <c r="O1610" s="2994">
        <v>0</v>
      </c>
      <c r="P1610" s="2994">
        <v>0</v>
      </c>
      <c r="Q1610" s="2994">
        <v>0</v>
      </c>
      <c r="R1610" s="2994">
        <v>0</v>
      </c>
      <c r="S1610" s="2994">
        <v>0</v>
      </c>
      <c r="T1610" s="2994">
        <v>0</v>
      </c>
      <c r="U1610" s="2994">
        <v>0</v>
      </c>
      <c r="V1610" s="2994">
        <v>0</v>
      </c>
      <c r="W1610" s="2994">
        <v>0</v>
      </c>
      <c r="X1610" s="2994">
        <v>0</v>
      </c>
      <c r="Y1610" s="2994">
        <v>0</v>
      </c>
      <c r="Z1610" s="2994">
        <v>0</v>
      </c>
      <c r="AA1610" s="2994">
        <v>0</v>
      </c>
      <c r="AB1610" s="2994">
        <v>0</v>
      </c>
      <c r="AC1610" s="2994">
        <v>0</v>
      </c>
      <c r="AD1610" s="2994">
        <v>0</v>
      </c>
      <c r="AE1610" s="2994">
        <v>0</v>
      </c>
      <c r="AF1610" s="2994">
        <v>0</v>
      </c>
      <c r="AG1610" s="2994">
        <v>0</v>
      </c>
      <c r="AH1610" s="2994">
        <v>0</v>
      </c>
      <c r="AI1610" s="2994">
        <v>0</v>
      </c>
      <c r="AJ1610" s="2994">
        <v>0</v>
      </c>
      <c r="AK1610" s="2994">
        <v>0</v>
      </c>
      <c r="AL1610" s="2994">
        <v>0</v>
      </c>
      <c r="AM1610" s="2994">
        <v>0</v>
      </c>
      <c r="AN1610" s="2994">
        <v>0</v>
      </c>
      <c r="AO1610" s="2994">
        <v>0</v>
      </c>
      <c r="AP1610" s="2994">
        <v>0</v>
      </c>
      <c r="AQ1610" s="2994">
        <v>0</v>
      </c>
      <c r="AR1610" s="2994">
        <v>0</v>
      </c>
      <c r="AS1610" s="2994">
        <v>0</v>
      </c>
      <c r="AT1610" s="2994">
        <v>0</v>
      </c>
      <c r="AU1610" s="2994">
        <v>0</v>
      </c>
      <c r="AV1610" s="2994">
        <v>0</v>
      </c>
      <c r="AW1610" s="2994">
        <v>0</v>
      </c>
      <c r="AX1610" s="2994">
        <v>0</v>
      </c>
      <c r="AY1610" s="2994">
        <v>0</v>
      </c>
      <c r="AZ1610" s="2994">
        <v>0</v>
      </c>
      <c r="BA1610" s="2994">
        <v>0</v>
      </c>
      <c r="BB1610" s="2994">
        <v>0</v>
      </c>
      <c r="BC1610" s="2994">
        <v>0</v>
      </c>
      <c r="BD1610" s="3471">
        <v>0</v>
      </c>
      <c r="BE1610" s="3471">
        <v>0</v>
      </c>
      <c r="BF1610" s="3471">
        <v>0</v>
      </c>
    </row>
    <row r="1611" spans="1:58">
      <c r="A1611" s="1817" t="str">
        <f t="shared" si="51"/>
        <v>OceaniaRapeseed</v>
      </c>
      <c r="B1611" s="1818" t="s">
        <v>303</v>
      </c>
      <c r="C1611" s="1818" t="s">
        <v>7372</v>
      </c>
      <c r="D1611" s="3463" t="str">
        <f>VLOOKUP(B1611,List_Yield!$G$4:$J$14,4,FALSE)</f>
        <v>Oceania</v>
      </c>
      <c r="E1611" s="3463" t="str">
        <f t="shared" si="50"/>
        <v>OceaniaRapeseed</v>
      </c>
      <c r="F1611" s="2994">
        <v>0.75</v>
      </c>
      <c r="G1611" s="2994">
        <v>0.75</v>
      </c>
      <c r="H1611" s="2994">
        <v>0.75</v>
      </c>
      <c r="I1611" s="2994">
        <v>0.75</v>
      </c>
      <c r="J1611" s="2994">
        <v>0.8</v>
      </c>
      <c r="K1611" s="2994">
        <v>0.75</v>
      </c>
      <c r="L1611" s="2994">
        <v>1.2121</v>
      </c>
      <c r="M1611" s="2994">
        <v>0.52910000000000001</v>
      </c>
      <c r="N1611" s="2994">
        <v>0.94450000000000001</v>
      </c>
      <c r="O1611" s="2994">
        <v>0.78779999999999994</v>
      </c>
      <c r="P1611" s="2994">
        <v>0.64510000000000001</v>
      </c>
      <c r="Q1611" s="2994">
        <v>0.32850000000000001</v>
      </c>
      <c r="R1611" s="2994">
        <v>0.63859999999999995</v>
      </c>
      <c r="S1611" s="2994">
        <v>0.72560000000000002</v>
      </c>
      <c r="T1611" s="2994">
        <v>0.76459999999999995</v>
      </c>
      <c r="U1611" s="2994">
        <v>1.1165</v>
      </c>
      <c r="V1611" s="2994">
        <v>0.84609999999999996</v>
      </c>
      <c r="W1611" s="2994">
        <v>1.0674999999999999</v>
      </c>
      <c r="X1611" s="2994">
        <v>0.99690000000000001</v>
      </c>
      <c r="Y1611" s="2994">
        <v>0.74819999999999998</v>
      </c>
      <c r="Z1611" s="2994">
        <v>0.94179999999999997</v>
      </c>
      <c r="AA1611" s="2994">
        <v>0.57650000000000001</v>
      </c>
      <c r="AB1611" s="2994">
        <v>0.98370000000000002</v>
      </c>
      <c r="AC1611" s="2994">
        <v>1.0866</v>
      </c>
      <c r="AD1611" s="2994">
        <v>1.1791</v>
      </c>
      <c r="AE1611" s="2994">
        <v>1.2355</v>
      </c>
      <c r="AF1611" s="2994">
        <v>1.1866000000000001</v>
      </c>
      <c r="AG1611" s="2994">
        <v>1.4033</v>
      </c>
      <c r="AH1611" s="2994">
        <v>1.5810999999999999</v>
      </c>
      <c r="AI1611" s="2994">
        <v>1.3614999999999999</v>
      </c>
      <c r="AJ1611" s="2994">
        <v>1.1384000000000001</v>
      </c>
      <c r="AK1611" s="2994">
        <v>1.6658999999999999</v>
      </c>
      <c r="AL1611" s="2994">
        <v>1.7253000000000001</v>
      </c>
      <c r="AM1611" s="2994">
        <v>0.74860000000000004</v>
      </c>
      <c r="AN1611" s="2994">
        <v>1.4822</v>
      </c>
      <c r="AO1611" s="2994">
        <v>1.5305</v>
      </c>
      <c r="AP1611" s="2994">
        <v>1.2275</v>
      </c>
      <c r="AQ1611" s="2994">
        <v>1.3556999999999999</v>
      </c>
      <c r="AR1611" s="2994">
        <v>1.2663</v>
      </c>
      <c r="AS1611" s="2994">
        <v>1.2177</v>
      </c>
      <c r="AT1611" s="2994">
        <v>1.3192999999999999</v>
      </c>
      <c r="AU1611" s="2994">
        <v>0.67310000000000003</v>
      </c>
      <c r="AV1611" s="2994">
        <v>1.4073</v>
      </c>
      <c r="AW1611" s="2994">
        <v>1.1213</v>
      </c>
      <c r="AX1611" s="2994">
        <v>1.4795</v>
      </c>
      <c r="AY1611" s="2994">
        <v>0.54690000000000005</v>
      </c>
      <c r="AZ1611" s="2994">
        <v>0.95079999999999998</v>
      </c>
      <c r="BA1611" s="2994">
        <v>1.0891999999999999</v>
      </c>
      <c r="BB1611" s="2994">
        <v>1.1214</v>
      </c>
      <c r="BC1611" s="2994">
        <v>1.1252</v>
      </c>
      <c r="BD1611" s="3471">
        <v>1.1353</v>
      </c>
      <c r="BE1611" s="3471">
        <v>1.4525999999999999</v>
      </c>
      <c r="BF1611" s="3471">
        <v>1.2658</v>
      </c>
    </row>
    <row r="1612" spans="1:58">
      <c r="A1612" s="1817" t="str">
        <f t="shared" si="51"/>
        <v>OceaniaRaspberries</v>
      </c>
      <c r="B1612" s="1818" t="s">
        <v>303</v>
      </c>
      <c r="C1612" s="1818" t="s">
        <v>7373</v>
      </c>
      <c r="D1612" s="3463" t="str">
        <f>VLOOKUP(B1612,List_Yield!$G$4:$J$14,4,FALSE)</f>
        <v>Oceania</v>
      </c>
      <c r="E1612" s="3463" t="str">
        <f t="shared" si="50"/>
        <v>OceaniaRaspberries</v>
      </c>
      <c r="F1612" s="2994">
        <v>5.5227000000000004</v>
      </c>
      <c r="G1612" s="2994">
        <v>5.7987000000000002</v>
      </c>
      <c r="H1612" s="2994">
        <v>4.7294</v>
      </c>
      <c r="I1612" s="2994">
        <v>4.9813999999999998</v>
      </c>
      <c r="J1612" s="2994">
        <v>5.1622000000000003</v>
      </c>
      <c r="K1612" s="2994">
        <v>5.4847999999999999</v>
      </c>
      <c r="L1612" s="2994">
        <v>5.5484</v>
      </c>
      <c r="M1612" s="2994">
        <v>5.5685000000000002</v>
      </c>
      <c r="N1612" s="2994">
        <v>5.3864000000000001</v>
      </c>
      <c r="O1612" s="2994">
        <v>5.2988999999999997</v>
      </c>
      <c r="P1612" s="2994">
        <v>5.4877000000000002</v>
      </c>
      <c r="Q1612" s="2994">
        <v>5.3385999999999996</v>
      </c>
      <c r="R1612" s="2994">
        <v>7.1264000000000003</v>
      </c>
      <c r="S1612" s="2994">
        <v>6.1806999999999999</v>
      </c>
      <c r="T1612" s="2994">
        <v>7.0636999999999999</v>
      </c>
      <c r="U1612" s="2994">
        <v>5.8670999999999998</v>
      </c>
      <c r="V1612" s="2994">
        <v>6.3343999999999996</v>
      </c>
      <c r="W1612" s="2994">
        <v>6.25</v>
      </c>
      <c r="X1612" s="2994">
        <v>4.7641999999999998</v>
      </c>
      <c r="Y1612" s="2994">
        <v>4.2973999999999997</v>
      </c>
      <c r="Z1612" s="2994">
        <v>3.8348</v>
      </c>
      <c r="AA1612" s="2994">
        <v>4.6452</v>
      </c>
      <c r="AB1612" s="2994">
        <v>4.3818000000000001</v>
      </c>
      <c r="AC1612" s="2994">
        <v>4.3551000000000002</v>
      </c>
      <c r="AD1612" s="2994">
        <v>4.5411000000000001</v>
      </c>
      <c r="AE1612" s="2994">
        <v>4.3395999999999999</v>
      </c>
      <c r="AF1612" s="2994">
        <v>4.4782999999999999</v>
      </c>
      <c r="AG1612" s="2994">
        <v>4.3147000000000002</v>
      </c>
      <c r="AH1612" s="2994">
        <v>3.9901</v>
      </c>
      <c r="AI1612" s="2994">
        <v>3.9378000000000002</v>
      </c>
      <c r="AJ1612" s="2994">
        <v>4.1292</v>
      </c>
      <c r="AK1612" s="2994">
        <v>4.5336999999999996</v>
      </c>
      <c r="AL1612" s="2994">
        <v>3.9409999999999998</v>
      </c>
      <c r="AM1612" s="2994">
        <v>3.25</v>
      </c>
      <c r="AN1612" s="2994">
        <v>2.9946000000000002</v>
      </c>
      <c r="AO1612" s="2994">
        <v>2.9377</v>
      </c>
      <c r="AP1612" s="2994">
        <v>2.6012</v>
      </c>
      <c r="AQ1612" s="2994">
        <v>3.8022</v>
      </c>
      <c r="AR1612" s="2994">
        <v>3.75</v>
      </c>
      <c r="AS1612" s="2994">
        <v>3.367</v>
      </c>
      <c r="AT1612" s="2994">
        <v>2.4355000000000002</v>
      </c>
      <c r="AU1612" s="2994">
        <v>1.7997000000000001</v>
      </c>
      <c r="AV1612" s="2994">
        <v>1.7634000000000001</v>
      </c>
      <c r="AW1612" s="2994">
        <v>1.8769</v>
      </c>
      <c r="AX1612" s="2994">
        <v>1.8777999999999999</v>
      </c>
      <c r="AY1612" s="2994">
        <v>1.6598999999999999</v>
      </c>
      <c r="AZ1612" s="2994">
        <v>1.3164</v>
      </c>
      <c r="BA1612" s="2994">
        <v>1.982</v>
      </c>
      <c r="BB1612" s="2994">
        <v>2.3193000000000001</v>
      </c>
      <c r="BC1612" s="2994">
        <v>2.3239999999999998</v>
      </c>
      <c r="BD1612" s="3471">
        <v>2.4491000000000001</v>
      </c>
      <c r="BE1612" s="3471">
        <v>2.3325</v>
      </c>
      <c r="BF1612" s="3471">
        <v>0</v>
      </c>
    </row>
    <row r="1613" spans="1:58">
      <c r="A1613" s="1817" t="str">
        <f t="shared" si="51"/>
        <v>OceaniaRice, paddy</v>
      </c>
      <c r="B1613" s="1818" t="s">
        <v>303</v>
      </c>
      <c r="C1613" s="1818" t="s">
        <v>1370</v>
      </c>
      <c r="D1613" s="3463" t="str">
        <f>VLOOKUP(B1613,List_Yield!$G$4:$J$14,4,FALSE)</f>
        <v>Oceania</v>
      </c>
      <c r="E1613" s="3463" t="str">
        <f t="shared" ref="E1613:E1651" si="52">CONCATENATE(D1613,C1613)</f>
        <v>OceaniaRice, paddy</v>
      </c>
      <c r="F1613" s="2994">
        <v>4.2529000000000003</v>
      </c>
      <c r="G1613" s="2994">
        <v>4.8475999999999999</v>
      </c>
      <c r="H1613" s="2994">
        <v>4.6795999999999998</v>
      </c>
      <c r="I1613" s="2994">
        <v>4.7638999999999996</v>
      </c>
      <c r="J1613" s="2994">
        <v>5.1725000000000003</v>
      </c>
      <c r="K1613" s="2994">
        <v>5.7904</v>
      </c>
      <c r="L1613" s="2994">
        <v>6.0465</v>
      </c>
      <c r="M1613" s="2994">
        <v>6.0622999999999996</v>
      </c>
      <c r="N1613" s="2994">
        <v>6.3764000000000003</v>
      </c>
      <c r="O1613" s="2994">
        <v>5.2436999999999996</v>
      </c>
      <c r="P1613" s="2994">
        <v>6.2689000000000004</v>
      </c>
      <c r="Q1613" s="2994">
        <v>5.3254000000000001</v>
      </c>
      <c r="R1613" s="2994">
        <v>6.0650000000000004</v>
      </c>
      <c r="S1613" s="2994">
        <v>5.5473999999999997</v>
      </c>
      <c r="T1613" s="2994">
        <v>4.7451999999999996</v>
      </c>
      <c r="U1613" s="2994">
        <v>5.1581999999999999</v>
      </c>
      <c r="V1613" s="2994">
        <v>5.3517000000000001</v>
      </c>
      <c r="W1613" s="2994">
        <v>4.9786000000000001</v>
      </c>
      <c r="X1613" s="2994">
        <v>5.8726000000000003</v>
      </c>
      <c r="Y1613" s="2994">
        <v>4.9874999999999998</v>
      </c>
      <c r="Z1613" s="2994">
        <v>6.6818</v>
      </c>
      <c r="AA1613" s="2994">
        <v>6.3456000000000001</v>
      </c>
      <c r="AB1613" s="2994">
        <v>6.15</v>
      </c>
      <c r="AC1613" s="2994">
        <v>5.0202</v>
      </c>
      <c r="AD1613" s="2994">
        <v>6.6044</v>
      </c>
      <c r="AE1613" s="2994">
        <v>5.9728000000000003</v>
      </c>
      <c r="AF1613" s="2994">
        <v>5.2808000000000002</v>
      </c>
      <c r="AG1613" s="2994">
        <v>6.6590999999999996</v>
      </c>
      <c r="AH1613" s="2994">
        <v>7.5761000000000003</v>
      </c>
      <c r="AI1613" s="2994">
        <v>8.0828000000000007</v>
      </c>
      <c r="AJ1613" s="2994">
        <v>8.0256000000000007</v>
      </c>
      <c r="AK1613" s="2994">
        <v>8.2972000000000001</v>
      </c>
      <c r="AL1613" s="2994">
        <v>7.2451999999999996</v>
      </c>
      <c r="AM1613" s="2994">
        <v>7.8003999999999998</v>
      </c>
      <c r="AN1613" s="2994">
        <v>8.4541000000000004</v>
      </c>
      <c r="AO1613" s="2994">
        <v>6.1035000000000004</v>
      </c>
      <c r="AP1613" s="2994">
        <v>8.0176999999999996</v>
      </c>
      <c r="AQ1613" s="2994">
        <v>8.9246999999999996</v>
      </c>
      <c r="AR1613" s="2994">
        <v>8.8695000000000004</v>
      </c>
      <c r="AS1613" s="2994">
        <v>7.9993999999999996</v>
      </c>
      <c r="AT1613" s="2994">
        <v>9.0269999999999992</v>
      </c>
      <c r="AU1613" s="2994">
        <v>8.0408000000000008</v>
      </c>
      <c r="AV1613" s="2994">
        <v>8.5454000000000008</v>
      </c>
      <c r="AW1613" s="2994">
        <v>7.7378999999999998</v>
      </c>
      <c r="AX1613" s="2994">
        <v>6.0602999999999998</v>
      </c>
      <c r="AY1613" s="2994">
        <v>9.6301000000000005</v>
      </c>
      <c r="AZ1613" s="2994">
        <v>6.7363</v>
      </c>
      <c r="BA1613" s="2994">
        <v>3.7172000000000001</v>
      </c>
      <c r="BB1613" s="2994">
        <v>5.8985000000000003</v>
      </c>
      <c r="BC1613" s="2994">
        <v>8.9006000000000007</v>
      </c>
      <c r="BD1613" s="3471">
        <v>9.1797000000000004</v>
      </c>
      <c r="BE1613" s="3471">
        <v>8.7125000000000004</v>
      </c>
      <c r="BF1613" s="3471">
        <v>9.9953000000000003</v>
      </c>
    </row>
    <row r="1614" spans="1:58">
      <c r="A1614" s="1817" t="str">
        <f t="shared" si="51"/>
        <v>OceaniaRoots and tubers, nes</v>
      </c>
      <c r="B1614" s="1818" t="s">
        <v>303</v>
      </c>
      <c r="C1614" s="1818" t="s">
        <v>7374</v>
      </c>
      <c r="D1614" s="3463" t="str">
        <f>VLOOKUP(B1614,List_Yield!$G$4:$J$14,4,FALSE)</f>
        <v>Oceania</v>
      </c>
      <c r="E1614" s="3463" t="str">
        <f t="shared" si="52"/>
        <v>OceaniaRoots and tubers, nes</v>
      </c>
      <c r="F1614" s="2994">
        <v>14.384</v>
      </c>
      <c r="G1614" s="2994">
        <v>14.4726</v>
      </c>
      <c r="H1614" s="2994">
        <v>14.448399999999999</v>
      </c>
      <c r="I1614" s="2994">
        <v>14.995200000000001</v>
      </c>
      <c r="J1614" s="2994">
        <v>14.440899999999999</v>
      </c>
      <c r="K1614" s="2994">
        <v>14.6625</v>
      </c>
      <c r="L1614" s="2994">
        <v>14.3879</v>
      </c>
      <c r="M1614" s="2994">
        <v>14.254799999999999</v>
      </c>
      <c r="N1614" s="2994">
        <v>14.0276</v>
      </c>
      <c r="O1614" s="2994">
        <v>14.011200000000001</v>
      </c>
      <c r="P1614" s="2994">
        <v>13.894600000000001</v>
      </c>
      <c r="Q1614" s="2994">
        <v>13.938499999999999</v>
      </c>
      <c r="R1614" s="2994">
        <v>14.119</v>
      </c>
      <c r="S1614" s="2994">
        <v>14.021599999999999</v>
      </c>
      <c r="T1614" s="2994">
        <v>14.0694</v>
      </c>
      <c r="U1614" s="2994">
        <v>13.9825</v>
      </c>
      <c r="V1614" s="2994">
        <v>13.976000000000001</v>
      </c>
      <c r="W1614" s="2994">
        <v>13.918900000000001</v>
      </c>
      <c r="X1614" s="2994">
        <v>13.9245</v>
      </c>
      <c r="Y1614" s="2994">
        <v>13.1907</v>
      </c>
      <c r="Z1614" s="2994">
        <v>13.1509</v>
      </c>
      <c r="AA1614" s="2994">
        <v>13.2159</v>
      </c>
      <c r="AB1614" s="2994">
        <v>13.136200000000001</v>
      </c>
      <c r="AC1614" s="2994">
        <v>13.087899999999999</v>
      </c>
      <c r="AD1614" s="2994">
        <v>12.5481</v>
      </c>
      <c r="AE1614" s="2994">
        <v>11.764200000000001</v>
      </c>
      <c r="AF1614" s="2994">
        <v>11.309100000000001</v>
      </c>
      <c r="AG1614" s="2994">
        <v>11.1265</v>
      </c>
      <c r="AH1614" s="2994">
        <v>11.1088</v>
      </c>
      <c r="AI1614" s="2994">
        <v>11.275700000000001</v>
      </c>
      <c r="AJ1614" s="2994">
        <v>12.4026</v>
      </c>
      <c r="AK1614" s="2994">
        <v>12.3498</v>
      </c>
      <c r="AL1614" s="2994">
        <v>11.0444</v>
      </c>
      <c r="AM1614" s="2994">
        <v>10.361000000000001</v>
      </c>
      <c r="AN1614" s="2994">
        <v>11.663</v>
      </c>
      <c r="AO1614" s="2994">
        <v>12.1828</v>
      </c>
      <c r="AP1614" s="2994">
        <v>12.643800000000001</v>
      </c>
      <c r="AQ1614" s="2994">
        <v>13.004200000000001</v>
      </c>
      <c r="AR1614" s="2994">
        <v>12.7186</v>
      </c>
      <c r="AS1614" s="2994">
        <v>12.6637</v>
      </c>
      <c r="AT1614" s="2994">
        <v>12.789</v>
      </c>
      <c r="AU1614" s="2994">
        <v>12.7935</v>
      </c>
      <c r="AV1614" s="2994">
        <v>12.7705</v>
      </c>
      <c r="AW1614" s="2994">
        <v>12.713200000000001</v>
      </c>
      <c r="AX1614" s="2994">
        <v>11.8108</v>
      </c>
      <c r="AY1614" s="2994">
        <v>12.3193</v>
      </c>
      <c r="AZ1614" s="2994">
        <v>12.5253</v>
      </c>
      <c r="BA1614" s="2994">
        <v>12.3736</v>
      </c>
      <c r="BB1614" s="2994">
        <v>12.6251</v>
      </c>
      <c r="BC1614" s="2994">
        <v>12.6419</v>
      </c>
      <c r="BD1614" s="3471">
        <v>12.491099999999999</v>
      </c>
      <c r="BE1614" s="3471">
        <v>12.5373</v>
      </c>
      <c r="BF1614" s="3471">
        <v>12.473100000000001</v>
      </c>
    </row>
    <row r="1615" spans="1:58">
      <c r="A1615" s="1817" t="str">
        <f t="shared" si="51"/>
        <v>OceaniaRubber, natural</v>
      </c>
      <c r="B1615" s="1818" t="s">
        <v>303</v>
      </c>
      <c r="C1615" s="1818" t="s">
        <v>7375</v>
      </c>
      <c r="D1615" s="3463" t="str">
        <f>VLOOKUP(B1615,List_Yield!$G$4:$J$14,4,FALSE)</f>
        <v>Oceania</v>
      </c>
      <c r="E1615" s="3463" t="str">
        <f t="shared" si="52"/>
        <v>OceaniaRubber, natural</v>
      </c>
      <c r="F1615" s="2994">
        <v>0.47870000000000001</v>
      </c>
      <c r="G1615" s="2994">
        <v>0.49740000000000001</v>
      </c>
      <c r="H1615" s="2994">
        <v>0.53139999999999998</v>
      </c>
      <c r="I1615" s="2994">
        <v>0.5131</v>
      </c>
      <c r="J1615" s="2994">
        <v>0.54849999999999999</v>
      </c>
      <c r="K1615" s="2994">
        <v>0.58209999999999995</v>
      </c>
      <c r="L1615" s="2994">
        <v>0.52059999999999995</v>
      </c>
      <c r="M1615" s="2994">
        <v>0.52459999999999996</v>
      </c>
      <c r="N1615" s="2994">
        <v>0.55100000000000005</v>
      </c>
      <c r="O1615" s="2994">
        <v>0.47510000000000002</v>
      </c>
      <c r="P1615" s="2994">
        <v>0.52210000000000001</v>
      </c>
      <c r="Q1615" s="2994">
        <v>0.47499999999999998</v>
      </c>
      <c r="R1615" s="2994">
        <v>0.4708</v>
      </c>
      <c r="S1615" s="2994">
        <v>0.51829999999999998</v>
      </c>
      <c r="T1615" s="2994">
        <v>0.51439999999999997</v>
      </c>
      <c r="U1615" s="2994">
        <v>0.57099999999999995</v>
      </c>
      <c r="V1615" s="2994">
        <v>0.50690000000000002</v>
      </c>
      <c r="W1615" s="2994">
        <v>0.5</v>
      </c>
      <c r="X1615" s="2994">
        <v>0.50119999999999998</v>
      </c>
      <c r="Y1615" s="2994">
        <v>0.50700000000000001</v>
      </c>
      <c r="Z1615" s="2994">
        <v>0.50480000000000003</v>
      </c>
      <c r="AA1615" s="2994">
        <v>0.49440000000000001</v>
      </c>
      <c r="AB1615" s="2994">
        <v>0.50570000000000004</v>
      </c>
      <c r="AC1615" s="2994">
        <v>0.49930000000000002</v>
      </c>
      <c r="AD1615" s="2994">
        <v>0.62739999999999996</v>
      </c>
      <c r="AE1615" s="2994">
        <v>0.51049999999999995</v>
      </c>
      <c r="AF1615" s="2994">
        <v>0.51229999999999998</v>
      </c>
      <c r="AG1615" s="2994">
        <v>0.54679999999999995</v>
      </c>
      <c r="AH1615" s="2994">
        <v>0.51549999999999996</v>
      </c>
      <c r="AI1615" s="2994">
        <v>0.50360000000000005</v>
      </c>
      <c r="AJ1615" s="2994">
        <v>0.504</v>
      </c>
      <c r="AK1615" s="2994">
        <v>0.50219999999999998</v>
      </c>
      <c r="AL1615" s="2994">
        <v>0.505</v>
      </c>
      <c r="AM1615" s="2994">
        <v>0.50229999999999997</v>
      </c>
      <c r="AN1615" s="2994">
        <v>0.50080000000000002</v>
      </c>
      <c r="AO1615" s="2994">
        <v>0.50990000000000002</v>
      </c>
      <c r="AP1615" s="2994">
        <v>0.52900000000000003</v>
      </c>
      <c r="AQ1615" s="2994">
        <v>0.5</v>
      </c>
      <c r="AR1615" s="2994">
        <v>0.5</v>
      </c>
      <c r="AS1615" s="2994">
        <v>0.5</v>
      </c>
      <c r="AT1615" s="2994">
        <v>0.5</v>
      </c>
      <c r="AU1615" s="2994">
        <v>0.5</v>
      </c>
      <c r="AV1615" s="2994">
        <v>0.5</v>
      </c>
      <c r="AW1615" s="2994">
        <v>0.5</v>
      </c>
      <c r="AX1615" s="2994">
        <v>0.5</v>
      </c>
      <c r="AY1615" s="2994">
        <v>0.5</v>
      </c>
      <c r="AZ1615" s="2994">
        <v>0.6</v>
      </c>
      <c r="BA1615" s="2994">
        <v>0.56430000000000002</v>
      </c>
      <c r="BB1615" s="2994">
        <v>0.55559999999999998</v>
      </c>
      <c r="BC1615" s="2994">
        <v>0.63380000000000003</v>
      </c>
      <c r="BD1615" s="3471">
        <v>0.65969999999999995</v>
      </c>
      <c r="BE1615" s="3471">
        <v>0.65969999999999995</v>
      </c>
      <c r="BF1615" s="3471">
        <v>0</v>
      </c>
    </row>
    <row r="1616" spans="1:58">
      <c r="A1616" s="1817" t="str">
        <f t="shared" si="51"/>
        <v>OceaniaRye</v>
      </c>
      <c r="B1616" s="1818" t="s">
        <v>303</v>
      </c>
      <c r="C1616" s="1818" t="s">
        <v>1327</v>
      </c>
      <c r="D1616" s="3463" t="str">
        <f>VLOOKUP(B1616,List_Yield!$G$4:$J$14,4,FALSE)</f>
        <v>Oceania</v>
      </c>
      <c r="E1616" s="3463" t="str">
        <f t="shared" si="52"/>
        <v>OceaniaRye</v>
      </c>
      <c r="F1616" s="2994">
        <v>0.42899999999999999</v>
      </c>
      <c r="G1616" s="2994">
        <v>0.41360000000000002</v>
      </c>
      <c r="H1616" s="2994">
        <v>0.41249999999999998</v>
      </c>
      <c r="I1616" s="2994">
        <v>0.48159999999999997</v>
      </c>
      <c r="J1616" s="2994">
        <v>0.40679999999999999</v>
      </c>
      <c r="K1616" s="2994">
        <v>0.44479999999999997</v>
      </c>
      <c r="L1616" s="2994">
        <v>0.29930000000000001</v>
      </c>
      <c r="M1616" s="2994">
        <v>0.51390000000000002</v>
      </c>
      <c r="N1616" s="2994">
        <v>0.33139999999999997</v>
      </c>
      <c r="O1616" s="2994">
        <v>0.54430000000000001</v>
      </c>
      <c r="P1616" s="2994">
        <v>0.52849999999999997</v>
      </c>
      <c r="Q1616" s="2994">
        <v>0.31919999999999998</v>
      </c>
      <c r="R1616" s="2994">
        <v>0.28510000000000002</v>
      </c>
      <c r="S1616" s="2994">
        <v>0.30420000000000003</v>
      </c>
      <c r="T1616" s="2994">
        <v>0.46660000000000001</v>
      </c>
      <c r="U1616" s="2994">
        <v>0.45440000000000003</v>
      </c>
      <c r="V1616" s="2994">
        <v>0.31869999999999998</v>
      </c>
      <c r="W1616" s="2994">
        <v>0.52229999999999999</v>
      </c>
      <c r="X1616" s="2994">
        <v>0.35239999999999999</v>
      </c>
      <c r="Y1616" s="2994">
        <v>0.43090000000000001</v>
      </c>
      <c r="Z1616" s="2994">
        <v>0.45939999999999998</v>
      </c>
      <c r="AA1616" s="2994">
        <v>0.2281</v>
      </c>
      <c r="AB1616" s="2994">
        <v>0.46489999999999998</v>
      </c>
      <c r="AC1616" s="2994">
        <v>0.44940000000000002</v>
      </c>
      <c r="AD1616" s="2994">
        <v>0.50049999999999994</v>
      </c>
      <c r="AE1616" s="2994">
        <v>0.73450000000000004</v>
      </c>
      <c r="AF1616" s="2994">
        <v>0.61819999999999997</v>
      </c>
      <c r="AG1616" s="2994">
        <v>0.49180000000000001</v>
      </c>
      <c r="AH1616" s="2994">
        <v>0.56459999999999999</v>
      </c>
      <c r="AI1616" s="2994">
        <v>0.7016</v>
      </c>
      <c r="AJ1616" s="2994">
        <v>0.79700000000000004</v>
      </c>
      <c r="AK1616" s="2994">
        <v>0.67649999999999999</v>
      </c>
      <c r="AL1616" s="2994">
        <v>0.78820000000000001</v>
      </c>
      <c r="AM1616" s="2994">
        <v>0.57140000000000002</v>
      </c>
      <c r="AN1616" s="2994">
        <v>0.57140000000000002</v>
      </c>
      <c r="AO1616" s="2994">
        <v>0.57140000000000002</v>
      </c>
      <c r="AP1616" s="2994">
        <v>0.57140000000000002</v>
      </c>
      <c r="AQ1616" s="2994">
        <v>0.57140000000000002</v>
      </c>
      <c r="AR1616" s="2994">
        <v>0.57140000000000002</v>
      </c>
      <c r="AS1616" s="2994">
        <v>0.57140000000000002</v>
      </c>
      <c r="AT1616" s="2994">
        <v>0.57140000000000002</v>
      </c>
      <c r="AU1616" s="2994">
        <v>0.57140000000000002</v>
      </c>
      <c r="AV1616" s="2994">
        <v>0.57140000000000002</v>
      </c>
      <c r="AW1616" s="2994">
        <v>0.57140000000000002</v>
      </c>
      <c r="AX1616" s="2994">
        <v>0.57140000000000002</v>
      </c>
      <c r="AY1616" s="2994">
        <v>0.57140000000000002</v>
      </c>
      <c r="AZ1616" s="2994">
        <v>0.57140000000000002</v>
      </c>
      <c r="BA1616" s="2994">
        <v>0.56910000000000005</v>
      </c>
      <c r="BB1616" s="2994">
        <v>0.57030000000000003</v>
      </c>
      <c r="BC1616" s="2994">
        <v>0.57999999999999996</v>
      </c>
      <c r="BD1616" s="3471">
        <v>0.70179999999999998</v>
      </c>
      <c r="BE1616" s="3471">
        <v>0.66669999999999996</v>
      </c>
      <c r="BF1616" s="3471">
        <v>0.58330000000000004</v>
      </c>
    </row>
    <row r="1617" spans="1:58">
      <c r="A1617" s="1817" t="str">
        <f t="shared" si="51"/>
        <v>OceaniaSafflower seed</v>
      </c>
      <c r="B1617" s="1818" t="s">
        <v>303</v>
      </c>
      <c r="C1617" s="1818" t="s">
        <v>7376</v>
      </c>
      <c r="D1617" s="3463" t="str">
        <f>VLOOKUP(B1617,List_Yield!$G$4:$J$14,4,FALSE)</f>
        <v>Oceania</v>
      </c>
      <c r="E1617" s="3463" t="str">
        <f t="shared" si="52"/>
        <v>OceaniaSafflower seed</v>
      </c>
      <c r="F1617" s="2994">
        <v>0.43059999999999998</v>
      </c>
      <c r="G1617" s="2994">
        <v>0.70879999999999999</v>
      </c>
      <c r="H1617" s="2994">
        <v>0.70079999999999998</v>
      </c>
      <c r="I1617" s="2994">
        <v>0.65769999999999995</v>
      </c>
      <c r="J1617" s="2994">
        <v>0.40899999999999997</v>
      </c>
      <c r="K1617" s="2994">
        <v>0.64849999999999997</v>
      </c>
      <c r="L1617" s="2994">
        <v>0.37619999999999998</v>
      </c>
      <c r="M1617" s="2994">
        <v>0.55100000000000005</v>
      </c>
      <c r="N1617" s="2994">
        <v>0.38540000000000002</v>
      </c>
      <c r="O1617" s="2994">
        <v>0.33789999999999998</v>
      </c>
      <c r="P1617" s="2994">
        <v>0.45540000000000003</v>
      </c>
      <c r="Q1617" s="2994">
        <v>0.39279999999999998</v>
      </c>
      <c r="R1617" s="2994">
        <v>0.55100000000000005</v>
      </c>
      <c r="S1617" s="2994">
        <v>0.8417</v>
      </c>
      <c r="T1617" s="2994">
        <v>0.45679999999999998</v>
      </c>
      <c r="U1617" s="2994">
        <v>0.4884</v>
      </c>
      <c r="V1617" s="2994">
        <v>0.67490000000000006</v>
      </c>
      <c r="W1617" s="2994">
        <v>0.77300000000000002</v>
      </c>
      <c r="X1617" s="2994">
        <v>0.55940000000000001</v>
      </c>
      <c r="Y1617" s="2994">
        <v>0.44240000000000002</v>
      </c>
      <c r="Z1617" s="2994">
        <v>0.58799999999999997</v>
      </c>
      <c r="AA1617" s="2994">
        <v>0.45789999999999997</v>
      </c>
      <c r="AB1617" s="2994">
        <v>0.55830000000000002</v>
      </c>
      <c r="AC1617" s="2994">
        <v>0.73009999999999997</v>
      </c>
      <c r="AD1617" s="2994">
        <v>0.58940000000000003</v>
      </c>
      <c r="AE1617" s="2994">
        <v>0.65359999999999996</v>
      </c>
      <c r="AF1617" s="2994">
        <v>0.66579999999999995</v>
      </c>
      <c r="AG1617" s="2994">
        <v>0.65580000000000005</v>
      </c>
      <c r="AH1617" s="2994">
        <v>0.63560000000000005</v>
      </c>
      <c r="AI1617" s="2994">
        <v>0.56589999999999996</v>
      </c>
      <c r="AJ1617" s="2994">
        <v>0.66010000000000002</v>
      </c>
      <c r="AK1617" s="2994">
        <v>0.73480000000000001</v>
      </c>
      <c r="AL1617" s="2994">
        <v>0.82720000000000005</v>
      </c>
      <c r="AM1617" s="2994">
        <v>0.47849999999999998</v>
      </c>
      <c r="AN1617" s="2994">
        <v>0.74299999999999999</v>
      </c>
      <c r="AO1617" s="2994">
        <v>0.60680000000000001</v>
      </c>
      <c r="AP1617" s="2994">
        <v>0.49669999999999997</v>
      </c>
      <c r="AQ1617" s="2994">
        <v>0.5</v>
      </c>
      <c r="AR1617" s="2994">
        <v>0.83030000000000004</v>
      </c>
      <c r="AS1617" s="2994">
        <v>0.64290000000000003</v>
      </c>
      <c r="AT1617" s="2994">
        <v>0.52780000000000005</v>
      </c>
      <c r="AU1617" s="2994">
        <v>0.7429</v>
      </c>
      <c r="AV1617" s="2994">
        <v>0.67469999999999997</v>
      </c>
      <c r="AW1617" s="2994">
        <v>0.62219999999999998</v>
      </c>
      <c r="AX1617" s="2994">
        <v>0.63329999999999997</v>
      </c>
      <c r="AY1617" s="2994">
        <v>0.76600000000000001</v>
      </c>
      <c r="AZ1617" s="2994">
        <v>0.33439999999999998</v>
      </c>
      <c r="BA1617" s="2994">
        <v>0.73529999999999995</v>
      </c>
      <c r="BB1617" s="2994">
        <v>0.51239999999999997</v>
      </c>
      <c r="BC1617" s="2994">
        <v>0.62819999999999998</v>
      </c>
      <c r="BD1617" s="3471">
        <v>0.58209999999999995</v>
      </c>
      <c r="BE1617" s="3471">
        <v>0.50529999999999997</v>
      </c>
      <c r="BF1617" s="3471">
        <v>0.57499999999999996</v>
      </c>
    </row>
    <row r="1618" spans="1:58">
      <c r="A1618" s="1817" t="str">
        <f t="shared" si="51"/>
        <v>OceaniaSeed cotton</v>
      </c>
      <c r="B1618" s="1818" t="s">
        <v>303</v>
      </c>
      <c r="C1618" s="1818" t="s">
        <v>1371</v>
      </c>
      <c r="D1618" s="3463" t="str">
        <f>VLOOKUP(B1618,List_Yield!$G$4:$J$14,4,FALSE)</f>
        <v>Oceania</v>
      </c>
      <c r="E1618" s="3463" t="str">
        <f t="shared" si="52"/>
        <v>OceaniaSeed cotton</v>
      </c>
      <c r="F1618" s="2994">
        <v>0.4733</v>
      </c>
      <c r="G1618" s="2994">
        <v>0.51280000000000003</v>
      </c>
      <c r="H1618" s="2994">
        <v>0.32029999999999997</v>
      </c>
      <c r="I1618" s="2994">
        <v>0.44230000000000003</v>
      </c>
      <c r="J1618" s="2994">
        <v>1.6928000000000001</v>
      </c>
      <c r="K1618" s="2994">
        <v>2.3828999999999998</v>
      </c>
      <c r="L1618" s="2994">
        <v>2.1627999999999998</v>
      </c>
      <c r="M1618" s="2994">
        <v>2.7749000000000001</v>
      </c>
      <c r="N1618" s="2994">
        <v>2.7353999999999998</v>
      </c>
      <c r="O1618" s="2994">
        <v>2.3028</v>
      </c>
      <c r="P1618" s="2994">
        <v>1.3617999999999999</v>
      </c>
      <c r="Q1618" s="2994">
        <v>2.7157</v>
      </c>
      <c r="R1618" s="2994">
        <v>1.8142</v>
      </c>
      <c r="S1618" s="2994">
        <v>1.8753</v>
      </c>
      <c r="T1618" s="2994">
        <v>2.2519</v>
      </c>
      <c r="U1618" s="2994">
        <v>2.198</v>
      </c>
      <c r="V1618" s="2994">
        <v>2.1133000000000002</v>
      </c>
      <c r="W1618" s="2994">
        <v>2.7957000000000001</v>
      </c>
      <c r="X1618" s="2994">
        <v>2.6425999999999998</v>
      </c>
      <c r="Y1618" s="2994">
        <v>2.92</v>
      </c>
      <c r="Z1618" s="2994">
        <v>3.1135999999999999</v>
      </c>
      <c r="AA1618" s="2994">
        <v>3.4174000000000002</v>
      </c>
      <c r="AB1618" s="2994">
        <v>2.6446000000000001</v>
      </c>
      <c r="AC1618" s="2994">
        <v>2.4127000000000001</v>
      </c>
      <c r="AD1618" s="2994">
        <v>3.5996999999999999</v>
      </c>
      <c r="AE1618" s="2994">
        <v>3.6684000000000001</v>
      </c>
      <c r="AF1618" s="2994">
        <v>3.5358999999999998</v>
      </c>
      <c r="AG1618" s="2994">
        <v>2.8782000000000001</v>
      </c>
      <c r="AH1618" s="2994">
        <v>3.6698</v>
      </c>
      <c r="AI1618" s="2994">
        <v>3.3290000000000002</v>
      </c>
      <c r="AJ1618" s="2994">
        <v>4.0609000000000002</v>
      </c>
      <c r="AK1618" s="2994">
        <v>4.1779000000000002</v>
      </c>
      <c r="AL1618" s="2994">
        <v>3.2755000000000001</v>
      </c>
      <c r="AM1618" s="2994">
        <v>2.8332999999999999</v>
      </c>
      <c r="AN1618" s="2994">
        <v>3.4496000000000002</v>
      </c>
      <c r="AO1618" s="2994">
        <v>3.3431999999999999</v>
      </c>
      <c r="AP1618" s="2994">
        <v>3.7117</v>
      </c>
      <c r="AQ1618" s="2994">
        <v>3.6673</v>
      </c>
      <c r="AR1618" s="2994">
        <v>3.0790999999999999</v>
      </c>
      <c r="AS1618" s="2994">
        <v>3.8481999999999998</v>
      </c>
      <c r="AT1618" s="2994">
        <v>3.7151999999999998</v>
      </c>
      <c r="AU1618" s="2994">
        <v>4.2953999999999999</v>
      </c>
      <c r="AV1618" s="2994">
        <v>4.1555</v>
      </c>
      <c r="AW1618" s="2994">
        <v>4.2544000000000004</v>
      </c>
      <c r="AX1618" s="2994">
        <v>4.8532000000000002</v>
      </c>
      <c r="AY1618" s="2994">
        <v>4.2962999999999996</v>
      </c>
      <c r="AZ1618" s="2994">
        <v>4.7994000000000003</v>
      </c>
      <c r="BA1618" s="2994">
        <v>5.1132</v>
      </c>
      <c r="BB1618" s="2994">
        <v>4.8475999999999999</v>
      </c>
      <c r="BC1618" s="2994">
        <v>4.5079000000000002</v>
      </c>
      <c r="BD1618" s="3471">
        <v>3.6621000000000001</v>
      </c>
      <c r="BE1618" s="3471">
        <v>4.8120000000000003</v>
      </c>
      <c r="BF1618" s="3471">
        <v>6.0266999999999999</v>
      </c>
    </row>
    <row r="1619" spans="1:58">
      <c r="A1619" s="1817" t="str">
        <f t="shared" si="51"/>
        <v>OceaniaSesame seed</v>
      </c>
      <c r="B1619" s="1818" t="s">
        <v>303</v>
      </c>
      <c r="C1619" s="1818" t="s">
        <v>1319</v>
      </c>
      <c r="D1619" s="3463" t="str">
        <f>VLOOKUP(B1619,List_Yield!$G$4:$J$14,4,FALSE)</f>
        <v>Oceania</v>
      </c>
      <c r="E1619" s="3463" t="str">
        <f t="shared" si="52"/>
        <v>OceaniaSesame seed</v>
      </c>
      <c r="F1619" s="2994">
        <v>0</v>
      </c>
      <c r="G1619" s="2994">
        <v>0</v>
      </c>
      <c r="H1619" s="2994">
        <v>0</v>
      </c>
      <c r="I1619" s="2994">
        <v>0</v>
      </c>
      <c r="J1619" s="2994">
        <v>0</v>
      </c>
      <c r="K1619" s="2994">
        <v>0</v>
      </c>
      <c r="L1619" s="2994">
        <v>0</v>
      </c>
      <c r="M1619" s="2994">
        <v>0</v>
      </c>
      <c r="N1619" s="2994">
        <v>0</v>
      </c>
      <c r="O1619" s="2994">
        <v>0</v>
      </c>
      <c r="P1619" s="2994">
        <v>0</v>
      </c>
      <c r="Q1619" s="2994">
        <v>0</v>
      </c>
      <c r="R1619" s="2994">
        <v>0</v>
      </c>
      <c r="S1619" s="2994">
        <v>0</v>
      </c>
      <c r="T1619" s="2994">
        <v>0</v>
      </c>
      <c r="U1619" s="2994">
        <v>0</v>
      </c>
      <c r="V1619" s="2994">
        <v>0</v>
      </c>
      <c r="W1619" s="2994">
        <v>0</v>
      </c>
      <c r="X1619" s="2994">
        <v>0</v>
      </c>
      <c r="Y1619" s="2994">
        <v>0</v>
      </c>
      <c r="Z1619" s="2994">
        <v>0</v>
      </c>
      <c r="AA1619" s="2994">
        <v>0</v>
      </c>
      <c r="AB1619" s="2994">
        <v>0</v>
      </c>
      <c r="AC1619" s="2994">
        <v>0</v>
      </c>
      <c r="AD1619" s="2994">
        <v>0</v>
      </c>
      <c r="AE1619" s="2994">
        <v>0</v>
      </c>
      <c r="AF1619" s="2994">
        <v>0</v>
      </c>
      <c r="AG1619" s="2994">
        <v>0</v>
      </c>
      <c r="AH1619" s="2994">
        <v>0</v>
      </c>
      <c r="AI1619" s="2994">
        <v>0</v>
      </c>
      <c r="AJ1619" s="2994">
        <v>0</v>
      </c>
      <c r="AK1619" s="2994">
        <v>0</v>
      </c>
      <c r="AL1619" s="2994">
        <v>0</v>
      </c>
      <c r="AM1619" s="2994">
        <v>0</v>
      </c>
      <c r="AN1619" s="2994">
        <v>0</v>
      </c>
      <c r="AO1619" s="2994">
        <v>0</v>
      </c>
      <c r="AP1619" s="2994">
        <v>0</v>
      </c>
      <c r="AQ1619" s="2994">
        <v>0</v>
      </c>
      <c r="AR1619" s="2994">
        <v>0</v>
      </c>
      <c r="AS1619" s="2994">
        <v>0</v>
      </c>
      <c r="AT1619" s="2994">
        <v>0</v>
      </c>
      <c r="AU1619" s="2994">
        <v>0</v>
      </c>
      <c r="AV1619" s="2994">
        <v>0</v>
      </c>
      <c r="AW1619" s="2994">
        <v>0</v>
      </c>
      <c r="AX1619" s="2994">
        <v>0</v>
      </c>
      <c r="AY1619" s="2994">
        <v>0</v>
      </c>
      <c r="AZ1619" s="2994">
        <v>0</v>
      </c>
      <c r="BA1619" s="2994">
        <v>0</v>
      </c>
      <c r="BB1619" s="2994">
        <v>0</v>
      </c>
      <c r="BC1619" s="2994">
        <v>0</v>
      </c>
      <c r="BD1619" s="3471">
        <v>0</v>
      </c>
      <c r="BE1619" s="3471">
        <v>0</v>
      </c>
      <c r="BF1619" s="3471">
        <v>0</v>
      </c>
    </row>
    <row r="1620" spans="1:58">
      <c r="A1620" s="1817" t="str">
        <f t="shared" si="51"/>
        <v>OceaniaSisal</v>
      </c>
      <c r="B1620" s="1818" t="s">
        <v>303</v>
      </c>
      <c r="C1620" s="1818" t="s">
        <v>1372</v>
      </c>
      <c r="D1620" s="3463" t="str">
        <f>VLOOKUP(B1620,List_Yield!$G$4:$J$14,4,FALSE)</f>
        <v>Oceania</v>
      </c>
      <c r="E1620" s="3463" t="str">
        <f t="shared" si="52"/>
        <v>OceaniaSisal</v>
      </c>
      <c r="F1620" s="2994">
        <v>0</v>
      </c>
      <c r="G1620" s="2994">
        <v>0</v>
      </c>
      <c r="H1620" s="2994">
        <v>0</v>
      </c>
      <c r="I1620" s="2994">
        <v>0</v>
      </c>
      <c r="J1620" s="2994">
        <v>0</v>
      </c>
      <c r="K1620" s="2994">
        <v>0</v>
      </c>
      <c r="L1620" s="2994">
        <v>0</v>
      </c>
      <c r="M1620" s="2994">
        <v>0</v>
      </c>
      <c r="N1620" s="2994">
        <v>0</v>
      </c>
      <c r="O1620" s="2994">
        <v>0</v>
      </c>
      <c r="P1620" s="2994">
        <v>0</v>
      </c>
      <c r="Q1620" s="2994">
        <v>0</v>
      </c>
      <c r="R1620" s="2994">
        <v>0</v>
      </c>
      <c r="S1620" s="2994">
        <v>0</v>
      </c>
      <c r="T1620" s="2994">
        <v>0</v>
      </c>
      <c r="U1620" s="2994">
        <v>0</v>
      </c>
      <c r="V1620" s="2994">
        <v>0</v>
      </c>
      <c r="W1620" s="2994">
        <v>0</v>
      </c>
      <c r="X1620" s="2994">
        <v>0</v>
      </c>
      <c r="Y1620" s="2994">
        <v>0</v>
      </c>
      <c r="Z1620" s="2994">
        <v>0</v>
      </c>
      <c r="AA1620" s="2994">
        <v>0</v>
      </c>
      <c r="AB1620" s="2994">
        <v>0</v>
      </c>
      <c r="AC1620" s="2994">
        <v>0</v>
      </c>
      <c r="AD1620" s="2994">
        <v>0</v>
      </c>
      <c r="AE1620" s="2994">
        <v>0</v>
      </c>
      <c r="AF1620" s="2994">
        <v>0</v>
      </c>
      <c r="AG1620" s="2994">
        <v>0</v>
      </c>
      <c r="AH1620" s="2994">
        <v>0</v>
      </c>
      <c r="AI1620" s="2994">
        <v>0</v>
      </c>
      <c r="AJ1620" s="2994">
        <v>0</v>
      </c>
      <c r="AK1620" s="2994">
        <v>0</v>
      </c>
      <c r="AL1620" s="2994">
        <v>0</v>
      </c>
      <c r="AM1620" s="2994">
        <v>0</v>
      </c>
      <c r="AN1620" s="2994">
        <v>0</v>
      </c>
      <c r="AO1620" s="2994">
        <v>0</v>
      </c>
      <c r="AP1620" s="2994">
        <v>0</v>
      </c>
      <c r="AQ1620" s="2994">
        <v>0</v>
      </c>
      <c r="AR1620" s="2994">
        <v>0</v>
      </c>
      <c r="AS1620" s="2994">
        <v>0</v>
      </c>
      <c r="AT1620" s="2994">
        <v>0</v>
      </c>
      <c r="AU1620" s="2994">
        <v>0</v>
      </c>
      <c r="AV1620" s="2994">
        <v>0</v>
      </c>
      <c r="AW1620" s="2994">
        <v>0</v>
      </c>
      <c r="AX1620" s="2994">
        <v>0</v>
      </c>
      <c r="AY1620" s="2994">
        <v>0</v>
      </c>
      <c r="AZ1620" s="2994">
        <v>0</v>
      </c>
      <c r="BA1620" s="2994">
        <v>0</v>
      </c>
      <c r="BB1620" s="2994">
        <v>0</v>
      </c>
      <c r="BC1620" s="2994">
        <v>0</v>
      </c>
      <c r="BD1620" s="3471">
        <v>0</v>
      </c>
      <c r="BE1620" s="3471">
        <v>0</v>
      </c>
      <c r="BF1620" s="3471">
        <v>0</v>
      </c>
    </row>
    <row r="1621" spans="1:58">
      <c r="A1621" s="1817" t="str">
        <f t="shared" si="51"/>
        <v>OceaniaSorghum</v>
      </c>
      <c r="B1621" s="1818" t="s">
        <v>303</v>
      </c>
      <c r="C1621" s="1818" t="s">
        <v>1373</v>
      </c>
      <c r="D1621" s="3463" t="str">
        <f>VLOOKUP(B1621,List_Yield!$G$4:$J$14,4,FALSE)</f>
        <v>Oceania</v>
      </c>
      <c r="E1621" s="3463" t="str">
        <f t="shared" si="52"/>
        <v>OceaniaSorghum</v>
      </c>
      <c r="F1621" s="2994">
        <v>1.5807</v>
      </c>
      <c r="G1621" s="2994">
        <v>1.7351000000000001</v>
      </c>
      <c r="H1621" s="2994">
        <v>1.7611000000000001</v>
      </c>
      <c r="I1621" s="2994">
        <v>1.4494</v>
      </c>
      <c r="J1621" s="2994">
        <v>1.3937999999999999</v>
      </c>
      <c r="K1621" s="2994">
        <v>1.1091</v>
      </c>
      <c r="L1621" s="2994">
        <v>1.5673999999999999</v>
      </c>
      <c r="M1621" s="2994">
        <v>1.5408999999999999</v>
      </c>
      <c r="N1621" s="2994">
        <v>1.4028</v>
      </c>
      <c r="O1621" s="2994">
        <v>1.5263</v>
      </c>
      <c r="P1621" s="2994">
        <v>2.351</v>
      </c>
      <c r="Q1621" s="2994">
        <v>1.9233</v>
      </c>
      <c r="R1621" s="2994">
        <v>1.4614</v>
      </c>
      <c r="S1621" s="2994">
        <v>1.9659</v>
      </c>
      <c r="T1621" s="2994">
        <v>1.7623</v>
      </c>
      <c r="U1621" s="2994">
        <v>2.2271999999999998</v>
      </c>
      <c r="V1621" s="2994">
        <v>1.7937000000000001</v>
      </c>
      <c r="W1621" s="2994">
        <v>1.8122</v>
      </c>
      <c r="X1621" s="2994">
        <v>2.3988999999999998</v>
      </c>
      <c r="Y1621" s="2994">
        <v>1.7774000000000001</v>
      </c>
      <c r="Z1621" s="2994">
        <v>1.8295999999999999</v>
      </c>
      <c r="AA1621" s="2994">
        <v>2.0265</v>
      </c>
      <c r="AB1621" s="2994">
        <v>1.3573</v>
      </c>
      <c r="AC1621" s="2994">
        <v>2.5811000000000002</v>
      </c>
      <c r="AD1621" s="2994">
        <v>1.8932</v>
      </c>
      <c r="AE1621" s="2994">
        <v>1.9281999999999999</v>
      </c>
      <c r="AF1621" s="2994">
        <v>1.7343999999999999</v>
      </c>
      <c r="AG1621" s="2994">
        <v>2.1916000000000002</v>
      </c>
      <c r="AH1621" s="2994">
        <v>1.9905999999999999</v>
      </c>
      <c r="AI1621" s="2994">
        <v>2.4893000000000001</v>
      </c>
      <c r="AJ1621" s="2994">
        <v>1.9873000000000001</v>
      </c>
      <c r="AK1621" s="2994">
        <v>2.5430000000000001</v>
      </c>
      <c r="AL1621" s="2994">
        <v>1.2849999999999999</v>
      </c>
      <c r="AM1621" s="2994">
        <v>2.1701999999999999</v>
      </c>
      <c r="AN1621" s="2994">
        <v>1.8562000000000001</v>
      </c>
      <c r="AO1621" s="2994">
        <v>2.0684999999999998</v>
      </c>
      <c r="AP1621" s="2994">
        <v>2.6202000000000001</v>
      </c>
      <c r="AQ1621" s="2994">
        <v>2.1345000000000001</v>
      </c>
      <c r="AR1621" s="2994">
        <v>3.2210000000000001</v>
      </c>
      <c r="AS1621" s="2994">
        <v>3.3992</v>
      </c>
      <c r="AT1621" s="2994">
        <v>2.5531999999999999</v>
      </c>
      <c r="AU1621" s="2994">
        <v>2.4559000000000002</v>
      </c>
      <c r="AV1621" s="2994">
        <v>2.198</v>
      </c>
      <c r="AW1621" s="2994">
        <v>2.7391000000000001</v>
      </c>
      <c r="AX1621" s="2994">
        <v>2.6648999999999998</v>
      </c>
      <c r="AY1621" s="2994">
        <v>2.5207000000000002</v>
      </c>
      <c r="AZ1621" s="2994">
        <v>2.0954999999999999</v>
      </c>
      <c r="BA1621" s="2994">
        <v>4.0244</v>
      </c>
      <c r="BB1621" s="2994">
        <v>3.5097</v>
      </c>
      <c r="BC1621" s="2994">
        <v>3.0979000000000001</v>
      </c>
      <c r="BD1621" s="3471">
        <v>3.0573999999999999</v>
      </c>
      <c r="BE1621" s="3471">
        <v>3.3974000000000002</v>
      </c>
      <c r="BF1621" s="3471">
        <v>3.7488000000000001</v>
      </c>
    </row>
    <row r="1622" spans="1:58">
      <c r="A1622" s="1817" t="str">
        <f t="shared" si="51"/>
        <v>OceaniaSoybeans</v>
      </c>
      <c r="B1622" s="1818" t="s">
        <v>303</v>
      </c>
      <c r="C1622" s="1818" t="s">
        <v>1333</v>
      </c>
      <c r="D1622" s="3463" t="str">
        <f>VLOOKUP(B1622,List_Yield!$G$4:$J$14,4,FALSE)</f>
        <v>Oceania</v>
      </c>
      <c r="E1622" s="3463" t="str">
        <f t="shared" si="52"/>
        <v>OceaniaSoybeans</v>
      </c>
      <c r="F1622" s="2994">
        <v>0.66669999999999996</v>
      </c>
      <c r="G1622" s="2994">
        <v>0.77380000000000004</v>
      </c>
      <c r="H1622" s="2994">
        <v>0.5978</v>
      </c>
      <c r="I1622" s="2994">
        <v>0.4471</v>
      </c>
      <c r="J1622" s="2994">
        <v>0.60529999999999995</v>
      </c>
      <c r="K1622" s="2994">
        <v>0.38579999999999998</v>
      </c>
      <c r="L1622" s="2994">
        <v>0.66349999999999998</v>
      </c>
      <c r="M1622" s="2994">
        <v>0.54790000000000005</v>
      </c>
      <c r="N1622" s="2994">
        <v>0.83130000000000004</v>
      </c>
      <c r="O1622" s="2994">
        <v>1.0123</v>
      </c>
      <c r="P1622" s="2994">
        <v>1.2567999999999999</v>
      </c>
      <c r="Q1622" s="2994">
        <v>1.8663000000000001</v>
      </c>
      <c r="R1622" s="2994">
        <v>1.3567</v>
      </c>
      <c r="S1622" s="2994">
        <v>1.5416000000000001</v>
      </c>
      <c r="T1622" s="2994">
        <v>1.6094999999999999</v>
      </c>
      <c r="U1622" s="2994">
        <v>1.6973</v>
      </c>
      <c r="V1622" s="2994">
        <v>1.5991</v>
      </c>
      <c r="W1622" s="2994">
        <v>1.5337000000000001</v>
      </c>
      <c r="X1622" s="2994">
        <v>1.841</v>
      </c>
      <c r="Y1622" s="2994">
        <v>1.4513</v>
      </c>
      <c r="Z1622" s="2994">
        <v>1.8495999999999999</v>
      </c>
      <c r="AA1622" s="2994">
        <v>1.9029</v>
      </c>
      <c r="AB1622" s="2994">
        <v>1.1041000000000001</v>
      </c>
      <c r="AC1622" s="2994">
        <v>1.8441000000000001</v>
      </c>
      <c r="AD1622" s="2994">
        <v>1.7422</v>
      </c>
      <c r="AE1622" s="2994">
        <v>1.4825999999999999</v>
      </c>
      <c r="AF1622" s="2994">
        <v>1.6498999999999999</v>
      </c>
      <c r="AG1622" s="2994">
        <v>1.5868</v>
      </c>
      <c r="AH1622" s="2994">
        <v>1.8314999999999999</v>
      </c>
      <c r="AI1622" s="2994">
        <v>1.5718000000000001</v>
      </c>
      <c r="AJ1622" s="2994">
        <v>1.5550999999999999</v>
      </c>
      <c r="AK1622" s="2994">
        <v>2.1141000000000001</v>
      </c>
      <c r="AL1622" s="2994">
        <v>1.6168</v>
      </c>
      <c r="AM1622" s="2994">
        <v>1.9999</v>
      </c>
      <c r="AN1622" s="2994">
        <v>1.5318000000000001</v>
      </c>
      <c r="AO1622" s="2994">
        <v>1.8740000000000001</v>
      </c>
      <c r="AP1622" s="2994">
        <v>1.8974</v>
      </c>
      <c r="AQ1622" s="2994">
        <v>1.7035</v>
      </c>
      <c r="AR1622" s="2994">
        <v>2.2667000000000002</v>
      </c>
      <c r="AS1622" s="2994">
        <v>1.8714</v>
      </c>
      <c r="AT1622" s="2994">
        <v>1.4847999999999999</v>
      </c>
      <c r="AU1622" s="2994">
        <v>1.9688000000000001</v>
      </c>
      <c r="AV1622" s="2994">
        <v>1.476</v>
      </c>
      <c r="AW1622" s="2994">
        <v>2.2136</v>
      </c>
      <c r="AX1622" s="2994">
        <v>2.0312000000000001</v>
      </c>
      <c r="AY1622" s="2994">
        <v>2.3022999999999998</v>
      </c>
      <c r="AZ1622" s="2994">
        <v>2.4369999999999998</v>
      </c>
      <c r="BA1622" s="2994">
        <v>2.3289</v>
      </c>
      <c r="BB1622" s="2994">
        <v>1.8925000000000001</v>
      </c>
      <c r="BC1622" s="2994">
        <v>1.9041999999999999</v>
      </c>
      <c r="BD1622" s="3471">
        <v>1.7136</v>
      </c>
      <c r="BE1622" s="3471">
        <v>2.2597999999999998</v>
      </c>
      <c r="BF1622" s="3471">
        <v>2.2336</v>
      </c>
    </row>
    <row r="1623" spans="1:58">
      <c r="A1623" s="1817" t="str">
        <f t="shared" si="51"/>
        <v>OceaniaSpices, nes</v>
      </c>
      <c r="B1623" s="1818" t="s">
        <v>303</v>
      </c>
      <c r="C1623" s="1818" t="s">
        <v>7377</v>
      </c>
      <c r="D1623" s="3463" t="str">
        <f>VLOOKUP(B1623,List_Yield!$G$4:$J$14,4,FALSE)</f>
        <v>Oceania</v>
      </c>
      <c r="E1623" s="3463" t="str">
        <f t="shared" si="52"/>
        <v>OceaniaSpices, nes</v>
      </c>
      <c r="F1623" s="2994">
        <v>1.7889999999999999</v>
      </c>
      <c r="G1623" s="2994">
        <v>1.8246</v>
      </c>
      <c r="H1623" s="2994">
        <v>1.8145</v>
      </c>
      <c r="I1623" s="2994">
        <v>1.8371999999999999</v>
      </c>
      <c r="J1623" s="2994">
        <v>1.8582000000000001</v>
      </c>
      <c r="K1623" s="2994">
        <v>1.8929</v>
      </c>
      <c r="L1623" s="2994">
        <v>1.9577</v>
      </c>
      <c r="M1623" s="2994">
        <v>2.0139</v>
      </c>
      <c r="N1623" s="2994">
        <v>2.0335999999999999</v>
      </c>
      <c r="O1623" s="2994">
        <v>2.0251999999999999</v>
      </c>
      <c r="P1623" s="2994">
        <v>1.9657</v>
      </c>
      <c r="Q1623" s="2994">
        <v>2.1438000000000001</v>
      </c>
      <c r="R1623" s="2994">
        <v>2.1576</v>
      </c>
      <c r="S1623" s="2994">
        <v>1.4897</v>
      </c>
      <c r="T1623" s="2994">
        <v>1.4644999999999999</v>
      </c>
      <c r="U1623" s="2994">
        <v>1.4748000000000001</v>
      </c>
      <c r="V1623" s="2994">
        <v>1.7162999999999999</v>
      </c>
      <c r="W1623" s="2994">
        <v>1.446</v>
      </c>
      <c r="X1623" s="2994">
        <v>1.4156</v>
      </c>
      <c r="Y1623" s="2994">
        <v>1.4307000000000001</v>
      </c>
      <c r="Z1623" s="2994">
        <v>1.3794</v>
      </c>
      <c r="AA1623" s="2994">
        <v>1.5222</v>
      </c>
      <c r="AB1623" s="2994">
        <v>1.4671000000000001</v>
      </c>
      <c r="AC1623" s="2994">
        <v>1.4420999999999999</v>
      </c>
      <c r="AD1623" s="2994">
        <v>1.3005</v>
      </c>
      <c r="AE1623" s="2994">
        <v>1.1416999999999999</v>
      </c>
      <c r="AF1623" s="2994">
        <v>1.0989</v>
      </c>
      <c r="AG1623" s="2994">
        <v>1.1005</v>
      </c>
      <c r="AH1623" s="2994">
        <v>1.1499999999999999</v>
      </c>
      <c r="AI1623" s="2994">
        <v>1.3634999999999999</v>
      </c>
      <c r="AJ1623" s="2994">
        <v>1.294</v>
      </c>
      <c r="AK1623" s="2994">
        <v>1.3675999999999999</v>
      </c>
      <c r="AL1623" s="2994">
        <v>1.4845999999999999</v>
      </c>
      <c r="AM1623" s="2994">
        <v>1.3425</v>
      </c>
      <c r="AN1623" s="2994">
        <v>1.3561000000000001</v>
      </c>
      <c r="AO1623" s="2994">
        <v>1.4561999999999999</v>
      </c>
      <c r="AP1623" s="2994">
        <v>1.5173000000000001</v>
      </c>
      <c r="AQ1623" s="2994">
        <v>1.4482999999999999</v>
      </c>
      <c r="AR1623" s="2994">
        <v>1.5851999999999999</v>
      </c>
      <c r="AS1623" s="2994">
        <v>1.5267999999999999</v>
      </c>
      <c r="AT1623" s="2994">
        <v>1.5892999999999999</v>
      </c>
      <c r="AU1623" s="2994">
        <v>1.5142</v>
      </c>
      <c r="AV1623" s="2994">
        <v>1.5293000000000001</v>
      </c>
      <c r="AW1623" s="2994">
        <v>1.6242000000000001</v>
      </c>
      <c r="AX1623" s="2994">
        <v>1.6592</v>
      </c>
      <c r="AY1623" s="2994">
        <v>1.6175999999999999</v>
      </c>
      <c r="AZ1623" s="2994">
        <v>1.6411</v>
      </c>
      <c r="BA1623" s="2994">
        <v>1.4907999999999999</v>
      </c>
      <c r="BB1623" s="2994">
        <v>1.7163999999999999</v>
      </c>
      <c r="BC1623" s="2994">
        <v>1.3798999999999999</v>
      </c>
      <c r="BD1623" s="3471">
        <v>1.3798999999999999</v>
      </c>
      <c r="BE1623" s="3471">
        <v>1.3562000000000001</v>
      </c>
      <c r="BF1623" s="3471">
        <v>0</v>
      </c>
    </row>
    <row r="1624" spans="1:58">
      <c r="A1624" s="1817" t="str">
        <f t="shared" si="51"/>
        <v>OceaniaSpinach</v>
      </c>
      <c r="B1624" s="1818" t="s">
        <v>303</v>
      </c>
      <c r="C1624" s="1818" t="s">
        <v>7378</v>
      </c>
      <c r="D1624" s="3463" t="str">
        <f>VLOOKUP(B1624,List_Yield!$G$4:$J$14,4,FALSE)</f>
        <v>Oceania</v>
      </c>
      <c r="E1624" s="3463" t="str">
        <f t="shared" si="52"/>
        <v>OceaniaSpinach</v>
      </c>
      <c r="F1624" s="2994">
        <v>17.0306</v>
      </c>
      <c r="G1624" s="2994">
        <v>17.583300000000001</v>
      </c>
      <c r="H1624" s="2994">
        <v>14.686999999999999</v>
      </c>
      <c r="I1624" s="2994">
        <v>15.0068</v>
      </c>
      <c r="J1624" s="2994">
        <v>15.6867</v>
      </c>
      <c r="K1624" s="2994">
        <v>16.4208</v>
      </c>
      <c r="L1624" s="2994">
        <v>16.235299999999999</v>
      </c>
      <c r="M1624" s="2994">
        <v>16.029399999999999</v>
      </c>
      <c r="N1624" s="2994">
        <v>14.6471</v>
      </c>
      <c r="O1624" s="2994">
        <v>15.8873</v>
      </c>
      <c r="P1624" s="2994">
        <v>17.457000000000001</v>
      </c>
      <c r="Q1624" s="2994">
        <v>16.3491</v>
      </c>
      <c r="R1624" s="2994">
        <v>15.994</v>
      </c>
      <c r="S1624" s="2994">
        <v>16.801400000000001</v>
      </c>
      <c r="T1624" s="2994">
        <v>14.428599999999999</v>
      </c>
      <c r="U1624" s="2994">
        <v>13.5022</v>
      </c>
      <c r="V1624" s="2994">
        <v>12.363200000000001</v>
      </c>
      <c r="W1624" s="2994">
        <v>12.5069</v>
      </c>
      <c r="X1624" s="2994">
        <v>13.501799999999999</v>
      </c>
      <c r="Y1624" s="2994">
        <v>13.179500000000001</v>
      </c>
      <c r="Z1624" s="2994">
        <v>13.316700000000001</v>
      </c>
      <c r="AA1624" s="2994">
        <v>9.8065999999999995</v>
      </c>
      <c r="AB1624" s="2994">
        <v>12.3049</v>
      </c>
      <c r="AC1624" s="2994">
        <v>12.286199999999999</v>
      </c>
      <c r="AD1624" s="2994">
        <v>12.6746</v>
      </c>
      <c r="AE1624" s="2994">
        <v>12.1166</v>
      </c>
      <c r="AF1624" s="2994">
        <v>11.989000000000001</v>
      </c>
      <c r="AG1624" s="2994">
        <v>10.583500000000001</v>
      </c>
      <c r="AH1624" s="2994">
        <v>12.2347</v>
      </c>
      <c r="AI1624" s="2994">
        <v>11.254</v>
      </c>
      <c r="AJ1624" s="2994">
        <v>11.381</v>
      </c>
      <c r="AK1624" s="2994">
        <v>11.0748</v>
      </c>
      <c r="AL1624" s="2994">
        <v>10.5739</v>
      </c>
      <c r="AM1624" s="2994">
        <v>10.7576</v>
      </c>
      <c r="AN1624" s="2994">
        <v>9.7530999999999999</v>
      </c>
      <c r="AO1624" s="2994">
        <v>9.6552000000000007</v>
      </c>
      <c r="AP1624" s="2994">
        <v>9.2988</v>
      </c>
      <c r="AQ1624" s="2994">
        <v>9.3332999999999995</v>
      </c>
      <c r="AR1624" s="2994">
        <v>9.4277999999999995</v>
      </c>
      <c r="AS1624" s="2994">
        <v>7.8118999999999996</v>
      </c>
      <c r="AT1624" s="2994">
        <v>7.9267000000000003</v>
      </c>
      <c r="AU1624" s="2994">
        <v>7.2107999999999999</v>
      </c>
      <c r="AV1624" s="2994">
        <v>7.0523999999999996</v>
      </c>
      <c r="AW1624" s="2994">
        <v>7.4477000000000002</v>
      </c>
      <c r="AX1624" s="2994">
        <v>6.8648999999999996</v>
      </c>
      <c r="AY1624" s="2994">
        <v>7.4356</v>
      </c>
      <c r="AZ1624" s="2994">
        <v>5.8331999999999997</v>
      </c>
      <c r="BA1624" s="2994">
        <v>7.3750999999999998</v>
      </c>
      <c r="BB1624" s="2994">
        <v>5.87</v>
      </c>
      <c r="BC1624" s="2994">
        <v>5.5716000000000001</v>
      </c>
      <c r="BD1624" s="3471">
        <v>4.7325999999999997</v>
      </c>
      <c r="BE1624" s="3471">
        <v>4.9523999999999999</v>
      </c>
      <c r="BF1624" s="3471">
        <v>0</v>
      </c>
    </row>
    <row r="1625" spans="1:58">
      <c r="A1625" s="1817" t="str">
        <f t="shared" si="51"/>
        <v>OceaniaStrawberries</v>
      </c>
      <c r="B1625" s="1818" t="s">
        <v>303</v>
      </c>
      <c r="C1625" s="1818" t="s">
        <v>1374</v>
      </c>
      <c r="D1625" s="3463" t="str">
        <f>VLOOKUP(B1625,List_Yield!$G$4:$J$14,4,FALSE)</f>
        <v>Oceania</v>
      </c>
      <c r="E1625" s="3463" t="str">
        <f t="shared" si="52"/>
        <v>OceaniaStrawberries</v>
      </c>
      <c r="F1625" s="2994">
        <v>5.1069000000000004</v>
      </c>
      <c r="G1625" s="2994">
        <v>5.7073</v>
      </c>
      <c r="H1625" s="2994">
        <v>6.3292000000000002</v>
      </c>
      <c r="I1625" s="2994">
        <v>8.0381</v>
      </c>
      <c r="J1625" s="2994">
        <v>8.5136000000000003</v>
      </c>
      <c r="K1625" s="2994">
        <v>8.5440000000000005</v>
      </c>
      <c r="L1625" s="2994">
        <v>9.9627999999999997</v>
      </c>
      <c r="M1625" s="2994">
        <v>10.5966</v>
      </c>
      <c r="N1625" s="2994">
        <v>11.696899999999999</v>
      </c>
      <c r="O1625" s="2994">
        <v>12.3407</v>
      </c>
      <c r="P1625" s="2994">
        <v>12.287100000000001</v>
      </c>
      <c r="Q1625" s="2994">
        <v>12.7265</v>
      </c>
      <c r="R1625" s="2994">
        <v>12.469099999999999</v>
      </c>
      <c r="S1625" s="2994">
        <v>12.540800000000001</v>
      </c>
      <c r="T1625" s="2994">
        <v>12.749000000000001</v>
      </c>
      <c r="U1625" s="2994">
        <v>12.6853</v>
      </c>
      <c r="V1625" s="2994">
        <v>12.289400000000001</v>
      </c>
      <c r="W1625" s="2994">
        <v>12.455500000000001</v>
      </c>
      <c r="X1625" s="2994">
        <v>13.2492</v>
      </c>
      <c r="Y1625" s="2994">
        <v>13.613</v>
      </c>
      <c r="Z1625" s="2994">
        <v>11.044499999999999</v>
      </c>
      <c r="AA1625" s="2994">
        <v>10.5708</v>
      </c>
      <c r="AB1625" s="2994">
        <v>10.902699999999999</v>
      </c>
      <c r="AC1625" s="2994">
        <v>11.0093</v>
      </c>
      <c r="AD1625" s="2994">
        <v>11.613300000000001</v>
      </c>
      <c r="AE1625" s="2994">
        <v>13.3139</v>
      </c>
      <c r="AF1625" s="2994">
        <v>13.5921</v>
      </c>
      <c r="AG1625" s="2994">
        <v>12.6327</v>
      </c>
      <c r="AH1625" s="2994">
        <v>13.9091</v>
      </c>
      <c r="AI1625" s="2994">
        <v>12.235799999999999</v>
      </c>
      <c r="AJ1625" s="2994">
        <v>13.2483</v>
      </c>
      <c r="AK1625" s="2994">
        <v>14.3346</v>
      </c>
      <c r="AL1625" s="2994">
        <v>13.509</v>
      </c>
      <c r="AM1625" s="2994">
        <v>12.093</v>
      </c>
      <c r="AN1625" s="2994">
        <v>16.2254</v>
      </c>
      <c r="AO1625" s="2994">
        <v>19.483899999999998</v>
      </c>
      <c r="AP1625" s="2994">
        <v>19.200399999999998</v>
      </c>
      <c r="AQ1625" s="2994">
        <v>22.0154</v>
      </c>
      <c r="AR1625" s="2994">
        <v>23.457899999999999</v>
      </c>
      <c r="AS1625" s="2994">
        <v>19.6236</v>
      </c>
      <c r="AT1625" s="2994">
        <v>16.927099999999999</v>
      </c>
      <c r="AU1625" s="2994">
        <v>20.568999999999999</v>
      </c>
      <c r="AV1625" s="2994">
        <v>16.483499999999999</v>
      </c>
      <c r="AW1625" s="2994">
        <v>20.575099999999999</v>
      </c>
      <c r="AX1625" s="2994">
        <v>27.535599999999999</v>
      </c>
      <c r="AY1625" s="2994">
        <v>18.754899999999999</v>
      </c>
      <c r="AZ1625" s="2994">
        <v>23.0488</v>
      </c>
      <c r="BA1625" s="2994">
        <v>19.519300000000001</v>
      </c>
      <c r="BB1625" s="2994">
        <v>23.712499999999999</v>
      </c>
      <c r="BC1625" s="2994">
        <v>21.0701</v>
      </c>
      <c r="BD1625" s="3471">
        <v>15.288600000000001</v>
      </c>
      <c r="BE1625" s="3471">
        <v>20.936599999999999</v>
      </c>
      <c r="BF1625" s="3471">
        <v>0</v>
      </c>
    </row>
    <row r="1626" spans="1:58">
      <c r="A1626" s="1817" t="str">
        <f t="shared" si="51"/>
        <v>OceaniaString beans</v>
      </c>
      <c r="B1626" s="1818" t="s">
        <v>303</v>
      </c>
      <c r="C1626" s="1818" t="s">
        <v>7379</v>
      </c>
      <c r="D1626" s="3463" t="str">
        <f>VLOOKUP(B1626,List_Yield!$G$4:$J$14,4,FALSE)</f>
        <v>Oceania</v>
      </c>
      <c r="E1626" s="3463" t="str">
        <f t="shared" si="52"/>
        <v>OceaniaString beans</v>
      </c>
      <c r="F1626" s="2994">
        <v>8.8888999999999996</v>
      </c>
      <c r="G1626" s="2994">
        <v>8.8888999999999996</v>
      </c>
      <c r="H1626" s="2994">
        <v>9</v>
      </c>
      <c r="I1626" s="2994">
        <v>9</v>
      </c>
      <c r="J1626" s="2994">
        <v>9.1111000000000004</v>
      </c>
      <c r="K1626" s="2994">
        <v>9.2222000000000008</v>
      </c>
      <c r="L1626" s="2994">
        <v>9.3332999999999995</v>
      </c>
      <c r="M1626" s="2994">
        <v>9.4443999999999999</v>
      </c>
      <c r="N1626" s="2994">
        <v>9.4443999999999999</v>
      </c>
      <c r="O1626" s="2994">
        <v>9.5556000000000001</v>
      </c>
      <c r="P1626" s="2994">
        <v>9.6667000000000005</v>
      </c>
      <c r="Q1626" s="2994">
        <v>9.7777999999999992</v>
      </c>
      <c r="R1626" s="2994">
        <v>9.8888999999999996</v>
      </c>
      <c r="S1626" s="2994">
        <v>10</v>
      </c>
      <c r="T1626" s="2994">
        <v>10.5556</v>
      </c>
      <c r="U1626" s="2994">
        <v>14.1</v>
      </c>
      <c r="V1626" s="2994">
        <v>13.7</v>
      </c>
      <c r="W1626" s="2994">
        <v>17.916699999999999</v>
      </c>
      <c r="X1626" s="2994">
        <v>19.7333</v>
      </c>
      <c r="Y1626" s="2994">
        <v>12.1333</v>
      </c>
      <c r="Z1626" s="2994">
        <v>15.4375</v>
      </c>
      <c r="AA1626" s="2994">
        <v>14.125</v>
      </c>
      <c r="AB1626" s="2994">
        <v>13.066700000000001</v>
      </c>
      <c r="AC1626" s="2994">
        <v>14.333299999999999</v>
      </c>
      <c r="AD1626" s="2994">
        <v>16.928599999999999</v>
      </c>
      <c r="AE1626" s="2994">
        <v>18.545500000000001</v>
      </c>
      <c r="AF1626" s="2994">
        <v>20.25</v>
      </c>
      <c r="AG1626" s="2994">
        <v>17.230799999999999</v>
      </c>
      <c r="AH1626" s="2994">
        <v>20</v>
      </c>
      <c r="AI1626" s="2994">
        <v>19.5</v>
      </c>
      <c r="AJ1626" s="2994">
        <v>21.7</v>
      </c>
      <c r="AK1626" s="2994">
        <v>15.0769</v>
      </c>
      <c r="AL1626" s="2994">
        <v>17.833300000000001</v>
      </c>
      <c r="AM1626" s="2994">
        <v>16.7333</v>
      </c>
      <c r="AN1626" s="2994">
        <v>17.533300000000001</v>
      </c>
      <c r="AO1626" s="2994">
        <v>18.133299999999998</v>
      </c>
      <c r="AP1626" s="2994">
        <v>19.399999999999999</v>
      </c>
      <c r="AQ1626" s="2994">
        <v>17.666699999999999</v>
      </c>
      <c r="AR1626" s="2994">
        <v>19.7333</v>
      </c>
      <c r="AS1626" s="2994">
        <v>20.866700000000002</v>
      </c>
      <c r="AT1626" s="2994">
        <v>22.333300000000001</v>
      </c>
      <c r="AU1626" s="2994">
        <v>21.1538</v>
      </c>
      <c r="AV1626" s="2994">
        <v>17.600000000000001</v>
      </c>
      <c r="AW1626" s="2994">
        <v>19.133299999999998</v>
      </c>
      <c r="AX1626" s="2994">
        <v>17.933299999999999</v>
      </c>
      <c r="AY1626" s="2994">
        <v>21.8462</v>
      </c>
      <c r="AZ1626" s="2994">
        <v>24.166699999999999</v>
      </c>
      <c r="BA1626" s="2994">
        <v>17.933299999999999</v>
      </c>
      <c r="BB1626" s="2994">
        <v>16.375</v>
      </c>
      <c r="BC1626" s="2994">
        <v>13.15</v>
      </c>
      <c r="BD1626" s="3471">
        <v>12.4</v>
      </c>
      <c r="BE1626" s="3471">
        <v>13</v>
      </c>
      <c r="BF1626" s="3471">
        <v>0</v>
      </c>
    </row>
    <row r="1627" spans="1:58">
      <c r="A1627" s="1817" t="str">
        <f t="shared" si="51"/>
        <v>OceaniaSugar beet</v>
      </c>
      <c r="B1627" s="1818" t="s">
        <v>303</v>
      </c>
      <c r="C1627" s="1818" t="s">
        <v>1332</v>
      </c>
      <c r="D1627" s="3463" t="str">
        <f>VLOOKUP(B1627,List_Yield!$G$4:$J$14,4,FALSE)</f>
        <v>Oceania</v>
      </c>
      <c r="E1627" s="3463" t="str">
        <f t="shared" si="52"/>
        <v>OceaniaSugar beet</v>
      </c>
      <c r="F1627" s="2994">
        <v>0</v>
      </c>
      <c r="G1627" s="2994">
        <v>0</v>
      </c>
      <c r="H1627" s="2994">
        <v>0</v>
      </c>
      <c r="I1627" s="2994">
        <v>0</v>
      </c>
      <c r="J1627" s="2994">
        <v>0</v>
      </c>
      <c r="K1627" s="2994">
        <v>0</v>
      </c>
      <c r="L1627" s="2994">
        <v>0</v>
      </c>
      <c r="M1627" s="2994">
        <v>0</v>
      </c>
      <c r="N1627" s="2994">
        <v>0</v>
      </c>
      <c r="O1627" s="2994">
        <v>0</v>
      </c>
      <c r="P1627" s="2994">
        <v>0</v>
      </c>
      <c r="Q1627" s="2994">
        <v>0</v>
      </c>
      <c r="R1627" s="2994">
        <v>0</v>
      </c>
      <c r="S1627" s="2994">
        <v>0</v>
      </c>
      <c r="T1627" s="2994">
        <v>0</v>
      </c>
      <c r="U1627" s="2994">
        <v>0</v>
      </c>
      <c r="V1627" s="2994">
        <v>0</v>
      </c>
      <c r="W1627" s="2994">
        <v>0</v>
      </c>
      <c r="X1627" s="2994">
        <v>0</v>
      </c>
      <c r="Y1627" s="2994">
        <v>0</v>
      </c>
      <c r="Z1627" s="2994">
        <v>0</v>
      </c>
      <c r="AA1627" s="2994">
        <v>0</v>
      </c>
      <c r="AB1627" s="2994">
        <v>0</v>
      </c>
      <c r="AC1627" s="2994">
        <v>0</v>
      </c>
      <c r="AD1627" s="2994">
        <v>0</v>
      </c>
      <c r="AE1627" s="2994">
        <v>0</v>
      </c>
      <c r="AF1627" s="2994">
        <v>0</v>
      </c>
      <c r="AG1627" s="2994">
        <v>0</v>
      </c>
      <c r="AH1627" s="2994">
        <v>0</v>
      </c>
      <c r="AI1627" s="2994">
        <v>0</v>
      </c>
      <c r="AJ1627" s="2994">
        <v>0</v>
      </c>
      <c r="AK1627" s="2994">
        <v>0</v>
      </c>
      <c r="AL1627" s="2994">
        <v>0</v>
      </c>
      <c r="AM1627" s="2994">
        <v>0</v>
      </c>
      <c r="AN1627" s="2994">
        <v>0</v>
      </c>
      <c r="AO1627" s="2994">
        <v>0</v>
      </c>
      <c r="AP1627" s="2994">
        <v>0</v>
      </c>
      <c r="AQ1627" s="2994">
        <v>0</v>
      </c>
      <c r="AR1627" s="2994">
        <v>0</v>
      </c>
      <c r="AS1627" s="2994">
        <v>0</v>
      </c>
      <c r="AT1627" s="2994">
        <v>0</v>
      </c>
      <c r="AU1627" s="2994">
        <v>0</v>
      </c>
      <c r="AV1627" s="2994">
        <v>0</v>
      </c>
      <c r="AW1627" s="2994">
        <v>0</v>
      </c>
      <c r="AX1627" s="2994">
        <v>0</v>
      </c>
      <c r="AY1627" s="2994">
        <v>0</v>
      </c>
      <c r="AZ1627" s="2994">
        <v>0</v>
      </c>
      <c r="BA1627" s="2994">
        <v>0</v>
      </c>
      <c r="BB1627" s="2994">
        <v>0</v>
      </c>
      <c r="BC1627" s="2994">
        <v>0</v>
      </c>
      <c r="BD1627" s="3471">
        <v>0</v>
      </c>
      <c r="BE1627" s="3471">
        <v>0</v>
      </c>
      <c r="BF1627" s="3471">
        <v>0</v>
      </c>
    </row>
    <row r="1628" spans="1:58">
      <c r="A1628" s="1817" t="str">
        <f t="shared" si="51"/>
        <v>OceaniaSugar cane</v>
      </c>
      <c r="B1628" s="1818" t="s">
        <v>303</v>
      </c>
      <c r="C1628" s="1818" t="s">
        <v>1375</v>
      </c>
      <c r="D1628" s="3463" t="str">
        <f>VLOOKUP(B1628,List_Yield!$G$4:$J$14,4,FALSE)</f>
        <v>Oceania</v>
      </c>
      <c r="E1628" s="3463" t="str">
        <f t="shared" si="52"/>
        <v>OceaniaSugar cane</v>
      </c>
      <c r="F1628" s="2994">
        <v>56.723599999999998</v>
      </c>
      <c r="G1628" s="2994">
        <v>74.667000000000002</v>
      </c>
      <c r="H1628" s="2994">
        <v>71.7483</v>
      </c>
      <c r="I1628" s="2994">
        <v>76.13</v>
      </c>
      <c r="J1628" s="2994">
        <v>67.299800000000005</v>
      </c>
      <c r="K1628" s="2994">
        <v>71.340400000000002</v>
      </c>
      <c r="L1628" s="2994">
        <v>71.601900000000001</v>
      </c>
      <c r="M1628" s="2994">
        <v>78.037199999999999</v>
      </c>
      <c r="N1628" s="2994">
        <v>69.859700000000004</v>
      </c>
      <c r="O1628" s="2994">
        <v>76.954999999999998</v>
      </c>
      <c r="P1628" s="2994">
        <v>78.000600000000006</v>
      </c>
      <c r="Q1628" s="2994">
        <v>74.127899999999997</v>
      </c>
      <c r="R1628" s="2994">
        <v>80.249499999999998</v>
      </c>
      <c r="S1628" s="2994">
        <v>75.683499999999995</v>
      </c>
      <c r="T1628" s="2994">
        <v>79.899699999999996</v>
      </c>
      <c r="U1628" s="2994">
        <v>76.429100000000005</v>
      </c>
      <c r="V1628" s="2994">
        <v>75.344399999999993</v>
      </c>
      <c r="W1628" s="2994">
        <v>79.483999999999995</v>
      </c>
      <c r="X1628" s="2994">
        <v>76.559200000000004</v>
      </c>
      <c r="Y1628" s="2994">
        <v>77.126900000000006</v>
      </c>
      <c r="Z1628" s="2994">
        <v>75.744500000000002</v>
      </c>
      <c r="AA1628" s="2994">
        <v>74.432699999999997</v>
      </c>
      <c r="AB1628" s="2994">
        <v>72.064700000000002</v>
      </c>
      <c r="AC1628" s="2994">
        <v>77.834900000000005</v>
      </c>
      <c r="AD1628" s="2994">
        <v>73.147599999999997</v>
      </c>
      <c r="AE1628" s="2994">
        <v>75.812700000000007</v>
      </c>
      <c r="AF1628" s="2994">
        <v>73.418000000000006</v>
      </c>
      <c r="AG1628" s="2994">
        <v>79.328699999999998</v>
      </c>
      <c r="AH1628" s="2994">
        <v>82.073700000000002</v>
      </c>
      <c r="AI1628" s="2994">
        <v>70.494900000000001</v>
      </c>
      <c r="AJ1628" s="2994">
        <v>59.942700000000002</v>
      </c>
      <c r="AK1628" s="2994">
        <v>60.106999999999999</v>
      </c>
      <c r="AL1628" s="2994">
        <v>78.456699999999998</v>
      </c>
      <c r="AM1628" s="2994">
        <v>85.266900000000007</v>
      </c>
      <c r="AN1628" s="2994">
        <v>88.273799999999994</v>
      </c>
      <c r="AO1628" s="2994">
        <v>89.429900000000004</v>
      </c>
      <c r="AP1628" s="2994">
        <v>90.883600000000001</v>
      </c>
      <c r="AQ1628" s="2994">
        <v>90.153800000000004</v>
      </c>
      <c r="AR1628" s="2994">
        <v>90.087999999999994</v>
      </c>
      <c r="AS1628" s="2994">
        <v>86.181600000000003</v>
      </c>
      <c r="AT1628" s="2994">
        <v>66.473699999999994</v>
      </c>
      <c r="AU1628" s="2994">
        <v>70.266999999999996</v>
      </c>
      <c r="AV1628" s="2994">
        <v>77.786299999999997</v>
      </c>
      <c r="AW1628" s="2994">
        <v>78.128900000000002</v>
      </c>
      <c r="AX1628" s="2994">
        <v>82.198800000000006</v>
      </c>
      <c r="AY1628" s="2994">
        <v>84.396500000000003</v>
      </c>
      <c r="AZ1628" s="2994">
        <v>83.262500000000003</v>
      </c>
      <c r="BA1628" s="2994">
        <v>80.152000000000001</v>
      </c>
      <c r="BB1628" s="2994">
        <v>72.864099999999993</v>
      </c>
      <c r="BC1628" s="2994">
        <v>73.137200000000007</v>
      </c>
      <c r="BD1628" s="3471">
        <v>76.175899999999999</v>
      </c>
      <c r="BE1628" s="3471">
        <v>71.511499999999998</v>
      </c>
      <c r="BF1628" s="3471">
        <v>76.262600000000006</v>
      </c>
    </row>
    <row r="1629" spans="1:58">
      <c r="A1629" s="1817" t="str">
        <f t="shared" si="51"/>
        <v>OceaniaSugar crops, nes</v>
      </c>
      <c r="B1629" s="1818" t="s">
        <v>303</v>
      </c>
      <c r="C1629" s="1818" t="s">
        <v>7380</v>
      </c>
      <c r="D1629" s="3463" t="str">
        <f>VLOOKUP(B1629,List_Yield!$G$4:$J$14,4,FALSE)</f>
        <v>Oceania</v>
      </c>
      <c r="E1629" s="3463" t="str">
        <f t="shared" si="52"/>
        <v>OceaniaSugar crops, nes</v>
      </c>
      <c r="F1629" s="2994">
        <v>0</v>
      </c>
      <c r="G1629" s="2994">
        <v>0</v>
      </c>
      <c r="H1629" s="2994">
        <v>0</v>
      </c>
      <c r="I1629" s="2994">
        <v>0</v>
      </c>
      <c r="J1629" s="2994">
        <v>0</v>
      </c>
      <c r="K1629" s="2994">
        <v>0</v>
      </c>
      <c r="L1629" s="2994">
        <v>0</v>
      </c>
      <c r="M1629" s="2994">
        <v>0</v>
      </c>
      <c r="N1629" s="2994">
        <v>0</v>
      </c>
      <c r="O1629" s="2994">
        <v>0</v>
      </c>
      <c r="P1629" s="2994">
        <v>0</v>
      </c>
      <c r="Q1629" s="2994">
        <v>0</v>
      </c>
      <c r="R1629" s="2994">
        <v>0</v>
      </c>
      <c r="S1629" s="2994">
        <v>0</v>
      </c>
      <c r="T1629" s="2994">
        <v>0</v>
      </c>
      <c r="U1629" s="2994">
        <v>0</v>
      </c>
      <c r="V1629" s="2994">
        <v>0</v>
      </c>
      <c r="W1629" s="2994">
        <v>0</v>
      </c>
      <c r="X1629" s="2994">
        <v>0</v>
      </c>
      <c r="Y1629" s="2994">
        <v>0</v>
      </c>
      <c r="Z1629" s="2994">
        <v>0</v>
      </c>
      <c r="AA1629" s="2994">
        <v>0</v>
      </c>
      <c r="AB1629" s="2994">
        <v>0</v>
      </c>
      <c r="AC1629" s="2994">
        <v>0</v>
      </c>
      <c r="AD1629" s="2994">
        <v>0</v>
      </c>
      <c r="AE1629" s="2994">
        <v>0</v>
      </c>
      <c r="AF1629" s="2994">
        <v>0</v>
      </c>
      <c r="AG1629" s="2994">
        <v>0</v>
      </c>
      <c r="AH1629" s="2994">
        <v>0</v>
      </c>
      <c r="AI1629" s="2994">
        <v>0</v>
      </c>
      <c r="AJ1629" s="2994">
        <v>0</v>
      </c>
      <c r="AK1629" s="2994">
        <v>0</v>
      </c>
      <c r="AL1629" s="2994">
        <v>0</v>
      </c>
      <c r="AM1629" s="2994">
        <v>0</v>
      </c>
      <c r="AN1629" s="2994">
        <v>0</v>
      </c>
      <c r="AO1629" s="2994">
        <v>0</v>
      </c>
      <c r="AP1629" s="2994">
        <v>0</v>
      </c>
      <c r="AQ1629" s="2994">
        <v>0</v>
      </c>
      <c r="AR1629" s="2994">
        <v>0</v>
      </c>
      <c r="AS1629" s="2994">
        <v>0</v>
      </c>
      <c r="AT1629" s="2994">
        <v>0</v>
      </c>
      <c r="AU1629" s="2994">
        <v>0</v>
      </c>
      <c r="AV1629" s="2994">
        <v>0</v>
      </c>
      <c r="AW1629" s="2994">
        <v>0</v>
      </c>
      <c r="AX1629" s="2994">
        <v>0</v>
      </c>
      <c r="AY1629" s="2994">
        <v>0</v>
      </c>
      <c r="AZ1629" s="2994">
        <v>0</v>
      </c>
      <c r="BA1629" s="2994">
        <v>0</v>
      </c>
      <c r="BB1629" s="2994">
        <v>0</v>
      </c>
      <c r="BC1629" s="2994">
        <v>0</v>
      </c>
      <c r="BD1629" s="3471">
        <v>0</v>
      </c>
      <c r="BE1629" s="3471">
        <v>0</v>
      </c>
      <c r="BF1629" s="3471">
        <v>0</v>
      </c>
    </row>
    <row r="1630" spans="1:58">
      <c r="A1630" s="1817" t="str">
        <f t="shared" si="51"/>
        <v>OceaniaSunflower seed</v>
      </c>
      <c r="B1630" s="1818" t="s">
        <v>303</v>
      </c>
      <c r="C1630" s="1818" t="s">
        <v>1376</v>
      </c>
      <c r="D1630" s="3463" t="str">
        <f>VLOOKUP(B1630,List_Yield!$G$4:$J$14,4,FALSE)</f>
        <v>Oceania</v>
      </c>
      <c r="E1630" s="3463" t="str">
        <f t="shared" si="52"/>
        <v>OceaniaSunflower seed</v>
      </c>
      <c r="F1630" s="2994">
        <v>0.73180000000000001</v>
      </c>
      <c r="G1630" s="2994">
        <v>0.66610000000000003</v>
      </c>
      <c r="H1630" s="2994">
        <v>0.6774</v>
      </c>
      <c r="I1630" s="2994">
        <v>0.58530000000000004</v>
      </c>
      <c r="J1630" s="2994">
        <v>0.63539999999999996</v>
      </c>
      <c r="K1630" s="2994">
        <v>0.65259999999999996</v>
      </c>
      <c r="L1630" s="2994">
        <v>0.49459999999999998</v>
      </c>
      <c r="M1630" s="2994">
        <v>0.52810000000000001</v>
      </c>
      <c r="N1630" s="2994">
        <v>0.45800000000000002</v>
      </c>
      <c r="O1630" s="2994">
        <v>0.51</v>
      </c>
      <c r="P1630" s="2994">
        <v>0.77859999999999996</v>
      </c>
      <c r="Q1630" s="2994">
        <v>0.50009999999999999</v>
      </c>
      <c r="R1630" s="2994">
        <v>0.42209999999999998</v>
      </c>
      <c r="S1630" s="2994">
        <v>0.56000000000000005</v>
      </c>
      <c r="T1630" s="2994">
        <v>0.54120000000000001</v>
      </c>
      <c r="U1630" s="2994">
        <v>0.5877</v>
      </c>
      <c r="V1630" s="2994">
        <v>0.55620000000000003</v>
      </c>
      <c r="W1630" s="2994">
        <v>0.71789999999999998</v>
      </c>
      <c r="X1630" s="2994">
        <v>0.71430000000000005</v>
      </c>
      <c r="Y1630" s="2994">
        <v>0.64070000000000005</v>
      </c>
      <c r="Z1630" s="2994">
        <v>0.70309999999999995</v>
      </c>
      <c r="AA1630" s="2994">
        <v>0.64839999999999998</v>
      </c>
      <c r="AB1630" s="2994">
        <v>0.59089999999999998</v>
      </c>
      <c r="AC1630" s="2994">
        <v>0.72960000000000003</v>
      </c>
      <c r="AD1630" s="2994">
        <v>0.82769999999999999</v>
      </c>
      <c r="AE1630" s="2994">
        <v>0.77659999999999996</v>
      </c>
      <c r="AF1630" s="2994">
        <v>0.71309999999999996</v>
      </c>
      <c r="AG1630" s="2994">
        <v>1.0790999999999999</v>
      </c>
      <c r="AH1630" s="2994">
        <v>0.92869999999999997</v>
      </c>
      <c r="AI1630" s="2994">
        <v>1.1020000000000001</v>
      </c>
      <c r="AJ1630" s="2994">
        <v>0.91039999999999999</v>
      </c>
      <c r="AK1630" s="2994">
        <v>1.0680000000000001</v>
      </c>
      <c r="AL1630" s="2994">
        <v>0.83520000000000005</v>
      </c>
      <c r="AM1630" s="2994">
        <v>0.92910000000000004</v>
      </c>
      <c r="AN1630" s="2994">
        <v>0.82379999999999998</v>
      </c>
      <c r="AO1630" s="2994">
        <v>0.83109999999999995</v>
      </c>
      <c r="AP1630" s="2994">
        <v>1.0303</v>
      </c>
      <c r="AQ1630" s="2994">
        <v>1.0606</v>
      </c>
      <c r="AR1630" s="2994">
        <v>1.2478</v>
      </c>
      <c r="AS1630" s="2994">
        <v>1.0494000000000001</v>
      </c>
      <c r="AT1630" s="2994">
        <v>0.93899999999999995</v>
      </c>
      <c r="AU1630" s="2994">
        <v>0.8861</v>
      </c>
      <c r="AV1630" s="2994">
        <v>0.54179999999999995</v>
      </c>
      <c r="AW1630" s="2994">
        <v>0.78249999999999997</v>
      </c>
      <c r="AX1630" s="2994">
        <v>1.2712000000000001</v>
      </c>
      <c r="AY1630" s="2994">
        <v>1.2643</v>
      </c>
      <c r="AZ1630" s="2994">
        <v>1.2412000000000001</v>
      </c>
      <c r="BA1630" s="2994">
        <v>1.5083</v>
      </c>
      <c r="BB1630" s="2994">
        <v>1.0676000000000001</v>
      </c>
      <c r="BC1630" s="2994">
        <v>1.5414000000000001</v>
      </c>
      <c r="BD1630" s="3471">
        <v>1.1442000000000001</v>
      </c>
      <c r="BE1630" s="3471">
        <v>1.1692</v>
      </c>
      <c r="BF1630" s="3471">
        <v>1.462</v>
      </c>
    </row>
    <row r="1631" spans="1:58">
      <c r="A1631" s="1817" t="str">
        <f t="shared" si="51"/>
        <v>OceaniaSweet potatoes</v>
      </c>
      <c r="B1631" s="1818" t="s">
        <v>303</v>
      </c>
      <c r="C1631" s="1818" t="s">
        <v>1377</v>
      </c>
      <c r="D1631" s="3463" t="str">
        <f>VLOOKUP(B1631,List_Yield!$G$4:$J$14,4,FALSE)</f>
        <v>Oceania</v>
      </c>
      <c r="E1631" s="3463" t="str">
        <f t="shared" si="52"/>
        <v>OceaniaSweet potatoes</v>
      </c>
      <c r="F1631" s="2994">
        <v>4.4671000000000003</v>
      </c>
      <c r="G1631" s="2994">
        <v>4.4798</v>
      </c>
      <c r="H1631" s="2994">
        <v>4.5008999999999997</v>
      </c>
      <c r="I1631" s="2994">
        <v>4.4942000000000002</v>
      </c>
      <c r="J1631" s="2994">
        <v>4.5328999999999997</v>
      </c>
      <c r="K1631" s="2994">
        <v>4.7028999999999996</v>
      </c>
      <c r="L1631" s="2994">
        <v>4.7256999999999998</v>
      </c>
      <c r="M1631" s="2994">
        <v>4.6242999999999999</v>
      </c>
      <c r="N1631" s="2994">
        <v>4.6368</v>
      </c>
      <c r="O1631" s="2994">
        <v>4.7485999999999997</v>
      </c>
      <c r="P1631" s="2994">
        <v>4.8208000000000002</v>
      </c>
      <c r="Q1631" s="2994">
        <v>4.9664000000000001</v>
      </c>
      <c r="R1631" s="2994">
        <v>4.9581</v>
      </c>
      <c r="S1631" s="2994">
        <v>5.0933000000000002</v>
      </c>
      <c r="T1631" s="2994">
        <v>4.9832999999999998</v>
      </c>
      <c r="U1631" s="2994">
        <v>4.9842000000000004</v>
      </c>
      <c r="V1631" s="2994">
        <v>4.9755000000000003</v>
      </c>
      <c r="W1631" s="2994">
        <v>5.0358999999999998</v>
      </c>
      <c r="X1631" s="2994">
        <v>4.9593999999999996</v>
      </c>
      <c r="Y1631" s="2994">
        <v>5.0644</v>
      </c>
      <c r="Z1631" s="2994">
        <v>5.0164999999999997</v>
      </c>
      <c r="AA1631" s="2994">
        <v>5.0007000000000001</v>
      </c>
      <c r="AB1631" s="2994">
        <v>5.141</v>
      </c>
      <c r="AC1631" s="2994">
        <v>5.19</v>
      </c>
      <c r="AD1631" s="2994">
        <v>5.258</v>
      </c>
      <c r="AE1631" s="2994">
        <v>5.18</v>
      </c>
      <c r="AF1631" s="2994">
        <v>5.2591000000000001</v>
      </c>
      <c r="AG1631" s="2994">
        <v>5.5082000000000004</v>
      </c>
      <c r="AH1631" s="2994">
        <v>5.0556000000000001</v>
      </c>
      <c r="AI1631" s="2994">
        <v>4.7188999999999997</v>
      </c>
      <c r="AJ1631" s="2994">
        <v>5.2576999999999998</v>
      </c>
      <c r="AK1631" s="2994">
        <v>5.3375000000000004</v>
      </c>
      <c r="AL1631" s="2994">
        <v>5.4417999999999997</v>
      </c>
      <c r="AM1631" s="2994">
        <v>5.2053000000000003</v>
      </c>
      <c r="AN1631" s="2994">
        <v>5.3342000000000001</v>
      </c>
      <c r="AO1631" s="2994">
        <v>5.2538999999999998</v>
      </c>
      <c r="AP1631" s="2994">
        <v>5.2938999999999998</v>
      </c>
      <c r="AQ1631" s="2994">
        <v>5.3516000000000004</v>
      </c>
      <c r="AR1631" s="2994">
        <v>5.4823000000000004</v>
      </c>
      <c r="AS1631" s="2994">
        <v>5.5545</v>
      </c>
      <c r="AT1631" s="2994">
        <v>5.6627000000000001</v>
      </c>
      <c r="AU1631" s="2994">
        <v>5.6661999999999999</v>
      </c>
      <c r="AV1631" s="2994">
        <v>6.0117000000000003</v>
      </c>
      <c r="AW1631" s="2994">
        <v>5.9394999999999998</v>
      </c>
      <c r="AX1631" s="2994">
        <v>5.6010999999999997</v>
      </c>
      <c r="AY1631" s="2994">
        <v>5.8857999999999997</v>
      </c>
      <c r="AZ1631" s="2994">
        <v>5.8815</v>
      </c>
      <c r="BA1631" s="2994">
        <v>5.6505000000000001</v>
      </c>
      <c r="BB1631" s="2994">
        <v>5.6510999999999996</v>
      </c>
      <c r="BC1631" s="2994">
        <v>5.8452000000000002</v>
      </c>
      <c r="BD1631" s="3471">
        <v>5.8419999999999996</v>
      </c>
      <c r="BE1631" s="3471">
        <v>5.5579000000000001</v>
      </c>
      <c r="BF1631" s="3471">
        <v>5.6577000000000002</v>
      </c>
    </row>
    <row r="1632" spans="1:58">
      <c r="A1632" s="1817" t="str">
        <f t="shared" si="51"/>
        <v>OceaniaTallowtree seed</v>
      </c>
      <c r="B1632" s="1818" t="s">
        <v>303</v>
      </c>
      <c r="C1632" s="1818" t="s">
        <v>7381</v>
      </c>
      <c r="D1632" s="3463" t="str">
        <f>VLOOKUP(B1632,List_Yield!$G$4:$J$14,4,FALSE)</f>
        <v>Oceania</v>
      </c>
      <c r="E1632" s="3463" t="str">
        <f t="shared" si="52"/>
        <v>OceaniaTallowtree seed</v>
      </c>
      <c r="F1632" s="2994">
        <v>0</v>
      </c>
      <c r="G1632" s="2994">
        <v>0</v>
      </c>
      <c r="H1632" s="2994">
        <v>0</v>
      </c>
      <c r="I1632" s="2994">
        <v>0</v>
      </c>
      <c r="J1632" s="2994">
        <v>0</v>
      </c>
      <c r="K1632" s="2994">
        <v>0</v>
      </c>
      <c r="L1632" s="2994">
        <v>0</v>
      </c>
      <c r="M1632" s="2994">
        <v>0</v>
      </c>
      <c r="N1632" s="2994">
        <v>0</v>
      </c>
      <c r="O1632" s="2994">
        <v>0</v>
      </c>
      <c r="P1632" s="2994">
        <v>0</v>
      </c>
      <c r="Q1632" s="2994">
        <v>0</v>
      </c>
      <c r="R1632" s="2994">
        <v>0</v>
      </c>
      <c r="S1632" s="2994">
        <v>0</v>
      </c>
      <c r="T1632" s="2994">
        <v>0</v>
      </c>
      <c r="U1632" s="2994">
        <v>0</v>
      </c>
      <c r="V1632" s="2994">
        <v>0</v>
      </c>
      <c r="W1632" s="2994">
        <v>0</v>
      </c>
      <c r="X1632" s="2994">
        <v>0</v>
      </c>
      <c r="Y1632" s="2994">
        <v>0</v>
      </c>
      <c r="Z1632" s="2994">
        <v>0</v>
      </c>
      <c r="AA1632" s="2994">
        <v>0</v>
      </c>
      <c r="AB1632" s="2994">
        <v>0</v>
      </c>
      <c r="AC1632" s="2994">
        <v>0</v>
      </c>
      <c r="AD1632" s="2994">
        <v>0</v>
      </c>
      <c r="AE1632" s="2994">
        <v>0</v>
      </c>
      <c r="AF1632" s="2994">
        <v>0</v>
      </c>
      <c r="AG1632" s="2994">
        <v>0</v>
      </c>
      <c r="AH1632" s="2994">
        <v>0</v>
      </c>
      <c r="AI1632" s="2994">
        <v>0</v>
      </c>
      <c r="AJ1632" s="2994">
        <v>0</v>
      </c>
      <c r="AK1632" s="2994">
        <v>0</v>
      </c>
      <c r="AL1632" s="2994">
        <v>0</v>
      </c>
      <c r="AM1632" s="2994">
        <v>0</v>
      </c>
      <c r="AN1632" s="2994">
        <v>0</v>
      </c>
      <c r="AO1632" s="2994">
        <v>0</v>
      </c>
      <c r="AP1632" s="2994">
        <v>0</v>
      </c>
      <c r="AQ1632" s="2994">
        <v>0</v>
      </c>
      <c r="AR1632" s="2994">
        <v>0</v>
      </c>
      <c r="AS1632" s="2994">
        <v>0</v>
      </c>
      <c r="AT1632" s="2994">
        <v>0</v>
      </c>
      <c r="AU1632" s="2994">
        <v>0</v>
      </c>
      <c r="AV1632" s="2994">
        <v>0</v>
      </c>
      <c r="AW1632" s="2994">
        <v>0</v>
      </c>
      <c r="AX1632" s="2994">
        <v>0</v>
      </c>
      <c r="AY1632" s="2994">
        <v>0</v>
      </c>
      <c r="AZ1632" s="2994">
        <v>0</v>
      </c>
      <c r="BA1632" s="2994">
        <v>0</v>
      </c>
      <c r="BB1632" s="2994">
        <v>0</v>
      </c>
      <c r="BC1632" s="2994">
        <v>0</v>
      </c>
      <c r="BD1632" s="3471">
        <v>0</v>
      </c>
      <c r="BE1632" s="3471">
        <v>0</v>
      </c>
      <c r="BF1632" s="3471">
        <v>0</v>
      </c>
    </row>
    <row r="1633" spans="1:58">
      <c r="A1633" s="1817" t="str">
        <f t="shared" si="51"/>
        <v>OceaniaTangerines, mandarins, clementines, satsumas</v>
      </c>
      <c r="B1633" s="1818" t="s">
        <v>303</v>
      </c>
      <c r="C1633" s="1818" t="s">
        <v>7382</v>
      </c>
      <c r="D1633" s="3463" t="str">
        <f>VLOOKUP(B1633,List_Yield!$G$4:$J$14,4,FALSE)</f>
        <v>Oceania</v>
      </c>
      <c r="E1633" s="3463" t="str">
        <f t="shared" si="52"/>
        <v>OceaniaTangerines, mandarins, clementines, satsumas</v>
      </c>
      <c r="F1633" s="2994">
        <v>9.5315999999999992</v>
      </c>
      <c r="G1633" s="2994">
        <v>9.5587999999999997</v>
      </c>
      <c r="H1633" s="2994">
        <v>10.250999999999999</v>
      </c>
      <c r="I1633" s="2994">
        <v>9.1940000000000008</v>
      </c>
      <c r="J1633" s="2994">
        <v>10.006</v>
      </c>
      <c r="K1633" s="2994">
        <v>7.8409000000000004</v>
      </c>
      <c r="L1633" s="2994">
        <v>9.3602000000000007</v>
      </c>
      <c r="M1633" s="2994">
        <v>10.4011</v>
      </c>
      <c r="N1633" s="2994">
        <v>8.9957999999999991</v>
      </c>
      <c r="O1633" s="2994">
        <v>9.5785</v>
      </c>
      <c r="P1633" s="2994">
        <v>10.5215</v>
      </c>
      <c r="Q1633" s="2994">
        <v>12.3865</v>
      </c>
      <c r="R1633" s="2994">
        <v>12.686999999999999</v>
      </c>
      <c r="S1633" s="2994">
        <v>14.694900000000001</v>
      </c>
      <c r="T1633" s="2994">
        <v>14.4855</v>
      </c>
      <c r="U1633" s="2994">
        <v>15.3506</v>
      </c>
      <c r="V1633" s="2994">
        <v>17.3278</v>
      </c>
      <c r="W1633" s="2994">
        <v>16.304600000000001</v>
      </c>
      <c r="X1633" s="2994">
        <v>18.293900000000001</v>
      </c>
      <c r="Y1633" s="2994">
        <v>18.5655</v>
      </c>
      <c r="Z1633" s="2994">
        <v>19.752199999999998</v>
      </c>
      <c r="AA1633" s="2994">
        <v>15.972300000000001</v>
      </c>
      <c r="AB1633" s="2994">
        <v>15.2288</v>
      </c>
      <c r="AC1633" s="2994">
        <v>16.705100000000002</v>
      </c>
      <c r="AD1633" s="2994">
        <v>13.7752</v>
      </c>
      <c r="AE1633" s="2994">
        <v>16.364599999999999</v>
      </c>
      <c r="AF1633" s="2994">
        <v>16.058</v>
      </c>
      <c r="AG1633" s="2994">
        <v>14.284700000000001</v>
      </c>
      <c r="AH1633" s="2994">
        <v>18.328800000000001</v>
      </c>
      <c r="AI1633" s="2994">
        <v>15.9152</v>
      </c>
      <c r="AJ1633" s="2994">
        <v>15.3408</v>
      </c>
      <c r="AK1633" s="2994">
        <v>16.682500000000001</v>
      </c>
      <c r="AL1633" s="2994">
        <v>16.383600000000001</v>
      </c>
      <c r="AM1633" s="2994">
        <v>16.025500000000001</v>
      </c>
      <c r="AN1633" s="2994">
        <v>14.6784</v>
      </c>
      <c r="AO1633" s="2994">
        <v>13.595700000000001</v>
      </c>
      <c r="AP1633" s="2994">
        <v>15.596500000000001</v>
      </c>
      <c r="AQ1633" s="2994">
        <v>12.7315</v>
      </c>
      <c r="AR1633" s="2994">
        <v>14.2111</v>
      </c>
      <c r="AS1633" s="2994">
        <v>14.3432</v>
      </c>
      <c r="AT1633" s="2994">
        <v>16.927</v>
      </c>
      <c r="AU1633" s="2994">
        <v>16.188199999999998</v>
      </c>
      <c r="AV1633" s="2994">
        <v>20.1084</v>
      </c>
      <c r="AW1633" s="2994">
        <v>20.026900000000001</v>
      </c>
      <c r="AX1633" s="2994">
        <v>18.331600000000002</v>
      </c>
      <c r="AY1633" s="2994">
        <v>18.8932</v>
      </c>
      <c r="AZ1633" s="2994">
        <v>20.688600000000001</v>
      </c>
      <c r="BA1633" s="2994">
        <v>20.341799999999999</v>
      </c>
      <c r="BB1633" s="2994">
        <v>20.508099999999999</v>
      </c>
      <c r="BC1633" s="2994">
        <v>20.362100000000002</v>
      </c>
      <c r="BD1633" s="3471">
        <v>21.2423</v>
      </c>
      <c r="BE1633" s="3471">
        <v>19.689299999999999</v>
      </c>
      <c r="BF1633" s="3471">
        <v>0</v>
      </c>
    </row>
    <row r="1634" spans="1:58">
      <c r="A1634" s="1817" t="str">
        <f t="shared" si="51"/>
        <v>OceaniaTaro (cocoyam)</v>
      </c>
      <c r="B1634" s="1818" t="s">
        <v>303</v>
      </c>
      <c r="C1634" s="1818" t="s">
        <v>7383</v>
      </c>
      <c r="D1634" s="3463" t="str">
        <f>VLOOKUP(B1634,List_Yield!$G$4:$J$14,4,FALSE)</f>
        <v>Oceania</v>
      </c>
      <c r="E1634" s="3463" t="str">
        <f t="shared" si="52"/>
        <v>OceaniaTaro (cocoyam)</v>
      </c>
      <c r="F1634" s="2994">
        <v>7.0374999999999996</v>
      </c>
      <c r="G1634" s="2994">
        <v>7.0749000000000004</v>
      </c>
      <c r="H1634" s="2994">
        <v>7.0776000000000003</v>
      </c>
      <c r="I1634" s="2994">
        <v>7.0705</v>
      </c>
      <c r="J1634" s="2994">
        <v>7.0457000000000001</v>
      </c>
      <c r="K1634" s="2994">
        <v>7.0857000000000001</v>
      </c>
      <c r="L1634" s="2994">
        <v>6.9995000000000003</v>
      </c>
      <c r="M1634" s="2994">
        <v>7.0709999999999997</v>
      </c>
      <c r="N1634" s="2994">
        <v>7.1687000000000003</v>
      </c>
      <c r="O1634" s="2994">
        <v>7.1048</v>
      </c>
      <c r="P1634" s="2994">
        <v>7.1630000000000003</v>
      </c>
      <c r="Q1634" s="2994">
        <v>7.0796000000000001</v>
      </c>
      <c r="R1634" s="2994">
        <v>7.0106999999999999</v>
      </c>
      <c r="S1634" s="2994">
        <v>6.8555999999999999</v>
      </c>
      <c r="T1634" s="2994">
        <v>6.9463999999999997</v>
      </c>
      <c r="U1634" s="2994">
        <v>6.8813000000000004</v>
      </c>
      <c r="V1634" s="2994">
        <v>6.8688000000000002</v>
      </c>
      <c r="W1634" s="2994">
        <v>6.8654999999999999</v>
      </c>
      <c r="X1634" s="2994">
        <v>6.8861999999999997</v>
      </c>
      <c r="Y1634" s="2994">
        <v>6.9930000000000003</v>
      </c>
      <c r="Z1634" s="2994">
        <v>7.0250000000000004</v>
      </c>
      <c r="AA1634" s="2994">
        <v>7.0647000000000002</v>
      </c>
      <c r="AB1634" s="2994">
        <v>7.1913</v>
      </c>
      <c r="AC1634" s="2994">
        <v>7.1109</v>
      </c>
      <c r="AD1634" s="2994">
        <v>7.1508000000000003</v>
      </c>
      <c r="AE1634" s="2994">
        <v>7.1356000000000002</v>
      </c>
      <c r="AF1634" s="2994">
        <v>7.2260999999999997</v>
      </c>
      <c r="AG1634" s="2994">
        <v>7.2678000000000003</v>
      </c>
      <c r="AH1634" s="2994">
        <v>7.0171000000000001</v>
      </c>
      <c r="AI1634" s="2994">
        <v>6.3132000000000001</v>
      </c>
      <c r="AJ1634" s="2994">
        <v>7.3959000000000001</v>
      </c>
      <c r="AK1634" s="2994">
        <v>7.3018999999999998</v>
      </c>
      <c r="AL1634" s="2994">
        <v>7.5190000000000001</v>
      </c>
      <c r="AM1634" s="2994">
        <v>6.6498999999999997</v>
      </c>
      <c r="AN1634" s="2994">
        <v>6.7156000000000002</v>
      </c>
      <c r="AO1634" s="2994">
        <v>6.5274000000000001</v>
      </c>
      <c r="AP1634" s="2994">
        <v>6.7003000000000004</v>
      </c>
      <c r="AQ1634" s="2994">
        <v>6.7552000000000003</v>
      </c>
      <c r="AR1634" s="2994">
        <v>6.867</v>
      </c>
      <c r="AS1634" s="2994">
        <v>6.8140999999999998</v>
      </c>
      <c r="AT1634" s="2994">
        <v>7.0010000000000003</v>
      </c>
      <c r="AU1634" s="2994">
        <v>7.1363000000000003</v>
      </c>
      <c r="AV1634" s="2994">
        <v>7.1280999999999999</v>
      </c>
      <c r="AW1634" s="2994">
        <v>7.2443999999999997</v>
      </c>
      <c r="AX1634" s="2994">
        <v>7.3830999999999998</v>
      </c>
      <c r="AY1634" s="2994">
        <v>6.9593999999999996</v>
      </c>
      <c r="AZ1634" s="2994">
        <v>7.3487999999999998</v>
      </c>
      <c r="BA1634" s="2994">
        <v>6.9851000000000001</v>
      </c>
      <c r="BB1634" s="2994">
        <v>7.4767000000000001</v>
      </c>
      <c r="BC1634" s="2994">
        <v>7.4301000000000004</v>
      </c>
      <c r="BD1634" s="3471">
        <v>7.5614999999999997</v>
      </c>
      <c r="BE1634" s="3471">
        <v>8.1783000000000001</v>
      </c>
      <c r="BF1634" s="3471">
        <v>8.2165999999999997</v>
      </c>
    </row>
    <row r="1635" spans="1:58">
      <c r="A1635" s="1817" t="str">
        <f t="shared" si="51"/>
        <v>OceaniaTea</v>
      </c>
      <c r="B1635" s="1818" t="s">
        <v>303</v>
      </c>
      <c r="C1635" s="1818" t="s">
        <v>1379</v>
      </c>
      <c r="D1635" s="3463" t="str">
        <f>VLOOKUP(B1635,List_Yield!$G$4:$J$14,4,FALSE)</f>
        <v>Oceania</v>
      </c>
      <c r="E1635" s="3463" t="str">
        <f t="shared" si="52"/>
        <v>OceaniaTea</v>
      </c>
      <c r="F1635" s="2994">
        <v>0.5</v>
      </c>
      <c r="G1635" s="2994">
        <v>0.5</v>
      </c>
      <c r="H1635" s="2994">
        <v>0.5</v>
      </c>
      <c r="I1635" s="2994">
        <v>0.5</v>
      </c>
      <c r="J1635" s="2994">
        <v>0.75</v>
      </c>
      <c r="K1635" s="2994">
        <v>0.75</v>
      </c>
      <c r="L1635" s="2994">
        <v>0.39</v>
      </c>
      <c r="M1635" s="2994">
        <v>0.37</v>
      </c>
      <c r="N1635" s="2994">
        <v>0.39950000000000002</v>
      </c>
      <c r="O1635" s="2994">
        <v>0.55810000000000004</v>
      </c>
      <c r="P1635" s="2994">
        <v>0.57669999999999999</v>
      </c>
      <c r="Q1635" s="2994">
        <v>1.0111000000000001</v>
      </c>
      <c r="R1635" s="2994">
        <v>1.0188999999999999</v>
      </c>
      <c r="S1635" s="2994">
        <v>1.3326</v>
      </c>
      <c r="T1635" s="2994">
        <v>1.3469</v>
      </c>
      <c r="U1635" s="2994">
        <v>1.3305</v>
      </c>
      <c r="V1635" s="2994">
        <v>1.7104999999999999</v>
      </c>
      <c r="W1635" s="2994">
        <v>1.6629</v>
      </c>
      <c r="X1635" s="2994">
        <v>2.1141999999999999</v>
      </c>
      <c r="Y1635" s="2994">
        <v>2.2002999999999999</v>
      </c>
      <c r="Z1635" s="2994">
        <v>3.2660999999999998</v>
      </c>
      <c r="AA1635" s="2994">
        <v>3.2467000000000001</v>
      </c>
      <c r="AB1635" s="2994">
        <v>3.2923</v>
      </c>
      <c r="AC1635" s="2994">
        <v>3.1911999999999998</v>
      </c>
      <c r="AD1635" s="2994">
        <v>2.2444000000000002</v>
      </c>
      <c r="AE1635" s="2994">
        <v>2.0512999999999999</v>
      </c>
      <c r="AF1635" s="2994">
        <v>2.0512999999999999</v>
      </c>
      <c r="AG1635" s="2994">
        <v>2.0512999999999999</v>
      </c>
      <c r="AH1635" s="2994">
        <v>2.0512999999999999</v>
      </c>
      <c r="AI1635" s="2994">
        <v>1.7037</v>
      </c>
      <c r="AJ1635" s="2994">
        <v>2.0712000000000002</v>
      </c>
      <c r="AK1635" s="2994">
        <v>2.1429</v>
      </c>
      <c r="AL1635" s="2994">
        <v>1.8913</v>
      </c>
      <c r="AM1635" s="2994">
        <v>1.8889</v>
      </c>
      <c r="AN1635" s="2994">
        <v>0.88109999999999999</v>
      </c>
      <c r="AO1635" s="2994">
        <v>1.2783</v>
      </c>
      <c r="AP1635" s="2994">
        <v>1.7186999999999999</v>
      </c>
      <c r="AQ1635" s="2994">
        <v>1.8149999999999999</v>
      </c>
      <c r="AR1635" s="2994">
        <v>1.55</v>
      </c>
      <c r="AS1635" s="2994">
        <v>1.55</v>
      </c>
      <c r="AT1635" s="2994">
        <v>1.6052999999999999</v>
      </c>
      <c r="AU1635" s="2994">
        <v>1.6757</v>
      </c>
      <c r="AV1635" s="2994">
        <v>1.7297</v>
      </c>
      <c r="AW1635" s="2994">
        <v>1.7567999999999999</v>
      </c>
      <c r="AX1635" s="2994">
        <v>1.7367999999999999</v>
      </c>
      <c r="AY1635" s="2994">
        <v>1.65</v>
      </c>
      <c r="AZ1635" s="2994">
        <v>1.4773000000000001</v>
      </c>
      <c r="BA1635" s="2994">
        <v>1.3332999999999999</v>
      </c>
      <c r="BB1635" s="2994">
        <v>1.4221999999999999</v>
      </c>
      <c r="BC1635" s="2994">
        <v>1.3714</v>
      </c>
      <c r="BD1635" s="3471">
        <v>1.4666999999999999</v>
      </c>
      <c r="BE1635" s="3471">
        <v>1.5333000000000001</v>
      </c>
      <c r="BF1635" s="3471">
        <v>0</v>
      </c>
    </row>
    <row r="1636" spans="1:58">
      <c r="A1636" s="1817" t="str">
        <f t="shared" si="51"/>
        <v>OceaniaTobacco, unmanufactured</v>
      </c>
      <c r="B1636" s="1818" t="s">
        <v>303</v>
      </c>
      <c r="C1636" s="1818" t="s">
        <v>1321</v>
      </c>
      <c r="D1636" s="3463" t="str">
        <f>VLOOKUP(B1636,List_Yield!$G$4:$J$14,4,FALSE)</f>
        <v>Oceania</v>
      </c>
      <c r="E1636" s="3463" t="str">
        <f t="shared" si="52"/>
        <v>OceaniaTobacco, unmanufactured</v>
      </c>
      <c r="F1636" s="2994">
        <v>1.3501000000000001</v>
      </c>
      <c r="G1636" s="2994">
        <v>1.2422</v>
      </c>
      <c r="H1636" s="2994">
        <v>1.2754000000000001</v>
      </c>
      <c r="I1636" s="2994">
        <v>1.5327</v>
      </c>
      <c r="J1636" s="2994">
        <v>1.3328</v>
      </c>
      <c r="K1636" s="2994">
        <v>1.4748000000000001</v>
      </c>
      <c r="L1636" s="2994">
        <v>1.5097</v>
      </c>
      <c r="M1636" s="2994">
        <v>1.3614999999999999</v>
      </c>
      <c r="N1636" s="2994">
        <v>1.63</v>
      </c>
      <c r="O1636" s="2994">
        <v>1.7162999999999999</v>
      </c>
      <c r="P1636" s="2994">
        <v>1.7593000000000001</v>
      </c>
      <c r="Q1636" s="2994">
        <v>1.6246</v>
      </c>
      <c r="R1636" s="2994">
        <v>1.7634000000000001</v>
      </c>
      <c r="S1636" s="2994">
        <v>1.7787999999999999</v>
      </c>
      <c r="T1636" s="2994">
        <v>1.6818</v>
      </c>
      <c r="U1636" s="2994">
        <v>1.6721999999999999</v>
      </c>
      <c r="V1636" s="2994">
        <v>1.6807000000000001</v>
      </c>
      <c r="W1636" s="2994">
        <v>1.7879</v>
      </c>
      <c r="X1636" s="2994">
        <v>1.9191</v>
      </c>
      <c r="Y1636" s="2994">
        <v>2.0305</v>
      </c>
      <c r="Z1636" s="2994">
        <v>2.0623999999999998</v>
      </c>
      <c r="AA1636" s="2994">
        <v>2.0710000000000002</v>
      </c>
      <c r="AB1636" s="2994">
        <v>2.0348000000000002</v>
      </c>
      <c r="AC1636" s="2994">
        <v>2.1928000000000001</v>
      </c>
      <c r="AD1636" s="2994">
        <v>2.2898000000000001</v>
      </c>
      <c r="AE1636" s="2994">
        <v>2.1549999999999998</v>
      </c>
      <c r="AF1636" s="2994">
        <v>2.4504000000000001</v>
      </c>
      <c r="AG1636" s="2994">
        <v>2.4538000000000002</v>
      </c>
      <c r="AH1636" s="2994">
        <v>2.4068000000000001</v>
      </c>
      <c r="AI1636" s="2994">
        <v>2.3142</v>
      </c>
      <c r="AJ1636" s="2994">
        <v>2.4769999999999999</v>
      </c>
      <c r="AK1636" s="2994">
        <v>2.3403</v>
      </c>
      <c r="AL1636" s="2994">
        <v>2.4060000000000001</v>
      </c>
      <c r="AM1636" s="2994">
        <v>2.5945999999999998</v>
      </c>
      <c r="AN1636" s="2994">
        <v>2.2138</v>
      </c>
      <c r="AO1636" s="2994">
        <v>2.6614</v>
      </c>
      <c r="AP1636" s="2994">
        <v>2.5758999999999999</v>
      </c>
      <c r="AQ1636" s="2994">
        <v>2.7852000000000001</v>
      </c>
      <c r="AR1636" s="2994">
        <v>2.3773</v>
      </c>
      <c r="AS1636" s="2994">
        <v>2.2932000000000001</v>
      </c>
      <c r="AT1636" s="2994">
        <v>2.7757999999999998</v>
      </c>
      <c r="AU1636" s="2994">
        <v>2.7835999999999999</v>
      </c>
      <c r="AV1636" s="2994">
        <v>2.5228999999999999</v>
      </c>
      <c r="AW1636" s="2994">
        <v>2.2747999999999999</v>
      </c>
      <c r="AX1636" s="2994">
        <v>2.3475000000000001</v>
      </c>
      <c r="AY1636" s="2994">
        <v>2.3035000000000001</v>
      </c>
      <c r="AZ1636" s="2994">
        <v>1.8407</v>
      </c>
      <c r="BA1636" s="2994">
        <v>1.7806</v>
      </c>
      <c r="BB1636" s="2994">
        <v>2.298</v>
      </c>
      <c r="BC1636" s="2994">
        <v>2.3037999999999998</v>
      </c>
      <c r="BD1636" s="3471">
        <v>2.3165</v>
      </c>
      <c r="BE1636" s="3471">
        <v>2.3304</v>
      </c>
      <c r="BF1636" s="3471">
        <v>0</v>
      </c>
    </row>
    <row r="1637" spans="1:58">
      <c r="A1637" s="1817" t="str">
        <f t="shared" si="51"/>
        <v>OceaniaTomatoes</v>
      </c>
      <c r="B1637" s="1818" t="s">
        <v>303</v>
      </c>
      <c r="C1637" s="1818" t="s">
        <v>1380</v>
      </c>
      <c r="D1637" s="3463" t="str">
        <f>VLOOKUP(B1637,List_Yield!$G$4:$J$14,4,FALSE)</f>
        <v>Oceania</v>
      </c>
      <c r="E1637" s="3463" t="str">
        <f t="shared" si="52"/>
        <v>OceaniaTomatoes</v>
      </c>
      <c r="F1637" s="2994">
        <v>21.671299999999999</v>
      </c>
      <c r="G1637" s="2994">
        <v>23.286000000000001</v>
      </c>
      <c r="H1637" s="2994">
        <v>23.2484</v>
      </c>
      <c r="I1637" s="2994">
        <v>23.407800000000002</v>
      </c>
      <c r="J1637" s="2994">
        <v>25.357199999999999</v>
      </c>
      <c r="K1637" s="2994">
        <v>25.102799999999998</v>
      </c>
      <c r="L1637" s="2994">
        <v>25.532800000000002</v>
      </c>
      <c r="M1637" s="2994">
        <v>24.217099999999999</v>
      </c>
      <c r="N1637" s="2994">
        <v>23.981000000000002</v>
      </c>
      <c r="O1637" s="2994">
        <v>23.931899999999999</v>
      </c>
      <c r="P1637" s="2994">
        <v>24.982399999999998</v>
      </c>
      <c r="Q1637" s="2994">
        <v>26.973700000000001</v>
      </c>
      <c r="R1637" s="2994">
        <v>27.3431</v>
      </c>
      <c r="S1637" s="2994">
        <v>24.4786</v>
      </c>
      <c r="T1637" s="2994">
        <v>24.1114</v>
      </c>
      <c r="U1637" s="2994">
        <v>23.197800000000001</v>
      </c>
      <c r="V1637" s="2994">
        <v>24.796299999999999</v>
      </c>
      <c r="W1637" s="2994">
        <v>25.603899999999999</v>
      </c>
      <c r="X1637" s="2994">
        <v>24.362500000000001</v>
      </c>
      <c r="Y1637" s="2994">
        <v>26.5974</v>
      </c>
      <c r="Z1637" s="2994">
        <v>26.5352</v>
      </c>
      <c r="AA1637" s="2994">
        <v>28.252700000000001</v>
      </c>
      <c r="AB1637" s="2994">
        <v>29.031400000000001</v>
      </c>
      <c r="AC1637" s="2994">
        <v>31.4056</v>
      </c>
      <c r="AD1637" s="2994">
        <v>32.448799999999999</v>
      </c>
      <c r="AE1637" s="2994">
        <v>38.567399999999999</v>
      </c>
      <c r="AF1637" s="2994">
        <v>36.4313</v>
      </c>
      <c r="AG1637" s="2994">
        <v>39.870100000000001</v>
      </c>
      <c r="AH1637" s="2994">
        <v>39.881700000000002</v>
      </c>
      <c r="AI1637" s="2994">
        <v>37.731499999999997</v>
      </c>
      <c r="AJ1637" s="2994">
        <v>40.7562</v>
      </c>
      <c r="AK1637" s="2994">
        <v>40.814900000000002</v>
      </c>
      <c r="AL1637" s="2994">
        <v>35.777700000000003</v>
      </c>
      <c r="AM1637" s="2994">
        <v>40.881300000000003</v>
      </c>
      <c r="AN1637" s="2994">
        <v>39.304900000000004</v>
      </c>
      <c r="AO1637" s="2994">
        <v>41.9664</v>
      </c>
      <c r="AP1637" s="2994">
        <v>42.228000000000002</v>
      </c>
      <c r="AQ1637" s="2994">
        <v>44.4863</v>
      </c>
      <c r="AR1637" s="2994">
        <v>48.853999999999999</v>
      </c>
      <c r="AS1637" s="2994">
        <v>53.2256</v>
      </c>
      <c r="AT1637" s="2994">
        <v>58.018900000000002</v>
      </c>
      <c r="AU1637" s="2994">
        <v>57.1006</v>
      </c>
      <c r="AV1637" s="2994">
        <v>55.034999999999997</v>
      </c>
      <c r="AW1637" s="2994">
        <v>59.415900000000001</v>
      </c>
      <c r="AX1637" s="2994">
        <v>55.8202</v>
      </c>
      <c r="AY1637" s="2994">
        <v>61.0563</v>
      </c>
      <c r="AZ1637" s="2994">
        <v>47.803199999999997</v>
      </c>
      <c r="BA1637" s="2994">
        <v>59.731000000000002</v>
      </c>
      <c r="BB1637" s="2994">
        <v>67.147800000000004</v>
      </c>
      <c r="BC1637" s="2994">
        <v>61.753300000000003</v>
      </c>
      <c r="BD1637" s="3471">
        <v>38.988900000000001</v>
      </c>
      <c r="BE1637" s="3471">
        <v>53.417999999999999</v>
      </c>
      <c r="BF1637" s="3471">
        <v>0</v>
      </c>
    </row>
    <row r="1638" spans="1:58">
      <c r="A1638" s="1817" t="str">
        <f t="shared" si="51"/>
        <v>OceaniaTriticale</v>
      </c>
      <c r="B1638" s="1818" t="s">
        <v>303</v>
      </c>
      <c r="C1638" s="1818" t="s">
        <v>1335</v>
      </c>
      <c r="D1638" s="3463" t="str">
        <f>VLOOKUP(B1638,List_Yield!$G$4:$J$14,4,FALSE)</f>
        <v>Oceania</v>
      </c>
      <c r="E1638" s="3463" t="str">
        <f t="shared" si="52"/>
        <v>OceaniaTriticale</v>
      </c>
      <c r="F1638" s="2994">
        <v>0</v>
      </c>
      <c r="G1638" s="2994">
        <v>0</v>
      </c>
      <c r="H1638" s="2994">
        <v>0</v>
      </c>
      <c r="I1638" s="2994">
        <v>0</v>
      </c>
      <c r="J1638" s="2994">
        <v>0</v>
      </c>
      <c r="K1638" s="2994">
        <v>0</v>
      </c>
      <c r="L1638" s="2994">
        <v>0</v>
      </c>
      <c r="M1638" s="2994">
        <v>0</v>
      </c>
      <c r="N1638" s="2994">
        <v>0</v>
      </c>
      <c r="O1638" s="2994">
        <v>0</v>
      </c>
      <c r="P1638" s="2994">
        <v>0</v>
      </c>
      <c r="Q1638" s="2994">
        <v>0</v>
      </c>
      <c r="R1638" s="2994">
        <v>0</v>
      </c>
      <c r="S1638" s="2994">
        <v>0</v>
      </c>
      <c r="T1638" s="2994">
        <v>0</v>
      </c>
      <c r="U1638" s="2994">
        <v>0</v>
      </c>
      <c r="V1638" s="2994">
        <v>0</v>
      </c>
      <c r="W1638" s="2994">
        <v>0</v>
      </c>
      <c r="X1638" s="2994">
        <v>0</v>
      </c>
      <c r="Y1638" s="2994">
        <v>0.92310000000000003</v>
      </c>
      <c r="Z1638" s="2994">
        <v>1.4218999999999999</v>
      </c>
      <c r="AA1638" s="2994">
        <v>0.89129999999999998</v>
      </c>
      <c r="AB1638" s="2994">
        <v>1.6068</v>
      </c>
      <c r="AC1638" s="2994">
        <v>1.3732</v>
      </c>
      <c r="AD1638" s="2994">
        <v>1.6194999999999999</v>
      </c>
      <c r="AE1638" s="2994">
        <v>1.6081000000000001</v>
      </c>
      <c r="AF1638" s="2994">
        <v>1.5588</v>
      </c>
      <c r="AG1638" s="2994">
        <v>1.6863999999999999</v>
      </c>
      <c r="AH1638" s="2994">
        <v>1.6715</v>
      </c>
      <c r="AI1638" s="2994">
        <v>1.8061</v>
      </c>
      <c r="AJ1638" s="2994">
        <v>1.7655000000000001</v>
      </c>
      <c r="AK1638" s="2994">
        <v>2.3210999999999999</v>
      </c>
      <c r="AL1638" s="2994">
        <v>2</v>
      </c>
      <c r="AM1638" s="2994">
        <v>1.1895</v>
      </c>
      <c r="AN1638" s="2994">
        <v>2.1190000000000002</v>
      </c>
      <c r="AO1638" s="2994">
        <v>1.9473</v>
      </c>
      <c r="AP1638" s="2994">
        <v>2.5836999999999999</v>
      </c>
      <c r="AQ1638" s="2994">
        <v>1.8342000000000001</v>
      </c>
      <c r="AR1638" s="2994">
        <v>2.1162999999999998</v>
      </c>
      <c r="AS1638" s="2994">
        <v>2.1619999999999999</v>
      </c>
      <c r="AT1638" s="2994">
        <v>2.1027</v>
      </c>
      <c r="AU1638" s="2994">
        <v>0.80230000000000001</v>
      </c>
      <c r="AV1638" s="2994">
        <v>1.8542000000000001</v>
      </c>
      <c r="AW1638" s="2994">
        <v>1.5670999999999999</v>
      </c>
      <c r="AX1638" s="2994">
        <v>1.9480999999999999</v>
      </c>
      <c r="AY1638" s="2994">
        <v>0.54069999999999996</v>
      </c>
      <c r="AZ1638" s="2994">
        <v>1.25</v>
      </c>
      <c r="BA1638" s="2994">
        <v>1.1241000000000001</v>
      </c>
      <c r="BB1638" s="2994">
        <v>1.5570999999999999</v>
      </c>
      <c r="BC1638" s="2994">
        <v>1.7017</v>
      </c>
      <c r="BD1638" s="3471">
        <v>1.8968</v>
      </c>
      <c r="BE1638" s="3471">
        <v>1.9690000000000001</v>
      </c>
      <c r="BF1638" s="3471">
        <v>1.7262999999999999</v>
      </c>
    </row>
    <row r="1639" spans="1:58">
      <c r="A1639" s="1817" t="str">
        <f t="shared" si="51"/>
        <v>OceaniaTung nuts</v>
      </c>
      <c r="B1639" s="1818" t="s">
        <v>303</v>
      </c>
      <c r="C1639" s="1818" t="s">
        <v>7384</v>
      </c>
      <c r="D1639" s="3463" t="str">
        <f>VLOOKUP(B1639,List_Yield!$G$4:$J$14,4,FALSE)</f>
        <v>Oceania</v>
      </c>
      <c r="E1639" s="3463" t="str">
        <f t="shared" si="52"/>
        <v>OceaniaTung nuts</v>
      </c>
      <c r="F1639" s="2994">
        <v>0</v>
      </c>
      <c r="G1639" s="2994">
        <v>0</v>
      </c>
      <c r="H1639" s="2994">
        <v>0</v>
      </c>
      <c r="I1639" s="2994">
        <v>0</v>
      </c>
      <c r="J1639" s="2994">
        <v>0</v>
      </c>
      <c r="K1639" s="2994">
        <v>0</v>
      </c>
      <c r="L1639" s="2994">
        <v>0</v>
      </c>
      <c r="M1639" s="2994">
        <v>0</v>
      </c>
      <c r="N1639" s="2994">
        <v>0</v>
      </c>
      <c r="O1639" s="2994">
        <v>0</v>
      </c>
      <c r="P1639" s="2994">
        <v>0</v>
      </c>
      <c r="Q1639" s="2994">
        <v>0</v>
      </c>
      <c r="R1639" s="2994">
        <v>0</v>
      </c>
      <c r="S1639" s="2994">
        <v>0</v>
      </c>
      <c r="T1639" s="2994">
        <v>0</v>
      </c>
      <c r="U1639" s="2994">
        <v>0</v>
      </c>
      <c r="V1639" s="2994">
        <v>0</v>
      </c>
      <c r="W1639" s="2994">
        <v>0</v>
      </c>
      <c r="X1639" s="2994">
        <v>0</v>
      </c>
      <c r="Y1639" s="2994">
        <v>0</v>
      </c>
      <c r="Z1639" s="2994">
        <v>0</v>
      </c>
      <c r="AA1639" s="2994">
        <v>0</v>
      </c>
      <c r="AB1639" s="2994">
        <v>0</v>
      </c>
      <c r="AC1639" s="2994">
        <v>0</v>
      </c>
      <c r="AD1639" s="2994">
        <v>0</v>
      </c>
      <c r="AE1639" s="2994">
        <v>0</v>
      </c>
      <c r="AF1639" s="2994">
        <v>0</v>
      </c>
      <c r="AG1639" s="2994">
        <v>0</v>
      </c>
      <c r="AH1639" s="2994">
        <v>0</v>
      </c>
      <c r="AI1639" s="2994">
        <v>0</v>
      </c>
      <c r="AJ1639" s="2994">
        <v>0</v>
      </c>
      <c r="AK1639" s="2994">
        <v>0</v>
      </c>
      <c r="AL1639" s="2994">
        <v>0</v>
      </c>
      <c r="AM1639" s="2994">
        <v>0</v>
      </c>
      <c r="AN1639" s="2994">
        <v>0</v>
      </c>
      <c r="AO1639" s="2994">
        <v>0</v>
      </c>
      <c r="AP1639" s="2994">
        <v>0</v>
      </c>
      <c r="AQ1639" s="2994">
        <v>0</v>
      </c>
      <c r="AR1639" s="2994">
        <v>0</v>
      </c>
      <c r="AS1639" s="2994">
        <v>0</v>
      </c>
      <c r="AT1639" s="2994">
        <v>0</v>
      </c>
      <c r="AU1639" s="2994">
        <v>0</v>
      </c>
      <c r="AV1639" s="2994">
        <v>0</v>
      </c>
      <c r="AW1639" s="2994">
        <v>0</v>
      </c>
      <c r="AX1639" s="2994">
        <v>0</v>
      </c>
      <c r="AY1639" s="2994">
        <v>0</v>
      </c>
      <c r="AZ1639" s="2994">
        <v>0</v>
      </c>
      <c r="BA1639" s="2994">
        <v>0</v>
      </c>
      <c r="BB1639" s="2994">
        <v>0</v>
      </c>
      <c r="BC1639" s="2994">
        <v>0</v>
      </c>
      <c r="BD1639" s="3471">
        <v>0</v>
      </c>
      <c r="BE1639" s="3471">
        <v>0</v>
      </c>
      <c r="BF1639" s="3471">
        <v>0</v>
      </c>
    </row>
    <row r="1640" spans="1:58">
      <c r="A1640" s="1817" t="str">
        <f t="shared" si="51"/>
        <v>OceaniaVanilla</v>
      </c>
      <c r="B1640" s="1818" t="s">
        <v>303</v>
      </c>
      <c r="C1640" s="1818" t="s">
        <v>7385</v>
      </c>
      <c r="D1640" s="3463" t="str">
        <f>VLOOKUP(B1640,List_Yield!$G$4:$J$14,4,FALSE)</f>
        <v>Oceania</v>
      </c>
      <c r="E1640" s="3463" t="str">
        <f t="shared" si="52"/>
        <v>OceaniaVanilla</v>
      </c>
      <c r="F1640" s="2994">
        <v>0.10249999999999999</v>
      </c>
      <c r="G1640" s="2994">
        <v>0.10249999999999999</v>
      </c>
      <c r="H1640" s="2994">
        <v>0.1011</v>
      </c>
      <c r="I1640" s="2994">
        <v>0.1017</v>
      </c>
      <c r="J1640" s="2994">
        <v>0.1028</v>
      </c>
      <c r="K1640" s="2994">
        <v>9.6299999999999997E-2</v>
      </c>
      <c r="L1640" s="2994">
        <v>7.2999999999999995E-2</v>
      </c>
      <c r="M1640" s="2994">
        <v>7.5200000000000003E-2</v>
      </c>
      <c r="N1640" s="2994">
        <v>7.0099999999999996E-2</v>
      </c>
      <c r="O1640" s="2994">
        <v>5.11E-2</v>
      </c>
      <c r="P1640" s="2994">
        <v>5.7700000000000001E-2</v>
      </c>
      <c r="Q1640" s="2994">
        <v>6.3E-2</v>
      </c>
      <c r="R1640" s="2994">
        <v>6.0299999999999999E-2</v>
      </c>
      <c r="S1640" s="2994">
        <v>4.8500000000000001E-2</v>
      </c>
      <c r="T1640" s="2994">
        <v>4.3799999999999999E-2</v>
      </c>
      <c r="U1640" s="2994">
        <v>5.1999999999999998E-2</v>
      </c>
      <c r="V1640" s="2994">
        <v>5.7700000000000001E-2</v>
      </c>
      <c r="W1640" s="2994">
        <v>5.3400000000000003E-2</v>
      </c>
      <c r="X1640" s="2994">
        <v>3.9100000000000003E-2</v>
      </c>
      <c r="Y1640" s="2994">
        <v>4.9599999999999998E-2</v>
      </c>
      <c r="Z1640" s="2994">
        <v>6.59E-2</v>
      </c>
      <c r="AA1640" s="2994">
        <v>8.0799999999999997E-2</v>
      </c>
      <c r="AB1640" s="2994">
        <v>8.9800000000000005E-2</v>
      </c>
      <c r="AC1640" s="2994">
        <v>7.4899999999999994E-2</v>
      </c>
      <c r="AD1640" s="2994">
        <v>0.1007</v>
      </c>
      <c r="AE1640" s="2994">
        <v>9.9299999999999999E-2</v>
      </c>
      <c r="AF1640" s="2994">
        <v>7.6300000000000007E-2</v>
      </c>
      <c r="AG1640" s="2994">
        <v>7.2400000000000006E-2</v>
      </c>
      <c r="AH1640" s="2994">
        <v>0.1105</v>
      </c>
      <c r="AI1640" s="2994">
        <v>0.1762</v>
      </c>
      <c r="AJ1640" s="2994">
        <v>0.1515</v>
      </c>
      <c r="AK1640" s="2994">
        <v>0.13170000000000001</v>
      </c>
      <c r="AL1640" s="2994">
        <v>0.43159999999999998</v>
      </c>
      <c r="AM1640" s="2994">
        <v>0.25330000000000003</v>
      </c>
      <c r="AN1640" s="2994">
        <v>0.2432</v>
      </c>
      <c r="AO1640" s="2994">
        <v>0.17610000000000001</v>
      </c>
      <c r="AP1640" s="2994">
        <v>0.26819999999999999</v>
      </c>
      <c r="AQ1640" s="2994">
        <v>0.2384</v>
      </c>
      <c r="AR1640" s="2994">
        <v>0.26960000000000001</v>
      </c>
      <c r="AS1640" s="2994">
        <v>0.223</v>
      </c>
      <c r="AT1640" s="2994">
        <v>0.253</v>
      </c>
      <c r="AU1640" s="2994">
        <v>0.2858</v>
      </c>
      <c r="AV1640" s="2994">
        <v>0.3624</v>
      </c>
      <c r="AW1640" s="2994">
        <v>0.39829999999999999</v>
      </c>
      <c r="AX1640" s="2994">
        <v>0.28160000000000002</v>
      </c>
      <c r="AY1640" s="2994">
        <v>0.28060000000000002</v>
      </c>
      <c r="AZ1640" s="2994">
        <v>0.29720000000000002</v>
      </c>
      <c r="BA1640" s="2994">
        <v>0.32069999999999999</v>
      </c>
      <c r="BB1640" s="2994">
        <v>0.3306</v>
      </c>
      <c r="BC1640" s="2994">
        <v>0.31519999999999998</v>
      </c>
      <c r="BD1640" s="3471">
        <v>0.30299999999999999</v>
      </c>
      <c r="BE1640" s="3471">
        <v>0.30809999999999998</v>
      </c>
      <c r="BF1640" s="3471">
        <v>0</v>
      </c>
    </row>
    <row r="1641" spans="1:58">
      <c r="A1641" s="1817" t="str">
        <f t="shared" si="51"/>
        <v>OceaniaVegetables, fresh nes</v>
      </c>
      <c r="B1641" s="1818" t="s">
        <v>303</v>
      </c>
      <c r="C1641" s="1818" t="s">
        <v>7386</v>
      </c>
      <c r="D1641" s="3463" t="str">
        <f>VLOOKUP(B1641,List_Yield!$G$4:$J$14,4,FALSE)</f>
        <v>Oceania</v>
      </c>
      <c r="E1641" s="3463" t="str">
        <f t="shared" si="52"/>
        <v>OceaniaVegetables, fresh nes</v>
      </c>
      <c r="F1641" s="2994">
        <v>12.218299999999999</v>
      </c>
      <c r="G1641" s="2994">
        <v>11.890599999999999</v>
      </c>
      <c r="H1641" s="2994">
        <v>12.4169</v>
      </c>
      <c r="I1641" s="2994">
        <v>11.929600000000001</v>
      </c>
      <c r="J1641" s="2994">
        <v>11.356199999999999</v>
      </c>
      <c r="K1641" s="2994">
        <v>12.553100000000001</v>
      </c>
      <c r="L1641" s="2994">
        <v>12.416</v>
      </c>
      <c r="M1641" s="2994">
        <v>12.5549</v>
      </c>
      <c r="N1641" s="2994">
        <v>12.699199999999999</v>
      </c>
      <c r="O1641" s="2994">
        <v>12.3895</v>
      </c>
      <c r="P1641" s="2994">
        <v>12.737500000000001</v>
      </c>
      <c r="Q1641" s="2994">
        <v>12.6534</v>
      </c>
      <c r="R1641" s="2994">
        <v>12.4672</v>
      </c>
      <c r="S1641" s="2994">
        <v>12.833299999999999</v>
      </c>
      <c r="T1641" s="2994">
        <v>12.475099999999999</v>
      </c>
      <c r="U1641" s="2994">
        <v>12.5611</v>
      </c>
      <c r="V1641" s="2994">
        <v>13.4374</v>
      </c>
      <c r="W1641" s="2994">
        <v>13.919700000000001</v>
      </c>
      <c r="X1641" s="2994">
        <v>13.806800000000001</v>
      </c>
      <c r="Y1641" s="2994">
        <v>13.426500000000001</v>
      </c>
      <c r="Z1641" s="2994">
        <v>13.1516</v>
      </c>
      <c r="AA1641" s="2994">
        <v>13.1889</v>
      </c>
      <c r="AB1641" s="2994">
        <v>12.723599999999999</v>
      </c>
      <c r="AC1641" s="2994">
        <v>13.6129</v>
      </c>
      <c r="AD1641" s="2994">
        <v>14.158799999999999</v>
      </c>
      <c r="AE1641" s="2994">
        <v>14.053599999999999</v>
      </c>
      <c r="AF1641" s="2994">
        <v>13.794600000000001</v>
      </c>
      <c r="AG1641" s="2994">
        <v>14.0009</v>
      </c>
      <c r="AH1641" s="2994">
        <v>13.8551</v>
      </c>
      <c r="AI1641" s="2994">
        <v>14.178599999999999</v>
      </c>
      <c r="AJ1641" s="2994">
        <v>14.242100000000001</v>
      </c>
      <c r="AK1641" s="2994">
        <v>14.0253</v>
      </c>
      <c r="AL1641" s="2994">
        <v>14.7257</v>
      </c>
      <c r="AM1641" s="2994">
        <v>15.505800000000001</v>
      </c>
      <c r="AN1641" s="2994">
        <v>13.168900000000001</v>
      </c>
      <c r="AO1641" s="2994">
        <v>15.005599999999999</v>
      </c>
      <c r="AP1641" s="2994">
        <v>14.8139</v>
      </c>
      <c r="AQ1641" s="2994">
        <v>14.421900000000001</v>
      </c>
      <c r="AR1641" s="2994">
        <v>14.8033</v>
      </c>
      <c r="AS1641" s="2994">
        <v>14.6271</v>
      </c>
      <c r="AT1641" s="2994">
        <v>15.3483</v>
      </c>
      <c r="AU1641" s="2994">
        <v>15.4026</v>
      </c>
      <c r="AV1641" s="2994">
        <v>15.0076</v>
      </c>
      <c r="AW1641" s="2994">
        <v>16.115600000000001</v>
      </c>
      <c r="AX1641" s="2994">
        <v>15.943099999999999</v>
      </c>
      <c r="AY1641" s="2994">
        <v>15.7225</v>
      </c>
      <c r="AZ1641" s="2994">
        <v>15.305400000000001</v>
      </c>
      <c r="BA1641" s="2994">
        <v>16.015899999999998</v>
      </c>
      <c r="BB1641" s="2994">
        <v>16.257999999999999</v>
      </c>
      <c r="BC1641" s="2994">
        <v>15.6084</v>
      </c>
      <c r="BD1641" s="3471">
        <v>14.9255</v>
      </c>
      <c r="BE1641" s="3471">
        <v>14.9297</v>
      </c>
      <c r="BF1641" s="3471">
        <v>0</v>
      </c>
    </row>
    <row r="1642" spans="1:58">
      <c r="A1642" s="1817" t="str">
        <f t="shared" si="51"/>
        <v>OceaniaVegetables, leguminous nes</v>
      </c>
      <c r="B1642" s="1818" t="s">
        <v>303</v>
      </c>
      <c r="C1642" s="1818" t="s">
        <v>7387</v>
      </c>
      <c r="D1642" s="3463" t="str">
        <f>VLOOKUP(B1642,List_Yield!$G$4:$J$14,4,FALSE)</f>
        <v>Oceania</v>
      </c>
      <c r="E1642" s="3463" t="str">
        <f t="shared" si="52"/>
        <v>OceaniaVegetables, leguminous nes</v>
      </c>
      <c r="F1642" s="2994">
        <v>7.5</v>
      </c>
      <c r="G1642" s="2994">
        <v>8</v>
      </c>
      <c r="H1642" s="2994">
        <v>6.5</v>
      </c>
      <c r="I1642" s="2994">
        <v>8.3332999999999995</v>
      </c>
      <c r="J1642" s="2994">
        <v>8.2304999999999993</v>
      </c>
      <c r="K1642" s="2994">
        <v>7.5</v>
      </c>
      <c r="L1642" s="2994">
        <v>7.5</v>
      </c>
      <c r="M1642" s="2994">
        <v>7.5</v>
      </c>
      <c r="N1642" s="2994">
        <v>2</v>
      </c>
      <c r="O1642" s="2994">
        <v>2</v>
      </c>
      <c r="P1642" s="2994">
        <v>2.8721999999999999</v>
      </c>
      <c r="Q1642" s="2994">
        <v>1.5416000000000001</v>
      </c>
      <c r="R1642" s="2994">
        <v>1.6153999999999999</v>
      </c>
      <c r="S1642" s="2994">
        <v>2.2311000000000001</v>
      </c>
      <c r="T1642" s="2994">
        <v>1.6679999999999999</v>
      </c>
      <c r="U1642" s="2994">
        <v>3.7831999999999999</v>
      </c>
      <c r="V1642" s="2994">
        <v>2.7347000000000001</v>
      </c>
      <c r="W1642" s="2994">
        <v>4.3346999999999998</v>
      </c>
      <c r="X1642" s="2994">
        <v>3.8559999999999999</v>
      </c>
      <c r="Y1642" s="2994">
        <v>3.8472</v>
      </c>
      <c r="Z1642" s="2994">
        <v>3.1585999999999999</v>
      </c>
      <c r="AA1642" s="2994">
        <v>3.6879</v>
      </c>
      <c r="AB1642" s="2994">
        <v>3.5</v>
      </c>
      <c r="AC1642" s="2994">
        <v>3.6667000000000001</v>
      </c>
      <c r="AD1642" s="2994">
        <v>3.6</v>
      </c>
      <c r="AE1642" s="2994">
        <v>3.5634999999999999</v>
      </c>
      <c r="AF1642" s="2994">
        <v>3.6478000000000002</v>
      </c>
      <c r="AG1642" s="2994">
        <v>3.6471</v>
      </c>
      <c r="AH1642" s="2994">
        <v>3.6471</v>
      </c>
      <c r="AI1642" s="2994">
        <v>3.5087999999999999</v>
      </c>
      <c r="AJ1642" s="2994">
        <v>3.3332999999999999</v>
      </c>
      <c r="AK1642" s="2994">
        <v>3.75</v>
      </c>
      <c r="AL1642" s="2994">
        <v>3.4632000000000001</v>
      </c>
      <c r="AM1642" s="2994">
        <v>4</v>
      </c>
      <c r="AN1642" s="2994">
        <v>5</v>
      </c>
      <c r="AO1642" s="2994">
        <v>7.5472000000000001</v>
      </c>
      <c r="AP1642" s="2994">
        <v>7.6923000000000004</v>
      </c>
      <c r="AQ1642" s="2994">
        <v>7.6923000000000004</v>
      </c>
      <c r="AR1642" s="2994">
        <v>7.6923000000000004</v>
      </c>
      <c r="AS1642" s="2994">
        <v>7.6923000000000004</v>
      </c>
      <c r="AT1642" s="2994">
        <v>7.6923000000000004</v>
      </c>
      <c r="AU1642" s="2994">
        <v>7.6923000000000004</v>
      </c>
      <c r="AV1642" s="2994">
        <v>7.6923000000000004</v>
      </c>
      <c r="AW1642" s="2994">
        <v>8.3871000000000002</v>
      </c>
      <c r="AX1642" s="2994">
        <v>7.1417000000000002</v>
      </c>
      <c r="AY1642" s="2994">
        <v>10.182700000000001</v>
      </c>
      <c r="AZ1642" s="2994">
        <v>9.0965000000000007</v>
      </c>
      <c r="BA1642" s="2994">
        <v>10.3939</v>
      </c>
      <c r="BB1642" s="2994">
        <v>10.134600000000001</v>
      </c>
      <c r="BC1642" s="2994">
        <v>9.5855999999999995</v>
      </c>
      <c r="BD1642" s="3471">
        <v>8.1316000000000006</v>
      </c>
      <c r="BE1642" s="3471">
        <v>8.6957000000000004</v>
      </c>
      <c r="BF1642" s="3471">
        <v>0</v>
      </c>
    </row>
    <row r="1643" spans="1:58">
      <c r="A1643" s="1817" t="str">
        <f t="shared" si="51"/>
        <v>OceaniaVetches</v>
      </c>
      <c r="B1643" s="1818" t="s">
        <v>303</v>
      </c>
      <c r="C1643" s="1818" t="s">
        <v>1382</v>
      </c>
      <c r="D1643" s="3463" t="str">
        <f>VLOOKUP(B1643,List_Yield!$G$4:$J$14,4,FALSE)</f>
        <v>Oceania</v>
      </c>
      <c r="E1643" s="3463" t="str">
        <f t="shared" si="52"/>
        <v>OceaniaVetches</v>
      </c>
      <c r="F1643" s="2994">
        <v>0.67159999999999997</v>
      </c>
      <c r="G1643" s="2994">
        <v>0.67159999999999997</v>
      </c>
      <c r="H1643" s="2994">
        <v>0.73829999999999996</v>
      </c>
      <c r="I1643" s="2994">
        <v>0.1333</v>
      </c>
      <c r="J1643" s="2994">
        <v>0.26910000000000001</v>
      </c>
      <c r="K1643" s="2994">
        <v>0.33579999999999999</v>
      </c>
      <c r="L1643" s="2994">
        <v>0.5383</v>
      </c>
      <c r="M1643" s="2994">
        <v>0.47160000000000002</v>
      </c>
      <c r="N1643" s="2994">
        <v>0.1014</v>
      </c>
      <c r="O1643" s="2994">
        <v>0.25</v>
      </c>
      <c r="P1643" s="2994">
        <v>0.35970000000000002</v>
      </c>
      <c r="Q1643" s="2994">
        <v>1.0832999999999999</v>
      </c>
      <c r="R1643" s="2994">
        <v>2.25</v>
      </c>
      <c r="S1643" s="2994">
        <v>2.8767999999999998</v>
      </c>
      <c r="T1643" s="2994">
        <v>2.9167999999999998</v>
      </c>
      <c r="U1643" s="2994">
        <v>2.3475999999999999</v>
      </c>
      <c r="V1643" s="2994">
        <v>2.6545999999999998</v>
      </c>
      <c r="W1643" s="2994">
        <v>2.5466000000000002</v>
      </c>
      <c r="X1643" s="2994">
        <v>1.9958</v>
      </c>
      <c r="Y1643" s="2994">
        <v>1.7358</v>
      </c>
      <c r="Z1643" s="2994">
        <v>2.0123000000000002</v>
      </c>
      <c r="AA1643" s="2994">
        <v>0.92620000000000002</v>
      </c>
      <c r="AB1643" s="2994">
        <v>2.4700000000000002</v>
      </c>
      <c r="AC1643" s="2994">
        <v>3.2050000000000001</v>
      </c>
      <c r="AD1643" s="2994">
        <v>3.0831</v>
      </c>
      <c r="AE1643" s="2994">
        <v>1.4592000000000001</v>
      </c>
      <c r="AF1643" s="2994">
        <v>0.46600000000000003</v>
      </c>
      <c r="AG1643" s="2994">
        <v>0.36580000000000001</v>
      </c>
      <c r="AH1643" s="2994">
        <v>0.76549999999999996</v>
      </c>
      <c r="AI1643" s="2994">
        <v>0.58020000000000005</v>
      </c>
      <c r="AJ1643" s="2994">
        <v>0.86380000000000001</v>
      </c>
      <c r="AK1643" s="2994">
        <v>0.69720000000000004</v>
      </c>
      <c r="AL1643" s="2994">
        <v>1.1111</v>
      </c>
      <c r="AM1643" s="2994">
        <v>0.52170000000000005</v>
      </c>
      <c r="AN1643" s="2994">
        <v>1.1765000000000001</v>
      </c>
      <c r="AO1643" s="2994">
        <v>1.05</v>
      </c>
      <c r="AP1643" s="2994">
        <v>0.82499999999999996</v>
      </c>
      <c r="AQ1643" s="2994">
        <v>0.82930000000000004</v>
      </c>
      <c r="AR1643" s="2994">
        <v>0.8548</v>
      </c>
      <c r="AS1643" s="2994">
        <v>0.61539999999999995</v>
      </c>
      <c r="AT1643" s="2994">
        <v>0.7</v>
      </c>
      <c r="AU1643" s="2994">
        <v>0.75</v>
      </c>
      <c r="AV1643" s="2994">
        <v>0.79469999999999996</v>
      </c>
      <c r="AW1643" s="2994">
        <v>0.86270000000000002</v>
      </c>
      <c r="AX1643" s="2994">
        <v>0.1993</v>
      </c>
      <c r="AY1643" s="2994">
        <v>0.2</v>
      </c>
      <c r="AZ1643" s="2994">
        <v>0.2</v>
      </c>
      <c r="BA1643" s="2994">
        <v>0.2447</v>
      </c>
      <c r="BB1643" s="2994">
        <v>0.16650000000000001</v>
      </c>
      <c r="BC1643" s="2994">
        <v>0.3125</v>
      </c>
      <c r="BD1643" s="3471">
        <v>0.37209999999999999</v>
      </c>
      <c r="BE1643" s="3471">
        <v>0.4</v>
      </c>
      <c r="BF1643" s="3471">
        <v>0.375</v>
      </c>
    </row>
    <row r="1644" spans="1:58">
      <c r="A1644" s="1817" t="str">
        <f t="shared" si="51"/>
        <v>OceaniaWalnuts, with shell</v>
      </c>
      <c r="B1644" s="1818" t="s">
        <v>303</v>
      </c>
      <c r="C1644" s="1818" t="s">
        <v>7388</v>
      </c>
      <c r="D1644" s="3463" t="str">
        <f>VLOOKUP(B1644,List_Yield!$G$4:$J$14,4,FALSE)</f>
        <v>Oceania</v>
      </c>
      <c r="E1644" s="3463" t="str">
        <f t="shared" si="52"/>
        <v>OceaniaWalnuts, with shell</v>
      </c>
      <c r="F1644" s="2994">
        <v>0</v>
      </c>
      <c r="G1644" s="2994">
        <v>0</v>
      </c>
      <c r="H1644" s="2994">
        <v>0</v>
      </c>
      <c r="I1644" s="2994">
        <v>0</v>
      </c>
      <c r="J1644" s="2994">
        <v>0</v>
      </c>
      <c r="K1644" s="2994">
        <v>0</v>
      </c>
      <c r="L1644" s="2994">
        <v>0</v>
      </c>
      <c r="M1644" s="2994">
        <v>0</v>
      </c>
      <c r="N1644" s="2994">
        <v>0</v>
      </c>
      <c r="O1644" s="2994">
        <v>0</v>
      </c>
      <c r="P1644" s="2994">
        <v>0</v>
      </c>
      <c r="Q1644" s="2994">
        <v>0</v>
      </c>
      <c r="R1644" s="2994">
        <v>0</v>
      </c>
      <c r="S1644" s="2994">
        <v>0</v>
      </c>
      <c r="T1644" s="2994">
        <v>0</v>
      </c>
      <c r="U1644" s="2994">
        <v>0</v>
      </c>
      <c r="V1644" s="2994">
        <v>0</v>
      </c>
      <c r="W1644" s="2994">
        <v>0</v>
      </c>
      <c r="X1644" s="2994">
        <v>0</v>
      </c>
      <c r="Y1644" s="2994">
        <v>0</v>
      </c>
      <c r="Z1644" s="2994">
        <v>0</v>
      </c>
      <c r="AA1644" s="2994">
        <v>0</v>
      </c>
      <c r="AB1644" s="2994">
        <v>0</v>
      </c>
      <c r="AC1644" s="2994">
        <v>0</v>
      </c>
      <c r="AD1644" s="2994">
        <v>0</v>
      </c>
      <c r="AE1644" s="2994">
        <v>0</v>
      </c>
      <c r="AF1644" s="2994">
        <v>0</v>
      </c>
      <c r="AG1644" s="2994">
        <v>0</v>
      </c>
      <c r="AH1644" s="2994">
        <v>0</v>
      </c>
      <c r="AI1644" s="2994">
        <v>0</v>
      </c>
      <c r="AJ1644" s="2994">
        <v>0</v>
      </c>
      <c r="AK1644" s="2994">
        <v>0</v>
      </c>
      <c r="AL1644" s="2994">
        <v>0</v>
      </c>
      <c r="AM1644" s="2994">
        <v>0</v>
      </c>
      <c r="AN1644" s="2994">
        <v>0</v>
      </c>
      <c r="AO1644" s="2994">
        <v>0</v>
      </c>
      <c r="AP1644" s="2994">
        <v>0</v>
      </c>
      <c r="AQ1644" s="2994">
        <v>0</v>
      </c>
      <c r="AR1644" s="2994">
        <v>0</v>
      </c>
      <c r="AS1644" s="2994">
        <v>0</v>
      </c>
      <c r="AT1644" s="2994">
        <v>0</v>
      </c>
      <c r="AU1644" s="2994">
        <v>0</v>
      </c>
      <c r="AV1644" s="2994">
        <v>0</v>
      </c>
      <c r="AW1644" s="2994">
        <v>0</v>
      </c>
      <c r="AX1644" s="2994">
        <v>0</v>
      </c>
      <c r="AY1644" s="2994">
        <v>0.35089999999999999</v>
      </c>
      <c r="AZ1644" s="2994">
        <v>0.46879999999999999</v>
      </c>
      <c r="BA1644" s="2994">
        <v>0.40910000000000002</v>
      </c>
      <c r="BB1644" s="2994">
        <v>0.47449999999999998</v>
      </c>
      <c r="BC1644" s="2994">
        <v>0.47499999999999998</v>
      </c>
      <c r="BD1644" s="3471">
        <v>0.34920000000000001</v>
      </c>
      <c r="BE1644" s="3471">
        <v>0.3468</v>
      </c>
      <c r="BF1644" s="3471">
        <v>0</v>
      </c>
    </row>
    <row r="1645" spans="1:58">
      <c r="A1645" s="1817" t="str">
        <f t="shared" si="51"/>
        <v>OceaniaWatermelons</v>
      </c>
      <c r="B1645" s="1818" t="s">
        <v>303</v>
      </c>
      <c r="C1645" s="1818" t="s">
        <v>7389</v>
      </c>
      <c r="D1645" s="3463" t="str">
        <f>VLOOKUP(B1645,List_Yield!$G$4:$J$14,4,FALSE)</f>
        <v>Oceania</v>
      </c>
      <c r="E1645" s="3463" t="str">
        <f t="shared" si="52"/>
        <v>OceaniaWatermelons</v>
      </c>
      <c r="F1645" s="2994">
        <v>9.8843999999999994</v>
      </c>
      <c r="G1645" s="2994">
        <v>9.8945000000000007</v>
      </c>
      <c r="H1645" s="2994">
        <v>10.2425</v>
      </c>
      <c r="I1645" s="2994">
        <v>10.235099999999999</v>
      </c>
      <c r="J1645" s="2994">
        <v>9.9426000000000005</v>
      </c>
      <c r="K1645" s="2994">
        <v>9.9589999999999996</v>
      </c>
      <c r="L1645" s="2994">
        <v>10.350199999999999</v>
      </c>
      <c r="M1645" s="2994">
        <v>10.3773</v>
      </c>
      <c r="N1645" s="2994">
        <v>10.273899999999999</v>
      </c>
      <c r="O1645" s="2994">
        <v>9.9736999999999991</v>
      </c>
      <c r="P1645" s="2994">
        <v>9.2684999999999995</v>
      </c>
      <c r="Q1645" s="2994">
        <v>10.745900000000001</v>
      </c>
      <c r="R1645" s="2994">
        <v>11.132400000000001</v>
      </c>
      <c r="S1645" s="2994">
        <v>10.9964</v>
      </c>
      <c r="T1645" s="2994">
        <v>11.7935</v>
      </c>
      <c r="U1645" s="2994">
        <v>10.864100000000001</v>
      </c>
      <c r="V1645" s="2994">
        <v>11.745200000000001</v>
      </c>
      <c r="W1645" s="2994">
        <v>12.2311</v>
      </c>
      <c r="X1645" s="2994">
        <v>11.654299999999999</v>
      </c>
      <c r="Y1645" s="2994">
        <v>12.193899999999999</v>
      </c>
      <c r="Z1645" s="2994">
        <v>13.792299999999999</v>
      </c>
      <c r="AA1645" s="2994">
        <v>13.3721</v>
      </c>
      <c r="AB1645" s="2994">
        <v>15.4557</v>
      </c>
      <c r="AC1645" s="2994">
        <v>14.216699999999999</v>
      </c>
      <c r="AD1645" s="2994">
        <v>14.9954</v>
      </c>
      <c r="AE1645" s="2994">
        <v>14.9915</v>
      </c>
      <c r="AF1645" s="2994">
        <v>15.841799999999999</v>
      </c>
      <c r="AG1645" s="2994">
        <v>15.5518</v>
      </c>
      <c r="AH1645" s="2994">
        <v>15.7189</v>
      </c>
      <c r="AI1645" s="2994">
        <v>15.3385</v>
      </c>
      <c r="AJ1645" s="2994">
        <v>14.5397</v>
      </c>
      <c r="AK1645" s="2994">
        <v>15.395799999999999</v>
      </c>
      <c r="AL1645" s="2994">
        <v>16.309100000000001</v>
      </c>
      <c r="AM1645" s="2994">
        <v>17.268899999999999</v>
      </c>
      <c r="AN1645" s="2994">
        <v>17.8827</v>
      </c>
      <c r="AO1645" s="2994">
        <v>18.341799999999999</v>
      </c>
      <c r="AP1645" s="2994">
        <v>19.553799999999999</v>
      </c>
      <c r="AQ1645" s="2994">
        <v>19.654199999999999</v>
      </c>
      <c r="AR1645" s="2994">
        <v>15.680300000000001</v>
      </c>
      <c r="AS1645" s="2994">
        <v>17.235199999999999</v>
      </c>
      <c r="AT1645" s="2994">
        <v>20.982900000000001</v>
      </c>
      <c r="AU1645" s="2994">
        <v>21.401</v>
      </c>
      <c r="AV1645" s="2994">
        <v>24.271000000000001</v>
      </c>
      <c r="AW1645" s="2994">
        <v>31.511900000000001</v>
      </c>
      <c r="AX1645" s="2994">
        <v>25.072199999999999</v>
      </c>
      <c r="AY1645" s="2994">
        <v>27.115200000000002</v>
      </c>
      <c r="AZ1645" s="2994">
        <v>28.691500000000001</v>
      </c>
      <c r="BA1645" s="2994">
        <v>31.8276</v>
      </c>
      <c r="BB1645" s="2994">
        <v>29.321400000000001</v>
      </c>
      <c r="BC1645" s="2994">
        <v>27.792899999999999</v>
      </c>
      <c r="BD1645" s="3471">
        <v>29.939800000000002</v>
      </c>
      <c r="BE1645" s="3471">
        <v>30.279900000000001</v>
      </c>
      <c r="BF1645" s="3471">
        <v>0</v>
      </c>
    </row>
    <row r="1646" spans="1:58">
      <c r="A1646" s="1817" t="str">
        <f t="shared" si="51"/>
        <v>OceaniaWheat</v>
      </c>
      <c r="B1646" s="1818" t="s">
        <v>303</v>
      </c>
      <c r="C1646" s="1818" t="s">
        <v>1383</v>
      </c>
      <c r="D1646" s="3463" t="str">
        <f>VLOOKUP(B1646,List_Yield!$G$4:$J$14,4,FALSE)</f>
        <v>Oceania</v>
      </c>
      <c r="E1646" s="3463" t="str">
        <f t="shared" si="52"/>
        <v>OceaniaWheat</v>
      </c>
      <c r="F1646" s="2994">
        <v>1.1569</v>
      </c>
      <c r="G1646" s="2994">
        <v>1.2708999999999999</v>
      </c>
      <c r="H1646" s="2994">
        <v>1.3574999999999999</v>
      </c>
      <c r="I1646" s="2994">
        <v>1.4058999999999999</v>
      </c>
      <c r="J1646" s="2994">
        <v>1.0216000000000001</v>
      </c>
      <c r="K1646" s="2994">
        <v>1.5269999999999999</v>
      </c>
      <c r="L1646" s="2994">
        <v>0.86040000000000005</v>
      </c>
      <c r="M1646" s="2994">
        <v>1.3895999999999999</v>
      </c>
      <c r="N1646" s="2994">
        <v>1.1445000000000001</v>
      </c>
      <c r="O1646" s="2994">
        <v>1.2414000000000001</v>
      </c>
      <c r="P1646" s="2994">
        <v>1.2343999999999999</v>
      </c>
      <c r="Q1646" s="2994">
        <v>0.90510000000000002</v>
      </c>
      <c r="R1646" s="2994">
        <v>1.3652</v>
      </c>
      <c r="S1646" s="2994">
        <v>1.3816999999999999</v>
      </c>
      <c r="T1646" s="2994">
        <v>1.4120999999999999</v>
      </c>
      <c r="U1646" s="2994">
        <v>1.3452999999999999</v>
      </c>
      <c r="V1646" s="2994">
        <v>0.96750000000000003</v>
      </c>
      <c r="W1646" s="2994">
        <v>1.7813000000000001</v>
      </c>
      <c r="X1646" s="2994">
        <v>1.4664999999999999</v>
      </c>
      <c r="Y1646" s="2994">
        <v>0.98180000000000001</v>
      </c>
      <c r="Z1646" s="2994">
        <v>1.3944000000000001</v>
      </c>
      <c r="AA1646" s="2994">
        <v>0.79090000000000005</v>
      </c>
      <c r="AB1646" s="2994">
        <v>1.7163999999999999</v>
      </c>
      <c r="AC1646" s="2994">
        <v>1.5626</v>
      </c>
      <c r="AD1646" s="2994">
        <v>1.3875</v>
      </c>
      <c r="AE1646" s="2994">
        <v>1.4697</v>
      </c>
      <c r="AF1646" s="2994">
        <v>1.3891</v>
      </c>
      <c r="AG1646" s="2994">
        <v>1.5929</v>
      </c>
      <c r="AH1646" s="2994">
        <v>1.587</v>
      </c>
      <c r="AI1646" s="2994">
        <v>1.6478999999999999</v>
      </c>
      <c r="AJ1646" s="2994">
        <v>1.4876</v>
      </c>
      <c r="AK1646" s="2994">
        <v>1.7965</v>
      </c>
      <c r="AL1646" s="2994">
        <v>1.9826999999999999</v>
      </c>
      <c r="AM1646" s="2994">
        <v>1.1600999999999999</v>
      </c>
      <c r="AN1646" s="2994">
        <v>1.8067</v>
      </c>
      <c r="AO1646" s="2994">
        <v>2.1831</v>
      </c>
      <c r="AP1646" s="2994">
        <v>1.8615999999999999</v>
      </c>
      <c r="AQ1646" s="2994">
        <v>1.9333</v>
      </c>
      <c r="AR1646" s="2994">
        <v>2.0238</v>
      </c>
      <c r="AS1646" s="2994">
        <v>1.8398000000000001</v>
      </c>
      <c r="AT1646" s="2994">
        <v>2.1301999999999999</v>
      </c>
      <c r="AU1646" s="2994">
        <v>0.93059999999999998</v>
      </c>
      <c r="AV1646" s="2994">
        <v>2.0177999999999998</v>
      </c>
      <c r="AW1646" s="2994">
        <v>1.6537999999999999</v>
      </c>
      <c r="AX1646" s="2994">
        <v>2.0400999999999998</v>
      </c>
      <c r="AY1646" s="2994">
        <v>0.93640000000000001</v>
      </c>
      <c r="AZ1646" s="2994">
        <v>1.1026</v>
      </c>
      <c r="BA1646" s="2994">
        <v>1.6034999999999999</v>
      </c>
      <c r="BB1646" s="2994">
        <v>1.5936999999999999</v>
      </c>
      <c r="BC1646" s="2994">
        <v>1.6652</v>
      </c>
      <c r="BD1646" s="3471">
        <v>2.0659999999999998</v>
      </c>
      <c r="BE1646" s="3471">
        <v>2.2423000000000002</v>
      </c>
      <c r="BF1646" s="3471">
        <v>1.857</v>
      </c>
    </row>
    <row r="1647" spans="1:58">
      <c r="A1647" s="1817" t="str">
        <f t="shared" si="51"/>
        <v>OceaniaYams</v>
      </c>
      <c r="B1647" s="1818" t="s">
        <v>303</v>
      </c>
      <c r="C1647" s="1818" t="s">
        <v>7390</v>
      </c>
      <c r="D1647" s="3463" t="str">
        <f>VLOOKUP(B1647,List_Yield!$G$4:$J$14,4,FALSE)</f>
        <v>Oceania</v>
      </c>
      <c r="E1647" s="3463" t="str">
        <f t="shared" si="52"/>
        <v>OceaniaYams</v>
      </c>
      <c r="F1647" s="2994">
        <v>12.724600000000001</v>
      </c>
      <c r="G1647" s="2994">
        <v>12.874499999999999</v>
      </c>
      <c r="H1647" s="2994">
        <v>12.7728</v>
      </c>
      <c r="I1647" s="2994">
        <v>12.839600000000001</v>
      </c>
      <c r="J1647" s="2994">
        <v>12.9335</v>
      </c>
      <c r="K1647" s="2994">
        <v>13.032999999999999</v>
      </c>
      <c r="L1647" s="2994">
        <v>12.8413</v>
      </c>
      <c r="M1647" s="2994">
        <v>12.7242</v>
      </c>
      <c r="N1647" s="2994">
        <v>12.6539</v>
      </c>
      <c r="O1647" s="2994">
        <v>12.762700000000001</v>
      </c>
      <c r="P1647" s="2994">
        <v>12.910299999999999</v>
      </c>
      <c r="Q1647" s="2994">
        <v>13.2378</v>
      </c>
      <c r="R1647" s="2994">
        <v>13.632</v>
      </c>
      <c r="S1647" s="2994">
        <v>13.802899999999999</v>
      </c>
      <c r="T1647" s="2994">
        <v>13.848699999999999</v>
      </c>
      <c r="U1647" s="2994">
        <v>13.849500000000001</v>
      </c>
      <c r="V1647" s="2994">
        <v>13.751300000000001</v>
      </c>
      <c r="W1647" s="2994">
        <v>13.9102</v>
      </c>
      <c r="X1647" s="2994">
        <v>13.803000000000001</v>
      </c>
      <c r="Y1647" s="2994">
        <v>13.913</v>
      </c>
      <c r="Z1647" s="2994">
        <v>13.994999999999999</v>
      </c>
      <c r="AA1647" s="2994">
        <v>14.1113</v>
      </c>
      <c r="AB1647" s="2994">
        <v>14.0619</v>
      </c>
      <c r="AC1647" s="2994">
        <v>13.806900000000001</v>
      </c>
      <c r="AD1647" s="2994">
        <v>13.8161</v>
      </c>
      <c r="AE1647" s="2994">
        <v>13.787699999999999</v>
      </c>
      <c r="AF1647" s="2994">
        <v>13.962400000000001</v>
      </c>
      <c r="AG1647" s="2994">
        <v>14.1112</v>
      </c>
      <c r="AH1647" s="2994">
        <v>13.989699999999999</v>
      </c>
      <c r="AI1647" s="2994">
        <v>13.3339</v>
      </c>
      <c r="AJ1647" s="2994">
        <v>13.9001</v>
      </c>
      <c r="AK1647" s="2994">
        <v>13.925599999999999</v>
      </c>
      <c r="AL1647" s="2994">
        <v>14.0945</v>
      </c>
      <c r="AM1647" s="2994">
        <v>13.959899999999999</v>
      </c>
      <c r="AN1647" s="2994">
        <v>14.488899999999999</v>
      </c>
      <c r="AO1647" s="2994">
        <v>14.328799999999999</v>
      </c>
      <c r="AP1647" s="2994">
        <v>14.3073</v>
      </c>
      <c r="AQ1647" s="2994">
        <v>14.500299999999999</v>
      </c>
      <c r="AR1647" s="2994">
        <v>14.230700000000001</v>
      </c>
      <c r="AS1647" s="2994">
        <v>14.4314</v>
      </c>
      <c r="AT1647" s="2994">
        <v>14.1371</v>
      </c>
      <c r="AU1647" s="2994">
        <v>14.3926</v>
      </c>
      <c r="AV1647" s="2994">
        <v>14.2224</v>
      </c>
      <c r="AW1647" s="2994">
        <v>13.5489</v>
      </c>
      <c r="AX1647" s="2994">
        <v>13.610200000000001</v>
      </c>
      <c r="AY1647" s="2994">
        <v>13.704599999999999</v>
      </c>
      <c r="AZ1647" s="2994">
        <v>13.614800000000001</v>
      </c>
      <c r="BA1647" s="2994">
        <v>12.3916</v>
      </c>
      <c r="BB1647" s="2994">
        <v>13.5799</v>
      </c>
      <c r="BC1647" s="2994">
        <v>13.799200000000001</v>
      </c>
      <c r="BD1647" s="3471">
        <v>12.8561</v>
      </c>
      <c r="BE1647" s="3471">
        <v>13.051</v>
      </c>
      <c r="BF1647" s="3471">
        <v>13.141400000000001</v>
      </c>
    </row>
    <row r="1648" spans="1:58">
      <c r="A1648" s="1817" t="str">
        <f t="shared" si="51"/>
        <v>OceaniaYautia (cocoyam)</v>
      </c>
      <c r="B1648" s="1818" t="s">
        <v>303</v>
      </c>
      <c r="C1648" s="1818" t="s">
        <v>7391</v>
      </c>
      <c r="D1648" s="3463" t="str">
        <f>VLOOKUP(B1648,List_Yield!$G$4:$J$14,4,FALSE)</f>
        <v>Oceania</v>
      </c>
      <c r="E1648" s="3463" t="str">
        <f t="shared" si="52"/>
        <v>OceaniaYautia (cocoyam)</v>
      </c>
      <c r="F1648" s="2994">
        <v>0</v>
      </c>
      <c r="G1648" s="2994">
        <v>0</v>
      </c>
      <c r="H1648" s="2994">
        <v>0</v>
      </c>
      <c r="I1648" s="2994">
        <v>0</v>
      </c>
      <c r="J1648" s="2994">
        <v>0</v>
      </c>
      <c r="K1648" s="2994">
        <v>0</v>
      </c>
      <c r="L1648" s="2994">
        <v>0</v>
      </c>
      <c r="M1648" s="2994">
        <v>0</v>
      </c>
      <c r="N1648" s="2994">
        <v>0</v>
      </c>
      <c r="O1648" s="2994">
        <v>0</v>
      </c>
      <c r="P1648" s="2994">
        <v>0</v>
      </c>
      <c r="Q1648" s="2994">
        <v>0</v>
      </c>
      <c r="R1648" s="2994">
        <v>0</v>
      </c>
      <c r="S1648" s="2994">
        <v>0</v>
      </c>
      <c r="T1648" s="2994">
        <v>0</v>
      </c>
      <c r="U1648" s="2994">
        <v>0</v>
      </c>
      <c r="V1648" s="2994">
        <v>0</v>
      </c>
      <c r="W1648" s="2994">
        <v>0</v>
      </c>
      <c r="X1648" s="2994">
        <v>0</v>
      </c>
      <c r="Y1648" s="2994">
        <v>0</v>
      </c>
      <c r="Z1648" s="2994">
        <v>0</v>
      </c>
      <c r="AA1648" s="2994">
        <v>0</v>
      </c>
      <c r="AB1648" s="2994">
        <v>0</v>
      </c>
      <c r="AC1648" s="2994">
        <v>0</v>
      </c>
      <c r="AD1648" s="2994">
        <v>0</v>
      </c>
      <c r="AE1648" s="2994">
        <v>0</v>
      </c>
      <c r="AF1648" s="2994">
        <v>0</v>
      </c>
      <c r="AG1648" s="2994">
        <v>0</v>
      </c>
      <c r="AH1648" s="2994">
        <v>0</v>
      </c>
      <c r="AI1648" s="2994">
        <v>0</v>
      </c>
      <c r="AJ1648" s="2994">
        <v>0</v>
      </c>
      <c r="AK1648" s="2994">
        <v>0</v>
      </c>
      <c r="AL1648" s="2994">
        <v>0</v>
      </c>
      <c r="AM1648" s="2994">
        <v>0</v>
      </c>
      <c r="AN1648" s="2994">
        <v>0</v>
      </c>
      <c r="AO1648" s="2994">
        <v>0</v>
      </c>
      <c r="AP1648" s="2994">
        <v>0</v>
      </c>
      <c r="AQ1648" s="2994">
        <v>0</v>
      </c>
      <c r="AR1648" s="2994">
        <v>0</v>
      </c>
      <c r="AS1648" s="2994">
        <v>0</v>
      </c>
      <c r="AT1648" s="2994">
        <v>0</v>
      </c>
      <c r="AU1648" s="2994">
        <v>0</v>
      </c>
      <c r="AV1648" s="2994">
        <v>0</v>
      </c>
      <c r="AW1648" s="2994">
        <v>0</v>
      </c>
      <c r="AX1648" s="2994">
        <v>0</v>
      </c>
      <c r="AY1648" s="2994">
        <v>0</v>
      </c>
      <c r="AZ1648" s="2994">
        <v>0</v>
      </c>
      <c r="BA1648" s="2994">
        <v>0</v>
      </c>
      <c r="BB1648" s="2994">
        <v>0</v>
      </c>
      <c r="BC1648" s="2994">
        <v>0</v>
      </c>
      <c r="BD1648" s="3471">
        <v>0</v>
      </c>
      <c r="BE1648" s="3471">
        <v>0</v>
      </c>
      <c r="BF1648" s="3471">
        <v>0</v>
      </c>
    </row>
    <row r="1649" spans="1:58">
      <c r="A1649" s="1817" t="str">
        <f t="shared" si="51"/>
        <v>OceaniaCereals,Total + (Total)</v>
      </c>
      <c r="B1649" s="1818" t="s">
        <v>303</v>
      </c>
      <c r="C1649" s="1818" t="s">
        <v>7231</v>
      </c>
      <c r="D1649" s="3463" t="str">
        <f>VLOOKUP(B1649,List_Yield!$G$4:$J$14,4,FALSE)</f>
        <v>Oceania</v>
      </c>
      <c r="E1649" s="3463" t="str">
        <f t="shared" si="52"/>
        <v>OceaniaCereals,Total + (Total)</v>
      </c>
      <c r="F1649" s="2994">
        <v>1.1147</v>
      </c>
      <c r="G1649" s="2994">
        <v>1.2390000000000001</v>
      </c>
      <c r="H1649" s="2994">
        <v>1.3077000000000001</v>
      </c>
      <c r="I1649" s="2994">
        <v>1.3519000000000001</v>
      </c>
      <c r="J1649" s="2994">
        <v>1.0144</v>
      </c>
      <c r="K1649" s="2994">
        <v>1.4661</v>
      </c>
      <c r="L1649" s="2994">
        <v>0.86639999999999995</v>
      </c>
      <c r="M1649" s="2994">
        <v>1.3721000000000001</v>
      </c>
      <c r="N1649" s="2994">
        <v>1.1587000000000001</v>
      </c>
      <c r="O1649" s="2994">
        <v>1.2503</v>
      </c>
      <c r="P1649" s="2994">
        <v>1.3104</v>
      </c>
      <c r="Q1649" s="2994">
        <v>0.99119999999999997</v>
      </c>
      <c r="R1649" s="2994">
        <v>1.3613999999999999</v>
      </c>
      <c r="S1649" s="2994">
        <v>1.4239999999999999</v>
      </c>
      <c r="T1649" s="2994">
        <v>1.4450000000000001</v>
      </c>
      <c r="U1649" s="2994">
        <v>1.3925000000000001</v>
      </c>
      <c r="V1649" s="2994">
        <v>1.0353000000000001</v>
      </c>
      <c r="W1649" s="2994">
        <v>1.7121</v>
      </c>
      <c r="X1649" s="2994">
        <v>1.5425</v>
      </c>
      <c r="Y1649" s="2994">
        <v>1.0887</v>
      </c>
      <c r="Z1649" s="2994">
        <v>1.4343999999999999</v>
      </c>
      <c r="AA1649" s="2994">
        <v>0.9204</v>
      </c>
      <c r="AB1649" s="2994">
        <v>1.6757</v>
      </c>
      <c r="AC1649" s="2994">
        <v>1.651</v>
      </c>
      <c r="AD1649" s="2994">
        <v>1.5004</v>
      </c>
      <c r="AE1649" s="2994">
        <v>1.5711999999999999</v>
      </c>
      <c r="AF1649" s="2994">
        <v>1.4843999999999999</v>
      </c>
      <c r="AG1649" s="2994">
        <v>1.6666000000000001</v>
      </c>
      <c r="AH1649" s="2994">
        <v>1.7072000000000001</v>
      </c>
      <c r="AI1649" s="2994">
        <v>1.7586999999999999</v>
      </c>
      <c r="AJ1649" s="2994">
        <v>1.6517999999999999</v>
      </c>
      <c r="AK1649" s="2994">
        <v>1.9323999999999999</v>
      </c>
      <c r="AL1649" s="2994">
        <v>2.0169000000000001</v>
      </c>
      <c r="AM1649" s="2994">
        <v>1.3211999999999999</v>
      </c>
      <c r="AN1649" s="2994">
        <v>1.9040999999999999</v>
      </c>
      <c r="AO1649" s="2994">
        <v>2.1633</v>
      </c>
      <c r="AP1649" s="2994">
        <v>1.9945999999999999</v>
      </c>
      <c r="AQ1649" s="2994">
        <v>2.0209999999999999</v>
      </c>
      <c r="AR1649" s="2994">
        <v>2.1454</v>
      </c>
      <c r="AS1649" s="2994">
        <v>1.9961</v>
      </c>
      <c r="AT1649" s="2994">
        <v>2.2545999999999999</v>
      </c>
      <c r="AU1649" s="2994">
        <v>1.1335</v>
      </c>
      <c r="AV1649" s="2994">
        <v>2.1227</v>
      </c>
      <c r="AW1649" s="2994">
        <v>1.7364999999999999</v>
      </c>
      <c r="AX1649" s="2994">
        <v>2.1204000000000001</v>
      </c>
      <c r="AY1649" s="2994">
        <v>1.0941000000000001</v>
      </c>
      <c r="AZ1649" s="2994">
        <v>1.2717000000000001</v>
      </c>
      <c r="BA1649" s="2994">
        <v>1.7256</v>
      </c>
      <c r="BB1649" s="2994">
        <v>1.7334000000000001</v>
      </c>
      <c r="BC1649" s="2994">
        <v>1.7637</v>
      </c>
      <c r="BD1649" s="3471">
        <v>2.1453000000000002</v>
      </c>
      <c r="BE1649" s="3471">
        <v>2.3229000000000002</v>
      </c>
      <c r="BF1649" s="3471">
        <v>2.0945</v>
      </c>
    </row>
    <row r="1650" spans="1:58">
      <c r="A1650" s="1817" t="str">
        <f t="shared" si="51"/>
        <v>OceaniaPulses,Total + (Total)</v>
      </c>
      <c r="B1650" s="1818" t="s">
        <v>303</v>
      </c>
      <c r="C1650" s="1818" t="s">
        <v>7228</v>
      </c>
      <c r="D1650" s="3463" t="str">
        <f>VLOOKUP(B1650,List_Yield!$G$4:$J$14,4,FALSE)</f>
        <v>Oceania</v>
      </c>
      <c r="E1650" s="3463" t="str">
        <f t="shared" si="52"/>
        <v>OceaniaPulses,Total + (Total)</v>
      </c>
      <c r="F1650" s="2994">
        <v>1.2137</v>
      </c>
      <c r="G1650" s="2994">
        <v>1.1638999999999999</v>
      </c>
      <c r="H1650" s="2994">
        <v>1.3123</v>
      </c>
      <c r="I1650" s="2994">
        <v>1.4367000000000001</v>
      </c>
      <c r="J1650" s="2994">
        <v>1.0388999999999999</v>
      </c>
      <c r="K1650" s="2994">
        <v>1.2188000000000001</v>
      </c>
      <c r="L1650" s="2994">
        <v>1.1273</v>
      </c>
      <c r="M1650" s="2994">
        <v>1.2850999999999999</v>
      </c>
      <c r="N1650" s="2994">
        <v>1.3307</v>
      </c>
      <c r="O1650" s="2994">
        <v>1.1771</v>
      </c>
      <c r="P1650" s="2994">
        <v>1.1597999999999999</v>
      </c>
      <c r="Q1650" s="2994">
        <v>0.88660000000000005</v>
      </c>
      <c r="R1650" s="2994">
        <v>1.1706000000000001</v>
      </c>
      <c r="S1650" s="2994">
        <v>0.9587</v>
      </c>
      <c r="T1650" s="2994">
        <v>0.93179999999999996</v>
      </c>
      <c r="U1650" s="2994">
        <v>0.66110000000000002</v>
      </c>
      <c r="V1650" s="2994">
        <v>0.71789999999999998</v>
      </c>
      <c r="W1650" s="2994">
        <v>1.1892</v>
      </c>
      <c r="X1650" s="2994">
        <v>1.0586</v>
      </c>
      <c r="Y1650" s="2994">
        <v>1.127</v>
      </c>
      <c r="Z1650" s="2994">
        <v>1.1049</v>
      </c>
      <c r="AA1650" s="2994">
        <v>0.87649999999999995</v>
      </c>
      <c r="AB1650" s="2994">
        <v>1.1266</v>
      </c>
      <c r="AC1650" s="2994">
        <v>1.0307999999999999</v>
      </c>
      <c r="AD1650" s="2994">
        <v>1.0181</v>
      </c>
      <c r="AE1650" s="2994">
        <v>1.2159</v>
      </c>
      <c r="AF1650" s="2994">
        <v>0.97060000000000002</v>
      </c>
      <c r="AG1650" s="2994">
        <v>1.1232</v>
      </c>
      <c r="AH1650" s="2994">
        <v>1.0591999999999999</v>
      </c>
      <c r="AI1650" s="2994">
        <v>1.0012000000000001</v>
      </c>
      <c r="AJ1650" s="2994">
        <v>1.0922000000000001</v>
      </c>
      <c r="AK1650" s="2994">
        <v>1.1588000000000001</v>
      </c>
      <c r="AL1650" s="2994">
        <v>1.3327</v>
      </c>
      <c r="AM1650" s="2994">
        <v>0.68200000000000005</v>
      </c>
      <c r="AN1650" s="2994">
        <v>1.2544999999999999</v>
      </c>
      <c r="AO1650" s="2994">
        <v>1.266</v>
      </c>
      <c r="AP1650" s="2994">
        <v>1.0076000000000001</v>
      </c>
      <c r="AQ1650" s="2994">
        <v>1.0691999999999999</v>
      </c>
      <c r="AR1650" s="2994">
        <v>1.3546</v>
      </c>
      <c r="AS1650" s="2994">
        <v>0.99529999999999996</v>
      </c>
      <c r="AT1650" s="2994">
        <v>1.2806999999999999</v>
      </c>
      <c r="AU1650" s="2994">
        <v>0.65839999999999999</v>
      </c>
      <c r="AV1650" s="2994">
        <v>1.3634999999999999</v>
      </c>
      <c r="AW1650" s="2994">
        <v>0.96150000000000002</v>
      </c>
      <c r="AX1650" s="2994">
        <v>1.6155999999999999</v>
      </c>
      <c r="AY1650" s="2994">
        <v>0.60160000000000002</v>
      </c>
      <c r="AZ1650" s="2994">
        <v>0.92720000000000002</v>
      </c>
      <c r="BA1650" s="2994">
        <v>1.1361000000000001</v>
      </c>
      <c r="BB1650" s="2994">
        <v>1.252</v>
      </c>
      <c r="BC1650" s="2994">
        <v>1.1264000000000001</v>
      </c>
      <c r="BD1650" s="3471">
        <v>1.1324000000000001</v>
      </c>
      <c r="BE1650" s="3471">
        <v>1.5177</v>
      </c>
      <c r="BF1650" s="3471">
        <v>1.4097999999999999</v>
      </c>
    </row>
    <row r="1651" spans="1:58">
      <c r="A1651" s="1817" t="str">
        <f t="shared" si="51"/>
        <v>OceaniaRoots and Tubers,Total + (Total)</v>
      </c>
      <c r="B1651" s="1818" t="s">
        <v>303</v>
      </c>
      <c r="C1651" s="1818" t="s">
        <v>7234</v>
      </c>
      <c r="D1651" s="3463" t="str">
        <f>VLOOKUP(B1651,List_Yield!$G$4:$J$14,4,FALSE)</f>
        <v>Oceania</v>
      </c>
      <c r="E1651" s="3463" t="str">
        <f t="shared" si="52"/>
        <v>OceaniaRoots and Tubers,Total + (Total)</v>
      </c>
      <c r="F1651" s="2994">
        <v>8.8392999999999997</v>
      </c>
      <c r="G1651" s="2994">
        <v>9.2072000000000003</v>
      </c>
      <c r="H1651" s="2994">
        <v>9.4890000000000008</v>
      </c>
      <c r="I1651" s="2994">
        <v>9.2681000000000004</v>
      </c>
      <c r="J1651" s="2994">
        <v>9.4077999999999999</v>
      </c>
      <c r="K1651" s="2994">
        <v>9.9100999999999999</v>
      </c>
      <c r="L1651" s="2994">
        <v>9.8264999999999993</v>
      </c>
      <c r="M1651" s="2994">
        <v>9.8871000000000002</v>
      </c>
      <c r="N1651" s="2994">
        <v>10.4154</v>
      </c>
      <c r="O1651" s="2994">
        <v>10.311500000000001</v>
      </c>
      <c r="P1651" s="2994">
        <v>10.567500000000001</v>
      </c>
      <c r="Q1651" s="2994">
        <v>10.6557</v>
      </c>
      <c r="R1651" s="2994">
        <v>10.4194</v>
      </c>
      <c r="S1651" s="2994">
        <v>9.8686000000000007</v>
      </c>
      <c r="T1651" s="2994">
        <v>10.066000000000001</v>
      </c>
      <c r="U1651" s="2994">
        <v>10.1044</v>
      </c>
      <c r="V1651" s="2994">
        <v>10.273899999999999</v>
      </c>
      <c r="W1651" s="2994">
        <v>10.2827</v>
      </c>
      <c r="X1651" s="2994">
        <v>10.3714</v>
      </c>
      <c r="Y1651" s="2994">
        <v>10.601800000000001</v>
      </c>
      <c r="Z1651" s="2994">
        <v>10.6008</v>
      </c>
      <c r="AA1651" s="2994">
        <v>10.898899999999999</v>
      </c>
      <c r="AB1651" s="2994">
        <v>10.682600000000001</v>
      </c>
      <c r="AC1651" s="2994">
        <v>11.3642</v>
      </c>
      <c r="AD1651" s="2994">
        <v>11.1587</v>
      </c>
      <c r="AE1651" s="2994">
        <v>11.0656</v>
      </c>
      <c r="AF1651" s="2994">
        <v>11.275700000000001</v>
      </c>
      <c r="AG1651" s="2994">
        <v>11.4422</v>
      </c>
      <c r="AH1651" s="2994">
        <v>11.1821</v>
      </c>
      <c r="AI1651" s="2994">
        <v>10.914999999999999</v>
      </c>
      <c r="AJ1651" s="2994">
        <v>11.8439</v>
      </c>
      <c r="AK1651" s="2994">
        <v>12.158300000000001</v>
      </c>
      <c r="AL1651" s="2994">
        <v>12.2926</v>
      </c>
      <c r="AM1651" s="2994">
        <v>12.144</v>
      </c>
      <c r="AN1651" s="2994">
        <v>12.520899999999999</v>
      </c>
      <c r="AO1651" s="2994">
        <v>12.914</v>
      </c>
      <c r="AP1651" s="2994">
        <v>12.759499999999999</v>
      </c>
      <c r="AQ1651" s="2994">
        <v>13.1206</v>
      </c>
      <c r="AR1651" s="2994">
        <v>13.0663</v>
      </c>
      <c r="AS1651" s="2994">
        <v>12.527799999999999</v>
      </c>
      <c r="AT1651" s="2994">
        <v>13.0457</v>
      </c>
      <c r="AU1651" s="2994">
        <v>13.242000000000001</v>
      </c>
      <c r="AV1651" s="2994">
        <v>13.1547</v>
      </c>
      <c r="AW1651" s="2994">
        <v>13.1469</v>
      </c>
      <c r="AX1651" s="2994">
        <v>12.6808</v>
      </c>
      <c r="AY1651" s="2994">
        <v>12.5761</v>
      </c>
      <c r="AZ1651" s="2994">
        <v>12.4415</v>
      </c>
      <c r="BA1651" s="2994">
        <v>12.407999999999999</v>
      </c>
      <c r="BB1651" s="2994">
        <v>12.3485</v>
      </c>
      <c r="BC1651" s="2994">
        <v>12.6189</v>
      </c>
      <c r="BD1651" s="3471">
        <v>12.2262</v>
      </c>
      <c r="BE1651" s="3471">
        <v>12.942500000000001</v>
      </c>
      <c r="BF1651" s="3471">
        <v>12.855499999999999</v>
      </c>
    </row>
    <row r="1653" spans="1:58">
      <c r="H1653" s="2028"/>
      <c r="I1653" s="2028"/>
      <c r="J1653" s="2028"/>
      <c r="K1653" s="2028"/>
      <c r="L1653" s="2028"/>
      <c r="M1653" s="2028"/>
      <c r="N1653" s="2028"/>
      <c r="O1653" s="2028"/>
      <c r="P1653" s="2028"/>
      <c r="Q1653" s="2028"/>
      <c r="R1653" s="2028"/>
      <c r="S1653" s="2028"/>
      <c r="T1653" s="2028"/>
      <c r="U1653" s="2028"/>
      <c r="V1653" s="2028"/>
      <c r="W1653" s="2028"/>
      <c r="X1653" s="2028"/>
      <c r="Y1653" s="2028"/>
      <c r="Z1653" s="2028"/>
      <c r="AA1653" s="2028"/>
      <c r="AB1653" s="2028"/>
      <c r="AC1653" s="2028"/>
      <c r="AD1653" s="2028"/>
      <c r="AE1653" s="2028"/>
      <c r="AF1653" s="2028"/>
      <c r="AG1653" s="2028"/>
      <c r="AH1653" s="2028"/>
      <c r="AI1653" s="2028"/>
      <c r="AJ1653" s="2028"/>
      <c r="AK1653" s="2028"/>
      <c r="AL1653" s="2028"/>
      <c r="AM1653" s="2028"/>
      <c r="AN1653" s="2028"/>
      <c r="AO1653" s="2028"/>
      <c r="AP1653" s="2028"/>
      <c r="AQ1653" s="2028"/>
      <c r="AR1653" s="2028"/>
      <c r="AS1653" s="2028"/>
      <c r="AT1653" s="2028"/>
      <c r="AU1653" s="2028"/>
      <c r="AV1653" s="2028"/>
      <c r="AW1653" s="2028"/>
      <c r="AX1653" s="2028"/>
      <c r="AY1653" s="2028"/>
      <c r="AZ1653" s="2028"/>
      <c r="BA1653" s="2028"/>
      <c r="BB1653" s="2028"/>
      <c r="BC1653" s="2028"/>
      <c r="BD1653" s="2028"/>
      <c r="BE1653" s="2028"/>
      <c r="BF1653" s="202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66"/>
  </sheetPr>
  <dimension ref="A1:R63"/>
  <sheetViews>
    <sheetView topLeftCell="A19" workbookViewId="0">
      <selection activeCell="G29" sqref="G29"/>
    </sheetView>
  </sheetViews>
  <sheetFormatPr defaultColWidth="11.5703125" defaultRowHeight="12.75"/>
  <cols>
    <col min="1" max="16384" width="11.5703125" style="1818"/>
  </cols>
  <sheetData>
    <row r="1" spans="1:18">
      <c r="A1" s="2747" t="s">
        <v>330</v>
      </c>
      <c r="B1" s="2748"/>
      <c r="C1" s="1820" t="s">
        <v>1313</v>
      </c>
      <c r="G1" s="3441" t="s">
        <v>7246</v>
      </c>
      <c r="I1" s="3440"/>
      <c r="J1" s="3440"/>
      <c r="K1" s="3440"/>
      <c r="L1" s="3440"/>
      <c r="R1" s="3440"/>
    </row>
    <row r="2" spans="1:18">
      <c r="A2" s="2748" t="str">
        <f>IF(Nlang=1,'Name translation'!A166,VLOOKUP('Name translation'!A166,'Name translation'!$A$1:$H$351,Nlang+1,))</f>
        <v>?</v>
      </c>
      <c r="B2" s="2748" t="str">
        <f>'Name translation'!A166</f>
        <v>?</v>
      </c>
      <c r="C2" s="2746" t="str">
        <f>IF(Nlang=1,'Name translation'!A196,VLOOKUP('Name translation'!A196,'Name translation'!$A$1:$H$351,Nlang+1,))</f>
        <v>?</v>
      </c>
      <c r="D2" s="1818" t="str">
        <f>'Name translation'!A196</f>
        <v>?</v>
      </c>
      <c r="G2" s="4099" t="s">
        <v>7222</v>
      </c>
      <c r="H2" s="4099"/>
      <c r="I2" s="3440"/>
      <c r="J2" s="3442" t="s">
        <v>7223</v>
      </c>
      <c r="K2" s="3440"/>
      <c r="L2" s="3440"/>
      <c r="R2" s="3440"/>
    </row>
    <row r="3" spans="1:18">
      <c r="A3" s="2748" t="str">
        <f>IF(Nlang=1,'Name translation'!A167,VLOOKUP('Name translation'!A167,'Name translation'!$A$1:$H$351,Nlang+1,))</f>
        <v>Africa</v>
      </c>
      <c r="B3" s="2748" t="str">
        <f>'Name translation'!A167</f>
        <v>Africa</v>
      </c>
      <c r="C3" s="2746" t="str">
        <f>IF(Nlang=1,'Name translation'!A197,VLOOKUP('Name translation'!A197,'Name translation'!$A$1:$H$351,Nlang+1,))</f>
        <v>Bananas</v>
      </c>
      <c r="D3" s="1921" t="str">
        <f>'Name translation'!A197</f>
        <v>Bananas</v>
      </c>
      <c r="H3" s="3443"/>
      <c r="I3" s="3440"/>
      <c r="J3" s="3440"/>
      <c r="K3" s="3440"/>
      <c r="L3" s="3440"/>
      <c r="R3" s="3440"/>
    </row>
    <row r="4" spans="1:18">
      <c r="A4" s="2748" t="str">
        <f>IF(Nlang=1,'Name translation'!A168,VLOOKUP('Name translation'!A168,'Name translation'!$A$1:$H$351,Nlang+1,))</f>
        <v>Americas</v>
      </c>
      <c r="B4" s="2748" t="str">
        <f>'Name translation'!A168</f>
        <v>Americas</v>
      </c>
      <c r="C4" s="2746" t="str">
        <f>IF(Nlang=1,'Name translation'!A198,VLOOKUP('Name translation'!A198,'Name translation'!$A$1:$H$351,Nlang+1,))</f>
        <v>Barley</v>
      </c>
      <c r="D4" s="1921" t="str">
        <f>'Name translation'!A198</f>
        <v>Barley</v>
      </c>
      <c r="G4" s="3443" t="s">
        <v>297</v>
      </c>
      <c r="H4" s="3443" t="s">
        <v>7226</v>
      </c>
      <c r="J4" s="361" t="s">
        <v>297</v>
      </c>
      <c r="K4" s="3440"/>
      <c r="R4" s="3440"/>
    </row>
    <row r="5" spans="1:18">
      <c r="A5" s="2748" t="str">
        <f>IF(Nlang=1,'Name translation'!A169,VLOOKUP('Name translation'!A169,'Name translation'!$A$1:$H$351,Nlang+1,))</f>
        <v>Asia</v>
      </c>
      <c r="B5" s="2748" t="str">
        <f>'Name translation'!A169</f>
        <v>Asia</v>
      </c>
      <c r="C5" s="2746" t="str">
        <f>IF(Nlang=1,'Name translation'!A199,VLOOKUP('Name translation'!A199,'Name translation'!$A$1:$H$351,Nlang+1,))</f>
        <v>Beans, dry</v>
      </c>
      <c r="D5" s="1921" t="str">
        <f>'Name translation'!A199</f>
        <v>Beans, dry</v>
      </c>
      <c r="G5" s="3443" t="s">
        <v>305</v>
      </c>
      <c r="H5" s="3443" t="s">
        <v>7229</v>
      </c>
      <c r="J5" s="361" t="s">
        <v>305</v>
      </c>
      <c r="K5" s="3440"/>
      <c r="R5" s="3440"/>
    </row>
    <row r="6" spans="1:18">
      <c r="A6" s="2748" t="str">
        <f>IF(Nlang=1,'Name translation'!A170,VLOOKUP('Name translation'!A170,'Name translation'!$A$1:$H$351,Nlang+1,))</f>
        <v>Australia &amp; New Zealand</v>
      </c>
      <c r="B6" s="2748" t="str">
        <f>'Name translation'!A170</f>
        <v>Australia &amp; New Zealand</v>
      </c>
      <c r="C6" s="2746" t="str">
        <f>IF(Nlang=1,'Name translation'!A200,VLOOKUP('Name translation'!A200,'Name translation'!$A$1:$H$351,Nlang+1,))</f>
        <v>Beans, green</v>
      </c>
      <c r="D6" s="1921" t="str">
        <f>'Name translation'!A200</f>
        <v>Beans, green</v>
      </c>
      <c r="G6" s="3443" t="s">
        <v>1328</v>
      </c>
      <c r="H6" s="3440" t="s">
        <v>7232</v>
      </c>
      <c r="J6" s="361" t="s">
        <v>298</v>
      </c>
      <c r="K6" s="3440"/>
      <c r="R6" s="3440"/>
    </row>
    <row r="7" spans="1:18">
      <c r="A7" s="2748" t="str">
        <f>IF(Nlang=1,'Name translation'!A171,VLOOKUP('Name translation'!A171,'Name translation'!$A$1:$H$351,Nlang+1,))</f>
        <v>Caribbean</v>
      </c>
      <c r="B7" s="2748" t="str">
        <f>'Name translation'!A171</f>
        <v>Caribbean</v>
      </c>
      <c r="C7" s="2746" t="str">
        <f>IF(Nlang=1,'Name translation'!A201,VLOOKUP('Name translation'!A201,'Name translation'!$A$1:$H$351,Nlang+1,))</f>
        <v>Carrots and turnips</v>
      </c>
      <c r="D7" s="1921" t="str">
        <f>'Name translation'!A201</f>
        <v>Carrots and turnips</v>
      </c>
      <c r="G7" s="3443" t="s">
        <v>302</v>
      </c>
      <c r="H7" s="3443" t="s">
        <v>7235</v>
      </c>
      <c r="J7" s="361" t="s">
        <v>302</v>
      </c>
      <c r="K7" s="3440"/>
      <c r="R7" s="3440"/>
    </row>
    <row r="8" spans="1:18">
      <c r="A8" s="2748" t="str">
        <f>IF(Nlang=1,'Name translation'!A172,VLOOKUP('Name translation'!A172,'Name translation'!$A$1:$H$351,Nlang+1,))</f>
        <v>Central America</v>
      </c>
      <c r="B8" s="2748" t="str">
        <f>'Name translation'!A172</f>
        <v>Central America</v>
      </c>
      <c r="C8" s="2746" t="str">
        <f>IF(Nlang=1,'Name translation'!A202,VLOOKUP('Name translation'!A202,'Name translation'!$A$1:$H$351,Nlang+1,))</f>
        <v>Cashew nuts, with shell</v>
      </c>
      <c r="D8" s="1921" t="str">
        <f>'Name translation'!A202</f>
        <v>Cashew nuts, with shell</v>
      </c>
      <c r="G8" s="3444" t="s">
        <v>1318</v>
      </c>
      <c r="H8" s="3443" t="s">
        <v>7237</v>
      </c>
      <c r="J8" s="361" t="s">
        <v>304</v>
      </c>
      <c r="K8" s="3440"/>
      <c r="R8" s="3440"/>
    </row>
    <row r="9" spans="1:18">
      <c r="A9" s="2748" t="str">
        <f>IF(Nlang=1,'Name translation'!A173,VLOOKUP('Name translation'!A173,'Name translation'!$A$1:$H$351,Nlang+1,))</f>
        <v>Central Asia</v>
      </c>
      <c r="B9" s="2748" t="str">
        <f>'Name translation'!A173</f>
        <v>Central Asia</v>
      </c>
      <c r="C9" s="2746" t="str">
        <f>IF(Nlang=1,'Name translation'!A203,VLOOKUP('Name translation'!A203,'Name translation'!$A$1:$H$351,Nlang+1,))</f>
        <v>Cassava</v>
      </c>
      <c r="D9" s="1921" t="str">
        <f>'Name translation'!A203</f>
        <v>Cassava</v>
      </c>
      <c r="G9" s="3443" t="s">
        <v>303</v>
      </c>
      <c r="H9" s="3440" t="s">
        <v>7238</v>
      </c>
      <c r="J9" s="361" t="s">
        <v>303</v>
      </c>
      <c r="K9" s="3440"/>
      <c r="R9" s="3440"/>
    </row>
    <row r="10" spans="1:18">
      <c r="A10" s="2748" t="str">
        <f>IF(Nlang=1,'Name translation'!A174,VLOOKUP('Name translation'!A174,'Name translation'!$A$1:$H$351,Nlang+1,))</f>
        <v>Eastern Africa</v>
      </c>
      <c r="B10" s="2748" t="str">
        <f>'Name translation'!A174</f>
        <v>Eastern Africa</v>
      </c>
      <c r="C10" s="2746" t="str">
        <f>IF(Nlang=1,'Name translation'!A204,VLOOKUP('Name translation'!A204,'Name translation'!$A$1:$H$351,Nlang+1,))</f>
        <v>Cauliflowers and broccoli</v>
      </c>
      <c r="D10" s="1921" t="str">
        <f>'Name translation'!A204</f>
        <v>Cauliflowers and broccoli</v>
      </c>
      <c r="G10" s="3443" t="s">
        <v>306</v>
      </c>
      <c r="H10" s="3440" t="s">
        <v>7240</v>
      </c>
      <c r="J10" s="361" t="s">
        <v>306</v>
      </c>
      <c r="K10" s="3440"/>
      <c r="R10" s="3440"/>
    </row>
    <row r="11" spans="1:18">
      <c r="A11" s="2748" t="str">
        <f>IF(Nlang=1,'Name translation'!A175,VLOOKUP('Name translation'!A175,'Name translation'!$A$1:$H$351,Nlang+1,))</f>
        <v>Eastern Asia</v>
      </c>
      <c r="B11" s="2748" t="str">
        <f>'Name translation'!A175</f>
        <v>Eastern Asia</v>
      </c>
      <c r="C11" s="2746" t="str">
        <f>IF(Nlang=1,'Name translation'!A205,VLOOKUP('Name translation'!A205,'Name translation'!$A$1:$H$351,Nlang+1,))</f>
        <v>Cereals (Rice Milled Eqv)</v>
      </c>
      <c r="D11" s="1921" t="str">
        <f>'Name translation'!A205</f>
        <v>Cereals (Rice Milled Eqv)</v>
      </c>
      <c r="G11" s="3443" t="s">
        <v>1394</v>
      </c>
      <c r="H11" s="3440" t="s">
        <v>7241</v>
      </c>
      <c r="J11" s="361" t="s">
        <v>299</v>
      </c>
      <c r="K11" s="3440"/>
      <c r="R11" s="3440"/>
    </row>
    <row r="12" spans="1:18">
      <c r="A12" s="2748" t="str">
        <f>IF(Nlang=1,'Name translation'!A176,VLOOKUP('Name translation'!A176,'Name translation'!$A$1:$H$351,Nlang+1,))</f>
        <v>Eastern Europe</v>
      </c>
      <c r="B12" s="2748" t="str">
        <f>'Name translation'!A176</f>
        <v>Eastern Europe</v>
      </c>
      <c r="C12" s="2746" t="str">
        <f>IF(Nlang=1,'Name translation'!A206,VLOOKUP('Name translation'!A206,'Name translation'!$A$1:$H$351,Nlang+1,))</f>
        <v>Cereals, nes</v>
      </c>
      <c r="D12" s="1921" t="str">
        <f>'Name translation'!A206</f>
        <v>Cereals, nes</v>
      </c>
      <c r="G12" s="3443" t="s">
        <v>1326</v>
      </c>
      <c r="H12" s="3443" t="s">
        <v>7242</v>
      </c>
      <c r="J12" s="361" t="s">
        <v>425</v>
      </c>
      <c r="K12" s="3440"/>
      <c r="R12" s="3440"/>
    </row>
    <row r="13" spans="1:18">
      <c r="A13" s="2748" t="str">
        <f>IF(Nlang=1,'Name translation'!A177,VLOOKUP('Name translation'!A177,'Name translation'!$A$1:$H$351,Nlang+1,))</f>
        <v>Europe</v>
      </c>
      <c r="B13" s="2748" t="str">
        <f>'Name translation'!A177</f>
        <v>Europe</v>
      </c>
      <c r="C13" s="2746" t="str">
        <f>IF(Nlang=1,'Name translation'!A207,VLOOKUP('Name translation'!A207,'Name translation'!$A$1:$H$351,Nlang+1,))</f>
        <v>Chestnuts</v>
      </c>
      <c r="D13" s="1921" t="str">
        <f>'Name translation'!A207</f>
        <v>Chestnuts</v>
      </c>
      <c r="G13" s="3443" t="s">
        <v>1398</v>
      </c>
      <c r="H13" s="3443" t="s">
        <v>7243</v>
      </c>
      <c r="J13" s="361" t="s">
        <v>300</v>
      </c>
      <c r="K13" s="3440"/>
      <c r="R13" s="3440"/>
    </row>
    <row r="14" spans="1:18">
      <c r="A14" s="2748" t="str">
        <f>IF(Nlang=1,'Name translation'!A178,VLOOKUP('Name translation'!A178,'Name translation'!$A$1:$H$351,Nlang+1,))</f>
        <v>European Union</v>
      </c>
      <c r="B14" s="2748" t="str">
        <f>'Name translation'!A178</f>
        <v>European Union</v>
      </c>
      <c r="C14" s="2746" t="str">
        <f>IF(Nlang=1,'Name translation'!A208,VLOOKUP('Name translation'!A208,'Name translation'!$A$1:$H$351,Nlang+1,))</f>
        <v>Citrus fruit, nes</v>
      </c>
      <c r="D14" s="1921" t="str">
        <f>'Name translation'!A208</f>
        <v>Citrus fruit, nes</v>
      </c>
      <c r="G14" s="3443" t="s">
        <v>301</v>
      </c>
      <c r="H14" s="3440" t="s">
        <v>7245</v>
      </c>
      <c r="J14" s="361" t="s">
        <v>301</v>
      </c>
      <c r="K14" s="3440"/>
      <c r="R14" s="3440"/>
    </row>
    <row r="15" spans="1:18">
      <c r="A15" s="2748" t="str">
        <f>IF(Nlang=1,'Name translation'!A179,VLOOKUP('Name translation'!A179,'Name translation'!$A$1:$H$351,Nlang+1,))</f>
        <v>Melanesia</v>
      </c>
      <c r="B15" s="2748" t="str">
        <f>'Name translation'!A179</f>
        <v>Melanesia</v>
      </c>
      <c r="C15" s="2746" t="str">
        <f>IF(Nlang=1,'Name translation'!A209,VLOOKUP('Name translation'!A209,'Name translation'!$A$1:$H$351,Nlang+1,))</f>
        <v>Coffee, green</v>
      </c>
      <c r="D15" s="1921" t="str">
        <f>'Name translation'!A209</f>
        <v>Coffee, green</v>
      </c>
      <c r="G15" s="3440"/>
      <c r="H15" s="3440"/>
      <c r="I15" s="3440"/>
      <c r="J15" s="3440"/>
      <c r="K15" s="3440"/>
      <c r="L15" s="3440"/>
      <c r="R15" s="3440"/>
    </row>
    <row r="16" spans="1:18">
      <c r="A16" s="2748" t="str">
        <f>IF(Nlang=1,'Name translation'!A180,VLOOKUP('Name translation'!A180,'Name translation'!$A$1:$H$351,Nlang+1,))</f>
        <v>Micronesia</v>
      </c>
      <c r="B16" s="2748" t="str">
        <f>'Name translation'!A180</f>
        <v>Micronesia</v>
      </c>
      <c r="C16" s="2746" t="str">
        <f>IF(Nlang=1,'Name translation'!A210,VLOOKUP('Name translation'!A210,'Name translation'!$A$1:$H$351,Nlang+1,))</f>
        <v>Cow peas, dry</v>
      </c>
      <c r="D16" s="1921" t="str">
        <f>'Name translation'!A210</f>
        <v>Cow peas, dry</v>
      </c>
      <c r="G16" s="3440"/>
      <c r="H16" s="3440"/>
      <c r="I16" s="3440"/>
      <c r="J16" s="3440"/>
      <c r="K16" s="3440"/>
      <c r="L16" s="3440"/>
      <c r="R16" s="3440"/>
    </row>
    <row r="17" spans="1:18">
      <c r="A17" s="2748" t="str">
        <f>IF(Nlang=1,'Name translation'!A181,VLOOKUP('Name translation'!A181,'Name translation'!$A$1:$H$351,Nlang+1,))</f>
        <v>Middle Africa</v>
      </c>
      <c r="B17" s="2748" t="str">
        <f>'Name translation'!A181</f>
        <v>Middle Africa</v>
      </c>
      <c r="C17" s="2746" t="str">
        <f>IF(Nlang=1,'Name translation'!A211,VLOOKUP('Name translation'!A211,'Name translation'!$A$1:$H$351,Nlang+1,))</f>
        <v>Dates</v>
      </c>
      <c r="D17" s="1921" t="str">
        <f>'Name translation'!A211</f>
        <v>Dates</v>
      </c>
      <c r="G17" s="3441" t="s">
        <v>7247</v>
      </c>
      <c r="H17" s="3440"/>
      <c r="I17" s="3440"/>
      <c r="J17" s="3440"/>
      <c r="K17" s="3440"/>
      <c r="L17" s="3440"/>
      <c r="R17" s="3440"/>
    </row>
    <row r="18" spans="1:18">
      <c r="A18" s="2748" t="str">
        <f>IF(Nlang=1,'Name translation'!A182,VLOOKUP('Name translation'!A182,'Name translation'!$A$1:$H$351,Nlang+1,))</f>
        <v>Northern Africa</v>
      </c>
      <c r="B18" s="2748" t="str">
        <f>'Name translation'!A182</f>
        <v>Northern Africa</v>
      </c>
      <c r="C18" s="2746" t="str">
        <f>IF(Nlang=1,'Name translation'!A212,VLOOKUP('Name translation'!A212,'Name translation'!$A$1:$H$351,Nlang+1,))</f>
        <v>Eggplants (aubergines)</v>
      </c>
      <c r="D18" s="1921" t="str">
        <f>'Name translation'!A212</f>
        <v>Eggplants (aubergines)</v>
      </c>
      <c r="G18" s="3442" t="s">
        <v>7224</v>
      </c>
      <c r="H18" s="3442" t="s">
        <v>7225</v>
      </c>
      <c r="K18" s="3440"/>
      <c r="R18" s="3440"/>
    </row>
    <row r="19" spans="1:18">
      <c r="A19" s="2748" t="str">
        <f>IF(Nlang=1,'Name translation'!A183,VLOOKUP('Name translation'!A183,'Name translation'!$A$1:$H$351,Nlang+1,))</f>
        <v>Northern America</v>
      </c>
      <c r="B19" s="2748" t="str">
        <f>'Name translation'!A183</f>
        <v>Northern America</v>
      </c>
      <c r="C19" s="2746" t="str">
        <f>IF(Nlang=1,'Name translation'!A213,VLOOKUP('Name translation'!A213,'Name translation'!$A$1:$H$351,Nlang+1,))</f>
        <v>Fibre Crops Nes</v>
      </c>
      <c r="D19" s="1921" t="str">
        <f>'Name translation'!A213</f>
        <v>Fibre Crops Nes</v>
      </c>
      <c r="G19" s="2746" t="s">
        <v>339</v>
      </c>
      <c r="H19" s="2746" t="s">
        <v>339</v>
      </c>
      <c r="K19"/>
      <c r="L19"/>
      <c r="R19" s="3440"/>
    </row>
    <row r="20" spans="1:18">
      <c r="A20" s="2748" t="str">
        <f>IF(Nlang=1,'Name translation'!A184,VLOOKUP('Name translation'!A184,'Name translation'!$A$1:$H$351,Nlang+1,))</f>
        <v>Northern Europe</v>
      </c>
      <c r="B20" s="2748" t="str">
        <f>'Name translation'!A184</f>
        <v>Northern Europe</v>
      </c>
      <c r="C20" s="2746" t="str">
        <f>IF(Nlang=1,'Name translation'!A214,VLOOKUP('Name translation'!A214,'Name translation'!$A$1:$H$351,Nlang+1,))</f>
        <v>Grapefruit (inc. pomelos)</v>
      </c>
      <c r="D20" s="1921" t="str">
        <f>'Name translation'!A214</f>
        <v>Grapefruit (inc. pomelos)</v>
      </c>
      <c r="G20" s="361" t="s">
        <v>7227</v>
      </c>
      <c r="H20" s="1921" t="s">
        <v>7228</v>
      </c>
      <c r="K20"/>
      <c r="L20"/>
      <c r="R20" s="3440"/>
    </row>
    <row r="21" spans="1:18">
      <c r="A21" s="2748" t="str">
        <f>IF(Nlang=1,'Name translation'!A185,VLOOKUP('Name translation'!A185,'Name translation'!$A$1:$H$351,Nlang+1,))</f>
        <v>Oceania</v>
      </c>
      <c r="B21" s="2748" t="str">
        <f>'Name translation'!A185</f>
        <v>Oceania</v>
      </c>
      <c r="C21" s="2746" t="str">
        <f>IF(Nlang=1,'Name translation'!A215,VLOOKUP('Name translation'!A215,'Name translation'!$A$1:$H$351,Nlang+1,))</f>
        <v>Grapes</v>
      </c>
      <c r="D21" s="1921" t="str">
        <f>'Name translation'!A215</f>
        <v>Grapes</v>
      </c>
      <c r="G21" s="361" t="s">
        <v>7230</v>
      </c>
      <c r="H21" s="2579" t="s">
        <v>7231</v>
      </c>
      <c r="K21"/>
      <c r="L21"/>
    </row>
    <row r="22" spans="1:18">
      <c r="A22" s="2748" t="str">
        <f>IF(Nlang=1,'Name translation'!A186,VLOOKUP('Name translation'!A186,'Name translation'!$A$1:$H$351,Nlang+1,))</f>
        <v>Polynesia</v>
      </c>
      <c r="B22" s="2748" t="str">
        <f>'Name translation'!A186</f>
        <v>Polynesia</v>
      </c>
      <c r="C22" s="2746" t="str">
        <f>IF(Nlang=1,'Name translation'!A216,VLOOKUP('Name translation'!A216,'Name translation'!$A$1:$H$351,Nlang+1,))</f>
        <v>Groundnuts, with shell</v>
      </c>
      <c r="D22" s="1921" t="str">
        <f>'Name translation'!A216</f>
        <v>Groundnuts, with shell</v>
      </c>
      <c r="G22" s="361" t="s">
        <v>7233</v>
      </c>
      <c r="H22" s="2579" t="s">
        <v>7234</v>
      </c>
      <c r="K22"/>
      <c r="L22"/>
    </row>
    <row r="23" spans="1:18">
      <c r="A23" s="2748" t="str">
        <f>IF(Nlang=1,'Name translation'!A187,VLOOKUP('Name translation'!A187,'Name translation'!$A$1:$H$351,Nlang+1,))</f>
        <v>South America</v>
      </c>
      <c r="B23" s="2748" t="str">
        <f>'Name translation'!A187</f>
        <v>South America</v>
      </c>
      <c r="C23" s="2746" t="str">
        <f>IF(Nlang=1,'Name translation'!A217,VLOOKUP('Name translation'!A217,'Name translation'!$A$1:$H$351,Nlang+1,))</f>
        <v>Leguminous vegetables, nes</v>
      </c>
      <c r="D23" s="1921" t="str">
        <f>'Name translation'!A217</f>
        <v>Leguminous vegetables, nes</v>
      </c>
      <c r="G23" s="361" t="s">
        <v>7236</v>
      </c>
      <c r="H23" s="2579" t="s">
        <v>7234</v>
      </c>
      <c r="K23"/>
      <c r="L23"/>
    </row>
    <row r="24" spans="1:18">
      <c r="A24" s="2748" t="str">
        <f>IF(Nlang=1,'Name translation'!A188,VLOOKUP('Name translation'!A188,'Name translation'!$A$1:$H$351,Nlang+1,))</f>
        <v>South-Eastern Asia</v>
      </c>
      <c r="B24" s="2748" t="str">
        <f>'Name translation'!A188</f>
        <v>South-Eastern Asia</v>
      </c>
      <c r="C24" s="2746" t="str">
        <f>IF(Nlang=1,'Name translation'!A218,VLOOKUP('Name translation'!A218,'Name translation'!$A$1:$H$351,Nlang+1,))</f>
        <v>Linseed</v>
      </c>
      <c r="D24" s="1921" t="str">
        <f>'Name translation'!A218</f>
        <v>Linseed</v>
      </c>
      <c r="G24" s="361" t="s">
        <v>1337</v>
      </c>
      <c r="H24" s="3440" t="s">
        <v>1337</v>
      </c>
      <c r="K24"/>
      <c r="L24"/>
    </row>
    <row r="25" spans="1:18">
      <c r="A25" s="2748" t="str">
        <f>IF(Nlang=1,'Name translation'!A189,VLOOKUP('Name translation'!A189,'Name translation'!$A$1:$H$351,Nlang+1,))</f>
        <v>Southern Africa</v>
      </c>
      <c r="B25" s="2748" t="str">
        <f>'Name translation'!A189</f>
        <v>Southern Africa</v>
      </c>
      <c r="C25" s="2746" t="str">
        <f>IF(Nlang=1,'Name translation'!A219,VLOOKUP('Name translation'!A219,'Name translation'!$A$1:$H$351,Nlang+1,))</f>
        <v>Maize</v>
      </c>
      <c r="D25" s="1921" t="str">
        <f>'Name translation'!A219</f>
        <v>Maize</v>
      </c>
      <c r="G25" s="361" t="s">
        <v>1356</v>
      </c>
      <c r="H25" s="3440" t="s">
        <v>1356</v>
      </c>
      <c r="K25"/>
      <c r="L25"/>
    </row>
    <row r="26" spans="1:18">
      <c r="A26" s="2748" t="str">
        <f>IF(Nlang=1,'Name translation'!A190,VLOOKUP('Name translation'!A190,'Name translation'!$A$1:$H$351,Nlang+1,))</f>
        <v>Southern Asia</v>
      </c>
      <c r="B26" s="2748" t="str">
        <f>'Name translation'!A190</f>
        <v>Southern Asia</v>
      </c>
      <c r="C26" s="2746" t="str">
        <f>IF(Nlang=1,'Name translation'!A220,VLOOKUP('Name translation'!A220,'Name translation'!$A$1:$H$351,Nlang+1,))</f>
        <v>Maize, green</v>
      </c>
      <c r="D26" s="1921" t="str">
        <f>'Name translation'!A220</f>
        <v>Maize, green</v>
      </c>
      <c r="G26" s="361" t="s">
        <v>1323</v>
      </c>
      <c r="H26" s="3440" t="s">
        <v>1323</v>
      </c>
      <c r="K26"/>
      <c r="L26"/>
    </row>
    <row r="27" spans="1:18">
      <c r="A27" s="2748" t="str">
        <f>IF(Nlang=1,'Name translation'!A191,VLOOKUP('Name translation'!A191,'Name translation'!$A$1:$H$351,Nlang+1,))</f>
        <v>Southern Europe</v>
      </c>
      <c r="B27" s="2748" t="str">
        <f>'Name translation'!A191</f>
        <v>Southern Europe</v>
      </c>
      <c r="C27" s="2746" t="str">
        <f>IF(Nlang=1,'Name translation'!A221,VLOOKUP('Name translation'!A221,'Name translation'!$A$1:$H$351,Nlang+1,))</f>
        <v>Mangoes, mangosteens, guavas</v>
      </c>
      <c r="D27" s="1921" t="str">
        <f>'Name translation'!A221</f>
        <v>Mangoes, mangosteens, guavas</v>
      </c>
      <c r="G27" s="3625" t="s">
        <v>1368</v>
      </c>
      <c r="H27" s="3440" t="s">
        <v>1368</v>
      </c>
      <c r="K27"/>
      <c r="L27"/>
    </row>
    <row r="28" spans="1:18">
      <c r="A28" s="2748" t="str">
        <f>IF(Nlang=1,'Name translation'!A192,VLOOKUP('Name translation'!A192,'Name translation'!$A$1:$H$351,Nlang+1,))</f>
        <v>Western Africa</v>
      </c>
      <c r="B28" s="2748" t="str">
        <f>'Name translation'!A192</f>
        <v>Western Africa</v>
      </c>
      <c r="C28" s="2746" t="str">
        <f>IF(Nlang=1,'Name translation'!A222,VLOOKUP('Name translation'!A222,'Name translation'!$A$1:$H$351,Nlang+1,))</f>
        <v>Maté</v>
      </c>
      <c r="D28" s="1921" t="str">
        <f>'Name translation'!A222</f>
        <v>Maté</v>
      </c>
      <c r="G28" s="3625" t="s">
        <v>1333</v>
      </c>
      <c r="H28" s="3440" t="s">
        <v>1333</v>
      </c>
      <c r="K28"/>
      <c r="L28"/>
    </row>
    <row r="29" spans="1:18">
      <c r="A29" s="2748" t="str">
        <f>IF(Nlang=1,'Name translation'!A193,VLOOKUP('Name translation'!A193,'Name translation'!$A$1:$H$351,Nlang+1,))</f>
        <v>Western Asia</v>
      </c>
      <c r="B29" s="2748" t="str">
        <f>'Name translation'!A193</f>
        <v>Western Asia</v>
      </c>
      <c r="C29" s="2746" t="str">
        <f>IF(Nlang=1,'Name translation'!A223,VLOOKUP('Name translation'!A223,'Name translation'!$A$1:$H$351,Nlang+1,))</f>
        <v>Millet</v>
      </c>
      <c r="D29" s="1921" t="str">
        <f>'Name translation'!A223</f>
        <v>Millet</v>
      </c>
      <c r="G29" s="361" t="s">
        <v>1383</v>
      </c>
      <c r="H29" s="3440" t="s">
        <v>1383</v>
      </c>
      <c r="K29"/>
      <c r="L29"/>
    </row>
    <row r="30" spans="1:18">
      <c r="A30" s="2748" t="str">
        <f>IF(Nlang=1,'Name translation'!A194,VLOOKUP('Name translation'!A194,'Name translation'!$A$1:$H$351,Nlang+1,))</f>
        <v>Western Europe</v>
      </c>
      <c r="B30" s="2748" t="str">
        <f>'Name translation'!A194</f>
        <v>Western Europe</v>
      </c>
      <c r="C30" s="2746" t="str">
        <f>IF(Nlang=1,'Name translation'!A224,VLOOKUP('Name translation'!A224,'Name translation'!$A$1:$H$351,Nlang+1,))</f>
        <v>Oats</v>
      </c>
      <c r="D30" s="1921" t="str">
        <f>'Name translation'!A224</f>
        <v>Oats</v>
      </c>
      <c r="G30" s="3548" t="s">
        <v>7239</v>
      </c>
      <c r="H30" s="3440" t="s">
        <v>1338</v>
      </c>
      <c r="K30" s="3440"/>
    </row>
    <row r="31" spans="1:18">
      <c r="A31" s="2748" t="str">
        <f>IF(Nlang=1,'Name translation'!A195,VLOOKUP('Name translation'!A195,'Name translation'!$A$1:$H$351,Nlang+1,))</f>
        <v>World</v>
      </c>
      <c r="B31" s="2748" t="str">
        <f>'Name translation'!A195</f>
        <v>World</v>
      </c>
      <c r="C31" s="2746" t="str">
        <f>IF(Nlang=1,'Name translation'!A225,VLOOKUP('Name translation'!A225,'Name translation'!$A$1:$H$351,Nlang+1,))</f>
        <v>Oil palm fruit</v>
      </c>
      <c r="D31" s="1921" t="str">
        <f>'Name translation'!A225</f>
        <v>Oil palm fruit</v>
      </c>
      <c r="G31" s="3548" t="s">
        <v>7244</v>
      </c>
      <c r="H31" s="3440" t="s">
        <v>1353</v>
      </c>
      <c r="K31" s="3440"/>
    </row>
    <row r="32" spans="1:18">
      <c r="C32" s="2746" t="str">
        <f>IF(Nlang=1,'Name translation'!A226,VLOOKUP('Name translation'!A226,'Name translation'!$A$1:$H$351,Nlang+1,))</f>
        <v>Olives</v>
      </c>
      <c r="D32" s="1921" t="str">
        <f>'Name translation'!A226</f>
        <v>Olives</v>
      </c>
      <c r="G32" s="3548" t="s">
        <v>1359</v>
      </c>
      <c r="H32" s="3440" t="s">
        <v>1359</v>
      </c>
      <c r="K32" s="3440"/>
    </row>
    <row r="33" spans="3:11">
      <c r="C33" s="2746" t="str">
        <f>IF(Nlang=1,'Name translation'!A227,VLOOKUP('Name translation'!A227,'Name translation'!$A$1:$H$351,Nlang+1,))</f>
        <v>Onions, dry</v>
      </c>
      <c r="D33" s="1921" t="str">
        <f>'Name translation'!A227</f>
        <v>Onions, dry</v>
      </c>
      <c r="G33" s="3548" t="s">
        <v>1373</v>
      </c>
      <c r="H33" s="3440" t="s">
        <v>1373</v>
      </c>
      <c r="K33" s="3440"/>
    </row>
    <row r="34" spans="3:11">
      <c r="C34" s="2746" t="str">
        <f>IF(Nlang=1,'Name translation'!A228,VLOOKUP('Name translation'!A228,'Name translation'!$A$1:$H$351,Nlang+1,))</f>
        <v>Oranges</v>
      </c>
      <c r="D34" s="1921" t="str">
        <f>'Name translation'!A228</f>
        <v>Oranges</v>
      </c>
      <c r="G34" s="3548" t="s">
        <v>1093</v>
      </c>
      <c r="H34" s="3440" t="s">
        <v>1370</v>
      </c>
      <c r="K34" s="3440"/>
    </row>
    <row r="35" spans="3:11">
      <c r="C35" s="2746" t="str">
        <f>IF(Nlang=1,'Name translation'!A229,VLOOKUP('Name translation'!A229,'Name translation'!$A$1:$H$351,Nlang+1,))</f>
        <v>Peaches and nectarines</v>
      </c>
      <c r="D35" s="1921" t="str">
        <f>'Name translation'!A229</f>
        <v>Peaches and nectarines</v>
      </c>
      <c r="G35" s="3548" t="s">
        <v>1327</v>
      </c>
      <c r="H35" s="3440" t="s">
        <v>1327</v>
      </c>
      <c r="K35" s="3440"/>
    </row>
    <row r="36" spans="3:11">
      <c r="C36" s="2746" t="str">
        <f>IF(Nlang=1,'Name translation'!A230,VLOOKUP('Name translation'!A230,'Name translation'!$A$1:$H$351,Nlang+1,))</f>
        <v>Peas, dry</v>
      </c>
      <c r="D36" s="1921" t="str">
        <f>'Name translation'!A230</f>
        <v>Peas, dry</v>
      </c>
      <c r="J36" s="2746"/>
      <c r="K36" s="3440"/>
    </row>
    <row r="37" spans="3:11">
      <c r="C37" s="2746" t="str">
        <f>IF(Nlang=1,'Name translation'!A231,VLOOKUP('Name translation'!A231,'Name translation'!$A$1:$H$351,Nlang+1,))</f>
        <v>Peas, green</v>
      </c>
      <c r="D37" s="1921" t="str">
        <f>'Name translation'!A231</f>
        <v>Peas, green</v>
      </c>
    </row>
    <row r="38" spans="3:11">
      <c r="C38" s="2746" t="str">
        <f>IF(Nlang=1,'Name translation'!A232,VLOOKUP('Name translation'!A232,'Name translation'!$A$1:$H$351,Nlang+1,))</f>
        <v>Pineapples</v>
      </c>
      <c r="D38" s="1921" t="str">
        <f>'Name translation'!A232</f>
        <v>Pineapples</v>
      </c>
    </row>
    <row r="39" spans="3:11">
      <c r="C39" s="2746" t="str">
        <f>IF(Nlang=1,'Name translation'!A233,VLOOKUP('Name translation'!A233,'Name translation'!$A$1:$H$351,Nlang+1,))</f>
        <v>Plantains</v>
      </c>
      <c r="D39" s="1921" t="str">
        <f>'Name translation'!A233</f>
        <v>Plantains</v>
      </c>
    </row>
    <row r="40" spans="3:11">
      <c r="C40" s="2746" t="str">
        <f>IF(Nlang=1,'Name translation'!A234,VLOOKUP('Name translation'!A234,'Name translation'!$A$1:$H$351,Nlang+1,))</f>
        <v>Potatoes</v>
      </c>
      <c r="D40" s="1921" t="str">
        <f>'Name translation'!A234</f>
        <v>Potatoes</v>
      </c>
    </row>
    <row r="41" spans="3:11">
      <c r="C41" s="2746" t="str">
        <f>IF(Nlang=1,'Name translation'!A235,VLOOKUP('Name translation'!A235,'Name translation'!$A$1:$H$351,Nlang+1,))</f>
        <v>Pulses, nes</v>
      </c>
      <c r="D41" s="1921" t="str">
        <f>'Name translation'!A235</f>
        <v>Pulses, nes</v>
      </c>
    </row>
    <row r="42" spans="3:11">
      <c r="C42" s="2746" t="str">
        <f>IF(Nlang=1,'Name translation'!A236,VLOOKUP('Name translation'!A236,'Name translation'!$A$1:$H$351,Nlang+1,))</f>
        <v>Quinoa</v>
      </c>
      <c r="D42" s="1921" t="str">
        <f>'Name translation'!A236</f>
        <v>Quinoa</v>
      </c>
    </row>
    <row r="43" spans="3:11">
      <c r="C43" s="2746" t="str">
        <f>IF(Nlang=1,'Name translation'!A237,VLOOKUP('Name translation'!A237,'Name translation'!$A$1:$H$351,Nlang+1,))</f>
        <v>Rice, paddy</v>
      </c>
      <c r="D43" s="1921" t="str">
        <f>'Name translation'!A237</f>
        <v>Rice, paddy</v>
      </c>
    </row>
    <row r="44" spans="3:11">
      <c r="C44" s="2746" t="str">
        <f>IF(Nlang=1,'Name translation'!A238,VLOOKUP('Name translation'!A238,'Name translation'!$A$1:$H$351,Nlang+1,))</f>
        <v>Roots and Tubers, nes</v>
      </c>
      <c r="D44" s="1921" t="str">
        <f>'Name translation'!A238</f>
        <v>Roots and Tubers, nes</v>
      </c>
    </row>
    <row r="45" spans="3:11">
      <c r="C45" s="2746" t="str">
        <f>IF(Nlang=1,'Name translation'!A239,VLOOKUP('Name translation'!A239,'Name translation'!$A$1:$H$351,Nlang+1,))</f>
        <v>Rye</v>
      </c>
      <c r="D45" s="1921" t="str">
        <f>'Name translation'!A239</f>
        <v>Rye</v>
      </c>
    </row>
    <row r="46" spans="3:11">
      <c r="C46" s="2746" t="str">
        <f>IF(Nlang=1,'Name translation'!A240,VLOOKUP('Name translation'!A240,'Name translation'!$A$1:$H$351,Nlang+1,))</f>
        <v>Seed cotton</v>
      </c>
      <c r="D46" s="1921" t="str">
        <f>'Name translation'!A240</f>
        <v>Seed cotton</v>
      </c>
    </row>
    <row r="47" spans="3:11">
      <c r="C47" s="2746" t="str">
        <f>IF(Nlang=1,'Name translation'!A241,VLOOKUP('Name translation'!A241,'Name translation'!$A$1:$H$351,Nlang+1,))</f>
        <v>Sesame seed</v>
      </c>
      <c r="D47" s="1921" t="str">
        <f>'Name translation'!A241</f>
        <v>Sesame seed</v>
      </c>
    </row>
    <row r="48" spans="3:11">
      <c r="C48" s="2746" t="str">
        <f>IF(Nlang=1,'Name translation'!A242,VLOOKUP('Name translation'!A242,'Name translation'!$A$1:$H$351,Nlang+1,))</f>
        <v>Sisal</v>
      </c>
      <c r="D48" s="1921" t="str">
        <f>'Name translation'!A242</f>
        <v>Sisal</v>
      </c>
    </row>
    <row r="49" spans="3:4">
      <c r="C49" s="2746" t="str">
        <f>IF(Nlang=1,'Name translation'!A243,VLOOKUP('Name translation'!A243,'Name translation'!$A$1:$H$351,Nlang+1,))</f>
        <v>Sorghum</v>
      </c>
      <c r="D49" s="1921" t="str">
        <f>'Name translation'!A243</f>
        <v>Sorghum</v>
      </c>
    </row>
    <row r="50" spans="3:4">
      <c r="C50" s="2746" t="str">
        <f>IF(Nlang=1,'Name translation'!A244,VLOOKUP('Name translation'!A244,'Name translation'!$A$1:$H$351,Nlang+1,))</f>
        <v>Soybeans</v>
      </c>
      <c r="D50" s="1921" t="str">
        <f>'Name translation'!A244</f>
        <v>Soybeans</v>
      </c>
    </row>
    <row r="51" spans="3:4">
      <c r="C51" s="2746" t="str">
        <f>IF(Nlang=1,'Name translation'!A245,VLOOKUP('Name translation'!A245,'Name translation'!$A$1:$H$351,Nlang+1,))</f>
        <v>Strawberries</v>
      </c>
      <c r="D51" s="1921" t="str">
        <f>'Name translation'!A245</f>
        <v>Strawberries</v>
      </c>
    </row>
    <row r="52" spans="3:4">
      <c r="C52" s="2746" t="str">
        <f>IF(Nlang=1,'Name translation'!A246,VLOOKUP('Name translation'!A246,'Name translation'!$A$1:$H$351,Nlang+1,))</f>
        <v>Sugar beet</v>
      </c>
      <c r="D52" s="1921" t="str">
        <f>'Name translation'!A246</f>
        <v>Sugar beet</v>
      </c>
    </row>
    <row r="53" spans="3:4">
      <c r="C53" s="2746" t="str">
        <f>IF(Nlang=1,'Name translation'!A247,VLOOKUP('Name translation'!A247,'Name translation'!$A$1:$H$351,Nlang+1,))</f>
        <v>Sugar cane</v>
      </c>
      <c r="D53" s="1921" t="str">
        <f>'Name translation'!A247</f>
        <v>Sugar cane</v>
      </c>
    </row>
    <row r="54" spans="3:4">
      <c r="C54" s="2746" t="str">
        <f>IF(Nlang=1,'Name translation'!A248,VLOOKUP('Name translation'!A248,'Name translation'!$A$1:$H$351,Nlang+1,))</f>
        <v>Sunflower seed</v>
      </c>
      <c r="D54" s="1921" t="str">
        <f>'Name translation'!A248</f>
        <v>Sunflower seed</v>
      </c>
    </row>
    <row r="55" spans="3:4">
      <c r="C55" s="2746" t="str">
        <f>IF(Nlang=1,'Name translation'!A249,VLOOKUP('Name translation'!A249,'Name translation'!$A$1:$H$351,Nlang+1,))</f>
        <v>Sweet potatoes</v>
      </c>
      <c r="D55" s="1921" t="str">
        <f>'Name translation'!A249</f>
        <v>Sweet potatoes</v>
      </c>
    </row>
    <row r="56" spans="3:4">
      <c r="C56" s="2746" t="str">
        <f>IF(Nlang=1,'Name translation'!A250,VLOOKUP('Name translation'!A250,'Name translation'!$A$1:$H$351,Nlang+1,))</f>
        <v>Tangerines, mandarins, clem.</v>
      </c>
      <c r="D56" s="1921" t="str">
        <f>'Name translation'!A250</f>
        <v>Tangerines, mandarins, clem.</v>
      </c>
    </row>
    <row r="57" spans="3:4">
      <c r="C57" s="2746" t="str">
        <f>IF(Nlang=1,'Name translation'!A251,VLOOKUP('Name translation'!A251,'Name translation'!$A$1:$H$351,Nlang+1,))</f>
        <v>Tea</v>
      </c>
      <c r="D57" s="1921" t="str">
        <f>'Name translation'!A251</f>
        <v>Tea</v>
      </c>
    </row>
    <row r="58" spans="3:4">
      <c r="C58" s="2746" t="str">
        <f>IF(Nlang=1,'Name translation'!A252,VLOOKUP('Name translation'!A252,'Name translation'!$A$1:$H$351,Nlang+1,))</f>
        <v>Tobacco, unmanufactured</v>
      </c>
      <c r="D58" s="1921" t="str">
        <f>'Name translation'!A252</f>
        <v>Tobacco, unmanufactured</v>
      </c>
    </row>
    <row r="59" spans="3:4">
      <c r="C59" s="2746" t="str">
        <f>IF(Nlang=1,'Name translation'!A253,VLOOKUP('Name translation'!A253,'Name translation'!$A$1:$H$351,Nlang+1,))</f>
        <v>Tomatoes</v>
      </c>
      <c r="D59" s="1921" t="str">
        <f>'Name translation'!A253</f>
        <v>Tomatoes</v>
      </c>
    </row>
    <row r="60" spans="3:4">
      <c r="C60" s="2746" t="str">
        <f>IF(Nlang=1,'Name translation'!A254,VLOOKUP('Name translation'!A254,'Name translation'!$A$1:$H$351,Nlang+1,))</f>
        <v>Triticale</v>
      </c>
      <c r="D60" s="1921" t="str">
        <f>'Name translation'!A254</f>
        <v>Triticale</v>
      </c>
    </row>
    <row r="61" spans="3:4">
      <c r="C61" s="2746" t="str">
        <f>IF(Nlang=1,'Name translation'!A255,VLOOKUP('Name translation'!A255,'Name translation'!$A$1:$H$351,Nlang+1,))</f>
        <v>Vegetables fresh nes</v>
      </c>
      <c r="D61" s="1921" t="str">
        <f>'Name translation'!A255</f>
        <v>Vegetables fresh nes</v>
      </c>
    </row>
    <row r="62" spans="3:4">
      <c r="C62" s="2746" t="str">
        <f>IF(Nlang=1,'Name translation'!A256,VLOOKUP('Name translation'!A256,'Name translation'!$A$1:$H$351,Nlang+1,))</f>
        <v>Vetches</v>
      </c>
      <c r="D62" s="1921" t="str">
        <f>'Name translation'!A256</f>
        <v>Vetches</v>
      </c>
    </row>
    <row r="63" spans="3:4">
      <c r="C63" s="2746" t="str">
        <f>IF(Nlang=1,'Name translation'!A257,VLOOKUP('Name translation'!A257,'Name translation'!$A$1:$H$351,Nlang+1,))</f>
        <v>Wheat</v>
      </c>
      <c r="D63" s="1921" t="str">
        <f>'Name translation'!A257</f>
        <v>Wheat</v>
      </c>
    </row>
  </sheetData>
  <mergeCells count="1">
    <mergeCell ref="G2:H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32"/>
  </sheetPr>
  <dimension ref="A1:I176"/>
  <sheetViews>
    <sheetView topLeftCell="A58" zoomScaleNormal="100" workbookViewId="0">
      <selection activeCell="A49" sqref="A49"/>
    </sheetView>
  </sheetViews>
  <sheetFormatPr defaultColWidth="11.42578125" defaultRowHeight="12.75"/>
  <cols>
    <col min="1" max="1" width="32.85546875" customWidth="1"/>
    <col min="2" max="2" width="13.42578125" customWidth="1"/>
    <col min="3" max="3" width="21.85546875" bestFit="1" customWidth="1"/>
    <col min="6" max="6" width="10.5703125" customWidth="1"/>
  </cols>
  <sheetData>
    <row r="1" spans="1:9" s="1636" customFormat="1" ht="22.9" customHeight="1"/>
    <row r="2" spans="1:9" s="1636" customFormat="1" ht="22.9" customHeight="1"/>
    <row r="3" spans="1:9" s="1636" customFormat="1" ht="22.9" customHeight="1"/>
    <row r="4" spans="1:9" s="1636" customFormat="1" ht="22.9" customHeight="1"/>
    <row r="5" spans="1:9" s="1636" customFormat="1" ht="22.9" customHeight="1" thickBot="1">
      <c r="A5" s="1643" t="s">
        <v>557</v>
      </c>
    </row>
    <row r="6" spans="1:9">
      <c r="A6" s="953" t="s">
        <v>4</v>
      </c>
      <c r="C6" t="s">
        <v>1700</v>
      </c>
      <c r="D6" t="s">
        <v>1701</v>
      </c>
    </row>
    <row r="7" spans="1:9">
      <c r="A7" s="166" t="s">
        <v>297</v>
      </c>
      <c r="C7" t="str">
        <f>translations!B1</f>
        <v>English</v>
      </c>
      <c r="D7">
        <v>1</v>
      </c>
      <c r="I7" s="2580" t="s">
        <v>1617</v>
      </c>
    </row>
    <row r="8" spans="1:9">
      <c r="A8" s="166" t="s">
        <v>298</v>
      </c>
      <c r="C8" t="str">
        <f>translations!C1</f>
        <v>Français</v>
      </c>
      <c r="D8">
        <v>2</v>
      </c>
      <c r="I8" s="2580" t="s">
        <v>1618</v>
      </c>
    </row>
    <row r="9" spans="1:9">
      <c r="A9" s="166" t="s">
        <v>296</v>
      </c>
      <c r="C9" s="2028" t="str">
        <f>translations!D1</f>
        <v>Español</v>
      </c>
      <c r="D9">
        <v>3</v>
      </c>
      <c r="I9" s="2581" t="s">
        <v>1619</v>
      </c>
    </row>
    <row r="10" spans="1:9">
      <c r="A10" s="166" t="s">
        <v>299</v>
      </c>
      <c r="C10" s="2028" t="str">
        <f>translations!E1</f>
        <v>中文</v>
      </c>
      <c r="D10">
        <v>4</v>
      </c>
      <c r="I10" s="2581" t="str">
        <f>translations!E1</f>
        <v>中文</v>
      </c>
    </row>
    <row r="11" spans="1:9">
      <c r="A11" s="166" t="s">
        <v>300</v>
      </c>
      <c r="C11" s="2028" t="str">
        <f>translations!F1</f>
        <v>Русский</v>
      </c>
      <c r="D11">
        <v>5</v>
      </c>
      <c r="I11" s="2581" t="str">
        <f>translations!F1</f>
        <v>Русский</v>
      </c>
    </row>
    <row r="12" spans="1:9">
      <c r="A12" s="166" t="s">
        <v>301</v>
      </c>
      <c r="C12" s="2028" t="str">
        <f>translations!G1</f>
        <v>عربي</v>
      </c>
      <c r="D12">
        <v>6</v>
      </c>
      <c r="I12" s="2581" t="str">
        <f>C12</f>
        <v>عربي</v>
      </c>
    </row>
    <row r="13" spans="1:9">
      <c r="A13" s="166" t="s">
        <v>302</v>
      </c>
      <c r="C13" s="2028" t="str">
        <f>translations!H1</f>
        <v>Tiếng Việt</v>
      </c>
      <c r="D13">
        <v>7</v>
      </c>
      <c r="I13" s="2582" t="s">
        <v>2498</v>
      </c>
    </row>
    <row r="14" spans="1:9">
      <c r="A14" s="166" t="s">
        <v>303</v>
      </c>
    </row>
    <row r="15" spans="1:9">
      <c r="A15" s="166" t="s">
        <v>304</v>
      </c>
      <c r="C15" t="s">
        <v>1702</v>
      </c>
      <c r="D15">
        <f>VLOOKUP(select,C6:D13,2,)</f>
        <v>1</v>
      </c>
    </row>
    <row r="16" spans="1:9">
      <c r="A16" s="166" t="s">
        <v>305</v>
      </c>
    </row>
    <row r="17" spans="1:7" ht="13.5" thickBot="1">
      <c r="A17" s="167" t="s">
        <v>306</v>
      </c>
    </row>
    <row r="18" spans="1:7" ht="13.5" thickBot="1">
      <c r="A18" s="983"/>
    </row>
    <row r="19" spans="1:7">
      <c r="A19" s="984" t="s">
        <v>8</v>
      </c>
      <c r="C19" s="2730" t="s">
        <v>293</v>
      </c>
      <c r="D19" s="2731"/>
      <c r="F19" s="2730" t="s">
        <v>2245</v>
      </c>
      <c r="G19" s="2731"/>
    </row>
    <row r="20" spans="1:7">
      <c r="A20" s="985" t="s">
        <v>4</v>
      </c>
      <c r="C20" s="2732" t="str">
        <f>A20</f>
        <v>Please select</v>
      </c>
      <c r="D20" s="2733"/>
      <c r="F20" s="2732" t="str">
        <f>C20</f>
        <v>Please select</v>
      </c>
      <c r="G20" s="2733"/>
    </row>
    <row r="21" spans="1:7">
      <c r="A21" s="986" t="s">
        <v>462</v>
      </c>
      <c r="C21" s="2732" t="s">
        <v>391</v>
      </c>
      <c r="D21" s="2733"/>
      <c r="F21" s="2732" t="s">
        <v>284</v>
      </c>
      <c r="G21" s="2733"/>
    </row>
    <row r="22" spans="1:7">
      <c r="A22" s="986" t="s">
        <v>463</v>
      </c>
      <c r="C22" s="2732" t="s">
        <v>285</v>
      </c>
      <c r="D22" s="2733"/>
      <c r="F22" s="2732" t="s">
        <v>286</v>
      </c>
      <c r="G22" s="2733"/>
    </row>
    <row r="23" spans="1:7" ht="13.5" thickBot="1">
      <c r="A23" s="986" t="s">
        <v>464</v>
      </c>
      <c r="C23" s="2732" t="s">
        <v>287</v>
      </c>
      <c r="D23" s="2733"/>
      <c r="F23" s="2734" t="s">
        <v>288</v>
      </c>
      <c r="G23" s="2735"/>
    </row>
    <row r="24" spans="1:7">
      <c r="A24" s="986" t="s">
        <v>465</v>
      </c>
      <c r="C24" s="2732" t="s">
        <v>289</v>
      </c>
      <c r="D24" s="2733"/>
    </row>
    <row r="25" spans="1:7" ht="13.5" thickBot="1">
      <c r="A25" s="986" t="s">
        <v>504</v>
      </c>
      <c r="C25" s="2734" t="s">
        <v>6501</v>
      </c>
      <c r="D25" s="2735"/>
    </row>
    <row r="26" spans="1:7">
      <c r="A26" s="986" t="s">
        <v>505</v>
      </c>
    </row>
    <row r="27" spans="1:7" ht="13.5" thickBot="1">
      <c r="A27" s="987" t="s">
        <v>268</v>
      </c>
    </row>
    <row r="28" spans="1:7" ht="13.5" thickBot="1">
      <c r="A28" s="983"/>
    </row>
    <row r="29" spans="1:7">
      <c r="A29" s="24" t="s">
        <v>325</v>
      </c>
    </row>
    <row r="30" spans="1:7">
      <c r="A30" s="22" t="s">
        <v>6</v>
      </c>
    </row>
    <row r="31" spans="1:7">
      <c r="A31" s="22" t="s">
        <v>323</v>
      </c>
    </row>
    <row r="32" spans="1:7" ht="13.5" thickBot="1">
      <c r="A32" s="23" t="s">
        <v>324</v>
      </c>
    </row>
    <row r="33" spans="1:8" ht="13.5" thickBot="1"/>
    <row r="34" spans="1:8">
      <c r="A34" s="24" t="s">
        <v>386</v>
      </c>
      <c r="E34" s="209" t="s">
        <v>543</v>
      </c>
      <c r="F34" s="208"/>
    </row>
    <row r="35" spans="1:8">
      <c r="A35" s="22" t="s">
        <v>352</v>
      </c>
      <c r="D35" t="s">
        <v>1499</v>
      </c>
      <c r="E35" s="126" t="s">
        <v>352</v>
      </c>
      <c r="F35" s="31">
        <v>1</v>
      </c>
    </row>
    <row r="36" spans="1:8">
      <c r="A36" s="22" t="s">
        <v>351</v>
      </c>
      <c r="D36" t="s">
        <v>1500</v>
      </c>
      <c r="E36" s="126" t="s">
        <v>356</v>
      </c>
      <c r="F36" s="31">
        <v>0.78</v>
      </c>
    </row>
    <row r="37" spans="1:8" ht="13.5" thickBot="1">
      <c r="A37" s="23" t="s">
        <v>356</v>
      </c>
      <c r="D37" t="s">
        <v>1498</v>
      </c>
      <c r="E37" s="122" t="s">
        <v>351</v>
      </c>
      <c r="F37" s="125">
        <v>0.5</v>
      </c>
    </row>
    <row r="38" spans="1:8" ht="13.5" thickBot="1"/>
    <row r="39" spans="1:8">
      <c r="A39" s="2" t="s">
        <v>385</v>
      </c>
      <c r="B39" s="3"/>
      <c r="C39" s="3"/>
      <c r="D39" s="4"/>
    </row>
    <row r="40" spans="1:8">
      <c r="A40" s="7"/>
      <c r="B40" s="10" t="s">
        <v>1614</v>
      </c>
      <c r="C40" s="2571" t="s">
        <v>1615</v>
      </c>
      <c r="D40" s="2572" t="s">
        <v>1616</v>
      </c>
    </row>
    <row r="41" spans="1:8">
      <c r="A41" s="7" t="s">
        <v>331</v>
      </c>
      <c r="B41" s="10">
        <v>1</v>
      </c>
      <c r="C41" s="10">
        <v>1</v>
      </c>
      <c r="D41" s="168">
        <v>1</v>
      </c>
    </row>
    <row r="42" spans="1:8">
      <c r="A42" s="7" t="s">
        <v>332</v>
      </c>
      <c r="B42" s="10">
        <v>21</v>
      </c>
      <c r="C42" s="10">
        <v>25</v>
      </c>
      <c r="D42" s="168">
        <v>34</v>
      </c>
      <c r="H42" s="2579" t="s">
        <v>5558</v>
      </c>
    </row>
    <row r="43" spans="1:8" ht="13.5" thickBot="1">
      <c r="A43" s="8" t="s">
        <v>333</v>
      </c>
      <c r="B43" s="169">
        <v>310</v>
      </c>
      <c r="C43" s="169">
        <v>298</v>
      </c>
      <c r="D43" s="170">
        <v>298</v>
      </c>
      <c r="H43" s="2579" t="s">
        <v>5557</v>
      </c>
    </row>
    <row r="44" spans="1:8">
      <c r="H44" s="2579" t="s">
        <v>5556</v>
      </c>
    </row>
    <row r="45" spans="1:8">
      <c r="A45" s="118" t="s">
        <v>556</v>
      </c>
      <c r="C45" s="1010" t="s">
        <v>17</v>
      </c>
    </row>
    <row r="46" spans="1:8">
      <c r="A46" s="171" t="s">
        <v>350</v>
      </c>
      <c r="C46" s="1008" t="s">
        <v>5</v>
      </c>
    </row>
    <row r="47" spans="1:8">
      <c r="A47" s="172" t="s">
        <v>354</v>
      </c>
      <c r="C47" s="1008" t="s">
        <v>18</v>
      </c>
    </row>
    <row r="48" spans="1:8" ht="13.5" thickBot="1">
      <c r="C48" s="1009" t="s">
        <v>19</v>
      </c>
    </row>
    <row r="49" spans="1:4" ht="13.5" thickBot="1">
      <c r="A49" s="988" t="s">
        <v>8852</v>
      </c>
    </row>
    <row r="50" spans="1:4">
      <c r="A50" s="989" t="s">
        <v>1490</v>
      </c>
      <c r="C50" s="1245" t="s">
        <v>160</v>
      </c>
      <c r="D50" s="1246" t="s">
        <v>93</v>
      </c>
    </row>
    <row r="51" spans="1:4">
      <c r="A51" s="990" t="s">
        <v>1281</v>
      </c>
      <c r="C51" s="1247" t="s">
        <v>209</v>
      </c>
      <c r="D51" s="1248">
        <v>0</v>
      </c>
    </row>
    <row r="52" spans="1:4">
      <c r="A52" s="990" t="s">
        <v>1282</v>
      </c>
      <c r="C52" s="1247" t="s">
        <v>562</v>
      </c>
      <c r="D52" s="2318">
        <f>IF('5. Management'!R143="",'5. Management'!Q143,'5. Management'!R143)</f>
        <v>0</v>
      </c>
    </row>
    <row r="53" spans="1:4">
      <c r="A53" s="990" t="s">
        <v>1283</v>
      </c>
      <c r="C53" s="1247" t="s">
        <v>166</v>
      </c>
      <c r="D53" s="2318">
        <f>IF('5. Management'!R144="",'5. Management'!Q144,'5. Management'!R144)</f>
        <v>10</v>
      </c>
    </row>
    <row r="54" spans="1:4">
      <c r="A54" s="990" t="s">
        <v>1284</v>
      </c>
      <c r="C54" s="1247" t="s">
        <v>551</v>
      </c>
      <c r="D54" s="2318">
        <f>IF('5. Management'!R145="",'5. Management'!Q145,'5. Management'!R145)</f>
        <v>20</v>
      </c>
    </row>
    <row r="55" spans="1:4">
      <c r="A55" s="990" t="s">
        <v>1285</v>
      </c>
      <c r="C55" s="1247" t="s">
        <v>161</v>
      </c>
      <c r="D55" s="2318">
        <f>IF('5. Management'!R146="",'5. Management'!Q146,'5. Management'!R146)</f>
        <v>40</v>
      </c>
    </row>
    <row r="56" spans="1:4">
      <c r="A56" s="990" t="s">
        <v>1286</v>
      </c>
      <c r="C56" s="1247" t="s">
        <v>162</v>
      </c>
      <c r="D56" s="2318">
        <f>IF('5. Management'!R147="",'5. Management'!Q147,'5. Management'!R147)</f>
        <v>60</v>
      </c>
    </row>
    <row r="57" spans="1:4">
      <c r="A57" s="990" t="s">
        <v>1287</v>
      </c>
      <c r="C57" s="1249" t="s">
        <v>163</v>
      </c>
      <c r="D57" s="2318">
        <f>IF('5. Management'!R148="",'5. Management'!Q148,'5. Management'!R148)</f>
        <v>80</v>
      </c>
    </row>
    <row r="58" spans="1:4" s="2028" customFormat="1">
      <c r="A58" s="990" t="s">
        <v>1288</v>
      </c>
      <c r="C58" s="3181"/>
      <c r="D58" s="3182"/>
    </row>
    <row r="59" spans="1:4">
      <c r="A59" s="3183" t="s">
        <v>5652</v>
      </c>
    </row>
    <row r="61" spans="1:4">
      <c r="A61" s="173" t="s">
        <v>555</v>
      </c>
      <c r="B61" s="174"/>
      <c r="D61" s="1882" t="s">
        <v>1603</v>
      </c>
    </row>
    <row r="62" spans="1:4">
      <c r="A62" s="991" t="s">
        <v>12</v>
      </c>
      <c r="B62" s="95"/>
      <c r="D62" s="1882" t="s">
        <v>1604</v>
      </c>
    </row>
    <row r="63" spans="1:4">
      <c r="A63" s="175" t="s">
        <v>661</v>
      </c>
      <c r="B63" s="95"/>
      <c r="D63" s="1882" t="s">
        <v>1605</v>
      </c>
    </row>
    <row r="64" spans="1:4">
      <c r="A64" s="175" t="s">
        <v>658</v>
      </c>
      <c r="B64" s="95"/>
      <c r="D64" s="1882" t="s">
        <v>1606</v>
      </c>
    </row>
    <row r="65" spans="1:4">
      <c r="A65" s="2547" t="s">
        <v>1608</v>
      </c>
      <c r="B65" s="95"/>
      <c r="D65" s="1882" t="s">
        <v>1607</v>
      </c>
    </row>
    <row r="66" spans="1:4">
      <c r="A66" s="175" t="s">
        <v>660</v>
      </c>
      <c r="B66" s="95"/>
    </row>
    <row r="67" spans="1:4">
      <c r="A67" s="175" t="s">
        <v>329</v>
      </c>
      <c r="B67" s="95"/>
    </row>
    <row r="68" spans="1:4">
      <c r="A68" s="175" t="s">
        <v>1187</v>
      </c>
      <c r="B68" s="95"/>
    </row>
    <row r="69" spans="1:4">
      <c r="A69" s="175" t="str">
        <f>A138</f>
        <v>Other (nominal)</v>
      </c>
      <c r="B69" s="95"/>
    </row>
    <row r="70" spans="1:4">
      <c r="A70" s="175" t="str">
        <f>A139</f>
        <v>Other (degraded)</v>
      </c>
      <c r="B70" s="95"/>
    </row>
    <row r="71" spans="1:4" ht="13.5" thickBot="1"/>
    <row r="72" spans="1:4" ht="13.5" thickBot="1">
      <c r="A72" s="992" t="s">
        <v>8851</v>
      </c>
    </row>
    <row r="73" spans="1:4">
      <c r="A73" s="993" t="s">
        <v>1490</v>
      </c>
    </row>
    <row r="74" spans="1:4">
      <c r="A74" s="994" t="s">
        <v>1281</v>
      </c>
    </row>
    <row r="75" spans="1:4">
      <c r="A75" s="994" t="s">
        <v>1282</v>
      </c>
    </row>
    <row r="76" spans="1:4">
      <c r="A76" s="994" t="s">
        <v>1283</v>
      </c>
    </row>
    <row r="77" spans="1:4">
      <c r="A77" s="994" t="s">
        <v>1284</v>
      </c>
    </row>
    <row r="78" spans="1:4">
      <c r="A78" s="994" t="s">
        <v>1285</v>
      </c>
    </row>
    <row r="79" spans="1:4">
      <c r="A79" s="994" t="s">
        <v>1286</v>
      </c>
    </row>
    <row r="80" spans="1:4">
      <c r="A80" s="994" t="s">
        <v>1287</v>
      </c>
    </row>
    <row r="81" spans="1:1" s="2028" customFormat="1">
      <c r="A81" s="3195" t="s">
        <v>1288</v>
      </c>
    </row>
    <row r="82" spans="1:1">
      <c r="A82" s="994" t="str">
        <f>A59</f>
        <v>Mangrove</v>
      </c>
    </row>
    <row r="84" spans="1:1">
      <c r="A84" s="331" t="s">
        <v>984</v>
      </c>
    </row>
    <row r="85" spans="1:1">
      <c r="A85" s="331" t="s">
        <v>13</v>
      </c>
    </row>
    <row r="86" spans="1:1">
      <c r="A86" s="331" t="s">
        <v>661</v>
      </c>
    </row>
    <row r="87" spans="1:1">
      <c r="A87" s="94" t="s">
        <v>985</v>
      </c>
    </row>
    <row r="88" spans="1:1">
      <c r="A88" s="94" t="s">
        <v>987</v>
      </c>
    </row>
    <row r="89" spans="1:1">
      <c r="A89" s="94" t="s">
        <v>988</v>
      </c>
    </row>
    <row r="90" spans="1:1">
      <c r="A90" s="336" t="s">
        <v>1608</v>
      </c>
    </row>
    <row r="91" spans="1:1">
      <c r="A91" s="94" t="s">
        <v>659</v>
      </c>
    </row>
    <row r="92" spans="1:1">
      <c r="A92" s="94" t="s">
        <v>329</v>
      </c>
    </row>
    <row r="93" spans="1:1">
      <c r="A93" s="94" t="s">
        <v>982</v>
      </c>
    </row>
    <row r="96" spans="1:1">
      <c r="A96" s="163" t="s">
        <v>558</v>
      </c>
    </row>
    <row r="97" spans="1:1">
      <c r="A97" s="176" t="s">
        <v>549</v>
      </c>
    </row>
    <row r="98" spans="1:1">
      <c r="A98" s="164" t="s">
        <v>552</v>
      </c>
    </row>
    <row r="99" spans="1:1">
      <c r="A99" s="165" t="s">
        <v>554</v>
      </c>
    </row>
    <row r="101" spans="1:1">
      <c r="A101" s="176" t="s">
        <v>559</v>
      </c>
    </row>
    <row r="102" spans="1:1">
      <c r="A102" s="164" t="s">
        <v>562</v>
      </c>
    </row>
    <row r="103" spans="1:1">
      <c r="A103" s="164" t="s">
        <v>551</v>
      </c>
    </row>
    <row r="104" spans="1:1">
      <c r="A104" s="164" t="s">
        <v>561</v>
      </c>
    </row>
    <row r="105" spans="1:1">
      <c r="A105" s="164" t="s">
        <v>579</v>
      </c>
    </row>
    <row r="106" spans="1:1">
      <c r="A106" s="165" t="s">
        <v>580</v>
      </c>
    </row>
    <row r="108" spans="1:1">
      <c r="A108" s="163" t="s">
        <v>560</v>
      </c>
    </row>
    <row r="109" spans="1:1">
      <c r="A109" s="164" t="s">
        <v>550</v>
      </c>
    </row>
    <row r="110" spans="1:1">
      <c r="A110" s="165" t="s">
        <v>553</v>
      </c>
    </row>
    <row r="112" spans="1:1">
      <c r="A112" s="163" t="s">
        <v>1036</v>
      </c>
    </row>
    <row r="113" spans="1:1">
      <c r="A113" s="164" t="s">
        <v>563</v>
      </c>
    </row>
    <row r="114" spans="1:1">
      <c r="A114" s="164" t="s">
        <v>329</v>
      </c>
    </row>
    <row r="115" spans="1:1">
      <c r="A115" s="164" t="s">
        <v>564</v>
      </c>
    </row>
    <row r="116" spans="1:1">
      <c r="A116" s="165" t="s">
        <v>565</v>
      </c>
    </row>
    <row r="118" spans="1:1">
      <c r="A118" s="425" t="s">
        <v>1185</v>
      </c>
    </row>
    <row r="119" spans="1:1">
      <c r="A119" s="423" t="s">
        <v>14</v>
      </c>
    </row>
    <row r="120" spans="1:1">
      <c r="A120" s="423" t="s">
        <v>661</v>
      </c>
    </row>
    <row r="121" spans="1:1">
      <c r="A121" s="423" t="s">
        <v>985</v>
      </c>
    </row>
    <row r="122" spans="1:1">
      <c r="A122" s="423" t="s">
        <v>987</v>
      </c>
    </row>
    <row r="123" spans="1:1">
      <c r="A123" s="423" t="s">
        <v>988</v>
      </c>
    </row>
    <row r="124" spans="1:1">
      <c r="A124" s="423" t="s">
        <v>1608</v>
      </c>
    </row>
    <row r="125" spans="1:1">
      <c r="A125" s="423" t="s">
        <v>659</v>
      </c>
    </row>
    <row r="126" spans="1:1">
      <c r="A126" s="423" t="s">
        <v>329</v>
      </c>
    </row>
    <row r="127" spans="1:1">
      <c r="A127" s="423" t="s">
        <v>982</v>
      </c>
    </row>
    <row r="128" spans="1:1">
      <c r="A128" s="424" t="s">
        <v>1088</v>
      </c>
    </row>
    <row r="130" spans="1:1">
      <c r="A130" s="1002" t="s">
        <v>15</v>
      </c>
    </row>
    <row r="131" spans="1:1">
      <c r="A131" s="1000" t="s">
        <v>16</v>
      </c>
    </row>
    <row r="132" spans="1:1">
      <c r="A132" s="1000" t="s">
        <v>661</v>
      </c>
    </row>
    <row r="133" spans="1:1">
      <c r="A133" s="1000" t="s">
        <v>658</v>
      </c>
    </row>
    <row r="134" spans="1:1">
      <c r="A134" s="423" t="s">
        <v>1608</v>
      </c>
    </row>
    <row r="135" spans="1:1">
      <c r="A135" s="1000" t="s">
        <v>660</v>
      </c>
    </row>
    <row r="136" spans="1:1">
      <c r="A136" s="1000" t="s">
        <v>329</v>
      </c>
    </row>
    <row r="137" spans="1:1">
      <c r="A137" s="1000" t="s">
        <v>1187</v>
      </c>
    </row>
    <row r="138" spans="1:1">
      <c r="A138" s="1000" t="s">
        <v>127</v>
      </c>
    </row>
    <row r="139" spans="1:1">
      <c r="A139" s="1001" t="s">
        <v>128</v>
      </c>
    </row>
    <row r="142" spans="1:1">
      <c r="A142" s="3220" t="s">
        <v>5675</v>
      </c>
    </row>
    <row r="143" spans="1:1">
      <c r="A143" s="2579" t="s">
        <v>5676</v>
      </c>
    </row>
    <row r="145" spans="1:5" ht="13.5" thickBot="1">
      <c r="C145" s="3501" t="s">
        <v>7408</v>
      </c>
    </row>
    <row r="146" spans="1:5">
      <c r="A146" s="24" t="s">
        <v>7248</v>
      </c>
    </row>
    <row r="147" spans="1:5">
      <c r="A147" s="22" t="s">
        <v>4</v>
      </c>
      <c r="C147" s="3506" t="s">
        <v>7409</v>
      </c>
      <c r="D147" s="3507"/>
      <c r="E147" s="3482"/>
    </row>
    <row r="148" spans="1:5">
      <c r="A148" s="22" t="s">
        <v>7250</v>
      </c>
      <c r="C148" s="3508" t="s">
        <v>7410</v>
      </c>
      <c r="D148" s="3505" t="s">
        <v>7411</v>
      </c>
      <c r="E148" s="3513" t="s">
        <v>7413</v>
      </c>
    </row>
    <row r="149" spans="1:5">
      <c r="A149" s="22" t="s">
        <v>7251</v>
      </c>
      <c r="C149" s="3509" t="s">
        <v>4</v>
      </c>
      <c r="D149" s="2400" t="s">
        <v>4</v>
      </c>
      <c r="E149" s="3510" t="s">
        <v>4</v>
      </c>
    </row>
    <row r="150" spans="1:5" ht="13.5" thickBot="1">
      <c r="A150" s="23" t="s">
        <v>7252</v>
      </c>
      <c r="C150" s="3509" t="s">
        <v>7251</v>
      </c>
      <c r="D150" s="2400" t="s">
        <v>7250</v>
      </c>
      <c r="E150" s="3510" t="s">
        <v>7250</v>
      </c>
    </row>
    <row r="151" spans="1:5">
      <c r="C151" s="3509"/>
      <c r="D151" s="2400" t="s">
        <v>7252</v>
      </c>
      <c r="E151" s="3510" t="s">
        <v>7251</v>
      </c>
    </row>
    <row r="152" spans="1:5">
      <c r="A152" s="14" t="s">
        <v>7254</v>
      </c>
      <c r="C152" s="3511"/>
      <c r="D152" s="3512"/>
      <c r="E152" s="3483" t="s">
        <v>7252</v>
      </c>
    </row>
    <row r="153" spans="1:5">
      <c r="A153" s="3449" t="s">
        <v>562</v>
      </c>
    </row>
    <row r="154" spans="1:5">
      <c r="A154" s="3449" t="s">
        <v>339</v>
      </c>
    </row>
    <row r="155" spans="1:5">
      <c r="A155" s="3449" t="s">
        <v>7227</v>
      </c>
    </row>
    <row r="156" spans="1:5">
      <c r="A156" s="3449" t="s">
        <v>7230</v>
      </c>
    </row>
    <row r="157" spans="1:5">
      <c r="A157" s="3449" t="s">
        <v>7233</v>
      </c>
    </row>
    <row r="158" spans="1:5">
      <c r="A158" s="3449" t="s">
        <v>7236</v>
      </c>
    </row>
    <row r="159" spans="1:5">
      <c r="A159" s="3449" t="s">
        <v>1337</v>
      </c>
    </row>
    <row r="160" spans="1:5">
      <c r="A160" s="3449" t="s">
        <v>1356</v>
      </c>
    </row>
    <row r="161" spans="1:1">
      <c r="A161" s="3449" t="s">
        <v>1323</v>
      </c>
    </row>
    <row r="162" spans="1:1">
      <c r="A162" s="3449" t="s">
        <v>1368</v>
      </c>
    </row>
    <row r="163" spans="1:1">
      <c r="A163" s="3449" t="s">
        <v>1333</v>
      </c>
    </row>
    <row r="164" spans="1:1">
      <c r="A164" s="3449" t="s">
        <v>1383</v>
      </c>
    </row>
    <row r="165" spans="1:1">
      <c r="A165" s="3546" t="s">
        <v>7239</v>
      </c>
    </row>
    <row r="166" spans="1:1">
      <c r="A166" s="3547" t="s">
        <v>1359</v>
      </c>
    </row>
    <row r="167" spans="1:1">
      <c r="A167" s="3546" t="s">
        <v>7244</v>
      </c>
    </row>
    <row r="168" spans="1:1">
      <c r="A168" s="3547" t="s">
        <v>1093</v>
      </c>
    </row>
    <row r="169" spans="1:1">
      <c r="A169" s="3547" t="s">
        <v>1327</v>
      </c>
    </row>
    <row r="170" spans="1:1">
      <c r="A170" s="3547" t="s">
        <v>1373</v>
      </c>
    </row>
    <row r="173" spans="1:1">
      <c r="A173" s="3517" t="s">
        <v>7423</v>
      </c>
    </row>
    <row r="174" spans="1:1" s="2028" customFormat="1">
      <c r="A174" s="3517" t="s">
        <v>7425</v>
      </c>
    </row>
    <row r="175" spans="1:1">
      <c r="A175" s="3517" t="s">
        <v>7424</v>
      </c>
    </row>
    <row r="176" spans="1:1">
      <c r="A176" s="2046">
        <f>44/28</f>
        <v>1.5714285714285714</v>
      </c>
    </row>
  </sheetData>
  <sheetProtection formatCells="0" formatColumns="0" formatRows="0"/>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32"/>
    <pageSetUpPr fitToPage="1"/>
  </sheetPr>
  <dimension ref="A1:X1200"/>
  <sheetViews>
    <sheetView zoomScaleNormal="100" workbookViewId="0">
      <pane xSplit="1" ySplit="5" topLeftCell="B673" activePane="bottomRight" state="frozen"/>
      <selection activeCell="F55" sqref="F55"/>
      <selection pane="topRight" activeCell="F55" sqref="F55"/>
      <selection pane="bottomLeft" activeCell="F55" sqref="F55"/>
      <selection pane="bottomRight" activeCell="B691" sqref="B691"/>
    </sheetView>
  </sheetViews>
  <sheetFormatPr defaultColWidth="12.28515625" defaultRowHeight="12.75"/>
  <cols>
    <col min="1" max="1" width="41.28515625" customWidth="1"/>
    <col min="2" max="2" width="18.5703125" style="58" customWidth="1"/>
    <col min="3" max="4" width="12.28515625" style="58" customWidth="1"/>
    <col min="5" max="6" width="12.28515625" customWidth="1"/>
    <col min="7" max="7" width="12.28515625" style="58" customWidth="1"/>
    <col min="8" max="8" width="12.28515625" customWidth="1"/>
    <col min="9" max="9" width="12.28515625" style="107" customWidth="1"/>
  </cols>
  <sheetData>
    <row r="1" spans="1:14" s="1636" customFormat="1" ht="22.9" customHeight="1">
      <c r="B1" s="1637"/>
      <c r="C1" s="1637"/>
      <c r="D1" s="1637"/>
      <c r="G1" s="1637"/>
      <c r="I1" s="1640"/>
    </row>
    <row r="2" spans="1:14" s="1636" customFormat="1" ht="22.9" customHeight="1">
      <c r="B2" s="1637"/>
      <c r="C2" s="1637"/>
      <c r="D2" s="1637"/>
      <c r="G2" s="1637"/>
      <c r="I2" s="1640"/>
    </row>
    <row r="3" spans="1:14" s="1636" customFormat="1" ht="22.9" customHeight="1">
      <c r="B3" s="1637"/>
      <c r="C3" s="1637"/>
      <c r="D3" s="1637"/>
      <c r="G3" s="1637"/>
      <c r="I3" s="1640"/>
    </row>
    <row r="4" spans="1:14" s="1636" customFormat="1" ht="22.9" customHeight="1">
      <c r="B4" s="1637"/>
      <c r="C4" s="1637"/>
      <c r="D4" s="1637"/>
      <c r="G4" s="1637"/>
      <c r="I4" s="1640"/>
    </row>
    <row r="5" spans="1:14" s="1636" customFormat="1" ht="22.9" customHeight="1">
      <c r="A5" s="1641" t="s">
        <v>389</v>
      </c>
      <c r="B5" s="1642"/>
      <c r="C5" s="1642"/>
      <c r="D5" s="1637"/>
      <c r="G5" s="1637"/>
      <c r="I5" s="1640"/>
    </row>
    <row r="6" spans="1:14" s="66" customFormat="1" ht="12.75" customHeight="1">
      <c r="A6" s="16" t="s">
        <v>390</v>
      </c>
      <c r="B6" s="64"/>
      <c r="C6" s="64"/>
      <c r="D6" s="65"/>
      <c r="G6" s="65"/>
      <c r="I6" s="85"/>
    </row>
    <row r="7" spans="1:14" s="17" customFormat="1" ht="12.75" customHeight="1">
      <c r="A7" s="67" t="s">
        <v>293</v>
      </c>
      <c r="B7" s="64" t="s">
        <v>289</v>
      </c>
      <c r="C7" s="64" t="s">
        <v>287</v>
      </c>
      <c r="D7" s="64" t="s">
        <v>285</v>
      </c>
      <c r="E7" s="68" t="s">
        <v>391</v>
      </c>
      <c r="F7" s="68" t="s">
        <v>6501</v>
      </c>
      <c r="G7" s="972" t="str">
        <f>'Name translation'!A2</f>
        <v>Please select</v>
      </c>
      <c r="H7" s="968"/>
      <c r="I7" s="982"/>
      <c r="J7" s="68"/>
    </row>
    <row r="8" spans="1:14" s="87" customFormat="1" ht="12.75" customHeight="1">
      <c r="A8" s="95"/>
      <c r="B8" s="96" t="s">
        <v>392</v>
      </c>
      <c r="C8" s="96" t="s">
        <v>393</v>
      </c>
      <c r="D8" s="96" t="s">
        <v>394</v>
      </c>
      <c r="E8" s="96" t="s">
        <v>395</v>
      </c>
      <c r="F8" s="96" t="s">
        <v>396</v>
      </c>
      <c r="G8" s="972" t="s">
        <v>1653</v>
      </c>
      <c r="H8" s="12"/>
      <c r="I8" s="106"/>
    </row>
    <row r="9" spans="1:14" s="87" customFormat="1" ht="12.75" customHeight="1">
      <c r="A9" s="95"/>
      <c r="B9" s="96" t="s">
        <v>397</v>
      </c>
      <c r="C9" s="96" t="s">
        <v>398</v>
      </c>
      <c r="D9" s="96" t="s">
        <v>399</v>
      </c>
      <c r="E9" s="96" t="s">
        <v>400</v>
      </c>
      <c r="F9" s="96" t="str">
        <f>""</f>
        <v/>
      </c>
      <c r="G9" s="972" t="str">
        <f>G8</f>
        <v>Please specify the climate</v>
      </c>
      <c r="H9" s="12"/>
      <c r="I9" s="106"/>
    </row>
    <row r="10" spans="1:14" s="87" customFormat="1" ht="12.75" customHeight="1">
      <c r="A10" s="95"/>
      <c r="B10" s="96" t="s">
        <v>401</v>
      </c>
      <c r="C10" s="96" t="s">
        <v>402</v>
      </c>
      <c r="D10" s="96" t="s">
        <v>403</v>
      </c>
      <c r="E10" s="96" t="s">
        <v>404</v>
      </c>
      <c r="F10" s="96" t="str">
        <f>""</f>
        <v/>
      </c>
      <c r="G10" s="972" t="str">
        <f>G9</f>
        <v>Please specify the climate</v>
      </c>
      <c r="H10" s="12"/>
      <c r="I10" s="106"/>
    </row>
    <row r="11" spans="1:14" s="87" customFormat="1" ht="12.75" customHeight="1">
      <c r="A11" s="95"/>
      <c r="B11" s="96" t="s">
        <v>405</v>
      </c>
      <c r="C11" s="96" t="s">
        <v>406</v>
      </c>
      <c r="D11" s="96" t="str">
        <f>""</f>
        <v/>
      </c>
      <c r="E11" s="96" t="str">
        <f>""</f>
        <v/>
      </c>
      <c r="F11" s="96" t="str">
        <f>""</f>
        <v/>
      </c>
      <c r="G11" s="972" t="str">
        <f>G10</f>
        <v>Please specify the climate</v>
      </c>
      <c r="H11" s="12"/>
      <c r="I11" s="106"/>
    </row>
    <row r="12" spans="1:14" s="16" customFormat="1" ht="12.75" customHeight="1">
      <c r="A12" s="14" t="s">
        <v>474</v>
      </c>
      <c r="B12" s="98"/>
      <c r="D12" s="330" t="s">
        <v>481</v>
      </c>
      <c r="E12" s="98"/>
      <c r="F12" s="98"/>
      <c r="G12" s="75"/>
      <c r="I12" s="85" t="s">
        <v>489</v>
      </c>
    </row>
    <row r="13" spans="1:14" s="68" customFormat="1" ht="12.75" customHeight="1">
      <c r="A13" s="120" t="s">
        <v>475</v>
      </c>
      <c r="B13" s="83"/>
      <c r="D13" s="83" t="s">
        <v>482</v>
      </c>
      <c r="E13" s="83"/>
      <c r="F13" s="83"/>
      <c r="G13" s="64"/>
      <c r="N13" s="16"/>
    </row>
    <row r="14" spans="1:14" s="68" customFormat="1" ht="12.75" customHeight="1">
      <c r="A14" s="120" t="s">
        <v>476</v>
      </c>
      <c r="B14" s="83" t="s">
        <v>392</v>
      </c>
      <c r="C14" s="83" t="s">
        <v>393</v>
      </c>
      <c r="D14" s="83" t="s">
        <v>394</v>
      </c>
      <c r="E14" s="83" t="s">
        <v>395</v>
      </c>
      <c r="F14" s="83" t="s">
        <v>396</v>
      </c>
      <c r="G14" s="968" t="str">
        <f>G8</f>
        <v>Please specify the climate</v>
      </c>
      <c r="H14" s="83" t="s">
        <v>485</v>
      </c>
      <c r="I14" s="83" t="s">
        <v>392</v>
      </c>
      <c r="J14" s="83" t="s">
        <v>393</v>
      </c>
      <c r="K14" s="83" t="s">
        <v>394</v>
      </c>
      <c r="L14" s="83" t="s">
        <v>395</v>
      </c>
      <c r="M14" s="83" t="s">
        <v>396</v>
      </c>
      <c r="N14" s="968" t="str">
        <f>G14</f>
        <v>Please specify the climate</v>
      </c>
    </row>
    <row r="15" spans="1:14" s="956" customFormat="1" ht="12.75" customHeight="1">
      <c r="A15" s="954" t="str">
        <f>List!A6</f>
        <v>Please select</v>
      </c>
      <c r="B15" s="955"/>
      <c r="C15" s="955"/>
      <c r="D15" s="955"/>
      <c r="E15" s="955"/>
      <c r="F15" s="955"/>
      <c r="H15" s="955" t="str">
        <f>A15</f>
        <v>Please select</v>
      </c>
      <c r="I15" s="955"/>
      <c r="J15" s="955"/>
      <c r="K15" s="955"/>
      <c r="L15" s="955"/>
      <c r="M15" s="955"/>
    </row>
    <row r="16" spans="1:14" s="87" customFormat="1" ht="12.75" customHeight="1">
      <c r="A16" s="95" t="s">
        <v>297</v>
      </c>
      <c r="B16" s="100">
        <v>310</v>
      </c>
      <c r="C16" s="96">
        <v>220</v>
      </c>
      <c r="D16" s="99">
        <v>180</v>
      </c>
      <c r="E16" s="96">
        <v>50</v>
      </c>
      <c r="F16" s="100">
        <v>115</v>
      </c>
      <c r="H16" s="970" t="s">
        <v>297</v>
      </c>
      <c r="I16" s="87">
        <v>150</v>
      </c>
      <c r="J16" s="104">
        <v>140</v>
      </c>
      <c r="K16" s="87">
        <v>160</v>
      </c>
      <c r="L16" s="87">
        <v>40</v>
      </c>
      <c r="M16" s="87">
        <v>90</v>
      </c>
    </row>
    <row r="17" spans="1:14" s="87" customFormat="1" ht="12.75" customHeight="1">
      <c r="A17" s="95" t="s">
        <v>298</v>
      </c>
      <c r="B17" s="100">
        <v>280</v>
      </c>
      <c r="C17" s="100">
        <v>180</v>
      </c>
      <c r="D17" s="99">
        <v>180</v>
      </c>
      <c r="E17" s="100">
        <v>50</v>
      </c>
      <c r="F17" s="100">
        <v>135</v>
      </c>
      <c r="H17" s="970" t="s">
        <v>298</v>
      </c>
      <c r="I17" s="87">
        <v>150</v>
      </c>
      <c r="J17" s="104">
        <v>140</v>
      </c>
      <c r="K17" s="87">
        <v>160</v>
      </c>
      <c r="L17" s="87">
        <v>40</v>
      </c>
      <c r="M17" s="87">
        <v>90</v>
      </c>
    </row>
    <row r="18" spans="1:14" s="87" customFormat="1" ht="12.75" customHeight="1">
      <c r="A18" s="95" t="s">
        <v>296</v>
      </c>
      <c r="B18" s="100">
        <v>280</v>
      </c>
      <c r="C18" s="100">
        <v>180</v>
      </c>
      <c r="D18" s="99">
        <v>180</v>
      </c>
      <c r="E18" s="96">
        <v>50</v>
      </c>
      <c r="F18" s="100">
        <v>135</v>
      </c>
      <c r="H18" s="970" t="s">
        <v>296</v>
      </c>
      <c r="I18" s="87">
        <v>150</v>
      </c>
      <c r="J18" s="104">
        <v>140</v>
      </c>
      <c r="K18" s="87">
        <v>160</v>
      </c>
      <c r="L18" s="87">
        <v>40</v>
      </c>
      <c r="M18" s="87">
        <v>90</v>
      </c>
    </row>
    <row r="19" spans="1:14" s="87" customFormat="1" ht="12.75" customHeight="1">
      <c r="A19" s="95" t="s">
        <v>299</v>
      </c>
      <c r="B19" s="100">
        <v>350</v>
      </c>
      <c r="C19" s="100">
        <v>290</v>
      </c>
      <c r="D19" s="99">
        <v>180</v>
      </c>
      <c r="E19" s="96">
        <v>50</v>
      </c>
      <c r="F19" s="100">
        <v>205</v>
      </c>
      <c r="H19" s="970" t="s">
        <v>299</v>
      </c>
      <c r="I19" s="87">
        <v>150</v>
      </c>
      <c r="J19" s="104">
        <v>140</v>
      </c>
      <c r="K19" s="87">
        <v>160</v>
      </c>
      <c r="L19" s="87">
        <v>40</v>
      </c>
      <c r="M19" s="87">
        <v>90</v>
      </c>
    </row>
    <row r="20" spans="1:14" s="87" customFormat="1" ht="12.75" customHeight="1">
      <c r="A20" s="95" t="s">
        <v>300</v>
      </c>
      <c r="B20" s="96">
        <v>300</v>
      </c>
      <c r="C20" s="96">
        <v>220</v>
      </c>
      <c r="D20" s="99">
        <v>180</v>
      </c>
      <c r="E20" s="96">
        <v>50</v>
      </c>
      <c r="F20" s="96">
        <v>140</v>
      </c>
      <c r="H20" s="970" t="s">
        <v>300</v>
      </c>
      <c r="I20" s="87">
        <v>150</v>
      </c>
      <c r="J20" s="104">
        <v>140</v>
      </c>
      <c r="K20" s="87">
        <v>160</v>
      </c>
      <c r="L20" s="87">
        <v>40</v>
      </c>
      <c r="M20" s="87">
        <v>90</v>
      </c>
    </row>
    <row r="21" spans="1:14" s="87" customFormat="1" ht="12.75" customHeight="1">
      <c r="A21" s="95" t="s">
        <v>301</v>
      </c>
      <c r="B21" s="96">
        <v>300</v>
      </c>
      <c r="C21" s="96">
        <v>220</v>
      </c>
      <c r="D21" s="100">
        <v>120</v>
      </c>
      <c r="E21" s="100">
        <v>50</v>
      </c>
      <c r="F21" s="96">
        <v>140</v>
      </c>
      <c r="H21" s="970" t="s">
        <v>301</v>
      </c>
      <c r="I21" s="87">
        <v>150</v>
      </c>
      <c r="J21" s="104">
        <v>140</v>
      </c>
      <c r="K21" s="87">
        <v>160</v>
      </c>
      <c r="L21" s="87">
        <v>40</v>
      </c>
      <c r="M21" s="87">
        <v>90</v>
      </c>
    </row>
    <row r="22" spans="1:14" s="87" customFormat="1" ht="12.75" customHeight="1">
      <c r="A22" s="95" t="s">
        <v>302</v>
      </c>
      <c r="B22" s="96">
        <v>300</v>
      </c>
      <c r="C22" s="96">
        <v>220</v>
      </c>
      <c r="D22" s="100">
        <v>120</v>
      </c>
      <c r="E22" s="100">
        <v>50</v>
      </c>
      <c r="F22" s="96">
        <v>140</v>
      </c>
      <c r="H22" s="970" t="s">
        <v>302</v>
      </c>
      <c r="I22" s="87">
        <v>150</v>
      </c>
      <c r="J22" s="104">
        <v>140</v>
      </c>
      <c r="K22" s="87">
        <v>160</v>
      </c>
      <c r="L22" s="87">
        <v>40</v>
      </c>
      <c r="M22" s="87">
        <v>90</v>
      </c>
    </row>
    <row r="23" spans="1:14" s="87" customFormat="1" ht="12.75" customHeight="1">
      <c r="A23" s="95" t="s">
        <v>303</v>
      </c>
      <c r="B23" s="96">
        <v>300</v>
      </c>
      <c r="C23" s="96">
        <v>220</v>
      </c>
      <c r="D23" s="100">
        <v>360</v>
      </c>
      <c r="E23" s="96">
        <v>50</v>
      </c>
      <c r="F23" s="96">
        <v>140</v>
      </c>
      <c r="H23" s="970" t="s">
        <v>303</v>
      </c>
      <c r="I23" s="87">
        <v>150</v>
      </c>
      <c r="J23" s="104">
        <v>140</v>
      </c>
      <c r="K23" s="87">
        <v>160</v>
      </c>
      <c r="L23" s="87">
        <v>40</v>
      </c>
      <c r="M23" s="87">
        <v>90</v>
      </c>
    </row>
    <row r="24" spans="1:14" s="87" customFormat="1" ht="12.75" customHeight="1">
      <c r="A24" s="95" t="s">
        <v>304</v>
      </c>
      <c r="B24" s="100">
        <v>300</v>
      </c>
      <c r="C24" s="100">
        <v>220</v>
      </c>
      <c r="D24" s="100">
        <v>660</v>
      </c>
      <c r="E24" s="100">
        <v>50</v>
      </c>
      <c r="F24" s="100">
        <v>145</v>
      </c>
      <c r="H24" s="970" t="s">
        <v>304</v>
      </c>
      <c r="I24" s="87">
        <v>150</v>
      </c>
      <c r="J24" s="104">
        <v>140</v>
      </c>
      <c r="K24" s="87">
        <v>160</v>
      </c>
      <c r="L24" s="87">
        <v>40</v>
      </c>
      <c r="M24" s="87">
        <v>90</v>
      </c>
    </row>
    <row r="25" spans="1:14" s="87" customFormat="1" ht="12.75" customHeight="1">
      <c r="A25" s="95" t="s">
        <v>305</v>
      </c>
      <c r="B25" s="100">
        <v>300</v>
      </c>
      <c r="C25" s="100">
        <v>220</v>
      </c>
      <c r="D25" s="100">
        <v>180</v>
      </c>
      <c r="E25" s="96">
        <v>50</v>
      </c>
      <c r="F25" s="100">
        <v>145</v>
      </c>
      <c r="H25" s="970" t="s">
        <v>305</v>
      </c>
      <c r="I25" s="87">
        <v>150</v>
      </c>
      <c r="J25" s="104">
        <v>140</v>
      </c>
      <c r="K25" s="87">
        <v>160</v>
      </c>
      <c r="L25" s="87">
        <v>40</v>
      </c>
      <c r="M25" s="87">
        <v>90</v>
      </c>
    </row>
    <row r="26" spans="1:14" s="87" customFormat="1" ht="12.75" customHeight="1">
      <c r="A26" s="95" t="s">
        <v>306</v>
      </c>
      <c r="B26" s="100">
        <v>300</v>
      </c>
      <c r="C26" s="100">
        <v>220</v>
      </c>
      <c r="D26" s="100">
        <v>180</v>
      </c>
      <c r="E26" s="96">
        <v>50</v>
      </c>
      <c r="F26" s="100">
        <v>145</v>
      </c>
      <c r="H26" s="970" t="s">
        <v>306</v>
      </c>
      <c r="I26" s="87">
        <v>150</v>
      </c>
      <c r="J26" s="104">
        <v>140</v>
      </c>
      <c r="K26" s="87">
        <v>160</v>
      </c>
      <c r="L26" s="87">
        <v>40</v>
      </c>
      <c r="M26" s="87">
        <v>90</v>
      </c>
    </row>
    <row r="27" spans="1:14" s="16" customFormat="1" ht="12.75" customHeight="1">
      <c r="A27" s="14" t="s">
        <v>474</v>
      </c>
      <c r="B27" s="98"/>
      <c r="C27" s="98" t="s">
        <v>481</v>
      </c>
      <c r="D27" s="98"/>
      <c r="E27" s="98"/>
      <c r="F27" s="98"/>
      <c r="G27" s="75"/>
      <c r="I27" s="85" t="s">
        <v>489</v>
      </c>
    </row>
    <row r="28" spans="1:14" s="68" customFormat="1" ht="12.75" customHeight="1">
      <c r="A28" s="120" t="s">
        <v>475</v>
      </c>
      <c r="B28" s="83"/>
      <c r="C28" s="83" t="s">
        <v>482</v>
      </c>
      <c r="D28" s="83"/>
      <c r="E28" s="83"/>
      <c r="F28" s="83"/>
      <c r="G28" s="64"/>
    </row>
    <row r="29" spans="1:14" s="68" customFormat="1" ht="12.75" customHeight="1">
      <c r="A29" s="120" t="s">
        <v>477</v>
      </c>
      <c r="B29" s="83" t="s">
        <v>397</v>
      </c>
      <c r="C29" s="83" t="s">
        <v>398</v>
      </c>
      <c r="D29" s="83" t="s">
        <v>399</v>
      </c>
      <c r="E29" s="83" t="s">
        <v>400</v>
      </c>
      <c r="F29" s="83" t="str">
        <f>""</f>
        <v/>
      </c>
      <c r="G29" s="973" t="str">
        <f>G8</f>
        <v>Please specify the climate</v>
      </c>
      <c r="H29" s="64" t="s">
        <v>486</v>
      </c>
      <c r="I29" s="83" t="s">
        <v>397</v>
      </c>
      <c r="J29" s="83" t="s">
        <v>398</v>
      </c>
      <c r="K29" s="83" t="s">
        <v>399</v>
      </c>
      <c r="L29" s="83" t="s">
        <v>400</v>
      </c>
      <c r="M29" s="83" t="str">
        <f>""</f>
        <v/>
      </c>
      <c r="N29" s="968" t="str">
        <f>G8</f>
        <v>Please specify the climate</v>
      </c>
    </row>
    <row r="30" spans="1:14" s="956" customFormat="1" ht="12.75" customHeight="1">
      <c r="A30" s="954" t="str">
        <f>List!A6</f>
        <v>Please select</v>
      </c>
      <c r="B30" s="955"/>
      <c r="C30" s="955"/>
      <c r="D30" s="955"/>
      <c r="E30" s="955"/>
      <c r="F30" s="955"/>
      <c r="G30" s="955"/>
      <c r="H30" s="73" t="str">
        <f>A30</f>
        <v>Please select</v>
      </c>
      <c r="I30" s="955"/>
      <c r="J30" s="955"/>
      <c r="K30" s="955"/>
      <c r="L30" s="955"/>
      <c r="M30" s="955"/>
    </row>
    <row r="31" spans="1:14" s="87" customFormat="1" ht="12.75" customHeight="1">
      <c r="A31" s="95" t="s">
        <v>297</v>
      </c>
      <c r="B31" s="100">
        <v>260</v>
      </c>
      <c r="C31" s="100">
        <v>140</v>
      </c>
      <c r="D31" s="99">
        <v>120</v>
      </c>
      <c r="E31" s="96">
        <v>15</v>
      </c>
      <c r="F31" s="96"/>
      <c r="G31" s="96"/>
      <c r="H31" s="304" t="s">
        <v>297</v>
      </c>
      <c r="I31" s="87">
        <v>120</v>
      </c>
      <c r="J31" s="104">
        <v>60</v>
      </c>
      <c r="K31" s="87">
        <v>100</v>
      </c>
      <c r="L31" s="87">
        <v>15</v>
      </c>
    </row>
    <row r="32" spans="1:14" s="87" customFormat="1" ht="12.75" customHeight="1">
      <c r="A32" s="95" t="s">
        <v>298</v>
      </c>
      <c r="B32" s="100">
        <v>180</v>
      </c>
      <c r="C32" s="100">
        <v>130</v>
      </c>
      <c r="D32" s="99">
        <v>120</v>
      </c>
      <c r="E32" s="100">
        <v>15</v>
      </c>
      <c r="F32" s="96"/>
      <c r="G32" s="96"/>
      <c r="H32" s="304" t="s">
        <v>298</v>
      </c>
      <c r="I32" s="87">
        <v>120</v>
      </c>
      <c r="J32" s="104">
        <v>60</v>
      </c>
      <c r="K32" s="87">
        <v>100</v>
      </c>
      <c r="L32" s="87">
        <v>15</v>
      </c>
    </row>
    <row r="33" spans="1:14" s="87" customFormat="1" ht="12.75" customHeight="1">
      <c r="A33" s="95" t="s">
        <v>296</v>
      </c>
      <c r="B33" s="100">
        <v>180</v>
      </c>
      <c r="C33" s="100">
        <v>130</v>
      </c>
      <c r="D33" s="99">
        <v>120</v>
      </c>
      <c r="E33" s="96">
        <v>15</v>
      </c>
      <c r="F33" s="96"/>
      <c r="G33" s="96"/>
      <c r="H33" s="304" t="s">
        <v>296</v>
      </c>
      <c r="I33" s="87">
        <v>120</v>
      </c>
      <c r="J33" s="104">
        <v>60</v>
      </c>
      <c r="K33" s="87">
        <v>100</v>
      </c>
      <c r="L33" s="87">
        <v>15</v>
      </c>
    </row>
    <row r="34" spans="1:14" s="87" customFormat="1" ht="12.75" customHeight="1">
      <c r="A34" s="95" t="s">
        <v>299</v>
      </c>
      <c r="B34" s="100">
        <v>290</v>
      </c>
      <c r="C34" s="100">
        <v>160</v>
      </c>
      <c r="D34" s="99">
        <v>120</v>
      </c>
      <c r="E34" s="96">
        <v>15</v>
      </c>
      <c r="F34" s="96"/>
      <c r="G34" s="96"/>
      <c r="H34" s="304" t="s">
        <v>299</v>
      </c>
      <c r="I34" s="87">
        <v>120</v>
      </c>
      <c r="J34" s="104">
        <v>60</v>
      </c>
      <c r="K34" s="87">
        <v>100</v>
      </c>
      <c r="L34" s="87">
        <v>15</v>
      </c>
    </row>
    <row r="35" spans="1:14" s="87" customFormat="1" ht="12.75" customHeight="1">
      <c r="A35" s="95" t="s">
        <v>300</v>
      </c>
      <c r="B35" s="96">
        <v>180</v>
      </c>
      <c r="C35" s="96">
        <v>130</v>
      </c>
      <c r="D35" s="99">
        <v>120</v>
      </c>
      <c r="E35" s="96">
        <v>15</v>
      </c>
      <c r="F35" s="96"/>
      <c r="G35" s="96"/>
      <c r="H35" s="304" t="s">
        <v>300</v>
      </c>
      <c r="I35" s="87">
        <v>120</v>
      </c>
      <c r="J35" s="104">
        <v>60</v>
      </c>
      <c r="K35" s="87">
        <v>100</v>
      </c>
      <c r="L35" s="87">
        <v>15</v>
      </c>
    </row>
    <row r="36" spans="1:14" s="87" customFormat="1" ht="12.75" customHeight="1">
      <c r="A36" s="95" t="s">
        <v>301</v>
      </c>
      <c r="B36" s="96">
        <v>180</v>
      </c>
      <c r="C36" s="96">
        <v>130</v>
      </c>
      <c r="D36" s="100">
        <v>120</v>
      </c>
      <c r="E36" s="100">
        <v>15</v>
      </c>
      <c r="F36" s="96"/>
      <c r="G36" s="96"/>
      <c r="H36" s="304" t="s">
        <v>301</v>
      </c>
      <c r="I36" s="87">
        <v>120</v>
      </c>
      <c r="J36" s="104">
        <v>60</v>
      </c>
      <c r="K36" s="87">
        <v>100</v>
      </c>
      <c r="L36" s="87">
        <v>15</v>
      </c>
    </row>
    <row r="37" spans="1:14" s="87" customFormat="1" ht="12.75" customHeight="1">
      <c r="A37" s="95" t="s">
        <v>302</v>
      </c>
      <c r="B37" s="96">
        <v>180</v>
      </c>
      <c r="C37" s="96">
        <v>130</v>
      </c>
      <c r="D37" s="100">
        <v>120</v>
      </c>
      <c r="E37" s="100">
        <v>15</v>
      </c>
      <c r="F37" s="96"/>
      <c r="G37" s="96"/>
      <c r="H37" s="304" t="s">
        <v>302</v>
      </c>
      <c r="I37" s="87">
        <v>120</v>
      </c>
      <c r="J37" s="104">
        <v>60</v>
      </c>
      <c r="K37" s="87">
        <v>100</v>
      </c>
      <c r="L37" s="87">
        <v>15</v>
      </c>
    </row>
    <row r="38" spans="1:14" s="87" customFormat="1" ht="12.75" customHeight="1">
      <c r="A38" s="95" t="s">
        <v>303</v>
      </c>
      <c r="B38" s="96">
        <v>180</v>
      </c>
      <c r="C38" s="96">
        <v>130</v>
      </c>
      <c r="D38" s="99">
        <v>120</v>
      </c>
      <c r="E38" s="96">
        <v>15</v>
      </c>
      <c r="F38" s="96"/>
      <c r="G38" s="96"/>
      <c r="H38" s="304" t="s">
        <v>303</v>
      </c>
      <c r="I38" s="87">
        <v>120</v>
      </c>
      <c r="J38" s="104">
        <v>60</v>
      </c>
      <c r="K38" s="87">
        <v>100</v>
      </c>
      <c r="L38" s="87">
        <v>15</v>
      </c>
    </row>
    <row r="39" spans="1:14" s="87" customFormat="1" ht="12.75" customHeight="1">
      <c r="A39" s="95" t="s">
        <v>304</v>
      </c>
      <c r="B39" s="100">
        <v>220</v>
      </c>
      <c r="C39" s="100">
        <v>210</v>
      </c>
      <c r="D39" s="100">
        <v>130</v>
      </c>
      <c r="E39" s="100">
        <v>15</v>
      </c>
      <c r="F39" s="96"/>
      <c r="G39" s="96"/>
      <c r="H39" s="304" t="s">
        <v>304</v>
      </c>
      <c r="I39" s="87">
        <v>120</v>
      </c>
      <c r="J39" s="104">
        <v>60</v>
      </c>
      <c r="K39" s="87">
        <v>100</v>
      </c>
      <c r="L39" s="87">
        <v>15</v>
      </c>
    </row>
    <row r="40" spans="1:14" s="87" customFormat="1" ht="12.75" customHeight="1">
      <c r="A40" s="95" t="s">
        <v>305</v>
      </c>
      <c r="B40" s="100">
        <v>220</v>
      </c>
      <c r="C40" s="100">
        <v>210</v>
      </c>
      <c r="D40" s="100">
        <v>130</v>
      </c>
      <c r="E40" s="96">
        <v>15</v>
      </c>
      <c r="F40" s="96"/>
      <c r="G40" s="96"/>
      <c r="H40" s="304" t="s">
        <v>305</v>
      </c>
      <c r="I40" s="87">
        <v>120</v>
      </c>
      <c r="J40" s="104">
        <v>60</v>
      </c>
      <c r="K40" s="87">
        <v>100</v>
      </c>
      <c r="L40" s="87">
        <v>15</v>
      </c>
    </row>
    <row r="41" spans="1:14" s="87" customFormat="1" ht="12.75" customHeight="1">
      <c r="A41" s="95" t="s">
        <v>306</v>
      </c>
      <c r="B41" s="100">
        <v>220</v>
      </c>
      <c r="C41" s="100">
        <v>210</v>
      </c>
      <c r="D41" s="100">
        <v>130</v>
      </c>
      <c r="E41" s="96">
        <v>15</v>
      </c>
      <c r="F41" s="96"/>
      <c r="G41" s="96"/>
      <c r="H41" s="304" t="s">
        <v>306</v>
      </c>
      <c r="I41" s="87">
        <v>120</v>
      </c>
      <c r="J41" s="104">
        <v>60</v>
      </c>
      <c r="K41" s="87">
        <v>100</v>
      </c>
      <c r="L41" s="87">
        <v>15</v>
      </c>
    </row>
    <row r="42" spans="1:14" s="16" customFormat="1" ht="12.75" customHeight="1">
      <c r="A42" s="14" t="s">
        <v>474</v>
      </c>
      <c r="B42" s="98"/>
      <c r="C42" s="98" t="s">
        <v>481</v>
      </c>
      <c r="D42" s="98"/>
      <c r="E42" s="98"/>
      <c r="F42" s="98"/>
      <c r="G42" s="75"/>
      <c r="I42" s="85" t="s">
        <v>489</v>
      </c>
    </row>
    <row r="43" spans="1:14" s="68" customFormat="1" ht="12.75" customHeight="1">
      <c r="A43" s="120" t="s">
        <v>475</v>
      </c>
      <c r="B43" s="83"/>
      <c r="C43" s="83" t="s">
        <v>482</v>
      </c>
      <c r="D43" s="83"/>
      <c r="E43" s="83"/>
      <c r="F43" s="83"/>
      <c r="G43" s="64"/>
    </row>
    <row r="44" spans="1:14" s="68" customFormat="1" ht="12.75" customHeight="1">
      <c r="A44" s="120" t="s">
        <v>478</v>
      </c>
      <c r="B44" s="83" t="s">
        <v>401</v>
      </c>
      <c r="C44" s="83" t="s">
        <v>402</v>
      </c>
      <c r="D44" s="83" t="s">
        <v>403</v>
      </c>
      <c r="E44" s="83" t="s">
        <v>404</v>
      </c>
      <c r="F44" s="83" t="str">
        <f>""</f>
        <v/>
      </c>
      <c r="G44" s="973" t="str">
        <f>G29</f>
        <v>Please specify the climate</v>
      </c>
      <c r="H44" s="64" t="s">
        <v>487</v>
      </c>
      <c r="I44" s="83" t="s">
        <v>401</v>
      </c>
      <c r="J44" s="83" t="s">
        <v>402</v>
      </c>
      <c r="K44" s="83" t="s">
        <v>403</v>
      </c>
      <c r="L44" s="83" t="s">
        <v>404</v>
      </c>
      <c r="M44" s="83" t="str">
        <f>""</f>
        <v/>
      </c>
      <c r="N44" s="968" t="str">
        <f>N29</f>
        <v>Please specify the climate</v>
      </c>
    </row>
    <row r="45" spans="1:14" s="956" customFormat="1" ht="12.75" customHeight="1">
      <c r="A45" s="954" t="str">
        <f>List!A6</f>
        <v>Please select</v>
      </c>
      <c r="B45" s="955"/>
      <c r="C45" s="955"/>
      <c r="D45" s="955"/>
      <c r="E45" s="955"/>
      <c r="F45" s="955"/>
      <c r="G45" s="955"/>
      <c r="H45" s="73" t="str">
        <f>A45</f>
        <v>Please select</v>
      </c>
      <c r="I45" s="955"/>
      <c r="J45" s="955"/>
      <c r="K45" s="955"/>
      <c r="L45" s="955"/>
      <c r="M45" s="955"/>
    </row>
    <row r="46" spans="1:14" s="87" customFormat="1" ht="12.75" customHeight="1">
      <c r="A46" s="95" t="s">
        <v>297</v>
      </c>
      <c r="B46" s="100">
        <v>120</v>
      </c>
      <c r="C46" s="100">
        <v>70</v>
      </c>
      <c r="D46" s="99">
        <v>100</v>
      </c>
      <c r="E46" s="96">
        <v>30</v>
      </c>
      <c r="F46" s="96"/>
      <c r="G46" s="96"/>
      <c r="H46" s="304" t="s">
        <v>297</v>
      </c>
      <c r="I46" s="87">
        <v>60</v>
      </c>
      <c r="J46" s="104">
        <v>30</v>
      </c>
      <c r="K46" s="87">
        <v>100</v>
      </c>
      <c r="L46" s="87">
        <v>30</v>
      </c>
    </row>
    <row r="47" spans="1:14" s="87" customFormat="1" ht="12.75" customHeight="1">
      <c r="A47" s="95" t="s">
        <v>298</v>
      </c>
      <c r="B47" s="100">
        <v>130</v>
      </c>
      <c r="C47" s="100">
        <v>60</v>
      </c>
      <c r="D47" s="100">
        <v>130</v>
      </c>
      <c r="E47" s="100">
        <v>50</v>
      </c>
      <c r="F47" s="96"/>
      <c r="G47" s="96"/>
      <c r="H47" s="304" t="s">
        <v>298</v>
      </c>
      <c r="I47" s="87">
        <v>60</v>
      </c>
      <c r="J47" s="104">
        <v>30</v>
      </c>
      <c r="K47" s="87">
        <v>100</v>
      </c>
      <c r="L47" s="87">
        <v>30</v>
      </c>
    </row>
    <row r="48" spans="1:14" s="87" customFormat="1" ht="12.75" customHeight="1">
      <c r="A48" s="95" t="s">
        <v>296</v>
      </c>
      <c r="B48" s="100">
        <v>130</v>
      </c>
      <c r="C48" s="100">
        <v>60</v>
      </c>
      <c r="D48" s="100">
        <v>130</v>
      </c>
      <c r="E48" s="100">
        <v>50</v>
      </c>
      <c r="F48" s="96"/>
      <c r="G48" s="96"/>
      <c r="H48" s="304" t="s">
        <v>296</v>
      </c>
      <c r="I48" s="87">
        <v>60</v>
      </c>
      <c r="J48" s="104">
        <v>30</v>
      </c>
      <c r="K48" s="87">
        <v>100</v>
      </c>
      <c r="L48" s="87">
        <v>30</v>
      </c>
    </row>
    <row r="49" spans="1:14" s="87" customFormat="1" ht="12.75" customHeight="1">
      <c r="A49" s="95" t="s">
        <v>299</v>
      </c>
      <c r="B49" s="100">
        <v>160</v>
      </c>
      <c r="C49" s="100">
        <v>70</v>
      </c>
      <c r="D49" s="100">
        <v>130</v>
      </c>
      <c r="E49" s="100">
        <v>50</v>
      </c>
      <c r="F49" s="96"/>
      <c r="G49" s="96"/>
      <c r="H49" s="304" t="s">
        <v>299</v>
      </c>
      <c r="I49" s="87">
        <v>60</v>
      </c>
      <c r="J49" s="104">
        <v>30</v>
      </c>
      <c r="K49" s="87">
        <v>100</v>
      </c>
      <c r="L49" s="87">
        <v>30</v>
      </c>
    </row>
    <row r="50" spans="1:14" s="87" customFormat="1" ht="12.75" customHeight="1">
      <c r="A50" s="95" t="s">
        <v>300</v>
      </c>
      <c r="B50" s="96">
        <v>130</v>
      </c>
      <c r="C50" s="96">
        <v>70</v>
      </c>
      <c r="D50" s="99">
        <v>100</v>
      </c>
      <c r="E50" s="96">
        <v>30</v>
      </c>
      <c r="F50" s="96"/>
      <c r="G50" s="96"/>
      <c r="H50" s="304" t="s">
        <v>300</v>
      </c>
      <c r="I50" s="87">
        <v>60</v>
      </c>
      <c r="J50" s="104">
        <v>30</v>
      </c>
      <c r="K50" s="87">
        <v>100</v>
      </c>
      <c r="L50" s="87">
        <v>30</v>
      </c>
    </row>
    <row r="51" spans="1:14" s="87" customFormat="1" ht="12.75" customHeight="1">
      <c r="A51" s="95" t="s">
        <v>301</v>
      </c>
      <c r="B51" s="96">
        <v>130</v>
      </c>
      <c r="C51" s="96">
        <v>70</v>
      </c>
      <c r="D51" s="100">
        <v>130</v>
      </c>
      <c r="E51" s="100">
        <v>50</v>
      </c>
      <c r="F51" s="96"/>
      <c r="G51" s="96"/>
      <c r="H51" s="304" t="s">
        <v>301</v>
      </c>
      <c r="I51" s="87">
        <v>60</v>
      </c>
      <c r="J51" s="104">
        <v>30</v>
      </c>
      <c r="K51" s="87">
        <v>100</v>
      </c>
      <c r="L51" s="87">
        <v>30</v>
      </c>
    </row>
    <row r="52" spans="1:14" s="87" customFormat="1" ht="12.75" customHeight="1">
      <c r="A52" s="95" t="s">
        <v>302</v>
      </c>
      <c r="B52" s="96">
        <v>130</v>
      </c>
      <c r="C52" s="96">
        <v>70</v>
      </c>
      <c r="D52" s="100">
        <v>130</v>
      </c>
      <c r="E52" s="100">
        <v>50</v>
      </c>
      <c r="F52" s="96"/>
      <c r="G52" s="96"/>
      <c r="H52" s="304" t="s">
        <v>302</v>
      </c>
      <c r="I52" s="87">
        <v>60</v>
      </c>
      <c r="J52" s="104">
        <v>30</v>
      </c>
      <c r="K52" s="87">
        <v>100</v>
      </c>
      <c r="L52" s="87">
        <v>30</v>
      </c>
    </row>
    <row r="53" spans="1:14" s="87" customFormat="1" ht="12.75" customHeight="1">
      <c r="A53" s="95" t="s">
        <v>303</v>
      </c>
      <c r="B53" s="96">
        <v>130</v>
      </c>
      <c r="C53" s="96">
        <v>70</v>
      </c>
      <c r="D53" s="99">
        <v>100</v>
      </c>
      <c r="E53" s="96">
        <v>30</v>
      </c>
      <c r="F53" s="96"/>
      <c r="G53" s="96"/>
      <c r="H53" s="304" t="s">
        <v>303</v>
      </c>
      <c r="I53" s="87">
        <v>60</v>
      </c>
      <c r="J53" s="104">
        <v>30</v>
      </c>
      <c r="K53" s="87">
        <v>100</v>
      </c>
      <c r="L53" s="87">
        <v>30</v>
      </c>
    </row>
    <row r="54" spans="1:14" s="87" customFormat="1" ht="12.75" customHeight="1">
      <c r="A54" s="95" t="s">
        <v>304</v>
      </c>
      <c r="B54" s="100">
        <v>210</v>
      </c>
      <c r="C54" s="100">
        <v>80</v>
      </c>
      <c r="D54" s="100">
        <v>130</v>
      </c>
      <c r="E54" s="100">
        <v>50</v>
      </c>
      <c r="F54" s="96"/>
      <c r="G54" s="96"/>
      <c r="H54" s="304" t="s">
        <v>304</v>
      </c>
      <c r="I54" s="87">
        <v>60</v>
      </c>
      <c r="J54" s="104">
        <v>30</v>
      </c>
      <c r="K54" s="87">
        <v>100</v>
      </c>
      <c r="L54" s="87">
        <v>30</v>
      </c>
    </row>
    <row r="55" spans="1:14" s="87" customFormat="1" ht="12.75" customHeight="1">
      <c r="A55" s="95" t="s">
        <v>305</v>
      </c>
      <c r="B55" s="100">
        <v>210</v>
      </c>
      <c r="C55" s="100">
        <v>80</v>
      </c>
      <c r="D55" s="100">
        <v>130</v>
      </c>
      <c r="E55" s="96">
        <v>30</v>
      </c>
      <c r="F55" s="96"/>
      <c r="G55" s="96"/>
      <c r="H55" s="304" t="s">
        <v>305</v>
      </c>
      <c r="I55" s="87">
        <v>60</v>
      </c>
      <c r="J55" s="104">
        <v>30</v>
      </c>
      <c r="K55" s="87">
        <v>100</v>
      </c>
      <c r="L55" s="87">
        <v>30</v>
      </c>
    </row>
    <row r="56" spans="1:14" s="87" customFormat="1" ht="12.75" customHeight="1">
      <c r="A56" s="95" t="s">
        <v>306</v>
      </c>
      <c r="B56" s="100">
        <v>210</v>
      </c>
      <c r="C56" s="100">
        <v>80</v>
      </c>
      <c r="D56" s="100">
        <v>130</v>
      </c>
      <c r="E56" s="96">
        <v>30</v>
      </c>
      <c r="F56" s="96"/>
      <c r="G56" s="96"/>
      <c r="H56" s="304" t="s">
        <v>306</v>
      </c>
      <c r="I56" s="87">
        <v>60</v>
      </c>
      <c r="J56" s="104">
        <v>30</v>
      </c>
      <c r="K56" s="87">
        <v>100</v>
      </c>
      <c r="L56" s="87">
        <v>30</v>
      </c>
    </row>
    <row r="57" spans="1:14" s="16" customFormat="1" ht="12.75" customHeight="1">
      <c r="A57" s="14" t="s">
        <v>474</v>
      </c>
      <c r="B57" s="98"/>
      <c r="C57" s="98" t="s">
        <v>481</v>
      </c>
      <c r="D57" s="98"/>
      <c r="E57" s="98"/>
      <c r="F57" s="98"/>
      <c r="G57" s="75"/>
      <c r="I57" s="85" t="s">
        <v>489</v>
      </c>
    </row>
    <row r="58" spans="1:14" s="68" customFormat="1" ht="12.75" customHeight="1">
      <c r="A58" s="120" t="s">
        <v>475</v>
      </c>
      <c r="B58" s="83"/>
      <c r="C58" s="83" t="s">
        <v>482</v>
      </c>
      <c r="D58" s="83"/>
      <c r="E58" s="83"/>
      <c r="F58" s="83"/>
      <c r="G58" s="64"/>
    </row>
    <row r="59" spans="1:14" s="68" customFormat="1" ht="12.75" customHeight="1">
      <c r="A59" s="120" t="s">
        <v>479</v>
      </c>
      <c r="B59" s="83" t="s">
        <v>405</v>
      </c>
      <c r="C59" s="83" t="s">
        <v>406</v>
      </c>
      <c r="D59" s="83"/>
      <c r="E59" s="83" t="str">
        <f>""</f>
        <v/>
      </c>
      <c r="F59" s="83" t="str">
        <f>""</f>
        <v/>
      </c>
      <c r="G59" s="973" t="str">
        <f>G44</f>
        <v>Please specify the climate</v>
      </c>
      <c r="H59" s="64" t="s">
        <v>488</v>
      </c>
      <c r="I59" s="83" t="s">
        <v>405</v>
      </c>
      <c r="J59" s="83" t="s">
        <v>406</v>
      </c>
      <c r="K59" s="83"/>
      <c r="L59" s="83" t="str">
        <f>""</f>
        <v/>
      </c>
      <c r="M59" s="83" t="str">
        <f>""</f>
        <v/>
      </c>
      <c r="N59" s="968" t="str">
        <f>N44</f>
        <v>Please specify the climate</v>
      </c>
    </row>
    <row r="60" spans="1:14" s="956" customFormat="1" ht="12.75" customHeight="1">
      <c r="A60" s="954" t="str">
        <f>List!A6</f>
        <v>Please select</v>
      </c>
      <c r="B60" s="955"/>
      <c r="C60" s="955"/>
      <c r="D60" s="955"/>
      <c r="E60" s="955"/>
      <c r="F60" s="955"/>
      <c r="G60" s="955"/>
      <c r="H60" s="73" t="str">
        <f>A60</f>
        <v>Please select</v>
      </c>
      <c r="I60" s="955"/>
      <c r="J60" s="955"/>
      <c r="K60" s="955"/>
      <c r="L60" s="955"/>
      <c r="M60" s="955"/>
    </row>
    <row r="61" spans="1:14" s="87" customFormat="1" ht="12.75" customHeight="1">
      <c r="A61" s="95" t="s">
        <v>297</v>
      </c>
      <c r="B61" s="100">
        <v>70</v>
      </c>
      <c r="C61" s="100">
        <v>50</v>
      </c>
      <c r="D61" s="99"/>
      <c r="E61" s="96"/>
      <c r="F61" s="96"/>
      <c r="G61" s="96"/>
      <c r="H61" s="304" t="s">
        <v>297</v>
      </c>
      <c r="I61" s="87">
        <v>30</v>
      </c>
      <c r="J61" s="104">
        <v>90</v>
      </c>
    </row>
    <row r="62" spans="1:14" s="87" customFormat="1" ht="12.75" customHeight="1">
      <c r="A62" s="95" t="s">
        <v>298</v>
      </c>
      <c r="B62" s="100">
        <v>60</v>
      </c>
      <c r="C62" s="100">
        <v>135</v>
      </c>
      <c r="D62" s="99"/>
      <c r="E62" s="96"/>
      <c r="F62" s="96"/>
      <c r="G62" s="96"/>
      <c r="H62" s="304" t="s">
        <v>298</v>
      </c>
      <c r="I62" s="87">
        <v>30</v>
      </c>
      <c r="J62" s="104">
        <v>90</v>
      </c>
    </row>
    <row r="63" spans="1:14" s="87" customFormat="1" ht="12.75" customHeight="1">
      <c r="A63" s="95" t="s">
        <v>296</v>
      </c>
      <c r="B63" s="100">
        <v>60</v>
      </c>
      <c r="C63" s="100">
        <v>135</v>
      </c>
      <c r="D63" s="99"/>
      <c r="E63" s="96"/>
      <c r="F63" s="96"/>
      <c r="G63" s="96"/>
      <c r="H63" s="304" t="s">
        <v>296</v>
      </c>
      <c r="I63" s="87">
        <v>30</v>
      </c>
      <c r="J63" s="104">
        <v>90</v>
      </c>
    </row>
    <row r="64" spans="1:14" s="87" customFormat="1" ht="12.75" customHeight="1">
      <c r="A64" s="95" t="s">
        <v>299</v>
      </c>
      <c r="B64" s="100">
        <v>70</v>
      </c>
      <c r="C64" s="100">
        <v>205</v>
      </c>
      <c r="D64" s="99"/>
      <c r="E64" s="96"/>
      <c r="F64" s="96"/>
      <c r="G64" s="96"/>
      <c r="H64" s="304" t="s">
        <v>299</v>
      </c>
      <c r="I64" s="87">
        <v>30</v>
      </c>
      <c r="J64" s="104">
        <v>90</v>
      </c>
    </row>
    <row r="65" spans="1:10" s="87" customFormat="1" ht="12.75" customHeight="1">
      <c r="A65" s="95" t="s">
        <v>300</v>
      </c>
      <c r="B65" s="96">
        <v>70</v>
      </c>
      <c r="C65" s="96">
        <v>140</v>
      </c>
      <c r="D65" s="99"/>
      <c r="E65" s="96"/>
      <c r="F65" s="96"/>
      <c r="G65" s="96"/>
      <c r="H65" s="304" t="s">
        <v>300</v>
      </c>
      <c r="I65" s="87">
        <v>30</v>
      </c>
      <c r="J65" s="104">
        <v>90</v>
      </c>
    </row>
    <row r="66" spans="1:10" s="87" customFormat="1" ht="12.75" customHeight="1">
      <c r="A66" s="95" t="s">
        <v>301</v>
      </c>
      <c r="B66" s="96">
        <v>70</v>
      </c>
      <c r="C66" s="96">
        <v>140</v>
      </c>
      <c r="D66" s="99"/>
      <c r="E66" s="96"/>
      <c r="F66" s="96"/>
      <c r="G66" s="96"/>
      <c r="H66" s="304" t="s">
        <v>301</v>
      </c>
      <c r="I66" s="87">
        <v>30</v>
      </c>
      <c r="J66" s="104">
        <v>90</v>
      </c>
    </row>
    <row r="67" spans="1:10" s="87" customFormat="1" ht="12.75" customHeight="1">
      <c r="A67" s="95" t="s">
        <v>302</v>
      </c>
      <c r="B67" s="96">
        <v>70</v>
      </c>
      <c r="C67" s="96">
        <v>140</v>
      </c>
      <c r="D67" s="99"/>
      <c r="E67" s="96"/>
      <c r="F67" s="96"/>
      <c r="G67" s="96"/>
      <c r="H67" s="304" t="s">
        <v>302</v>
      </c>
      <c r="I67" s="87">
        <v>30</v>
      </c>
      <c r="J67" s="104">
        <v>90</v>
      </c>
    </row>
    <row r="68" spans="1:10" s="87" customFormat="1" ht="12.75" customHeight="1">
      <c r="A68" s="95" t="s">
        <v>303</v>
      </c>
      <c r="B68" s="96">
        <v>70</v>
      </c>
      <c r="C68" s="96">
        <v>140</v>
      </c>
      <c r="D68" s="99"/>
      <c r="E68" s="96"/>
      <c r="F68" s="96"/>
      <c r="G68" s="96"/>
      <c r="H68" s="304" t="s">
        <v>303</v>
      </c>
      <c r="I68" s="87">
        <v>30</v>
      </c>
      <c r="J68" s="104">
        <v>90</v>
      </c>
    </row>
    <row r="69" spans="1:10" s="87" customFormat="1" ht="12.75" customHeight="1">
      <c r="A69" s="95" t="s">
        <v>304</v>
      </c>
      <c r="B69" s="100">
        <v>80</v>
      </c>
      <c r="C69" s="100">
        <v>145</v>
      </c>
      <c r="D69" s="99"/>
      <c r="E69" s="96"/>
      <c r="F69" s="96"/>
      <c r="G69" s="96"/>
      <c r="H69" s="304" t="s">
        <v>304</v>
      </c>
      <c r="I69" s="87">
        <v>30</v>
      </c>
      <c r="J69" s="104">
        <v>90</v>
      </c>
    </row>
    <row r="70" spans="1:10" s="87" customFormat="1" ht="12.75" customHeight="1">
      <c r="A70" s="95" t="s">
        <v>305</v>
      </c>
      <c r="B70" s="100">
        <v>80</v>
      </c>
      <c r="C70" s="100">
        <v>145</v>
      </c>
      <c r="D70" s="96"/>
      <c r="E70" s="96"/>
      <c r="F70" s="96"/>
      <c r="G70" s="96"/>
      <c r="H70" s="304" t="s">
        <v>305</v>
      </c>
      <c r="I70" s="87">
        <v>30</v>
      </c>
      <c r="J70" s="104">
        <v>90</v>
      </c>
    </row>
    <row r="71" spans="1:10" s="87" customFormat="1" ht="12.75" customHeight="1">
      <c r="A71" s="95" t="s">
        <v>306</v>
      </c>
      <c r="B71" s="100">
        <v>80</v>
      </c>
      <c r="C71" s="100">
        <v>145</v>
      </c>
      <c r="D71" s="96"/>
      <c r="E71" s="96"/>
      <c r="F71" s="96"/>
      <c r="G71" s="96"/>
      <c r="H71" s="304" t="s">
        <v>306</v>
      </c>
      <c r="I71" s="87">
        <v>30</v>
      </c>
      <c r="J71" s="104">
        <v>90</v>
      </c>
    </row>
    <row r="72" spans="1:10" s="17" customFormat="1" ht="12.75" customHeight="1">
      <c r="A72" s="13" t="s">
        <v>498</v>
      </c>
      <c r="B72" s="97"/>
      <c r="C72" s="97"/>
      <c r="D72" s="97"/>
      <c r="E72" s="97"/>
      <c r="F72" s="97"/>
      <c r="G72" s="65"/>
      <c r="I72" s="85"/>
    </row>
    <row r="73" spans="1:10" s="68" customFormat="1" ht="12.75" customHeight="1">
      <c r="A73" s="120" t="s">
        <v>484</v>
      </c>
      <c r="B73" s="83"/>
      <c r="C73" s="83" t="s">
        <v>500</v>
      </c>
      <c r="D73" s="83"/>
      <c r="E73" s="83"/>
      <c r="F73" s="83"/>
      <c r="G73" s="64"/>
    </row>
    <row r="74" spans="1:10" s="68" customFormat="1" ht="12.75" customHeight="1">
      <c r="A74" s="120" t="s">
        <v>293</v>
      </c>
      <c r="B74" s="83" t="s">
        <v>495</v>
      </c>
      <c r="C74" s="83" t="s">
        <v>499</v>
      </c>
      <c r="D74" s="83"/>
      <c r="E74" s="83"/>
      <c r="F74" s="83"/>
      <c r="G74" s="64"/>
    </row>
    <row r="75" spans="1:10" s="87" customFormat="1" ht="12.75" customHeight="1">
      <c r="A75" s="95" t="s">
        <v>318</v>
      </c>
      <c r="B75" s="414">
        <v>28</v>
      </c>
      <c r="C75" s="96"/>
      <c r="D75" s="96"/>
      <c r="E75" s="96"/>
      <c r="F75" s="96"/>
      <c r="G75" s="132"/>
      <c r="I75" s="104"/>
    </row>
    <row r="76" spans="1:10" s="87" customFormat="1" ht="12.75" customHeight="1">
      <c r="A76" s="95" t="s">
        <v>317</v>
      </c>
      <c r="B76" s="414">
        <v>47</v>
      </c>
      <c r="C76" s="96"/>
      <c r="D76" s="96"/>
      <c r="E76" s="96"/>
      <c r="F76" s="96"/>
      <c r="G76" s="132"/>
      <c r="I76" s="104"/>
    </row>
    <row r="77" spans="1:10" s="87" customFormat="1" ht="12.75" customHeight="1">
      <c r="A77" s="95" t="s">
        <v>315</v>
      </c>
      <c r="B77" s="414">
        <v>28</v>
      </c>
      <c r="C77" s="96"/>
      <c r="D77" s="96"/>
      <c r="E77" s="96"/>
      <c r="F77" s="96"/>
      <c r="G77" s="132"/>
      <c r="I77" s="104"/>
    </row>
    <row r="78" spans="1:10" s="87" customFormat="1" ht="12.75" customHeight="1">
      <c r="A78" s="95" t="s">
        <v>316</v>
      </c>
      <c r="B78" s="414">
        <v>21</v>
      </c>
      <c r="C78" s="96"/>
      <c r="D78" s="96"/>
      <c r="E78" s="96"/>
      <c r="F78" s="96"/>
      <c r="G78" s="132"/>
      <c r="I78" s="104"/>
    </row>
    <row r="79" spans="1:10" s="87" customFormat="1" ht="12.75" customHeight="1">
      <c r="A79" s="95" t="s">
        <v>314</v>
      </c>
      <c r="B79" s="414">
        <v>24.3</v>
      </c>
      <c r="C79" s="96"/>
      <c r="D79" s="96"/>
      <c r="E79" s="96"/>
      <c r="F79" s="96"/>
      <c r="G79" s="132"/>
      <c r="I79" s="104"/>
    </row>
    <row r="80" spans="1:10" s="87" customFormat="1" ht="12.75" customHeight="1">
      <c r="A80" s="95" t="s">
        <v>466</v>
      </c>
      <c r="B80" s="414">
        <v>17.5</v>
      </c>
      <c r="C80" s="96"/>
      <c r="D80" s="96"/>
      <c r="E80" s="96"/>
      <c r="F80" s="96"/>
      <c r="G80" s="132"/>
      <c r="I80" s="104"/>
    </row>
    <row r="81" spans="1:9" s="87" customFormat="1" ht="12.75" customHeight="1">
      <c r="A81" s="95" t="s">
        <v>6502</v>
      </c>
      <c r="B81" s="414">
        <f>B83</f>
        <v>3.65</v>
      </c>
      <c r="C81" s="96"/>
      <c r="D81" s="96"/>
      <c r="E81" s="96"/>
      <c r="F81" s="96"/>
      <c r="G81" s="132"/>
      <c r="I81" s="104"/>
    </row>
    <row r="82" spans="1:9" s="87" customFormat="1" ht="12.75" customHeight="1">
      <c r="A82" s="95" t="s">
        <v>6503</v>
      </c>
      <c r="B82" s="414">
        <f>B81</f>
        <v>3.65</v>
      </c>
      <c r="C82" s="96"/>
      <c r="D82" s="96"/>
      <c r="E82" s="96"/>
      <c r="F82" s="96"/>
      <c r="G82" s="132"/>
      <c r="I82" s="104"/>
    </row>
    <row r="83" spans="1:9" s="87" customFormat="1" ht="12.75" customHeight="1">
      <c r="A83" s="95" t="s">
        <v>313</v>
      </c>
      <c r="B83" s="414">
        <f>7.3/2</f>
        <v>3.65</v>
      </c>
      <c r="C83" s="96"/>
      <c r="D83" s="96"/>
      <c r="E83" s="96"/>
      <c r="F83" s="96"/>
      <c r="G83" s="132"/>
      <c r="I83" s="104"/>
    </row>
    <row r="84" spans="1:9" s="87" customFormat="1" ht="12.75" customHeight="1">
      <c r="A84" s="95" t="s">
        <v>311</v>
      </c>
      <c r="B84" s="414">
        <f>B83</f>
        <v>3.65</v>
      </c>
      <c r="C84" s="96"/>
      <c r="D84" s="96"/>
      <c r="E84" s="96"/>
      <c r="F84" s="96"/>
      <c r="G84" s="132"/>
      <c r="I84" s="104"/>
    </row>
    <row r="85" spans="1:9" s="87" customFormat="1" ht="12.75" customHeight="1">
      <c r="A85" s="95" t="s">
        <v>310</v>
      </c>
      <c r="B85" s="414">
        <f>B84</f>
        <v>3.65</v>
      </c>
      <c r="C85" s="96"/>
      <c r="D85" s="96"/>
      <c r="E85" s="96"/>
      <c r="F85" s="96"/>
      <c r="G85" s="132"/>
      <c r="I85" s="104"/>
    </row>
    <row r="86" spans="1:9" s="17" customFormat="1" ht="12.75" customHeight="1">
      <c r="A86" s="14" t="s">
        <v>521</v>
      </c>
      <c r="B86" s="97"/>
      <c r="C86" s="97"/>
      <c r="D86" s="97"/>
      <c r="E86" s="97"/>
      <c r="F86" s="97"/>
      <c r="G86" s="65"/>
      <c r="I86" s="85"/>
    </row>
    <row r="87" spans="1:9" s="17" customFormat="1" ht="12.75" customHeight="1">
      <c r="A87" s="13"/>
      <c r="B87" s="97"/>
      <c r="C87" s="97" t="s">
        <v>515</v>
      </c>
      <c r="D87" s="97"/>
      <c r="E87" s="97"/>
      <c r="F87" s="97"/>
      <c r="G87" s="65"/>
      <c r="I87" s="85"/>
    </row>
    <row r="88" spans="1:9" s="17" customFormat="1" ht="12.75" customHeight="1">
      <c r="A88" s="13"/>
      <c r="B88" s="97" t="s">
        <v>510</v>
      </c>
      <c r="C88" s="97" t="s">
        <v>512</v>
      </c>
      <c r="D88" s="17" t="s">
        <v>513</v>
      </c>
      <c r="E88" s="97" t="s">
        <v>514</v>
      </c>
      <c r="F88" s="97" t="s">
        <v>511</v>
      </c>
      <c r="G88" s="65"/>
      <c r="I88" s="85"/>
    </row>
    <row r="89" spans="1:9" s="87" customFormat="1" ht="12.75" customHeight="1">
      <c r="A89" s="96" t="s">
        <v>392</v>
      </c>
      <c r="B89" s="96">
        <v>0.37</v>
      </c>
      <c r="C89" s="96">
        <f>B89</f>
        <v>0.37</v>
      </c>
      <c r="D89" s="96">
        <f>C89</f>
        <v>0.37</v>
      </c>
      <c r="E89" s="96">
        <f>D89</f>
        <v>0.37</v>
      </c>
      <c r="F89" s="96">
        <f>E89</f>
        <v>0.37</v>
      </c>
      <c r="G89" s="132"/>
      <c r="I89" s="104"/>
    </row>
    <row r="90" spans="1:9" s="87" customFormat="1" ht="12.75" customHeight="1">
      <c r="A90" s="96" t="s">
        <v>397</v>
      </c>
      <c r="B90" s="96">
        <v>0.2</v>
      </c>
      <c r="C90" s="96">
        <f>B90</f>
        <v>0.2</v>
      </c>
      <c r="D90" s="96">
        <f>C90</f>
        <v>0.2</v>
      </c>
      <c r="E90" s="96">
        <f>D90</f>
        <v>0.2</v>
      </c>
      <c r="F90" s="96">
        <v>0.24</v>
      </c>
      <c r="G90" s="132"/>
      <c r="I90" s="104"/>
    </row>
    <row r="91" spans="1:9" s="87" customFormat="1" ht="12.75" customHeight="1">
      <c r="A91" s="96" t="s">
        <v>401</v>
      </c>
      <c r="B91" s="96">
        <v>0.56000000000000005</v>
      </c>
      <c r="C91" s="96">
        <v>0.28000000000000003</v>
      </c>
      <c r="D91" s="96">
        <f t="shared" ref="D91:F92" si="0">C91</f>
        <v>0.28000000000000003</v>
      </c>
      <c r="E91" s="96">
        <f t="shared" si="0"/>
        <v>0.28000000000000003</v>
      </c>
      <c r="F91" s="96">
        <f t="shared" si="0"/>
        <v>0.28000000000000003</v>
      </c>
      <c r="G91" s="132"/>
      <c r="I91" s="104"/>
    </row>
    <row r="92" spans="1:9" s="87" customFormat="1" ht="12.75" customHeight="1">
      <c r="A92" s="96" t="s">
        <v>405</v>
      </c>
      <c r="B92" s="96">
        <v>0.4</v>
      </c>
      <c r="C92" s="96">
        <f>B92</f>
        <v>0.4</v>
      </c>
      <c r="D92" s="96">
        <f t="shared" si="0"/>
        <v>0.4</v>
      </c>
      <c r="E92" s="96">
        <f t="shared" si="0"/>
        <v>0.4</v>
      </c>
      <c r="F92" s="96">
        <f t="shared" si="0"/>
        <v>0.4</v>
      </c>
      <c r="G92" s="132"/>
      <c r="I92" s="104"/>
    </row>
    <row r="93" spans="1:9" s="87" customFormat="1" ht="12.75" customHeight="1">
      <c r="A93" s="95" t="s">
        <v>396</v>
      </c>
      <c r="B93" s="96">
        <v>0.27</v>
      </c>
      <c r="C93" s="96">
        <f>B93</f>
        <v>0.27</v>
      </c>
      <c r="D93" s="96">
        <f t="shared" ref="D93:F97" si="1">C93</f>
        <v>0.27</v>
      </c>
      <c r="E93" s="96">
        <f t="shared" si="1"/>
        <v>0.27</v>
      </c>
      <c r="F93" s="96">
        <f t="shared" si="1"/>
        <v>0.27</v>
      </c>
      <c r="G93" s="132"/>
      <c r="I93" s="104"/>
    </row>
    <row r="94" spans="1:9" s="87" customFormat="1" ht="12.75" customHeight="1">
      <c r="A94" s="96" t="s">
        <v>393</v>
      </c>
      <c r="B94" s="96">
        <v>0.2</v>
      </c>
      <c r="C94" s="96">
        <f>B94</f>
        <v>0.2</v>
      </c>
      <c r="D94" s="96">
        <f t="shared" si="1"/>
        <v>0.2</v>
      </c>
      <c r="E94" s="96">
        <f t="shared" si="1"/>
        <v>0.2</v>
      </c>
      <c r="F94" s="96">
        <v>0.24</v>
      </c>
      <c r="G94" s="132"/>
      <c r="I94" s="104"/>
    </row>
    <row r="95" spans="1:9" s="87" customFormat="1" ht="12.75" customHeight="1">
      <c r="A95" s="96" t="s">
        <v>398</v>
      </c>
      <c r="B95" s="96">
        <v>0.56000000000000005</v>
      </c>
      <c r="C95" s="96">
        <v>0.28000000000000003</v>
      </c>
      <c r="D95" s="96">
        <f t="shared" si="1"/>
        <v>0.28000000000000003</v>
      </c>
      <c r="E95" s="96">
        <f t="shared" si="1"/>
        <v>0.28000000000000003</v>
      </c>
      <c r="F95" s="96">
        <f>E95</f>
        <v>0.28000000000000003</v>
      </c>
      <c r="G95" s="132"/>
      <c r="I95" s="104"/>
    </row>
    <row r="96" spans="1:9" s="87" customFormat="1" ht="12.75" customHeight="1">
      <c r="A96" s="96" t="s">
        <v>402</v>
      </c>
      <c r="B96" s="96">
        <v>0.32</v>
      </c>
      <c r="C96" s="96">
        <f>B96</f>
        <v>0.32</v>
      </c>
      <c r="D96" s="96">
        <f>C96</f>
        <v>0.32</v>
      </c>
      <c r="E96" s="96">
        <f t="shared" si="1"/>
        <v>0.32</v>
      </c>
      <c r="F96" s="96">
        <f>E96</f>
        <v>0.32</v>
      </c>
      <c r="G96" s="132"/>
      <c r="I96" s="104"/>
    </row>
    <row r="97" spans="1:9" s="87" customFormat="1" ht="12.75" customHeight="1">
      <c r="A97" s="96" t="s">
        <v>406</v>
      </c>
      <c r="B97" s="96">
        <f>B93</f>
        <v>0.27</v>
      </c>
      <c r="C97" s="96">
        <f>B97</f>
        <v>0.27</v>
      </c>
      <c r="D97" s="96">
        <f>C97</f>
        <v>0.27</v>
      </c>
      <c r="E97" s="96">
        <f t="shared" si="1"/>
        <v>0.27</v>
      </c>
      <c r="F97" s="96">
        <f>E97</f>
        <v>0.27</v>
      </c>
      <c r="G97" s="132"/>
      <c r="I97" s="104"/>
    </row>
    <row r="98" spans="1:9" s="87" customFormat="1" ht="12.75" customHeight="1">
      <c r="A98" s="96" t="s">
        <v>394</v>
      </c>
      <c r="B98" s="96">
        <v>0.44</v>
      </c>
      <c r="C98" s="96">
        <v>0.44</v>
      </c>
      <c r="D98" s="96">
        <v>0.44</v>
      </c>
      <c r="E98" s="96">
        <v>0.25</v>
      </c>
      <c r="F98" s="96">
        <v>0.22</v>
      </c>
      <c r="G98" s="132"/>
      <c r="I98" s="104"/>
    </row>
    <row r="99" spans="1:9" s="87" customFormat="1" ht="12.75" customHeight="1">
      <c r="A99" s="96" t="s">
        <v>399</v>
      </c>
      <c r="B99" s="96">
        <f>B98</f>
        <v>0.44</v>
      </c>
      <c r="C99" s="96">
        <f t="shared" ref="C99:F100" si="2">C98</f>
        <v>0.44</v>
      </c>
      <c r="D99" s="96">
        <f t="shared" si="2"/>
        <v>0.44</v>
      </c>
      <c r="E99" s="96">
        <f t="shared" si="2"/>
        <v>0.25</v>
      </c>
      <c r="F99" s="96">
        <f t="shared" si="2"/>
        <v>0.22</v>
      </c>
      <c r="G99" s="132"/>
      <c r="I99" s="104"/>
    </row>
    <row r="100" spans="1:9" s="87" customFormat="1" ht="12.75" customHeight="1">
      <c r="A100" s="96" t="s">
        <v>403</v>
      </c>
      <c r="B100" s="96">
        <f>B99</f>
        <v>0.44</v>
      </c>
      <c r="C100" s="96">
        <f t="shared" si="2"/>
        <v>0.44</v>
      </c>
      <c r="D100" s="96">
        <f t="shared" si="2"/>
        <v>0.44</v>
      </c>
      <c r="E100" s="96">
        <f t="shared" si="2"/>
        <v>0.25</v>
      </c>
      <c r="F100" s="96">
        <f t="shared" si="2"/>
        <v>0.22</v>
      </c>
      <c r="G100" s="132"/>
      <c r="I100" s="104"/>
    </row>
    <row r="101" spans="1:9" s="87" customFormat="1" ht="12.75" customHeight="1">
      <c r="A101" s="96" t="s">
        <v>395</v>
      </c>
      <c r="B101" s="96">
        <v>0.39</v>
      </c>
      <c r="C101" s="96">
        <v>0.39</v>
      </c>
      <c r="D101" s="96">
        <v>0.39</v>
      </c>
      <c r="E101" s="96">
        <v>0.39</v>
      </c>
      <c r="F101" s="96">
        <v>0.24</v>
      </c>
      <c r="G101" s="132"/>
      <c r="I101" s="104"/>
    </row>
    <row r="102" spans="1:9" s="87" customFormat="1" ht="12.75" customHeight="1">
      <c r="A102" s="96" t="s">
        <v>400</v>
      </c>
      <c r="B102" s="96">
        <f>B101</f>
        <v>0.39</v>
      </c>
      <c r="C102" s="96">
        <f>C101</f>
        <v>0.39</v>
      </c>
      <c r="D102" s="96">
        <f>D101</f>
        <v>0.39</v>
      </c>
      <c r="E102" s="96">
        <f>E101</f>
        <v>0.39</v>
      </c>
      <c r="F102" s="96">
        <f>F101</f>
        <v>0.24</v>
      </c>
      <c r="G102" s="132"/>
      <c r="I102" s="104"/>
    </row>
    <row r="103" spans="1:9" s="87" customFormat="1" ht="12.75" customHeight="1">
      <c r="A103" s="96" t="s">
        <v>404</v>
      </c>
      <c r="B103" s="96">
        <f>B101</f>
        <v>0.39</v>
      </c>
      <c r="C103" s="96">
        <f>C101</f>
        <v>0.39</v>
      </c>
      <c r="D103" s="96">
        <f>D101</f>
        <v>0.39</v>
      </c>
      <c r="E103" s="96">
        <f>E101</f>
        <v>0.39</v>
      </c>
      <c r="F103" s="96">
        <f>F101</f>
        <v>0.24</v>
      </c>
      <c r="G103" s="132"/>
      <c r="I103" s="104"/>
    </row>
    <row r="104" spans="1:9" s="17" customFormat="1" ht="12.75" customHeight="1">
      <c r="A104" s="13" t="s">
        <v>526</v>
      </c>
      <c r="B104" s="97"/>
      <c r="C104" s="97"/>
      <c r="D104" s="97"/>
      <c r="E104" s="97"/>
      <c r="F104" s="97"/>
      <c r="G104" s="65"/>
      <c r="I104" s="85"/>
    </row>
    <row r="105" spans="1:9" s="17" customFormat="1" ht="12.75" customHeight="1">
      <c r="A105" s="13"/>
      <c r="B105" s="97" t="s">
        <v>527</v>
      </c>
      <c r="D105" s="97"/>
      <c r="E105" s="97"/>
      <c r="F105" s="97"/>
      <c r="G105" s="65"/>
      <c r="I105" s="85"/>
    </row>
    <row r="106" spans="1:9" s="17" customFormat="1" ht="12.75" customHeight="1">
      <c r="A106" s="13"/>
      <c r="B106" s="65" t="s">
        <v>528</v>
      </c>
      <c r="C106" s="65" t="s">
        <v>331</v>
      </c>
      <c r="D106" s="30" t="s">
        <v>332</v>
      </c>
      <c r="E106" s="65" t="s">
        <v>333</v>
      </c>
      <c r="F106" s="97" t="s">
        <v>980</v>
      </c>
      <c r="G106" s="65"/>
      <c r="I106" s="85"/>
    </row>
    <row r="107" spans="1:9" s="12" customFormat="1" ht="12.75" customHeight="1">
      <c r="A107" s="974" t="str">
        <f>G8</f>
        <v>Please specify the climate</v>
      </c>
      <c r="B107" s="969"/>
      <c r="C107" s="969"/>
      <c r="D107" s="86"/>
      <c r="E107" s="969"/>
      <c r="F107" s="971"/>
      <c r="G107" s="969"/>
      <c r="I107" s="106"/>
    </row>
    <row r="108" spans="1:9" s="87" customFormat="1" ht="12.75" customHeight="1">
      <c r="A108" s="96" t="s">
        <v>392</v>
      </c>
      <c r="B108" s="132">
        <v>0.32</v>
      </c>
      <c r="C108" s="132">
        <v>1580</v>
      </c>
      <c r="D108" s="132">
        <v>6.8</v>
      </c>
      <c r="E108" s="132">
        <v>0.2</v>
      </c>
      <c r="F108" s="96"/>
      <c r="G108" s="132"/>
      <c r="I108" s="104"/>
    </row>
    <row r="109" spans="1:9" s="87" customFormat="1" ht="12.75" customHeight="1">
      <c r="A109" s="96" t="s">
        <v>397</v>
      </c>
      <c r="B109" s="132">
        <v>0.36</v>
      </c>
      <c r="C109" s="132">
        <v>1580</v>
      </c>
      <c r="D109" s="132">
        <v>6.8</v>
      </c>
      <c r="E109" s="132">
        <v>0.2</v>
      </c>
      <c r="F109" s="96"/>
      <c r="G109" s="132"/>
      <c r="I109" s="104"/>
    </row>
    <row r="110" spans="1:9" s="87" customFormat="1" ht="12.75" customHeight="1">
      <c r="A110" s="96" t="s">
        <v>401</v>
      </c>
      <c r="B110" s="132">
        <v>0.36</v>
      </c>
      <c r="C110" s="132">
        <v>1580</v>
      </c>
      <c r="D110" s="132">
        <v>6.8</v>
      </c>
      <c r="E110" s="132">
        <v>0.2</v>
      </c>
      <c r="F110" s="96"/>
      <c r="G110" s="132"/>
      <c r="I110" s="104"/>
    </row>
    <row r="111" spans="1:9" s="87" customFormat="1" ht="12.75" customHeight="1">
      <c r="A111" s="96" t="s">
        <v>405</v>
      </c>
      <c r="B111" s="132">
        <v>0.72</v>
      </c>
      <c r="C111" s="132">
        <v>1580</v>
      </c>
      <c r="D111" s="132">
        <v>6.8</v>
      </c>
      <c r="E111" s="132">
        <v>0.2</v>
      </c>
      <c r="F111" s="96"/>
      <c r="G111" s="132"/>
      <c r="I111" s="104"/>
    </row>
    <row r="112" spans="1:9" s="87" customFormat="1" ht="12.75" customHeight="1">
      <c r="A112" s="95" t="s">
        <v>396</v>
      </c>
      <c r="B112" s="132">
        <v>0.36</v>
      </c>
      <c r="C112" s="132">
        <v>1580</v>
      </c>
      <c r="D112" s="132">
        <v>6.8</v>
      </c>
      <c r="E112" s="132">
        <v>0.2</v>
      </c>
      <c r="F112" s="96"/>
      <c r="G112" s="132"/>
      <c r="I112" s="104"/>
    </row>
    <row r="113" spans="1:9" s="87" customFormat="1" ht="12.75" customHeight="1">
      <c r="A113" s="96" t="s">
        <v>393</v>
      </c>
      <c r="B113" s="132">
        <v>0.36</v>
      </c>
      <c r="C113" s="132">
        <v>1569</v>
      </c>
      <c r="D113" s="132">
        <v>4.7</v>
      </c>
      <c r="E113" s="132">
        <v>0.26</v>
      </c>
      <c r="F113" s="96"/>
      <c r="G113" s="132"/>
      <c r="I113" s="104"/>
    </row>
    <row r="114" spans="1:9" s="87" customFormat="1" ht="12.75" customHeight="1">
      <c r="A114" s="96" t="s">
        <v>398</v>
      </c>
      <c r="B114" s="132">
        <v>0.36</v>
      </c>
      <c r="C114" s="132">
        <v>1569</v>
      </c>
      <c r="D114" s="132">
        <v>4.7</v>
      </c>
      <c r="E114" s="132">
        <v>0.26</v>
      </c>
      <c r="F114" s="96"/>
      <c r="G114" s="132"/>
      <c r="I114" s="104"/>
    </row>
    <row r="115" spans="1:9" s="87" customFormat="1" ht="12.75" customHeight="1">
      <c r="A115" s="96" t="s">
        <v>402</v>
      </c>
      <c r="B115" s="132">
        <v>0.74</v>
      </c>
      <c r="C115" s="132">
        <v>1569</v>
      </c>
      <c r="D115" s="132">
        <v>4.7</v>
      </c>
      <c r="E115" s="132">
        <v>0.26</v>
      </c>
      <c r="F115" s="96"/>
      <c r="G115" s="132"/>
      <c r="I115" s="104"/>
    </row>
    <row r="116" spans="1:9" s="87" customFormat="1" ht="12.75" customHeight="1">
      <c r="A116" s="96" t="s">
        <v>406</v>
      </c>
      <c r="B116" s="132">
        <v>0.36</v>
      </c>
      <c r="C116" s="132">
        <v>1569</v>
      </c>
      <c r="D116" s="132">
        <v>4.7</v>
      </c>
      <c r="E116" s="132">
        <v>0.26</v>
      </c>
      <c r="F116" s="96"/>
      <c r="G116" s="132"/>
      <c r="I116" s="104"/>
    </row>
    <row r="117" spans="1:9" s="87" customFormat="1" ht="12.75" customHeight="1">
      <c r="A117" s="96" t="s">
        <v>394</v>
      </c>
      <c r="B117" s="132">
        <v>0.45</v>
      </c>
      <c r="C117" s="132">
        <v>1569</v>
      </c>
      <c r="D117" s="132">
        <v>4.7</v>
      </c>
      <c r="E117" s="132">
        <v>0.26</v>
      </c>
      <c r="F117" s="96"/>
      <c r="G117" s="132"/>
      <c r="I117" s="104"/>
    </row>
    <row r="118" spans="1:9" s="87" customFormat="1" ht="12.75" customHeight="1">
      <c r="A118" s="96" t="s">
        <v>399</v>
      </c>
      <c r="B118" s="132">
        <v>0.45</v>
      </c>
      <c r="C118" s="132">
        <v>1569</v>
      </c>
      <c r="D118" s="132">
        <v>4.7</v>
      </c>
      <c r="E118" s="132">
        <v>0.26</v>
      </c>
      <c r="F118" s="96"/>
      <c r="G118" s="132"/>
      <c r="I118" s="104"/>
    </row>
    <row r="119" spans="1:9" s="87" customFormat="1" ht="12.75" customHeight="1">
      <c r="A119" s="96" t="s">
        <v>403</v>
      </c>
      <c r="B119" s="132">
        <v>0.45</v>
      </c>
      <c r="C119" s="132">
        <v>1569</v>
      </c>
      <c r="D119" s="132">
        <v>4.7</v>
      </c>
      <c r="E119" s="132">
        <v>0.26</v>
      </c>
      <c r="F119" s="96"/>
      <c r="G119" s="132"/>
      <c r="I119" s="104"/>
    </row>
    <row r="120" spans="1:9" s="87" customFormat="1" ht="12.75" customHeight="1">
      <c r="A120" s="96" t="s">
        <v>395</v>
      </c>
      <c r="B120" s="132">
        <v>0.34</v>
      </c>
      <c r="C120" s="132">
        <v>1569</v>
      </c>
      <c r="D120" s="132">
        <v>4.7</v>
      </c>
      <c r="E120" s="132">
        <v>0.26</v>
      </c>
      <c r="F120" s="96"/>
      <c r="G120" s="132"/>
      <c r="I120" s="104"/>
    </row>
    <row r="121" spans="1:9" s="87" customFormat="1" ht="12.75" customHeight="1">
      <c r="A121" s="96" t="s">
        <v>400</v>
      </c>
      <c r="B121" s="132">
        <v>0.34</v>
      </c>
      <c r="C121" s="132">
        <v>1569</v>
      </c>
      <c r="D121" s="132">
        <v>4.7</v>
      </c>
      <c r="E121" s="132">
        <v>0.26</v>
      </c>
      <c r="F121" s="96"/>
      <c r="G121" s="132"/>
      <c r="I121" s="104"/>
    </row>
    <row r="122" spans="1:9" s="87" customFormat="1" ht="12.75" customHeight="1">
      <c r="A122" s="96" t="s">
        <v>404</v>
      </c>
      <c r="B122" s="132">
        <v>0.34</v>
      </c>
      <c r="C122" s="132">
        <v>1569</v>
      </c>
      <c r="D122" s="132">
        <v>4.7</v>
      </c>
      <c r="E122" s="132">
        <v>0.26</v>
      </c>
      <c r="F122" s="96"/>
      <c r="G122" s="132"/>
      <c r="I122" s="104"/>
    </row>
    <row r="123" spans="1:9" s="17" customFormat="1" ht="12.75" customHeight="1">
      <c r="A123" s="97" t="s">
        <v>571</v>
      </c>
      <c r="B123" s="65"/>
      <c r="C123" s="65"/>
      <c r="D123" s="65"/>
      <c r="E123" s="65"/>
      <c r="F123" s="97"/>
      <c r="G123" s="65"/>
      <c r="I123" s="85"/>
    </row>
    <row r="124" spans="1:9" s="17" customFormat="1" ht="12.75" customHeight="1">
      <c r="A124" s="97" t="s">
        <v>568</v>
      </c>
      <c r="B124" s="65" t="s">
        <v>1156</v>
      </c>
      <c r="C124" s="65"/>
      <c r="D124" s="65"/>
      <c r="E124" s="65"/>
      <c r="F124" s="97" t="s">
        <v>689</v>
      </c>
      <c r="G124" s="65"/>
      <c r="I124" s="85"/>
    </row>
    <row r="125" spans="1:9" s="64" customFormat="1">
      <c r="A125" s="64" t="s">
        <v>461</v>
      </c>
      <c r="B125" s="133" t="s">
        <v>661</v>
      </c>
      <c r="C125" s="17" t="s">
        <v>658</v>
      </c>
      <c r="D125" s="17" t="str">
        <f>List!A90</f>
        <v>Flooded Rice</v>
      </c>
      <c r="E125" s="17" t="s">
        <v>659</v>
      </c>
      <c r="F125" s="17" t="s">
        <v>329</v>
      </c>
      <c r="G125" s="17" t="s">
        <v>1187</v>
      </c>
      <c r="H125" s="64" t="s">
        <v>127</v>
      </c>
      <c r="I125" s="64" t="s">
        <v>128</v>
      </c>
    </row>
    <row r="126" spans="1:9" s="967" customFormat="1">
      <c r="A126" s="967" t="str">
        <f>G7</f>
        <v>Please select</v>
      </c>
      <c r="B126" s="975"/>
      <c r="C126" s="12"/>
      <c r="D126" s="12"/>
      <c r="E126" s="12"/>
      <c r="F126" s="12"/>
      <c r="G126" s="12"/>
    </row>
    <row r="127" spans="1:9" s="101" customFormat="1">
      <c r="A127" s="99" t="s">
        <v>318</v>
      </c>
      <c r="B127" s="179">
        <v>5</v>
      </c>
      <c r="C127" s="179">
        <v>2.1</v>
      </c>
      <c r="D127" s="179">
        <v>5</v>
      </c>
      <c r="E127" s="179">
        <v>5</v>
      </c>
      <c r="F127" s="179">
        <f>8.5*0.47</f>
        <v>3.9949999999999997</v>
      </c>
      <c r="G127" s="179">
        <v>1</v>
      </c>
      <c r="H127" s="101">
        <v>0</v>
      </c>
      <c r="I127" s="101">
        <v>0</v>
      </c>
    </row>
    <row r="128" spans="1:9" s="101" customFormat="1">
      <c r="A128" s="99" t="s">
        <v>317</v>
      </c>
      <c r="B128" s="179">
        <v>5</v>
      </c>
      <c r="C128" s="179">
        <v>2.1</v>
      </c>
      <c r="D128" s="179">
        <v>5</v>
      </c>
      <c r="E128" s="179">
        <v>5</v>
      </c>
      <c r="F128" s="179">
        <f>F127</f>
        <v>3.9949999999999997</v>
      </c>
      <c r="G128" s="179">
        <v>1</v>
      </c>
      <c r="H128" s="101">
        <v>0</v>
      </c>
      <c r="I128" s="101">
        <v>0</v>
      </c>
    </row>
    <row r="129" spans="1:20" s="101" customFormat="1">
      <c r="A129" s="180" t="s">
        <v>315</v>
      </c>
      <c r="B129" s="179">
        <v>5</v>
      </c>
      <c r="C129" s="179">
        <v>2.1</v>
      </c>
      <c r="D129" s="179">
        <v>5</v>
      </c>
      <c r="E129" s="179">
        <v>5</v>
      </c>
      <c r="F129" s="179">
        <f>6.5*0.47</f>
        <v>3.0549999999999997</v>
      </c>
      <c r="G129" s="179">
        <v>1</v>
      </c>
      <c r="H129" s="101">
        <v>0</v>
      </c>
      <c r="I129" s="101">
        <v>0</v>
      </c>
    </row>
    <row r="130" spans="1:20" s="101" customFormat="1">
      <c r="A130" s="180" t="s">
        <v>316</v>
      </c>
      <c r="B130" s="179">
        <v>5</v>
      </c>
      <c r="C130" s="179">
        <v>2.1</v>
      </c>
      <c r="D130" s="179">
        <v>5</v>
      </c>
      <c r="E130" s="179">
        <v>5</v>
      </c>
      <c r="F130" s="179">
        <f>13.6*0.47</f>
        <v>6.3919999999999995</v>
      </c>
      <c r="G130" s="179">
        <v>1</v>
      </c>
      <c r="H130" s="101">
        <v>0</v>
      </c>
      <c r="I130" s="101">
        <v>0</v>
      </c>
    </row>
    <row r="131" spans="1:20" s="101" customFormat="1">
      <c r="A131" s="180" t="s">
        <v>314</v>
      </c>
      <c r="B131" s="179">
        <v>5</v>
      </c>
      <c r="C131" s="179">
        <v>2.1</v>
      </c>
      <c r="D131" s="179">
        <v>5</v>
      </c>
      <c r="E131" s="179">
        <v>5</v>
      </c>
      <c r="F131" s="179">
        <f>6.1*0.47</f>
        <v>2.8669999999999995</v>
      </c>
      <c r="G131" s="179">
        <v>1</v>
      </c>
      <c r="H131" s="101">
        <v>0</v>
      </c>
      <c r="I131" s="101">
        <v>0</v>
      </c>
    </row>
    <row r="132" spans="1:20" s="101" customFormat="1">
      <c r="A132" s="180" t="s">
        <v>466</v>
      </c>
      <c r="B132" s="179">
        <v>5</v>
      </c>
      <c r="C132" s="179">
        <v>2.1</v>
      </c>
      <c r="D132" s="179">
        <v>5</v>
      </c>
      <c r="E132" s="179">
        <v>5</v>
      </c>
      <c r="F132" s="179">
        <f>13.5*0.47</f>
        <v>6.3449999999999998</v>
      </c>
      <c r="G132" s="179">
        <v>1</v>
      </c>
      <c r="H132" s="101">
        <v>0</v>
      </c>
      <c r="I132" s="101">
        <v>0</v>
      </c>
    </row>
    <row r="133" spans="1:20" s="101" customFormat="1">
      <c r="A133" s="180" t="s">
        <v>6503</v>
      </c>
      <c r="B133" s="179">
        <v>5</v>
      </c>
      <c r="C133" s="179">
        <v>1.8</v>
      </c>
      <c r="D133" s="179">
        <v>5</v>
      </c>
      <c r="E133" s="179">
        <v>5</v>
      </c>
      <c r="F133" s="179">
        <f>8.7*0.47</f>
        <v>4.0889999999999995</v>
      </c>
      <c r="G133" s="179">
        <v>1</v>
      </c>
      <c r="H133" s="101">
        <v>0</v>
      </c>
      <c r="I133" s="101">
        <v>0</v>
      </c>
    </row>
    <row r="134" spans="1:20" s="101" customFormat="1">
      <c r="A134" s="180" t="s">
        <v>6502</v>
      </c>
      <c r="B134" s="179">
        <v>5</v>
      </c>
      <c r="C134" s="179">
        <v>1.8</v>
      </c>
      <c r="D134" s="179">
        <v>5</v>
      </c>
      <c r="E134" s="179">
        <v>5</v>
      </c>
      <c r="F134" s="179">
        <f>8.7*0.47</f>
        <v>4.0889999999999995</v>
      </c>
      <c r="G134" s="179">
        <v>1</v>
      </c>
      <c r="H134" s="101">
        <v>0</v>
      </c>
      <c r="I134" s="101">
        <v>0</v>
      </c>
    </row>
    <row r="135" spans="1:20" s="101" customFormat="1">
      <c r="A135" s="180" t="s">
        <v>313</v>
      </c>
      <c r="B135" s="179">
        <v>5</v>
      </c>
      <c r="C135" s="179">
        <v>1.8</v>
      </c>
      <c r="D135" s="179">
        <v>5</v>
      </c>
      <c r="E135" s="179">
        <v>5</v>
      </c>
      <c r="F135" s="179">
        <f>8.7*0.47</f>
        <v>4.0889999999999995</v>
      </c>
      <c r="G135" s="179">
        <v>1</v>
      </c>
      <c r="H135" s="101">
        <v>0</v>
      </c>
      <c r="I135" s="101">
        <v>0</v>
      </c>
    </row>
    <row r="136" spans="1:20" s="101" customFormat="1">
      <c r="A136" s="180" t="s">
        <v>311</v>
      </c>
      <c r="B136" s="179">
        <v>5</v>
      </c>
      <c r="C136" s="179">
        <v>2.6</v>
      </c>
      <c r="D136" s="179">
        <v>5</v>
      </c>
      <c r="E136" s="179">
        <v>5</v>
      </c>
      <c r="F136" s="179">
        <f>16.1*0.47</f>
        <v>7.5670000000000002</v>
      </c>
      <c r="G136" s="179">
        <v>1</v>
      </c>
      <c r="H136" s="101">
        <v>0</v>
      </c>
      <c r="I136" s="101">
        <v>0</v>
      </c>
    </row>
    <row r="137" spans="1:20" s="101" customFormat="1">
      <c r="A137" s="180" t="s">
        <v>310</v>
      </c>
      <c r="B137" s="179">
        <v>5</v>
      </c>
      <c r="C137" s="179">
        <v>10</v>
      </c>
      <c r="D137" s="179">
        <v>5</v>
      </c>
      <c r="E137" s="179">
        <v>5</v>
      </c>
      <c r="F137" s="179">
        <f>F136</f>
        <v>7.5670000000000002</v>
      </c>
      <c r="G137" s="179">
        <v>1</v>
      </c>
      <c r="H137" s="101">
        <v>0</v>
      </c>
      <c r="I137" s="101">
        <v>0</v>
      </c>
    </row>
    <row r="138" spans="1:20" s="17" customFormat="1" ht="12.75" customHeight="1">
      <c r="A138" s="97" t="s">
        <v>572</v>
      </c>
      <c r="B138" s="65"/>
      <c r="C138" s="65"/>
      <c r="D138" s="65"/>
      <c r="E138" s="65"/>
      <c r="F138" s="97"/>
      <c r="G138" s="65"/>
      <c r="I138" s="85"/>
    </row>
    <row r="139" spans="1:20" s="17" customFormat="1" ht="12.75" customHeight="1">
      <c r="A139" s="97" t="s">
        <v>568</v>
      </c>
      <c r="B139" s="184" t="s">
        <v>574</v>
      </c>
      <c r="C139" s="184"/>
      <c r="D139" s="184"/>
      <c r="E139" s="184"/>
      <c r="F139" s="185"/>
      <c r="G139" s="184"/>
      <c r="H139" s="13"/>
      <c r="I139" s="186"/>
      <c r="J139" s="13"/>
      <c r="K139" s="13"/>
      <c r="L139" s="13"/>
      <c r="M139" s="13"/>
      <c r="N139" s="13"/>
      <c r="O139" s="13"/>
      <c r="P139" s="13"/>
      <c r="Q139" s="13"/>
      <c r="R139" s="13"/>
      <c r="S139" s="13"/>
      <c r="T139" s="13"/>
    </row>
    <row r="140" spans="1:20" s="64" customFormat="1">
      <c r="A140" s="64" t="s">
        <v>461</v>
      </c>
      <c r="B140" s="127" t="s">
        <v>573</v>
      </c>
      <c r="C140" s="127"/>
      <c r="D140" s="127"/>
      <c r="E140" s="127"/>
      <c r="F140" s="127"/>
      <c r="G140" s="127"/>
      <c r="H140" s="127"/>
      <c r="I140" s="127"/>
      <c r="J140" s="127"/>
      <c r="K140" s="127"/>
      <c r="L140" s="127"/>
      <c r="M140" s="127"/>
      <c r="N140" s="127"/>
      <c r="O140" s="127"/>
      <c r="P140" s="127"/>
      <c r="Q140" s="127"/>
      <c r="R140" s="127"/>
      <c r="S140" s="187"/>
      <c r="T140" s="187"/>
    </row>
    <row r="141" spans="1:20" s="101" customFormat="1">
      <c r="A141" s="99" t="s">
        <v>318</v>
      </c>
      <c r="B141" s="179">
        <v>2.1</v>
      </c>
      <c r="C141" s="179"/>
      <c r="D141" s="179"/>
      <c r="E141" s="179"/>
      <c r="F141" s="179"/>
      <c r="G141" s="179"/>
      <c r="H141" s="179"/>
      <c r="I141" s="179"/>
      <c r="J141" s="179"/>
      <c r="K141" s="179"/>
      <c r="L141" s="179"/>
      <c r="M141" s="179"/>
      <c r="N141" s="179"/>
      <c r="O141" s="179"/>
      <c r="P141" s="179"/>
      <c r="Q141" s="179"/>
      <c r="R141" s="179"/>
    </row>
    <row r="142" spans="1:20" s="101" customFormat="1">
      <c r="A142" s="99" t="s">
        <v>317</v>
      </c>
      <c r="B142" s="179">
        <v>2.1</v>
      </c>
      <c r="C142" s="179"/>
      <c r="D142" s="179"/>
      <c r="E142" s="179"/>
      <c r="F142" s="179"/>
      <c r="G142" s="179"/>
      <c r="H142" s="179"/>
      <c r="I142" s="179"/>
      <c r="J142" s="179"/>
      <c r="K142" s="179"/>
      <c r="L142" s="179"/>
      <c r="M142" s="179"/>
      <c r="N142" s="179"/>
      <c r="O142" s="179"/>
      <c r="P142" s="179"/>
      <c r="Q142" s="179"/>
      <c r="R142" s="179"/>
    </row>
    <row r="143" spans="1:20" s="101" customFormat="1">
      <c r="A143" s="180" t="s">
        <v>315</v>
      </c>
      <c r="B143" s="179">
        <v>2.1</v>
      </c>
      <c r="C143" s="179"/>
      <c r="D143" s="179"/>
      <c r="E143" s="179"/>
      <c r="F143" s="179"/>
      <c r="G143" s="179"/>
      <c r="H143" s="179"/>
      <c r="I143" s="179"/>
      <c r="J143" s="179"/>
      <c r="K143" s="179"/>
      <c r="L143" s="179"/>
      <c r="M143" s="179"/>
      <c r="N143" s="179"/>
      <c r="O143" s="179"/>
      <c r="P143" s="179"/>
      <c r="Q143" s="179"/>
      <c r="R143" s="179"/>
    </row>
    <row r="144" spans="1:20" s="101" customFormat="1">
      <c r="A144" s="180" t="s">
        <v>316</v>
      </c>
      <c r="B144" s="179">
        <v>2.1</v>
      </c>
      <c r="C144" s="179"/>
      <c r="D144" s="179"/>
      <c r="E144" s="179"/>
      <c r="F144" s="179"/>
      <c r="G144" s="179"/>
      <c r="H144" s="179"/>
      <c r="I144" s="179"/>
      <c r="J144" s="179"/>
      <c r="K144" s="179"/>
      <c r="L144" s="179"/>
      <c r="M144" s="179"/>
      <c r="N144" s="179"/>
      <c r="O144" s="179"/>
      <c r="P144" s="179"/>
      <c r="Q144" s="179"/>
      <c r="R144" s="179"/>
    </row>
    <row r="145" spans="1:18" s="101" customFormat="1">
      <c r="A145" s="180" t="s">
        <v>314</v>
      </c>
      <c r="B145" s="179">
        <v>2.1</v>
      </c>
      <c r="C145" s="179"/>
      <c r="D145" s="179"/>
      <c r="E145" s="179"/>
      <c r="F145" s="179"/>
      <c r="G145" s="179"/>
      <c r="H145" s="179"/>
      <c r="I145" s="179"/>
      <c r="J145" s="179"/>
      <c r="K145" s="179"/>
      <c r="L145" s="179"/>
      <c r="M145" s="179"/>
      <c r="N145" s="179"/>
      <c r="O145" s="179"/>
      <c r="P145" s="179"/>
      <c r="Q145" s="179"/>
      <c r="R145" s="179"/>
    </row>
    <row r="146" spans="1:18" s="101" customFormat="1">
      <c r="A146" s="180" t="s">
        <v>466</v>
      </c>
      <c r="B146" s="179">
        <v>2.1</v>
      </c>
      <c r="C146" s="179"/>
      <c r="D146" s="179"/>
      <c r="E146" s="179"/>
      <c r="F146" s="179"/>
      <c r="G146" s="179"/>
      <c r="H146" s="179"/>
      <c r="I146" s="179"/>
      <c r="J146" s="179"/>
      <c r="K146" s="179"/>
      <c r="L146" s="179"/>
      <c r="M146" s="179"/>
      <c r="N146" s="179"/>
      <c r="O146" s="179"/>
      <c r="P146" s="179"/>
      <c r="Q146" s="179"/>
      <c r="R146" s="179"/>
    </row>
    <row r="147" spans="1:18" s="101" customFormat="1">
      <c r="A147" s="180" t="s">
        <v>6503</v>
      </c>
      <c r="B147" s="179">
        <v>1.8</v>
      </c>
      <c r="C147" s="179"/>
      <c r="D147" s="179"/>
      <c r="E147" s="179"/>
      <c r="F147" s="179"/>
      <c r="G147" s="179"/>
      <c r="H147" s="179"/>
      <c r="I147" s="179"/>
      <c r="J147" s="179"/>
      <c r="K147" s="179"/>
      <c r="L147" s="179"/>
      <c r="M147" s="179"/>
      <c r="N147" s="179"/>
      <c r="O147" s="179"/>
      <c r="P147" s="179"/>
      <c r="Q147" s="179"/>
      <c r="R147" s="179"/>
    </row>
    <row r="148" spans="1:18" s="101" customFormat="1">
      <c r="A148" s="180" t="s">
        <v>6502</v>
      </c>
      <c r="B148" s="179">
        <v>1.8</v>
      </c>
      <c r="C148" s="179"/>
      <c r="D148" s="179"/>
      <c r="E148" s="179"/>
      <c r="F148" s="179"/>
      <c r="G148" s="179"/>
      <c r="H148" s="179"/>
      <c r="I148" s="179"/>
      <c r="J148" s="179"/>
      <c r="K148" s="179"/>
      <c r="L148" s="179"/>
      <c r="M148" s="179"/>
      <c r="N148" s="179"/>
      <c r="O148" s="179"/>
      <c r="P148" s="179"/>
      <c r="Q148" s="179"/>
      <c r="R148" s="179"/>
    </row>
    <row r="149" spans="1:18" s="101" customFormat="1">
      <c r="A149" s="180" t="s">
        <v>313</v>
      </c>
      <c r="B149" s="179">
        <v>1.8</v>
      </c>
      <c r="C149" s="179"/>
      <c r="D149" s="179"/>
      <c r="E149" s="179"/>
      <c r="F149" s="179"/>
      <c r="G149" s="179"/>
      <c r="H149" s="179"/>
      <c r="I149" s="179"/>
      <c r="J149" s="179"/>
      <c r="K149" s="179"/>
      <c r="L149" s="179"/>
      <c r="M149" s="179"/>
      <c r="N149" s="179"/>
      <c r="O149" s="179"/>
      <c r="P149" s="179"/>
      <c r="Q149" s="179"/>
      <c r="R149" s="179"/>
    </row>
    <row r="150" spans="1:18" s="101" customFormat="1">
      <c r="A150" s="180" t="s">
        <v>311</v>
      </c>
      <c r="B150" s="179">
        <v>2.6</v>
      </c>
      <c r="C150" s="179"/>
      <c r="D150" s="179"/>
      <c r="E150" s="179"/>
      <c r="F150" s="179"/>
      <c r="G150" s="179"/>
      <c r="H150" s="179"/>
      <c r="I150" s="179"/>
      <c r="J150" s="179"/>
      <c r="K150" s="179"/>
      <c r="L150" s="179"/>
      <c r="M150" s="179"/>
      <c r="N150" s="179"/>
      <c r="O150" s="179"/>
      <c r="P150" s="179"/>
      <c r="Q150" s="179"/>
      <c r="R150" s="179"/>
    </row>
    <row r="151" spans="1:18" s="101" customFormat="1">
      <c r="A151" s="180" t="s">
        <v>310</v>
      </c>
      <c r="B151" s="179">
        <v>10</v>
      </c>
      <c r="C151" s="179"/>
      <c r="D151" s="179"/>
      <c r="E151" s="179"/>
      <c r="F151" s="179"/>
      <c r="G151" s="179"/>
      <c r="H151" s="179"/>
      <c r="I151" s="179"/>
      <c r="J151" s="179"/>
      <c r="K151" s="179"/>
      <c r="L151" s="179"/>
      <c r="M151" s="179"/>
      <c r="N151" s="179"/>
      <c r="O151" s="179"/>
      <c r="P151" s="179"/>
      <c r="Q151" s="179"/>
      <c r="R151" s="179"/>
    </row>
    <row r="152" spans="1:18" s="85" customFormat="1">
      <c r="A152" s="16" t="s">
        <v>458</v>
      </c>
      <c r="B152" s="84"/>
      <c r="C152" s="84"/>
      <c r="D152" s="84"/>
      <c r="G152" s="84"/>
    </row>
    <row r="153" spans="1:18" s="68" customFormat="1">
      <c r="A153" s="68" t="s">
        <v>532</v>
      </c>
      <c r="B153" s="68" t="s">
        <v>531</v>
      </c>
      <c r="C153" s="64"/>
      <c r="D153" s="64"/>
      <c r="G153" s="64"/>
      <c r="H153" s="119" t="s">
        <v>508</v>
      </c>
      <c r="I153" s="103"/>
    </row>
    <row r="154" spans="1:18" s="68" customFormat="1">
      <c r="C154" s="64"/>
      <c r="D154" s="64"/>
      <c r="G154" s="64"/>
      <c r="I154" s="103"/>
    </row>
    <row r="155" spans="1:18" s="17" customFormat="1">
      <c r="A155" s="64" t="s">
        <v>461</v>
      </c>
      <c r="B155" s="30" t="s">
        <v>661</v>
      </c>
      <c r="C155" s="17" t="s">
        <v>658</v>
      </c>
      <c r="D155" s="17" t="s">
        <v>1608</v>
      </c>
      <c r="E155" s="17" t="s">
        <v>659</v>
      </c>
      <c r="F155" s="17" t="s">
        <v>329</v>
      </c>
      <c r="G155" s="17" t="s">
        <v>1187</v>
      </c>
      <c r="H155" s="64" t="s">
        <v>127</v>
      </c>
      <c r="I155" s="64" t="s">
        <v>128</v>
      </c>
    </row>
    <row r="156" spans="1:18" s="12" customFormat="1">
      <c r="A156" s="967" t="str">
        <f>A126</f>
        <v>Please select</v>
      </c>
      <c r="B156" s="86"/>
      <c r="H156" s="86"/>
    </row>
    <row r="157" spans="1:18" s="101" customFormat="1">
      <c r="A157" s="99" t="s">
        <v>318</v>
      </c>
      <c r="B157" s="179">
        <f>0.8</f>
        <v>0.8</v>
      </c>
      <c r="C157" s="179">
        <v>1</v>
      </c>
      <c r="D157" s="179">
        <v>1.1000000000000001</v>
      </c>
      <c r="E157" s="179">
        <v>0.93</v>
      </c>
      <c r="F157" s="179">
        <v>1</v>
      </c>
      <c r="G157" s="179">
        <f>0.5*B157</f>
        <v>0.4</v>
      </c>
      <c r="H157" s="179">
        <v>1</v>
      </c>
      <c r="I157" s="179">
        <f>G157</f>
        <v>0.4</v>
      </c>
      <c r="J157" s="179"/>
    </row>
    <row r="158" spans="1:18" s="101" customFormat="1">
      <c r="A158" s="99" t="s">
        <v>317</v>
      </c>
      <c r="B158" s="179">
        <v>0.69</v>
      </c>
      <c r="C158" s="179">
        <v>1</v>
      </c>
      <c r="D158" s="179">
        <v>1.1000000000000001</v>
      </c>
      <c r="E158" s="179">
        <v>0.82</v>
      </c>
      <c r="F158" s="179">
        <v>1</v>
      </c>
      <c r="G158" s="179">
        <f t="shared" ref="G158:G167" si="3">0.5*B158</f>
        <v>0.34499999999999997</v>
      </c>
      <c r="H158" s="179">
        <v>1</v>
      </c>
      <c r="I158" s="179">
        <f t="shared" ref="I158:I167" si="4">G158</f>
        <v>0.34499999999999997</v>
      </c>
    </row>
    <row r="159" spans="1:18" s="101" customFormat="1">
      <c r="A159" s="180" t="s">
        <v>315</v>
      </c>
      <c r="B159" s="179">
        <v>0.8</v>
      </c>
      <c r="C159" s="179">
        <v>1</v>
      </c>
      <c r="D159" s="179">
        <v>1.1000000000000001</v>
      </c>
      <c r="E159" s="179">
        <v>0.93</v>
      </c>
      <c r="F159" s="179">
        <v>1</v>
      </c>
      <c r="G159" s="179">
        <f t="shared" si="3"/>
        <v>0.4</v>
      </c>
      <c r="H159" s="179">
        <v>1</v>
      </c>
      <c r="I159" s="179">
        <f t="shared" si="4"/>
        <v>0.4</v>
      </c>
    </row>
    <row r="160" spans="1:18" s="101" customFormat="1">
      <c r="A160" s="180" t="s">
        <v>316</v>
      </c>
      <c r="B160" s="179">
        <v>0.69</v>
      </c>
      <c r="C160" s="179">
        <v>1</v>
      </c>
      <c r="D160" s="179">
        <v>1.1000000000000001</v>
      </c>
      <c r="E160" s="179">
        <v>0.82</v>
      </c>
      <c r="F160" s="179">
        <v>1</v>
      </c>
      <c r="G160" s="179">
        <f t="shared" si="3"/>
        <v>0.34499999999999997</v>
      </c>
      <c r="H160" s="179">
        <v>1</v>
      </c>
      <c r="I160" s="179">
        <f t="shared" si="4"/>
        <v>0.34499999999999997</v>
      </c>
    </row>
    <row r="161" spans="1:14" s="101" customFormat="1">
      <c r="A161" s="180" t="s">
        <v>314</v>
      </c>
      <c r="B161" s="179">
        <v>0.8</v>
      </c>
      <c r="C161" s="179">
        <v>1</v>
      </c>
      <c r="D161" s="179">
        <v>1.1000000000000001</v>
      </c>
      <c r="E161" s="179">
        <v>0.93</v>
      </c>
      <c r="F161" s="179">
        <v>1</v>
      </c>
      <c r="G161" s="179">
        <f t="shared" si="3"/>
        <v>0.4</v>
      </c>
      <c r="H161" s="179">
        <v>1</v>
      </c>
      <c r="I161" s="179">
        <f t="shared" si="4"/>
        <v>0.4</v>
      </c>
    </row>
    <row r="162" spans="1:14" s="101" customFormat="1">
      <c r="A162" s="180" t="s">
        <v>466</v>
      </c>
      <c r="B162" s="179">
        <v>0.69</v>
      </c>
      <c r="C162" s="179">
        <v>1</v>
      </c>
      <c r="D162" s="179">
        <v>1.1000000000000001</v>
      </c>
      <c r="E162" s="179">
        <v>0.82</v>
      </c>
      <c r="F162" s="179">
        <v>1</v>
      </c>
      <c r="G162" s="179">
        <f t="shared" si="3"/>
        <v>0.34499999999999997</v>
      </c>
      <c r="H162" s="179">
        <v>1</v>
      </c>
      <c r="I162" s="179">
        <f t="shared" si="4"/>
        <v>0.34499999999999997</v>
      </c>
    </row>
    <row r="163" spans="1:14" s="101" customFormat="1">
      <c r="A163" s="180" t="s">
        <v>6503</v>
      </c>
      <c r="B163" s="179">
        <v>0.64</v>
      </c>
      <c r="C163" s="179">
        <v>1</v>
      </c>
      <c r="D163" s="179">
        <v>1.1000000000000001</v>
      </c>
      <c r="E163" s="179">
        <v>0.88</v>
      </c>
      <c r="F163" s="179">
        <v>1</v>
      </c>
      <c r="G163" s="179">
        <f t="shared" si="3"/>
        <v>0.32</v>
      </c>
      <c r="H163" s="179">
        <v>1</v>
      </c>
      <c r="I163" s="179">
        <f t="shared" si="4"/>
        <v>0.32</v>
      </c>
    </row>
    <row r="164" spans="1:14" s="101" customFormat="1">
      <c r="A164" s="180" t="s">
        <v>6502</v>
      </c>
      <c r="B164" s="179">
        <v>0.64</v>
      </c>
      <c r="C164" s="179">
        <v>1</v>
      </c>
      <c r="D164" s="179">
        <v>1.1000000000000001</v>
      </c>
      <c r="E164" s="179">
        <v>0.88</v>
      </c>
      <c r="F164" s="179">
        <v>1</v>
      </c>
      <c r="G164" s="179">
        <f t="shared" si="3"/>
        <v>0.32</v>
      </c>
      <c r="H164" s="179">
        <v>1</v>
      </c>
      <c r="I164" s="179">
        <f t="shared" si="4"/>
        <v>0.32</v>
      </c>
    </row>
    <row r="165" spans="1:14" s="101" customFormat="1">
      <c r="A165" s="180" t="s">
        <v>313</v>
      </c>
      <c r="B165" s="179">
        <v>0.57999999999999996</v>
      </c>
      <c r="C165" s="179">
        <v>1</v>
      </c>
      <c r="D165" s="179">
        <v>1.1000000000000001</v>
      </c>
      <c r="E165" s="179">
        <v>0.93</v>
      </c>
      <c r="F165" s="179">
        <v>1</v>
      </c>
      <c r="G165" s="179">
        <f t="shared" si="3"/>
        <v>0.28999999999999998</v>
      </c>
      <c r="H165" s="179">
        <v>1</v>
      </c>
      <c r="I165" s="179">
        <f t="shared" si="4"/>
        <v>0.28999999999999998</v>
      </c>
    </row>
    <row r="166" spans="1:14" s="101" customFormat="1">
      <c r="A166" s="180" t="s">
        <v>311</v>
      </c>
      <c r="B166" s="179">
        <v>0.48</v>
      </c>
      <c r="C166" s="179">
        <v>1</v>
      </c>
      <c r="D166" s="179">
        <v>1.1000000000000001</v>
      </c>
      <c r="E166" s="179">
        <v>0.82</v>
      </c>
      <c r="F166" s="179">
        <v>1</v>
      </c>
      <c r="G166" s="179">
        <f t="shared" si="3"/>
        <v>0.24</v>
      </c>
      <c r="H166" s="179">
        <v>1</v>
      </c>
      <c r="I166" s="179">
        <f t="shared" si="4"/>
        <v>0.24</v>
      </c>
    </row>
    <row r="167" spans="1:14" s="101" customFormat="1">
      <c r="A167" s="180" t="s">
        <v>310</v>
      </c>
      <c r="B167" s="179">
        <v>0.48</v>
      </c>
      <c r="C167" s="179">
        <v>1</v>
      </c>
      <c r="D167" s="179">
        <v>1.1000000000000001</v>
      </c>
      <c r="E167" s="179">
        <v>0.82</v>
      </c>
      <c r="F167" s="179">
        <v>1</v>
      </c>
      <c r="G167" s="179">
        <f t="shared" si="3"/>
        <v>0.24</v>
      </c>
      <c r="H167" s="179">
        <v>1</v>
      </c>
      <c r="I167" s="179">
        <f t="shared" si="4"/>
        <v>0.24</v>
      </c>
    </row>
    <row r="168" spans="1:14" s="16" customFormat="1" ht="12.75" customHeight="1">
      <c r="A168" s="14" t="s">
        <v>1008</v>
      </c>
      <c r="B168" s="98"/>
      <c r="D168" s="330"/>
      <c r="E168" s="98"/>
      <c r="F168" s="98"/>
      <c r="G168" s="75"/>
      <c r="H168" s="14" t="s">
        <v>972</v>
      </c>
    </row>
    <row r="169" spans="1:14" s="68" customFormat="1" ht="12.75" customHeight="1">
      <c r="A169" s="120" t="s">
        <v>475</v>
      </c>
      <c r="B169" s="330" t="s">
        <v>973</v>
      </c>
      <c r="D169" s="83" t="s">
        <v>482</v>
      </c>
      <c r="E169" s="83"/>
      <c r="F169" s="83"/>
      <c r="G169" s="64"/>
      <c r="H169" s="85" t="s">
        <v>489</v>
      </c>
    </row>
    <row r="170" spans="1:14" s="68" customFormat="1" ht="12.75" customHeight="1">
      <c r="A170" s="120" t="s">
        <v>476</v>
      </c>
      <c r="B170" s="83" t="s">
        <v>392</v>
      </c>
      <c r="C170" s="83" t="s">
        <v>393</v>
      </c>
      <c r="D170" s="83" t="s">
        <v>394</v>
      </c>
      <c r="E170" s="83" t="s">
        <v>395</v>
      </c>
      <c r="F170" s="83" t="s">
        <v>396</v>
      </c>
      <c r="G170" s="980" t="str">
        <f>G8</f>
        <v>Please specify the climate</v>
      </c>
      <c r="H170" s="64" t="s">
        <v>485</v>
      </c>
      <c r="I170" s="83" t="s">
        <v>392</v>
      </c>
      <c r="J170" s="83" t="s">
        <v>393</v>
      </c>
      <c r="K170" s="83" t="s">
        <v>394</v>
      </c>
      <c r="L170" s="83" t="s">
        <v>395</v>
      </c>
      <c r="M170" s="83" t="s">
        <v>396</v>
      </c>
      <c r="N170" s="977" t="str">
        <f>G170</f>
        <v>Please specify the climate</v>
      </c>
    </row>
    <row r="171" spans="1:14" s="959" customFormat="1" ht="12.75" customHeight="1">
      <c r="A171" s="957" t="str">
        <f>List!A6</f>
        <v>Please select</v>
      </c>
      <c r="B171" s="958"/>
      <c r="C171" s="958"/>
      <c r="D171" s="958"/>
      <c r="E171" s="958"/>
      <c r="F171" s="958"/>
      <c r="G171" s="958"/>
      <c r="H171" s="61" t="str">
        <f>A171</f>
        <v>Please select</v>
      </c>
      <c r="I171" s="958"/>
      <c r="J171" s="958"/>
      <c r="K171" s="958"/>
      <c r="L171" s="958"/>
      <c r="M171" s="958"/>
    </row>
    <row r="172" spans="1:14" s="94" customFormat="1" ht="12.75" customHeight="1">
      <c r="A172" s="331" t="s">
        <v>297</v>
      </c>
      <c r="B172" s="332">
        <v>10</v>
      </c>
      <c r="C172" s="333">
        <v>5</v>
      </c>
      <c r="D172" s="334">
        <v>4.4000000000000004</v>
      </c>
      <c r="E172" s="333">
        <v>1</v>
      </c>
      <c r="F172" s="332">
        <v>3.5</v>
      </c>
      <c r="G172" s="332"/>
      <c r="H172" s="335" t="s">
        <v>297</v>
      </c>
      <c r="I172" s="94">
        <v>15</v>
      </c>
      <c r="J172" s="336">
        <v>10</v>
      </c>
      <c r="K172" s="94">
        <v>4.4000000000000004</v>
      </c>
      <c r="L172" s="94">
        <v>1</v>
      </c>
      <c r="M172" s="94">
        <v>5</v>
      </c>
    </row>
    <row r="173" spans="1:14" s="94" customFormat="1" ht="12.75" customHeight="1">
      <c r="A173" s="331" t="s">
        <v>298</v>
      </c>
      <c r="B173" s="332">
        <v>7</v>
      </c>
      <c r="C173" s="332">
        <v>9</v>
      </c>
      <c r="D173" s="334">
        <v>4.4000000000000004</v>
      </c>
      <c r="E173" s="332">
        <v>1.1000000000000001</v>
      </c>
      <c r="F173" s="332">
        <v>3</v>
      </c>
      <c r="G173" s="332"/>
      <c r="H173" s="335" t="s">
        <v>298</v>
      </c>
      <c r="I173" s="94">
        <v>15</v>
      </c>
      <c r="J173" s="336">
        <v>10</v>
      </c>
      <c r="K173" s="94">
        <v>4.4000000000000004</v>
      </c>
      <c r="L173" s="94">
        <v>1</v>
      </c>
      <c r="M173" s="94">
        <v>5</v>
      </c>
    </row>
    <row r="174" spans="1:14" s="94" customFormat="1" ht="12.75" customHeight="1">
      <c r="A174" s="331" t="s">
        <v>296</v>
      </c>
      <c r="B174" s="332">
        <v>7</v>
      </c>
      <c r="C174" s="332">
        <v>9</v>
      </c>
      <c r="D174" s="334">
        <v>4.4000000000000004</v>
      </c>
      <c r="E174" s="332">
        <v>1.1000000000000001</v>
      </c>
      <c r="F174" s="332">
        <v>3</v>
      </c>
      <c r="G174" s="332"/>
      <c r="H174" s="335" t="s">
        <v>296</v>
      </c>
      <c r="I174" s="94">
        <v>15</v>
      </c>
      <c r="J174" s="336">
        <v>10</v>
      </c>
      <c r="K174" s="94">
        <v>4.4000000000000004</v>
      </c>
      <c r="L174" s="94">
        <v>1</v>
      </c>
      <c r="M174" s="94">
        <v>5</v>
      </c>
    </row>
    <row r="175" spans="1:14" s="94" customFormat="1" ht="12.75" customHeight="1">
      <c r="A175" s="331" t="s">
        <v>299</v>
      </c>
      <c r="B175" s="332">
        <v>13</v>
      </c>
      <c r="C175" s="332">
        <v>11</v>
      </c>
      <c r="D175" s="334">
        <v>4.4000000000000004</v>
      </c>
      <c r="E175" s="332">
        <v>1.1000000000000001</v>
      </c>
      <c r="F175" s="332">
        <v>7.5</v>
      </c>
      <c r="G175" s="332"/>
      <c r="H175" s="335" t="s">
        <v>299</v>
      </c>
      <c r="I175" s="94">
        <v>15</v>
      </c>
      <c r="J175" s="336">
        <v>10</v>
      </c>
      <c r="K175" s="94">
        <v>4.4000000000000004</v>
      </c>
      <c r="L175" s="94">
        <v>1</v>
      </c>
      <c r="M175" s="94">
        <v>5</v>
      </c>
    </row>
    <row r="176" spans="1:14" s="94" customFormat="1" ht="12.75" customHeight="1">
      <c r="A176" s="331" t="s">
        <v>300</v>
      </c>
      <c r="B176" s="333">
        <v>7</v>
      </c>
      <c r="C176" s="333">
        <v>5</v>
      </c>
      <c r="D176" s="334">
        <v>4.4000000000000004</v>
      </c>
      <c r="E176" s="333">
        <v>1</v>
      </c>
      <c r="F176" s="333">
        <v>1</v>
      </c>
      <c r="G176" s="333"/>
      <c r="H176" s="335" t="s">
        <v>300</v>
      </c>
      <c r="I176" s="94">
        <v>15</v>
      </c>
      <c r="J176" s="336">
        <v>10</v>
      </c>
      <c r="K176" s="94">
        <v>4.4000000000000004</v>
      </c>
      <c r="L176" s="94">
        <v>1</v>
      </c>
      <c r="M176" s="94">
        <v>5</v>
      </c>
    </row>
    <row r="177" spans="1:14" s="94" customFormat="1" ht="12.75" customHeight="1">
      <c r="A177" s="331" t="s">
        <v>301</v>
      </c>
      <c r="B177" s="333">
        <v>7</v>
      </c>
      <c r="C177" s="333">
        <v>5</v>
      </c>
      <c r="D177" s="332">
        <v>2.2999999999999998</v>
      </c>
      <c r="E177" s="332">
        <v>1.1000000000000001</v>
      </c>
      <c r="F177" s="333">
        <v>1</v>
      </c>
      <c r="G177" s="333"/>
      <c r="H177" s="335" t="s">
        <v>301</v>
      </c>
      <c r="I177" s="94">
        <v>15</v>
      </c>
      <c r="J177" s="336">
        <v>10</v>
      </c>
      <c r="K177" s="94">
        <v>4.4000000000000004</v>
      </c>
      <c r="L177" s="94">
        <v>1</v>
      </c>
      <c r="M177" s="94">
        <v>5</v>
      </c>
    </row>
    <row r="178" spans="1:14" s="94" customFormat="1" ht="12.75" customHeight="1">
      <c r="A178" s="331" t="s">
        <v>302</v>
      </c>
      <c r="B178" s="333">
        <v>7</v>
      </c>
      <c r="C178" s="333">
        <v>5</v>
      </c>
      <c r="D178" s="332">
        <v>2.2999999999999998</v>
      </c>
      <c r="E178" s="332">
        <v>1.1000000000000001</v>
      </c>
      <c r="F178" s="333">
        <v>1</v>
      </c>
      <c r="G178" s="333"/>
      <c r="H178" s="335" t="s">
        <v>302</v>
      </c>
      <c r="I178" s="94">
        <v>15</v>
      </c>
      <c r="J178" s="336">
        <v>10</v>
      </c>
      <c r="K178" s="94">
        <v>4.4000000000000004</v>
      </c>
      <c r="L178" s="94">
        <v>1</v>
      </c>
      <c r="M178" s="94">
        <v>5</v>
      </c>
    </row>
    <row r="179" spans="1:14" s="94" customFormat="1" ht="12.75" customHeight="1">
      <c r="A179" s="331" t="s">
        <v>303</v>
      </c>
      <c r="B179" s="333">
        <v>7</v>
      </c>
      <c r="C179" s="333">
        <v>5</v>
      </c>
      <c r="D179" s="332">
        <v>3.5</v>
      </c>
      <c r="E179" s="333">
        <v>1</v>
      </c>
      <c r="F179" s="333">
        <v>1</v>
      </c>
      <c r="G179" s="333"/>
      <c r="H179" s="335" t="s">
        <v>303</v>
      </c>
      <c r="I179" s="94">
        <v>15</v>
      </c>
      <c r="J179" s="336">
        <v>10</v>
      </c>
      <c r="K179" s="94">
        <v>4.4000000000000004</v>
      </c>
      <c r="L179" s="94">
        <v>1</v>
      </c>
      <c r="M179" s="94">
        <v>5</v>
      </c>
    </row>
    <row r="180" spans="1:14" s="94" customFormat="1" ht="12.75" customHeight="1">
      <c r="A180" s="331" t="s">
        <v>304</v>
      </c>
      <c r="B180" s="332">
        <f>18.9/2</f>
        <v>9.4499999999999993</v>
      </c>
      <c r="C180" s="332">
        <v>7</v>
      </c>
      <c r="D180" s="332">
        <v>15</v>
      </c>
      <c r="E180" s="332">
        <v>1.1000000000000001</v>
      </c>
      <c r="F180" s="332">
        <v>3.4</v>
      </c>
      <c r="G180" s="332"/>
      <c r="H180" s="335" t="s">
        <v>304</v>
      </c>
      <c r="I180" s="94">
        <v>15</v>
      </c>
      <c r="J180" s="336">
        <v>10</v>
      </c>
      <c r="K180" s="94">
        <v>4.4000000000000004</v>
      </c>
      <c r="L180" s="94">
        <v>1</v>
      </c>
      <c r="M180" s="94">
        <v>5</v>
      </c>
    </row>
    <row r="181" spans="1:14" s="94" customFormat="1" ht="12.75" customHeight="1">
      <c r="A181" s="331" t="s">
        <v>305</v>
      </c>
      <c r="B181" s="332">
        <v>11</v>
      </c>
      <c r="C181" s="332">
        <v>7</v>
      </c>
      <c r="D181" s="332">
        <f>11.3/2</f>
        <v>5.65</v>
      </c>
      <c r="E181" s="333">
        <v>1</v>
      </c>
      <c r="F181" s="332">
        <v>3.4</v>
      </c>
      <c r="G181" s="332"/>
      <c r="H181" s="335" t="s">
        <v>305</v>
      </c>
      <c r="I181" s="94">
        <v>15</v>
      </c>
      <c r="J181" s="336">
        <v>10</v>
      </c>
      <c r="K181" s="94">
        <v>4.4000000000000004</v>
      </c>
      <c r="L181" s="94">
        <v>1</v>
      </c>
      <c r="M181" s="94">
        <v>5</v>
      </c>
    </row>
    <row r="182" spans="1:14" s="94" customFormat="1" ht="12.75" customHeight="1">
      <c r="A182" s="331" t="s">
        <v>306</v>
      </c>
      <c r="B182" s="332">
        <v>11</v>
      </c>
      <c r="C182" s="332">
        <v>7</v>
      </c>
      <c r="D182" s="337">
        <v>4.4000000000000004</v>
      </c>
      <c r="E182" s="333">
        <v>1</v>
      </c>
      <c r="F182" s="332">
        <v>3.4</v>
      </c>
      <c r="G182" s="332"/>
      <c r="H182" s="335" t="s">
        <v>306</v>
      </c>
      <c r="I182" s="94">
        <v>15</v>
      </c>
      <c r="J182" s="336">
        <v>10</v>
      </c>
      <c r="K182" s="94">
        <v>4.4000000000000004</v>
      </c>
      <c r="L182" s="94">
        <v>1</v>
      </c>
      <c r="M182" s="94">
        <v>5</v>
      </c>
    </row>
    <row r="183" spans="1:14" s="16" customFormat="1" ht="12.75" customHeight="1">
      <c r="A183" s="14" t="s">
        <v>1008</v>
      </c>
      <c r="B183" s="98"/>
      <c r="D183" s="330"/>
      <c r="E183" s="98"/>
      <c r="F183" s="98"/>
      <c r="G183" s="75"/>
      <c r="H183" s="14" t="s">
        <v>972</v>
      </c>
    </row>
    <row r="184" spans="1:14" s="68" customFormat="1" ht="12.75" customHeight="1">
      <c r="A184" s="120" t="s">
        <v>475</v>
      </c>
      <c r="B184" s="330" t="s">
        <v>973</v>
      </c>
      <c r="D184" s="83" t="s">
        <v>482</v>
      </c>
      <c r="E184" s="83"/>
      <c r="F184" s="83"/>
      <c r="G184" s="64"/>
      <c r="H184" s="85" t="s">
        <v>489</v>
      </c>
    </row>
    <row r="185" spans="1:14" s="68" customFormat="1" ht="12.75" customHeight="1">
      <c r="A185" s="120" t="s">
        <v>477</v>
      </c>
      <c r="B185" s="83" t="s">
        <v>397</v>
      </c>
      <c r="C185" s="83" t="s">
        <v>398</v>
      </c>
      <c r="D185" s="83" t="s">
        <v>399</v>
      </c>
      <c r="E185" s="83" t="s">
        <v>400</v>
      </c>
      <c r="F185" s="83" t="str">
        <f>""</f>
        <v/>
      </c>
      <c r="G185" s="980" t="str">
        <f>G170</f>
        <v>Please specify the climate</v>
      </c>
      <c r="H185" s="64" t="s">
        <v>486</v>
      </c>
      <c r="I185" s="83" t="s">
        <v>397</v>
      </c>
      <c r="J185" s="83" t="s">
        <v>398</v>
      </c>
      <c r="K185" s="83" t="s">
        <v>399</v>
      </c>
      <c r="L185" s="83" t="s">
        <v>400</v>
      </c>
      <c r="M185" s="83" t="str">
        <f>""</f>
        <v/>
      </c>
      <c r="N185" s="977" t="str">
        <f>N170</f>
        <v>Please specify the climate</v>
      </c>
    </row>
    <row r="186" spans="1:14" s="959" customFormat="1" ht="12.75" customHeight="1">
      <c r="A186" s="957" t="str">
        <f>List!A6</f>
        <v>Please select</v>
      </c>
      <c r="B186" s="958"/>
      <c r="C186" s="958"/>
      <c r="D186" s="958"/>
      <c r="E186" s="958"/>
      <c r="F186" s="958"/>
      <c r="G186" s="958"/>
      <c r="H186" s="61" t="str">
        <f>A186</f>
        <v>Please select</v>
      </c>
      <c r="I186" s="958"/>
      <c r="J186" s="958"/>
      <c r="K186" s="958"/>
      <c r="L186" s="958"/>
      <c r="M186" s="958"/>
    </row>
    <row r="187" spans="1:14" s="94" customFormat="1" ht="12.75" customHeight="1">
      <c r="A187" s="331" t="s">
        <v>297</v>
      </c>
      <c r="B187" s="332">
        <v>5</v>
      </c>
      <c r="C187" s="332">
        <v>2.4</v>
      </c>
      <c r="D187" s="334">
        <v>4</v>
      </c>
      <c r="E187" s="333">
        <v>0.4</v>
      </c>
      <c r="F187" s="333"/>
      <c r="G187" s="333"/>
      <c r="H187" s="335" t="s">
        <v>297</v>
      </c>
      <c r="I187" s="94">
        <v>10</v>
      </c>
      <c r="J187" s="336">
        <v>8</v>
      </c>
      <c r="K187" s="94">
        <v>4</v>
      </c>
      <c r="L187" s="94">
        <v>0.4</v>
      </c>
    </row>
    <row r="188" spans="1:14" s="94" customFormat="1" ht="12.75" customHeight="1">
      <c r="A188" s="331" t="s">
        <v>298</v>
      </c>
      <c r="B188" s="332">
        <v>9</v>
      </c>
      <c r="C188" s="332">
        <v>6</v>
      </c>
      <c r="D188" s="332">
        <v>4</v>
      </c>
      <c r="E188" s="332">
        <v>0.4</v>
      </c>
      <c r="F188" s="333"/>
      <c r="G188" s="333"/>
      <c r="H188" s="335" t="s">
        <v>298</v>
      </c>
      <c r="I188" s="94">
        <v>10</v>
      </c>
      <c r="J188" s="336">
        <v>8</v>
      </c>
      <c r="K188" s="94">
        <v>4</v>
      </c>
      <c r="L188" s="94">
        <v>0.4</v>
      </c>
    </row>
    <row r="189" spans="1:14" s="94" customFormat="1" ht="12.75" customHeight="1">
      <c r="A189" s="331" t="s">
        <v>296</v>
      </c>
      <c r="B189" s="332">
        <v>9</v>
      </c>
      <c r="C189" s="332">
        <v>6</v>
      </c>
      <c r="D189" s="332">
        <v>4</v>
      </c>
      <c r="E189" s="332">
        <v>0.4</v>
      </c>
      <c r="F189" s="333"/>
      <c r="G189" s="333"/>
      <c r="H189" s="335" t="s">
        <v>296</v>
      </c>
      <c r="I189" s="94">
        <v>10</v>
      </c>
      <c r="J189" s="336">
        <v>8</v>
      </c>
      <c r="K189" s="94">
        <v>4</v>
      </c>
      <c r="L189" s="94">
        <v>0.4</v>
      </c>
    </row>
    <row r="190" spans="1:14" s="94" customFormat="1" ht="12.75" customHeight="1">
      <c r="A190" s="331" t="s">
        <v>299</v>
      </c>
      <c r="B190" s="332">
        <v>11</v>
      </c>
      <c r="C190" s="332">
        <v>7</v>
      </c>
      <c r="D190" s="332">
        <v>4</v>
      </c>
      <c r="E190" s="332">
        <v>0.4</v>
      </c>
      <c r="F190" s="333"/>
      <c r="G190" s="333"/>
      <c r="H190" s="335" t="s">
        <v>299</v>
      </c>
      <c r="I190" s="94">
        <v>10</v>
      </c>
      <c r="J190" s="336">
        <v>8</v>
      </c>
      <c r="K190" s="94">
        <v>4</v>
      </c>
      <c r="L190" s="94">
        <v>0.4</v>
      </c>
    </row>
    <row r="191" spans="1:14" s="94" customFormat="1" ht="12.75" customHeight="1">
      <c r="A191" s="331" t="s">
        <v>300</v>
      </c>
      <c r="B191" s="333">
        <v>5</v>
      </c>
      <c r="C191" s="333">
        <v>2.4</v>
      </c>
      <c r="D191" s="334">
        <v>4</v>
      </c>
      <c r="E191" s="333">
        <v>0.4</v>
      </c>
      <c r="F191" s="333"/>
      <c r="G191" s="333"/>
      <c r="H191" s="335" t="s">
        <v>300</v>
      </c>
      <c r="I191" s="94">
        <v>10</v>
      </c>
      <c r="J191" s="336">
        <v>8</v>
      </c>
      <c r="K191" s="94">
        <v>4</v>
      </c>
      <c r="L191" s="94">
        <v>0.4</v>
      </c>
    </row>
    <row r="192" spans="1:14" s="94" customFormat="1" ht="12.75" customHeight="1">
      <c r="A192" s="331" t="s">
        <v>301</v>
      </c>
      <c r="B192" s="333">
        <v>5</v>
      </c>
      <c r="C192" s="333">
        <v>2.4</v>
      </c>
      <c r="D192" s="332">
        <v>4</v>
      </c>
      <c r="E192" s="332">
        <v>0.4</v>
      </c>
      <c r="F192" s="333"/>
      <c r="G192" s="333"/>
      <c r="H192" s="335" t="s">
        <v>301</v>
      </c>
      <c r="I192" s="94">
        <v>10</v>
      </c>
      <c r="J192" s="336">
        <v>8</v>
      </c>
      <c r="K192" s="94">
        <v>4</v>
      </c>
      <c r="L192" s="94">
        <v>0.4</v>
      </c>
    </row>
    <row r="193" spans="1:14" s="94" customFormat="1" ht="12.75" customHeight="1">
      <c r="A193" s="331" t="s">
        <v>302</v>
      </c>
      <c r="B193" s="333">
        <v>5</v>
      </c>
      <c r="C193" s="333">
        <v>2.4</v>
      </c>
      <c r="D193" s="332">
        <v>4</v>
      </c>
      <c r="E193" s="332">
        <v>0.4</v>
      </c>
      <c r="F193" s="333"/>
      <c r="G193" s="333"/>
      <c r="H193" s="335" t="s">
        <v>302</v>
      </c>
      <c r="I193" s="94">
        <v>10</v>
      </c>
      <c r="J193" s="336">
        <v>8</v>
      </c>
      <c r="K193" s="94">
        <v>4</v>
      </c>
      <c r="L193" s="94">
        <v>0.4</v>
      </c>
    </row>
    <row r="194" spans="1:14" s="94" customFormat="1" ht="12.75" customHeight="1">
      <c r="A194" s="331" t="s">
        <v>303</v>
      </c>
      <c r="B194" s="333">
        <v>5</v>
      </c>
      <c r="C194" s="333">
        <v>2.4</v>
      </c>
      <c r="D194" s="334">
        <v>4</v>
      </c>
      <c r="E194" s="333">
        <v>0.4</v>
      </c>
      <c r="F194" s="333"/>
      <c r="G194" s="333"/>
      <c r="H194" s="335" t="s">
        <v>303</v>
      </c>
      <c r="I194" s="94">
        <v>10</v>
      </c>
      <c r="J194" s="336">
        <v>8</v>
      </c>
      <c r="K194" s="94">
        <v>4</v>
      </c>
      <c r="L194" s="94">
        <v>0.4</v>
      </c>
    </row>
    <row r="195" spans="1:14" s="94" customFormat="1" ht="12.75" customHeight="1">
      <c r="A195" s="331" t="s">
        <v>304</v>
      </c>
      <c r="B195" s="332">
        <v>7</v>
      </c>
      <c r="C195" s="332">
        <v>4</v>
      </c>
      <c r="D195" s="332">
        <v>4</v>
      </c>
      <c r="E195" s="332">
        <v>0.4</v>
      </c>
      <c r="F195" s="333"/>
      <c r="G195" s="333"/>
      <c r="H195" s="335" t="s">
        <v>304</v>
      </c>
      <c r="I195" s="94">
        <v>10</v>
      </c>
      <c r="J195" s="336">
        <v>8</v>
      </c>
      <c r="K195" s="94">
        <v>4</v>
      </c>
      <c r="L195" s="94">
        <v>0.4</v>
      </c>
    </row>
    <row r="196" spans="1:14" s="94" customFormat="1" ht="12.75" customHeight="1">
      <c r="A196" s="331" t="s">
        <v>305</v>
      </c>
      <c r="B196" s="332">
        <v>7</v>
      </c>
      <c r="C196" s="332">
        <v>4</v>
      </c>
      <c r="D196" s="337">
        <v>4</v>
      </c>
      <c r="E196" s="333">
        <v>0.4</v>
      </c>
      <c r="F196" s="333"/>
      <c r="G196" s="333"/>
      <c r="H196" s="335" t="s">
        <v>305</v>
      </c>
      <c r="I196" s="94">
        <v>10</v>
      </c>
      <c r="J196" s="336">
        <v>8</v>
      </c>
      <c r="K196" s="94">
        <v>4</v>
      </c>
      <c r="L196" s="94">
        <v>0.4</v>
      </c>
    </row>
    <row r="197" spans="1:14" s="94" customFormat="1" ht="12.75" customHeight="1">
      <c r="A197" s="331" t="s">
        <v>306</v>
      </c>
      <c r="B197" s="332">
        <v>7</v>
      </c>
      <c r="C197" s="332">
        <v>4</v>
      </c>
      <c r="D197" s="337">
        <v>4</v>
      </c>
      <c r="E197" s="333">
        <v>0.4</v>
      </c>
      <c r="F197" s="333"/>
      <c r="G197" s="333"/>
      <c r="H197" s="335" t="s">
        <v>306</v>
      </c>
      <c r="I197" s="94">
        <v>10</v>
      </c>
      <c r="J197" s="336">
        <v>8</v>
      </c>
      <c r="K197" s="94">
        <v>4</v>
      </c>
      <c r="L197" s="94">
        <v>0.4</v>
      </c>
    </row>
    <row r="198" spans="1:14" s="16" customFormat="1" ht="12.75" customHeight="1">
      <c r="A198" s="14" t="s">
        <v>1008</v>
      </c>
      <c r="B198" s="98"/>
      <c r="D198" s="330"/>
      <c r="E198" s="98"/>
      <c r="F198" s="98"/>
      <c r="G198" s="75"/>
      <c r="H198" s="14" t="s">
        <v>972</v>
      </c>
    </row>
    <row r="199" spans="1:14" s="68" customFormat="1" ht="12.75" customHeight="1">
      <c r="A199" s="120" t="s">
        <v>475</v>
      </c>
      <c r="B199" s="330" t="s">
        <v>973</v>
      </c>
      <c r="D199" s="83" t="s">
        <v>482</v>
      </c>
      <c r="E199" s="83"/>
      <c r="F199" s="83"/>
      <c r="G199" s="64"/>
      <c r="H199" s="85" t="s">
        <v>489</v>
      </c>
    </row>
    <row r="200" spans="1:14" s="68" customFormat="1" ht="12.75" customHeight="1">
      <c r="A200" s="120" t="s">
        <v>478</v>
      </c>
      <c r="B200" s="83" t="s">
        <v>401</v>
      </c>
      <c r="C200" s="83" t="s">
        <v>402</v>
      </c>
      <c r="D200" s="83" t="s">
        <v>403</v>
      </c>
      <c r="E200" s="83" t="s">
        <v>404</v>
      </c>
      <c r="F200" s="83" t="str">
        <f>""</f>
        <v/>
      </c>
      <c r="G200" s="980" t="str">
        <f>G185</f>
        <v>Please specify the climate</v>
      </c>
      <c r="H200" s="64" t="s">
        <v>487</v>
      </c>
      <c r="I200" s="83" t="s">
        <v>401</v>
      </c>
      <c r="J200" s="83" t="s">
        <v>402</v>
      </c>
      <c r="K200" s="83" t="s">
        <v>403</v>
      </c>
      <c r="L200" s="83" t="s">
        <v>404</v>
      </c>
      <c r="M200" s="83" t="str">
        <f>""</f>
        <v/>
      </c>
      <c r="N200" s="977" t="str">
        <f>N185</f>
        <v>Please specify the climate</v>
      </c>
    </row>
    <row r="201" spans="1:14" s="959" customFormat="1" ht="12.75" customHeight="1">
      <c r="A201" s="957" t="str">
        <f>List!A6</f>
        <v>Please select</v>
      </c>
      <c r="B201" s="958"/>
      <c r="C201" s="958"/>
      <c r="D201" s="958"/>
      <c r="E201" s="958"/>
      <c r="F201" s="958"/>
      <c r="G201" s="958"/>
      <c r="H201" s="61" t="str">
        <f>A201</f>
        <v>Please select</v>
      </c>
      <c r="I201" s="958"/>
      <c r="J201" s="958"/>
      <c r="K201" s="958"/>
      <c r="L201" s="958"/>
      <c r="M201" s="958"/>
    </row>
    <row r="202" spans="1:14" s="94" customFormat="1" ht="12.75" customHeight="1">
      <c r="A202" s="331" t="s">
        <v>297</v>
      </c>
      <c r="B202" s="332">
        <v>2.4</v>
      </c>
      <c r="C202" s="332">
        <v>1.2</v>
      </c>
      <c r="D202" s="334">
        <v>3</v>
      </c>
      <c r="E202" s="333">
        <v>1</v>
      </c>
      <c r="F202" s="333"/>
      <c r="G202" s="333"/>
      <c r="H202" s="335" t="s">
        <v>297</v>
      </c>
      <c r="I202" s="94">
        <v>8</v>
      </c>
      <c r="J202" s="336">
        <v>5</v>
      </c>
      <c r="K202" s="94">
        <v>3</v>
      </c>
      <c r="L202" s="94">
        <v>1</v>
      </c>
    </row>
    <row r="203" spans="1:14" s="94" customFormat="1" ht="12.75" customHeight="1">
      <c r="A203" s="331" t="s">
        <v>298</v>
      </c>
      <c r="B203" s="332">
        <v>6</v>
      </c>
      <c r="C203" s="332">
        <v>5</v>
      </c>
      <c r="D203" s="332">
        <v>3</v>
      </c>
      <c r="E203" s="332">
        <v>1.05</v>
      </c>
      <c r="F203" s="333"/>
      <c r="G203" s="333"/>
      <c r="H203" s="335" t="s">
        <v>298</v>
      </c>
      <c r="I203" s="94">
        <v>8</v>
      </c>
      <c r="J203" s="336">
        <v>5</v>
      </c>
      <c r="K203" s="94">
        <v>3</v>
      </c>
      <c r="L203" s="94">
        <v>1</v>
      </c>
    </row>
    <row r="204" spans="1:14" s="94" customFormat="1" ht="12.75" customHeight="1">
      <c r="A204" s="331" t="s">
        <v>296</v>
      </c>
      <c r="B204" s="332">
        <v>6</v>
      </c>
      <c r="C204" s="332">
        <v>5</v>
      </c>
      <c r="D204" s="332">
        <v>3</v>
      </c>
      <c r="E204" s="332">
        <v>1.05</v>
      </c>
      <c r="F204" s="333"/>
      <c r="G204" s="333"/>
      <c r="H204" s="335" t="s">
        <v>296</v>
      </c>
      <c r="I204" s="94">
        <v>8</v>
      </c>
      <c r="J204" s="336">
        <v>5</v>
      </c>
      <c r="K204" s="94">
        <v>3</v>
      </c>
      <c r="L204" s="94">
        <v>1</v>
      </c>
    </row>
    <row r="205" spans="1:14" s="94" customFormat="1" ht="12.75" customHeight="1">
      <c r="A205" s="331" t="s">
        <v>299</v>
      </c>
      <c r="B205" s="332">
        <v>7</v>
      </c>
      <c r="C205" s="332">
        <v>2</v>
      </c>
      <c r="D205" s="332">
        <v>3</v>
      </c>
      <c r="E205" s="332">
        <v>1.05</v>
      </c>
      <c r="F205" s="333"/>
      <c r="G205" s="333"/>
      <c r="H205" s="335" t="s">
        <v>299</v>
      </c>
      <c r="I205" s="94">
        <v>8</v>
      </c>
      <c r="J205" s="336">
        <v>5</v>
      </c>
      <c r="K205" s="94">
        <v>3</v>
      </c>
      <c r="L205" s="94">
        <v>1</v>
      </c>
    </row>
    <row r="206" spans="1:14" s="94" customFormat="1" ht="12.75" customHeight="1">
      <c r="A206" s="331" t="s">
        <v>300</v>
      </c>
      <c r="B206" s="333">
        <v>2.4</v>
      </c>
      <c r="C206" s="333">
        <v>1</v>
      </c>
      <c r="D206" s="334">
        <v>3</v>
      </c>
      <c r="E206" s="333">
        <v>1</v>
      </c>
      <c r="F206" s="333"/>
      <c r="G206" s="333"/>
      <c r="H206" s="335" t="s">
        <v>300</v>
      </c>
      <c r="I206" s="94">
        <v>8</v>
      </c>
      <c r="J206" s="336">
        <v>5</v>
      </c>
      <c r="K206" s="94">
        <v>3</v>
      </c>
      <c r="L206" s="94">
        <v>1</v>
      </c>
    </row>
    <row r="207" spans="1:14" s="94" customFormat="1" ht="12.75" customHeight="1">
      <c r="A207" s="331" t="s">
        <v>301</v>
      </c>
      <c r="B207" s="333">
        <v>2.4</v>
      </c>
      <c r="C207" s="333">
        <v>1</v>
      </c>
      <c r="D207" s="332">
        <v>3</v>
      </c>
      <c r="E207" s="332">
        <v>1.05</v>
      </c>
      <c r="F207" s="333"/>
      <c r="G207" s="333"/>
      <c r="H207" s="335" t="s">
        <v>301</v>
      </c>
      <c r="I207" s="94">
        <v>8</v>
      </c>
      <c r="J207" s="336">
        <v>5</v>
      </c>
      <c r="K207" s="94">
        <v>3</v>
      </c>
      <c r="L207" s="94">
        <v>1</v>
      </c>
    </row>
    <row r="208" spans="1:14" s="94" customFormat="1" ht="12.75" customHeight="1">
      <c r="A208" s="331" t="s">
        <v>302</v>
      </c>
      <c r="B208" s="333">
        <v>2.4</v>
      </c>
      <c r="C208" s="333">
        <v>1</v>
      </c>
      <c r="D208" s="332">
        <v>3</v>
      </c>
      <c r="E208" s="332">
        <v>1.05</v>
      </c>
      <c r="F208" s="333"/>
      <c r="G208" s="333"/>
      <c r="H208" s="335" t="s">
        <v>302</v>
      </c>
      <c r="I208" s="94">
        <v>8</v>
      </c>
      <c r="J208" s="336">
        <v>5</v>
      </c>
      <c r="K208" s="94">
        <v>3</v>
      </c>
      <c r="L208" s="94">
        <v>1</v>
      </c>
    </row>
    <row r="209" spans="1:14" s="94" customFormat="1" ht="12.75" customHeight="1">
      <c r="A209" s="331" t="s">
        <v>303</v>
      </c>
      <c r="B209" s="333">
        <v>2.4</v>
      </c>
      <c r="C209" s="333">
        <v>1</v>
      </c>
      <c r="D209" s="334">
        <v>3</v>
      </c>
      <c r="E209" s="333">
        <v>1</v>
      </c>
      <c r="F209" s="333"/>
      <c r="G209" s="333"/>
      <c r="H209" s="335" t="s">
        <v>303</v>
      </c>
      <c r="I209" s="94">
        <v>8</v>
      </c>
      <c r="J209" s="336">
        <v>5</v>
      </c>
      <c r="K209" s="94">
        <v>3</v>
      </c>
      <c r="L209" s="94">
        <v>1</v>
      </c>
    </row>
    <row r="210" spans="1:14" s="94" customFormat="1" ht="12.75" customHeight="1">
      <c r="A210" s="331" t="s">
        <v>304</v>
      </c>
      <c r="B210" s="332">
        <v>4</v>
      </c>
      <c r="C210" s="332">
        <v>4</v>
      </c>
      <c r="D210" s="332">
        <v>3</v>
      </c>
      <c r="E210" s="332">
        <v>1.05</v>
      </c>
      <c r="F210" s="333"/>
      <c r="G210" s="333"/>
      <c r="H210" s="335" t="s">
        <v>304</v>
      </c>
      <c r="I210" s="94">
        <v>8</v>
      </c>
      <c r="J210" s="336">
        <v>5</v>
      </c>
      <c r="K210" s="94">
        <v>3</v>
      </c>
      <c r="L210" s="94">
        <v>1</v>
      </c>
    </row>
    <row r="211" spans="1:14" s="94" customFormat="1" ht="12.75" customHeight="1">
      <c r="A211" s="331" t="s">
        <v>305</v>
      </c>
      <c r="B211" s="332">
        <v>4</v>
      </c>
      <c r="C211" s="332">
        <v>4</v>
      </c>
      <c r="D211" s="337">
        <v>3</v>
      </c>
      <c r="E211" s="333">
        <v>1</v>
      </c>
      <c r="F211" s="333"/>
      <c r="G211" s="333"/>
      <c r="H211" s="335" t="s">
        <v>305</v>
      </c>
      <c r="I211" s="94">
        <v>8</v>
      </c>
      <c r="J211" s="336">
        <v>5</v>
      </c>
      <c r="K211" s="94">
        <v>3</v>
      </c>
      <c r="L211" s="94">
        <v>1</v>
      </c>
    </row>
    <row r="212" spans="1:14" s="94" customFormat="1" ht="12.75" customHeight="1">
      <c r="A212" s="331" t="s">
        <v>306</v>
      </c>
      <c r="B212" s="332">
        <v>4</v>
      </c>
      <c r="C212" s="332">
        <v>4</v>
      </c>
      <c r="D212" s="337">
        <v>3</v>
      </c>
      <c r="E212" s="333">
        <v>1</v>
      </c>
      <c r="F212" s="333"/>
      <c r="G212" s="333"/>
      <c r="H212" s="335" t="s">
        <v>306</v>
      </c>
      <c r="I212" s="94">
        <v>8</v>
      </c>
      <c r="J212" s="336">
        <v>5</v>
      </c>
      <c r="K212" s="94">
        <v>3</v>
      </c>
      <c r="L212" s="94">
        <v>1</v>
      </c>
    </row>
    <row r="213" spans="1:14" s="16" customFormat="1" ht="12.75" customHeight="1">
      <c r="A213" s="14" t="s">
        <v>1008</v>
      </c>
      <c r="B213" s="98"/>
      <c r="D213" s="330"/>
      <c r="E213" s="98"/>
      <c r="F213" s="98"/>
      <c r="G213" s="98"/>
      <c r="H213" s="75"/>
      <c r="I213" s="14" t="s">
        <v>972</v>
      </c>
    </row>
    <row r="214" spans="1:14" s="68" customFormat="1" ht="12.75" customHeight="1">
      <c r="A214" s="120" t="s">
        <v>475</v>
      </c>
      <c r="B214" s="330" t="s">
        <v>973</v>
      </c>
      <c r="D214" s="83" t="s">
        <v>482</v>
      </c>
      <c r="E214" s="83"/>
      <c r="F214" s="83"/>
      <c r="G214" s="83"/>
      <c r="H214" s="64"/>
      <c r="I214" s="85" t="s">
        <v>489</v>
      </c>
    </row>
    <row r="215" spans="1:14" s="68" customFormat="1" ht="12.75" customHeight="1">
      <c r="A215" s="120" t="s">
        <v>479</v>
      </c>
      <c r="B215" s="83" t="s">
        <v>405</v>
      </c>
      <c r="C215" s="83" t="s">
        <v>406</v>
      </c>
      <c r="D215" s="83"/>
      <c r="E215" s="83" t="str">
        <f>""</f>
        <v/>
      </c>
      <c r="F215" s="83" t="str">
        <f>""</f>
        <v/>
      </c>
      <c r="G215" s="980" t="str">
        <f>G200</f>
        <v>Please specify the climate</v>
      </c>
      <c r="H215" s="64" t="s">
        <v>488</v>
      </c>
      <c r="I215" s="83" t="s">
        <v>405</v>
      </c>
      <c r="J215" s="83" t="s">
        <v>406</v>
      </c>
      <c r="K215" s="83"/>
      <c r="L215" s="83" t="str">
        <f>""</f>
        <v/>
      </c>
      <c r="M215" s="83" t="str">
        <f>""</f>
        <v/>
      </c>
      <c r="N215" s="977" t="str">
        <f>N200</f>
        <v>Please specify the climate</v>
      </c>
    </row>
    <row r="216" spans="1:14" s="959" customFormat="1" ht="12.75" customHeight="1">
      <c r="A216" s="957" t="str">
        <f>List!A6</f>
        <v>Please select</v>
      </c>
      <c r="B216" s="958"/>
      <c r="C216" s="958"/>
      <c r="D216" s="958"/>
      <c r="E216" s="958"/>
      <c r="F216" s="958"/>
      <c r="G216" s="958"/>
      <c r="H216" s="61" t="str">
        <f>A216</f>
        <v>Please select</v>
      </c>
      <c r="I216" s="958"/>
      <c r="J216" s="958"/>
      <c r="K216" s="958"/>
      <c r="L216" s="958"/>
      <c r="M216" s="958"/>
    </row>
    <row r="217" spans="1:14" s="94" customFormat="1" ht="12.75" customHeight="1">
      <c r="A217" s="331" t="s">
        <v>297</v>
      </c>
      <c r="B217" s="332">
        <v>0.45</v>
      </c>
      <c r="C217" s="332">
        <v>3.5</v>
      </c>
      <c r="D217" s="334"/>
      <c r="E217" s="333"/>
      <c r="F217" s="333"/>
      <c r="G217" s="333"/>
      <c r="H217" s="335" t="s">
        <v>297</v>
      </c>
      <c r="I217" s="94">
        <v>5</v>
      </c>
      <c r="J217" s="336">
        <v>5</v>
      </c>
    </row>
    <row r="218" spans="1:14" s="94" customFormat="1" ht="12.75" customHeight="1">
      <c r="A218" s="331" t="s">
        <v>298</v>
      </c>
      <c r="B218" s="332">
        <v>5</v>
      </c>
      <c r="C218" s="332">
        <v>3</v>
      </c>
      <c r="D218" s="334"/>
      <c r="E218" s="333"/>
      <c r="F218" s="333"/>
      <c r="G218" s="333"/>
      <c r="H218" s="335" t="s">
        <v>298</v>
      </c>
      <c r="I218" s="94">
        <v>5</v>
      </c>
      <c r="J218" s="336">
        <v>5</v>
      </c>
    </row>
    <row r="219" spans="1:14" s="94" customFormat="1" ht="12.75" customHeight="1">
      <c r="A219" s="331" t="s">
        <v>296</v>
      </c>
      <c r="B219" s="332">
        <v>5</v>
      </c>
      <c r="C219" s="332">
        <v>3</v>
      </c>
      <c r="D219" s="334"/>
      <c r="E219" s="333"/>
      <c r="F219" s="333"/>
      <c r="G219" s="333"/>
      <c r="H219" s="335" t="s">
        <v>296</v>
      </c>
      <c r="I219" s="94">
        <v>5</v>
      </c>
      <c r="J219" s="336">
        <v>5</v>
      </c>
    </row>
    <row r="220" spans="1:14" s="94" customFormat="1" ht="12.75" customHeight="1">
      <c r="A220" s="331" t="s">
        <v>299</v>
      </c>
      <c r="B220" s="332">
        <v>2</v>
      </c>
      <c r="C220" s="332">
        <v>7.5</v>
      </c>
      <c r="D220" s="334"/>
      <c r="E220" s="333"/>
      <c r="F220" s="333"/>
      <c r="G220" s="333"/>
      <c r="H220" s="335" t="s">
        <v>299</v>
      </c>
      <c r="I220" s="94">
        <v>5</v>
      </c>
      <c r="J220" s="336">
        <v>5</v>
      </c>
    </row>
    <row r="221" spans="1:14" s="94" customFormat="1" ht="12.75" customHeight="1">
      <c r="A221" s="331" t="s">
        <v>300</v>
      </c>
      <c r="B221" s="333">
        <v>1</v>
      </c>
      <c r="C221" s="333">
        <v>1</v>
      </c>
      <c r="D221" s="334"/>
      <c r="E221" s="333"/>
      <c r="F221" s="333"/>
      <c r="G221" s="333"/>
      <c r="H221" s="335" t="s">
        <v>300</v>
      </c>
      <c r="I221" s="94">
        <v>5</v>
      </c>
      <c r="J221" s="336">
        <v>5</v>
      </c>
    </row>
    <row r="222" spans="1:14" s="94" customFormat="1" ht="12.75" customHeight="1">
      <c r="A222" s="331" t="s">
        <v>301</v>
      </c>
      <c r="B222" s="333">
        <v>1</v>
      </c>
      <c r="C222" s="333">
        <v>1</v>
      </c>
      <c r="D222" s="334"/>
      <c r="E222" s="333"/>
      <c r="F222" s="333"/>
      <c r="G222" s="333"/>
      <c r="H222" s="335" t="s">
        <v>301</v>
      </c>
      <c r="I222" s="94">
        <v>5</v>
      </c>
      <c r="J222" s="336">
        <v>5</v>
      </c>
    </row>
    <row r="223" spans="1:14" s="94" customFormat="1" ht="12.75" customHeight="1">
      <c r="A223" s="331" t="s">
        <v>302</v>
      </c>
      <c r="B223" s="333">
        <v>1</v>
      </c>
      <c r="C223" s="333">
        <v>1</v>
      </c>
      <c r="D223" s="334"/>
      <c r="E223" s="333"/>
      <c r="F223" s="333"/>
      <c r="G223" s="333"/>
      <c r="H223" s="335" t="s">
        <v>302</v>
      </c>
      <c r="I223" s="94">
        <v>5</v>
      </c>
      <c r="J223" s="336">
        <v>5</v>
      </c>
    </row>
    <row r="224" spans="1:14" s="94" customFormat="1" ht="12.75" customHeight="1">
      <c r="A224" s="331" t="s">
        <v>303</v>
      </c>
      <c r="B224" s="333">
        <v>1</v>
      </c>
      <c r="C224" s="333">
        <v>1</v>
      </c>
      <c r="D224" s="334"/>
      <c r="E224" s="333"/>
      <c r="F224" s="333"/>
      <c r="G224" s="333"/>
      <c r="H224" s="335" t="s">
        <v>303</v>
      </c>
      <c r="I224" s="94">
        <v>5</v>
      </c>
      <c r="J224" s="336">
        <v>5</v>
      </c>
    </row>
    <row r="225" spans="1:14" s="94" customFormat="1" ht="12.75" customHeight="1">
      <c r="A225" s="331" t="s">
        <v>304</v>
      </c>
      <c r="B225" s="332">
        <v>4</v>
      </c>
      <c r="C225" s="332">
        <v>3.4</v>
      </c>
      <c r="D225" s="334"/>
      <c r="E225" s="333"/>
      <c r="F225" s="333"/>
      <c r="G225" s="333"/>
      <c r="H225" s="335" t="s">
        <v>304</v>
      </c>
      <c r="I225" s="94">
        <v>5</v>
      </c>
      <c r="J225" s="336">
        <v>5</v>
      </c>
    </row>
    <row r="226" spans="1:14" s="94" customFormat="1" ht="12.75" customHeight="1">
      <c r="A226" s="331" t="s">
        <v>305</v>
      </c>
      <c r="B226" s="332">
        <v>4</v>
      </c>
      <c r="C226" s="332">
        <v>3.4</v>
      </c>
      <c r="D226" s="333"/>
      <c r="E226" s="333"/>
      <c r="F226" s="333"/>
      <c r="G226" s="333"/>
      <c r="H226" s="335" t="s">
        <v>305</v>
      </c>
      <c r="I226" s="94">
        <v>5</v>
      </c>
      <c r="J226" s="336">
        <v>5</v>
      </c>
    </row>
    <row r="227" spans="1:14" s="94" customFormat="1" ht="12.75" customHeight="1">
      <c r="A227" s="331" t="s">
        <v>306</v>
      </c>
      <c r="B227" s="332">
        <v>4</v>
      </c>
      <c r="C227" s="332">
        <v>3.4</v>
      </c>
      <c r="D227" s="333"/>
      <c r="E227" s="333"/>
      <c r="F227" s="333"/>
      <c r="G227" s="333"/>
      <c r="H227" s="335" t="s">
        <v>306</v>
      </c>
      <c r="I227" s="94">
        <v>5</v>
      </c>
      <c r="J227" s="336">
        <v>5</v>
      </c>
    </row>
    <row r="228" spans="1:14" s="16" customFormat="1" ht="12.75" customHeight="1">
      <c r="A228" s="14" t="s">
        <v>1009</v>
      </c>
      <c r="B228" s="98"/>
      <c r="D228" s="330"/>
      <c r="E228" s="98"/>
      <c r="F228" s="98"/>
      <c r="G228" s="98"/>
      <c r="H228" s="75"/>
      <c r="I228" s="14" t="s">
        <v>972</v>
      </c>
    </row>
    <row r="229" spans="1:14" s="68" customFormat="1" ht="12.75" customHeight="1">
      <c r="A229" s="120" t="s">
        <v>475</v>
      </c>
      <c r="B229" s="330" t="s">
        <v>973</v>
      </c>
      <c r="D229" s="83" t="s">
        <v>482</v>
      </c>
      <c r="E229" s="83"/>
      <c r="F229" s="83"/>
      <c r="G229" s="83"/>
      <c r="H229" s="64"/>
      <c r="I229" s="85" t="s">
        <v>489</v>
      </c>
    </row>
    <row r="230" spans="1:14" s="68" customFormat="1" ht="12.75" customHeight="1">
      <c r="A230" s="120" t="s">
        <v>476</v>
      </c>
      <c r="B230" s="83" t="s">
        <v>392</v>
      </c>
      <c r="C230" s="83" t="s">
        <v>393</v>
      </c>
      <c r="D230" s="83" t="s">
        <v>394</v>
      </c>
      <c r="E230" s="83" t="s">
        <v>395</v>
      </c>
      <c r="F230" s="83" t="s">
        <v>396</v>
      </c>
      <c r="G230" s="980" t="str">
        <f>G215</f>
        <v>Please specify the climate</v>
      </c>
      <c r="H230" s="64" t="s">
        <v>485</v>
      </c>
      <c r="I230" s="83" t="s">
        <v>392</v>
      </c>
      <c r="J230" s="83" t="s">
        <v>393</v>
      </c>
      <c r="K230" s="83" t="s">
        <v>394</v>
      </c>
      <c r="L230" s="83" t="s">
        <v>395</v>
      </c>
      <c r="M230" s="83" t="s">
        <v>396</v>
      </c>
      <c r="N230" s="977" t="str">
        <f>N215</f>
        <v>Please specify the climate</v>
      </c>
    </row>
    <row r="231" spans="1:14" s="959" customFormat="1" ht="12.75" customHeight="1">
      <c r="A231" s="957" t="str">
        <f>List!A6</f>
        <v>Please select</v>
      </c>
      <c r="B231" s="958"/>
      <c r="C231" s="958"/>
      <c r="D231" s="958"/>
      <c r="E231" s="958"/>
      <c r="F231" s="958"/>
      <c r="G231" s="958"/>
      <c r="H231" s="61" t="str">
        <f>A231</f>
        <v>Please select</v>
      </c>
      <c r="I231" s="958"/>
      <c r="J231" s="958"/>
      <c r="K231" s="958"/>
      <c r="L231" s="958"/>
      <c r="M231" s="958"/>
    </row>
    <row r="232" spans="1:14" s="94" customFormat="1" ht="12.75" customHeight="1">
      <c r="A232" s="331" t="s">
        <v>297</v>
      </c>
      <c r="B232" s="332">
        <v>3.1</v>
      </c>
      <c r="C232" s="337">
        <v>5</v>
      </c>
      <c r="D232" s="334">
        <v>4.4000000000000004</v>
      </c>
      <c r="E232" s="333">
        <v>1</v>
      </c>
      <c r="F232" s="332">
        <v>1.25</v>
      </c>
      <c r="G232" s="332"/>
      <c r="H232" s="335" t="s">
        <v>297</v>
      </c>
      <c r="I232" s="94">
        <v>15</v>
      </c>
      <c r="J232" s="336">
        <v>10</v>
      </c>
      <c r="K232" s="94">
        <v>4.4000000000000004</v>
      </c>
      <c r="L232" s="94">
        <v>1</v>
      </c>
      <c r="M232" s="94">
        <v>5</v>
      </c>
    </row>
    <row r="233" spans="1:14" s="94" customFormat="1" ht="12.75" customHeight="1">
      <c r="A233" s="331" t="s">
        <v>298</v>
      </c>
      <c r="B233" s="332">
        <v>2.2000000000000002</v>
      </c>
      <c r="C233" s="332">
        <v>2</v>
      </c>
      <c r="D233" s="334">
        <v>4.4000000000000004</v>
      </c>
      <c r="E233" s="332">
        <v>1.1000000000000001</v>
      </c>
      <c r="F233" s="332">
        <v>0.75</v>
      </c>
      <c r="G233" s="332"/>
      <c r="H233" s="335" t="s">
        <v>298</v>
      </c>
      <c r="I233" s="94">
        <v>15</v>
      </c>
      <c r="J233" s="336">
        <v>10</v>
      </c>
      <c r="K233" s="94">
        <v>4.4000000000000004</v>
      </c>
      <c r="L233" s="94">
        <v>1</v>
      </c>
      <c r="M233" s="94">
        <v>5</v>
      </c>
    </row>
    <row r="234" spans="1:14" s="94" customFormat="1" ht="12.75" customHeight="1">
      <c r="A234" s="331" t="s">
        <v>296</v>
      </c>
      <c r="B234" s="332">
        <v>2.2000000000000002</v>
      </c>
      <c r="C234" s="332">
        <v>2</v>
      </c>
      <c r="D234" s="334">
        <v>4.4000000000000004</v>
      </c>
      <c r="E234" s="332">
        <v>1.1000000000000001</v>
      </c>
      <c r="F234" s="332">
        <v>0.75</v>
      </c>
      <c r="G234" s="332"/>
      <c r="H234" s="335" t="s">
        <v>296</v>
      </c>
      <c r="I234" s="94">
        <v>15</v>
      </c>
      <c r="J234" s="336">
        <v>10</v>
      </c>
      <c r="K234" s="94">
        <v>4.4000000000000004</v>
      </c>
      <c r="L234" s="94">
        <v>1</v>
      </c>
      <c r="M234" s="94">
        <v>5</v>
      </c>
    </row>
    <row r="235" spans="1:14" s="94" customFormat="1" ht="12.75" customHeight="1">
      <c r="A235" s="331" t="s">
        <v>299</v>
      </c>
      <c r="B235" s="332">
        <v>3.4</v>
      </c>
      <c r="C235" s="332">
        <v>3</v>
      </c>
      <c r="D235" s="334">
        <v>4.4000000000000004</v>
      </c>
      <c r="E235" s="332">
        <v>1.1000000000000001</v>
      </c>
      <c r="F235" s="332">
        <v>2</v>
      </c>
      <c r="G235" s="332"/>
      <c r="H235" s="335" t="s">
        <v>299</v>
      </c>
      <c r="I235" s="94">
        <v>15</v>
      </c>
      <c r="J235" s="336">
        <v>10</v>
      </c>
      <c r="K235" s="94">
        <v>4.4000000000000004</v>
      </c>
      <c r="L235" s="94">
        <v>1</v>
      </c>
      <c r="M235" s="94">
        <v>5</v>
      </c>
    </row>
    <row r="236" spans="1:14" s="94" customFormat="1" ht="12.75" customHeight="1">
      <c r="A236" s="331" t="s">
        <v>300</v>
      </c>
      <c r="B236" s="333">
        <v>7</v>
      </c>
      <c r="C236" s="333">
        <v>5</v>
      </c>
      <c r="D236" s="334">
        <v>4.4000000000000004</v>
      </c>
      <c r="E236" s="333">
        <v>1</v>
      </c>
      <c r="F236" s="333">
        <v>1</v>
      </c>
      <c r="G236" s="333"/>
      <c r="H236" s="335" t="s">
        <v>300</v>
      </c>
      <c r="I236" s="94">
        <v>15</v>
      </c>
      <c r="J236" s="336">
        <v>10</v>
      </c>
      <c r="K236" s="94">
        <v>4.4000000000000004</v>
      </c>
      <c r="L236" s="94">
        <v>1</v>
      </c>
      <c r="M236" s="94">
        <v>5</v>
      </c>
    </row>
    <row r="237" spans="1:14" s="94" customFormat="1" ht="12.75" customHeight="1">
      <c r="A237" s="331" t="s">
        <v>301</v>
      </c>
      <c r="B237" s="333">
        <v>7</v>
      </c>
      <c r="C237" s="333">
        <v>5</v>
      </c>
      <c r="D237" s="332">
        <v>2.2999999999999998</v>
      </c>
      <c r="E237" s="332">
        <v>1.1000000000000001</v>
      </c>
      <c r="F237" s="333">
        <v>1</v>
      </c>
      <c r="G237" s="333"/>
      <c r="H237" s="335" t="s">
        <v>301</v>
      </c>
      <c r="I237" s="94">
        <v>15</v>
      </c>
      <c r="J237" s="336">
        <v>10</v>
      </c>
      <c r="K237" s="94">
        <v>4.4000000000000004</v>
      </c>
      <c r="L237" s="94">
        <v>1</v>
      </c>
      <c r="M237" s="94">
        <v>5</v>
      </c>
    </row>
    <row r="238" spans="1:14" s="94" customFormat="1" ht="12.75" customHeight="1">
      <c r="A238" s="331" t="s">
        <v>302</v>
      </c>
      <c r="B238" s="333">
        <v>7</v>
      </c>
      <c r="C238" s="333">
        <v>5</v>
      </c>
      <c r="D238" s="332">
        <v>2.2999999999999998</v>
      </c>
      <c r="E238" s="332">
        <v>1.1000000000000001</v>
      </c>
      <c r="F238" s="333">
        <v>1</v>
      </c>
      <c r="G238" s="333"/>
      <c r="H238" s="335" t="s">
        <v>302</v>
      </c>
      <c r="I238" s="94">
        <v>15</v>
      </c>
      <c r="J238" s="336">
        <v>10</v>
      </c>
      <c r="K238" s="94">
        <v>4.4000000000000004</v>
      </c>
      <c r="L238" s="94">
        <v>1</v>
      </c>
      <c r="M238" s="94">
        <v>5</v>
      </c>
    </row>
    <row r="239" spans="1:14" s="94" customFormat="1" ht="12.75" customHeight="1">
      <c r="A239" s="331" t="s">
        <v>303</v>
      </c>
      <c r="B239" s="333">
        <v>7</v>
      </c>
      <c r="C239" s="333">
        <v>5</v>
      </c>
      <c r="D239" s="332">
        <v>3.5</v>
      </c>
      <c r="E239" s="333">
        <v>1</v>
      </c>
      <c r="F239" s="333">
        <v>1</v>
      </c>
      <c r="G239" s="333"/>
      <c r="H239" s="335" t="s">
        <v>303</v>
      </c>
      <c r="I239" s="94">
        <v>15</v>
      </c>
      <c r="J239" s="336">
        <v>10</v>
      </c>
      <c r="K239" s="94">
        <v>4.4000000000000004</v>
      </c>
      <c r="L239" s="94">
        <v>1</v>
      </c>
      <c r="M239" s="94">
        <v>5</v>
      </c>
    </row>
    <row r="240" spans="1:14" s="94" customFormat="1" ht="12.75" customHeight="1">
      <c r="A240" s="331" t="s">
        <v>304</v>
      </c>
      <c r="B240" s="332">
        <f>18.9/2</f>
        <v>9.4499999999999993</v>
      </c>
      <c r="C240" s="332">
        <v>2</v>
      </c>
      <c r="D240" s="332">
        <v>15</v>
      </c>
      <c r="E240" s="332">
        <v>1.1000000000000001</v>
      </c>
      <c r="F240" s="332">
        <v>0.9</v>
      </c>
      <c r="G240" s="332"/>
      <c r="H240" s="335" t="s">
        <v>304</v>
      </c>
      <c r="I240" s="94">
        <v>15</v>
      </c>
      <c r="J240" s="336">
        <v>10</v>
      </c>
      <c r="K240" s="94">
        <v>4.4000000000000004</v>
      </c>
      <c r="L240" s="94">
        <v>1</v>
      </c>
      <c r="M240" s="94">
        <v>5</v>
      </c>
    </row>
    <row r="241" spans="1:14" s="94" customFormat="1" ht="12.75" customHeight="1">
      <c r="A241" s="331" t="s">
        <v>305</v>
      </c>
      <c r="B241" s="332">
        <v>3.1</v>
      </c>
      <c r="C241" s="332">
        <v>2</v>
      </c>
      <c r="D241" s="332">
        <f>11.3/2</f>
        <v>5.65</v>
      </c>
      <c r="E241" s="333">
        <v>1</v>
      </c>
      <c r="F241" s="332">
        <v>0.9</v>
      </c>
      <c r="G241" s="332"/>
      <c r="H241" s="335" t="s">
        <v>305</v>
      </c>
      <c r="I241" s="94">
        <v>15</v>
      </c>
      <c r="J241" s="336">
        <v>10</v>
      </c>
      <c r="K241" s="94">
        <v>4.4000000000000004</v>
      </c>
      <c r="L241" s="94">
        <v>1</v>
      </c>
      <c r="M241" s="94">
        <v>5</v>
      </c>
    </row>
    <row r="242" spans="1:14" s="94" customFormat="1" ht="12.75" customHeight="1">
      <c r="A242" s="331" t="s">
        <v>306</v>
      </c>
      <c r="B242" s="332">
        <v>3.1</v>
      </c>
      <c r="C242" s="332">
        <v>2</v>
      </c>
      <c r="D242" s="337">
        <v>4.4000000000000004</v>
      </c>
      <c r="E242" s="333">
        <v>1</v>
      </c>
      <c r="F242" s="332">
        <v>0.9</v>
      </c>
      <c r="G242" s="332"/>
      <c r="H242" s="335" t="s">
        <v>306</v>
      </c>
      <c r="I242" s="94">
        <v>15</v>
      </c>
      <c r="J242" s="336">
        <v>10</v>
      </c>
      <c r="K242" s="94">
        <v>4.4000000000000004</v>
      </c>
      <c r="L242" s="94">
        <v>1</v>
      </c>
      <c r="M242" s="94">
        <v>5</v>
      </c>
    </row>
    <row r="243" spans="1:14" s="16" customFormat="1" ht="12.75" customHeight="1">
      <c r="A243" s="14" t="s">
        <v>1009</v>
      </c>
      <c r="B243" s="98"/>
      <c r="D243" s="330"/>
      <c r="E243" s="98"/>
      <c r="F243" s="98"/>
      <c r="G243" s="98"/>
      <c r="H243" s="75"/>
      <c r="I243" s="14" t="s">
        <v>972</v>
      </c>
    </row>
    <row r="244" spans="1:14" s="68" customFormat="1" ht="12.75" customHeight="1">
      <c r="A244" s="120" t="s">
        <v>475</v>
      </c>
      <c r="B244" s="330" t="s">
        <v>973</v>
      </c>
      <c r="D244" s="83" t="s">
        <v>482</v>
      </c>
      <c r="E244" s="83"/>
      <c r="F244" s="83"/>
      <c r="G244" s="83"/>
      <c r="H244" s="64"/>
      <c r="I244" s="85" t="s">
        <v>489</v>
      </c>
    </row>
    <row r="245" spans="1:14" s="68" customFormat="1" ht="12.75" customHeight="1">
      <c r="A245" s="120" t="s">
        <v>477</v>
      </c>
      <c r="B245" s="83" t="s">
        <v>397</v>
      </c>
      <c r="C245" s="83" t="s">
        <v>398</v>
      </c>
      <c r="D245" s="83" t="s">
        <v>399</v>
      </c>
      <c r="E245" s="83" t="s">
        <v>400</v>
      </c>
      <c r="F245" s="83" t="str">
        <f>""</f>
        <v/>
      </c>
      <c r="G245" s="980" t="str">
        <f>G230</f>
        <v>Please specify the climate</v>
      </c>
      <c r="H245" s="64" t="s">
        <v>486</v>
      </c>
      <c r="I245" s="83" t="s">
        <v>397</v>
      </c>
      <c r="J245" s="83" t="s">
        <v>398</v>
      </c>
      <c r="K245" s="83" t="s">
        <v>399</v>
      </c>
      <c r="L245" s="83" t="s">
        <v>400</v>
      </c>
      <c r="M245" s="83" t="str">
        <f>""</f>
        <v/>
      </c>
      <c r="N245" s="977" t="str">
        <f>N230</f>
        <v>Please specify the climate</v>
      </c>
    </row>
    <row r="246" spans="1:14" s="959" customFormat="1" ht="12.75" customHeight="1">
      <c r="A246" s="957" t="str">
        <f>List!A6</f>
        <v>Please select</v>
      </c>
      <c r="B246" s="958"/>
      <c r="C246" s="958"/>
      <c r="D246" s="958"/>
      <c r="E246" s="958"/>
      <c r="F246" s="958"/>
      <c r="G246" s="958"/>
      <c r="H246" s="61" t="str">
        <f>A246</f>
        <v>Please select</v>
      </c>
      <c r="I246" s="958"/>
      <c r="J246" s="958"/>
      <c r="K246" s="958"/>
      <c r="L246" s="958"/>
      <c r="M246" s="958"/>
    </row>
    <row r="247" spans="1:14" s="94" customFormat="1" ht="12.75" customHeight="1">
      <c r="A247" s="331" t="s">
        <v>297</v>
      </c>
      <c r="B247" s="332">
        <v>1.3</v>
      </c>
      <c r="C247" s="332">
        <v>1.8</v>
      </c>
      <c r="D247" s="334">
        <v>4</v>
      </c>
      <c r="E247" s="333">
        <v>0.4</v>
      </c>
      <c r="F247" s="333"/>
      <c r="G247" s="333"/>
      <c r="H247" s="335" t="s">
        <v>297</v>
      </c>
      <c r="I247" s="94">
        <v>10</v>
      </c>
      <c r="J247" s="336">
        <v>8</v>
      </c>
      <c r="K247" s="94">
        <v>4</v>
      </c>
      <c r="L247" s="94">
        <v>0.4</v>
      </c>
    </row>
    <row r="248" spans="1:14" s="94" customFormat="1" ht="12.75" customHeight="1">
      <c r="A248" s="331" t="s">
        <v>298</v>
      </c>
      <c r="B248" s="332">
        <v>2</v>
      </c>
      <c r="C248" s="332">
        <v>1.5</v>
      </c>
      <c r="D248" s="332">
        <v>4</v>
      </c>
      <c r="E248" s="332">
        <v>0.4</v>
      </c>
      <c r="F248" s="333"/>
      <c r="G248" s="333"/>
      <c r="H248" s="335" t="s">
        <v>298</v>
      </c>
      <c r="I248" s="94">
        <v>10</v>
      </c>
      <c r="J248" s="336">
        <v>8</v>
      </c>
      <c r="K248" s="94">
        <v>4</v>
      </c>
      <c r="L248" s="94">
        <v>0.4</v>
      </c>
    </row>
    <row r="249" spans="1:14" s="94" customFormat="1" ht="12.75" customHeight="1">
      <c r="A249" s="331" t="s">
        <v>296</v>
      </c>
      <c r="B249" s="332">
        <v>2</v>
      </c>
      <c r="C249" s="332">
        <v>1.5</v>
      </c>
      <c r="D249" s="332">
        <v>4</v>
      </c>
      <c r="E249" s="332">
        <v>0.4</v>
      </c>
      <c r="F249" s="333"/>
      <c r="G249" s="333"/>
      <c r="H249" s="335" t="s">
        <v>296</v>
      </c>
      <c r="I249" s="94">
        <v>10</v>
      </c>
      <c r="J249" s="336">
        <v>8</v>
      </c>
      <c r="K249" s="94">
        <v>4</v>
      </c>
      <c r="L249" s="94">
        <v>0.4</v>
      </c>
    </row>
    <row r="250" spans="1:14" s="94" customFormat="1" ht="12.75" customHeight="1">
      <c r="A250" s="331" t="s">
        <v>299</v>
      </c>
      <c r="B250" s="332">
        <v>3</v>
      </c>
      <c r="C250" s="332">
        <v>2</v>
      </c>
      <c r="D250" s="332">
        <v>4</v>
      </c>
      <c r="E250" s="332">
        <v>0.4</v>
      </c>
      <c r="F250" s="333"/>
      <c r="G250" s="333"/>
      <c r="H250" s="335" t="s">
        <v>299</v>
      </c>
      <c r="I250" s="94">
        <v>10</v>
      </c>
      <c r="J250" s="336">
        <v>8</v>
      </c>
      <c r="K250" s="94">
        <v>4</v>
      </c>
      <c r="L250" s="94">
        <v>0.4</v>
      </c>
    </row>
    <row r="251" spans="1:14" s="94" customFormat="1" ht="12.75" customHeight="1">
      <c r="A251" s="331" t="s">
        <v>300</v>
      </c>
      <c r="B251" s="333">
        <v>5</v>
      </c>
      <c r="C251" s="333">
        <v>2.4</v>
      </c>
      <c r="D251" s="334">
        <v>4</v>
      </c>
      <c r="E251" s="333">
        <v>0.4</v>
      </c>
      <c r="F251" s="333"/>
      <c r="G251" s="333"/>
      <c r="H251" s="335" t="s">
        <v>300</v>
      </c>
      <c r="I251" s="94">
        <v>10</v>
      </c>
      <c r="J251" s="336">
        <v>8</v>
      </c>
      <c r="K251" s="94">
        <v>4</v>
      </c>
      <c r="L251" s="94">
        <v>0.4</v>
      </c>
    </row>
    <row r="252" spans="1:14" s="94" customFormat="1" ht="12.75" customHeight="1">
      <c r="A252" s="331" t="s">
        <v>301</v>
      </c>
      <c r="B252" s="333">
        <v>5</v>
      </c>
      <c r="C252" s="333">
        <v>2.4</v>
      </c>
      <c r="D252" s="332">
        <v>4</v>
      </c>
      <c r="E252" s="332">
        <v>0.4</v>
      </c>
      <c r="F252" s="333"/>
      <c r="G252" s="333"/>
      <c r="H252" s="335" t="s">
        <v>301</v>
      </c>
      <c r="I252" s="94">
        <v>10</v>
      </c>
      <c r="J252" s="336">
        <v>8</v>
      </c>
      <c r="K252" s="94">
        <v>4</v>
      </c>
      <c r="L252" s="94">
        <v>0.4</v>
      </c>
    </row>
    <row r="253" spans="1:14" s="94" customFormat="1" ht="12.75" customHeight="1">
      <c r="A253" s="331" t="s">
        <v>302</v>
      </c>
      <c r="B253" s="333">
        <v>5</v>
      </c>
      <c r="C253" s="333">
        <v>2.4</v>
      </c>
      <c r="D253" s="332">
        <v>4</v>
      </c>
      <c r="E253" s="332">
        <v>0.4</v>
      </c>
      <c r="F253" s="333"/>
      <c r="G253" s="333"/>
      <c r="H253" s="335" t="s">
        <v>302</v>
      </c>
      <c r="I253" s="94">
        <v>10</v>
      </c>
      <c r="J253" s="336">
        <v>8</v>
      </c>
      <c r="K253" s="94">
        <v>4</v>
      </c>
      <c r="L253" s="94">
        <v>0.4</v>
      </c>
    </row>
    <row r="254" spans="1:14" s="94" customFormat="1" ht="12.75" customHeight="1">
      <c r="A254" s="331" t="s">
        <v>303</v>
      </c>
      <c r="B254" s="333">
        <v>5</v>
      </c>
      <c r="C254" s="333">
        <v>2.4</v>
      </c>
      <c r="D254" s="334">
        <v>4</v>
      </c>
      <c r="E254" s="333">
        <v>0.4</v>
      </c>
      <c r="F254" s="333"/>
      <c r="G254" s="333"/>
      <c r="H254" s="335" t="s">
        <v>303</v>
      </c>
      <c r="I254" s="94">
        <v>10</v>
      </c>
      <c r="J254" s="336">
        <v>8</v>
      </c>
      <c r="K254" s="94">
        <v>4</v>
      </c>
      <c r="L254" s="94">
        <v>0.4</v>
      </c>
    </row>
    <row r="255" spans="1:14" s="94" customFormat="1" ht="12.75" customHeight="1">
      <c r="A255" s="331" t="s">
        <v>304</v>
      </c>
      <c r="B255" s="332">
        <v>2</v>
      </c>
      <c r="C255" s="332">
        <v>1</v>
      </c>
      <c r="D255" s="332">
        <v>4</v>
      </c>
      <c r="E255" s="332">
        <v>0.4</v>
      </c>
      <c r="F255" s="333"/>
      <c r="G255" s="333"/>
      <c r="H255" s="335" t="s">
        <v>304</v>
      </c>
      <c r="I255" s="94">
        <v>10</v>
      </c>
      <c r="J255" s="336">
        <v>8</v>
      </c>
      <c r="K255" s="94">
        <v>4</v>
      </c>
      <c r="L255" s="94">
        <v>0.4</v>
      </c>
    </row>
    <row r="256" spans="1:14" s="94" customFormat="1" ht="12.75" customHeight="1">
      <c r="A256" s="331" t="s">
        <v>305</v>
      </c>
      <c r="B256" s="332">
        <v>2</v>
      </c>
      <c r="C256" s="332">
        <v>1</v>
      </c>
      <c r="D256" s="337">
        <v>4</v>
      </c>
      <c r="E256" s="333">
        <v>0.4</v>
      </c>
      <c r="F256" s="333"/>
      <c r="G256" s="333"/>
      <c r="H256" s="335" t="s">
        <v>305</v>
      </c>
      <c r="I256" s="94">
        <v>10</v>
      </c>
      <c r="J256" s="336">
        <v>8</v>
      </c>
      <c r="K256" s="94">
        <v>4</v>
      </c>
      <c r="L256" s="94">
        <v>0.4</v>
      </c>
    </row>
    <row r="257" spans="1:14" s="94" customFormat="1" ht="12.75" customHeight="1">
      <c r="A257" s="331" t="s">
        <v>306</v>
      </c>
      <c r="B257" s="332">
        <v>2</v>
      </c>
      <c r="C257" s="332">
        <v>1</v>
      </c>
      <c r="D257" s="337">
        <v>4</v>
      </c>
      <c r="E257" s="333">
        <v>0.4</v>
      </c>
      <c r="F257" s="333"/>
      <c r="G257" s="333"/>
      <c r="H257" s="335" t="s">
        <v>306</v>
      </c>
      <c r="I257" s="94">
        <v>10</v>
      </c>
      <c r="J257" s="336">
        <v>8</v>
      </c>
      <c r="K257" s="94">
        <v>4</v>
      </c>
      <c r="L257" s="94">
        <v>0.4</v>
      </c>
    </row>
    <row r="258" spans="1:14" s="16" customFormat="1" ht="12.75" customHeight="1">
      <c r="A258" s="14" t="s">
        <v>1009</v>
      </c>
      <c r="B258" s="98"/>
      <c r="D258" s="330"/>
      <c r="E258" s="98"/>
      <c r="F258" s="98"/>
      <c r="G258" s="98"/>
      <c r="H258" s="75"/>
      <c r="I258" s="14" t="s">
        <v>972</v>
      </c>
    </row>
    <row r="259" spans="1:14" s="68" customFormat="1" ht="12.75" customHeight="1">
      <c r="A259" s="120" t="s">
        <v>475</v>
      </c>
      <c r="B259" s="330" t="s">
        <v>973</v>
      </c>
      <c r="D259" s="83" t="s">
        <v>482</v>
      </c>
      <c r="E259" s="83"/>
      <c r="F259" s="83"/>
      <c r="G259" s="83"/>
      <c r="H259" s="64"/>
      <c r="I259" s="85" t="s">
        <v>489</v>
      </c>
    </row>
    <row r="260" spans="1:14" s="68" customFormat="1" ht="12.75" customHeight="1">
      <c r="A260" s="120" t="s">
        <v>478</v>
      </c>
      <c r="B260" s="83" t="s">
        <v>401</v>
      </c>
      <c r="C260" s="83" t="s">
        <v>402</v>
      </c>
      <c r="D260" s="83" t="s">
        <v>403</v>
      </c>
      <c r="E260" s="83" t="s">
        <v>404</v>
      </c>
      <c r="F260" s="83" t="str">
        <f>""</f>
        <v/>
      </c>
      <c r="G260" s="980" t="str">
        <f>G245</f>
        <v>Please specify the climate</v>
      </c>
      <c r="H260" s="64" t="s">
        <v>487</v>
      </c>
      <c r="I260" s="83" t="s">
        <v>401</v>
      </c>
      <c r="J260" s="83" t="s">
        <v>402</v>
      </c>
      <c r="K260" s="83" t="s">
        <v>403</v>
      </c>
      <c r="L260" s="83" t="s">
        <v>404</v>
      </c>
      <c r="M260" s="83" t="str">
        <f>""</f>
        <v/>
      </c>
      <c r="N260" s="977" t="str">
        <f>N245</f>
        <v>Please specify the climate</v>
      </c>
    </row>
    <row r="261" spans="1:14" s="959" customFormat="1" ht="12.75" customHeight="1">
      <c r="A261" s="957" t="str">
        <f>List!A6</f>
        <v>Please select</v>
      </c>
      <c r="B261" s="958"/>
      <c r="C261" s="958"/>
      <c r="D261" s="958"/>
      <c r="E261" s="958"/>
      <c r="F261" s="958"/>
      <c r="G261" s="958"/>
      <c r="H261" s="61" t="str">
        <f>A261</f>
        <v>Please select</v>
      </c>
      <c r="I261" s="958"/>
      <c r="J261" s="958"/>
      <c r="K261" s="958"/>
      <c r="L261" s="958"/>
      <c r="M261" s="958"/>
    </row>
    <row r="262" spans="1:14" s="94" customFormat="1" ht="12.75" customHeight="1">
      <c r="A262" s="331" t="s">
        <v>297</v>
      </c>
      <c r="B262" s="332">
        <v>1.8</v>
      </c>
      <c r="C262" s="332">
        <v>0.9</v>
      </c>
      <c r="D262" s="334">
        <v>3</v>
      </c>
      <c r="E262" s="333">
        <v>1</v>
      </c>
      <c r="F262" s="333"/>
      <c r="G262" s="333"/>
      <c r="H262" s="335" t="s">
        <v>297</v>
      </c>
      <c r="I262" s="94">
        <v>8</v>
      </c>
      <c r="J262" s="336">
        <v>5</v>
      </c>
      <c r="K262" s="94">
        <v>3</v>
      </c>
      <c r="L262" s="94">
        <v>1</v>
      </c>
    </row>
    <row r="263" spans="1:14" s="94" customFormat="1" ht="12.75" customHeight="1">
      <c r="A263" s="331" t="s">
        <v>298</v>
      </c>
      <c r="B263" s="332">
        <v>1.5</v>
      </c>
      <c r="C263" s="332">
        <v>1.3</v>
      </c>
      <c r="D263" s="332">
        <v>3</v>
      </c>
      <c r="E263" s="332">
        <v>1.3</v>
      </c>
      <c r="F263" s="333"/>
      <c r="G263" s="333"/>
      <c r="H263" s="335" t="s">
        <v>298</v>
      </c>
      <c r="I263" s="94">
        <v>8</v>
      </c>
      <c r="J263" s="336">
        <v>5</v>
      </c>
      <c r="K263" s="94">
        <v>3</v>
      </c>
      <c r="L263" s="94">
        <v>1</v>
      </c>
    </row>
    <row r="264" spans="1:14" s="94" customFormat="1" ht="12.75" customHeight="1">
      <c r="A264" s="331" t="s">
        <v>296</v>
      </c>
      <c r="B264" s="332">
        <v>1.5</v>
      </c>
      <c r="C264" s="332">
        <v>1.3</v>
      </c>
      <c r="D264" s="332">
        <v>3</v>
      </c>
      <c r="E264" s="332">
        <v>1.3</v>
      </c>
      <c r="F264" s="333"/>
      <c r="G264" s="333"/>
      <c r="H264" s="335" t="s">
        <v>296</v>
      </c>
      <c r="I264" s="94">
        <v>8</v>
      </c>
      <c r="J264" s="336">
        <v>5</v>
      </c>
      <c r="K264" s="94">
        <v>3</v>
      </c>
      <c r="L264" s="94">
        <v>1</v>
      </c>
    </row>
    <row r="265" spans="1:14" s="94" customFormat="1" ht="12.75" customHeight="1">
      <c r="A265" s="331" t="s">
        <v>299</v>
      </c>
      <c r="B265" s="332">
        <v>2</v>
      </c>
      <c r="C265" s="332">
        <v>1</v>
      </c>
      <c r="D265" s="332">
        <v>3</v>
      </c>
      <c r="E265" s="332">
        <v>1.3</v>
      </c>
      <c r="F265" s="333"/>
      <c r="G265" s="333"/>
      <c r="H265" s="335" t="s">
        <v>299</v>
      </c>
      <c r="I265" s="94">
        <v>8</v>
      </c>
      <c r="J265" s="336">
        <v>5</v>
      </c>
      <c r="K265" s="94">
        <v>3</v>
      </c>
      <c r="L265" s="94">
        <v>1</v>
      </c>
    </row>
    <row r="266" spans="1:14" s="94" customFormat="1" ht="12.75" customHeight="1">
      <c r="A266" s="331" t="s">
        <v>300</v>
      </c>
      <c r="B266" s="333">
        <v>2.4</v>
      </c>
      <c r="C266" s="333">
        <v>1</v>
      </c>
      <c r="D266" s="334">
        <v>3</v>
      </c>
      <c r="E266" s="333">
        <v>1</v>
      </c>
      <c r="F266" s="333"/>
      <c r="G266" s="333"/>
      <c r="H266" s="335" t="s">
        <v>300</v>
      </c>
      <c r="I266" s="94">
        <v>8</v>
      </c>
      <c r="J266" s="336">
        <v>5</v>
      </c>
      <c r="K266" s="94">
        <v>3</v>
      </c>
      <c r="L266" s="94">
        <v>1</v>
      </c>
    </row>
    <row r="267" spans="1:14" s="94" customFormat="1" ht="12.75" customHeight="1">
      <c r="A267" s="331" t="s">
        <v>301</v>
      </c>
      <c r="B267" s="333">
        <v>2.4</v>
      </c>
      <c r="C267" s="333">
        <v>1</v>
      </c>
      <c r="D267" s="332">
        <v>3</v>
      </c>
      <c r="E267" s="332">
        <v>1.3</v>
      </c>
      <c r="F267" s="333"/>
      <c r="G267" s="333"/>
      <c r="H267" s="335" t="s">
        <v>301</v>
      </c>
      <c r="I267" s="94">
        <v>8</v>
      </c>
      <c r="J267" s="336">
        <v>5</v>
      </c>
      <c r="K267" s="94">
        <v>3</v>
      </c>
      <c r="L267" s="94">
        <v>1</v>
      </c>
    </row>
    <row r="268" spans="1:14" s="94" customFormat="1" ht="12.75" customHeight="1">
      <c r="A268" s="331" t="s">
        <v>302</v>
      </c>
      <c r="B268" s="333">
        <v>2.4</v>
      </c>
      <c r="C268" s="333">
        <v>1</v>
      </c>
      <c r="D268" s="332">
        <v>3</v>
      </c>
      <c r="E268" s="332">
        <v>1.3</v>
      </c>
      <c r="F268" s="333"/>
      <c r="G268" s="333"/>
      <c r="H268" s="335" t="s">
        <v>302</v>
      </c>
      <c r="I268" s="94">
        <v>8</v>
      </c>
      <c r="J268" s="336">
        <v>5</v>
      </c>
      <c r="K268" s="94">
        <v>3</v>
      </c>
      <c r="L268" s="94">
        <v>1</v>
      </c>
    </row>
    <row r="269" spans="1:14" s="94" customFormat="1" ht="12.75" customHeight="1">
      <c r="A269" s="331" t="s">
        <v>303</v>
      </c>
      <c r="B269" s="333">
        <v>2.4</v>
      </c>
      <c r="C269" s="333">
        <v>1</v>
      </c>
      <c r="D269" s="334">
        <v>3</v>
      </c>
      <c r="E269" s="333">
        <v>1</v>
      </c>
      <c r="F269" s="333"/>
      <c r="G269" s="333"/>
      <c r="H269" s="335" t="s">
        <v>303</v>
      </c>
      <c r="I269" s="94">
        <v>8</v>
      </c>
      <c r="J269" s="336">
        <v>5</v>
      </c>
      <c r="K269" s="94">
        <v>3</v>
      </c>
      <c r="L269" s="94">
        <v>1</v>
      </c>
    </row>
    <row r="270" spans="1:14" s="94" customFormat="1" ht="12.75" customHeight="1">
      <c r="A270" s="331" t="s">
        <v>304</v>
      </c>
      <c r="B270" s="332">
        <v>1</v>
      </c>
      <c r="C270" s="332">
        <v>1</v>
      </c>
      <c r="D270" s="332">
        <v>3</v>
      </c>
      <c r="E270" s="332">
        <v>1.3</v>
      </c>
      <c r="F270" s="333"/>
      <c r="G270" s="333"/>
      <c r="H270" s="335" t="s">
        <v>304</v>
      </c>
      <c r="I270" s="94">
        <v>8</v>
      </c>
      <c r="J270" s="336">
        <v>5</v>
      </c>
      <c r="K270" s="94">
        <v>3</v>
      </c>
      <c r="L270" s="94">
        <v>1</v>
      </c>
    </row>
    <row r="271" spans="1:14" s="94" customFormat="1" ht="12.75" customHeight="1">
      <c r="A271" s="331" t="s">
        <v>305</v>
      </c>
      <c r="B271" s="332">
        <v>1</v>
      </c>
      <c r="C271" s="332">
        <v>1</v>
      </c>
      <c r="D271" s="337">
        <v>3</v>
      </c>
      <c r="E271" s="333">
        <v>1</v>
      </c>
      <c r="F271" s="333"/>
      <c r="G271" s="333"/>
      <c r="H271" s="335" t="s">
        <v>305</v>
      </c>
      <c r="I271" s="94">
        <v>8</v>
      </c>
      <c r="J271" s="336">
        <v>5</v>
      </c>
      <c r="K271" s="94">
        <v>3</v>
      </c>
      <c r="L271" s="94">
        <v>1</v>
      </c>
    </row>
    <row r="272" spans="1:14" s="94" customFormat="1" ht="12.75" customHeight="1">
      <c r="A272" s="331" t="s">
        <v>306</v>
      </c>
      <c r="B272" s="332">
        <v>1</v>
      </c>
      <c r="C272" s="332">
        <v>1</v>
      </c>
      <c r="D272" s="337">
        <v>3</v>
      </c>
      <c r="E272" s="333">
        <v>1</v>
      </c>
      <c r="F272" s="333"/>
      <c r="G272" s="333"/>
      <c r="H272" s="335" t="s">
        <v>306</v>
      </c>
      <c r="I272" s="94">
        <v>8</v>
      </c>
      <c r="J272" s="336">
        <v>5</v>
      </c>
      <c r="K272" s="94">
        <v>3</v>
      </c>
      <c r="L272" s="94">
        <v>1</v>
      </c>
    </row>
    <row r="273" spans="1:14" s="16" customFormat="1" ht="12.75" customHeight="1">
      <c r="A273" s="14" t="s">
        <v>1009</v>
      </c>
      <c r="B273" s="98"/>
      <c r="D273" s="330"/>
      <c r="E273" s="98"/>
      <c r="F273" s="98"/>
      <c r="G273" s="98"/>
      <c r="H273" s="75"/>
      <c r="I273" s="14" t="s">
        <v>972</v>
      </c>
    </row>
    <row r="274" spans="1:14" s="68" customFormat="1" ht="12.75" customHeight="1">
      <c r="A274" s="120" t="s">
        <v>475</v>
      </c>
      <c r="B274" s="330" t="s">
        <v>973</v>
      </c>
      <c r="D274" s="83" t="s">
        <v>482</v>
      </c>
      <c r="E274" s="83"/>
      <c r="F274" s="83"/>
      <c r="G274" s="83"/>
      <c r="H274" s="64"/>
      <c r="I274" s="85" t="s">
        <v>489</v>
      </c>
    </row>
    <row r="275" spans="1:14" s="68" customFormat="1" ht="12.75" customHeight="1">
      <c r="A275" s="120" t="s">
        <v>479</v>
      </c>
      <c r="B275" s="83" t="s">
        <v>405</v>
      </c>
      <c r="C275" s="83" t="s">
        <v>406</v>
      </c>
      <c r="D275" s="83"/>
      <c r="E275" s="83" t="str">
        <f>""</f>
        <v/>
      </c>
      <c r="F275" s="83" t="str">
        <f>""</f>
        <v/>
      </c>
      <c r="G275" s="980" t="str">
        <f>G260</f>
        <v>Please specify the climate</v>
      </c>
      <c r="H275" s="64" t="s">
        <v>488</v>
      </c>
      <c r="I275" s="83" t="s">
        <v>405</v>
      </c>
      <c r="J275" s="83" t="s">
        <v>406</v>
      </c>
      <c r="K275" s="83"/>
      <c r="L275" s="83" t="str">
        <f>""</f>
        <v/>
      </c>
      <c r="M275" s="83" t="str">
        <f>""</f>
        <v/>
      </c>
      <c r="N275" s="977" t="str">
        <f>N260</f>
        <v>Please specify the climate</v>
      </c>
    </row>
    <row r="276" spans="1:14" s="959" customFormat="1" ht="12.75" customHeight="1">
      <c r="A276" s="957" t="str">
        <f>List!A6</f>
        <v>Please select</v>
      </c>
      <c r="B276" s="958"/>
      <c r="C276" s="958"/>
      <c r="D276" s="958"/>
      <c r="E276" s="958"/>
      <c r="F276" s="958"/>
      <c r="G276" s="958"/>
      <c r="H276" s="61" t="str">
        <f>A276</f>
        <v>Please select</v>
      </c>
      <c r="I276" s="958"/>
      <c r="J276" s="958"/>
      <c r="K276" s="958"/>
      <c r="L276" s="958"/>
      <c r="M276" s="958"/>
    </row>
    <row r="277" spans="1:14" s="94" customFormat="1" ht="12.75" customHeight="1">
      <c r="A277" s="331" t="s">
        <v>297</v>
      </c>
      <c r="B277" s="332">
        <v>0.9</v>
      </c>
      <c r="C277" s="332">
        <v>1.25</v>
      </c>
      <c r="D277" s="334"/>
      <c r="E277" s="333"/>
      <c r="F277" s="333"/>
      <c r="G277" s="333"/>
      <c r="H277" s="335" t="s">
        <v>297</v>
      </c>
      <c r="I277" s="94">
        <v>5</v>
      </c>
      <c r="J277" s="336">
        <v>5</v>
      </c>
    </row>
    <row r="278" spans="1:14" s="94" customFormat="1" ht="12.75" customHeight="1">
      <c r="A278" s="331" t="s">
        <v>298</v>
      </c>
      <c r="B278" s="332">
        <v>1.3</v>
      </c>
      <c r="C278" s="332">
        <v>0.75</v>
      </c>
      <c r="D278" s="334"/>
      <c r="E278" s="333"/>
      <c r="F278" s="333"/>
      <c r="G278" s="333"/>
      <c r="H278" s="335" t="s">
        <v>298</v>
      </c>
      <c r="I278" s="94">
        <v>5</v>
      </c>
      <c r="J278" s="336">
        <v>5</v>
      </c>
    </row>
    <row r="279" spans="1:14" s="94" customFormat="1" ht="12.75" customHeight="1">
      <c r="A279" s="331" t="s">
        <v>296</v>
      </c>
      <c r="B279" s="332">
        <v>1.3</v>
      </c>
      <c r="C279" s="332">
        <v>0.75</v>
      </c>
      <c r="D279" s="334"/>
      <c r="E279" s="333"/>
      <c r="F279" s="333"/>
      <c r="G279" s="333"/>
      <c r="H279" s="335" t="s">
        <v>296</v>
      </c>
      <c r="I279" s="94">
        <v>5</v>
      </c>
      <c r="J279" s="336">
        <v>5</v>
      </c>
    </row>
    <row r="280" spans="1:14" s="94" customFormat="1" ht="12.75" customHeight="1">
      <c r="A280" s="331" t="s">
        <v>299</v>
      </c>
      <c r="B280" s="332">
        <v>1</v>
      </c>
      <c r="C280" s="332">
        <v>2</v>
      </c>
      <c r="D280" s="334"/>
      <c r="E280" s="333"/>
      <c r="F280" s="333"/>
      <c r="G280" s="333"/>
      <c r="H280" s="335" t="s">
        <v>299</v>
      </c>
      <c r="I280" s="94">
        <v>5</v>
      </c>
      <c r="J280" s="336">
        <v>5</v>
      </c>
    </row>
    <row r="281" spans="1:14" s="94" customFormat="1" ht="12.75" customHeight="1">
      <c r="A281" s="331" t="s">
        <v>300</v>
      </c>
      <c r="B281" s="333">
        <v>1</v>
      </c>
      <c r="C281" s="333">
        <v>1</v>
      </c>
      <c r="D281" s="334"/>
      <c r="E281" s="333"/>
      <c r="F281" s="333"/>
      <c r="G281" s="333"/>
      <c r="H281" s="335" t="s">
        <v>300</v>
      </c>
      <c r="I281" s="94">
        <v>5</v>
      </c>
      <c r="J281" s="336">
        <v>5</v>
      </c>
    </row>
    <row r="282" spans="1:14" s="94" customFormat="1" ht="12.75" customHeight="1">
      <c r="A282" s="331" t="s">
        <v>301</v>
      </c>
      <c r="B282" s="333">
        <v>1</v>
      </c>
      <c r="C282" s="333">
        <v>1</v>
      </c>
      <c r="D282" s="334"/>
      <c r="E282" s="333"/>
      <c r="F282" s="333"/>
      <c r="G282" s="333"/>
      <c r="H282" s="335" t="s">
        <v>301</v>
      </c>
      <c r="I282" s="94">
        <v>5</v>
      </c>
      <c r="J282" s="336">
        <v>5</v>
      </c>
    </row>
    <row r="283" spans="1:14" s="94" customFormat="1" ht="12.75" customHeight="1">
      <c r="A283" s="331" t="s">
        <v>302</v>
      </c>
      <c r="B283" s="333">
        <v>1</v>
      </c>
      <c r="C283" s="333">
        <v>1</v>
      </c>
      <c r="D283" s="334"/>
      <c r="E283" s="333"/>
      <c r="F283" s="333"/>
      <c r="G283" s="333"/>
      <c r="H283" s="335" t="s">
        <v>302</v>
      </c>
      <c r="I283" s="94">
        <v>5</v>
      </c>
      <c r="J283" s="336">
        <v>5</v>
      </c>
    </row>
    <row r="284" spans="1:14" s="94" customFormat="1" ht="12.75" customHeight="1">
      <c r="A284" s="331" t="s">
        <v>303</v>
      </c>
      <c r="B284" s="333">
        <v>1</v>
      </c>
      <c r="C284" s="333">
        <v>1</v>
      </c>
      <c r="D284" s="334"/>
      <c r="E284" s="333"/>
      <c r="F284" s="333"/>
      <c r="G284" s="333"/>
      <c r="H284" s="335" t="s">
        <v>303</v>
      </c>
      <c r="I284" s="94">
        <v>5</v>
      </c>
      <c r="J284" s="336">
        <v>5</v>
      </c>
    </row>
    <row r="285" spans="1:14" s="94" customFormat="1" ht="12.75" customHeight="1">
      <c r="A285" s="331" t="s">
        <v>304</v>
      </c>
      <c r="B285" s="332">
        <v>1</v>
      </c>
      <c r="C285" s="332">
        <v>0.9</v>
      </c>
      <c r="D285" s="334"/>
      <c r="E285" s="333"/>
      <c r="F285" s="333"/>
      <c r="G285" s="333"/>
      <c r="H285" s="335" t="s">
        <v>304</v>
      </c>
      <c r="I285" s="94">
        <v>5</v>
      </c>
      <c r="J285" s="336">
        <v>5</v>
      </c>
    </row>
    <row r="286" spans="1:14" s="94" customFormat="1" ht="12.75" customHeight="1">
      <c r="A286" s="331" t="s">
        <v>305</v>
      </c>
      <c r="B286" s="332">
        <v>1</v>
      </c>
      <c r="C286" s="332">
        <v>0.9</v>
      </c>
      <c r="D286" s="333"/>
      <c r="E286" s="333"/>
      <c r="F286" s="333"/>
      <c r="G286" s="333"/>
      <c r="H286" s="335" t="s">
        <v>305</v>
      </c>
      <c r="I286" s="94">
        <v>5</v>
      </c>
      <c r="J286" s="336">
        <v>5</v>
      </c>
    </row>
    <row r="287" spans="1:14" s="94" customFormat="1" ht="12.75" customHeight="1">
      <c r="A287" s="331" t="s">
        <v>306</v>
      </c>
      <c r="B287" s="332">
        <v>1</v>
      </c>
      <c r="C287" s="332">
        <v>0.9</v>
      </c>
      <c r="D287" s="333"/>
      <c r="E287" s="333"/>
      <c r="F287" s="333"/>
      <c r="G287" s="333"/>
      <c r="H287" s="335" t="s">
        <v>306</v>
      </c>
      <c r="I287" s="94">
        <v>5</v>
      </c>
      <c r="J287" s="336">
        <v>5</v>
      </c>
    </row>
    <row r="288" spans="1:14" s="17" customFormat="1" ht="12.75" customHeight="1">
      <c r="A288" s="97" t="s">
        <v>981</v>
      </c>
      <c r="B288" s="65"/>
      <c r="C288" s="65"/>
      <c r="D288" s="65"/>
      <c r="E288" s="65"/>
      <c r="F288" s="97"/>
      <c r="G288" s="65"/>
      <c r="H288" s="17" t="s">
        <v>986</v>
      </c>
      <c r="I288" s="85"/>
      <c r="K288" s="17" t="s">
        <v>1013</v>
      </c>
    </row>
    <row r="289" spans="1:10" s="17" customFormat="1" ht="12.75" customHeight="1">
      <c r="A289" s="97" t="s">
        <v>568</v>
      </c>
      <c r="B289" s="65" t="s">
        <v>983</v>
      </c>
      <c r="C289" s="65"/>
      <c r="D289" s="65"/>
      <c r="E289" s="65"/>
      <c r="F289" s="97" t="s">
        <v>689</v>
      </c>
      <c r="G289" s="65"/>
      <c r="H289" s="64" t="s">
        <v>5381</v>
      </c>
      <c r="I289" s="85" t="s">
        <v>989</v>
      </c>
    </row>
    <row r="290" spans="1:10" s="64" customFormat="1">
      <c r="A290" s="64" t="s">
        <v>461</v>
      </c>
      <c r="B290" s="133" t="s">
        <v>661</v>
      </c>
      <c r="C290" s="17" t="s">
        <v>985</v>
      </c>
      <c r="D290" s="17" t="s">
        <v>987</v>
      </c>
      <c r="E290" s="17" t="s">
        <v>988</v>
      </c>
      <c r="F290" s="17" t="str">
        <f>List!A124</f>
        <v>Flooded Rice</v>
      </c>
      <c r="G290" s="17" t="s">
        <v>659</v>
      </c>
      <c r="H290" s="17" t="s">
        <v>329</v>
      </c>
      <c r="I290" s="17" t="s">
        <v>1088</v>
      </c>
      <c r="J290" s="84" t="s">
        <v>982</v>
      </c>
    </row>
    <row r="291" spans="1:10" s="967" customFormat="1">
      <c r="A291" s="978" t="str">
        <f>A276</f>
        <v>Please select</v>
      </c>
      <c r="B291" s="975"/>
      <c r="C291" s="12"/>
      <c r="D291" s="12"/>
      <c r="E291" s="12"/>
      <c r="F291" s="12"/>
      <c r="G291" s="12"/>
      <c r="H291" s="12"/>
      <c r="I291" s="12"/>
      <c r="J291" s="976"/>
    </row>
    <row r="292" spans="1:10" s="339" customFormat="1">
      <c r="A292" s="334" t="s">
        <v>318</v>
      </c>
      <c r="B292" s="338">
        <v>5</v>
      </c>
      <c r="C292" s="338">
        <f t="shared" ref="C292:C297" si="5">3*2.1</f>
        <v>6.3000000000000007</v>
      </c>
      <c r="D292" s="339">
        <f>8*C292/3</f>
        <v>16.8</v>
      </c>
      <c r="E292" s="339">
        <f>D292</f>
        <v>16.8</v>
      </c>
      <c r="F292" s="338">
        <v>5</v>
      </c>
      <c r="G292" s="338">
        <v>5</v>
      </c>
      <c r="H292" s="338">
        <f>8.5*0.47</f>
        <v>3.9949999999999997</v>
      </c>
      <c r="I292" s="338">
        <v>0</v>
      </c>
      <c r="J292" s="339">
        <v>1</v>
      </c>
    </row>
    <row r="293" spans="1:10" s="339" customFormat="1">
      <c r="A293" s="334" t="s">
        <v>317</v>
      </c>
      <c r="B293" s="338">
        <v>5</v>
      </c>
      <c r="C293" s="338">
        <f t="shared" si="5"/>
        <v>6.3000000000000007</v>
      </c>
      <c r="D293" s="339">
        <f t="shared" ref="D293:D301" si="6">8*C293/3</f>
        <v>16.8</v>
      </c>
      <c r="E293" s="339">
        <f>D293</f>
        <v>16.8</v>
      </c>
      <c r="F293" s="338">
        <v>5</v>
      </c>
      <c r="G293" s="338">
        <v>5</v>
      </c>
      <c r="H293" s="338">
        <f>H292</f>
        <v>3.9949999999999997</v>
      </c>
      <c r="I293" s="338">
        <v>0</v>
      </c>
      <c r="J293" s="339">
        <v>1</v>
      </c>
    </row>
    <row r="294" spans="1:10" s="339" customFormat="1">
      <c r="A294" s="340" t="s">
        <v>315</v>
      </c>
      <c r="B294" s="338">
        <v>5</v>
      </c>
      <c r="C294" s="338">
        <f t="shared" si="5"/>
        <v>6.3000000000000007</v>
      </c>
      <c r="D294" s="339">
        <f t="shared" si="6"/>
        <v>16.8</v>
      </c>
      <c r="E294" s="339">
        <f>15*C294/3</f>
        <v>31.500000000000004</v>
      </c>
      <c r="F294" s="338">
        <v>5</v>
      </c>
      <c r="G294" s="338">
        <v>5</v>
      </c>
      <c r="H294" s="338">
        <f>6.5*0.47</f>
        <v>3.0549999999999997</v>
      </c>
      <c r="I294" s="338">
        <v>0</v>
      </c>
      <c r="J294" s="339">
        <v>1</v>
      </c>
    </row>
    <row r="295" spans="1:10" s="339" customFormat="1">
      <c r="A295" s="340" t="s">
        <v>316</v>
      </c>
      <c r="B295" s="338">
        <v>5</v>
      </c>
      <c r="C295" s="338">
        <f t="shared" si="5"/>
        <v>6.3000000000000007</v>
      </c>
      <c r="D295" s="339">
        <f t="shared" si="6"/>
        <v>16.8</v>
      </c>
      <c r="E295" s="339">
        <f>15*C295/3</f>
        <v>31.500000000000004</v>
      </c>
      <c r="F295" s="338">
        <v>5</v>
      </c>
      <c r="G295" s="338">
        <v>5</v>
      </c>
      <c r="H295" s="338">
        <f>13.6*0.47</f>
        <v>6.3919999999999995</v>
      </c>
      <c r="I295" s="338">
        <v>0</v>
      </c>
      <c r="J295" s="339">
        <v>1</v>
      </c>
    </row>
    <row r="296" spans="1:10" s="339" customFormat="1">
      <c r="A296" s="340" t="s">
        <v>314</v>
      </c>
      <c r="B296" s="338">
        <v>5</v>
      </c>
      <c r="C296" s="338">
        <f t="shared" si="5"/>
        <v>6.3000000000000007</v>
      </c>
      <c r="D296" s="339">
        <f t="shared" si="6"/>
        <v>16.8</v>
      </c>
      <c r="E296" s="339">
        <f>15*C296/3</f>
        <v>31.500000000000004</v>
      </c>
      <c r="F296" s="338">
        <v>5</v>
      </c>
      <c r="G296" s="338">
        <v>5</v>
      </c>
      <c r="H296" s="338">
        <f>6.1*0.47</f>
        <v>2.8669999999999995</v>
      </c>
      <c r="I296" s="338">
        <v>0</v>
      </c>
      <c r="J296" s="339">
        <v>1</v>
      </c>
    </row>
    <row r="297" spans="1:10" s="339" customFormat="1">
      <c r="A297" s="340" t="s">
        <v>466</v>
      </c>
      <c r="B297" s="338">
        <v>5</v>
      </c>
      <c r="C297" s="338">
        <f t="shared" si="5"/>
        <v>6.3000000000000007</v>
      </c>
      <c r="D297" s="339">
        <f t="shared" si="6"/>
        <v>16.8</v>
      </c>
      <c r="E297" s="339">
        <f>15*C297/3</f>
        <v>31.500000000000004</v>
      </c>
      <c r="F297" s="338">
        <v>5</v>
      </c>
      <c r="G297" s="338">
        <v>5</v>
      </c>
      <c r="H297" s="338">
        <f>13.5*0.47</f>
        <v>6.3449999999999998</v>
      </c>
      <c r="I297" s="338">
        <v>0</v>
      </c>
      <c r="J297" s="339">
        <v>1</v>
      </c>
    </row>
    <row r="298" spans="1:10" s="339" customFormat="1">
      <c r="A298" s="340" t="s">
        <v>6503</v>
      </c>
      <c r="B298" s="338">
        <v>5</v>
      </c>
      <c r="C298" s="338">
        <f>3*1.8</f>
        <v>5.4</v>
      </c>
      <c r="D298" s="339">
        <v>9</v>
      </c>
      <c r="E298" s="339">
        <v>9</v>
      </c>
      <c r="F298" s="338">
        <v>5</v>
      </c>
      <c r="G298" s="338">
        <v>5</v>
      </c>
      <c r="H298" s="338">
        <f>8.7*0.47</f>
        <v>4.0889999999999995</v>
      </c>
      <c r="I298" s="338">
        <v>0</v>
      </c>
      <c r="J298" s="339">
        <v>1</v>
      </c>
    </row>
    <row r="299" spans="1:10" s="339" customFormat="1">
      <c r="A299" s="340" t="s">
        <v>6502</v>
      </c>
      <c r="B299" s="338">
        <v>5</v>
      </c>
      <c r="C299" s="338">
        <v>5.4</v>
      </c>
      <c r="D299" s="339">
        <v>9</v>
      </c>
      <c r="E299" s="339">
        <v>9</v>
      </c>
      <c r="F299" s="338">
        <v>5</v>
      </c>
      <c r="G299" s="338">
        <v>5</v>
      </c>
      <c r="H299" s="338">
        <f>8.7*0.47</f>
        <v>4.0889999999999995</v>
      </c>
      <c r="I299" s="338">
        <v>0</v>
      </c>
      <c r="J299" s="339">
        <v>1</v>
      </c>
    </row>
    <row r="300" spans="1:10" s="339" customFormat="1">
      <c r="A300" s="340" t="s">
        <v>313</v>
      </c>
      <c r="B300" s="338">
        <v>5</v>
      </c>
      <c r="C300" s="338">
        <v>5.4</v>
      </c>
      <c r="D300" s="339">
        <v>9</v>
      </c>
      <c r="E300" s="339">
        <v>9</v>
      </c>
      <c r="F300" s="338">
        <v>5</v>
      </c>
      <c r="G300" s="338">
        <v>5</v>
      </c>
      <c r="H300" s="338">
        <f>8.7*0.47</f>
        <v>4.0889999999999995</v>
      </c>
      <c r="I300" s="338">
        <v>0</v>
      </c>
      <c r="J300" s="339">
        <v>1</v>
      </c>
    </row>
    <row r="301" spans="1:10" s="339" customFormat="1">
      <c r="A301" s="340" t="s">
        <v>311</v>
      </c>
      <c r="B301" s="338">
        <v>5</v>
      </c>
      <c r="C301" s="338">
        <v>7.8</v>
      </c>
      <c r="D301" s="339">
        <f t="shared" si="6"/>
        <v>20.8</v>
      </c>
      <c r="E301" s="339">
        <v>21</v>
      </c>
      <c r="F301" s="338">
        <v>5</v>
      </c>
      <c r="G301" s="338">
        <v>5</v>
      </c>
      <c r="H301" s="338">
        <f>16.1*0.47</f>
        <v>7.5670000000000002</v>
      </c>
      <c r="I301" s="338">
        <v>0</v>
      </c>
      <c r="J301" s="339">
        <v>1</v>
      </c>
    </row>
    <row r="302" spans="1:10" s="339" customFormat="1">
      <c r="A302" s="340" t="s">
        <v>310</v>
      </c>
      <c r="B302" s="338">
        <v>5</v>
      </c>
      <c r="C302" s="338">
        <v>25</v>
      </c>
      <c r="D302" s="339">
        <v>50</v>
      </c>
      <c r="E302" s="339">
        <f>D302</f>
        <v>50</v>
      </c>
      <c r="F302" s="338">
        <v>5</v>
      </c>
      <c r="G302" s="338">
        <v>5</v>
      </c>
      <c r="H302" s="338">
        <f>H301</f>
        <v>7.5670000000000002</v>
      </c>
      <c r="I302" s="338">
        <v>0</v>
      </c>
      <c r="J302" s="339">
        <v>1</v>
      </c>
    </row>
    <row r="303" spans="1:10" s="85" customFormat="1">
      <c r="A303" s="16" t="s">
        <v>458</v>
      </c>
      <c r="B303" s="84"/>
      <c r="C303" s="84"/>
      <c r="D303" s="84"/>
      <c r="G303" s="84"/>
    </row>
    <row r="304" spans="1:10" s="68" customFormat="1">
      <c r="A304" s="68" t="s">
        <v>532</v>
      </c>
      <c r="B304" s="68" t="s">
        <v>531</v>
      </c>
      <c r="C304" s="64"/>
      <c r="D304" s="64"/>
      <c r="G304" s="64"/>
      <c r="H304" s="119" t="s">
        <v>508</v>
      </c>
      <c r="I304" s="103"/>
    </row>
    <row r="305" spans="1:10" s="68" customFormat="1">
      <c r="C305" s="64"/>
      <c r="D305" s="64"/>
      <c r="G305" s="64"/>
      <c r="I305" s="85" t="s">
        <v>990</v>
      </c>
    </row>
    <row r="306" spans="1:10" s="17" customFormat="1">
      <c r="A306" s="64" t="s">
        <v>461</v>
      </c>
      <c r="B306" s="30" t="s">
        <v>661</v>
      </c>
      <c r="C306" s="17" t="s">
        <v>985</v>
      </c>
      <c r="D306" s="17" t="s">
        <v>987</v>
      </c>
      <c r="E306" s="17" t="s">
        <v>988</v>
      </c>
      <c r="F306" s="17" t="str">
        <f>F290</f>
        <v>Flooded Rice</v>
      </c>
      <c r="G306" s="17" t="s">
        <v>659</v>
      </c>
      <c r="H306" s="17" t="s">
        <v>329</v>
      </c>
      <c r="I306" s="17" t="s">
        <v>1088</v>
      </c>
      <c r="J306" s="84" t="s">
        <v>982</v>
      </c>
    </row>
    <row r="307" spans="1:10" s="12" customFormat="1">
      <c r="A307" s="967" t="str">
        <f>A291</f>
        <v>Please select</v>
      </c>
      <c r="B307" s="86"/>
      <c r="J307" s="976"/>
    </row>
    <row r="308" spans="1:10" s="339" customFormat="1">
      <c r="A308" s="334" t="s">
        <v>318</v>
      </c>
      <c r="B308" s="338">
        <f>0.8</f>
        <v>0.8</v>
      </c>
      <c r="C308" s="338">
        <v>1</v>
      </c>
      <c r="D308" s="338">
        <v>1</v>
      </c>
      <c r="E308" s="338">
        <v>1</v>
      </c>
      <c r="F308" s="338">
        <v>1.1000000000000001</v>
      </c>
      <c r="G308" s="338">
        <v>0.93</v>
      </c>
      <c r="H308" s="338">
        <v>1</v>
      </c>
      <c r="I308" s="338">
        <v>1</v>
      </c>
      <c r="J308" s="339">
        <v>0.33</v>
      </c>
    </row>
    <row r="309" spans="1:10" s="339" customFormat="1">
      <c r="A309" s="334" t="s">
        <v>317</v>
      </c>
      <c r="B309" s="338">
        <v>0.69</v>
      </c>
      <c r="C309" s="338">
        <v>1</v>
      </c>
      <c r="D309" s="338">
        <v>1</v>
      </c>
      <c r="E309" s="338">
        <v>1</v>
      </c>
      <c r="F309" s="338">
        <v>1.1000000000000001</v>
      </c>
      <c r="G309" s="338">
        <v>0.82</v>
      </c>
      <c r="H309" s="338">
        <v>1</v>
      </c>
      <c r="I309" s="338">
        <v>1</v>
      </c>
      <c r="J309" s="339">
        <v>0.33</v>
      </c>
    </row>
    <row r="310" spans="1:10" s="339" customFormat="1">
      <c r="A310" s="340" t="s">
        <v>315</v>
      </c>
      <c r="B310" s="338">
        <v>0.8</v>
      </c>
      <c r="C310" s="338">
        <v>1</v>
      </c>
      <c r="D310" s="338">
        <v>1</v>
      </c>
      <c r="E310" s="338">
        <v>1</v>
      </c>
      <c r="F310" s="338">
        <v>1.1000000000000001</v>
      </c>
      <c r="G310" s="338">
        <v>0.93</v>
      </c>
      <c r="H310" s="338">
        <v>1</v>
      </c>
      <c r="I310" s="338">
        <v>1</v>
      </c>
      <c r="J310" s="339">
        <v>0.33</v>
      </c>
    </row>
    <row r="311" spans="1:10" s="339" customFormat="1">
      <c r="A311" s="340" t="s">
        <v>316</v>
      </c>
      <c r="B311" s="338">
        <v>0.69</v>
      </c>
      <c r="C311" s="338">
        <v>1</v>
      </c>
      <c r="D311" s="338">
        <v>1</v>
      </c>
      <c r="E311" s="338">
        <v>1</v>
      </c>
      <c r="F311" s="338">
        <v>1.1000000000000001</v>
      </c>
      <c r="G311" s="338">
        <v>0.82</v>
      </c>
      <c r="H311" s="338">
        <v>1</v>
      </c>
      <c r="I311" s="338">
        <v>1</v>
      </c>
      <c r="J311" s="339">
        <v>0.33</v>
      </c>
    </row>
    <row r="312" spans="1:10" s="339" customFormat="1">
      <c r="A312" s="340" t="s">
        <v>314</v>
      </c>
      <c r="B312" s="338">
        <v>0.8</v>
      </c>
      <c r="C312" s="338">
        <v>1</v>
      </c>
      <c r="D312" s="338">
        <v>1</v>
      </c>
      <c r="E312" s="338">
        <v>1</v>
      </c>
      <c r="F312" s="338">
        <v>1.1000000000000001</v>
      </c>
      <c r="G312" s="338">
        <v>0.93</v>
      </c>
      <c r="H312" s="338">
        <v>1</v>
      </c>
      <c r="I312" s="338">
        <v>1</v>
      </c>
      <c r="J312" s="339">
        <v>0.33</v>
      </c>
    </row>
    <row r="313" spans="1:10" s="339" customFormat="1">
      <c r="A313" s="340" t="s">
        <v>466</v>
      </c>
      <c r="B313" s="338">
        <v>0.69</v>
      </c>
      <c r="C313" s="338">
        <v>1</v>
      </c>
      <c r="D313" s="338">
        <v>1</v>
      </c>
      <c r="E313" s="338">
        <v>1</v>
      </c>
      <c r="F313" s="338">
        <v>1.1000000000000001</v>
      </c>
      <c r="G313" s="338">
        <v>0.82</v>
      </c>
      <c r="H313" s="338">
        <v>1</v>
      </c>
      <c r="I313" s="338">
        <v>1</v>
      </c>
      <c r="J313" s="339">
        <v>0.33</v>
      </c>
    </row>
    <row r="314" spans="1:10" s="339" customFormat="1">
      <c r="A314" s="340" t="s">
        <v>6503</v>
      </c>
      <c r="B314" s="338">
        <v>0.64</v>
      </c>
      <c r="C314" s="338">
        <v>1</v>
      </c>
      <c r="D314" s="338">
        <v>1</v>
      </c>
      <c r="E314" s="338">
        <v>1</v>
      </c>
      <c r="F314" s="338">
        <v>1.1000000000000001</v>
      </c>
      <c r="G314" s="338">
        <v>0.88</v>
      </c>
      <c r="H314" s="338">
        <v>1</v>
      </c>
      <c r="I314" s="338">
        <v>1</v>
      </c>
      <c r="J314" s="339">
        <v>0.33</v>
      </c>
    </row>
    <row r="315" spans="1:10" s="339" customFormat="1">
      <c r="A315" s="340" t="s">
        <v>6502</v>
      </c>
      <c r="B315" s="338">
        <v>0.64</v>
      </c>
      <c r="C315" s="338">
        <v>1</v>
      </c>
      <c r="D315" s="338">
        <v>1</v>
      </c>
      <c r="E315" s="338">
        <v>1</v>
      </c>
      <c r="F315" s="338">
        <v>1.1000000000000001</v>
      </c>
      <c r="G315" s="338">
        <v>0.88</v>
      </c>
      <c r="H315" s="338">
        <v>1</v>
      </c>
      <c r="I315" s="338">
        <v>1</v>
      </c>
      <c r="J315" s="339">
        <v>0.33</v>
      </c>
    </row>
    <row r="316" spans="1:10" s="339" customFormat="1">
      <c r="A316" s="340" t="s">
        <v>313</v>
      </c>
      <c r="B316" s="338">
        <v>0.57999999999999996</v>
      </c>
      <c r="C316" s="338">
        <v>1</v>
      </c>
      <c r="D316" s="338">
        <v>1</v>
      </c>
      <c r="E316" s="338">
        <v>1</v>
      </c>
      <c r="F316" s="338">
        <v>1.1000000000000001</v>
      </c>
      <c r="G316" s="338">
        <v>0.93</v>
      </c>
      <c r="H316" s="338">
        <v>1</v>
      </c>
      <c r="I316" s="338">
        <v>1</v>
      </c>
      <c r="J316" s="339">
        <v>0.33</v>
      </c>
    </row>
    <row r="317" spans="1:10" s="339" customFormat="1">
      <c r="A317" s="340" t="s">
        <v>311</v>
      </c>
      <c r="B317" s="338">
        <v>0.48</v>
      </c>
      <c r="C317" s="338">
        <v>1</v>
      </c>
      <c r="D317" s="338">
        <v>1</v>
      </c>
      <c r="E317" s="338">
        <v>1</v>
      </c>
      <c r="F317" s="338">
        <v>1.1000000000000001</v>
      </c>
      <c r="G317" s="338">
        <v>0.82</v>
      </c>
      <c r="H317" s="338">
        <v>1</v>
      </c>
      <c r="I317" s="338">
        <v>1</v>
      </c>
      <c r="J317" s="339">
        <v>0.33</v>
      </c>
    </row>
    <row r="318" spans="1:10" s="339" customFormat="1">
      <c r="A318" s="340" t="s">
        <v>310</v>
      </c>
      <c r="B318" s="338">
        <v>0.48</v>
      </c>
      <c r="C318" s="338">
        <v>1</v>
      </c>
      <c r="D318" s="338">
        <v>1</v>
      </c>
      <c r="E318" s="338">
        <v>1</v>
      </c>
      <c r="F318" s="338">
        <v>1.1000000000000001</v>
      </c>
      <c r="G318" s="338">
        <v>0.82</v>
      </c>
      <c r="H318" s="338">
        <v>1</v>
      </c>
      <c r="I318" s="338">
        <v>1</v>
      </c>
      <c r="J318" s="339">
        <v>0.33</v>
      </c>
    </row>
    <row r="319" spans="1:10" s="17" customFormat="1" ht="12.75" customHeight="1">
      <c r="A319" s="13" t="s">
        <v>993</v>
      </c>
      <c r="B319" s="97"/>
      <c r="C319" s="97"/>
      <c r="D319" s="97"/>
      <c r="E319" s="97"/>
      <c r="F319" s="97"/>
      <c r="G319" s="65"/>
      <c r="I319" s="85"/>
    </row>
    <row r="320" spans="1:10" s="17" customFormat="1" ht="12.75" customHeight="1">
      <c r="A320" s="13"/>
      <c r="B320" s="97" t="s">
        <v>527</v>
      </c>
      <c r="D320" s="97"/>
      <c r="E320" s="97" t="s">
        <v>994</v>
      </c>
      <c r="F320" s="97"/>
      <c r="G320" s="65"/>
      <c r="H320" s="64" t="s">
        <v>569</v>
      </c>
      <c r="I320" s="85"/>
    </row>
    <row r="321" spans="1:9" s="17" customFormat="1" ht="12.75" customHeight="1">
      <c r="A321" s="13"/>
      <c r="B321" s="65" t="s">
        <v>528</v>
      </c>
      <c r="C321" s="65" t="s">
        <v>331</v>
      </c>
      <c r="D321" s="30" t="s">
        <v>332</v>
      </c>
      <c r="E321" s="65" t="s">
        <v>333</v>
      </c>
      <c r="F321" s="97" t="s">
        <v>980</v>
      </c>
      <c r="G321" s="65"/>
      <c r="I321" s="85"/>
    </row>
    <row r="322" spans="1:9" s="94" customFormat="1" ht="12.75" customHeight="1">
      <c r="A322" s="333" t="s">
        <v>661</v>
      </c>
      <c r="B322" s="346">
        <v>0.4</v>
      </c>
      <c r="C322" s="346">
        <v>1515</v>
      </c>
      <c r="D322" s="346">
        <v>2.7</v>
      </c>
      <c r="E322" s="346">
        <v>0.7</v>
      </c>
      <c r="F322" s="333"/>
      <c r="G322" s="333" t="s">
        <v>995</v>
      </c>
      <c r="I322" s="336"/>
    </row>
    <row r="323" spans="1:9" s="94" customFormat="1" ht="12.75" customHeight="1">
      <c r="A323" s="333" t="s">
        <v>985</v>
      </c>
      <c r="B323" s="346">
        <v>0.8</v>
      </c>
      <c r="C323" s="346">
        <v>1613</v>
      </c>
      <c r="D323" s="346">
        <v>2.2999999999999998</v>
      </c>
      <c r="E323" s="346">
        <v>0.21</v>
      </c>
      <c r="F323" s="333"/>
      <c r="G323" s="346"/>
      <c r="I323" s="336"/>
    </row>
    <row r="324" spans="1:9" s="94" customFormat="1" ht="12.75" customHeight="1">
      <c r="A324" s="333" t="s">
        <v>987</v>
      </c>
      <c r="B324" s="346">
        <v>0.8</v>
      </c>
      <c r="C324" s="346">
        <v>1613</v>
      </c>
      <c r="D324" s="346">
        <v>2.2999999999999998</v>
      </c>
      <c r="E324" s="346">
        <v>0.21</v>
      </c>
      <c r="F324" s="333"/>
      <c r="G324" s="346"/>
      <c r="I324" s="336"/>
    </row>
    <row r="325" spans="1:9" s="94" customFormat="1" ht="12.75" customHeight="1">
      <c r="A325" s="333" t="s">
        <v>988</v>
      </c>
      <c r="B325" s="346">
        <v>0.8</v>
      </c>
      <c r="C325" s="346">
        <v>1613</v>
      </c>
      <c r="D325" s="346">
        <v>2.2999999999999998</v>
      </c>
      <c r="E325" s="346">
        <v>0.21</v>
      </c>
      <c r="F325" s="333"/>
      <c r="G325" s="346"/>
      <c r="I325" s="336"/>
    </row>
    <row r="326" spans="1:9" s="94" customFormat="1" ht="12.75" customHeight="1">
      <c r="A326" s="331" t="str">
        <f>F306</f>
        <v>Flooded Rice</v>
      </c>
      <c r="B326" s="346">
        <v>0.4</v>
      </c>
      <c r="C326" s="346">
        <v>1515</v>
      </c>
      <c r="D326" s="346">
        <v>2.7</v>
      </c>
      <c r="E326" s="346">
        <v>0.7</v>
      </c>
      <c r="F326" s="333"/>
      <c r="G326" s="333" t="s">
        <v>995</v>
      </c>
      <c r="I326" s="336"/>
    </row>
    <row r="327" spans="1:9" s="94" customFormat="1" ht="12.75" customHeight="1">
      <c r="A327" s="333" t="s">
        <v>659</v>
      </c>
      <c r="B327" s="346">
        <v>0.8</v>
      </c>
      <c r="C327" s="346">
        <v>1515</v>
      </c>
      <c r="D327" s="346">
        <v>2.7</v>
      </c>
      <c r="E327" s="346">
        <v>0.7</v>
      </c>
      <c r="F327" s="333"/>
      <c r="G327" s="346"/>
      <c r="I327" s="336"/>
    </row>
    <row r="328" spans="1:9" s="94" customFormat="1" ht="12.75" customHeight="1">
      <c r="A328" s="333" t="s">
        <v>329</v>
      </c>
      <c r="B328" s="346">
        <v>0.8</v>
      </c>
      <c r="C328" s="346">
        <v>1613</v>
      </c>
      <c r="D328" s="346">
        <v>2.2999999999999998</v>
      </c>
      <c r="E328" s="346">
        <v>0.21</v>
      </c>
      <c r="F328" s="333"/>
      <c r="G328" s="346"/>
      <c r="I328" s="336"/>
    </row>
    <row r="329" spans="1:9" s="94" customFormat="1" ht="12.75" customHeight="1">
      <c r="A329" s="333" t="s">
        <v>982</v>
      </c>
      <c r="B329" s="346">
        <v>0.8</v>
      </c>
      <c r="C329" s="346">
        <v>1613</v>
      </c>
      <c r="D329" s="346">
        <v>2.2999999999999998</v>
      </c>
      <c r="E329" s="346">
        <v>0.21</v>
      </c>
      <c r="F329" s="333"/>
      <c r="G329" s="346"/>
      <c r="I329" s="336"/>
    </row>
    <row r="330" spans="1:9" s="94" customFormat="1" ht="12.75" customHeight="1">
      <c r="A330" s="333" t="s">
        <v>1088</v>
      </c>
      <c r="B330" s="346">
        <v>0</v>
      </c>
      <c r="C330" s="346"/>
      <c r="D330" s="346">
        <v>0</v>
      </c>
      <c r="E330" s="346">
        <v>0</v>
      </c>
      <c r="F330" s="333"/>
      <c r="G330" s="346"/>
      <c r="I330" s="336"/>
    </row>
    <row r="331" spans="1:9" s="94" customFormat="1" ht="12.75" customHeight="1">
      <c r="A331" s="1022" t="str">
        <f>List!A119</f>
        <v>Select Initial Land Use</v>
      </c>
      <c r="B331" s="346"/>
      <c r="C331" s="346"/>
      <c r="D331" s="346"/>
      <c r="E331" s="346"/>
      <c r="F331" s="333"/>
      <c r="G331" s="346"/>
      <c r="I331" s="336"/>
    </row>
    <row r="332" spans="1:9" s="17" customFormat="1" ht="12.75" customHeight="1">
      <c r="A332" s="16" t="s">
        <v>407</v>
      </c>
      <c r="B332" s="69" t="s">
        <v>408</v>
      </c>
      <c r="C332" s="30"/>
      <c r="D332" s="30"/>
      <c r="G332" s="30"/>
      <c r="I332" s="85"/>
    </row>
    <row r="333" spans="1:9" s="17" customFormat="1" ht="12.75" customHeight="1">
      <c r="A333" s="68" t="s">
        <v>409</v>
      </c>
      <c r="B333" s="64"/>
      <c r="C333" s="64"/>
      <c r="D333" s="30"/>
      <c r="E333" s="68" t="s">
        <v>410</v>
      </c>
      <c r="G333" s="30"/>
      <c r="I333" s="85"/>
    </row>
    <row r="334" spans="1:9" s="17" customFormat="1">
      <c r="A334" s="68" t="s">
        <v>411</v>
      </c>
      <c r="B334" s="64"/>
      <c r="C334" s="64"/>
      <c r="D334" s="30"/>
      <c r="E334" s="68" t="s">
        <v>412</v>
      </c>
      <c r="G334" s="30"/>
      <c r="I334" s="85"/>
    </row>
    <row r="335" spans="1:9" s="70" customFormat="1">
      <c r="A335" s="70" t="s">
        <v>359</v>
      </c>
      <c r="B335" s="71">
        <v>8</v>
      </c>
      <c r="C335" s="72"/>
      <c r="D335" s="73"/>
      <c r="G335" s="71"/>
      <c r="I335" s="105"/>
    </row>
    <row r="336" spans="1:9" s="70" customFormat="1">
      <c r="A336" s="70" t="s">
        <v>4</v>
      </c>
      <c r="B336" s="74">
        <v>0</v>
      </c>
      <c r="C336" s="72"/>
      <c r="D336" s="73"/>
      <c r="G336" s="71"/>
      <c r="I336" s="105"/>
    </row>
    <row r="337" spans="1:10" s="70" customFormat="1">
      <c r="A337" s="70" t="s">
        <v>413</v>
      </c>
      <c r="B337" s="74">
        <v>5</v>
      </c>
      <c r="C337" s="72"/>
      <c r="D337" s="73"/>
      <c r="G337" s="71"/>
      <c r="I337" s="105"/>
    </row>
    <row r="338" spans="1:10" s="70" customFormat="1">
      <c r="A338" s="70" t="s">
        <v>414</v>
      </c>
      <c r="B338" s="71">
        <v>46</v>
      </c>
      <c r="C338" s="72"/>
      <c r="D338" s="73"/>
      <c r="G338" s="71"/>
      <c r="I338" s="105"/>
    </row>
    <row r="339" spans="1:10" s="70" customFormat="1">
      <c r="A339" s="70" t="s">
        <v>415</v>
      </c>
      <c r="B339" s="71">
        <v>18</v>
      </c>
      <c r="C339" s="72"/>
      <c r="D339" s="73"/>
      <c r="G339" s="71"/>
      <c r="I339" s="105"/>
    </row>
    <row r="340" spans="1:10" s="70" customFormat="1">
      <c r="A340" s="70" t="s">
        <v>360</v>
      </c>
      <c r="B340" s="71">
        <v>10</v>
      </c>
      <c r="C340" s="72"/>
      <c r="D340" s="73"/>
      <c r="G340" s="71"/>
      <c r="I340" s="105"/>
    </row>
    <row r="341" spans="1:10" s="70" customFormat="1">
      <c r="A341" s="70" t="s">
        <v>1159</v>
      </c>
      <c r="B341" s="1934">
        <v>0.08</v>
      </c>
      <c r="C341" s="1935" t="s">
        <v>1431</v>
      </c>
      <c r="D341" s="1931"/>
      <c r="E341" s="1932"/>
      <c r="F341" s="1932"/>
      <c r="G341" s="1933"/>
      <c r="H341" s="1932"/>
      <c r="I341" s="1930"/>
      <c r="J341" s="1881"/>
    </row>
    <row r="342" spans="1:10" s="70" customFormat="1">
      <c r="A342" s="70" t="s">
        <v>416</v>
      </c>
      <c r="B342" s="71">
        <v>20</v>
      </c>
      <c r="C342" s="72"/>
      <c r="D342" s="73"/>
      <c r="G342" s="71"/>
      <c r="I342" s="105"/>
    </row>
    <row r="343" spans="1:10" s="70" customFormat="1">
      <c r="A343" s="70" t="s">
        <v>417</v>
      </c>
      <c r="B343" s="71">
        <v>8</v>
      </c>
      <c r="C343" s="72"/>
      <c r="D343" s="73"/>
      <c r="G343" s="71"/>
      <c r="I343" s="105"/>
    </row>
    <row r="344" spans="1:10" s="17" customFormat="1" ht="12.75" customHeight="1">
      <c r="A344" s="16" t="s">
        <v>407</v>
      </c>
      <c r="B344" s="69" t="s">
        <v>418</v>
      </c>
      <c r="C344" s="30"/>
      <c r="D344" s="30"/>
      <c r="G344" s="30"/>
      <c r="I344" s="85"/>
    </row>
    <row r="345" spans="1:10" s="17" customFormat="1" ht="12.75" customHeight="1">
      <c r="A345" s="68" t="s">
        <v>409</v>
      </c>
      <c r="B345" s="64"/>
      <c r="C345" s="64"/>
      <c r="D345" s="30"/>
      <c r="E345" s="68" t="s">
        <v>410</v>
      </c>
      <c r="G345" s="30"/>
      <c r="I345" s="85"/>
    </row>
    <row r="346" spans="1:10" s="17" customFormat="1">
      <c r="A346" s="68" t="s">
        <v>411</v>
      </c>
      <c r="B346" s="64"/>
      <c r="C346" s="64"/>
      <c r="D346" s="30"/>
      <c r="E346" s="68" t="s">
        <v>412</v>
      </c>
      <c r="G346" s="30"/>
      <c r="I346" s="85"/>
    </row>
    <row r="347" spans="1:10" s="354" customFormat="1">
      <c r="A347" s="354" t="s">
        <v>359</v>
      </c>
      <c r="B347" s="355">
        <v>5</v>
      </c>
      <c r="C347" s="356"/>
      <c r="D347" s="357"/>
      <c r="G347" s="355"/>
      <c r="I347" s="358"/>
    </row>
    <row r="348" spans="1:10" s="354" customFormat="1">
      <c r="A348" s="354" t="str">
        <f>A336</f>
        <v>Please select</v>
      </c>
      <c r="B348" s="355">
        <f>B336</f>
        <v>0</v>
      </c>
      <c r="C348" s="356"/>
      <c r="D348" s="357"/>
      <c r="G348" s="355"/>
      <c r="I348" s="358"/>
    </row>
    <row r="349" spans="1:10" s="359" customFormat="1">
      <c r="A349" s="359" t="s">
        <v>413</v>
      </c>
      <c r="B349" s="355">
        <v>5</v>
      </c>
      <c r="C349" s="356"/>
      <c r="D349" s="357"/>
      <c r="G349" s="360"/>
      <c r="I349" s="358"/>
    </row>
    <row r="350" spans="1:10" s="359" customFormat="1">
      <c r="A350" s="359" t="s">
        <v>414</v>
      </c>
      <c r="B350" s="360">
        <v>46</v>
      </c>
      <c r="C350" s="356"/>
      <c r="D350" s="357"/>
      <c r="G350" s="360"/>
      <c r="I350" s="358"/>
    </row>
    <row r="351" spans="1:10" s="359" customFormat="1">
      <c r="A351" s="359" t="s">
        <v>415</v>
      </c>
      <c r="B351" s="360">
        <v>18</v>
      </c>
      <c r="C351" s="356"/>
      <c r="D351" s="357"/>
      <c r="G351" s="360"/>
      <c r="I351" s="358"/>
    </row>
    <row r="352" spans="1:10" s="359" customFormat="1">
      <c r="A352" s="359" t="s">
        <v>360</v>
      </c>
      <c r="B352" s="360">
        <v>10</v>
      </c>
      <c r="C352" s="356"/>
      <c r="D352" s="357"/>
      <c r="G352" s="360"/>
      <c r="I352" s="358"/>
    </row>
    <row r="353" spans="1:10" s="359" customFormat="1">
      <c r="A353" s="359" t="s">
        <v>1159</v>
      </c>
      <c r="B353" s="1934">
        <v>1.3799999999999999E-4</v>
      </c>
      <c r="C353" s="1935" t="s">
        <v>1430</v>
      </c>
      <c r="D353" s="1931"/>
      <c r="E353" s="1932"/>
      <c r="F353" s="1932"/>
      <c r="G353" s="1933"/>
      <c r="H353" s="1932"/>
      <c r="I353" s="1930"/>
      <c r="J353" s="1881"/>
    </row>
    <row r="354" spans="1:10" s="359" customFormat="1">
      <c r="A354" s="359" t="s">
        <v>416</v>
      </c>
      <c r="B354" s="360">
        <v>20</v>
      </c>
      <c r="C354" s="356"/>
      <c r="D354" s="357"/>
      <c r="G354" s="360"/>
      <c r="I354" s="358"/>
    </row>
    <row r="355" spans="1:10" s="359" customFormat="1">
      <c r="A355" s="359" t="s">
        <v>417</v>
      </c>
      <c r="B355" s="360">
        <v>8</v>
      </c>
      <c r="C355" s="356"/>
      <c r="D355" s="357"/>
      <c r="G355" s="360"/>
      <c r="I355" s="358"/>
    </row>
    <row r="356" spans="1:10" s="17" customFormat="1" ht="12.75" customHeight="1">
      <c r="A356" s="16" t="s">
        <v>419</v>
      </c>
      <c r="B356" s="30"/>
      <c r="C356" s="30"/>
      <c r="D356" s="30"/>
      <c r="G356" s="30"/>
      <c r="I356" s="85"/>
    </row>
    <row r="357" spans="1:10" s="17" customFormat="1" ht="12.75" customHeight="1">
      <c r="A357" s="68" t="s">
        <v>409</v>
      </c>
      <c r="B357" s="64"/>
      <c r="C357" s="64"/>
      <c r="D357" s="30"/>
      <c r="E357" s="68" t="s">
        <v>420</v>
      </c>
      <c r="G357" s="30"/>
      <c r="I357" s="85"/>
    </row>
    <row r="358" spans="1:10" s="17" customFormat="1">
      <c r="A358" s="68" t="s">
        <v>411</v>
      </c>
      <c r="B358" s="64"/>
      <c r="D358" s="30"/>
      <c r="E358" s="68" t="s">
        <v>412</v>
      </c>
      <c r="G358" s="30"/>
      <c r="I358" s="85"/>
    </row>
    <row r="359" spans="1:10" s="17" customFormat="1">
      <c r="A359" s="68"/>
      <c r="B359" s="64" t="s">
        <v>421</v>
      </c>
      <c r="C359" s="64" t="s">
        <v>388</v>
      </c>
      <c r="D359" s="64" t="s">
        <v>422</v>
      </c>
      <c r="G359" s="30"/>
      <c r="I359" s="85"/>
    </row>
    <row r="360" spans="1:10" s="63" customFormat="1">
      <c r="A360" s="959" t="str">
        <f>List!A6</f>
        <v>Please select</v>
      </c>
      <c r="B360" s="61"/>
      <c r="C360" s="61"/>
      <c r="D360" s="61"/>
      <c r="G360" s="62"/>
      <c r="I360" s="102"/>
    </row>
    <row r="361" spans="1:10" s="359" customFormat="1">
      <c r="A361" s="359" t="s">
        <v>304</v>
      </c>
      <c r="B361" s="360">
        <v>121</v>
      </c>
      <c r="C361" s="360">
        <v>53</v>
      </c>
      <c r="E361" s="356"/>
      <c r="F361" s="357"/>
      <c r="G361" s="360"/>
      <c r="I361" s="358"/>
    </row>
    <row r="362" spans="1:10" s="359" customFormat="1">
      <c r="A362" s="359" t="s">
        <v>301</v>
      </c>
      <c r="B362" s="360">
        <v>109</v>
      </c>
      <c r="C362" s="360">
        <v>57</v>
      </c>
      <c r="E362" s="356"/>
      <c r="F362" s="357"/>
      <c r="G362" s="360"/>
      <c r="I362" s="358"/>
    </row>
    <row r="363" spans="1:10" s="359" customFormat="1">
      <c r="A363" s="359" t="s">
        <v>302</v>
      </c>
      <c r="B363" s="360">
        <v>89</v>
      </c>
      <c r="C363" s="360">
        <v>58</v>
      </c>
      <c r="E363" s="356"/>
      <c r="F363" s="357"/>
      <c r="G363" s="360"/>
      <c r="I363" s="358"/>
    </row>
    <row r="364" spans="1:10" s="359" customFormat="1">
      <c r="A364" s="359" t="s">
        <v>303</v>
      </c>
      <c r="B364" s="360">
        <v>81</v>
      </c>
      <c r="C364" s="360">
        <v>60</v>
      </c>
      <c r="E364" s="356"/>
      <c r="F364" s="357"/>
      <c r="G364" s="360"/>
      <c r="I364" s="358"/>
    </row>
    <row r="365" spans="1:10" s="359" customFormat="1">
      <c r="A365" s="359" t="s">
        <v>305</v>
      </c>
      <c r="B365" s="360">
        <v>63</v>
      </c>
      <c r="C365" s="360">
        <v>56</v>
      </c>
      <c r="D365" s="359" t="s">
        <v>423</v>
      </c>
      <c r="E365" s="356"/>
      <c r="F365" s="357"/>
      <c r="G365" s="360"/>
      <c r="I365" s="358"/>
    </row>
    <row r="366" spans="1:10" s="359" customFormat="1">
      <c r="A366" s="359" t="s">
        <v>306</v>
      </c>
      <c r="B366" s="360">
        <v>63</v>
      </c>
      <c r="C366" s="360">
        <v>56</v>
      </c>
      <c r="D366" s="359" t="s">
        <v>423</v>
      </c>
      <c r="E366" s="356"/>
      <c r="F366" s="357"/>
      <c r="G366" s="360"/>
      <c r="I366" s="358"/>
    </row>
    <row r="367" spans="1:10" s="359" customFormat="1">
      <c r="A367" s="359" t="s">
        <v>298</v>
      </c>
      <c r="B367" s="360">
        <v>61</v>
      </c>
      <c r="C367" s="360">
        <v>47</v>
      </c>
      <c r="D367" s="359" t="s">
        <v>424</v>
      </c>
      <c r="E367" s="356"/>
      <c r="F367" s="357"/>
      <c r="G367" s="360"/>
      <c r="I367" s="358"/>
    </row>
    <row r="368" spans="1:10" s="359" customFormat="1">
      <c r="A368" s="359" t="s">
        <v>299</v>
      </c>
      <c r="B368" s="360">
        <v>61</v>
      </c>
      <c r="C368" s="360">
        <v>47</v>
      </c>
      <c r="D368" s="359" t="s">
        <v>424</v>
      </c>
      <c r="E368" s="356"/>
      <c r="F368" s="357"/>
      <c r="G368" s="360"/>
      <c r="I368" s="358"/>
    </row>
    <row r="369" spans="1:20" s="359" customFormat="1">
      <c r="A369" s="359" t="s">
        <v>297</v>
      </c>
      <c r="B369" s="360">
        <v>40</v>
      </c>
      <c r="C369" s="360">
        <v>31</v>
      </c>
      <c r="E369" s="356"/>
      <c r="F369" s="357"/>
      <c r="G369" s="360"/>
      <c r="I369" s="358"/>
    </row>
    <row r="370" spans="1:20" s="359" customFormat="1">
      <c r="A370" s="359" t="s">
        <v>300</v>
      </c>
      <c r="B370" s="360">
        <v>40</v>
      </c>
      <c r="C370" s="360">
        <v>31</v>
      </c>
      <c r="E370" s="356"/>
      <c r="F370" s="357"/>
      <c r="G370" s="360"/>
      <c r="I370" s="358"/>
    </row>
    <row r="371" spans="1:20" s="359" customFormat="1">
      <c r="A371" s="359" t="s">
        <v>425</v>
      </c>
      <c r="B371" s="360">
        <v>51</v>
      </c>
      <c r="C371" s="360">
        <v>27</v>
      </c>
      <c r="D371" s="359" t="s">
        <v>426</v>
      </c>
      <c r="E371" s="356"/>
      <c r="F371" s="357"/>
      <c r="G371" s="360"/>
      <c r="I371" s="358"/>
    </row>
    <row r="372" spans="1:20" s="16" customFormat="1">
      <c r="A372" s="16" t="s">
        <v>427</v>
      </c>
      <c r="B372" s="75"/>
      <c r="C372" s="75"/>
      <c r="E372" s="76"/>
      <c r="F372" s="77"/>
      <c r="G372" s="75"/>
      <c r="I372" s="85"/>
    </row>
    <row r="373" spans="1:20" s="68" customFormat="1">
      <c r="A373" s="68" t="s">
        <v>428</v>
      </c>
      <c r="B373" s="64"/>
      <c r="C373" s="64"/>
      <c r="E373" s="78" t="s">
        <v>429</v>
      </c>
      <c r="F373" s="64"/>
      <c r="G373" s="64"/>
      <c r="I373" s="103"/>
    </row>
    <row r="374" spans="1:20" s="68" customFormat="1">
      <c r="A374" s="68" t="s">
        <v>430</v>
      </c>
      <c r="B374" s="64"/>
      <c r="C374" s="64"/>
      <c r="E374" s="78" t="s">
        <v>431</v>
      </c>
      <c r="F374" s="64"/>
      <c r="G374" s="64"/>
      <c r="I374" s="103"/>
    </row>
    <row r="375" spans="1:20" s="17" customFormat="1">
      <c r="A375" s="17" t="s">
        <v>330</v>
      </c>
      <c r="B375" s="30" t="s">
        <v>432</v>
      </c>
      <c r="C375" s="30">
        <v>11</v>
      </c>
      <c r="D375" s="30">
        <v>12</v>
      </c>
      <c r="E375" s="79">
        <v>13</v>
      </c>
      <c r="F375" s="30">
        <v>14</v>
      </c>
      <c r="G375" s="30">
        <v>15</v>
      </c>
      <c r="H375" s="79">
        <v>16</v>
      </c>
      <c r="I375" s="84">
        <v>17</v>
      </c>
      <c r="J375" s="30">
        <v>18</v>
      </c>
      <c r="K375" s="79">
        <v>19</v>
      </c>
      <c r="L375" s="30">
        <v>20</v>
      </c>
      <c r="M375" s="30">
        <v>21</v>
      </c>
      <c r="N375" s="79">
        <v>22</v>
      </c>
      <c r="O375" s="30">
        <v>23</v>
      </c>
      <c r="P375" s="30">
        <v>24</v>
      </c>
      <c r="Q375" s="79">
        <v>25</v>
      </c>
      <c r="R375" s="30">
        <v>26</v>
      </c>
      <c r="S375" s="30">
        <v>27</v>
      </c>
      <c r="T375" s="79" t="s">
        <v>433</v>
      </c>
    </row>
    <row r="376" spans="1:20" s="63" customFormat="1">
      <c r="A376" s="63" t="str">
        <f>List!A6</f>
        <v>Please select</v>
      </c>
      <c r="B376" s="62"/>
      <c r="C376" s="62"/>
      <c r="D376" s="62"/>
      <c r="E376" s="62"/>
      <c r="F376" s="62"/>
      <c r="G376" s="62"/>
      <c r="H376" s="62"/>
      <c r="I376" s="62"/>
      <c r="J376" s="62"/>
      <c r="K376" s="62"/>
      <c r="L376" s="62"/>
      <c r="M376" s="62"/>
      <c r="N376" s="62"/>
      <c r="O376" s="62"/>
      <c r="P376" s="62"/>
      <c r="Q376" s="62"/>
      <c r="R376" s="62"/>
      <c r="S376" s="62"/>
      <c r="T376" s="62"/>
    </row>
    <row r="377" spans="1:20" s="361" customFormat="1">
      <c r="A377" s="361" t="s">
        <v>304</v>
      </c>
      <c r="B377" s="362">
        <v>48</v>
      </c>
      <c r="C377" s="362">
        <v>50</v>
      </c>
      <c r="D377" s="362">
        <v>53</v>
      </c>
      <c r="E377" s="362">
        <v>55</v>
      </c>
      <c r="F377" s="362">
        <v>58</v>
      </c>
      <c r="G377" s="362">
        <v>63</v>
      </c>
      <c r="H377" s="362">
        <v>65</v>
      </c>
      <c r="I377" s="363">
        <v>68</v>
      </c>
      <c r="J377" s="362">
        <v>71</v>
      </c>
      <c r="K377" s="362">
        <v>74</v>
      </c>
      <c r="L377" s="362">
        <v>78</v>
      </c>
      <c r="M377" s="362">
        <v>81</v>
      </c>
      <c r="N377" s="362">
        <v>85</v>
      </c>
      <c r="O377" s="362">
        <v>89</v>
      </c>
      <c r="P377" s="362">
        <v>93</v>
      </c>
      <c r="Q377" s="362">
        <v>98</v>
      </c>
      <c r="R377" s="362">
        <v>105</v>
      </c>
      <c r="S377" s="362">
        <v>110</v>
      </c>
      <c r="T377" s="362">
        <v>112</v>
      </c>
    </row>
    <row r="378" spans="1:20" s="361" customFormat="1">
      <c r="A378" s="361" t="s">
        <v>301</v>
      </c>
      <c r="B378" s="362">
        <v>21</v>
      </c>
      <c r="C378" s="362">
        <v>23</v>
      </c>
      <c r="D378" s="362">
        <v>25</v>
      </c>
      <c r="E378" s="362">
        <v>27</v>
      </c>
      <c r="F378" s="362">
        <v>29</v>
      </c>
      <c r="G378" s="362">
        <v>34</v>
      </c>
      <c r="H378" s="362">
        <v>37</v>
      </c>
      <c r="I378" s="363">
        <v>40</v>
      </c>
      <c r="J378" s="362">
        <v>43</v>
      </c>
      <c r="K378" s="362">
        <v>47</v>
      </c>
      <c r="L378" s="362">
        <v>51</v>
      </c>
      <c r="M378" s="362">
        <v>55</v>
      </c>
      <c r="N378" s="362">
        <v>59</v>
      </c>
      <c r="O378" s="362">
        <v>64</v>
      </c>
      <c r="P378" s="362">
        <v>70</v>
      </c>
      <c r="Q378" s="362">
        <v>75</v>
      </c>
      <c r="R378" s="362">
        <v>83</v>
      </c>
      <c r="S378" s="362">
        <v>90</v>
      </c>
      <c r="T378" s="362">
        <v>92</v>
      </c>
    </row>
    <row r="379" spans="1:20" s="361" customFormat="1">
      <c r="A379" s="361" t="s">
        <v>302</v>
      </c>
      <c r="B379" s="362">
        <v>11</v>
      </c>
      <c r="C379" s="362">
        <v>12</v>
      </c>
      <c r="D379" s="362">
        <v>13</v>
      </c>
      <c r="E379" s="362">
        <v>14</v>
      </c>
      <c r="F379" s="362">
        <v>15</v>
      </c>
      <c r="G379" s="362">
        <v>20</v>
      </c>
      <c r="H379" s="362">
        <v>21</v>
      </c>
      <c r="I379" s="363">
        <v>22</v>
      </c>
      <c r="J379" s="362">
        <v>23</v>
      </c>
      <c r="K379" s="362">
        <v>25</v>
      </c>
      <c r="L379" s="362">
        <v>27</v>
      </c>
      <c r="M379" s="362">
        <v>28</v>
      </c>
      <c r="N379" s="362">
        <v>30</v>
      </c>
      <c r="O379" s="362">
        <v>33</v>
      </c>
      <c r="P379" s="362">
        <v>35</v>
      </c>
      <c r="Q379" s="362">
        <v>37</v>
      </c>
      <c r="R379" s="362">
        <v>42</v>
      </c>
      <c r="S379" s="362">
        <v>45</v>
      </c>
      <c r="T379" s="362">
        <v>46</v>
      </c>
    </row>
    <row r="380" spans="1:20" s="361" customFormat="1">
      <c r="A380" s="361" t="s">
        <v>303</v>
      </c>
      <c r="B380" s="362">
        <v>23</v>
      </c>
      <c r="C380" s="362">
        <v>24</v>
      </c>
      <c r="D380" s="362">
        <v>25</v>
      </c>
      <c r="E380" s="362">
        <v>26</v>
      </c>
      <c r="F380" s="362">
        <v>26</v>
      </c>
      <c r="G380" s="362">
        <v>27</v>
      </c>
      <c r="H380" s="362">
        <v>28</v>
      </c>
      <c r="I380" s="363">
        <v>28</v>
      </c>
      <c r="J380" s="362">
        <v>28</v>
      </c>
      <c r="K380" s="362">
        <v>29</v>
      </c>
      <c r="L380" s="362">
        <v>29</v>
      </c>
      <c r="M380" s="362">
        <v>29</v>
      </c>
      <c r="N380" s="362">
        <v>29</v>
      </c>
      <c r="O380" s="362">
        <v>29</v>
      </c>
      <c r="P380" s="362">
        <v>30</v>
      </c>
      <c r="Q380" s="362">
        <v>30</v>
      </c>
      <c r="R380" s="362">
        <v>31</v>
      </c>
      <c r="S380" s="362">
        <v>31</v>
      </c>
      <c r="T380" s="362">
        <v>31</v>
      </c>
    </row>
    <row r="381" spans="1:20" s="361" customFormat="1">
      <c r="A381" s="361" t="s">
        <v>306</v>
      </c>
      <c r="B381" s="362">
        <v>1</v>
      </c>
      <c r="C381" s="362">
        <v>1</v>
      </c>
      <c r="D381" s="362">
        <v>1</v>
      </c>
      <c r="E381" s="362">
        <v>1</v>
      </c>
      <c r="F381" s="362">
        <v>1</v>
      </c>
      <c r="G381" s="362">
        <v>1</v>
      </c>
      <c r="H381" s="362">
        <v>1</v>
      </c>
      <c r="I381" s="363">
        <v>1</v>
      </c>
      <c r="J381" s="362">
        <v>1</v>
      </c>
      <c r="K381" s="362">
        <v>1</v>
      </c>
      <c r="L381" s="362">
        <v>1</v>
      </c>
      <c r="M381" s="362">
        <v>1</v>
      </c>
      <c r="N381" s="362">
        <v>1</v>
      </c>
      <c r="O381" s="362">
        <v>1</v>
      </c>
      <c r="P381" s="362">
        <v>1</v>
      </c>
      <c r="Q381" s="362">
        <v>1</v>
      </c>
      <c r="R381" s="362">
        <v>2</v>
      </c>
      <c r="S381" s="362">
        <v>2</v>
      </c>
      <c r="T381" s="362">
        <v>2</v>
      </c>
    </row>
    <row r="382" spans="1:20" s="361" customFormat="1">
      <c r="A382" s="361" t="s">
        <v>305</v>
      </c>
      <c r="B382" s="362">
        <v>1</v>
      </c>
      <c r="C382" s="362">
        <v>1</v>
      </c>
      <c r="D382" s="362">
        <v>1</v>
      </c>
      <c r="E382" s="362">
        <v>1</v>
      </c>
      <c r="F382" s="362">
        <v>1</v>
      </c>
      <c r="G382" s="362">
        <v>1</v>
      </c>
      <c r="H382" s="362">
        <v>1</v>
      </c>
      <c r="I382" s="363">
        <v>1</v>
      </c>
      <c r="J382" s="362">
        <v>1</v>
      </c>
      <c r="K382" s="362">
        <v>1</v>
      </c>
      <c r="L382" s="362">
        <v>1</v>
      </c>
      <c r="M382" s="362">
        <v>1</v>
      </c>
      <c r="N382" s="362">
        <v>1</v>
      </c>
      <c r="O382" s="362">
        <v>1</v>
      </c>
      <c r="P382" s="362">
        <v>1</v>
      </c>
      <c r="Q382" s="362">
        <v>1</v>
      </c>
      <c r="R382" s="362">
        <v>2</v>
      </c>
      <c r="S382" s="362">
        <v>2</v>
      </c>
      <c r="T382" s="362">
        <v>2</v>
      </c>
    </row>
    <row r="383" spans="1:20" s="361" customFormat="1">
      <c r="A383" s="361" t="s">
        <v>297</v>
      </c>
      <c r="B383" s="362">
        <v>1</v>
      </c>
      <c r="C383" s="362">
        <v>1</v>
      </c>
      <c r="D383" s="362">
        <v>1</v>
      </c>
      <c r="E383" s="362">
        <v>1</v>
      </c>
      <c r="F383" s="362">
        <v>1</v>
      </c>
      <c r="G383" s="362">
        <v>1</v>
      </c>
      <c r="H383" s="362">
        <v>1</v>
      </c>
      <c r="I383" s="363">
        <v>1</v>
      </c>
      <c r="J383" s="362">
        <v>1</v>
      </c>
      <c r="K383" s="362">
        <v>1</v>
      </c>
      <c r="L383" s="362">
        <v>1</v>
      </c>
      <c r="M383" s="362">
        <v>1</v>
      </c>
      <c r="N383" s="362">
        <v>1</v>
      </c>
      <c r="O383" s="362">
        <v>1</v>
      </c>
      <c r="P383" s="362">
        <v>1</v>
      </c>
      <c r="Q383" s="362">
        <v>1</v>
      </c>
      <c r="R383" s="362">
        <v>1</v>
      </c>
      <c r="S383" s="362">
        <v>1</v>
      </c>
      <c r="T383" s="362">
        <v>1</v>
      </c>
    </row>
    <row r="384" spans="1:20" s="361" customFormat="1">
      <c r="A384" s="361" t="s">
        <v>300</v>
      </c>
      <c r="B384" s="362">
        <v>2</v>
      </c>
      <c r="C384" s="362">
        <v>2</v>
      </c>
      <c r="D384" s="362">
        <v>2</v>
      </c>
      <c r="E384" s="362">
        <v>2</v>
      </c>
      <c r="F384" s="362">
        <v>2</v>
      </c>
      <c r="G384" s="362">
        <v>2</v>
      </c>
      <c r="H384" s="362">
        <v>2</v>
      </c>
      <c r="I384" s="363">
        <v>2</v>
      </c>
      <c r="J384" s="362">
        <v>2</v>
      </c>
      <c r="K384" s="362">
        <v>2</v>
      </c>
      <c r="L384" s="362">
        <v>2</v>
      </c>
      <c r="M384" s="362">
        <v>2</v>
      </c>
      <c r="N384" s="362">
        <v>2</v>
      </c>
      <c r="O384" s="362">
        <v>2</v>
      </c>
      <c r="P384" s="362">
        <v>2</v>
      </c>
      <c r="Q384" s="362">
        <v>2</v>
      </c>
      <c r="R384" s="362">
        <v>2</v>
      </c>
      <c r="S384" s="362">
        <v>3</v>
      </c>
      <c r="T384" s="362">
        <v>3</v>
      </c>
    </row>
    <row r="385" spans="1:20" s="361" customFormat="1">
      <c r="A385" s="361" t="s">
        <v>298</v>
      </c>
      <c r="B385" s="362">
        <v>9</v>
      </c>
      <c r="C385" s="362">
        <v>10</v>
      </c>
      <c r="D385" s="362">
        <v>10</v>
      </c>
      <c r="E385" s="362">
        <v>11</v>
      </c>
      <c r="F385" s="362">
        <v>12</v>
      </c>
      <c r="G385" s="362">
        <v>13</v>
      </c>
      <c r="H385" s="362">
        <v>14</v>
      </c>
      <c r="I385" s="363">
        <v>15</v>
      </c>
      <c r="J385" s="362">
        <v>16</v>
      </c>
      <c r="K385" s="362">
        <v>17</v>
      </c>
      <c r="L385" s="362">
        <v>18</v>
      </c>
      <c r="M385" s="362">
        <v>20</v>
      </c>
      <c r="N385" s="362">
        <v>21</v>
      </c>
      <c r="O385" s="362">
        <v>23</v>
      </c>
      <c r="P385" s="362">
        <v>24</v>
      </c>
      <c r="Q385" s="362">
        <v>26</v>
      </c>
      <c r="R385" s="362">
        <v>28</v>
      </c>
      <c r="S385" s="362">
        <v>31</v>
      </c>
      <c r="T385" s="362">
        <v>31</v>
      </c>
    </row>
    <row r="386" spans="1:20" s="361" customFormat="1">
      <c r="A386" s="361" t="s">
        <v>299</v>
      </c>
      <c r="B386" s="362">
        <v>9</v>
      </c>
      <c r="C386" s="362">
        <v>10</v>
      </c>
      <c r="D386" s="362">
        <v>10</v>
      </c>
      <c r="E386" s="362">
        <v>11</v>
      </c>
      <c r="F386" s="362">
        <v>12</v>
      </c>
      <c r="G386" s="362">
        <v>13</v>
      </c>
      <c r="H386" s="362">
        <v>14</v>
      </c>
      <c r="I386" s="363">
        <v>15</v>
      </c>
      <c r="J386" s="362">
        <v>16</v>
      </c>
      <c r="K386" s="362">
        <v>17</v>
      </c>
      <c r="L386" s="362">
        <v>18</v>
      </c>
      <c r="M386" s="362">
        <v>20</v>
      </c>
      <c r="N386" s="362">
        <v>21</v>
      </c>
      <c r="O386" s="362">
        <v>23</v>
      </c>
      <c r="P386" s="362">
        <v>24</v>
      </c>
      <c r="Q386" s="362">
        <v>26</v>
      </c>
      <c r="R386" s="362">
        <v>28</v>
      </c>
      <c r="S386" s="362">
        <v>31</v>
      </c>
      <c r="T386" s="362">
        <v>31</v>
      </c>
    </row>
    <row r="387" spans="1:20" s="361" customFormat="1">
      <c r="A387" s="361" t="s">
        <v>425</v>
      </c>
      <c r="B387" s="362">
        <v>5</v>
      </c>
      <c r="C387" s="362">
        <v>5</v>
      </c>
      <c r="D387" s="362">
        <v>5</v>
      </c>
      <c r="E387" s="362">
        <v>5</v>
      </c>
      <c r="F387" s="362">
        <v>5</v>
      </c>
      <c r="G387" s="362">
        <v>5</v>
      </c>
      <c r="H387" s="362">
        <v>5</v>
      </c>
      <c r="I387" s="363">
        <v>5</v>
      </c>
      <c r="J387" s="362">
        <v>5</v>
      </c>
      <c r="K387" s="362">
        <v>5</v>
      </c>
      <c r="L387" s="362">
        <v>5</v>
      </c>
      <c r="M387" s="362">
        <v>5</v>
      </c>
      <c r="N387" s="362">
        <v>5</v>
      </c>
      <c r="O387" s="362">
        <v>5</v>
      </c>
      <c r="P387" s="362">
        <v>5</v>
      </c>
      <c r="Q387" s="362">
        <v>5</v>
      </c>
      <c r="R387" s="362">
        <v>5</v>
      </c>
      <c r="S387" s="362">
        <v>6</v>
      </c>
      <c r="T387" s="362">
        <v>6</v>
      </c>
    </row>
    <row r="388" spans="1:20" s="16" customFormat="1">
      <c r="A388" s="16" t="s">
        <v>434</v>
      </c>
      <c r="B388" s="75"/>
      <c r="C388" s="75"/>
      <c r="E388" s="76"/>
      <c r="F388" s="77"/>
      <c r="G388" s="75"/>
      <c r="I388" s="85"/>
    </row>
    <row r="389" spans="1:20" s="68" customFormat="1">
      <c r="A389" s="68" t="s">
        <v>428</v>
      </c>
      <c r="B389" s="64"/>
      <c r="C389" s="64"/>
      <c r="E389" s="78" t="s">
        <v>429</v>
      </c>
      <c r="F389" s="64"/>
      <c r="G389" s="64"/>
      <c r="I389" s="103"/>
    </row>
    <row r="390" spans="1:20" s="68" customFormat="1">
      <c r="A390" s="68" t="s">
        <v>430</v>
      </c>
      <c r="B390" s="64"/>
      <c r="C390" s="64"/>
      <c r="E390" s="78" t="s">
        <v>431</v>
      </c>
      <c r="F390" s="64"/>
      <c r="G390" s="64"/>
      <c r="I390" s="103"/>
    </row>
    <row r="391" spans="1:20" s="17" customFormat="1">
      <c r="A391" s="17" t="s">
        <v>330</v>
      </c>
      <c r="B391" s="30" t="s">
        <v>432</v>
      </c>
      <c r="C391" s="30">
        <v>11</v>
      </c>
      <c r="D391" s="30">
        <v>12</v>
      </c>
      <c r="E391" s="79">
        <v>13</v>
      </c>
      <c r="F391" s="30">
        <v>14</v>
      </c>
      <c r="G391" s="30">
        <v>15</v>
      </c>
      <c r="H391" s="79">
        <v>16</v>
      </c>
      <c r="I391" s="84">
        <v>17</v>
      </c>
      <c r="J391" s="30">
        <v>18</v>
      </c>
      <c r="K391" s="79">
        <v>19</v>
      </c>
      <c r="L391" s="30">
        <v>20</v>
      </c>
      <c r="M391" s="30">
        <v>21</v>
      </c>
      <c r="N391" s="79">
        <v>22</v>
      </c>
      <c r="O391" s="30">
        <v>23</v>
      </c>
      <c r="P391" s="30">
        <v>24</v>
      </c>
      <c r="Q391" s="79">
        <v>25</v>
      </c>
      <c r="R391" s="30">
        <v>26</v>
      </c>
      <c r="S391" s="30">
        <v>27</v>
      </c>
      <c r="T391" s="79" t="s">
        <v>433</v>
      </c>
    </row>
    <row r="392" spans="1:20" s="63" customFormat="1">
      <c r="A392" s="63" t="str">
        <f>List!A6</f>
        <v>Please select</v>
      </c>
      <c r="B392" s="62"/>
      <c r="C392" s="62"/>
      <c r="D392" s="62"/>
      <c r="E392" s="960"/>
      <c r="F392" s="62"/>
      <c r="G392" s="62"/>
      <c r="H392" s="960"/>
      <c r="I392" s="961"/>
      <c r="J392" s="62"/>
      <c r="K392" s="960"/>
      <c r="L392" s="62"/>
      <c r="M392" s="62"/>
      <c r="N392" s="960"/>
      <c r="O392" s="62"/>
      <c r="P392" s="62"/>
      <c r="Q392" s="960"/>
      <c r="R392" s="62"/>
      <c r="S392" s="62"/>
      <c r="T392" s="960"/>
    </row>
    <row r="393" spans="1:20" s="361" customFormat="1">
      <c r="A393" s="361" t="s">
        <v>304</v>
      </c>
      <c r="B393" s="362">
        <v>1</v>
      </c>
      <c r="C393" s="362">
        <v>1</v>
      </c>
      <c r="D393" s="362">
        <v>1</v>
      </c>
      <c r="E393" s="362">
        <v>1</v>
      </c>
      <c r="F393" s="362">
        <v>1</v>
      </c>
      <c r="G393" s="362">
        <v>2</v>
      </c>
      <c r="H393" s="362">
        <v>2</v>
      </c>
      <c r="I393" s="363">
        <v>2</v>
      </c>
      <c r="J393" s="362">
        <v>2</v>
      </c>
      <c r="K393" s="362">
        <v>2</v>
      </c>
      <c r="L393" s="362">
        <v>2</v>
      </c>
      <c r="M393" s="362">
        <v>2</v>
      </c>
      <c r="N393" s="362">
        <v>2</v>
      </c>
      <c r="O393" s="362">
        <v>2</v>
      </c>
      <c r="P393" s="362">
        <v>2</v>
      </c>
      <c r="Q393" s="362">
        <v>2</v>
      </c>
      <c r="R393" s="362">
        <v>2</v>
      </c>
      <c r="S393" s="362">
        <v>2</v>
      </c>
      <c r="T393" s="362">
        <v>2</v>
      </c>
    </row>
    <row r="394" spans="1:20" s="361" customFormat="1">
      <c r="A394" s="361" t="s">
        <v>301</v>
      </c>
      <c r="B394" s="362">
        <v>6</v>
      </c>
      <c r="C394" s="362">
        <v>7</v>
      </c>
      <c r="D394" s="362">
        <v>7</v>
      </c>
      <c r="E394" s="362">
        <v>8</v>
      </c>
      <c r="F394" s="362">
        <v>8</v>
      </c>
      <c r="G394" s="362">
        <v>10</v>
      </c>
      <c r="H394" s="362">
        <v>11</v>
      </c>
      <c r="I394" s="363">
        <v>12</v>
      </c>
      <c r="J394" s="362">
        <v>13</v>
      </c>
      <c r="K394" s="362">
        <v>14</v>
      </c>
      <c r="L394" s="362">
        <v>15</v>
      </c>
      <c r="M394" s="362">
        <v>16</v>
      </c>
      <c r="N394" s="362">
        <v>17</v>
      </c>
      <c r="O394" s="362">
        <v>18</v>
      </c>
      <c r="P394" s="362">
        <v>20</v>
      </c>
      <c r="Q394" s="362">
        <v>21</v>
      </c>
      <c r="R394" s="362">
        <v>24</v>
      </c>
      <c r="S394" s="362">
        <v>25</v>
      </c>
      <c r="T394" s="362">
        <v>26</v>
      </c>
    </row>
    <row r="395" spans="1:20" s="361" customFormat="1">
      <c r="A395" s="361" t="s">
        <v>302</v>
      </c>
      <c r="B395" s="362">
        <v>6</v>
      </c>
      <c r="C395" s="362">
        <v>6</v>
      </c>
      <c r="D395" s="362">
        <v>7</v>
      </c>
      <c r="E395" s="362">
        <v>7</v>
      </c>
      <c r="F395" s="362">
        <v>8</v>
      </c>
      <c r="G395" s="362">
        <v>9</v>
      </c>
      <c r="H395" s="362">
        <v>10</v>
      </c>
      <c r="I395" s="363">
        <v>11</v>
      </c>
      <c r="J395" s="362">
        <v>12</v>
      </c>
      <c r="K395" s="362">
        <v>13</v>
      </c>
      <c r="L395" s="362">
        <v>14</v>
      </c>
      <c r="M395" s="362">
        <v>15</v>
      </c>
      <c r="N395" s="362">
        <v>16</v>
      </c>
      <c r="O395" s="362">
        <v>17</v>
      </c>
      <c r="P395" s="362">
        <v>18</v>
      </c>
      <c r="Q395" s="362">
        <v>19</v>
      </c>
      <c r="R395" s="362">
        <v>21</v>
      </c>
      <c r="S395" s="362">
        <v>23</v>
      </c>
      <c r="T395" s="362">
        <v>23</v>
      </c>
    </row>
    <row r="396" spans="1:20" s="361" customFormat="1">
      <c r="A396" s="361" t="s">
        <v>303</v>
      </c>
      <c r="B396" s="362">
        <v>1</v>
      </c>
      <c r="C396" s="362">
        <v>1</v>
      </c>
      <c r="D396" s="362">
        <v>1</v>
      </c>
      <c r="E396" s="362">
        <v>1</v>
      </c>
      <c r="F396" s="362">
        <v>1</v>
      </c>
      <c r="G396" s="362">
        <v>2</v>
      </c>
      <c r="H396" s="362">
        <v>2</v>
      </c>
      <c r="I396" s="363">
        <v>2</v>
      </c>
      <c r="J396" s="362">
        <v>2</v>
      </c>
      <c r="K396" s="362">
        <v>2</v>
      </c>
      <c r="L396" s="362">
        <v>2</v>
      </c>
      <c r="M396" s="362">
        <v>2</v>
      </c>
      <c r="N396" s="362">
        <v>2</v>
      </c>
      <c r="O396" s="362">
        <v>2</v>
      </c>
      <c r="P396" s="362">
        <v>2</v>
      </c>
      <c r="Q396" s="362">
        <v>2</v>
      </c>
      <c r="R396" s="362">
        <v>2</v>
      </c>
      <c r="S396" s="362">
        <v>2</v>
      </c>
      <c r="T396" s="362">
        <v>2</v>
      </c>
    </row>
    <row r="397" spans="1:20" s="361" customFormat="1">
      <c r="A397" s="361" t="s">
        <v>306</v>
      </c>
      <c r="B397" s="362">
        <v>1</v>
      </c>
      <c r="C397" s="362">
        <v>1</v>
      </c>
      <c r="D397" s="362">
        <v>1</v>
      </c>
      <c r="E397" s="362">
        <v>1</v>
      </c>
      <c r="F397" s="362">
        <v>1</v>
      </c>
      <c r="G397" s="362">
        <v>1</v>
      </c>
      <c r="H397" s="362">
        <v>1</v>
      </c>
      <c r="I397" s="363">
        <v>1</v>
      </c>
      <c r="J397" s="362">
        <v>1</v>
      </c>
      <c r="K397" s="362">
        <v>1</v>
      </c>
      <c r="L397" s="362">
        <v>1</v>
      </c>
      <c r="M397" s="362">
        <v>1</v>
      </c>
      <c r="N397" s="362">
        <v>1</v>
      </c>
      <c r="O397" s="362">
        <v>1</v>
      </c>
      <c r="P397" s="362">
        <v>1</v>
      </c>
      <c r="Q397" s="362">
        <v>1</v>
      </c>
      <c r="R397" s="362">
        <v>1</v>
      </c>
      <c r="S397" s="362">
        <v>1</v>
      </c>
      <c r="T397" s="362">
        <v>1</v>
      </c>
    </row>
    <row r="398" spans="1:20" s="361" customFormat="1">
      <c r="A398" s="361" t="s">
        <v>305</v>
      </c>
      <c r="B398" s="362">
        <v>1</v>
      </c>
      <c r="C398" s="362">
        <v>1</v>
      </c>
      <c r="D398" s="362">
        <v>1</v>
      </c>
      <c r="E398" s="362">
        <v>1</v>
      </c>
      <c r="F398" s="362">
        <v>1</v>
      </c>
      <c r="G398" s="362">
        <v>1</v>
      </c>
      <c r="H398" s="362">
        <v>1</v>
      </c>
      <c r="I398" s="363">
        <v>1</v>
      </c>
      <c r="J398" s="362">
        <v>1</v>
      </c>
      <c r="K398" s="362">
        <v>1</v>
      </c>
      <c r="L398" s="362">
        <v>1</v>
      </c>
      <c r="M398" s="362">
        <v>1</v>
      </c>
      <c r="N398" s="362">
        <v>1</v>
      </c>
      <c r="O398" s="362">
        <v>1</v>
      </c>
      <c r="P398" s="362">
        <v>1</v>
      </c>
      <c r="Q398" s="362">
        <v>1</v>
      </c>
      <c r="R398" s="362">
        <v>1</v>
      </c>
      <c r="S398" s="362">
        <v>1</v>
      </c>
      <c r="T398" s="362">
        <v>1</v>
      </c>
    </row>
    <row r="399" spans="1:20" s="361" customFormat="1">
      <c r="A399" s="361" t="s">
        <v>297</v>
      </c>
      <c r="B399" s="362">
        <v>0</v>
      </c>
      <c r="C399" s="362">
        <v>0</v>
      </c>
      <c r="D399" s="362">
        <v>0</v>
      </c>
      <c r="E399" s="362">
        <v>0</v>
      </c>
      <c r="F399" s="362">
        <v>0</v>
      </c>
      <c r="G399" s="362">
        <v>1</v>
      </c>
      <c r="H399" s="362">
        <v>1</v>
      </c>
      <c r="I399" s="363">
        <v>1</v>
      </c>
      <c r="J399" s="362">
        <v>1</v>
      </c>
      <c r="K399" s="362">
        <v>1</v>
      </c>
      <c r="L399" s="362">
        <v>1</v>
      </c>
      <c r="M399" s="362">
        <v>1</v>
      </c>
      <c r="N399" s="362">
        <v>1</v>
      </c>
      <c r="O399" s="362">
        <v>1</v>
      </c>
      <c r="P399" s="362">
        <v>1</v>
      </c>
      <c r="Q399" s="362">
        <v>1</v>
      </c>
      <c r="R399" s="362">
        <v>1</v>
      </c>
      <c r="S399" s="362">
        <v>1</v>
      </c>
      <c r="T399" s="362">
        <v>1</v>
      </c>
    </row>
    <row r="400" spans="1:20" s="361" customFormat="1">
      <c r="A400" s="361" t="s">
        <v>300</v>
      </c>
      <c r="B400" s="362">
        <v>1</v>
      </c>
      <c r="C400" s="362">
        <v>1</v>
      </c>
      <c r="D400" s="362">
        <v>1</v>
      </c>
      <c r="E400" s="362">
        <v>1</v>
      </c>
      <c r="F400" s="362">
        <v>1</v>
      </c>
      <c r="G400" s="362">
        <v>1</v>
      </c>
      <c r="H400" s="362">
        <v>1</v>
      </c>
      <c r="I400" s="363">
        <v>1</v>
      </c>
      <c r="J400" s="362">
        <v>1</v>
      </c>
      <c r="K400" s="362">
        <v>1</v>
      </c>
      <c r="L400" s="362">
        <v>1</v>
      </c>
      <c r="M400" s="362">
        <v>1</v>
      </c>
      <c r="N400" s="362">
        <v>1</v>
      </c>
      <c r="O400" s="362">
        <v>1</v>
      </c>
      <c r="P400" s="362">
        <v>1</v>
      </c>
      <c r="Q400" s="362">
        <v>1</v>
      </c>
      <c r="R400" s="362">
        <v>1</v>
      </c>
      <c r="S400" s="362">
        <v>1</v>
      </c>
      <c r="T400" s="362">
        <v>1</v>
      </c>
    </row>
    <row r="401" spans="1:20" s="361" customFormat="1">
      <c r="A401" s="361" t="s">
        <v>298</v>
      </c>
      <c r="B401" s="362">
        <v>1</v>
      </c>
      <c r="C401" s="362">
        <v>1</v>
      </c>
      <c r="D401" s="362">
        <v>1</v>
      </c>
      <c r="E401" s="362">
        <v>1</v>
      </c>
      <c r="F401" s="362">
        <v>1</v>
      </c>
      <c r="G401" s="362">
        <v>1</v>
      </c>
      <c r="H401" s="362">
        <v>1</v>
      </c>
      <c r="I401" s="363">
        <v>1</v>
      </c>
      <c r="J401" s="362">
        <v>1</v>
      </c>
      <c r="K401" s="362">
        <v>1</v>
      </c>
      <c r="L401" s="362">
        <v>1</v>
      </c>
      <c r="M401" s="362">
        <v>1</v>
      </c>
      <c r="N401" s="362">
        <v>1</v>
      </c>
      <c r="O401" s="362">
        <v>1</v>
      </c>
      <c r="P401" s="362">
        <v>1</v>
      </c>
      <c r="Q401" s="362">
        <v>1</v>
      </c>
      <c r="R401" s="362">
        <v>1</v>
      </c>
      <c r="S401" s="362">
        <v>1</v>
      </c>
      <c r="T401" s="362">
        <v>1</v>
      </c>
    </row>
    <row r="402" spans="1:20" s="361" customFormat="1">
      <c r="A402" s="361" t="s">
        <v>299</v>
      </c>
      <c r="B402" s="362">
        <v>1</v>
      </c>
      <c r="C402" s="362">
        <v>1</v>
      </c>
      <c r="D402" s="362">
        <v>1</v>
      </c>
      <c r="E402" s="362">
        <v>1</v>
      </c>
      <c r="F402" s="362">
        <v>1</v>
      </c>
      <c r="G402" s="362">
        <v>1</v>
      </c>
      <c r="H402" s="362">
        <v>1</v>
      </c>
      <c r="I402" s="363">
        <v>1</v>
      </c>
      <c r="J402" s="362">
        <v>1</v>
      </c>
      <c r="K402" s="362">
        <v>1</v>
      </c>
      <c r="L402" s="362">
        <v>1</v>
      </c>
      <c r="M402" s="362">
        <v>1</v>
      </c>
      <c r="N402" s="362">
        <v>1</v>
      </c>
      <c r="O402" s="362">
        <v>1</v>
      </c>
      <c r="P402" s="362">
        <v>1</v>
      </c>
      <c r="Q402" s="362">
        <v>1</v>
      </c>
      <c r="R402" s="362">
        <v>1</v>
      </c>
      <c r="S402" s="362">
        <v>1</v>
      </c>
      <c r="T402" s="362">
        <v>1</v>
      </c>
    </row>
    <row r="403" spans="1:20" s="361" customFormat="1">
      <c r="A403" s="361" t="s">
        <v>425</v>
      </c>
      <c r="B403" s="362">
        <v>2</v>
      </c>
      <c r="C403" s="362">
        <v>2</v>
      </c>
      <c r="D403" s="362">
        <v>2</v>
      </c>
      <c r="E403" s="362">
        <v>2</v>
      </c>
      <c r="F403" s="362">
        <v>2</v>
      </c>
      <c r="G403" s="362">
        <v>2</v>
      </c>
      <c r="H403" s="362">
        <v>2</v>
      </c>
      <c r="I403" s="363">
        <v>2</v>
      </c>
      <c r="J403" s="362">
        <v>2</v>
      </c>
      <c r="K403" s="362">
        <v>2</v>
      </c>
      <c r="L403" s="362">
        <v>2</v>
      </c>
      <c r="M403" s="362">
        <v>2</v>
      </c>
      <c r="N403" s="362">
        <v>2</v>
      </c>
      <c r="O403" s="362">
        <v>2</v>
      </c>
      <c r="P403" s="362">
        <v>2</v>
      </c>
      <c r="Q403" s="362">
        <v>2</v>
      </c>
      <c r="R403" s="362">
        <v>2</v>
      </c>
      <c r="S403" s="362">
        <v>2</v>
      </c>
      <c r="T403" s="362">
        <v>2</v>
      </c>
    </row>
    <row r="404" spans="1:20" s="16" customFormat="1">
      <c r="A404" s="16" t="s">
        <v>435</v>
      </c>
      <c r="B404" s="75"/>
      <c r="C404" s="75"/>
      <c r="F404" s="77"/>
      <c r="G404" s="75"/>
      <c r="I404" s="85"/>
    </row>
    <row r="405" spans="1:20" s="68" customFormat="1">
      <c r="A405" s="68" t="s">
        <v>428</v>
      </c>
      <c r="B405" s="64"/>
      <c r="C405" s="64"/>
      <c r="E405" s="81" t="s">
        <v>436</v>
      </c>
      <c r="F405" s="82" t="s">
        <v>431</v>
      </c>
      <c r="G405" s="64"/>
      <c r="I405" s="103"/>
    </row>
    <row r="406" spans="1:20" s="68" customFormat="1">
      <c r="A406" s="68" t="s">
        <v>430</v>
      </c>
      <c r="B406" s="64"/>
      <c r="C406" s="64"/>
      <c r="E406" s="68" t="s">
        <v>438</v>
      </c>
      <c r="F406" s="64"/>
      <c r="G406" s="64"/>
      <c r="I406" s="103"/>
    </row>
    <row r="407" spans="1:20" s="17" customFormat="1">
      <c r="A407" s="17" t="s">
        <v>330</v>
      </c>
      <c r="B407" s="30" t="s">
        <v>432</v>
      </c>
      <c r="C407" s="30">
        <v>11</v>
      </c>
      <c r="D407" s="30">
        <v>12</v>
      </c>
      <c r="E407" s="79">
        <v>13</v>
      </c>
      <c r="F407" s="30">
        <v>14</v>
      </c>
      <c r="G407" s="30">
        <v>15</v>
      </c>
      <c r="H407" s="79">
        <v>16</v>
      </c>
      <c r="I407" s="84">
        <v>17</v>
      </c>
      <c r="J407" s="30">
        <v>18</v>
      </c>
      <c r="K407" s="79">
        <v>19</v>
      </c>
      <c r="L407" s="30">
        <v>20</v>
      </c>
      <c r="M407" s="30">
        <v>21</v>
      </c>
      <c r="N407" s="79">
        <v>22</v>
      </c>
      <c r="O407" s="30">
        <v>23</v>
      </c>
      <c r="P407" s="30">
        <v>24</v>
      </c>
      <c r="Q407" s="79">
        <v>25</v>
      </c>
      <c r="R407" s="30">
        <v>26</v>
      </c>
      <c r="S407" s="30">
        <v>27</v>
      </c>
      <c r="T407" s="79" t="s">
        <v>433</v>
      </c>
    </row>
    <row r="408" spans="1:20" s="63" customFormat="1">
      <c r="A408" s="63" t="str">
        <f>List!A6</f>
        <v>Please select</v>
      </c>
      <c r="B408" s="62"/>
      <c r="C408" s="62"/>
      <c r="D408" s="62"/>
      <c r="E408" s="960"/>
      <c r="F408" s="62"/>
      <c r="G408" s="62"/>
      <c r="H408" s="960"/>
      <c r="I408" s="961"/>
      <c r="J408" s="62"/>
      <c r="K408" s="960"/>
      <c r="L408" s="62"/>
      <c r="M408" s="62"/>
      <c r="N408" s="960"/>
      <c r="O408" s="62"/>
      <c r="P408" s="62"/>
      <c r="Q408" s="960"/>
      <c r="R408" s="62"/>
      <c r="S408" s="62"/>
      <c r="T408" s="960"/>
    </row>
    <row r="409" spans="1:20" s="361" customFormat="1">
      <c r="A409" s="361" t="s">
        <v>304</v>
      </c>
      <c r="B409" s="362">
        <f t="shared" ref="B409:T409" si="7">B393</f>
        <v>1</v>
      </c>
      <c r="C409" s="362">
        <f t="shared" si="7"/>
        <v>1</v>
      </c>
      <c r="D409" s="362">
        <f t="shared" si="7"/>
        <v>1</v>
      </c>
      <c r="E409" s="362">
        <f t="shared" si="7"/>
        <v>1</v>
      </c>
      <c r="F409" s="362">
        <f t="shared" si="7"/>
        <v>1</v>
      </c>
      <c r="G409" s="362">
        <f t="shared" si="7"/>
        <v>2</v>
      </c>
      <c r="H409" s="362">
        <f t="shared" si="7"/>
        <v>2</v>
      </c>
      <c r="I409" s="363">
        <f t="shared" si="7"/>
        <v>2</v>
      </c>
      <c r="J409" s="362">
        <f t="shared" si="7"/>
        <v>2</v>
      </c>
      <c r="K409" s="362">
        <f t="shared" si="7"/>
        <v>2</v>
      </c>
      <c r="L409" s="362">
        <f t="shared" si="7"/>
        <v>2</v>
      </c>
      <c r="M409" s="362">
        <f t="shared" si="7"/>
        <v>2</v>
      </c>
      <c r="N409" s="362">
        <f t="shared" si="7"/>
        <v>2</v>
      </c>
      <c r="O409" s="362">
        <f t="shared" si="7"/>
        <v>2</v>
      </c>
      <c r="P409" s="362">
        <f t="shared" si="7"/>
        <v>2</v>
      </c>
      <c r="Q409" s="362">
        <f t="shared" si="7"/>
        <v>2</v>
      </c>
      <c r="R409" s="362">
        <f t="shared" si="7"/>
        <v>2</v>
      </c>
      <c r="S409" s="362">
        <f t="shared" si="7"/>
        <v>2</v>
      </c>
      <c r="T409" s="362">
        <f t="shared" si="7"/>
        <v>2</v>
      </c>
    </row>
    <row r="410" spans="1:20" s="361" customFormat="1">
      <c r="A410" s="361" t="s">
        <v>301</v>
      </c>
      <c r="B410" s="364">
        <v>4</v>
      </c>
      <c r="C410" s="362">
        <v>4</v>
      </c>
      <c r="D410" s="362">
        <v>5</v>
      </c>
      <c r="E410" s="362">
        <v>5</v>
      </c>
      <c r="F410" s="362">
        <v>5</v>
      </c>
      <c r="G410" s="362">
        <v>6</v>
      </c>
      <c r="H410" s="362">
        <v>7</v>
      </c>
      <c r="I410" s="363">
        <v>8</v>
      </c>
      <c r="J410" s="362">
        <v>8</v>
      </c>
      <c r="K410" s="362">
        <v>9</v>
      </c>
      <c r="L410" s="362">
        <v>9</v>
      </c>
      <c r="M410" s="362">
        <v>10</v>
      </c>
      <c r="N410" s="362">
        <v>11</v>
      </c>
      <c r="O410" s="362">
        <v>12</v>
      </c>
      <c r="P410" s="362">
        <v>13</v>
      </c>
      <c r="Q410" s="362">
        <v>14</v>
      </c>
      <c r="R410" s="362">
        <v>15</v>
      </c>
      <c r="S410" s="362">
        <v>16</v>
      </c>
      <c r="T410" s="362">
        <v>17</v>
      </c>
    </row>
    <row r="411" spans="1:20" s="361" customFormat="1">
      <c r="A411" s="361" t="s">
        <v>302</v>
      </c>
      <c r="B411" s="362">
        <v>5</v>
      </c>
      <c r="C411" s="362">
        <v>5</v>
      </c>
      <c r="D411" s="362">
        <v>5</v>
      </c>
      <c r="E411" s="362">
        <v>6</v>
      </c>
      <c r="F411" s="362">
        <v>6</v>
      </c>
      <c r="G411" s="362">
        <v>7</v>
      </c>
      <c r="H411" s="362">
        <v>8</v>
      </c>
      <c r="I411" s="363">
        <v>8</v>
      </c>
      <c r="J411" s="362">
        <v>9</v>
      </c>
      <c r="K411" s="362">
        <v>10</v>
      </c>
      <c r="L411" s="362">
        <v>11</v>
      </c>
      <c r="M411" s="362">
        <v>11</v>
      </c>
      <c r="N411" s="362">
        <v>12</v>
      </c>
      <c r="O411" s="362">
        <v>13</v>
      </c>
      <c r="P411" s="362">
        <v>15</v>
      </c>
      <c r="Q411" s="362">
        <v>16</v>
      </c>
      <c r="R411" s="362">
        <v>17</v>
      </c>
      <c r="S411" s="362">
        <v>19</v>
      </c>
      <c r="T411" s="362">
        <v>19</v>
      </c>
    </row>
    <row r="412" spans="1:20" s="361" customFormat="1">
      <c r="A412" s="361" t="s">
        <v>303</v>
      </c>
      <c r="B412" s="362">
        <f t="shared" ref="B412:T412" si="8">B396</f>
        <v>1</v>
      </c>
      <c r="C412" s="362">
        <f t="shared" si="8"/>
        <v>1</v>
      </c>
      <c r="D412" s="362">
        <f t="shared" si="8"/>
        <v>1</v>
      </c>
      <c r="E412" s="362">
        <f t="shared" si="8"/>
        <v>1</v>
      </c>
      <c r="F412" s="362">
        <f t="shared" si="8"/>
        <v>1</v>
      </c>
      <c r="G412" s="362">
        <f t="shared" si="8"/>
        <v>2</v>
      </c>
      <c r="H412" s="362">
        <f t="shared" si="8"/>
        <v>2</v>
      </c>
      <c r="I412" s="363">
        <f t="shared" si="8"/>
        <v>2</v>
      </c>
      <c r="J412" s="362">
        <f t="shared" si="8"/>
        <v>2</v>
      </c>
      <c r="K412" s="362">
        <f t="shared" si="8"/>
        <v>2</v>
      </c>
      <c r="L412" s="362">
        <f t="shared" si="8"/>
        <v>2</v>
      </c>
      <c r="M412" s="362">
        <f t="shared" si="8"/>
        <v>2</v>
      </c>
      <c r="N412" s="362">
        <f t="shared" si="8"/>
        <v>2</v>
      </c>
      <c r="O412" s="362">
        <f t="shared" si="8"/>
        <v>2</v>
      </c>
      <c r="P412" s="362">
        <f t="shared" si="8"/>
        <v>2</v>
      </c>
      <c r="Q412" s="362">
        <f t="shared" si="8"/>
        <v>2</v>
      </c>
      <c r="R412" s="362">
        <f t="shared" si="8"/>
        <v>2</v>
      </c>
      <c r="S412" s="362">
        <f t="shared" si="8"/>
        <v>2</v>
      </c>
      <c r="T412" s="362">
        <f t="shared" si="8"/>
        <v>2</v>
      </c>
    </row>
    <row r="413" spans="1:20" s="361" customFormat="1">
      <c r="A413" s="361" t="s">
        <v>306</v>
      </c>
      <c r="B413" s="362">
        <v>1</v>
      </c>
      <c r="C413" s="362">
        <v>1</v>
      </c>
      <c r="D413" s="362">
        <v>1</v>
      </c>
      <c r="E413" s="362">
        <v>1</v>
      </c>
      <c r="F413" s="362">
        <v>1</v>
      </c>
      <c r="G413" s="362">
        <v>1</v>
      </c>
      <c r="H413" s="362">
        <v>1</v>
      </c>
      <c r="I413" s="363">
        <v>1</v>
      </c>
      <c r="J413" s="362">
        <v>1</v>
      </c>
      <c r="K413" s="362">
        <v>1</v>
      </c>
      <c r="L413" s="362">
        <v>1</v>
      </c>
      <c r="M413" s="362">
        <v>1</v>
      </c>
      <c r="N413" s="362">
        <v>1</v>
      </c>
      <c r="O413" s="362">
        <v>1</v>
      </c>
      <c r="P413" s="362">
        <v>1</v>
      </c>
      <c r="Q413" s="362">
        <v>1</v>
      </c>
      <c r="R413" s="362">
        <v>2</v>
      </c>
      <c r="S413" s="362">
        <v>2</v>
      </c>
      <c r="T413" s="362">
        <v>2</v>
      </c>
    </row>
    <row r="414" spans="1:20" s="361" customFormat="1">
      <c r="A414" s="361" t="s">
        <v>305</v>
      </c>
      <c r="B414" s="362">
        <v>1</v>
      </c>
      <c r="C414" s="362">
        <v>1</v>
      </c>
      <c r="D414" s="362">
        <v>1</v>
      </c>
      <c r="E414" s="362">
        <v>1</v>
      </c>
      <c r="F414" s="362">
        <v>1</v>
      </c>
      <c r="G414" s="362">
        <v>1</v>
      </c>
      <c r="H414" s="362">
        <v>1</v>
      </c>
      <c r="I414" s="363">
        <v>1</v>
      </c>
      <c r="J414" s="362">
        <v>1</v>
      </c>
      <c r="K414" s="362">
        <v>1</v>
      </c>
      <c r="L414" s="362">
        <v>1</v>
      </c>
      <c r="M414" s="362">
        <v>1</v>
      </c>
      <c r="N414" s="362">
        <v>1</v>
      </c>
      <c r="O414" s="362">
        <v>1</v>
      </c>
      <c r="P414" s="362">
        <v>1</v>
      </c>
      <c r="Q414" s="362">
        <v>1</v>
      </c>
      <c r="R414" s="362">
        <v>2</v>
      </c>
      <c r="S414" s="362">
        <v>2</v>
      </c>
      <c r="T414" s="362">
        <v>2</v>
      </c>
    </row>
    <row r="415" spans="1:20" s="361" customFormat="1">
      <c r="A415" s="361" t="s">
        <v>297</v>
      </c>
      <c r="B415" s="362">
        <f t="shared" ref="B415:T415" si="9">B399</f>
        <v>0</v>
      </c>
      <c r="C415" s="362">
        <f t="shared" si="9"/>
        <v>0</v>
      </c>
      <c r="D415" s="362">
        <f t="shared" si="9"/>
        <v>0</v>
      </c>
      <c r="E415" s="362">
        <f t="shared" si="9"/>
        <v>0</v>
      </c>
      <c r="F415" s="362">
        <f t="shared" si="9"/>
        <v>0</v>
      </c>
      <c r="G415" s="362">
        <f t="shared" si="9"/>
        <v>1</v>
      </c>
      <c r="H415" s="362">
        <f t="shared" si="9"/>
        <v>1</v>
      </c>
      <c r="I415" s="363">
        <f t="shared" si="9"/>
        <v>1</v>
      </c>
      <c r="J415" s="362">
        <f t="shared" si="9"/>
        <v>1</v>
      </c>
      <c r="K415" s="362">
        <f t="shared" si="9"/>
        <v>1</v>
      </c>
      <c r="L415" s="362">
        <f t="shared" si="9"/>
        <v>1</v>
      </c>
      <c r="M415" s="362">
        <f t="shared" si="9"/>
        <v>1</v>
      </c>
      <c r="N415" s="362">
        <f t="shared" si="9"/>
        <v>1</v>
      </c>
      <c r="O415" s="362">
        <f t="shared" si="9"/>
        <v>1</v>
      </c>
      <c r="P415" s="362">
        <f t="shared" si="9"/>
        <v>1</v>
      </c>
      <c r="Q415" s="362">
        <f t="shared" si="9"/>
        <v>1</v>
      </c>
      <c r="R415" s="362">
        <f t="shared" si="9"/>
        <v>1</v>
      </c>
      <c r="S415" s="362">
        <f t="shared" si="9"/>
        <v>1</v>
      </c>
      <c r="T415" s="362">
        <f t="shared" si="9"/>
        <v>1</v>
      </c>
    </row>
    <row r="416" spans="1:20" s="361" customFormat="1">
      <c r="A416" s="361" t="s">
        <v>300</v>
      </c>
      <c r="B416" s="362">
        <v>4</v>
      </c>
      <c r="C416" s="362">
        <v>4</v>
      </c>
      <c r="D416" s="362">
        <v>4</v>
      </c>
      <c r="E416" s="362">
        <v>4</v>
      </c>
      <c r="F416" s="362">
        <v>4</v>
      </c>
      <c r="G416" s="362">
        <v>5</v>
      </c>
      <c r="H416" s="362">
        <v>5</v>
      </c>
      <c r="I416" s="363">
        <v>5</v>
      </c>
      <c r="J416" s="362">
        <v>5</v>
      </c>
      <c r="K416" s="362">
        <v>5</v>
      </c>
      <c r="L416" s="362">
        <v>5</v>
      </c>
      <c r="M416" s="362">
        <v>5</v>
      </c>
      <c r="N416" s="362">
        <v>5</v>
      </c>
      <c r="O416" s="362">
        <v>5</v>
      </c>
      <c r="P416" s="362">
        <v>5</v>
      </c>
      <c r="Q416" s="362">
        <v>5</v>
      </c>
      <c r="R416" s="362">
        <v>5</v>
      </c>
      <c r="S416" s="362">
        <v>5</v>
      </c>
      <c r="T416" s="362">
        <v>5</v>
      </c>
    </row>
    <row r="417" spans="1:20" s="361" customFormat="1">
      <c r="A417" s="361" t="s">
        <v>298</v>
      </c>
      <c r="B417" s="362">
        <v>1</v>
      </c>
      <c r="C417" s="362">
        <v>1</v>
      </c>
      <c r="D417" s="362">
        <v>1</v>
      </c>
      <c r="E417" s="362">
        <v>1</v>
      </c>
      <c r="F417" s="362">
        <v>1</v>
      </c>
      <c r="G417" s="362">
        <v>2</v>
      </c>
      <c r="H417" s="362">
        <v>2</v>
      </c>
      <c r="I417" s="363">
        <v>2</v>
      </c>
      <c r="J417" s="362">
        <v>2</v>
      </c>
      <c r="K417" s="362">
        <v>2</v>
      </c>
      <c r="L417" s="362">
        <v>2</v>
      </c>
      <c r="M417" s="362">
        <v>2</v>
      </c>
      <c r="N417" s="362">
        <v>2</v>
      </c>
      <c r="O417" s="362">
        <v>2</v>
      </c>
      <c r="P417" s="362">
        <v>2</v>
      </c>
      <c r="Q417" s="362">
        <v>2</v>
      </c>
      <c r="R417" s="362">
        <v>2</v>
      </c>
      <c r="S417" s="362">
        <v>2</v>
      </c>
      <c r="T417" s="362">
        <v>2</v>
      </c>
    </row>
    <row r="418" spans="1:20" s="361" customFormat="1">
      <c r="A418" s="361" t="s">
        <v>299</v>
      </c>
      <c r="B418" s="362">
        <v>1</v>
      </c>
      <c r="C418" s="362">
        <v>1</v>
      </c>
      <c r="D418" s="362">
        <v>1</v>
      </c>
      <c r="E418" s="362">
        <v>1</v>
      </c>
      <c r="F418" s="362">
        <v>1</v>
      </c>
      <c r="G418" s="362">
        <v>2</v>
      </c>
      <c r="H418" s="362">
        <v>2</v>
      </c>
      <c r="I418" s="363">
        <v>2</v>
      </c>
      <c r="J418" s="362">
        <v>2</v>
      </c>
      <c r="K418" s="362">
        <v>2</v>
      </c>
      <c r="L418" s="362">
        <v>2</v>
      </c>
      <c r="M418" s="362">
        <v>2</v>
      </c>
      <c r="N418" s="362">
        <v>2</v>
      </c>
      <c r="O418" s="362">
        <v>2</v>
      </c>
      <c r="P418" s="362">
        <v>2</v>
      </c>
      <c r="Q418" s="362">
        <v>2</v>
      </c>
      <c r="R418" s="362">
        <v>2</v>
      </c>
      <c r="S418" s="362">
        <v>2</v>
      </c>
      <c r="T418" s="362">
        <v>2</v>
      </c>
    </row>
    <row r="419" spans="1:20" s="361" customFormat="1">
      <c r="A419" s="361" t="s">
        <v>425</v>
      </c>
      <c r="B419" s="362">
        <v>5</v>
      </c>
      <c r="C419" s="362">
        <v>5</v>
      </c>
      <c r="D419" s="362">
        <v>5</v>
      </c>
      <c r="E419" s="362">
        <v>5</v>
      </c>
      <c r="F419" s="362">
        <v>5</v>
      </c>
      <c r="G419" s="362">
        <v>5</v>
      </c>
      <c r="H419" s="362">
        <v>5</v>
      </c>
      <c r="I419" s="363">
        <v>5</v>
      </c>
      <c r="J419" s="362">
        <v>5</v>
      </c>
      <c r="K419" s="362">
        <v>5</v>
      </c>
      <c r="L419" s="362">
        <v>5</v>
      </c>
      <c r="M419" s="362">
        <v>5</v>
      </c>
      <c r="N419" s="362">
        <v>5</v>
      </c>
      <c r="O419" s="362">
        <v>5</v>
      </c>
      <c r="P419" s="362">
        <v>5</v>
      </c>
      <c r="Q419" s="362">
        <v>5</v>
      </c>
      <c r="R419" s="362">
        <v>5</v>
      </c>
      <c r="S419" s="362">
        <v>5</v>
      </c>
      <c r="T419" s="362">
        <v>5</v>
      </c>
    </row>
    <row r="420" spans="1:20" s="16" customFormat="1">
      <c r="A420" s="16" t="s">
        <v>439</v>
      </c>
      <c r="B420" s="75"/>
      <c r="C420" s="75"/>
      <c r="E420" s="76"/>
      <c r="F420" s="77"/>
      <c r="G420" s="75"/>
      <c r="I420" s="85"/>
    </row>
    <row r="421" spans="1:20" s="68" customFormat="1">
      <c r="A421" s="68" t="s">
        <v>428</v>
      </c>
      <c r="B421" s="64"/>
      <c r="C421" s="64"/>
      <c r="E421" s="78" t="s">
        <v>440</v>
      </c>
      <c r="F421" s="82" t="s">
        <v>431</v>
      </c>
      <c r="G421" s="64"/>
      <c r="I421" s="103"/>
    </row>
    <row r="422" spans="1:20" s="68" customFormat="1">
      <c r="A422" s="68" t="s">
        <v>430</v>
      </c>
      <c r="B422" s="64"/>
      <c r="C422" s="64"/>
      <c r="E422" s="78"/>
      <c r="F422" s="64"/>
      <c r="G422" s="64"/>
      <c r="I422" s="103"/>
    </row>
    <row r="423" spans="1:20" s="17" customFormat="1">
      <c r="A423" s="17" t="s">
        <v>330</v>
      </c>
      <c r="B423" s="30" t="s">
        <v>432</v>
      </c>
      <c r="C423" s="30">
        <v>11</v>
      </c>
      <c r="D423" s="30">
        <v>12</v>
      </c>
      <c r="E423" s="79">
        <v>13</v>
      </c>
      <c r="F423" s="30">
        <v>14</v>
      </c>
      <c r="G423" s="30">
        <v>15</v>
      </c>
      <c r="H423" s="79">
        <v>16</v>
      </c>
      <c r="I423" s="84">
        <v>17</v>
      </c>
      <c r="J423" s="30">
        <v>18</v>
      </c>
      <c r="K423" s="79">
        <v>19</v>
      </c>
      <c r="L423" s="30">
        <v>20</v>
      </c>
      <c r="M423" s="30">
        <v>21</v>
      </c>
      <c r="N423" s="79">
        <v>22</v>
      </c>
      <c r="O423" s="30">
        <v>23</v>
      </c>
      <c r="P423" s="30">
        <v>24</v>
      </c>
      <c r="Q423" s="79">
        <v>25</v>
      </c>
      <c r="R423" s="30">
        <v>26</v>
      </c>
      <c r="S423" s="30">
        <v>27</v>
      </c>
      <c r="T423" s="79" t="s">
        <v>433</v>
      </c>
    </row>
    <row r="424" spans="1:20" s="63" customFormat="1">
      <c r="A424" s="63" t="str">
        <f>List!A6</f>
        <v>Please select</v>
      </c>
      <c r="B424" s="62"/>
      <c r="C424" s="62"/>
      <c r="D424" s="62"/>
      <c r="E424" s="960"/>
      <c r="F424" s="62"/>
      <c r="G424" s="62"/>
      <c r="H424" s="960"/>
      <c r="I424" s="961"/>
      <c r="J424" s="62"/>
      <c r="K424" s="960"/>
      <c r="L424" s="62"/>
      <c r="M424" s="62"/>
      <c r="N424" s="960"/>
      <c r="O424" s="62"/>
      <c r="P424" s="62"/>
      <c r="Q424" s="960"/>
      <c r="R424" s="62"/>
      <c r="S424" s="62"/>
      <c r="T424" s="960"/>
    </row>
    <row r="425" spans="1:20" s="361" customFormat="1">
      <c r="A425" s="361" t="s">
        <v>304</v>
      </c>
      <c r="B425" s="362">
        <v>10</v>
      </c>
      <c r="C425" s="362">
        <v>11</v>
      </c>
      <c r="D425" s="362">
        <v>11</v>
      </c>
      <c r="E425" s="362">
        <v>12</v>
      </c>
      <c r="F425" s="362">
        <v>12</v>
      </c>
      <c r="G425" s="362">
        <v>13</v>
      </c>
      <c r="H425" s="362">
        <v>13</v>
      </c>
      <c r="I425" s="363">
        <v>14</v>
      </c>
      <c r="J425" s="362">
        <v>15</v>
      </c>
      <c r="K425" s="362">
        <v>15</v>
      </c>
      <c r="L425" s="362">
        <v>16</v>
      </c>
      <c r="M425" s="362">
        <v>17</v>
      </c>
      <c r="N425" s="362">
        <v>18</v>
      </c>
      <c r="O425" s="362">
        <v>18</v>
      </c>
      <c r="P425" s="362">
        <v>19</v>
      </c>
      <c r="Q425" s="362">
        <v>20</v>
      </c>
      <c r="R425" s="362">
        <v>22</v>
      </c>
      <c r="S425" s="362">
        <v>23</v>
      </c>
      <c r="T425" s="362">
        <v>23</v>
      </c>
    </row>
    <row r="426" spans="1:20" s="361" customFormat="1">
      <c r="A426" s="361" t="s">
        <v>301</v>
      </c>
      <c r="B426" s="364">
        <v>6</v>
      </c>
      <c r="C426" s="362">
        <v>6</v>
      </c>
      <c r="D426" s="362">
        <v>7</v>
      </c>
      <c r="E426" s="362">
        <v>7</v>
      </c>
      <c r="F426" s="362">
        <v>8</v>
      </c>
      <c r="G426" s="362">
        <v>9</v>
      </c>
      <c r="H426" s="362">
        <v>9</v>
      </c>
      <c r="I426" s="363">
        <v>10</v>
      </c>
      <c r="J426" s="362">
        <v>11</v>
      </c>
      <c r="K426" s="362">
        <v>11</v>
      </c>
      <c r="L426" s="362">
        <v>12</v>
      </c>
      <c r="M426" s="362">
        <v>13</v>
      </c>
      <c r="N426" s="362">
        <v>14</v>
      </c>
      <c r="O426" s="362">
        <v>15</v>
      </c>
      <c r="P426" s="362">
        <v>16</v>
      </c>
      <c r="Q426" s="362">
        <v>18</v>
      </c>
      <c r="R426" s="362">
        <v>19</v>
      </c>
      <c r="S426" s="362">
        <v>21</v>
      </c>
      <c r="T426" s="362">
        <v>21</v>
      </c>
    </row>
    <row r="427" spans="1:20" s="361" customFormat="1">
      <c r="A427" s="361" t="s">
        <v>302</v>
      </c>
      <c r="B427" s="362">
        <v>3</v>
      </c>
      <c r="C427" s="362">
        <v>3</v>
      </c>
      <c r="D427" s="362">
        <v>3</v>
      </c>
      <c r="E427" s="362">
        <v>3</v>
      </c>
      <c r="F427" s="362">
        <v>3</v>
      </c>
      <c r="G427" s="362">
        <v>4</v>
      </c>
      <c r="H427" s="362">
        <v>4</v>
      </c>
      <c r="I427" s="363">
        <v>4</v>
      </c>
      <c r="J427" s="362">
        <v>4</v>
      </c>
      <c r="K427" s="362">
        <v>5</v>
      </c>
      <c r="L427" s="362">
        <v>5</v>
      </c>
      <c r="M427" s="362">
        <v>5</v>
      </c>
      <c r="N427" s="362">
        <v>6</v>
      </c>
      <c r="O427" s="362">
        <v>6</v>
      </c>
      <c r="P427" s="362">
        <v>6</v>
      </c>
      <c r="Q427" s="362">
        <v>7</v>
      </c>
      <c r="R427" s="362">
        <v>10</v>
      </c>
      <c r="S427" s="362">
        <v>10</v>
      </c>
      <c r="T427" s="362">
        <v>10</v>
      </c>
    </row>
    <row r="428" spans="1:20" s="361" customFormat="1">
      <c r="A428" s="361" t="s">
        <v>303</v>
      </c>
      <c r="B428" s="362">
        <v>11</v>
      </c>
      <c r="C428" s="362">
        <v>11</v>
      </c>
      <c r="D428" s="362">
        <v>12</v>
      </c>
      <c r="E428" s="362">
        <v>12</v>
      </c>
      <c r="F428" s="362">
        <v>12</v>
      </c>
      <c r="G428" s="362">
        <v>13</v>
      </c>
      <c r="H428" s="362">
        <v>13</v>
      </c>
      <c r="I428" s="363">
        <v>13</v>
      </c>
      <c r="J428" s="362">
        <v>13</v>
      </c>
      <c r="K428" s="362">
        <v>13</v>
      </c>
      <c r="L428" s="362">
        <v>13</v>
      </c>
      <c r="M428" s="362">
        <v>13</v>
      </c>
      <c r="N428" s="362">
        <v>13</v>
      </c>
      <c r="O428" s="362">
        <v>13</v>
      </c>
      <c r="P428" s="362">
        <v>13</v>
      </c>
      <c r="Q428" s="362">
        <v>13</v>
      </c>
      <c r="R428" s="362">
        <v>13</v>
      </c>
      <c r="S428" s="362">
        <v>13</v>
      </c>
      <c r="T428" s="362">
        <v>13</v>
      </c>
    </row>
    <row r="429" spans="1:20" s="361" customFormat="1">
      <c r="A429" s="361" t="s">
        <v>306</v>
      </c>
      <c r="B429" s="362">
        <v>1</v>
      </c>
      <c r="C429" s="362">
        <v>1</v>
      </c>
      <c r="D429" s="362">
        <v>1</v>
      </c>
      <c r="E429" s="362">
        <v>1</v>
      </c>
      <c r="F429" s="362">
        <v>1</v>
      </c>
      <c r="G429" s="362">
        <v>1</v>
      </c>
      <c r="H429" s="362">
        <v>1</v>
      </c>
      <c r="I429" s="363">
        <v>1</v>
      </c>
      <c r="J429" s="362">
        <v>1</v>
      </c>
      <c r="K429" s="362">
        <v>1</v>
      </c>
      <c r="L429" s="362">
        <v>1</v>
      </c>
      <c r="M429" s="362">
        <v>1</v>
      </c>
      <c r="N429" s="362">
        <v>1</v>
      </c>
      <c r="O429" s="362">
        <v>1</v>
      </c>
      <c r="P429" s="362">
        <v>1</v>
      </c>
      <c r="Q429" s="362">
        <v>1</v>
      </c>
      <c r="R429" s="362">
        <v>2</v>
      </c>
      <c r="S429" s="362">
        <v>2</v>
      </c>
      <c r="T429" s="362">
        <v>2</v>
      </c>
    </row>
    <row r="430" spans="1:20" s="361" customFormat="1">
      <c r="A430" s="361" t="s">
        <v>305</v>
      </c>
      <c r="B430" s="362">
        <v>1</v>
      </c>
      <c r="C430" s="362">
        <v>1</v>
      </c>
      <c r="D430" s="362">
        <v>1</v>
      </c>
      <c r="E430" s="362">
        <v>1</v>
      </c>
      <c r="F430" s="362">
        <v>1</v>
      </c>
      <c r="G430" s="362">
        <v>1</v>
      </c>
      <c r="H430" s="362">
        <v>1</v>
      </c>
      <c r="I430" s="363">
        <v>1</v>
      </c>
      <c r="J430" s="362">
        <v>1</v>
      </c>
      <c r="K430" s="362">
        <v>1</v>
      </c>
      <c r="L430" s="362">
        <v>1</v>
      </c>
      <c r="M430" s="362">
        <v>1</v>
      </c>
      <c r="N430" s="362">
        <v>1</v>
      </c>
      <c r="O430" s="362">
        <v>1</v>
      </c>
      <c r="P430" s="362">
        <v>1</v>
      </c>
      <c r="Q430" s="362">
        <v>1</v>
      </c>
      <c r="R430" s="362">
        <v>2</v>
      </c>
      <c r="S430" s="362">
        <v>2</v>
      </c>
      <c r="T430" s="362">
        <v>2</v>
      </c>
    </row>
    <row r="431" spans="1:20" s="361" customFormat="1">
      <c r="A431" s="361" t="s">
        <v>297</v>
      </c>
      <c r="B431" s="362">
        <v>0</v>
      </c>
      <c r="C431" s="362">
        <v>0</v>
      </c>
      <c r="D431" s="362">
        <v>0</v>
      </c>
      <c r="E431" s="362">
        <v>1</v>
      </c>
      <c r="F431" s="362">
        <v>1</v>
      </c>
      <c r="G431" s="362">
        <v>1</v>
      </c>
      <c r="H431" s="362">
        <v>1</v>
      </c>
      <c r="I431" s="363">
        <v>1</v>
      </c>
      <c r="J431" s="362">
        <v>1</v>
      </c>
      <c r="K431" s="362">
        <v>1</v>
      </c>
      <c r="L431" s="362">
        <v>1</v>
      </c>
      <c r="M431" s="362">
        <v>1</v>
      </c>
      <c r="N431" s="362">
        <v>1</v>
      </c>
      <c r="O431" s="362">
        <v>1</v>
      </c>
      <c r="P431" s="362">
        <v>1</v>
      </c>
      <c r="Q431" s="362">
        <v>1</v>
      </c>
      <c r="R431" s="362">
        <v>1</v>
      </c>
      <c r="S431" s="362">
        <v>1</v>
      </c>
      <c r="T431" s="362">
        <v>2</v>
      </c>
    </row>
    <row r="432" spans="1:20" s="361" customFormat="1">
      <c r="A432" s="361" t="s">
        <v>300</v>
      </c>
      <c r="B432" s="362">
        <v>1</v>
      </c>
      <c r="C432" s="362">
        <v>1</v>
      </c>
      <c r="D432" s="362">
        <v>1</v>
      </c>
      <c r="E432" s="362">
        <v>2</v>
      </c>
      <c r="F432" s="362">
        <v>2</v>
      </c>
      <c r="G432" s="362">
        <v>2</v>
      </c>
      <c r="H432" s="362">
        <v>2</v>
      </c>
      <c r="I432" s="363">
        <v>2</v>
      </c>
      <c r="J432" s="362">
        <v>3</v>
      </c>
      <c r="K432" s="362">
        <v>3</v>
      </c>
      <c r="L432" s="362">
        <v>3</v>
      </c>
      <c r="M432" s="362">
        <v>3</v>
      </c>
      <c r="N432" s="362">
        <v>4</v>
      </c>
      <c r="O432" s="362">
        <v>4</v>
      </c>
      <c r="P432" s="362">
        <v>4</v>
      </c>
      <c r="Q432" s="362">
        <v>5</v>
      </c>
      <c r="R432" s="362">
        <v>5</v>
      </c>
      <c r="S432" s="362">
        <v>5</v>
      </c>
      <c r="T432" s="362">
        <v>6</v>
      </c>
    </row>
    <row r="433" spans="1:20" s="361" customFormat="1">
      <c r="A433" s="361" t="s">
        <v>298</v>
      </c>
      <c r="B433" s="362">
        <v>2</v>
      </c>
      <c r="C433" s="362">
        <v>2</v>
      </c>
      <c r="D433" s="362">
        <v>2</v>
      </c>
      <c r="E433" s="362">
        <v>2</v>
      </c>
      <c r="F433" s="362">
        <v>2</v>
      </c>
      <c r="G433" s="362">
        <v>3</v>
      </c>
      <c r="H433" s="362">
        <v>3</v>
      </c>
      <c r="I433" s="363">
        <v>3</v>
      </c>
      <c r="J433" s="362">
        <v>3</v>
      </c>
      <c r="K433" s="362">
        <v>4</v>
      </c>
      <c r="L433" s="362">
        <v>4</v>
      </c>
      <c r="M433" s="362">
        <v>4</v>
      </c>
      <c r="N433" s="362">
        <v>5</v>
      </c>
      <c r="O433" s="362">
        <v>5</v>
      </c>
      <c r="P433" s="362">
        <v>5</v>
      </c>
      <c r="Q433" s="362">
        <v>6</v>
      </c>
      <c r="R433" s="362">
        <v>6</v>
      </c>
      <c r="S433" s="362">
        <v>7</v>
      </c>
      <c r="T433" s="362">
        <v>7</v>
      </c>
    </row>
    <row r="434" spans="1:20" s="361" customFormat="1">
      <c r="A434" s="361" t="s">
        <v>299</v>
      </c>
      <c r="B434" s="362">
        <v>2</v>
      </c>
      <c r="C434" s="362">
        <v>2</v>
      </c>
      <c r="D434" s="362">
        <v>2</v>
      </c>
      <c r="E434" s="362">
        <v>2</v>
      </c>
      <c r="F434" s="362">
        <v>2</v>
      </c>
      <c r="G434" s="362">
        <v>3</v>
      </c>
      <c r="H434" s="362">
        <v>3</v>
      </c>
      <c r="I434" s="363">
        <v>3</v>
      </c>
      <c r="J434" s="362">
        <v>3</v>
      </c>
      <c r="K434" s="362">
        <v>4</v>
      </c>
      <c r="L434" s="362">
        <v>4</v>
      </c>
      <c r="M434" s="362">
        <v>4</v>
      </c>
      <c r="N434" s="362">
        <v>5</v>
      </c>
      <c r="O434" s="362">
        <v>5</v>
      </c>
      <c r="P434" s="362">
        <v>5</v>
      </c>
      <c r="Q434" s="362">
        <v>6</v>
      </c>
      <c r="R434" s="362">
        <v>6</v>
      </c>
      <c r="S434" s="362">
        <v>7</v>
      </c>
      <c r="T434" s="362">
        <v>7</v>
      </c>
    </row>
    <row r="435" spans="1:20" s="361" customFormat="1">
      <c r="A435" s="361" t="s">
        <v>425</v>
      </c>
      <c r="B435" s="362">
        <v>2</v>
      </c>
      <c r="C435" s="362">
        <v>2</v>
      </c>
      <c r="D435" s="362">
        <v>3</v>
      </c>
      <c r="E435" s="362">
        <v>3</v>
      </c>
      <c r="F435" s="362">
        <v>3</v>
      </c>
      <c r="G435" s="362">
        <v>3</v>
      </c>
      <c r="H435" s="362">
        <v>3</v>
      </c>
      <c r="I435" s="363">
        <v>3</v>
      </c>
      <c r="J435" s="362">
        <v>4</v>
      </c>
      <c r="K435" s="362">
        <v>4</v>
      </c>
      <c r="L435" s="362">
        <v>4</v>
      </c>
      <c r="M435" s="362">
        <v>4</v>
      </c>
      <c r="N435" s="362">
        <v>4</v>
      </c>
      <c r="O435" s="362">
        <v>5</v>
      </c>
      <c r="P435" s="362">
        <v>5</v>
      </c>
      <c r="Q435" s="362">
        <v>5</v>
      </c>
      <c r="R435" s="362">
        <v>6</v>
      </c>
      <c r="S435" s="362">
        <v>6</v>
      </c>
      <c r="T435" s="362">
        <v>6</v>
      </c>
    </row>
    <row r="436" spans="1:20" s="16" customFormat="1">
      <c r="A436" s="16" t="s">
        <v>441</v>
      </c>
      <c r="B436" s="75"/>
      <c r="C436" s="75"/>
      <c r="E436" s="76"/>
      <c r="F436" s="77"/>
      <c r="G436" s="75"/>
      <c r="I436" s="85"/>
    </row>
    <row r="437" spans="1:20" s="68" customFormat="1">
      <c r="A437" s="68" t="s">
        <v>428</v>
      </c>
      <c r="B437" s="64"/>
      <c r="C437" s="64"/>
      <c r="E437" s="78" t="s">
        <v>442</v>
      </c>
      <c r="F437" s="82" t="s">
        <v>431</v>
      </c>
      <c r="G437" s="64"/>
      <c r="I437" s="103"/>
    </row>
    <row r="438" spans="1:20" s="68" customFormat="1">
      <c r="A438" s="68" t="s">
        <v>430</v>
      </c>
      <c r="B438" s="64"/>
      <c r="C438" s="64"/>
      <c r="E438" s="78"/>
      <c r="F438" s="64"/>
      <c r="G438" s="64"/>
      <c r="I438" s="103"/>
    </row>
    <row r="439" spans="1:20" s="17" customFormat="1">
      <c r="A439" s="17" t="s">
        <v>330</v>
      </c>
      <c r="B439" s="30" t="s">
        <v>432</v>
      </c>
      <c r="C439" s="30">
        <v>11</v>
      </c>
      <c r="D439" s="30">
        <v>12</v>
      </c>
      <c r="E439" s="79">
        <v>13</v>
      </c>
      <c r="F439" s="30">
        <v>14</v>
      </c>
      <c r="G439" s="30">
        <v>15</v>
      </c>
      <c r="H439" s="79">
        <v>16</v>
      </c>
      <c r="I439" s="84">
        <v>17</v>
      </c>
      <c r="J439" s="30">
        <v>18</v>
      </c>
      <c r="K439" s="79">
        <v>19</v>
      </c>
      <c r="L439" s="30">
        <v>20</v>
      </c>
      <c r="M439" s="30">
        <v>21</v>
      </c>
      <c r="N439" s="79">
        <v>22</v>
      </c>
      <c r="O439" s="30">
        <v>23</v>
      </c>
      <c r="P439" s="30">
        <v>24</v>
      </c>
      <c r="Q439" s="79">
        <v>25</v>
      </c>
      <c r="R439" s="30">
        <v>26</v>
      </c>
      <c r="S439" s="30">
        <v>27</v>
      </c>
      <c r="T439" s="79" t="s">
        <v>433</v>
      </c>
    </row>
    <row r="440" spans="1:20" s="63" customFormat="1">
      <c r="A440" s="63" t="str">
        <f>List!A6</f>
        <v>Please select</v>
      </c>
      <c r="B440" s="62"/>
      <c r="C440" s="62"/>
      <c r="D440" s="62"/>
      <c r="E440" s="960"/>
      <c r="F440" s="62"/>
      <c r="G440" s="62"/>
      <c r="H440" s="960"/>
      <c r="I440" s="961"/>
      <c r="J440" s="62"/>
      <c r="K440" s="960"/>
      <c r="L440" s="62"/>
      <c r="M440" s="62"/>
      <c r="N440" s="960"/>
      <c r="O440" s="62"/>
      <c r="P440" s="62"/>
      <c r="Q440" s="960"/>
      <c r="R440" s="62"/>
      <c r="S440" s="62"/>
      <c r="T440" s="960"/>
    </row>
    <row r="441" spans="1:20" s="361" customFormat="1">
      <c r="A441" s="361" t="s">
        <v>304</v>
      </c>
      <c r="B441" s="362">
        <v>19</v>
      </c>
      <c r="C441" s="362">
        <v>20</v>
      </c>
      <c r="D441" s="362">
        <v>21</v>
      </c>
      <c r="E441" s="362">
        <v>22</v>
      </c>
      <c r="F441" s="362">
        <v>23</v>
      </c>
      <c r="G441" s="362">
        <v>24</v>
      </c>
      <c r="H441" s="362">
        <v>26</v>
      </c>
      <c r="I441" s="363">
        <v>27</v>
      </c>
      <c r="J441" s="362">
        <v>28</v>
      </c>
      <c r="K441" s="362">
        <v>29</v>
      </c>
      <c r="L441" s="362">
        <v>31</v>
      </c>
      <c r="M441" s="362">
        <v>32</v>
      </c>
      <c r="N441" s="362">
        <v>34</v>
      </c>
      <c r="O441" s="362">
        <v>35</v>
      </c>
      <c r="P441" s="362">
        <v>37</v>
      </c>
      <c r="Q441" s="362">
        <v>39</v>
      </c>
      <c r="R441" s="362">
        <v>41</v>
      </c>
      <c r="S441" s="362">
        <v>44</v>
      </c>
      <c r="T441" s="362">
        <v>45</v>
      </c>
    </row>
    <row r="442" spans="1:20" s="361" customFormat="1">
      <c r="A442" s="361" t="s">
        <v>301</v>
      </c>
      <c r="B442" s="364">
        <v>9</v>
      </c>
      <c r="C442" s="362">
        <v>10</v>
      </c>
      <c r="D442" s="362">
        <v>10</v>
      </c>
      <c r="E442" s="362">
        <v>11</v>
      </c>
      <c r="F442" s="362">
        <v>12</v>
      </c>
      <c r="G442" s="362">
        <v>13</v>
      </c>
      <c r="H442" s="362">
        <v>14</v>
      </c>
      <c r="I442" s="363">
        <v>15</v>
      </c>
      <c r="J442" s="362">
        <v>16</v>
      </c>
      <c r="K442" s="362">
        <v>17</v>
      </c>
      <c r="L442" s="362">
        <v>19</v>
      </c>
      <c r="M442" s="362">
        <v>20</v>
      </c>
      <c r="N442" s="362">
        <v>22</v>
      </c>
      <c r="O442" s="362">
        <v>23</v>
      </c>
      <c r="P442" s="362">
        <v>25</v>
      </c>
      <c r="Q442" s="362">
        <v>27</v>
      </c>
      <c r="R442" s="362">
        <v>29</v>
      </c>
      <c r="S442" s="362">
        <v>32</v>
      </c>
      <c r="T442" s="362">
        <v>33</v>
      </c>
    </row>
    <row r="443" spans="1:20" s="361" customFormat="1">
      <c r="A443" s="361" t="s">
        <v>302</v>
      </c>
      <c r="B443" s="362">
        <v>4</v>
      </c>
      <c r="C443" s="362">
        <v>5</v>
      </c>
      <c r="D443" s="362">
        <v>5</v>
      </c>
      <c r="E443" s="362">
        <v>5</v>
      </c>
      <c r="F443" s="362">
        <v>5</v>
      </c>
      <c r="G443" s="362">
        <v>6</v>
      </c>
      <c r="H443" s="362">
        <v>7</v>
      </c>
      <c r="I443" s="363">
        <v>7</v>
      </c>
      <c r="J443" s="362">
        <v>7</v>
      </c>
      <c r="K443" s="362">
        <v>8</v>
      </c>
      <c r="L443" s="362">
        <v>8</v>
      </c>
      <c r="M443" s="362">
        <v>9</v>
      </c>
      <c r="N443" s="362">
        <v>9</v>
      </c>
      <c r="O443" s="362">
        <v>10</v>
      </c>
      <c r="P443" s="362">
        <v>11</v>
      </c>
      <c r="Q443" s="362">
        <v>12</v>
      </c>
      <c r="R443" s="362">
        <v>16</v>
      </c>
      <c r="S443" s="362">
        <v>17</v>
      </c>
      <c r="T443" s="362">
        <v>17</v>
      </c>
    </row>
    <row r="444" spans="1:20" s="361" customFormat="1">
      <c r="A444" s="361" t="s">
        <v>303</v>
      </c>
      <c r="B444" s="362">
        <v>20</v>
      </c>
      <c r="C444" s="362">
        <v>20</v>
      </c>
      <c r="D444" s="362">
        <v>21</v>
      </c>
      <c r="E444" s="362">
        <v>21</v>
      </c>
      <c r="F444" s="362">
        <v>22</v>
      </c>
      <c r="G444" s="362">
        <v>22</v>
      </c>
      <c r="H444" s="362">
        <v>23</v>
      </c>
      <c r="I444" s="363">
        <v>23</v>
      </c>
      <c r="J444" s="362">
        <v>23</v>
      </c>
      <c r="K444" s="362">
        <v>23</v>
      </c>
      <c r="L444" s="362">
        <v>23</v>
      </c>
      <c r="M444" s="362">
        <v>24</v>
      </c>
      <c r="N444" s="362">
        <v>24</v>
      </c>
      <c r="O444" s="362">
        <v>24</v>
      </c>
      <c r="P444" s="362">
        <v>24</v>
      </c>
      <c r="Q444" s="362">
        <v>24</v>
      </c>
      <c r="R444" s="362">
        <v>24</v>
      </c>
      <c r="S444" s="362">
        <v>24</v>
      </c>
      <c r="T444" s="362">
        <v>24</v>
      </c>
    </row>
    <row r="445" spans="1:20" s="361" customFormat="1">
      <c r="A445" s="361" t="s">
        <v>306</v>
      </c>
      <c r="B445" s="362">
        <v>1</v>
      </c>
      <c r="C445" s="362">
        <v>1</v>
      </c>
      <c r="D445" s="362">
        <v>1</v>
      </c>
      <c r="E445" s="362">
        <v>1</v>
      </c>
      <c r="F445" s="362">
        <v>1</v>
      </c>
      <c r="G445" s="362">
        <v>1</v>
      </c>
      <c r="H445" s="362">
        <v>1</v>
      </c>
      <c r="I445" s="363">
        <v>1</v>
      </c>
      <c r="J445" s="362">
        <v>1</v>
      </c>
      <c r="K445" s="362">
        <v>1</v>
      </c>
      <c r="L445" s="362">
        <v>1</v>
      </c>
      <c r="M445" s="362">
        <v>1</v>
      </c>
      <c r="N445" s="362">
        <v>1</v>
      </c>
      <c r="O445" s="362">
        <v>1</v>
      </c>
      <c r="P445" s="362">
        <v>1</v>
      </c>
      <c r="Q445" s="362">
        <v>1</v>
      </c>
      <c r="R445" s="362">
        <v>2</v>
      </c>
      <c r="S445" s="362">
        <v>2</v>
      </c>
      <c r="T445" s="362">
        <v>2</v>
      </c>
    </row>
    <row r="446" spans="1:20" s="361" customFormat="1">
      <c r="A446" s="361" t="s">
        <v>305</v>
      </c>
      <c r="B446" s="362">
        <v>1</v>
      </c>
      <c r="C446" s="362">
        <v>1</v>
      </c>
      <c r="D446" s="362">
        <v>1</v>
      </c>
      <c r="E446" s="362">
        <v>1</v>
      </c>
      <c r="F446" s="362">
        <v>1</v>
      </c>
      <c r="G446" s="362">
        <v>1</v>
      </c>
      <c r="H446" s="362">
        <v>1</v>
      </c>
      <c r="I446" s="363">
        <v>1</v>
      </c>
      <c r="J446" s="362">
        <v>1</v>
      </c>
      <c r="K446" s="362">
        <v>1</v>
      </c>
      <c r="L446" s="362">
        <v>1</v>
      </c>
      <c r="M446" s="362">
        <v>1</v>
      </c>
      <c r="N446" s="362">
        <v>1</v>
      </c>
      <c r="O446" s="362">
        <v>1</v>
      </c>
      <c r="P446" s="362">
        <v>1</v>
      </c>
      <c r="Q446" s="362">
        <v>1</v>
      </c>
      <c r="R446" s="362">
        <v>2</v>
      </c>
      <c r="S446" s="362">
        <v>2</v>
      </c>
      <c r="T446" s="362">
        <v>2</v>
      </c>
    </row>
    <row r="447" spans="1:20" s="361" customFormat="1">
      <c r="A447" s="361" t="s">
        <v>297</v>
      </c>
      <c r="B447" s="362">
        <v>0</v>
      </c>
      <c r="C447" s="362">
        <v>0</v>
      </c>
      <c r="D447" s="362">
        <v>0</v>
      </c>
      <c r="E447" s="362">
        <v>1</v>
      </c>
      <c r="F447" s="362">
        <v>1</v>
      </c>
      <c r="G447" s="362">
        <v>1</v>
      </c>
      <c r="H447" s="362">
        <v>1</v>
      </c>
      <c r="I447" s="363">
        <v>1</v>
      </c>
      <c r="J447" s="362">
        <v>1</v>
      </c>
      <c r="K447" s="362">
        <v>1</v>
      </c>
      <c r="L447" s="362">
        <v>1</v>
      </c>
      <c r="M447" s="362">
        <v>1</v>
      </c>
      <c r="N447" s="362">
        <v>1</v>
      </c>
      <c r="O447" s="362">
        <v>1</v>
      </c>
      <c r="P447" s="362">
        <v>1</v>
      </c>
      <c r="Q447" s="362">
        <v>1</v>
      </c>
      <c r="R447" s="362">
        <v>1</v>
      </c>
      <c r="S447" s="362">
        <v>1</v>
      </c>
      <c r="T447" s="362">
        <v>2</v>
      </c>
    </row>
    <row r="448" spans="1:20" s="361" customFormat="1">
      <c r="A448" s="361" t="s">
        <v>300</v>
      </c>
      <c r="B448" s="362">
        <v>1</v>
      </c>
      <c r="C448" s="362">
        <v>1</v>
      </c>
      <c r="D448" s="362">
        <v>1</v>
      </c>
      <c r="E448" s="362">
        <v>2</v>
      </c>
      <c r="F448" s="362">
        <v>2</v>
      </c>
      <c r="G448" s="362">
        <v>2</v>
      </c>
      <c r="H448" s="362">
        <v>2</v>
      </c>
      <c r="I448" s="363">
        <v>2</v>
      </c>
      <c r="J448" s="362">
        <v>3</v>
      </c>
      <c r="K448" s="362">
        <v>3</v>
      </c>
      <c r="L448" s="362">
        <v>3</v>
      </c>
      <c r="M448" s="362">
        <v>3</v>
      </c>
      <c r="N448" s="362">
        <v>4</v>
      </c>
      <c r="O448" s="362">
        <v>4</v>
      </c>
      <c r="P448" s="362">
        <v>4</v>
      </c>
      <c r="Q448" s="362">
        <v>5</v>
      </c>
      <c r="R448" s="362">
        <v>5</v>
      </c>
      <c r="S448" s="362">
        <v>5</v>
      </c>
      <c r="T448" s="362">
        <v>6</v>
      </c>
    </row>
    <row r="449" spans="1:20" s="361" customFormat="1">
      <c r="A449" s="361" t="s">
        <v>298</v>
      </c>
      <c r="B449" s="362">
        <v>2</v>
      </c>
      <c r="C449" s="362">
        <v>2</v>
      </c>
      <c r="D449" s="362">
        <v>2</v>
      </c>
      <c r="E449" s="362">
        <v>2</v>
      </c>
      <c r="F449" s="362">
        <v>2</v>
      </c>
      <c r="G449" s="362">
        <v>3</v>
      </c>
      <c r="H449" s="362">
        <v>3</v>
      </c>
      <c r="I449" s="363">
        <v>3</v>
      </c>
      <c r="J449" s="362">
        <v>3</v>
      </c>
      <c r="K449" s="362">
        <v>4</v>
      </c>
      <c r="L449" s="362">
        <v>4</v>
      </c>
      <c r="M449" s="362">
        <v>4</v>
      </c>
      <c r="N449" s="362">
        <v>5</v>
      </c>
      <c r="O449" s="362">
        <v>5</v>
      </c>
      <c r="P449" s="362">
        <v>5</v>
      </c>
      <c r="Q449" s="362">
        <v>6</v>
      </c>
      <c r="R449" s="362">
        <v>6</v>
      </c>
      <c r="S449" s="362">
        <v>7</v>
      </c>
      <c r="T449" s="362">
        <v>7</v>
      </c>
    </row>
    <row r="450" spans="1:20" s="361" customFormat="1">
      <c r="A450" s="361" t="s">
        <v>299</v>
      </c>
      <c r="B450" s="362">
        <v>2</v>
      </c>
      <c r="C450" s="362">
        <v>2</v>
      </c>
      <c r="D450" s="362">
        <v>2</v>
      </c>
      <c r="E450" s="362">
        <v>2</v>
      </c>
      <c r="F450" s="362">
        <v>2</v>
      </c>
      <c r="G450" s="362">
        <v>3</v>
      </c>
      <c r="H450" s="362">
        <v>3</v>
      </c>
      <c r="I450" s="363">
        <v>3</v>
      </c>
      <c r="J450" s="362">
        <v>3</v>
      </c>
      <c r="K450" s="362">
        <v>4</v>
      </c>
      <c r="L450" s="362">
        <v>4</v>
      </c>
      <c r="M450" s="362">
        <v>4</v>
      </c>
      <c r="N450" s="362">
        <v>5</v>
      </c>
      <c r="O450" s="362">
        <v>5</v>
      </c>
      <c r="P450" s="362">
        <v>5</v>
      </c>
      <c r="Q450" s="362">
        <v>6</v>
      </c>
      <c r="R450" s="362">
        <v>6</v>
      </c>
      <c r="S450" s="362">
        <v>7</v>
      </c>
      <c r="T450" s="362">
        <v>7</v>
      </c>
    </row>
    <row r="451" spans="1:20" s="361" customFormat="1">
      <c r="A451" s="361" t="s">
        <v>425</v>
      </c>
      <c r="B451" s="362">
        <v>2</v>
      </c>
      <c r="C451" s="362">
        <v>2</v>
      </c>
      <c r="D451" s="362">
        <v>3</v>
      </c>
      <c r="E451" s="362">
        <v>3</v>
      </c>
      <c r="F451" s="362">
        <v>3</v>
      </c>
      <c r="G451" s="362">
        <v>3</v>
      </c>
      <c r="H451" s="362">
        <v>3</v>
      </c>
      <c r="I451" s="363">
        <v>3</v>
      </c>
      <c r="J451" s="362">
        <v>4</v>
      </c>
      <c r="K451" s="362">
        <v>4</v>
      </c>
      <c r="L451" s="362">
        <v>4</v>
      </c>
      <c r="M451" s="362">
        <v>4</v>
      </c>
      <c r="N451" s="362">
        <v>4</v>
      </c>
      <c r="O451" s="362">
        <v>5</v>
      </c>
      <c r="P451" s="362">
        <v>5</v>
      </c>
      <c r="Q451" s="362">
        <v>5</v>
      </c>
      <c r="R451" s="362">
        <v>6</v>
      </c>
      <c r="S451" s="362">
        <v>6</v>
      </c>
      <c r="T451" s="362">
        <v>6</v>
      </c>
    </row>
    <row r="452" spans="1:20" s="17" customFormat="1" ht="12.75" customHeight="1">
      <c r="A452" s="16" t="s">
        <v>443</v>
      </c>
      <c r="C452" s="30"/>
      <c r="E452" s="69" t="s">
        <v>408</v>
      </c>
      <c r="G452" s="30"/>
      <c r="I452" s="85"/>
    </row>
    <row r="453" spans="1:20" s="17" customFormat="1" ht="12.75" customHeight="1">
      <c r="A453" s="68" t="s">
        <v>409</v>
      </c>
      <c r="B453" s="64"/>
      <c r="C453" s="64"/>
      <c r="D453" s="30"/>
      <c r="E453" s="68" t="s">
        <v>444</v>
      </c>
      <c r="F453" s="82" t="s">
        <v>431</v>
      </c>
      <c r="G453" s="30"/>
      <c r="I453" s="85"/>
    </row>
    <row r="454" spans="1:20" s="17" customFormat="1">
      <c r="A454" s="68" t="s">
        <v>411</v>
      </c>
      <c r="B454" s="64" t="s">
        <v>445</v>
      </c>
      <c r="C454" s="68" t="s">
        <v>446</v>
      </c>
      <c r="D454" s="64" t="s">
        <v>447</v>
      </c>
      <c r="E454" s="83" t="s">
        <v>448</v>
      </c>
      <c r="G454" s="30"/>
      <c r="I454" s="85"/>
    </row>
    <row r="455" spans="1:20" s="354" customFormat="1">
      <c r="A455" s="354" t="s">
        <v>359</v>
      </c>
      <c r="B455" s="355">
        <v>0.19</v>
      </c>
      <c r="C455" s="354">
        <v>0.28000000000000003</v>
      </c>
      <c r="D455" s="355">
        <v>0.37</v>
      </c>
      <c r="E455" s="365"/>
      <c r="G455" s="355"/>
      <c r="I455" s="358"/>
    </row>
    <row r="456" spans="1:20" s="354" customFormat="1">
      <c r="A456" s="354" t="s">
        <v>4</v>
      </c>
      <c r="B456" s="355">
        <v>0</v>
      </c>
      <c r="C456" s="354">
        <v>0</v>
      </c>
      <c r="D456" s="355">
        <v>0</v>
      </c>
      <c r="E456" s="365"/>
      <c r="G456" s="355"/>
      <c r="I456" s="358"/>
    </row>
    <row r="457" spans="1:20" s="354" customFormat="1">
      <c r="A457" s="354" t="s">
        <v>413</v>
      </c>
      <c r="B457" s="355">
        <v>0.13</v>
      </c>
      <c r="C457" s="354">
        <v>0.2</v>
      </c>
      <c r="D457" s="355">
        <v>0.26</v>
      </c>
      <c r="E457" s="365"/>
      <c r="G457" s="355"/>
      <c r="I457" s="358"/>
    </row>
    <row r="458" spans="1:20" s="354" customFormat="1">
      <c r="A458" s="354" t="s">
        <v>414</v>
      </c>
      <c r="B458" s="355">
        <v>1.58</v>
      </c>
      <c r="C458" s="354">
        <v>2.37</v>
      </c>
      <c r="D458" s="355">
        <v>3.17</v>
      </c>
      <c r="E458" s="365"/>
      <c r="G458" s="355"/>
      <c r="I458" s="358"/>
    </row>
    <row r="459" spans="1:20" s="354" customFormat="1">
      <c r="A459" s="354" t="s">
        <v>415</v>
      </c>
      <c r="B459" s="355">
        <v>1.56</v>
      </c>
      <c r="C459" s="354">
        <v>2.34</v>
      </c>
      <c r="D459" s="355">
        <v>3.13</v>
      </c>
      <c r="E459" s="365"/>
      <c r="G459" s="355"/>
      <c r="I459" s="358"/>
    </row>
    <row r="460" spans="1:20" s="354" customFormat="1">
      <c r="A460" s="354" t="s">
        <v>360</v>
      </c>
      <c r="B460" s="355">
        <v>0.76</v>
      </c>
      <c r="C460" s="354">
        <v>1.1000000000000001</v>
      </c>
      <c r="D460" s="355">
        <v>1.52</v>
      </c>
      <c r="E460" s="365"/>
      <c r="G460" s="355"/>
      <c r="I460" s="358"/>
    </row>
    <row r="461" spans="1:20" s="354" customFormat="1">
      <c r="A461" s="354" t="s">
        <v>1159</v>
      </c>
      <c r="B461" s="355">
        <v>0.03</v>
      </c>
      <c r="C461" s="355">
        <v>0.03</v>
      </c>
      <c r="D461" s="355">
        <v>0.03</v>
      </c>
      <c r="E461" s="365" t="s">
        <v>1160</v>
      </c>
      <c r="G461" s="355"/>
      <c r="I461" s="358"/>
    </row>
    <row r="462" spans="1:20" s="354" customFormat="1">
      <c r="A462" s="354" t="s">
        <v>416</v>
      </c>
      <c r="B462" s="355">
        <v>0.22</v>
      </c>
      <c r="C462" s="354">
        <v>0.22</v>
      </c>
      <c r="D462" s="355">
        <v>0.22</v>
      </c>
      <c r="E462" s="365"/>
      <c r="G462" s="355"/>
      <c r="I462" s="358"/>
    </row>
    <row r="463" spans="1:20" s="354" customFormat="1">
      <c r="A463" s="354" t="s">
        <v>417</v>
      </c>
      <c r="B463" s="355"/>
      <c r="D463" s="355"/>
      <c r="E463" s="365"/>
      <c r="G463" s="355"/>
      <c r="I463" s="358"/>
    </row>
    <row r="464" spans="1:20" s="17" customFormat="1" ht="12.75" customHeight="1">
      <c r="A464" s="16" t="s">
        <v>443</v>
      </c>
      <c r="C464" s="30"/>
      <c r="E464" s="69" t="s">
        <v>418</v>
      </c>
      <c r="G464" s="30"/>
      <c r="I464" s="85"/>
    </row>
    <row r="465" spans="1:21" s="17" customFormat="1" ht="12.75" customHeight="1">
      <c r="A465" s="68" t="s">
        <v>409</v>
      </c>
      <c r="B465" s="64"/>
      <c r="C465" s="64"/>
      <c r="D465" s="30"/>
      <c r="E465" s="68" t="s">
        <v>444</v>
      </c>
      <c r="F465" s="82" t="s">
        <v>431</v>
      </c>
      <c r="G465" s="30"/>
      <c r="I465" s="85"/>
    </row>
    <row r="466" spans="1:21" s="17" customFormat="1">
      <c r="A466" s="68" t="s">
        <v>411</v>
      </c>
      <c r="B466" s="64" t="s">
        <v>445</v>
      </c>
      <c r="C466" s="68" t="s">
        <v>446</v>
      </c>
      <c r="D466" s="64" t="s">
        <v>447</v>
      </c>
      <c r="E466" s="83" t="s">
        <v>448</v>
      </c>
      <c r="G466" s="30"/>
      <c r="I466" s="85"/>
    </row>
    <row r="467" spans="1:21" s="354" customFormat="1">
      <c r="A467" s="354" t="s">
        <v>359</v>
      </c>
      <c r="B467" s="355">
        <v>0.1</v>
      </c>
      <c r="C467" s="354">
        <v>0.15</v>
      </c>
      <c r="D467" s="355">
        <v>0.2</v>
      </c>
      <c r="E467" s="365"/>
      <c r="G467" s="355"/>
      <c r="I467" s="358"/>
    </row>
    <row r="468" spans="1:21" s="354" customFormat="1">
      <c r="A468" s="354" t="s">
        <v>4</v>
      </c>
      <c r="B468" s="355">
        <v>0</v>
      </c>
      <c r="C468" s="354">
        <v>0</v>
      </c>
      <c r="D468" s="355">
        <v>0</v>
      </c>
      <c r="E468" s="365"/>
      <c r="G468" s="355"/>
      <c r="I468" s="358"/>
    </row>
    <row r="469" spans="1:21" s="354" customFormat="1">
      <c r="A469" s="354" t="s">
        <v>413</v>
      </c>
      <c r="B469" s="355">
        <v>0.11</v>
      </c>
      <c r="C469" s="354">
        <v>0.17</v>
      </c>
      <c r="D469" s="355">
        <v>0.22</v>
      </c>
      <c r="E469" s="365"/>
      <c r="G469" s="355"/>
      <c r="I469" s="358"/>
    </row>
    <row r="470" spans="1:21" s="354" customFormat="1">
      <c r="A470" s="354" t="s">
        <v>414</v>
      </c>
      <c r="B470" s="355">
        <v>1.28</v>
      </c>
      <c r="C470" s="354">
        <v>1.92</v>
      </c>
      <c r="D470" s="355">
        <v>2.56</v>
      </c>
      <c r="E470" s="365"/>
      <c r="G470" s="355"/>
      <c r="I470" s="358"/>
    </row>
    <row r="471" spans="1:21" s="354" customFormat="1">
      <c r="A471" s="354" t="s">
        <v>415</v>
      </c>
      <c r="B471" s="355">
        <v>1.0900000000000001</v>
      </c>
      <c r="C471" s="354">
        <v>1.64</v>
      </c>
      <c r="D471" s="355">
        <v>2.19</v>
      </c>
      <c r="E471" s="365"/>
      <c r="G471" s="355"/>
      <c r="I471" s="358"/>
    </row>
    <row r="472" spans="1:21" s="354" customFormat="1">
      <c r="A472" s="354" t="s">
        <v>360</v>
      </c>
      <c r="B472" s="355">
        <v>0.6</v>
      </c>
      <c r="C472" s="354">
        <v>0.9</v>
      </c>
      <c r="D472" s="355">
        <v>1.2</v>
      </c>
      <c r="E472" s="365"/>
      <c r="G472" s="355"/>
      <c r="I472" s="358"/>
    </row>
    <row r="473" spans="1:21" s="354" customFormat="1">
      <c r="A473" s="354" t="s">
        <v>1159</v>
      </c>
      <c r="B473" s="355">
        <v>0.01</v>
      </c>
      <c r="C473" s="354">
        <v>0.02</v>
      </c>
      <c r="D473" s="355">
        <v>0.01</v>
      </c>
      <c r="E473" s="365"/>
      <c r="G473" s="355"/>
      <c r="I473" s="358"/>
    </row>
    <row r="474" spans="1:21" s="354" customFormat="1">
      <c r="A474" s="354" t="s">
        <v>416</v>
      </c>
      <c r="B474" s="355">
        <v>0.22</v>
      </c>
      <c r="C474" s="354">
        <v>0.22</v>
      </c>
      <c r="D474" s="355">
        <v>0.22</v>
      </c>
      <c r="E474" s="365"/>
      <c r="G474" s="355"/>
      <c r="I474" s="358"/>
    </row>
    <row r="475" spans="1:21" s="354" customFormat="1">
      <c r="A475" s="354" t="s">
        <v>417</v>
      </c>
      <c r="B475" s="355"/>
      <c r="D475" s="355"/>
      <c r="E475" s="365"/>
      <c r="G475" s="355"/>
      <c r="I475" s="358"/>
    </row>
    <row r="476" spans="1:21" s="16" customFormat="1">
      <c r="A476" s="16" t="s">
        <v>449</v>
      </c>
      <c r="B476" s="75"/>
      <c r="C476" s="75"/>
      <c r="E476" s="76"/>
      <c r="F476" s="77"/>
      <c r="G476" s="75"/>
      <c r="I476" s="85"/>
    </row>
    <row r="477" spans="1:21" s="68" customFormat="1">
      <c r="B477" s="64"/>
      <c r="C477" s="64"/>
      <c r="E477" s="78" t="s">
        <v>450</v>
      </c>
      <c r="F477" s="82" t="s">
        <v>451</v>
      </c>
      <c r="G477" s="64"/>
      <c r="I477" s="103"/>
    </row>
    <row r="478" spans="1:21" s="68" customFormat="1">
      <c r="B478" s="64"/>
      <c r="C478" s="64"/>
      <c r="E478" s="78"/>
      <c r="F478" s="64"/>
      <c r="G478" s="64"/>
      <c r="I478" s="103"/>
    </row>
    <row r="479" spans="1:21" s="17" customFormat="1">
      <c r="A479" s="17" t="s">
        <v>330</v>
      </c>
      <c r="B479" s="30" t="s">
        <v>452</v>
      </c>
      <c r="C479" s="30" t="s">
        <v>453</v>
      </c>
      <c r="D479" s="30" t="s">
        <v>355</v>
      </c>
      <c r="E479" s="30" t="s">
        <v>357</v>
      </c>
      <c r="F479" s="79" t="s">
        <v>454</v>
      </c>
      <c r="H479" s="30"/>
      <c r="J479" s="85"/>
      <c r="N479" s="30"/>
      <c r="O479" s="79"/>
      <c r="P479" s="30"/>
      <c r="Q479" s="30"/>
      <c r="R479" s="79"/>
      <c r="S479" s="30"/>
      <c r="T479" s="30"/>
      <c r="U479" s="79"/>
    </row>
    <row r="480" spans="1:21" s="63" customFormat="1">
      <c r="A480" s="63" t="str">
        <f>List!A6</f>
        <v>Please select</v>
      </c>
      <c r="B480" s="62"/>
      <c r="C480" s="62"/>
      <c r="D480" s="62"/>
      <c r="E480" s="62"/>
      <c r="F480" s="960"/>
      <c r="H480" s="62"/>
      <c r="J480" s="102"/>
      <c r="N480" s="62"/>
      <c r="O480" s="960"/>
      <c r="P480" s="62"/>
      <c r="Q480" s="62"/>
      <c r="R480" s="960"/>
      <c r="S480" s="62"/>
      <c r="T480" s="62"/>
      <c r="U480" s="960"/>
    </row>
    <row r="481" spans="1:21" s="361" customFormat="1">
      <c r="A481" s="361" t="s">
        <v>304</v>
      </c>
      <c r="B481" s="366">
        <v>0.44</v>
      </c>
      <c r="C481" s="366">
        <v>0.31</v>
      </c>
      <c r="D481" s="366">
        <v>0.32</v>
      </c>
      <c r="E481" s="366">
        <v>0.5</v>
      </c>
      <c r="F481" s="366">
        <v>0.24</v>
      </c>
      <c r="G481" s="362"/>
      <c r="H481" s="362"/>
      <c r="I481" s="362"/>
      <c r="J481" s="363"/>
      <c r="K481" s="362"/>
      <c r="L481" s="362"/>
      <c r="M481" s="362"/>
      <c r="N481" s="362"/>
      <c r="O481" s="362"/>
      <c r="P481" s="362"/>
      <c r="Q481" s="362"/>
      <c r="R481" s="362"/>
      <c r="S481" s="362"/>
      <c r="T481" s="362"/>
      <c r="U481" s="362"/>
    </row>
    <row r="482" spans="1:21" s="361" customFormat="1">
      <c r="A482" s="361" t="s">
        <v>301</v>
      </c>
      <c r="B482" s="366">
        <v>0.48</v>
      </c>
      <c r="C482" s="366">
        <v>0.33</v>
      </c>
      <c r="D482" s="366">
        <v>0.32</v>
      </c>
      <c r="E482" s="366">
        <v>0.68</v>
      </c>
      <c r="F482" s="366">
        <v>0.42</v>
      </c>
      <c r="G482" s="362"/>
      <c r="H482" s="362"/>
      <c r="I482" s="362"/>
      <c r="J482" s="363"/>
      <c r="K482" s="362"/>
      <c r="L482" s="362"/>
      <c r="M482" s="362"/>
      <c r="N482" s="362"/>
      <c r="O482" s="362"/>
      <c r="P482" s="362"/>
      <c r="Q482" s="362"/>
      <c r="R482" s="362"/>
      <c r="S482" s="362"/>
      <c r="T482" s="362"/>
      <c r="U482" s="362"/>
    </row>
    <row r="483" spans="1:21" s="361" customFormat="1">
      <c r="A483" s="361" t="s">
        <v>302</v>
      </c>
      <c r="B483" s="366">
        <v>0.35</v>
      </c>
      <c r="C483" s="366">
        <v>0.35</v>
      </c>
      <c r="D483" s="366">
        <v>0.32</v>
      </c>
      <c r="E483" s="366">
        <v>0.74</v>
      </c>
      <c r="F483" s="366">
        <v>0.46</v>
      </c>
      <c r="G483" s="362"/>
      <c r="H483" s="362"/>
      <c r="I483" s="362"/>
      <c r="J483" s="363"/>
      <c r="K483" s="362"/>
      <c r="L483" s="362"/>
      <c r="M483" s="362"/>
      <c r="N483" s="362"/>
      <c r="O483" s="362"/>
      <c r="P483" s="362"/>
      <c r="Q483" s="362"/>
      <c r="R483" s="362"/>
      <c r="S483" s="362"/>
      <c r="T483" s="362"/>
      <c r="U483" s="362"/>
    </row>
    <row r="484" spans="1:21" s="361" customFormat="1">
      <c r="A484" s="361" t="s">
        <v>303</v>
      </c>
      <c r="B484" s="366">
        <v>0.44</v>
      </c>
      <c r="C484" s="366">
        <v>0.5</v>
      </c>
      <c r="D484" s="366">
        <v>0.32</v>
      </c>
      <c r="E484" s="366">
        <v>0.73</v>
      </c>
      <c r="F484" s="366">
        <v>0.46</v>
      </c>
      <c r="G484" s="362"/>
      <c r="H484" s="362"/>
      <c r="I484" s="362"/>
      <c r="J484" s="363"/>
      <c r="K484" s="362"/>
      <c r="L484" s="362"/>
      <c r="M484" s="362"/>
      <c r="N484" s="362"/>
      <c r="O484" s="362"/>
      <c r="P484" s="362"/>
      <c r="Q484" s="362"/>
      <c r="R484" s="362"/>
      <c r="S484" s="362"/>
      <c r="T484" s="362"/>
      <c r="U484" s="362"/>
    </row>
    <row r="485" spans="1:21" s="361" customFormat="1">
      <c r="A485" s="361" t="s">
        <v>306</v>
      </c>
      <c r="B485" s="366">
        <v>0.48</v>
      </c>
      <c r="C485" s="366">
        <v>0.36</v>
      </c>
      <c r="D485" s="366">
        <v>0.32</v>
      </c>
      <c r="E485" s="366">
        <v>1.64</v>
      </c>
      <c r="F485" s="366">
        <v>0.55000000000000004</v>
      </c>
      <c r="G485" s="362"/>
      <c r="H485" s="362"/>
      <c r="I485" s="362"/>
      <c r="J485" s="363"/>
      <c r="K485" s="362"/>
      <c r="L485" s="362"/>
      <c r="M485" s="362"/>
      <c r="N485" s="362"/>
      <c r="O485" s="362"/>
      <c r="P485" s="362"/>
      <c r="Q485" s="362"/>
      <c r="R485" s="362"/>
      <c r="S485" s="362"/>
      <c r="T485" s="362"/>
      <c r="U485" s="362"/>
    </row>
    <row r="486" spans="1:21" s="361" customFormat="1">
      <c r="A486" s="361" t="s">
        <v>305</v>
      </c>
      <c r="B486" s="366">
        <v>0.48</v>
      </c>
      <c r="C486" s="366">
        <v>0.36</v>
      </c>
      <c r="D486" s="366">
        <v>0.32</v>
      </c>
      <c r="E486" s="366">
        <v>1.64</v>
      </c>
      <c r="F486" s="366">
        <v>0.55000000000000004</v>
      </c>
      <c r="G486" s="362"/>
      <c r="H486" s="362"/>
      <c r="I486" s="362"/>
      <c r="J486" s="363"/>
      <c r="K486" s="362"/>
      <c r="L486" s="362"/>
      <c r="M486" s="362"/>
      <c r="N486" s="362"/>
      <c r="O486" s="362"/>
      <c r="P486" s="362"/>
      <c r="Q486" s="362"/>
      <c r="R486" s="362"/>
      <c r="S486" s="362"/>
      <c r="T486" s="362"/>
      <c r="U486" s="362"/>
    </row>
    <row r="487" spans="1:21" s="361" customFormat="1">
      <c r="A487" s="361" t="s">
        <v>297</v>
      </c>
      <c r="B487" s="366">
        <v>0.6</v>
      </c>
      <c r="C487" s="366">
        <v>0.63</v>
      </c>
      <c r="D487" s="366">
        <v>0.32</v>
      </c>
      <c r="E487" s="366">
        <v>1.64</v>
      </c>
      <c r="F487" s="366">
        <v>0.55000000000000004</v>
      </c>
      <c r="G487" s="362"/>
      <c r="H487" s="362"/>
      <c r="I487" s="362"/>
      <c r="J487" s="363"/>
      <c r="K487" s="362"/>
      <c r="L487" s="362"/>
      <c r="M487" s="362"/>
      <c r="N487" s="362"/>
      <c r="O487" s="362"/>
      <c r="P487" s="362"/>
      <c r="Q487" s="362"/>
      <c r="R487" s="362"/>
      <c r="S487" s="362"/>
      <c r="T487" s="362"/>
      <c r="U487" s="362"/>
    </row>
    <row r="488" spans="1:21" s="361" customFormat="1">
      <c r="A488" s="361" t="s">
        <v>300</v>
      </c>
      <c r="B488" s="366">
        <v>0.7</v>
      </c>
      <c r="C488" s="366">
        <v>0.79</v>
      </c>
      <c r="D488" s="366">
        <v>0.32</v>
      </c>
      <c r="E488" s="366">
        <v>1.64</v>
      </c>
      <c r="F488" s="366">
        <v>0.55000000000000004</v>
      </c>
      <c r="G488" s="362"/>
      <c r="H488" s="362"/>
      <c r="I488" s="362"/>
      <c r="J488" s="363"/>
      <c r="K488" s="362"/>
      <c r="L488" s="362"/>
      <c r="M488" s="362"/>
      <c r="N488" s="362"/>
      <c r="O488" s="362"/>
      <c r="P488" s="362"/>
      <c r="Q488" s="362"/>
      <c r="R488" s="362"/>
      <c r="S488" s="362"/>
      <c r="T488" s="362"/>
      <c r="U488" s="362"/>
    </row>
    <row r="489" spans="1:21" s="361" customFormat="1">
      <c r="A489" s="361" t="s">
        <v>298</v>
      </c>
      <c r="B489" s="366">
        <v>0.47</v>
      </c>
      <c r="C489" s="366">
        <v>0.34</v>
      </c>
      <c r="D489" s="366">
        <v>0.32</v>
      </c>
      <c r="E489" s="366">
        <v>0.5</v>
      </c>
      <c r="F489" s="366">
        <v>0.24</v>
      </c>
      <c r="G489" s="362"/>
      <c r="H489" s="362"/>
      <c r="I489" s="362"/>
      <c r="J489" s="363"/>
      <c r="K489" s="362"/>
      <c r="L489" s="362"/>
      <c r="M489" s="362"/>
      <c r="N489" s="362"/>
      <c r="O489" s="362"/>
      <c r="P489" s="362"/>
      <c r="Q489" s="362"/>
      <c r="R489" s="362"/>
      <c r="S489" s="362"/>
      <c r="T489" s="362"/>
      <c r="U489" s="362"/>
    </row>
    <row r="490" spans="1:21" s="361" customFormat="1">
      <c r="A490" s="361" t="s">
        <v>299</v>
      </c>
      <c r="B490" s="366">
        <v>0.47</v>
      </c>
      <c r="C490" s="366">
        <v>0.34</v>
      </c>
      <c r="D490" s="366">
        <v>0.32</v>
      </c>
      <c r="E490" s="366">
        <v>0.5</v>
      </c>
      <c r="F490" s="366">
        <v>0.24</v>
      </c>
      <c r="G490" s="362"/>
      <c r="H490" s="362"/>
      <c r="I490" s="362"/>
      <c r="J490" s="363"/>
      <c r="K490" s="362"/>
      <c r="L490" s="362"/>
      <c r="M490" s="362"/>
      <c r="N490" s="362"/>
      <c r="O490" s="362"/>
      <c r="P490" s="362"/>
      <c r="Q490" s="362"/>
      <c r="R490" s="362"/>
      <c r="S490" s="362"/>
      <c r="T490" s="362"/>
      <c r="U490" s="362"/>
    </row>
    <row r="491" spans="1:21" s="361" customFormat="1">
      <c r="A491" s="361" t="s">
        <v>425</v>
      </c>
      <c r="B491" s="366">
        <v>0.47</v>
      </c>
      <c r="C491" s="366">
        <v>0.34</v>
      </c>
      <c r="D491" s="366">
        <v>0.32</v>
      </c>
      <c r="E491" s="366">
        <v>0.5</v>
      </c>
      <c r="F491" s="366">
        <v>0.24</v>
      </c>
      <c r="G491" s="362"/>
      <c r="H491" s="362"/>
      <c r="I491" s="362"/>
      <c r="J491" s="363"/>
      <c r="K491" s="362"/>
      <c r="L491" s="362"/>
      <c r="M491" s="362"/>
      <c r="N491" s="362"/>
      <c r="O491" s="362"/>
      <c r="P491" s="362"/>
      <c r="Q491" s="362"/>
      <c r="R491" s="362"/>
      <c r="S491" s="362"/>
      <c r="T491" s="362"/>
      <c r="U491" s="362"/>
    </row>
    <row r="492" spans="1:21" s="16" customFormat="1">
      <c r="A492" s="16" t="s">
        <v>455</v>
      </c>
      <c r="B492" s="75"/>
      <c r="C492" s="75"/>
      <c r="E492" s="76"/>
      <c r="F492" s="77"/>
      <c r="G492" s="75"/>
      <c r="I492" s="85"/>
    </row>
    <row r="493" spans="1:21" s="68" customFormat="1">
      <c r="B493" s="64"/>
      <c r="C493" s="64"/>
      <c r="E493" s="78" t="s">
        <v>456</v>
      </c>
      <c r="F493" s="82" t="s">
        <v>457</v>
      </c>
      <c r="G493" s="64"/>
      <c r="I493" s="103"/>
    </row>
    <row r="494" spans="1:21" s="68" customFormat="1">
      <c r="B494" s="64"/>
      <c r="C494" s="64"/>
      <c r="E494" s="78"/>
      <c r="F494" s="64"/>
      <c r="G494" s="64"/>
      <c r="I494" s="103"/>
    </row>
    <row r="495" spans="1:21" s="17" customFormat="1">
      <c r="A495" s="17" t="s">
        <v>330</v>
      </c>
      <c r="B495" s="30" t="s">
        <v>452</v>
      </c>
      <c r="C495" s="30" t="s">
        <v>453</v>
      </c>
      <c r="D495" s="30" t="s">
        <v>355</v>
      </c>
      <c r="E495" s="30" t="s">
        <v>357</v>
      </c>
      <c r="F495" s="79" t="s">
        <v>454</v>
      </c>
      <c r="H495" s="30"/>
      <c r="J495" s="85"/>
      <c r="N495" s="30"/>
      <c r="O495" s="79"/>
      <c r="P495" s="30"/>
      <c r="Q495" s="30"/>
      <c r="R495" s="79"/>
      <c r="S495" s="30"/>
      <c r="T495" s="30"/>
      <c r="U495" s="79"/>
    </row>
    <row r="496" spans="1:21" s="63" customFormat="1">
      <c r="A496" s="63" t="str">
        <f>List!A6</f>
        <v>Please select</v>
      </c>
      <c r="B496" s="62"/>
      <c r="C496" s="62"/>
      <c r="D496" s="62"/>
      <c r="E496" s="62"/>
      <c r="F496" s="960"/>
      <c r="H496" s="62"/>
      <c r="J496" s="102"/>
      <c r="N496" s="62"/>
      <c r="O496" s="960"/>
      <c r="P496" s="62"/>
      <c r="Q496" s="62"/>
      <c r="R496" s="960"/>
      <c r="S496" s="62"/>
      <c r="T496" s="62"/>
      <c r="U496" s="960"/>
    </row>
    <row r="497" spans="1:21" s="361" customFormat="1">
      <c r="A497" s="361" t="s">
        <v>304</v>
      </c>
      <c r="B497" s="362">
        <v>604</v>
      </c>
      <c r="C497" s="362">
        <v>389</v>
      </c>
      <c r="D497" s="362">
        <v>380</v>
      </c>
      <c r="E497" s="362">
        <v>46</v>
      </c>
      <c r="F497" s="362">
        <v>198</v>
      </c>
      <c r="G497" s="362"/>
      <c r="H497" s="362"/>
      <c r="I497" s="362"/>
      <c r="J497" s="363"/>
      <c r="K497" s="362"/>
      <c r="L497" s="362"/>
      <c r="M497" s="362"/>
      <c r="N497" s="362"/>
      <c r="O497" s="362"/>
      <c r="P497" s="362"/>
      <c r="Q497" s="362"/>
      <c r="R497" s="362"/>
      <c r="S497" s="362"/>
      <c r="T497" s="362"/>
      <c r="U497" s="362"/>
    </row>
    <row r="498" spans="1:21" s="361" customFormat="1">
      <c r="A498" s="361" t="s">
        <v>301</v>
      </c>
      <c r="B498" s="362">
        <v>600</v>
      </c>
      <c r="C498" s="362">
        <v>420</v>
      </c>
      <c r="D498" s="362">
        <v>380</v>
      </c>
      <c r="E498" s="362">
        <v>50</v>
      </c>
      <c r="F498" s="362">
        <v>198</v>
      </c>
      <c r="G498" s="362"/>
      <c r="H498" s="362"/>
      <c r="I498" s="362"/>
      <c r="J498" s="363"/>
      <c r="K498" s="362"/>
      <c r="L498" s="362"/>
      <c r="M498" s="362"/>
      <c r="N498" s="362"/>
      <c r="O498" s="362"/>
      <c r="P498" s="362"/>
      <c r="Q498" s="362"/>
      <c r="R498" s="362"/>
      <c r="S498" s="362"/>
      <c r="T498" s="362"/>
      <c r="U498" s="362"/>
    </row>
    <row r="499" spans="1:21" s="361" customFormat="1">
      <c r="A499" s="361" t="s">
        <v>302</v>
      </c>
      <c r="B499" s="362">
        <v>550</v>
      </c>
      <c r="C499" s="362">
        <v>391</v>
      </c>
      <c r="D499" s="362">
        <v>380</v>
      </c>
      <c r="E499" s="362">
        <v>50</v>
      </c>
      <c r="F499" s="362">
        <v>180</v>
      </c>
      <c r="G499" s="362"/>
      <c r="H499" s="362"/>
      <c r="I499" s="362"/>
      <c r="J499" s="363"/>
      <c r="K499" s="362"/>
      <c r="L499" s="362"/>
      <c r="M499" s="362"/>
      <c r="N499" s="362"/>
      <c r="O499" s="362"/>
      <c r="P499" s="362"/>
      <c r="Q499" s="362"/>
      <c r="R499" s="362"/>
      <c r="S499" s="362"/>
      <c r="T499" s="362"/>
      <c r="U499" s="362"/>
    </row>
    <row r="500" spans="1:21" s="361" customFormat="1">
      <c r="A500" s="361" t="s">
        <v>303</v>
      </c>
      <c r="B500" s="362">
        <v>500</v>
      </c>
      <c r="C500" s="362">
        <v>330</v>
      </c>
      <c r="D500" s="362">
        <v>380</v>
      </c>
      <c r="E500" s="362">
        <v>45</v>
      </c>
      <c r="F500" s="362">
        <v>180</v>
      </c>
      <c r="G500" s="362"/>
      <c r="H500" s="362"/>
      <c r="I500" s="362"/>
      <c r="J500" s="363"/>
      <c r="K500" s="362"/>
      <c r="L500" s="362"/>
      <c r="M500" s="362"/>
      <c r="N500" s="362"/>
      <c r="O500" s="362"/>
      <c r="P500" s="362"/>
      <c r="Q500" s="362"/>
      <c r="R500" s="362"/>
      <c r="S500" s="362"/>
      <c r="T500" s="362"/>
      <c r="U500" s="362"/>
    </row>
    <row r="501" spans="1:21" s="361" customFormat="1">
      <c r="A501" s="361" t="s">
        <v>306</v>
      </c>
      <c r="B501" s="362">
        <v>400</v>
      </c>
      <c r="C501" s="362">
        <v>305</v>
      </c>
      <c r="D501" s="362">
        <v>380</v>
      </c>
      <c r="E501" s="362">
        <v>28</v>
      </c>
      <c r="F501" s="362">
        <v>28</v>
      </c>
      <c r="G501" s="362"/>
      <c r="H501" s="362"/>
      <c r="I501" s="362"/>
      <c r="J501" s="363"/>
      <c r="K501" s="362"/>
      <c r="L501" s="362"/>
      <c r="M501" s="362"/>
      <c r="N501" s="362"/>
      <c r="O501" s="362"/>
      <c r="P501" s="362"/>
      <c r="Q501" s="362"/>
      <c r="R501" s="362"/>
      <c r="S501" s="362"/>
      <c r="T501" s="362"/>
      <c r="U501" s="362"/>
    </row>
    <row r="502" spans="1:21" s="361" customFormat="1">
      <c r="A502" s="361" t="s">
        <v>305</v>
      </c>
      <c r="B502" s="362">
        <v>400</v>
      </c>
      <c r="C502" s="362">
        <v>305</v>
      </c>
      <c r="D502" s="362">
        <v>380</v>
      </c>
      <c r="E502" s="362">
        <v>28</v>
      </c>
      <c r="F502" s="362">
        <v>28</v>
      </c>
      <c r="G502" s="362"/>
      <c r="H502" s="362"/>
      <c r="I502" s="362"/>
      <c r="J502" s="363"/>
      <c r="K502" s="362"/>
      <c r="L502" s="362"/>
      <c r="M502" s="362"/>
      <c r="N502" s="362"/>
      <c r="O502" s="362"/>
      <c r="P502" s="362"/>
      <c r="Q502" s="362"/>
      <c r="R502" s="362"/>
      <c r="S502" s="362"/>
      <c r="T502" s="362"/>
      <c r="U502" s="362"/>
    </row>
    <row r="503" spans="1:21" s="361" customFormat="1">
      <c r="A503" s="361" t="s">
        <v>297</v>
      </c>
      <c r="B503" s="362">
        <v>275</v>
      </c>
      <c r="C503" s="362">
        <v>173</v>
      </c>
      <c r="D503" s="362">
        <v>380</v>
      </c>
      <c r="E503" s="362">
        <v>28</v>
      </c>
      <c r="F503" s="362">
        <v>28</v>
      </c>
      <c r="G503" s="362"/>
      <c r="H503" s="362"/>
      <c r="I503" s="362"/>
      <c r="J503" s="363"/>
      <c r="K503" s="362"/>
      <c r="L503" s="362"/>
      <c r="M503" s="362"/>
      <c r="N503" s="362"/>
      <c r="O503" s="362"/>
      <c r="P503" s="362"/>
      <c r="Q503" s="362"/>
      <c r="R503" s="362"/>
      <c r="S503" s="362"/>
      <c r="T503" s="362"/>
      <c r="U503" s="362"/>
    </row>
    <row r="504" spans="1:21" s="361" customFormat="1">
      <c r="A504" s="361" t="s">
        <v>300</v>
      </c>
      <c r="B504" s="362">
        <v>275</v>
      </c>
      <c r="C504" s="362">
        <v>173</v>
      </c>
      <c r="D504" s="362">
        <v>380</v>
      </c>
      <c r="E504" s="362">
        <v>28</v>
      </c>
      <c r="F504" s="362">
        <v>28</v>
      </c>
      <c r="G504" s="362"/>
      <c r="H504" s="362"/>
      <c r="I504" s="362"/>
      <c r="J504" s="363"/>
      <c r="K504" s="362"/>
      <c r="L504" s="362"/>
      <c r="M504" s="362"/>
      <c r="N504" s="362"/>
      <c r="O504" s="362"/>
      <c r="P504" s="362"/>
      <c r="Q504" s="362"/>
      <c r="R504" s="362"/>
      <c r="S504" s="362"/>
      <c r="T504" s="362"/>
      <c r="U504" s="362"/>
    </row>
    <row r="505" spans="1:21" s="361" customFormat="1">
      <c r="A505" s="361" t="s">
        <v>298</v>
      </c>
      <c r="B505" s="362">
        <v>350</v>
      </c>
      <c r="C505" s="362">
        <v>319</v>
      </c>
      <c r="D505" s="362">
        <v>380</v>
      </c>
      <c r="E505" s="362">
        <v>28</v>
      </c>
      <c r="F505" s="362">
        <v>28</v>
      </c>
      <c r="G505" s="362"/>
      <c r="H505" s="362"/>
      <c r="I505" s="362"/>
      <c r="J505" s="363"/>
      <c r="K505" s="362"/>
      <c r="L505" s="362"/>
      <c r="M505" s="362"/>
      <c r="N505" s="362"/>
      <c r="O505" s="362"/>
      <c r="P505" s="362"/>
      <c r="Q505" s="362"/>
      <c r="R505" s="362"/>
      <c r="S505" s="362"/>
      <c r="T505" s="362"/>
      <c r="U505" s="362"/>
    </row>
    <row r="506" spans="1:21" s="361" customFormat="1">
      <c r="A506" s="361" t="s">
        <v>299</v>
      </c>
      <c r="B506" s="362">
        <v>350</v>
      </c>
      <c r="C506" s="362">
        <v>319</v>
      </c>
      <c r="D506" s="362">
        <v>380</v>
      </c>
      <c r="E506" s="362">
        <v>28</v>
      </c>
      <c r="F506" s="362">
        <v>28</v>
      </c>
      <c r="G506" s="362"/>
      <c r="H506" s="362"/>
      <c r="I506" s="362"/>
      <c r="J506" s="363"/>
      <c r="K506" s="362"/>
      <c r="L506" s="362"/>
      <c r="M506" s="362"/>
      <c r="N506" s="362"/>
      <c r="O506" s="362"/>
      <c r="P506" s="362"/>
      <c r="Q506" s="362"/>
      <c r="R506" s="362"/>
      <c r="S506" s="362"/>
      <c r="T506" s="362"/>
      <c r="U506" s="362"/>
    </row>
    <row r="507" spans="1:21" s="361" customFormat="1">
      <c r="A507" s="361" t="s">
        <v>425</v>
      </c>
      <c r="B507" s="362">
        <v>275</v>
      </c>
      <c r="C507" s="362">
        <v>110</v>
      </c>
      <c r="D507" s="362">
        <v>295</v>
      </c>
      <c r="E507" s="362">
        <v>28</v>
      </c>
      <c r="F507" s="362">
        <v>28</v>
      </c>
      <c r="G507" s="362"/>
      <c r="H507" s="362"/>
      <c r="I507" s="362"/>
      <c r="J507" s="363"/>
      <c r="K507" s="362"/>
      <c r="L507" s="362"/>
      <c r="M507" s="362"/>
      <c r="N507" s="362"/>
      <c r="O507" s="362"/>
      <c r="P507" s="362"/>
      <c r="Q507" s="362"/>
      <c r="R507" s="362"/>
      <c r="S507" s="362"/>
      <c r="T507" s="362"/>
      <c r="U507" s="362"/>
    </row>
    <row r="508" spans="1:21" s="16" customFormat="1">
      <c r="A508" s="16" t="s">
        <v>449</v>
      </c>
      <c r="B508" s="75"/>
      <c r="C508" s="75"/>
      <c r="E508" s="76"/>
      <c r="F508" s="77"/>
      <c r="G508" s="75"/>
      <c r="I508" s="85"/>
    </row>
    <row r="509" spans="1:21" s="68" customFormat="1">
      <c r="B509" s="64"/>
      <c r="C509" s="64"/>
      <c r="E509" s="78" t="s">
        <v>450</v>
      </c>
      <c r="F509" s="82" t="s">
        <v>451</v>
      </c>
      <c r="G509" s="64"/>
      <c r="I509" s="103"/>
    </row>
    <row r="510" spans="1:21" s="68" customFormat="1">
      <c r="B510" s="64"/>
      <c r="C510" s="64"/>
      <c r="E510" s="78"/>
      <c r="F510" s="64"/>
      <c r="G510" s="64"/>
      <c r="I510" s="103"/>
    </row>
    <row r="511" spans="1:21" s="17" customFormat="1">
      <c r="A511" s="17" t="s">
        <v>330</v>
      </c>
      <c r="B511" s="30" t="s">
        <v>359</v>
      </c>
      <c r="C511" s="30" t="s">
        <v>413</v>
      </c>
      <c r="D511" s="79" t="s">
        <v>414</v>
      </c>
      <c r="E511" s="30" t="s">
        <v>415</v>
      </c>
      <c r="F511" s="30" t="s">
        <v>360</v>
      </c>
      <c r="G511" s="30" t="s">
        <v>1159</v>
      </c>
      <c r="H511" s="79" t="s">
        <v>416</v>
      </c>
      <c r="I511" s="30" t="s">
        <v>417</v>
      </c>
      <c r="J511" s="84"/>
      <c r="K511" s="30"/>
      <c r="L511" s="79"/>
      <c r="M511" s="30"/>
      <c r="N511" s="30"/>
      <c r="O511" s="79"/>
      <c r="P511" s="30"/>
      <c r="Q511" s="30"/>
      <c r="R511" s="79"/>
      <c r="S511" s="30"/>
      <c r="T511" s="30"/>
      <c r="U511" s="79"/>
    </row>
    <row r="512" spans="1:21" s="63" customFormat="1">
      <c r="A512" s="63" t="str">
        <f>List!A6</f>
        <v>Please select</v>
      </c>
      <c r="B512" s="62"/>
      <c r="C512" s="62"/>
      <c r="D512" s="960"/>
      <c r="E512" s="62"/>
      <c r="F512" s="62"/>
      <c r="G512" s="62"/>
      <c r="H512" s="960"/>
      <c r="I512" s="62"/>
      <c r="J512" s="961"/>
      <c r="K512" s="62"/>
      <c r="L512" s="960"/>
      <c r="M512" s="62"/>
      <c r="N512" s="62"/>
      <c r="O512" s="960"/>
      <c r="P512" s="62"/>
      <c r="Q512" s="62"/>
      <c r="R512" s="960"/>
      <c r="S512" s="62"/>
      <c r="T512" s="62"/>
      <c r="U512" s="960"/>
    </row>
    <row r="513" spans="1:21" s="361" customFormat="1">
      <c r="A513" s="361" t="s">
        <v>304</v>
      </c>
      <c r="B513" s="366">
        <v>0.42</v>
      </c>
      <c r="C513" s="366">
        <v>0.45</v>
      </c>
      <c r="D513" s="366">
        <v>0.38</v>
      </c>
      <c r="E513" s="366">
        <v>0.3</v>
      </c>
      <c r="F513" s="366">
        <v>0.3</v>
      </c>
      <c r="G513" s="366">
        <v>0.83</v>
      </c>
      <c r="H513" s="366"/>
      <c r="I513" s="366"/>
      <c r="J513" s="363"/>
      <c r="K513" s="362"/>
      <c r="L513" s="362"/>
      <c r="M513" s="362"/>
      <c r="N513" s="362"/>
      <c r="O513" s="362"/>
      <c r="P513" s="362"/>
      <c r="Q513" s="362"/>
      <c r="R513" s="362"/>
      <c r="S513" s="362"/>
      <c r="T513" s="362"/>
      <c r="U513" s="362"/>
    </row>
    <row r="514" spans="1:21" s="361" customFormat="1">
      <c r="A514" s="361" t="s">
        <v>301</v>
      </c>
      <c r="B514" s="367">
        <v>0.85</v>
      </c>
      <c r="C514" s="366">
        <v>1.28</v>
      </c>
      <c r="D514" s="366">
        <v>0.38</v>
      </c>
      <c r="E514" s="366">
        <v>0.26</v>
      </c>
      <c r="F514" s="366">
        <v>0.26</v>
      </c>
      <c r="G514" s="366">
        <v>0.83</v>
      </c>
      <c r="H514" s="366"/>
      <c r="I514" s="366"/>
      <c r="J514" s="363"/>
      <c r="K514" s="362"/>
      <c r="L514" s="362"/>
      <c r="M514" s="362"/>
      <c r="N514" s="362"/>
      <c r="O514" s="362"/>
      <c r="P514" s="362"/>
      <c r="Q514" s="362"/>
      <c r="R514" s="362"/>
      <c r="S514" s="362"/>
      <c r="T514" s="362"/>
      <c r="U514" s="362"/>
    </row>
    <row r="515" spans="1:21" s="361" customFormat="1">
      <c r="A515" s="361" t="s">
        <v>302</v>
      </c>
      <c r="B515" s="366">
        <v>0.9</v>
      </c>
      <c r="C515" s="366">
        <v>1.28</v>
      </c>
      <c r="D515" s="366">
        <v>0.38</v>
      </c>
      <c r="E515" s="366">
        <v>0.3</v>
      </c>
      <c r="F515" s="366">
        <v>0.3</v>
      </c>
      <c r="G515" s="366">
        <v>0.82</v>
      </c>
      <c r="H515" s="366"/>
      <c r="I515" s="366"/>
      <c r="J515" s="363"/>
      <c r="K515" s="362"/>
      <c r="L515" s="362"/>
      <c r="M515" s="362"/>
      <c r="N515" s="362"/>
      <c r="O515" s="362"/>
      <c r="P515" s="362"/>
      <c r="Q515" s="362"/>
      <c r="R515" s="362"/>
      <c r="S515" s="362"/>
      <c r="T515" s="362"/>
      <c r="U515" s="362"/>
    </row>
    <row r="516" spans="1:21" s="361" customFormat="1">
      <c r="A516" s="361" t="s">
        <v>303</v>
      </c>
      <c r="B516" s="366">
        <v>1.1299999999999999</v>
      </c>
      <c r="C516" s="366">
        <v>1.42</v>
      </c>
      <c r="D516" s="366">
        <v>0.38</v>
      </c>
      <c r="E516" s="366">
        <v>0.3</v>
      </c>
      <c r="F516" s="366">
        <v>0.3</v>
      </c>
      <c r="G516" s="366">
        <v>0.82</v>
      </c>
      <c r="H516" s="366"/>
      <c r="I516" s="366"/>
      <c r="J516" s="363"/>
      <c r="K516" s="362"/>
      <c r="L516" s="362"/>
      <c r="M516" s="362"/>
      <c r="N516" s="362"/>
      <c r="O516" s="362"/>
      <c r="P516" s="362"/>
      <c r="Q516" s="362"/>
      <c r="R516" s="362"/>
      <c r="S516" s="362"/>
      <c r="T516" s="362"/>
      <c r="U516" s="362"/>
    </row>
    <row r="517" spans="1:21" s="361" customFormat="1">
      <c r="A517" s="361" t="s">
        <v>306</v>
      </c>
      <c r="B517" s="366">
        <v>1.17</v>
      </c>
      <c r="C517" s="366">
        <v>1.37</v>
      </c>
      <c r="D517" s="366">
        <v>0.46</v>
      </c>
      <c r="E517" s="366">
        <v>0.46</v>
      </c>
      <c r="F517" s="366">
        <v>0.46</v>
      </c>
      <c r="G517" s="366">
        <v>0.82</v>
      </c>
      <c r="H517" s="366"/>
      <c r="I517" s="366"/>
      <c r="J517" s="363"/>
      <c r="K517" s="362"/>
      <c r="L517" s="362"/>
      <c r="M517" s="362"/>
      <c r="N517" s="362"/>
      <c r="O517" s="362"/>
      <c r="P517" s="362"/>
      <c r="Q517" s="362"/>
      <c r="R517" s="362"/>
      <c r="S517" s="362"/>
      <c r="T517" s="362"/>
      <c r="U517" s="362"/>
    </row>
    <row r="518" spans="1:21" s="361" customFormat="1">
      <c r="A518" s="361" t="s">
        <v>305</v>
      </c>
      <c r="B518" s="366">
        <v>1.17</v>
      </c>
      <c r="C518" s="366">
        <v>1.37</v>
      </c>
      <c r="D518" s="366">
        <v>0.46</v>
      </c>
      <c r="E518" s="366">
        <v>0.46</v>
      </c>
      <c r="F518" s="366">
        <v>0.46</v>
      </c>
      <c r="G518" s="366">
        <v>0.82</v>
      </c>
      <c r="H518" s="366"/>
      <c r="I518" s="366"/>
      <c r="J518" s="383"/>
      <c r="K518" s="362"/>
      <c r="L518" s="362"/>
      <c r="M518" s="362"/>
      <c r="N518" s="362"/>
      <c r="O518" s="362"/>
      <c r="P518" s="362"/>
      <c r="Q518" s="362"/>
      <c r="R518" s="362"/>
      <c r="S518" s="362"/>
      <c r="T518" s="362"/>
      <c r="U518" s="362"/>
    </row>
    <row r="519" spans="1:21" s="361" customFormat="1">
      <c r="A519" s="361" t="s">
        <v>297</v>
      </c>
      <c r="B519" s="366">
        <v>1.17</v>
      </c>
      <c r="C519" s="366">
        <v>1.37</v>
      </c>
      <c r="D519" s="366">
        <v>0.46</v>
      </c>
      <c r="E519" s="366">
        <v>0.46</v>
      </c>
      <c r="F519" s="366">
        <v>0.46</v>
      </c>
      <c r="G519" s="366">
        <v>0.82</v>
      </c>
      <c r="H519" s="366"/>
      <c r="I519" s="366"/>
      <c r="J519" s="363"/>
      <c r="K519" s="362"/>
      <c r="L519" s="362"/>
      <c r="M519" s="362"/>
      <c r="N519" s="362"/>
      <c r="O519" s="362"/>
      <c r="P519" s="362"/>
      <c r="Q519" s="362"/>
      <c r="R519" s="362"/>
      <c r="S519" s="362"/>
      <c r="T519" s="362"/>
      <c r="U519" s="362"/>
    </row>
    <row r="520" spans="1:21" s="361" customFormat="1">
      <c r="A520" s="361" t="s">
        <v>300</v>
      </c>
      <c r="B520" s="366">
        <v>1.17</v>
      </c>
      <c r="C520" s="366">
        <v>1.37</v>
      </c>
      <c r="D520" s="366">
        <v>0.46</v>
      </c>
      <c r="E520" s="366">
        <v>0.46</v>
      </c>
      <c r="F520" s="366">
        <v>0.46</v>
      </c>
      <c r="G520" s="366">
        <v>0.82</v>
      </c>
      <c r="H520" s="366"/>
      <c r="I520" s="366"/>
      <c r="J520" s="363"/>
      <c r="K520" s="362"/>
      <c r="L520" s="362"/>
      <c r="M520" s="362"/>
      <c r="N520" s="362"/>
      <c r="O520" s="362"/>
      <c r="P520" s="362"/>
      <c r="Q520" s="362"/>
      <c r="R520" s="362"/>
      <c r="S520" s="362"/>
      <c r="T520" s="362"/>
      <c r="U520" s="362"/>
    </row>
    <row r="521" spans="1:21" s="361" customFormat="1">
      <c r="A521" s="361" t="s">
        <v>298</v>
      </c>
      <c r="B521" s="366">
        <v>1.17</v>
      </c>
      <c r="C521" s="366">
        <v>1.37</v>
      </c>
      <c r="D521" s="366">
        <v>0.46</v>
      </c>
      <c r="E521" s="366">
        <v>0.46</v>
      </c>
      <c r="F521" s="366">
        <v>0.46</v>
      </c>
      <c r="G521" s="366">
        <v>0.82</v>
      </c>
      <c r="H521" s="366"/>
      <c r="I521" s="366"/>
      <c r="J521" s="363"/>
      <c r="K521" s="362"/>
      <c r="L521" s="362"/>
      <c r="M521" s="362"/>
      <c r="N521" s="362"/>
      <c r="O521" s="362"/>
      <c r="P521" s="362"/>
      <c r="Q521" s="362"/>
      <c r="R521" s="362"/>
      <c r="S521" s="362"/>
      <c r="T521" s="362"/>
      <c r="U521" s="362"/>
    </row>
    <row r="522" spans="1:21" s="361" customFormat="1">
      <c r="A522" s="361" t="s">
        <v>299</v>
      </c>
      <c r="B522" s="366">
        <v>1.17</v>
      </c>
      <c r="C522" s="366">
        <v>1.37</v>
      </c>
      <c r="D522" s="366">
        <v>0.46</v>
      </c>
      <c r="E522" s="366">
        <v>0.46</v>
      </c>
      <c r="F522" s="366">
        <v>0.46</v>
      </c>
      <c r="G522" s="366">
        <v>0.82</v>
      </c>
      <c r="H522" s="366"/>
      <c r="I522" s="366"/>
      <c r="J522" s="363"/>
      <c r="K522" s="362"/>
      <c r="L522" s="362"/>
      <c r="M522" s="362"/>
      <c r="N522" s="362"/>
      <c r="O522" s="362"/>
      <c r="P522" s="362"/>
      <c r="Q522" s="362"/>
      <c r="R522" s="362"/>
      <c r="S522" s="362"/>
      <c r="T522" s="362"/>
      <c r="U522" s="362"/>
    </row>
    <row r="523" spans="1:21" s="361" customFormat="1">
      <c r="A523" s="361" t="s">
        <v>425</v>
      </c>
      <c r="B523" s="366">
        <v>1.17</v>
      </c>
      <c r="C523" s="366">
        <v>1.37</v>
      </c>
      <c r="D523" s="366">
        <v>0.46</v>
      </c>
      <c r="E523" s="366">
        <v>0.46</v>
      </c>
      <c r="F523" s="366">
        <v>0.46</v>
      </c>
      <c r="G523" s="366">
        <v>0.82</v>
      </c>
      <c r="H523" s="366"/>
      <c r="I523" s="366"/>
      <c r="J523" s="363"/>
      <c r="K523" s="362"/>
      <c r="L523" s="362"/>
      <c r="M523" s="362"/>
      <c r="N523" s="362"/>
      <c r="O523" s="362"/>
      <c r="P523" s="362"/>
      <c r="Q523" s="362"/>
      <c r="R523" s="362"/>
      <c r="S523" s="362"/>
      <c r="T523" s="362"/>
      <c r="U523" s="362"/>
    </row>
    <row r="524" spans="1:21" s="16" customFormat="1">
      <c r="A524" s="16" t="s">
        <v>455</v>
      </c>
      <c r="B524" s="75"/>
      <c r="C524" s="75"/>
      <c r="E524" s="76"/>
      <c r="F524" s="77"/>
      <c r="G524" s="77"/>
      <c r="H524" s="75"/>
      <c r="J524" s="85"/>
    </row>
    <row r="525" spans="1:21" s="68" customFormat="1">
      <c r="B525" s="64"/>
      <c r="C525" s="64"/>
      <c r="E525" s="78" t="s">
        <v>456</v>
      </c>
      <c r="F525" s="82" t="s">
        <v>457</v>
      </c>
      <c r="G525" s="82"/>
      <c r="H525" s="83" t="s">
        <v>1161</v>
      </c>
      <c r="J525" s="103"/>
    </row>
    <row r="526" spans="1:21" s="68" customFormat="1">
      <c r="B526" s="64"/>
      <c r="C526" s="64"/>
      <c r="E526" s="78"/>
      <c r="F526" s="64"/>
      <c r="G526" s="64"/>
      <c r="H526" s="64"/>
      <c r="J526" s="103"/>
    </row>
    <row r="527" spans="1:21" s="17" customFormat="1">
      <c r="A527" s="17" t="s">
        <v>330</v>
      </c>
      <c r="B527" s="30" t="s">
        <v>359</v>
      </c>
      <c r="C527" s="30" t="s">
        <v>413</v>
      </c>
      <c r="D527" s="79" t="s">
        <v>414</v>
      </c>
      <c r="E527" s="30" t="s">
        <v>415</v>
      </c>
      <c r="F527" s="30" t="s">
        <v>360</v>
      </c>
      <c r="G527" s="30" t="s">
        <v>1159</v>
      </c>
      <c r="H527" s="79" t="s">
        <v>416</v>
      </c>
      <c r="I527" s="30" t="s">
        <v>417</v>
      </c>
      <c r="J527" s="85" t="s">
        <v>7</v>
      </c>
      <c r="N527" s="30"/>
      <c r="O527" s="79"/>
      <c r="P527" s="30"/>
      <c r="Q527" s="30"/>
      <c r="R527" s="79"/>
      <c r="S527" s="30"/>
      <c r="T527" s="30"/>
      <c r="U527" s="79"/>
    </row>
    <row r="528" spans="1:21" s="63" customFormat="1">
      <c r="A528" s="63" t="str">
        <f>List!A30</f>
        <v>Not specified</v>
      </c>
      <c r="B528" s="960">
        <f>AVERAGE(B529:B530)</f>
        <v>38.25</v>
      </c>
      <c r="C528" s="960">
        <f t="shared" ref="C528:G528" si="10">AVERAGE(C529:C530)</f>
        <v>34.25</v>
      </c>
      <c r="D528" s="960">
        <f t="shared" si="10"/>
        <v>217</v>
      </c>
      <c r="E528" s="960">
        <f t="shared" si="10"/>
        <v>307.5</v>
      </c>
      <c r="F528" s="960">
        <f t="shared" si="10"/>
        <v>130</v>
      </c>
      <c r="G528" s="960">
        <f t="shared" si="10"/>
        <v>1.4</v>
      </c>
      <c r="H528" s="960">
        <f>(H529+H530)/2</f>
        <v>0</v>
      </c>
      <c r="I528" s="960">
        <f>(I529+I530)/2</f>
        <v>0</v>
      </c>
      <c r="J528" s="102">
        <v>0</v>
      </c>
      <c r="N528" s="62"/>
      <c r="O528" s="960"/>
      <c r="P528" s="62"/>
      <c r="Q528" s="62"/>
      <c r="R528" s="960"/>
      <c r="S528" s="62"/>
      <c r="T528" s="62"/>
      <c r="U528" s="960"/>
    </row>
    <row r="529" spans="1:21" s="361" customFormat="1">
      <c r="A529" s="361" t="s">
        <v>323</v>
      </c>
      <c r="B529" s="362">
        <v>48.5</v>
      </c>
      <c r="C529" s="362">
        <v>38.5</v>
      </c>
      <c r="D529" s="362">
        <v>217</v>
      </c>
      <c r="E529" s="362">
        <v>377</v>
      </c>
      <c r="F529" s="362">
        <v>130</v>
      </c>
      <c r="G529" s="362">
        <v>1.8</v>
      </c>
      <c r="H529" s="366"/>
      <c r="I529" s="366"/>
      <c r="J529" s="363"/>
      <c r="K529" s="362"/>
      <c r="L529" s="362"/>
      <c r="M529" s="362"/>
      <c r="N529" s="362"/>
      <c r="O529" s="362"/>
      <c r="P529" s="362"/>
      <c r="Q529" s="362"/>
      <c r="R529" s="362"/>
      <c r="S529" s="362"/>
      <c r="T529" s="362"/>
      <c r="U529" s="362"/>
    </row>
    <row r="530" spans="1:21" s="361" customFormat="1">
      <c r="A530" s="361" t="s">
        <v>324</v>
      </c>
      <c r="B530" s="362">
        <v>28</v>
      </c>
      <c r="C530" s="362">
        <v>30</v>
      </c>
      <c r="D530" s="362">
        <v>217</v>
      </c>
      <c r="E530" s="362">
        <v>238</v>
      </c>
      <c r="F530" s="362">
        <v>130</v>
      </c>
      <c r="G530" s="362">
        <v>1</v>
      </c>
      <c r="H530" s="366"/>
      <c r="I530" s="366"/>
      <c r="J530" s="363"/>
      <c r="K530" s="362"/>
      <c r="L530" s="362"/>
      <c r="M530" s="362"/>
      <c r="N530" s="362"/>
      <c r="O530" s="362"/>
      <c r="P530" s="362"/>
      <c r="Q530" s="362"/>
      <c r="R530" s="362"/>
      <c r="S530" s="362"/>
      <c r="T530" s="362"/>
      <c r="U530" s="362"/>
    </row>
    <row r="531" spans="1:21" s="16" customFormat="1">
      <c r="A531" s="16" t="s">
        <v>1162</v>
      </c>
      <c r="B531" s="75"/>
      <c r="C531" s="75"/>
      <c r="E531" s="76"/>
      <c r="F531" s="77"/>
      <c r="G531" s="77" t="s">
        <v>1181</v>
      </c>
      <c r="H531" s="75"/>
      <c r="J531" s="85"/>
    </row>
    <row r="532" spans="1:21" s="68" customFormat="1">
      <c r="B532" s="64"/>
      <c r="C532" s="64"/>
      <c r="E532" s="78" t="s">
        <v>1163</v>
      </c>
      <c r="F532" s="82"/>
      <c r="G532" s="82"/>
      <c r="H532" s="64"/>
      <c r="J532" s="103"/>
    </row>
    <row r="533" spans="1:21" s="17" customFormat="1">
      <c r="A533" s="17" t="s">
        <v>935</v>
      </c>
      <c r="B533" s="30" t="s">
        <v>452</v>
      </c>
      <c r="C533" s="30" t="s">
        <v>453</v>
      </c>
      <c r="D533" s="30" t="s">
        <v>355</v>
      </c>
      <c r="E533" s="30" t="s">
        <v>357</v>
      </c>
      <c r="F533" s="79" t="s">
        <v>454</v>
      </c>
      <c r="G533" s="30" t="s">
        <v>359</v>
      </c>
      <c r="H533" s="30" t="s">
        <v>413</v>
      </c>
      <c r="I533" s="79" t="s">
        <v>414</v>
      </c>
      <c r="J533" s="30" t="s">
        <v>415</v>
      </c>
      <c r="K533" s="30" t="s">
        <v>360</v>
      </c>
      <c r="L533" s="30" t="s">
        <v>1159</v>
      </c>
      <c r="M533" s="79" t="s">
        <v>416</v>
      </c>
      <c r="N533" s="30" t="s">
        <v>417</v>
      </c>
      <c r="O533" s="79"/>
      <c r="P533" s="30"/>
      <c r="Q533" s="30"/>
      <c r="R533" s="79"/>
      <c r="S533" s="30"/>
      <c r="T533" s="30"/>
      <c r="U533" s="79"/>
    </row>
    <row r="534" spans="1:21" s="359" customFormat="1">
      <c r="A534" s="359" t="s">
        <v>1164</v>
      </c>
      <c r="B534" s="360">
        <v>0.01</v>
      </c>
      <c r="C534" s="360">
        <v>0.01</v>
      </c>
      <c r="D534" s="360">
        <v>0.01</v>
      </c>
      <c r="E534" s="360">
        <v>0.01</v>
      </c>
      <c r="F534" s="360">
        <v>0.01</v>
      </c>
      <c r="G534" s="360">
        <v>0.01</v>
      </c>
      <c r="H534" s="360">
        <v>0.01</v>
      </c>
      <c r="I534" s="360">
        <v>0.01</v>
      </c>
      <c r="J534" s="360">
        <v>0.01</v>
      </c>
      <c r="K534" s="360">
        <v>0.01</v>
      </c>
      <c r="L534" s="422">
        <v>1E-3</v>
      </c>
      <c r="M534" s="360">
        <v>0.01</v>
      </c>
      <c r="N534" s="360">
        <v>0.01</v>
      </c>
      <c r="O534" s="397"/>
      <c r="P534" s="360"/>
      <c r="Q534" s="360"/>
      <c r="R534" s="397"/>
      <c r="S534" s="360"/>
      <c r="T534" s="360"/>
      <c r="U534" s="397"/>
    </row>
    <row r="535" spans="1:21" s="359" customFormat="1">
      <c r="A535" s="359" t="s">
        <v>1165</v>
      </c>
      <c r="B535" s="360">
        <v>0.01</v>
      </c>
      <c r="C535" s="360">
        <v>0.01</v>
      </c>
      <c r="D535" s="360">
        <v>0.01</v>
      </c>
      <c r="E535" s="360">
        <v>0.01</v>
      </c>
      <c r="F535" s="360">
        <v>0.01</v>
      </c>
      <c r="G535" s="360">
        <v>0.01</v>
      </c>
      <c r="H535" s="360">
        <v>0.01</v>
      </c>
      <c r="I535" s="360">
        <v>0.01</v>
      </c>
      <c r="J535" s="360">
        <v>0.01</v>
      </c>
      <c r="K535" s="360">
        <v>0.01</v>
      </c>
      <c r="L535" s="422">
        <v>1E-3</v>
      </c>
      <c r="M535" s="360">
        <v>0.01</v>
      </c>
      <c r="N535" s="360">
        <v>0.01</v>
      </c>
      <c r="O535" s="397"/>
      <c r="P535" s="360"/>
      <c r="Q535" s="360"/>
      <c r="R535" s="397"/>
      <c r="S535" s="360"/>
      <c r="T535" s="360"/>
      <c r="U535" s="397"/>
    </row>
    <row r="536" spans="1:21" s="359" customFormat="1">
      <c r="A536" s="359" t="s">
        <v>1166</v>
      </c>
      <c r="B536" s="360">
        <v>5.0000000000000001E-3</v>
      </c>
      <c r="C536" s="360">
        <v>5.0000000000000001E-3</v>
      </c>
      <c r="D536" s="360">
        <v>5.0000000000000001E-3</v>
      </c>
      <c r="E536" s="360">
        <v>5.0000000000000001E-3</v>
      </c>
      <c r="F536" s="360">
        <v>5.0000000000000001E-3</v>
      </c>
      <c r="G536" s="360">
        <v>5.0000000000000001E-3</v>
      </c>
      <c r="H536" s="360">
        <v>5.0000000000000001E-3</v>
      </c>
      <c r="I536" s="360">
        <v>5.0000000000000001E-3</v>
      </c>
      <c r="J536" s="360">
        <v>5.0000000000000001E-3</v>
      </c>
      <c r="K536" s="360">
        <v>5.0000000000000001E-3</v>
      </c>
      <c r="L536" s="422">
        <v>1E-3</v>
      </c>
      <c r="M536" s="360">
        <v>5.0000000000000001E-3</v>
      </c>
      <c r="N536" s="360">
        <v>5.0000000000000001E-3</v>
      </c>
      <c r="O536" s="397"/>
      <c r="P536" s="360"/>
      <c r="Q536" s="360"/>
      <c r="R536" s="397"/>
      <c r="S536" s="360"/>
      <c r="T536" s="360"/>
      <c r="U536" s="397"/>
    </row>
    <row r="537" spans="1:21" s="359" customFormat="1">
      <c r="A537" s="359" t="s">
        <v>1167</v>
      </c>
      <c r="B537" s="360">
        <v>0.02</v>
      </c>
      <c r="C537" s="360">
        <v>0.02</v>
      </c>
      <c r="D537" s="360">
        <v>0.02</v>
      </c>
      <c r="E537" s="360">
        <v>0.02</v>
      </c>
      <c r="F537" s="360">
        <v>0.02</v>
      </c>
      <c r="G537" s="360">
        <v>0.02</v>
      </c>
      <c r="H537" s="360">
        <v>0.02</v>
      </c>
      <c r="I537" s="360">
        <v>0.02</v>
      </c>
      <c r="J537" s="360">
        <v>0.02</v>
      </c>
      <c r="K537" s="360">
        <v>0.02</v>
      </c>
      <c r="L537" s="422">
        <v>1E-3</v>
      </c>
      <c r="M537" s="360">
        <v>0.02</v>
      </c>
      <c r="N537" s="360">
        <v>0.02</v>
      </c>
      <c r="O537" s="397"/>
      <c r="P537" s="360"/>
      <c r="Q537" s="360"/>
      <c r="R537" s="397"/>
      <c r="S537" s="360"/>
      <c r="T537" s="360"/>
      <c r="U537" s="397"/>
    </row>
    <row r="538" spans="1:21" s="359" customFormat="1">
      <c r="A538" s="359" t="s">
        <v>1168</v>
      </c>
      <c r="B538" s="360">
        <v>5.0000000000000001E-3</v>
      </c>
      <c r="C538" s="360">
        <v>5.0000000000000001E-3</v>
      </c>
      <c r="D538" s="360">
        <v>5.0000000000000001E-3</v>
      </c>
      <c r="E538" s="360">
        <v>5.0000000000000001E-3</v>
      </c>
      <c r="F538" s="360">
        <v>5.0000000000000001E-3</v>
      </c>
      <c r="G538" s="360">
        <v>5.0000000000000001E-3</v>
      </c>
      <c r="H538" s="360">
        <v>5.0000000000000001E-3</v>
      </c>
      <c r="I538" s="360">
        <v>5.0000000000000001E-3</v>
      </c>
      <c r="J538" s="360">
        <v>5.0000000000000001E-3</v>
      </c>
      <c r="K538" s="360">
        <v>5.0000000000000001E-3</v>
      </c>
      <c r="L538" s="422">
        <v>1E-3</v>
      </c>
      <c r="M538" s="360">
        <v>5.0000000000000001E-3</v>
      </c>
      <c r="N538" s="360">
        <v>5.0000000000000001E-3</v>
      </c>
      <c r="O538" s="397"/>
      <c r="P538" s="360"/>
      <c r="Q538" s="360"/>
      <c r="R538" s="397"/>
      <c r="S538" s="360"/>
      <c r="T538" s="360"/>
      <c r="U538" s="397"/>
    </row>
    <row r="539" spans="1:21" s="359" customFormat="1">
      <c r="A539" s="359" t="s">
        <v>1169</v>
      </c>
      <c r="B539" s="360">
        <v>0</v>
      </c>
      <c r="C539" s="360">
        <v>0</v>
      </c>
      <c r="D539" s="360">
        <v>0</v>
      </c>
      <c r="E539" s="360">
        <v>0</v>
      </c>
      <c r="F539" s="360">
        <v>0</v>
      </c>
      <c r="G539" s="360">
        <v>0</v>
      </c>
      <c r="H539" s="360">
        <v>0</v>
      </c>
      <c r="I539" s="360">
        <v>0</v>
      </c>
      <c r="J539" s="360">
        <v>0</v>
      </c>
      <c r="K539" s="360">
        <v>0</v>
      </c>
      <c r="L539" s="422">
        <v>1E-3</v>
      </c>
      <c r="M539" s="360">
        <v>0</v>
      </c>
      <c r="N539" s="360">
        <v>0</v>
      </c>
      <c r="O539" s="397"/>
      <c r="P539" s="360"/>
      <c r="Q539" s="360"/>
      <c r="R539" s="397"/>
      <c r="S539" s="360"/>
      <c r="T539" s="360"/>
      <c r="U539" s="397"/>
    </row>
    <row r="540" spans="1:21" s="359" customFormat="1">
      <c r="A540" s="359" t="s">
        <v>1170</v>
      </c>
      <c r="B540" s="360">
        <v>2E-3</v>
      </c>
      <c r="C540" s="360">
        <v>2E-3</v>
      </c>
      <c r="D540" s="360">
        <v>2E-3</v>
      </c>
      <c r="E540" s="360">
        <v>2E-3</v>
      </c>
      <c r="F540" s="360">
        <v>2E-3</v>
      </c>
      <c r="G540" s="360">
        <v>2E-3</v>
      </c>
      <c r="H540" s="360">
        <v>2E-3</v>
      </c>
      <c r="I540" s="360">
        <v>2E-3</v>
      </c>
      <c r="J540" s="360">
        <v>2E-3</v>
      </c>
      <c r="K540" s="360">
        <v>2E-3</v>
      </c>
      <c r="L540" s="422">
        <v>1E-3</v>
      </c>
      <c r="M540" s="360">
        <v>2E-3</v>
      </c>
      <c r="N540" s="360">
        <v>2E-3</v>
      </c>
      <c r="O540" s="397"/>
      <c r="P540" s="360"/>
      <c r="Q540" s="360"/>
      <c r="R540" s="397"/>
      <c r="S540" s="360"/>
      <c r="T540" s="360"/>
      <c r="U540" s="397"/>
    </row>
    <row r="541" spans="1:21" s="359" customFormat="1">
      <c r="A541" s="359" t="s">
        <v>1171</v>
      </c>
      <c r="B541" s="360">
        <v>0</v>
      </c>
      <c r="C541" s="360">
        <v>0</v>
      </c>
      <c r="D541" s="360">
        <v>0</v>
      </c>
      <c r="E541" s="360">
        <v>0</v>
      </c>
      <c r="F541" s="360">
        <v>0</v>
      </c>
      <c r="G541" s="360">
        <v>0</v>
      </c>
      <c r="H541" s="360">
        <v>0</v>
      </c>
      <c r="I541" s="360">
        <v>0</v>
      </c>
      <c r="J541" s="360">
        <v>0</v>
      </c>
      <c r="K541" s="360">
        <v>0</v>
      </c>
      <c r="L541" s="422">
        <v>1E-3</v>
      </c>
      <c r="M541" s="360">
        <v>0</v>
      </c>
      <c r="N541" s="360">
        <v>0</v>
      </c>
      <c r="O541" s="397"/>
      <c r="P541" s="360"/>
      <c r="Q541" s="360"/>
      <c r="R541" s="397"/>
      <c r="S541" s="360"/>
      <c r="T541" s="360"/>
      <c r="U541" s="397"/>
    </row>
    <row r="542" spans="1:21" s="359" customFormat="1">
      <c r="A542" s="359" t="s">
        <v>1173</v>
      </c>
      <c r="B542" s="360">
        <v>0.01</v>
      </c>
      <c r="C542" s="360">
        <v>0.01</v>
      </c>
      <c r="D542" s="360">
        <v>0.01</v>
      </c>
      <c r="E542" s="360">
        <v>0.01</v>
      </c>
      <c r="F542" s="360">
        <v>0.01</v>
      </c>
      <c r="G542" s="360">
        <v>0.01</v>
      </c>
      <c r="H542" s="360">
        <v>0.01</v>
      </c>
      <c r="I542" s="360">
        <v>0.01</v>
      </c>
      <c r="J542" s="360">
        <v>0.01</v>
      </c>
      <c r="K542" s="360">
        <v>0.01</v>
      </c>
      <c r="L542" s="422">
        <v>1E-3</v>
      </c>
      <c r="M542" s="360">
        <v>0.01</v>
      </c>
      <c r="N542" s="360">
        <v>0.01</v>
      </c>
      <c r="O542" s="397"/>
      <c r="P542" s="360"/>
      <c r="Q542" s="360"/>
      <c r="R542" s="397"/>
      <c r="S542" s="360"/>
      <c r="T542" s="360"/>
      <c r="U542" s="397"/>
    </row>
    <row r="543" spans="1:21" s="359" customFormat="1">
      <c r="A543" s="359" t="s">
        <v>1174</v>
      </c>
      <c r="B543" s="360">
        <v>7.0000000000000007E-2</v>
      </c>
      <c r="C543" s="360">
        <v>7.0000000000000007E-2</v>
      </c>
      <c r="D543" s="360">
        <v>7.0000000000000007E-2</v>
      </c>
      <c r="E543" s="360">
        <v>7.0000000000000007E-2</v>
      </c>
      <c r="F543" s="360">
        <v>7.0000000000000007E-2</v>
      </c>
      <c r="G543" s="360">
        <v>7.0000000000000007E-2</v>
      </c>
      <c r="H543" s="360">
        <v>7.0000000000000007E-2</v>
      </c>
      <c r="I543" s="360">
        <v>7.0000000000000007E-2</v>
      </c>
      <c r="J543" s="360">
        <v>7.0000000000000007E-2</v>
      </c>
      <c r="K543" s="360">
        <v>7.0000000000000007E-2</v>
      </c>
      <c r="L543" s="422">
        <v>1E-3</v>
      </c>
      <c r="M543" s="360">
        <v>7.0000000000000007E-2</v>
      </c>
      <c r="N543" s="360">
        <v>7.0000000000000007E-2</v>
      </c>
      <c r="O543" s="397"/>
      <c r="P543" s="360"/>
      <c r="Q543" s="360"/>
      <c r="R543" s="397"/>
      <c r="S543" s="360"/>
      <c r="T543" s="360"/>
      <c r="U543" s="397"/>
    </row>
    <row r="544" spans="1:21" s="359" customFormat="1">
      <c r="A544" s="359" t="s">
        <v>1175</v>
      </c>
      <c r="B544" s="360">
        <v>6.0000000000000001E-3</v>
      </c>
      <c r="C544" s="360">
        <v>6.0000000000000001E-3</v>
      </c>
      <c r="D544" s="360">
        <v>6.0000000000000001E-3</v>
      </c>
      <c r="E544" s="360">
        <v>6.0000000000000001E-3</v>
      </c>
      <c r="F544" s="360">
        <v>6.0000000000000001E-3</v>
      </c>
      <c r="G544" s="360">
        <v>6.0000000000000001E-3</v>
      </c>
      <c r="H544" s="360">
        <v>6.0000000000000001E-3</v>
      </c>
      <c r="I544" s="360">
        <v>6.0000000000000001E-3</v>
      </c>
      <c r="J544" s="360">
        <v>6.0000000000000001E-3</v>
      </c>
      <c r="K544" s="360">
        <v>6.0000000000000001E-3</v>
      </c>
      <c r="L544" s="422">
        <v>1E-3</v>
      </c>
      <c r="M544" s="360">
        <v>6.0000000000000001E-3</v>
      </c>
      <c r="N544" s="360">
        <v>6.0000000000000001E-3</v>
      </c>
      <c r="O544" s="397"/>
      <c r="P544" s="360"/>
      <c r="Q544" s="360"/>
      <c r="R544" s="397"/>
      <c r="S544" s="360"/>
      <c r="T544" s="360"/>
      <c r="U544" s="397"/>
    </row>
    <row r="545" spans="1:24" s="359" customFormat="1">
      <c r="A545" s="359" t="s">
        <v>1176</v>
      </c>
      <c r="B545" s="360">
        <v>6.0000000000000001E-3</v>
      </c>
      <c r="C545" s="360">
        <v>6.0000000000000001E-3</v>
      </c>
      <c r="D545" s="360">
        <v>6.0000000000000001E-3</v>
      </c>
      <c r="E545" s="360">
        <v>6.0000000000000001E-3</v>
      </c>
      <c r="F545" s="360">
        <v>6.0000000000000001E-3</v>
      </c>
      <c r="G545" s="360">
        <v>6.0000000000000001E-3</v>
      </c>
      <c r="H545" s="360">
        <v>6.0000000000000001E-3</v>
      </c>
      <c r="I545" s="360">
        <v>6.0000000000000001E-3</v>
      </c>
      <c r="J545" s="360">
        <v>6.0000000000000001E-3</v>
      </c>
      <c r="K545" s="360">
        <v>6.0000000000000001E-3</v>
      </c>
      <c r="L545" s="422">
        <v>1E-3</v>
      </c>
      <c r="M545" s="360">
        <v>6.0000000000000001E-3</v>
      </c>
      <c r="N545" s="360">
        <v>6.0000000000000001E-3</v>
      </c>
      <c r="O545" s="397"/>
      <c r="P545" s="360"/>
      <c r="Q545" s="360"/>
      <c r="R545" s="397"/>
      <c r="S545" s="360"/>
      <c r="T545" s="360"/>
      <c r="U545" s="397"/>
    </row>
    <row r="546" spans="1:24" s="359" customFormat="1">
      <c r="A546" s="359" t="s">
        <v>1177</v>
      </c>
      <c r="B546" s="360">
        <v>0.1</v>
      </c>
      <c r="C546" s="360">
        <v>0.1</v>
      </c>
      <c r="D546" s="360">
        <v>0.1</v>
      </c>
      <c r="E546" s="360">
        <v>0.1</v>
      </c>
      <c r="F546" s="360">
        <v>0.1</v>
      </c>
      <c r="G546" s="360">
        <v>0.1</v>
      </c>
      <c r="H546" s="360">
        <v>0.1</v>
      </c>
      <c r="I546" s="360">
        <v>0.1</v>
      </c>
      <c r="J546" s="360">
        <v>0.1</v>
      </c>
      <c r="K546" s="360">
        <v>0.1</v>
      </c>
      <c r="L546" s="422">
        <v>1E-3</v>
      </c>
      <c r="M546" s="360">
        <v>0.1</v>
      </c>
      <c r="N546" s="360">
        <v>0.1</v>
      </c>
      <c r="O546" s="397"/>
      <c r="P546" s="360"/>
      <c r="Q546" s="360"/>
      <c r="R546" s="397"/>
      <c r="S546" s="360"/>
      <c r="T546" s="360"/>
      <c r="U546" s="397"/>
    </row>
    <row r="547" spans="1:24" s="361" customFormat="1">
      <c r="A547" s="361" t="s">
        <v>1178</v>
      </c>
      <c r="B547" s="362">
        <v>0.01</v>
      </c>
      <c r="C547" s="362">
        <v>0.01</v>
      </c>
      <c r="D547" s="362">
        <v>0.01</v>
      </c>
      <c r="E547" s="362">
        <v>0.01</v>
      </c>
      <c r="F547" s="362">
        <v>0.01</v>
      </c>
      <c r="G547" s="362">
        <v>0.01</v>
      </c>
      <c r="H547" s="362">
        <v>0.01</v>
      </c>
      <c r="I547" s="362">
        <v>0.01</v>
      </c>
      <c r="J547" s="362">
        <v>0.01</v>
      </c>
      <c r="K547" s="362">
        <v>0.01</v>
      </c>
      <c r="L547" s="422">
        <v>1E-3</v>
      </c>
      <c r="M547" s="362">
        <v>0.01</v>
      </c>
      <c r="N547" s="362">
        <v>0.01</v>
      </c>
      <c r="O547" s="362"/>
      <c r="P547" s="362"/>
      <c r="Q547" s="362"/>
      <c r="R547" s="362"/>
      <c r="S547" s="362"/>
      <c r="T547" s="362"/>
      <c r="U547" s="362"/>
    </row>
    <row r="548" spans="1:24" s="361" customFormat="1">
      <c r="A548" s="359" t="s">
        <v>1179</v>
      </c>
      <c r="B548" s="362">
        <v>0.01</v>
      </c>
      <c r="C548" s="362">
        <v>0.01</v>
      </c>
      <c r="D548" s="362">
        <v>0.01</v>
      </c>
      <c r="E548" s="362">
        <v>0.01</v>
      </c>
      <c r="F548" s="362">
        <v>0.01</v>
      </c>
      <c r="G548" s="362">
        <v>0.01</v>
      </c>
      <c r="H548" s="362">
        <v>0.01</v>
      </c>
      <c r="I548" s="362">
        <v>0.01</v>
      </c>
      <c r="J548" s="362">
        <v>0.01</v>
      </c>
      <c r="K548" s="362">
        <v>0.01</v>
      </c>
      <c r="L548" s="422">
        <v>1E-3</v>
      </c>
      <c r="M548" s="362">
        <v>0.01</v>
      </c>
      <c r="N548" s="362">
        <v>0.01</v>
      </c>
      <c r="O548" s="362"/>
      <c r="P548" s="362"/>
      <c r="Q548" s="362"/>
      <c r="R548" s="362"/>
      <c r="S548" s="362"/>
      <c r="T548" s="362"/>
      <c r="U548" s="362"/>
    </row>
    <row r="549" spans="1:24" s="359" customFormat="1">
      <c r="A549" s="359" t="s">
        <v>1180</v>
      </c>
      <c r="B549" s="362">
        <v>5.0000000000000001E-3</v>
      </c>
      <c r="C549" s="362">
        <v>5.0000000000000001E-3</v>
      </c>
      <c r="D549" s="362">
        <v>5.0000000000000001E-3</v>
      </c>
      <c r="E549" s="362">
        <v>5.0000000000000001E-3</v>
      </c>
      <c r="F549" s="362">
        <v>5.0000000000000001E-3</v>
      </c>
      <c r="G549" s="362">
        <v>5.0000000000000001E-3</v>
      </c>
      <c r="H549" s="362">
        <v>5.0000000000000001E-3</v>
      </c>
      <c r="I549" s="362">
        <v>5.0000000000000001E-3</v>
      </c>
      <c r="J549" s="362">
        <v>5.0000000000000001E-3</v>
      </c>
      <c r="K549" s="362">
        <v>5.0000000000000001E-3</v>
      </c>
      <c r="L549" s="422">
        <v>1E-3</v>
      </c>
      <c r="M549" s="362">
        <v>5.0000000000000001E-3</v>
      </c>
      <c r="N549" s="362">
        <v>5.0000000000000001E-3</v>
      </c>
    </row>
    <row r="550" spans="1:24" s="371" customFormat="1">
      <c r="A550" s="371" t="s">
        <v>1018</v>
      </c>
      <c r="B550" s="372"/>
      <c r="C550" s="372"/>
      <c r="D550" s="372"/>
      <c r="E550" s="372"/>
      <c r="F550" s="374" t="s">
        <v>1020</v>
      </c>
      <c r="G550" s="375"/>
      <c r="H550" s="375" t="s">
        <v>1021</v>
      </c>
      <c r="I550" s="374"/>
      <c r="J550" s="372"/>
      <c r="K550" s="374" t="s">
        <v>1022</v>
      </c>
      <c r="L550" s="372"/>
      <c r="M550" s="372"/>
      <c r="N550" s="372"/>
      <c r="O550" s="372"/>
      <c r="P550" s="372"/>
      <c r="Q550" s="372"/>
      <c r="R550" s="372"/>
      <c r="S550" s="372"/>
      <c r="T550" s="372"/>
    </row>
    <row r="551" spans="1:24" s="371" customFormat="1">
      <c r="A551" s="371" t="s">
        <v>1019</v>
      </c>
      <c r="B551" s="372"/>
      <c r="C551" s="372"/>
      <c r="D551" s="372"/>
      <c r="E551" s="372"/>
      <c r="F551" s="376" t="s">
        <v>1023</v>
      </c>
      <c r="I551" s="370"/>
      <c r="J551" s="374" t="s">
        <v>1024</v>
      </c>
      <c r="L551" s="374"/>
      <c r="M551" s="374"/>
      <c r="N551" s="372"/>
      <c r="O551" s="372"/>
      <c r="P551" s="372"/>
      <c r="Q551" s="372"/>
      <c r="R551" s="372"/>
      <c r="S551" s="372"/>
      <c r="T551" s="372"/>
    </row>
    <row r="552" spans="1:24" s="368" customFormat="1">
      <c r="B552" s="369" t="s">
        <v>349</v>
      </c>
      <c r="D552" s="369"/>
      <c r="E552" s="378"/>
      <c r="F552" s="369" t="s">
        <v>353</v>
      </c>
      <c r="I552" s="379"/>
      <c r="J552" s="369" t="s">
        <v>355</v>
      </c>
      <c r="M552" s="378"/>
      <c r="N552" s="369" t="s">
        <v>359</v>
      </c>
      <c r="P552" s="369"/>
      <c r="Q552" s="378"/>
      <c r="R552" s="369"/>
      <c r="S552" s="369"/>
      <c r="T552" s="369"/>
      <c r="U552" s="369"/>
      <c r="V552" s="369"/>
      <c r="W552" s="369"/>
      <c r="X552" s="369"/>
    </row>
    <row r="553" spans="1:24" s="368" customFormat="1">
      <c r="A553" s="17" t="s">
        <v>330</v>
      </c>
      <c r="B553" s="30" t="s">
        <v>1030</v>
      </c>
      <c r="C553" s="373" t="s">
        <v>1025</v>
      </c>
      <c r="D553" s="368" t="s">
        <v>1026</v>
      </c>
      <c r="E553" s="379" t="s">
        <v>1027</v>
      </c>
      <c r="F553" s="30" t="s">
        <v>1030</v>
      </c>
      <c r="G553" s="373" t="s">
        <v>1025</v>
      </c>
      <c r="H553" s="368" t="s">
        <v>1026</v>
      </c>
      <c r="I553" s="379" t="s">
        <v>1027</v>
      </c>
      <c r="J553" s="30" t="s">
        <v>1030</v>
      </c>
      <c r="K553" s="373" t="s">
        <v>1025</v>
      </c>
      <c r="L553" s="368" t="s">
        <v>1026</v>
      </c>
      <c r="M553" s="379" t="s">
        <v>1027</v>
      </c>
      <c r="N553" s="30" t="s">
        <v>1030</v>
      </c>
      <c r="O553" s="373" t="s">
        <v>1025</v>
      </c>
      <c r="P553" s="368" t="s">
        <v>1026</v>
      </c>
      <c r="Q553" s="379" t="s">
        <v>1027</v>
      </c>
      <c r="R553" s="369"/>
      <c r="S553" s="369"/>
      <c r="T553" s="369"/>
      <c r="U553" s="369"/>
      <c r="V553" s="369"/>
      <c r="W553" s="369"/>
      <c r="X553" s="369"/>
    </row>
    <row r="554" spans="1:24" s="963" customFormat="1">
      <c r="A554" s="63" t="str">
        <f>List!A6</f>
        <v>Please select</v>
      </c>
      <c r="B554" s="62"/>
      <c r="C554" s="962"/>
      <c r="E554" s="964"/>
      <c r="F554" s="62"/>
      <c r="G554" s="962"/>
      <c r="I554" s="964"/>
      <c r="J554" s="62"/>
      <c r="K554" s="962"/>
      <c r="M554" s="964"/>
      <c r="N554" s="62"/>
      <c r="O554" s="962"/>
      <c r="Q554" s="964"/>
      <c r="R554" s="965"/>
      <c r="S554" s="965"/>
      <c r="T554" s="965"/>
      <c r="U554" s="965"/>
      <c r="V554" s="965"/>
      <c r="W554" s="965"/>
      <c r="X554" s="965"/>
    </row>
    <row r="555" spans="1:24" s="361" customFormat="1">
      <c r="A555" s="361" t="s">
        <v>304</v>
      </c>
      <c r="B555" s="397">
        <v>0</v>
      </c>
      <c r="C555" s="366">
        <v>0.16</v>
      </c>
      <c r="D555" s="388">
        <v>0.11</v>
      </c>
      <c r="E555" s="389">
        <v>0.03</v>
      </c>
      <c r="F555" s="397">
        <v>0</v>
      </c>
      <c r="G555" s="366">
        <v>0.11</v>
      </c>
      <c r="H555" s="388">
        <v>0.09</v>
      </c>
      <c r="I555" s="389">
        <v>0.03</v>
      </c>
      <c r="J555" s="397">
        <v>0</v>
      </c>
      <c r="K555" s="377">
        <v>4.4999999999999998E-2</v>
      </c>
      <c r="L555" s="390">
        <v>7.0000000000000001E-3</v>
      </c>
      <c r="M555" s="386">
        <v>2.5000000000000001E-2</v>
      </c>
      <c r="N555" s="397">
        <v>0</v>
      </c>
      <c r="O555" s="366">
        <v>0.04</v>
      </c>
      <c r="P555" s="391">
        <v>4.0000000000000001E-3</v>
      </c>
      <c r="Q555" s="385">
        <v>3.0000000000000001E-3</v>
      </c>
      <c r="R555" s="362"/>
      <c r="S555" s="362"/>
      <c r="T555" s="362"/>
      <c r="U555" s="362"/>
      <c r="V555" s="362"/>
      <c r="W555" s="362"/>
      <c r="X555" s="362"/>
    </row>
    <row r="556" spans="1:24" s="361" customFormat="1">
      <c r="A556" s="361" t="s">
        <v>301</v>
      </c>
      <c r="B556" s="397">
        <v>0</v>
      </c>
      <c r="C556" s="366">
        <v>0.18</v>
      </c>
      <c r="D556" s="388">
        <v>0.08</v>
      </c>
      <c r="E556" s="389">
        <v>0.04</v>
      </c>
      <c r="F556" s="397">
        <v>0</v>
      </c>
      <c r="G556" s="366">
        <v>0.12</v>
      </c>
      <c r="H556" s="388">
        <v>0.04</v>
      </c>
      <c r="I556" s="389">
        <v>0.03</v>
      </c>
      <c r="J556" s="397">
        <v>0</v>
      </c>
      <c r="K556" s="377">
        <v>4.4999999999999998E-2</v>
      </c>
      <c r="L556" s="390">
        <v>7.0000000000000001E-3</v>
      </c>
      <c r="M556" s="386">
        <v>2.5000000000000001E-2</v>
      </c>
      <c r="N556" s="397">
        <v>0</v>
      </c>
      <c r="O556" s="366">
        <v>0.04</v>
      </c>
      <c r="P556" s="391">
        <v>4.0000000000000001E-3</v>
      </c>
      <c r="Q556" s="385">
        <v>3.0000000000000001E-3</v>
      </c>
      <c r="R556" s="362"/>
      <c r="S556" s="362"/>
      <c r="T556" s="362"/>
      <c r="U556" s="362"/>
      <c r="V556" s="362"/>
      <c r="W556" s="362"/>
      <c r="X556" s="362"/>
    </row>
    <row r="557" spans="1:24" s="361" customFormat="1">
      <c r="A557" s="361" t="s">
        <v>302</v>
      </c>
      <c r="B557" s="397">
        <v>0</v>
      </c>
      <c r="C557" s="366">
        <v>0.11</v>
      </c>
      <c r="D557" s="388">
        <v>0.04</v>
      </c>
      <c r="E557" s="389">
        <v>0.04</v>
      </c>
      <c r="F557" s="397">
        <v>0</v>
      </c>
      <c r="G557" s="366">
        <v>0.06</v>
      </c>
      <c r="H557" s="388">
        <v>0.04</v>
      </c>
      <c r="I557" s="389">
        <v>0.03</v>
      </c>
      <c r="J557" s="397">
        <v>0</v>
      </c>
      <c r="K557" s="377">
        <v>4.4999999999999998E-2</v>
      </c>
      <c r="L557" s="390">
        <v>7.0000000000000001E-3</v>
      </c>
      <c r="M557" s="386">
        <v>2.5000000000000001E-2</v>
      </c>
      <c r="N557" s="397">
        <v>0</v>
      </c>
      <c r="O557" s="366">
        <v>0.03</v>
      </c>
      <c r="P557" s="391">
        <v>4.0000000000000001E-3</v>
      </c>
      <c r="Q557" s="385">
        <v>3.0000000000000001E-3</v>
      </c>
      <c r="R557" s="362"/>
      <c r="S557" s="362"/>
      <c r="T557" s="362"/>
      <c r="U557" s="362"/>
      <c r="V557" s="362"/>
      <c r="W557" s="362"/>
      <c r="X557" s="362"/>
    </row>
    <row r="558" spans="1:24" s="361" customFormat="1">
      <c r="A558" s="361" t="s">
        <v>303</v>
      </c>
      <c r="B558" s="397">
        <v>0</v>
      </c>
      <c r="C558" s="366">
        <v>0.22</v>
      </c>
      <c r="D558" s="388">
        <v>0.08</v>
      </c>
      <c r="E558" s="389">
        <v>0.05</v>
      </c>
      <c r="F558" s="397">
        <v>0</v>
      </c>
      <c r="G558" s="366">
        <v>0.14000000000000001</v>
      </c>
      <c r="H558" s="388">
        <v>0.08</v>
      </c>
      <c r="I558" s="389">
        <v>0.03</v>
      </c>
      <c r="J558" s="397">
        <v>0</v>
      </c>
      <c r="K558" s="377">
        <v>4.4999999999999998E-2</v>
      </c>
      <c r="L558" s="390">
        <v>7.0000000000000001E-3</v>
      </c>
      <c r="M558" s="386">
        <v>2.5000000000000001E-2</v>
      </c>
      <c r="N558" s="397">
        <v>0</v>
      </c>
      <c r="O558" s="366">
        <v>0.06</v>
      </c>
      <c r="P558" s="391">
        <v>4.0000000000000001E-3</v>
      </c>
      <c r="Q558" s="385">
        <v>4.0000000000000001E-3</v>
      </c>
      <c r="R558" s="362"/>
      <c r="S558" s="362"/>
      <c r="T558" s="362"/>
      <c r="U558" s="362"/>
      <c r="V558" s="362"/>
      <c r="W558" s="362"/>
      <c r="X558" s="362"/>
    </row>
    <row r="559" spans="1:24" s="361" customFormat="1">
      <c r="A559" s="361" t="s">
        <v>306</v>
      </c>
      <c r="B559" s="397">
        <v>0</v>
      </c>
      <c r="C559" s="366">
        <v>0.06</v>
      </c>
      <c r="D559" s="388">
        <v>0.03</v>
      </c>
      <c r="E559" s="389">
        <v>0.02</v>
      </c>
      <c r="F559" s="397">
        <v>0</v>
      </c>
      <c r="G559" s="366">
        <v>0.03</v>
      </c>
      <c r="H559" s="388">
        <v>0.02</v>
      </c>
      <c r="I559" s="389">
        <v>0.03</v>
      </c>
      <c r="J559" s="397">
        <v>0</v>
      </c>
      <c r="K559" s="377">
        <v>4.4999999999999998E-2</v>
      </c>
      <c r="L559" s="390">
        <v>7.0000000000000001E-3</v>
      </c>
      <c r="M559" s="386">
        <v>2.5000000000000001E-2</v>
      </c>
      <c r="N559" s="397">
        <v>0</v>
      </c>
      <c r="O559" s="366">
        <v>0.02</v>
      </c>
      <c r="P559" s="391">
        <v>1E-3</v>
      </c>
      <c r="Q559" s="385">
        <v>2E-3</v>
      </c>
      <c r="R559" s="362"/>
      <c r="S559" s="362"/>
      <c r="T559" s="362"/>
      <c r="U559" s="362"/>
      <c r="V559" s="362"/>
      <c r="W559" s="362"/>
      <c r="X559" s="362"/>
    </row>
    <row r="560" spans="1:24" s="361" customFormat="1">
      <c r="A560" s="361" t="s">
        <v>305</v>
      </c>
      <c r="B560" s="397">
        <v>0</v>
      </c>
      <c r="C560" s="366">
        <v>0.03</v>
      </c>
      <c r="D560" s="388">
        <v>0.02</v>
      </c>
      <c r="E560" s="389">
        <v>0.01</v>
      </c>
      <c r="F560" s="397">
        <v>0</v>
      </c>
      <c r="G560" s="366">
        <v>0.02</v>
      </c>
      <c r="H560" s="388">
        <v>0.01</v>
      </c>
      <c r="I560" s="389">
        <v>0.02</v>
      </c>
      <c r="J560" s="397">
        <v>0</v>
      </c>
      <c r="K560" s="377">
        <v>4.4999999999999998E-2</v>
      </c>
      <c r="L560" s="390">
        <v>7.0000000000000001E-3</v>
      </c>
      <c r="M560" s="386">
        <v>2.5000000000000001E-2</v>
      </c>
      <c r="N560" s="397">
        <v>0</v>
      </c>
      <c r="O560" s="366">
        <v>0.02</v>
      </c>
      <c r="P560" s="391">
        <v>1E-3</v>
      </c>
      <c r="Q560" s="385">
        <v>2E-3</v>
      </c>
      <c r="R560" s="362"/>
      <c r="S560" s="362"/>
      <c r="T560" s="362"/>
      <c r="U560" s="362"/>
      <c r="V560" s="362"/>
      <c r="W560" s="362"/>
      <c r="X560" s="362"/>
    </row>
    <row r="561" spans="1:24" s="361" customFormat="1">
      <c r="A561" s="361" t="s">
        <v>297</v>
      </c>
      <c r="B561" s="397">
        <v>0</v>
      </c>
      <c r="C561" s="366">
        <v>0.01</v>
      </c>
      <c r="D561" s="392">
        <v>3.0000000000000001E-3</v>
      </c>
      <c r="E561" s="393">
        <v>4.0000000000000001E-3</v>
      </c>
      <c r="F561" s="397">
        <v>0</v>
      </c>
      <c r="G561" s="366">
        <v>0.01</v>
      </c>
      <c r="H561" s="392">
        <v>4.0000000000000001E-3</v>
      </c>
      <c r="I561" s="393">
        <v>6.0000000000000001E-3</v>
      </c>
      <c r="J561" s="397">
        <v>0</v>
      </c>
      <c r="K561" s="377">
        <v>4.4999999999999998E-2</v>
      </c>
      <c r="L561" s="390">
        <v>7.0000000000000001E-3</v>
      </c>
      <c r="M561" s="386">
        <v>2.5000000000000001E-2</v>
      </c>
      <c r="N561" s="397">
        <v>0</v>
      </c>
      <c r="O561" s="366">
        <v>0.01</v>
      </c>
      <c r="P561" s="391">
        <v>2.0000000000000001E-4</v>
      </c>
      <c r="Q561" s="385">
        <v>6.0000000000000001E-3</v>
      </c>
      <c r="R561" s="362"/>
      <c r="S561" s="362"/>
      <c r="T561" s="362"/>
      <c r="U561" s="362"/>
      <c r="V561" s="362"/>
      <c r="W561" s="362"/>
      <c r="X561" s="362"/>
    </row>
    <row r="562" spans="1:24" s="380" customFormat="1">
      <c r="A562" s="380" t="s">
        <v>300</v>
      </c>
      <c r="B562" s="397">
        <v>0</v>
      </c>
      <c r="C562" s="377">
        <v>0.01</v>
      </c>
      <c r="D562" s="390">
        <v>3.0000000000000001E-3</v>
      </c>
      <c r="E562" s="386">
        <v>4.0000000000000001E-3</v>
      </c>
      <c r="F562" s="397">
        <v>0</v>
      </c>
      <c r="G562" s="377">
        <v>0.01</v>
      </c>
      <c r="H562" s="390">
        <v>4.0000000000000001E-3</v>
      </c>
      <c r="I562" s="386">
        <v>6.0000000000000001E-3</v>
      </c>
      <c r="J562" s="397">
        <v>0</v>
      </c>
      <c r="K562" s="377">
        <v>4.4999999999999998E-2</v>
      </c>
      <c r="L562" s="390">
        <v>7.0000000000000001E-3</v>
      </c>
      <c r="M562" s="386">
        <v>2.5000000000000001E-2</v>
      </c>
      <c r="N562" s="397">
        <v>0</v>
      </c>
      <c r="O562" s="377">
        <v>0.01</v>
      </c>
      <c r="P562" s="394">
        <v>2.0000000000000001E-4</v>
      </c>
      <c r="Q562" s="386">
        <v>6.0000000000000001E-3</v>
      </c>
      <c r="R562" s="381"/>
      <c r="S562" s="381"/>
      <c r="T562" s="381"/>
      <c r="U562" s="381"/>
      <c r="V562" s="381"/>
      <c r="W562" s="381"/>
      <c r="X562" s="381"/>
    </row>
    <row r="563" spans="1:24" s="382" customFormat="1">
      <c r="A563" s="382" t="s">
        <v>298</v>
      </c>
      <c r="B563" s="397">
        <v>0</v>
      </c>
      <c r="C563" s="383">
        <f>0.22/3</f>
        <v>7.3333333333333334E-2</v>
      </c>
      <c r="D563" s="395">
        <f>0.05/3</f>
        <v>1.6666666666666666E-2</v>
      </c>
      <c r="E563" s="384">
        <f>0.05/3</f>
        <v>1.6666666666666666E-2</v>
      </c>
      <c r="F563" s="397">
        <v>0</v>
      </c>
      <c r="G563" s="383">
        <f>0.1/3</f>
        <v>3.3333333333333333E-2</v>
      </c>
      <c r="H563" s="383">
        <v>0.03</v>
      </c>
      <c r="I563" s="384">
        <f>0.1/3</f>
        <v>3.3333333333333333E-2</v>
      </c>
      <c r="J563" s="397">
        <v>0</v>
      </c>
      <c r="K563" s="383">
        <v>0.1</v>
      </c>
      <c r="L563" s="395">
        <f>0.068/6</f>
        <v>1.1333333333333334E-2</v>
      </c>
      <c r="M563" s="387">
        <f>0.021/6</f>
        <v>3.5000000000000001E-3</v>
      </c>
      <c r="N563" s="397">
        <v>0</v>
      </c>
      <c r="O563" s="383">
        <f>0.07/3</f>
        <v>2.3333333333333334E-2</v>
      </c>
      <c r="P563" s="391">
        <f>0.004/3</f>
        <v>1.3333333333333333E-3</v>
      </c>
      <c r="Q563" s="387">
        <f>0.01/3</f>
        <v>3.3333333333333335E-3</v>
      </c>
      <c r="R563" s="363"/>
      <c r="S563" s="363"/>
      <c r="T563" s="363"/>
      <c r="U563" s="363"/>
      <c r="V563" s="363"/>
      <c r="W563" s="363"/>
      <c r="X563" s="363"/>
    </row>
    <row r="564" spans="1:24" s="361" customFormat="1">
      <c r="A564" s="361" t="s">
        <v>299</v>
      </c>
      <c r="B564" s="397">
        <v>0</v>
      </c>
      <c r="C564" s="366">
        <v>0.06</v>
      </c>
      <c r="D564" s="388">
        <v>0.01</v>
      </c>
      <c r="E564" s="389">
        <v>0.01</v>
      </c>
      <c r="F564" s="397">
        <v>0</v>
      </c>
      <c r="G564" s="366">
        <v>0.03</v>
      </c>
      <c r="H564" s="388">
        <v>0.02</v>
      </c>
      <c r="I564" s="389">
        <v>0.02</v>
      </c>
      <c r="J564" s="397">
        <v>0</v>
      </c>
      <c r="K564" s="366">
        <v>4.4999999999999998E-2</v>
      </c>
      <c r="L564" s="392">
        <v>7.0000000000000001E-3</v>
      </c>
      <c r="M564" s="393">
        <v>2.5000000000000001E-2</v>
      </c>
      <c r="N564" s="397">
        <v>0</v>
      </c>
      <c r="O564" s="366">
        <v>0.02</v>
      </c>
      <c r="P564" s="391">
        <v>1E-3</v>
      </c>
      <c r="Q564" s="385">
        <v>1E-3</v>
      </c>
      <c r="R564" s="362"/>
      <c r="S564" s="362"/>
      <c r="T564" s="362"/>
      <c r="U564" s="362"/>
      <c r="V564" s="362"/>
      <c r="W564" s="362"/>
      <c r="X564" s="362"/>
    </row>
    <row r="565" spans="1:24" s="361" customFormat="1">
      <c r="A565" s="361" t="s">
        <v>425</v>
      </c>
      <c r="B565" s="397">
        <v>0</v>
      </c>
      <c r="C565" s="366">
        <v>0.04</v>
      </c>
      <c r="D565" s="388">
        <v>0.01</v>
      </c>
      <c r="E565" s="389">
        <v>0.01</v>
      </c>
      <c r="F565" s="397">
        <v>0</v>
      </c>
      <c r="G565" s="366">
        <v>0.03</v>
      </c>
      <c r="H565" s="388">
        <v>0.01</v>
      </c>
      <c r="I565" s="389">
        <v>0.01</v>
      </c>
      <c r="J565" s="397">
        <v>0</v>
      </c>
      <c r="K565" s="366">
        <v>0.03</v>
      </c>
      <c r="L565" s="392">
        <v>6.0000000000000001E-3</v>
      </c>
      <c r="M565" s="393">
        <v>1.4999999999999999E-2</v>
      </c>
      <c r="N565" s="397">
        <v>0</v>
      </c>
      <c r="O565" s="366">
        <v>0.02</v>
      </c>
      <c r="P565" s="391">
        <v>5.0000000000000001E-4</v>
      </c>
      <c r="Q565" s="385">
        <v>1E-3</v>
      </c>
      <c r="R565" s="362"/>
      <c r="S565" s="362"/>
      <c r="T565" s="362"/>
      <c r="U565" s="362"/>
      <c r="V565" s="362"/>
      <c r="W565" s="362"/>
      <c r="X565" s="362"/>
    </row>
    <row r="566" spans="1:24" s="85" customFormat="1">
      <c r="A566" s="16" t="s">
        <v>458</v>
      </c>
      <c r="B566" s="84"/>
      <c r="C566" s="84"/>
      <c r="D566" s="84"/>
      <c r="G566" s="84"/>
    </row>
    <row r="567" spans="1:24" s="68" customFormat="1">
      <c r="A567" s="68" t="s">
        <v>459</v>
      </c>
      <c r="B567" s="64"/>
      <c r="C567" s="64"/>
      <c r="D567" s="64"/>
      <c r="G567" s="64"/>
      <c r="H567" s="119" t="s">
        <v>508</v>
      </c>
      <c r="I567" s="103"/>
      <c r="J567" s="3191" t="s">
        <v>5658</v>
      </c>
      <c r="K567" s="3192"/>
      <c r="L567" s="3192"/>
    </row>
    <row r="568" spans="1:24" s="68" customFormat="1">
      <c r="A568" s="68" t="s">
        <v>460</v>
      </c>
      <c r="B568" s="64"/>
      <c r="C568" s="64"/>
      <c r="D568" s="64"/>
      <c r="G568" s="64"/>
      <c r="I568" s="103"/>
    </row>
    <row r="569" spans="1:24" s="68" customFormat="1">
      <c r="A569" s="68" t="s">
        <v>461</v>
      </c>
      <c r="B569" s="68" t="str">
        <f>List!A20</f>
        <v>Please select</v>
      </c>
      <c r="C569" s="64" t="s">
        <v>462</v>
      </c>
      <c r="D569" s="64" t="s">
        <v>463</v>
      </c>
      <c r="E569" s="64" t="s">
        <v>464</v>
      </c>
      <c r="F569" s="68" t="s">
        <v>465</v>
      </c>
      <c r="G569" s="68" t="s">
        <v>504</v>
      </c>
      <c r="H569" s="64" t="s">
        <v>505</v>
      </c>
      <c r="I569" s="68" t="s">
        <v>503</v>
      </c>
      <c r="J569" s="103"/>
    </row>
    <row r="570" spans="1:24" s="977" customFormat="1">
      <c r="A570" s="977" t="str">
        <f>G7</f>
        <v>Please select</v>
      </c>
      <c r="C570" s="978"/>
      <c r="D570" s="978"/>
      <c r="E570" s="978"/>
      <c r="H570" s="978"/>
      <c r="J570" s="979"/>
    </row>
    <row r="571" spans="1:24" s="12" customFormat="1">
      <c r="A571" s="12" t="s">
        <v>318</v>
      </c>
      <c r="C571" s="86">
        <v>68</v>
      </c>
      <c r="D571" s="86"/>
      <c r="E571" s="86">
        <v>10</v>
      </c>
      <c r="F571" s="86">
        <v>117</v>
      </c>
      <c r="G571" s="86">
        <v>20</v>
      </c>
      <c r="H571" s="3190">
        <v>116</v>
      </c>
      <c r="J571" s="106"/>
    </row>
    <row r="572" spans="1:24" s="12" customFormat="1">
      <c r="A572" s="12" t="s">
        <v>317</v>
      </c>
      <c r="C572" s="86">
        <f>C571</f>
        <v>68</v>
      </c>
      <c r="D572" s="86"/>
      <c r="E572" s="86">
        <f>E571</f>
        <v>10</v>
      </c>
      <c r="F572" s="86">
        <f>F571</f>
        <v>117</v>
      </c>
      <c r="G572" s="86">
        <f>G571</f>
        <v>20</v>
      </c>
      <c r="H572" s="3190">
        <v>116</v>
      </c>
      <c r="J572" s="106"/>
    </row>
    <row r="573" spans="1:24" s="12" customFormat="1">
      <c r="A573" s="60" t="s">
        <v>315</v>
      </c>
      <c r="B573" s="974"/>
      <c r="C573" s="86">
        <v>50</v>
      </c>
      <c r="D573" s="86">
        <v>33</v>
      </c>
      <c r="E573" s="86">
        <v>34</v>
      </c>
      <c r="F573" s="86"/>
      <c r="G573" s="86">
        <v>20</v>
      </c>
      <c r="H573" s="86">
        <v>87</v>
      </c>
      <c r="J573" s="106"/>
    </row>
    <row r="574" spans="1:24" s="12" customFormat="1">
      <c r="A574" s="60" t="s">
        <v>316</v>
      </c>
      <c r="B574" s="974"/>
      <c r="C574" s="86">
        <v>95</v>
      </c>
      <c r="D574" s="86">
        <v>85</v>
      </c>
      <c r="E574" s="86">
        <v>71</v>
      </c>
      <c r="F574" s="86">
        <v>115</v>
      </c>
      <c r="G574" s="86">
        <v>130</v>
      </c>
      <c r="H574" s="3190">
        <v>128</v>
      </c>
      <c r="J574" s="106"/>
    </row>
    <row r="575" spans="1:24" s="12" customFormat="1">
      <c r="A575" s="60" t="s">
        <v>314</v>
      </c>
      <c r="B575" s="974"/>
      <c r="C575" s="86">
        <v>38</v>
      </c>
      <c r="D575" s="86">
        <v>24</v>
      </c>
      <c r="E575" s="86">
        <v>19</v>
      </c>
      <c r="F575" s="86"/>
      <c r="G575" s="86">
        <v>70</v>
      </c>
      <c r="H575" s="86">
        <v>74</v>
      </c>
      <c r="J575" s="106"/>
    </row>
    <row r="576" spans="1:24" s="12" customFormat="1">
      <c r="A576" s="60" t="s">
        <v>466</v>
      </c>
      <c r="B576" s="974"/>
      <c r="C576" s="86">
        <v>88</v>
      </c>
      <c r="D576" s="86">
        <v>63</v>
      </c>
      <c r="E576" s="86">
        <v>34</v>
      </c>
      <c r="F576" s="86"/>
      <c r="G576" s="86">
        <v>80</v>
      </c>
      <c r="H576" s="3190">
        <v>135</v>
      </c>
      <c r="J576" s="106"/>
    </row>
    <row r="577" spans="1:12" s="12" customFormat="1">
      <c r="A577" s="60" t="s">
        <v>6503</v>
      </c>
      <c r="B577" s="974"/>
      <c r="C577" s="86">
        <f>C580</f>
        <v>65</v>
      </c>
      <c r="D577" s="86">
        <f>D580</f>
        <v>47</v>
      </c>
      <c r="E577" s="86">
        <f>E580</f>
        <v>39</v>
      </c>
      <c r="F577" s="86"/>
      <c r="G577" s="86">
        <f>G580</f>
        <v>70</v>
      </c>
      <c r="H577" s="3190">
        <v>82</v>
      </c>
      <c r="J577" s="106"/>
    </row>
    <row r="578" spans="1:12" s="12" customFormat="1">
      <c r="A578" s="60" t="s">
        <v>6502</v>
      </c>
      <c r="B578" s="974"/>
      <c r="C578" s="86">
        <f>C579</f>
        <v>38</v>
      </c>
      <c r="D578" s="86">
        <f>D579</f>
        <v>35</v>
      </c>
      <c r="E578" s="86">
        <f>E579</f>
        <v>31</v>
      </c>
      <c r="F578" s="86"/>
      <c r="G578" s="86">
        <f>G579</f>
        <v>50</v>
      </c>
      <c r="H578" s="3190">
        <v>82</v>
      </c>
      <c r="J578" s="106"/>
    </row>
    <row r="579" spans="1:12" s="12" customFormat="1">
      <c r="A579" s="60" t="s">
        <v>313</v>
      </c>
      <c r="B579" s="974"/>
      <c r="C579" s="86">
        <v>38</v>
      </c>
      <c r="D579" s="86">
        <v>35</v>
      </c>
      <c r="E579" s="86">
        <v>31</v>
      </c>
      <c r="F579" s="86"/>
      <c r="G579" s="86">
        <v>50</v>
      </c>
      <c r="H579" s="3190">
        <v>22</v>
      </c>
      <c r="J579" s="106"/>
    </row>
    <row r="580" spans="1:12" s="12" customFormat="1">
      <c r="A580" s="60" t="s">
        <v>311</v>
      </c>
      <c r="B580" s="974"/>
      <c r="C580" s="86">
        <v>65</v>
      </c>
      <c r="D580" s="86">
        <v>47</v>
      </c>
      <c r="E580" s="86">
        <v>39</v>
      </c>
      <c r="F580" s="86"/>
      <c r="G580" s="86">
        <v>70</v>
      </c>
      <c r="H580" s="3190">
        <v>68</v>
      </c>
      <c r="J580" s="106"/>
    </row>
    <row r="581" spans="1:12" s="12" customFormat="1">
      <c r="A581" s="60" t="s">
        <v>310</v>
      </c>
      <c r="B581" s="974"/>
      <c r="C581" s="86">
        <v>44</v>
      </c>
      <c r="D581" s="86">
        <v>60</v>
      </c>
      <c r="E581" s="86">
        <v>66</v>
      </c>
      <c r="F581" s="86"/>
      <c r="G581" s="86">
        <v>130</v>
      </c>
      <c r="H581" s="3190">
        <v>49</v>
      </c>
      <c r="J581" s="106"/>
    </row>
    <row r="582" spans="1:12" s="85" customFormat="1">
      <c r="A582" s="16" t="s">
        <v>458</v>
      </c>
      <c r="B582" s="84"/>
      <c r="C582" s="84"/>
      <c r="D582" s="84"/>
      <c r="G582" s="84"/>
    </row>
    <row r="583" spans="1:12" s="68" customFormat="1">
      <c r="A583" s="68" t="s">
        <v>529</v>
      </c>
      <c r="B583" s="68" t="s">
        <v>530</v>
      </c>
      <c r="C583" s="64"/>
      <c r="D583" s="64"/>
      <c r="G583" s="64"/>
      <c r="H583" s="119"/>
      <c r="I583" s="103"/>
    </row>
    <row r="584" spans="1:12" s="68" customFormat="1">
      <c r="B584" s="68" t="s">
        <v>328</v>
      </c>
      <c r="C584" s="64"/>
      <c r="D584" s="64"/>
      <c r="G584" s="64"/>
      <c r="I584" s="103"/>
    </row>
    <row r="585" spans="1:12" s="68" customFormat="1">
      <c r="A585" s="68" t="s">
        <v>461</v>
      </c>
      <c r="B585" s="68" t="s">
        <v>581</v>
      </c>
      <c r="C585" s="64" t="s">
        <v>549</v>
      </c>
      <c r="D585" s="64" t="s">
        <v>552</v>
      </c>
      <c r="E585" s="68" t="s">
        <v>554</v>
      </c>
      <c r="F585" s="68" t="s">
        <v>550</v>
      </c>
      <c r="G585" s="64" t="s">
        <v>553</v>
      </c>
      <c r="H585" s="68" t="s">
        <v>562</v>
      </c>
      <c r="I585" s="103" t="s">
        <v>551</v>
      </c>
      <c r="J585" s="68" t="s">
        <v>561</v>
      </c>
      <c r="K585" s="68" t="s">
        <v>579</v>
      </c>
      <c r="L585" s="68" t="s">
        <v>580</v>
      </c>
    </row>
    <row r="586" spans="1:12" s="188" customFormat="1">
      <c r="A586" s="188" t="s">
        <v>318</v>
      </c>
      <c r="B586" s="189">
        <v>0.8</v>
      </c>
      <c r="C586" s="189">
        <v>1</v>
      </c>
      <c r="D586" s="189">
        <v>1.02</v>
      </c>
      <c r="E586" s="189">
        <v>1.1000000000000001</v>
      </c>
      <c r="F586" s="189">
        <v>1</v>
      </c>
      <c r="G586" s="189">
        <v>0.9</v>
      </c>
      <c r="I586" s="190"/>
    </row>
    <row r="587" spans="1:12" s="188" customFormat="1">
      <c r="A587" s="188" t="s">
        <v>317</v>
      </c>
      <c r="B587" s="189">
        <v>0.69</v>
      </c>
      <c r="C587" s="189">
        <v>1</v>
      </c>
      <c r="D587" s="189">
        <v>1.08</v>
      </c>
      <c r="E587" s="189">
        <v>1.1499999999999999</v>
      </c>
      <c r="F587" s="189">
        <v>1</v>
      </c>
      <c r="G587" s="189">
        <v>0.9</v>
      </c>
      <c r="I587" s="190"/>
    </row>
    <row r="588" spans="1:12" s="188" customFormat="1">
      <c r="A588" s="191" t="s">
        <v>315</v>
      </c>
      <c r="B588" s="189">
        <v>0.8</v>
      </c>
      <c r="C588" s="189">
        <v>1</v>
      </c>
      <c r="D588" s="189">
        <v>1.02</v>
      </c>
      <c r="E588" s="189">
        <v>1.1000000000000001</v>
      </c>
      <c r="F588" s="189">
        <v>1</v>
      </c>
      <c r="G588" s="189">
        <v>0.9</v>
      </c>
      <c r="I588" s="190"/>
    </row>
    <row r="589" spans="1:12" s="188" customFormat="1">
      <c r="A589" s="191" t="s">
        <v>316</v>
      </c>
      <c r="B589" s="189">
        <v>0.69</v>
      </c>
      <c r="C589" s="189">
        <v>1</v>
      </c>
      <c r="D589" s="189">
        <v>1.08</v>
      </c>
      <c r="E589" s="189">
        <v>1.1499999999999999</v>
      </c>
      <c r="F589" s="189">
        <v>1</v>
      </c>
      <c r="G589" s="189">
        <v>0.9</v>
      </c>
      <c r="I589" s="190"/>
    </row>
    <row r="590" spans="1:12" s="188" customFormat="1">
      <c r="A590" s="191" t="s">
        <v>314</v>
      </c>
      <c r="B590" s="189">
        <v>0.8</v>
      </c>
      <c r="C590" s="189">
        <v>1</v>
      </c>
      <c r="D590" s="189">
        <v>1.02</v>
      </c>
      <c r="E590" s="189">
        <v>1.1000000000000001</v>
      </c>
      <c r="F590" s="189">
        <v>1</v>
      </c>
      <c r="G590" s="189">
        <v>0.9</v>
      </c>
      <c r="I590" s="190"/>
    </row>
    <row r="591" spans="1:12" s="188" customFormat="1">
      <c r="A591" s="191" t="s">
        <v>466</v>
      </c>
      <c r="B591" s="189">
        <v>0.69</v>
      </c>
      <c r="C591" s="189">
        <v>1</v>
      </c>
      <c r="D591" s="189">
        <v>1.08</v>
      </c>
      <c r="E591" s="189">
        <v>1.1499999999999999</v>
      </c>
      <c r="F591" s="189">
        <v>1</v>
      </c>
      <c r="G591" s="189">
        <v>0.9</v>
      </c>
      <c r="I591" s="190"/>
    </row>
    <row r="592" spans="1:12" s="188" customFormat="1">
      <c r="A592" s="191" t="s">
        <v>6503</v>
      </c>
      <c r="B592" s="189">
        <v>0.64</v>
      </c>
      <c r="C592" s="189">
        <v>1</v>
      </c>
      <c r="D592" s="189">
        <v>1.0900000000000001</v>
      </c>
      <c r="E592" s="189">
        <v>1.1599999999999999</v>
      </c>
      <c r="F592" s="189">
        <v>1</v>
      </c>
      <c r="G592" s="189">
        <v>0.9</v>
      </c>
      <c r="I592" s="190"/>
    </row>
    <row r="593" spans="1:9" s="188" customFormat="1">
      <c r="A593" s="191" t="s">
        <v>6502</v>
      </c>
      <c r="B593" s="189">
        <v>0.64</v>
      </c>
      <c r="C593" s="189">
        <v>1</v>
      </c>
      <c r="D593" s="189">
        <v>1.0900000000000001</v>
      </c>
      <c r="E593" s="189">
        <v>1.1599999999999999</v>
      </c>
      <c r="F593" s="189">
        <v>1</v>
      </c>
      <c r="G593" s="189">
        <v>0.9</v>
      </c>
      <c r="I593" s="190"/>
    </row>
    <row r="594" spans="1:9" s="188" customFormat="1">
      <c r="A594" s="191" t="s">
        <v>313</v>
      </c>
      <c r="B594" s="189">
        <v>0.57999999999999996</v>
      </c>
      <c r="C594" s="189">
        <v>1</v>
      </c>
      <c r="D594" s="189">
        <v>1.0900000000000001</v>
      </c>
      <c r="E594" s="189">
        <v>1.17</v>
      </c>
      <c r="F594" s="189">
        <v>1</v>
      </c>
      <c r="G594" s="189">
        <v>0.9</v>
      </c>
      <c r="I594" s="190"/>
    </row>
    <row r="595" spans="1:9" s="188" customFormat="1">
      <c r="A595" s="191" t="s">
        <v>311</v>
      </c>
      <c r="B595" s="189">
        <v>0.48</v>
      </c>
      <c r="C595" s="189">
        <v>1</v>
      </c>
      <c r="D595" s="189">
        <v>1.1499999999999999</v>
      </c>
      <c r="E595" s="189">
        <v>1.22</v>
      </c>
      <c r="F595" s="189">
        <v>1</v>
      </c>
      <c r="G595" s="189">
        <v>0.9</v>
      </c>
      <c r="I595" s="190"/>
    </row>
    <row r="596" spans="1:9" s="188" customFormat="1">
      <c r="A596" s="191" t="s">
        <v>310</v>
      </c>
      <c r="B596" s="189">
        <v>0.48</v>
      </c>
      <c r="C596" s="189">
        <v>1</v>
      </c>
      <c r="D596" s="189">
        <v>1.1499999999999999</v>
      </c>
      <c r="E596" s="189">
        <v>1.22</v>
      </c>
      <c r="F596" s="189">
        <v>1</v>
      </c>
      <c r="G596" s="189">
        <v>0.9</v>
      </c>
      <c r="I596" s="190"/>
    </row>
    <row r="597" spans="1:9" s="16" customFormat="1">
      <c r="A597" s="16" t="s">
        <v>582</v>
      </c>
      <c r="B597" s="4111" t="s">
        <v>1016</v>
      </c>
      <c r="C597" s="4111"/>
      <c r="D597" s="4111"/>
      <c r="E597" s="4111"/>
      <c r="F597" s="16" t="s">
        <v>586</v>
      </c>
      <c r="G597" s="75"/>
    </row>
    <row r="598" spans="1:9" s="16" customFormat="1">
      <c r="B598" s="75" t="s">
        <v>319</v>
      </c>
      <c r="C598" s="75" t="s">
        <v>320</v>
      </c>
      <c r="D598" s="75" t="s">
        <v>309</v>
      </c>
      <c r="E598" s="75" t="s">
        <v>312</v>
      </c>
      <c r="F598" s="981" t="s">
        <v>5</v>
      </c>
      <c r="G598" s="75"/>
    </row>
    <row r="599" spans="1:9" s="188" customFormat="1">
      <c r="A599" s="188" t="s">
        <v>583</v>
      </c>
      <c r="B599" s="189">
        <v>0.28999999999999998</v>
      </c>
      <c r="C599" s="189">
        <v>0.88</v>
      </c>
      <c r="D599" s="189">
        <v>0.28999999999999998</v>
      </c>
      <c r="E599" s="189">
        <v>0.88</v>
      </c>
      <c r="G599" s="189"/>
    </row>
    <row r="600" spans="1:9" s="188" customFormat="1">
      <c r="A600" s="188" t="s">
        <v>584</v>
      </c>
      <c r="B600" s="189">
        <v>0.26</v>
      </c>
      <c r="C600" s="189">
        <v>0.55000000000000004</v>
      </c>
      <c r="D600" s="189">
        <v>0.26</v>
      </c>
      <c r="E600" s="189">
        <v>0.55000000000000004</v>
      </c>
      <c r="G600" s="189"/>
    </row>
    <row r="601" spans="1:9" s="188" customFormat="1">
      <c r="A601" s="188" t="s">
        <v>585</v>
      </c>
      <c r="B601" s="189">
        <v>0.15</v>
      </c>
      <c r="C601" s="189">
        <v>0.51</v>
      </c>
      <c r="D601" s="189">
        <v>0.33</v>
      </c>
      <c r="E601" s="189">
        <v>0.7</v>
      </c>
      <c r="G601" s="189"/>
    </row>
    <row r="602" spans="1:9" s="188" customFormat="1">
      <c r="A602" s="188" t="s">
        <v>560</v>
      </c>
      <c r="B602" s="189">
        <v>1.1399999999999999</v>
      </c>
      <c r="C602" s="189">
        <v>1.1399999999999999</v>
      </c>
      <c r="D602" s="189">
        <v>1.1399999999999999</v>
      </c>
      <c r="E602" s="189">
        <v>1.1399999999999999</v>
      </c>
      <c r="G602" s="189"/>
    </row>
    <row r="603" spans="1:9" s="188" customFormat="1">
      <c r="A603" s="188" t="s">
        <v>587</v>
      </c>
      <c r="B603" s="189">
        <v>1.54</v>
      </c>
      <c r="C603" s="189">
        <v>2.79</v>
      </c>
      <c r="D603" s="189">
        <v>1.54</v>
      </c>
      <c r="E603" s="189">
        <v>2.79</v>
      </c>
      <c r="G603" s="189"/>
      <c r="I603" s="190"/>
    </row>
    <row r="604" spans="1:9" s="188" customFormat="1">
      <c r="A604" s="188" t="s">
        <v>1014</v>
      </c>
      <c r="B604" s="189">
        <v>0.15</v>
      </c>
      <c r="C604" s="189">
        <v>0.51</v>
      </c>
      <c r="D604" s="189">
        <v>0.33</v>
      </c>
      <c r="E604" s="189">
        <v>0.7</v>
      </c>
      <c r="G604" s="189"/>
      <c r="I604" s="190"/>
    </row>
    <row r="605" spans="1:9" s="17" customFormat="1">
      <c r="A605" s="17" t="s">
        <v>615</v>
      </c>
      <c r="B605" s="30"/>
      <c r="C605" s="30"/>
      <c r="D605" s="30"/>
      <c r="G605" s="30"/>
      <c r="I605" s="85"/>
    </row>
    <row r="606" spans="1:9" s="17" customFormat="1">
      <c r="A606" s="17" t="s">
        <v>626</v>
      </c>
      <c r="B606" s="30" t="s">
        <v>616</v>
      </c>
      <c r="C606" s="30"/>
      <c r="D606" s="30"/>
      <c r="G606" s="30"/>
      <c r="I606" s="85"/>
    </row>
    <row r="607" spans="1:9" s="17" customFormat="1">
      <c r="A607" s="17" t="s">
        <v>617</v>
      </c>
      <c r="B607" s="30" t="s">
        <v>621</v>
      </c>
      <c r="C607" s="30"/>
      <c r="D607" s="30"/>
      <c r="G607" s="30"/>
      <c r="I607" s="85"/>
    </row>
    <row r="608" spans="1:9" s="12" customFormat="1">
      <c r="A608" s="12" t="s">
        <v>74</v>
      </c>
      <c r="B608" s="86"/>
      <c r="C608" s="86"/>
      <c r="D608" s="86"/>
      <c r="G608" s="86"/>
      <c r="I608" s="106"/>
    </row>
    <row r="609" spans="1:9" s="188" customFormat="1">
      <c r="A609" s="188" t="s">
        <v>618</v>
      </c>
      <c r="B609" s="189">
        <v>1</v>
      </c>
      <c r="C609" s="189"/>
      <c r="D609" s="189"/>
      <c r="G609" s="189"/>
      <c r="I609" s="190"/>
    </row>
    <row r="610" spans="1:9" s="188" customFormat="1">
      <c r="A610" s="188" t="s">
        <v>619</v>
      </c>
      <c r="B610" s="189">
        <f>(0.6+0.52)/2</f>
        <v>0.56000000000000005</v>
      </c>
      <c r="C610" s="189"/>
      <c r="D610" s="189"/>
      <c r="G610" s="189"/>
      <c r="I610" s="190"/>
    </row>
    <row r="611" spans="1:9" s="188" customFormat="1">
      <c r="A611" s="188" t="s">
        <v>620</v>
      </c>
      <c r="B611" s="189">
        <v>0.27</v>
      </c>
      <c r="C611" s="189"/>
      <c r="D611" s="189"/>
      <c r="G611" s="189"/>
      <c r="I611" s="190"/>
    </row>
    <row r="612" spans="1:9" s="17" customFormat="1">
      <c r="A612" s="17" t="s">
        <v>625</v>
      </c>
      <c r="B612" s="30"/>
      <c r="C612" s="30"/>
      <c r="D612" s="30"/>
      <c r="G612" s="30"/>
      <c r="I612" s="85"/>
    </row>
    <row r="613" spans="1:9" s="17" customFormat="1">
      <c r="A613" s="17" t="s">
        <v>626</v>
      </c>
      <c r="B613" s="30" t="s">
        <v>627</v>
      </c>
      <c r="C613" s="30"/>
      <c r="D613" s="30"/>
      <c r="G613" s="30"/>
      <c r="I613" s="85"/>
    </row>
    <row r="614" spans="1:9" s="17" customFormat="1">
      <c r="A614" s="17" t="s">
        <v>617</v>
      </c>
      <c r="B614" s="30" t="s">
        <v>628</v>
      </c>
      <c r="C614" s="30"/>
      <c r="D614" s="30"/>
      <c r="G614" s="30"/>
      <c r="I614" s="85"/>
    </row>
    <row r="615" spans="1:9" s="12" customFormat="1">
      <c r="A615" s="12" t="s">
        <v>73</v>
      </c>
      <c r="B615" s="86"/>
      <c r="C615" s="86"/>
      <c r="D615" s="86"/>
      <c r="G615" s="86"/>
      <c r="I615" s="106"/>
    </row>
    <row r="616" spans="1:9" s="188" customFormat="1">
      <c r="A616" s="188" t="s">
        <v>629</v>
      </c>
      <c r="B616" s="189">
        <v>1</v>
      </c>
      <c r="C616" s="189"/>
      <c r="D616" s="189"/>
      <c r="G616" s="189"/>
      <c r="I616" s="190"/>
    </row>
    <row r="617" spans="1:9" s="188" customFormat="1">
      <c r="A617" s="188" t="s">
        <v>630</v>
      </c>
      <c r="B617" s="189">
        <v>0.68</v>
      </c>
      <c r="C617" s="189"/>
      <c r="D617" s="189"/>
      <c r="G617" s="189"/>
      <c r="I617" s="190"/>
    </row>
    <row r="618" spans="1:9" s="188" customFormat="1">
      <c r="A618" s="188" t="s">
        <v>631</v>
      </c>
      <c r="B618" s="189">
        <v>1.9</v>
      </c>
      <c r="C618" s="189"/>
      <c r="D618" s="189"/>
      <c r="G618" s="189"/>
      <c r="I618" s="190"/>
    </row>
    <row r="619" spans="1:9" s="17" customFormat="1">
      <c r="A619" s="17" t="s">
        <v>632</v>
      </c>
      <c r="B619" s="30"/>
      <c r="C619" s="30"/>
      <c r="D619" s="30"/>
      <c r="G619" s="30"/>
      <c r="I619" s="85"/>
    </row>
    <row r="620" spans="1:9" s="17" customFormat="1">
      <c r="A620" s="17" t="s">
        <v>626</v>
      </c>
      <c r="B620" s="30" t="s">
        <v>633</v>
      </c>
      <c r="C620" s="30"/>
      <c r="D620" s="30"/>
      <c r="G620" s="30"/>
      <c r="I620" s="85"/>
    </row>
    <row r="621" spans="1:9" s="17" customFormat="1">
      <c r="A621" s="17" t="s">
        <v>634</v>
      </c>
      <c r="B621" s="30" t="s">
        <v>635</v>
      </c>
      <c r="C621" s="30"/>
      <c r="D621" s="30"/>
      <c r="G621" s="30"/>
      <c r="I621" s="85"/>
    </row>
    <row r="622" spans="1:9" s="12" customFormat="1">
      <c r="A622" s="12" t="s">
        <v>72</v>
      </c>
      <c r="B622" s="86"/>
      <c r="C622" s="86"/>
      <c r="D622" s="86"/>
      <c r="G622" s="86"/>
      <c r="I622" s="106"/>
    </row>
    <row r="623" spans="1:9" s="188" customFormat="1">
      <c r="A623" s="188" t="s">
        <v>1152</v>
      </c>
      <c r="B623" s="189">
        <v>0</v>
      </c>
      <c r="C623" s="189"/>
      <c r="D623" s="189"/>
      <c r="G623" s="189"/>
      <c r="I623" s="190"/>
    </row>
    <row r="624" spans="1:9" s="188" customFormat="1">
      <c r="A624" s="188" t="s">
        <v>1154</v>
      </c>
      <c r="B624" s="189">
        <v>0</v>
      </c>
      <c r="C624" s="189"/>
      <c r="D624" s="189"/>
      <c r="G624" s="189"/>
      <c r="I624" s="190"/>
    </row>
    <row r="625" spans="1:9" s="188" customFormat="1">
      <c r="A625" s="2818" t="s">
        <v>4483</v>
      </c>
      <c r="B625" s="189">
        <v>1</v>
      </c>
      <c r="C625" s="189"/>
      <c r="D625" s="189"/>
      <c r="G625" s="189"/>
      <c r="I625" s="190"/>
    </row>
    <row r="626" spans="1:9" s="188" customFormat="1">
      <c r="A626" s="2818" t="s">
        <v>4484</v>
      </c>
      <c r="B626" s="189">
        <v>0.28999999999999998</v>
      </c>
      <c r="C626" s="189"/>
      <c r="D626" s="189"/>
      <c r="G626" s="189"/>
      <c r="I626" s="190"/>
    </row>
    <row r="627" spans="1:9" s="188" customFormat="1">
      <c r="A627" s="188" t="s">
        <v>376</v>
      </c>
      <c r="B627" s="189">
        <v>0.05</v>
      </c>
      <c r="C627" s="189"/>
      <c r="D627" s="189"/>
      <c r="G627" s="189"/>
      <c r="I627" s="190"/>
    </row>
    <row r="628" spans="1:9" s="188" customFormat="1">
      <c r="A628" s="188" t="s">
        <v>1153</v>
      </c>
      <c r="B628" s="189">
        <v>0.14000000000000001</v>
      </c>
      <c r="C628" s="189"/>
      <c r="D628" s="189"/>
      <c r="G628" s="189"/>
      <c r="I628" s="190"/>
    </row>
    <row r="629" spans="1:9" s="188" customFormat="1">
      <c r="A629" s="188" t="s">
        <v>636</v>
      </c>
      <c r="B629" s="189">
        <v>0.5</v>
      </c>
      <c r="C629" s="189"/>
      <c r="D629" s="189"/>
      <c r="G629" s="189"/>
      <c r="I629" s="190"/>
    </row>
    <row r="630" spans="1:9" s="68" customFormat="1">
      <c r="A630" s="68" t="s">
        <v>847</v>
      </c>
      <c r="B630" s="68" t="s">
        <v>848</v>
      </c>
      <c r="C630" s="64"/>
      <c r="D630" s="64"/>
      <c r="G630" s="64"/>
      <c r="H630" s="119"/>
      <c r="I630" s="103"/>
    </row>
    <row r="631" spans="1:9" s="68" customFormat="1">
      <c r="C631" s="64"/>
      <c r="D631" s="64"/>
      <c r="G631" s="64"/>
      <c r="I631" s="103"/>
    </row>
    <row r="632" spans="1:9" s="68" customFormat="1">
      <c r="A632" s="68" t="s">
        <v>461</v>
      </c>
      <c r="B632" s="68" t="s">
        <v>849</v>
      </c>
      <c r="C632" s="64" t="s">
        <v>850</v>
      </c>
      <c r="D632" s="64" t="s">
        <v>851</v>
      </c>
      <c r="E632" s="68" t="s">
        <v>852</v>
      </c>
      <c r="G632" s="64"/>
      <c r="I632" s="103"/>
    </row>
    <row r="633" spans="1:9" s="968" customFormat="1">
      <c r="A633" s="968" t="str">
        <f>G7</f>
        <v>Please select</v>
      </c>
      <c r="C633" s="967"/>
      <c r="D633" s="967"/>
      <c r="G633" s="967"/>
      <c r="I633" s="982"/>
    </row>
    <row r="634" spans="1:9" s="188" customFormat="1">
      <c r="A634" s="188" t="s">
        <v>318</v>
      </c>
      <c r="B634" s="189">
        <v>1</v>
      </c>
      <c r="C634" s="189">
        <v>1</v>
      </c>
      <c r="D634" s="189">
        <v>0.95</v>
      </c>
      <c r="E634" s="189">
        <v>1.1399999999999999</v>
      </c>
      <c r="F634" s="189"/>
      <c r="G634" s="189"/>
      <c r="I634" s="190"/>
    </row>
    <row r="635" spans="1:9" s="188" customFormat="1">
      <c r="A635" s="188" t="s">
        <v>317</v>
      </c>
      <c r="B635" s="189">
        <v>1</v>
      </c>
      <c r="C635" s="189">
        <v>1</v>
      </c>
      <c r="D635" s="189">
        <v>0.95</v>
      </c>
      <c r="E635" s="189">
        <v>1.1399999999999999</v>
      </c>
      <c r="F635" s="189"/>
      <c r="G635" s="189"/>
      <c r="I635" s="190"/>
    </row>
    <row r="636" spans="1:9" s="188" customFormat="1">
      <c r="A636" s="191" t="s">
        <v>315</v>
      </c>
      <c r="B636" s="189">
        <v>1</v>
      </c>
      <c r="C636" s="189">
        <v>1</v>
      </c>
      <c r="D636" s="189">
        <v>0.95</v>
      </c>
      <c r="E636" s="189">
        <v>1.1399999999999999</v>
      </c>
      <c r="F636" s="189"/>
      <c r="G636" s="189"/>
      <c r="I636" s="190"/>
    </row>
    <row r="637" spans="1:9" s="188" customFormat="1">
      <c r="A637" s="191" t="s">
        <v>316</v>
      </c>
      <c r="B637" s="189">
        <v>1</v>
      </c>
      <c r="C637" s="189">
        <v>1</v>
      </c>
      <c r="D637" s="189">
        <v>0.95</v>
      </c>
      <c r="E637" s="189">
        <v>1.1399999999999999</v>
      </c>
      <c r="F637" s="189"/>
      <c r="G637" s="189"/>
      <c r="I637" s="190"/>
    </row>
    <row r="638" spans="1:9" s="188" customFormat="1">
      <c r="A638" s="191" t="s">
        <v>314</v>
      </c>
      <c r="B638" s="189">
        <v>1</v>
      </c>
      <c r="C638" s="189">
        <v>1</v>
      </c>
      <c r="D638" s="189">
        <v>0.95</v>
      </c>
      <c r="E638" s="189">
        <v>1.1399999999999999</v>
      </c>
      <c r="F638" s="189"/>
      <c r="G638" s="189"/>
      <c r="I638" s="190"/>
    </row>
    <row r="639" spans="1:9" s="188" customFormat="1">
      <c r="A639" s="191" t="s">
        <v>466</v>
      </c>
      <c r="B639" s="189">
        <v>1</v>
      </c>
      <c r="C639" s="189">
        <v>1</v>
      </c>
      <c r="D639" s="189">
        <v>0.95</v>
      </c>
      <c r="E639" s="189">
        <v>1.1399999999999999</v>
      </c>
      <c r="F639" s="189"/>
      <c r="G639" s="189"/>
      <c r="I639" s="190"/>
    </row>
    <row r="640" spans="1:9" s="188" customFormat="1">
      <c r="A640" s="191" t="s">
        <v>6503</v>
      </c>
      <c r="B640" s="189">
        <v>1</v>
      </c>
      <c r="C640" s="189">
        <v>1</v>
      </c>
      <c r="D640" s="189">
        <v>0.97</v>
      </c>
      <c r="E640" s="189">
        <v>1.17</v>
      </c>
      <c r="F640" s="189"/>
      <c r="G640" s="189"/>
      <c r="I640" s="190"/>
    </row>
    <row r="641" spans="1:9" s="188" customFormat="1">
      <c r="A641" s="191" t="s">
        <v>6502</v>
      </c>
      <c r="B641" s="189">
        <v>1</v>
      </c>
      <c r="C641" s="189">
        <v>1</v>
      </c>
      <c r="D641" s="189">
        <v>0.97</v>
      </c>
      <c r="E641" s="189">
        <v>1.17</v>
      </c>
      <c r="F641" s="189"/>
      <c r="G641" s="189"/>
      <c r="I641" s="190"/>
    </row>
    <row r="642" spans="1:9" s="188" customFormat="1">
      <c r="A642" s="191" t="s">
        <v>313</v>
      </c>
      <c r="B642" s="189">
        <v>1</v>
      </c>
      <c r="C642" s="189">
        <v>1</v>
      </c>
      <c r="D642" s="189">
        <v>0.96</v>
      </c>
      <c r="E642" s="189">
        <v>1.1599999999999999</v>
      </c>
      <c r="F642" s="189"/>
      <c r="G642" s="189"/>
      <c r="I642" s="190"/>
    </row>
    <row r="643" spans="1:9" s="188" customFormat="1">
      <c r="A643" s="191" t="s">
        <v>311</v>
      </c>
      <c r="B643" s="189">
        <v>1</v>
      </c>
      <c r="C643" s="189">
        <v>1</v>
      </c>
      <c r="D643" s="189">
        <v>0.96</v>
      </c>
      <c r="E643" s="189">
        <v>1.1599999999999999</v>
      </c>
      <c r="F643" s="189"/>
      <c r="G643" s="189"/>
      <c r="I643" s="190"/>
    </row>
    <row r="644" spans="1:9" s="188" customFormat="1">
      <c r="A644" s="191" t="s">
        <v>310</v>
      </c>
      <c r="B644" s="189">
        <v>1</v>
      </c>
      <c r="C644" s="189">
        <v>1</v>
      </c>
      <c r="D644" s="189">
        <v>0.96</v>
      </c>
      <c r="E644" s="189">
        <v>1.1599999999999999</v>
      </c>
      <c r="F644" s="189"/>
      <c r="G644" s="189"/>
      <c r="I644" s="190"/>
    </row>
    <row r="645" spans="1:9" s="68" customFormat="1">
      <c r="A645" s="68" t="s">
        <v>856</v>
      </c>
      <c r="C645" s="64"/>
      <c r="D645" s="64"/>
      <c r="G645" s="64"/>
      <c r="H645" s="119"/>
      <c r="I645" s="103"/>
    </row>
    <row r="646" spans="1:9" s="68" customFormat="1">
      <c r="B646" s="68" t="s">
        <v>855</v>
      </c>
      <c r="C646" s="64"/>
      <c r="D646" s="64"/>
      <c r="G646" s="64"/>
      <c r="I646" s="103"/>
    </row>
    <row r="647" spans="1:9" s="68" customFormat="1">
      <c r="A647" s="68" t="s">
        <v>461</v>
      </c>
      <c r="B647" s="68" t="s">
        <v>857</v>
      </c>
      <c r="C647" s="64"/>
      <c r="D647" s="64"/>
      <c r="G647" s="64"/>
      <c r="I647" s="103"/>
    </row>
    <row r="648" spans="1:9" s="968" customFormat="1">
      <c r="A648" s="968" t="str">
        <f>G7</f>
        <v>Please select</v>
      </c>
      <c r="C648" s="967"/>
      <c r="D648" s="967"/>
      <c r="G648" s="967"/>
      <c r="I648" s="982"/>
    </row>
    <row r="649" spans="1:9" s="188" customFormat="1">
      <c r="A649" s="188" t="s">
        <v>318</v>
      </c>
      <c r="B649" s="189">
        <v>1.7</v>
      </c>
      <c r="C649" s="189"/>
      <c r="D649" s="189"/>
      <c r="E649" s="189"/>
      <c r="F649" s="189"/>
      <c r="G649" s="189"/>
      <c r="I649" s="190"/>
    </row>
    <row r="650" spans="1:9" s="188" customFormat="1">
      <c r="A650" s="188" t="s">
        <v>317</v>
      </c>
      <c r="B650" s="189">
        <v>1.7</v>
      </c>
      <c r="C650" s="189"/>
      <c r="D650" s="189"/>
      <c r="E650" s="189"/>
      <c r="F650" s="189"/>
      <c r="G650" s="189"/>
      <c r="I650" s="190"/>
    </row>
    <row r="651" spans="1:9" s="188" customFormat="1">
      <c r="A651" s="191" t="s">
        <v>315</v>
      </c>
      <c r="B651" s="189">
        <v>1.7</v>
      </c>
      <c r="C651" s="189"/>
      <c r="D651" s="189"/>
      <c r="E651" s="189"/>
      <c r="F651" s="189"/>
      <c r="G651" s="189"/>
      <c r="I651" s="190"/>
    </row>
    <row r="652" spans="1:9" s="188" customFormat="1">
      <c r="A652" s="191" t="s">
        <v>316</v>
      </c>
      <c r="B652" s="189">
        <v>2.7</v>
      </c>
      <c r="C652" s="189"/>
      <c r="D652" s="189"/>
      <c r="E652" s="189"/>
      <c r="F652" s="189"/>
      <c r="G652" s="189"/>
      <c r="I652" s="190"/>
    </row>
    <row r="653" spans="1:9" s="188" customFormat="1">
      <c r="A653" s="191" t="s">
        <v>314</v>
      </c>
      <c r="B653" s="189">
        <v>1.6</v>
      </c>
      <c r="C653" s="189"/>
      <c r="D653" s="189"/>
      <c r="E653" s="189"/>
      <c r="F653" s="189"/>
      <c r="G653" s="189"/>
      <c r="I653" s="190"/>
    </row>
    <row r="654" spans="1:9" s="188" customFormat="1">
      <c r="A654" s="191" t="s">
        <v>466</v>
      </c>
      <c r="B654" s="189">
        <v>2.7</v>
      </c>
      <c r="C654" s="189"/>
      <c r="D654" s="189"/>
      <c r="E654" s="189"/>
      <c r="F654" s="189"/>
      <c r="G654" s="189"/>
      <c r="I654" s="190"/>
    </row>
    <row r="655" spans="1:9" s="188" customFormat="1">
      <c r="A655" s="191" t="s">
        <v>6503</v>
      </c>
      <c r="B655" s="189">
        <v>2.2999999999999998</v>
      </c>
      <c r="C655" s="189"/>
      <c r="D655" s="189"/>
      <c r="E655" s="189"/>
      <c r="F655" s="189"/>
      <c r="G655" s="189"/>
      <c r="I655" s="190"/>
    </row>
    <row r="656" spans="1:9" s="188" customFormat="1">
      <c r="A656" s="191" t="s">
        <v>6502</v>
      </c>
      <c r="B656" s="189">
        <v>2.2999999999999998</v>
      </c>
      <c r="C656" s="189"/>
      <c r="D656" s="189"/>
      <c r="E656" s="189"/>
      <c r="F656" s="189"/>
      <c r="G656" s="189"/>
      <c r="I656" s="190"/>
    </row>
    <row r="657" spans="1:9" s="188" customFormat="1">
      <c r="A657" s="191" t="s">
        <v>313</v>
      </c>
      <c r="B657" s="189">
        <v>2.2999999999999998</v>
      </c>
      <c r="C657" s="189"/>
      <c r="D657" s="189"/>
      <c r="E657" s="189"/>
      <c r="F657" s="189"/>
      <c r="G657" s="189"/>
      <c r="I657" s="190"/>
    </row>
    <row r="658" spans="1:9" s="188" customFormat="1">
      <c r="A658" s="191" t="s">
        <v>311</v>
      </c>
      <c r="B658" s="189">
        <v>6.2</v>
      </c>
      <c r="C658" s="189"/>
      <c r="D658" s="189"/>
      <c r="E658" s="189"/>
      <c r="F658" s="189"/>
      <c r="G658" s="189"/>
      <c r="I658" s="190"/>
    </row>
    <row r="659" spans="1:9" s="188" customFormat="1" ht="13.5" customHeight="1">
      <c r="A659" s="191" t="s">
        <v>310</v>
      </c>
      <c r="B659" s="189">
        <v>6.2</v>
      </c>
      <c r="C659" s="189"/>
      <c r="D659" s="189"/>
      <c r="E659" s="189"/>
      <c r="F659" s="189"/>
      <c r="G659" s="189"/>
      <c r="I659" s="190"/>
    </row>
    <row r="660" spans="1:9" s="68" customFormat="1">
      <c r="A660" s="68" t="s">
        <v>1113</v>
      </c>
      <c r="C660" s="64"/>
      <c r="D660" s="64"/>
      <c r="G660" s="64"/>
      <c r="H660" s="119"/>
      <c r="I660" s="103"/>
    </row>
    <row r="661" spans="1:9" s="68" customFormat="1">
      <c r="C661" s="64"/>
      <c r="D661" s="64"/>
      <c r="G661" s="64"/>
      <c r="I661" s="103"/>
    </row>
    <row r="662" spans="1:9" s="68" customFormat="1">
      <c r="A662" s="68" t="s">
        <v>461</v>
      </c>
      <c r="C662" s="64"/>
      <c r="D662" s="64"/>
      <c r="G662" s="64"/>
      <c r="I662" s="103"/>
    </row>
    <row r="663" spans="1:9" s="188" customFormat="1">
      <c r="A663" s="188" t="s">
        <v>318</v>
      </c>
      <c r="B663" s="189">
        <v>1.7</v>
      </c>
      <c r="C663" s="189"/>
      <c r="D663" s="189"/>
      <c r="E663" s="189"/>
      <c r="F663" s="189"/>
      <c r="G663" s="189"/>
      <c r="I663" s="190"/>
    </row>
    <row r="664" spans="1:9" s="188" customFormat="1">
      <c r="A664" s="188" t="s">
        <v>317</v>
      </c>
      <c r="B664" s="189">
        <v>1.7</v>
      </c>
      <c r="C664" s="189"/>
      <c r="D664" s="189"/>
      <c r="E664" s="189"/>
      <c r="F664" s="189"/>
      <c r="G664" s="189"/>
      <c r="I664" s="190"/>
    </row>
    <row r="665" spans="1:9" s="188" customFormat="1">
      <c r="A665" s="191" t="s">
        <v>315</v>
      </c>
      <c r="B665" s="189">
        <v>1.7</v>
      </c>
      <c r="C665" s="189"/>
      <c r="D665" s="189"/>
      <c r="E665" s="189"/>
      <c r="F665" s="189"/>
      <c r="G665" s="189"/>
      <c r="I665" s="190"/>
    </row>
    <row r="666" spans="1:9" s="188" customFormat="1">
      <c r="A666" s="191" t="s">
        <v>316</v>
      </c>
      <c r="B666" s="189">
        <v>2.7</v>
      </c>
      <c r="C666" s="189"/>
      <c r="D666" s="189"/>
      <c r="E666" s="189"/>
      <c r="F666" s="189"/>
      <c r="G666" s="189"/>
      <c r="I666" s="190"/>
    </row>
    <row r="667" spans="1:9" s="188" customFormat="1">
      <c r="A667" s="191" t="s">
        <v>314</v>
      </c>
      <c r="B667" s="189">
        <v>1.6</v>
      </c>
      <c r="C667" s="189"/>
      <c r="D667" s="189"/>
      <c r="E667" s="189"/>
      <c r="F667" s="189"/>
      <c r="G667" s="189"/>
      <c r="I667" s="190"/>
    </row>
    <row r="668" spans="1:9" s="188" customFormat="1">
      <c r="A668" s="191" t="s">
        <v>466</v>
      </c>
      <c r="B668" s="189">
        <v>2.7</v>
      </c>
      <c r="C668" s="189"/>
      <c r="D668" s="189"/>
      <c r="E668" s="189"/>
      <c r="F668" s="189"/>
      <c r="G668" s="189"/>
      <c r="I668" s="190"/>
    </row>
    <row r="669" spans="1:9" s="188" customFormat="1">
      <c r="A669" s="191" t="s">
        <v>6503</v>
      </c>
      <c r="B669" s="189">
        <v>2.2999999999999998</v>
      </c>
      <c r="C669" s="189"/>
      <c r="D669" s="189"/>
      <c r="E669" s="189"/>
      <c r="F669" s="189"/>
      <c r="G669" s="189"/>
      <c r="I669" s="190"/>
    </row>
    <row r="670" spans="1:9" s="188" customFormat="1">
      <c r="A670" s="191" t="s">
        <v>6502</v>
      </c>
      <c r="B670" s="189">
        <v>2.2999999999999998</v>
      </c>
      <c r="C670" s="189"/>
      <c r="D670" s="189"/>
      <c r="E670" s="189"/>
      <c r="F670" s="189"/>
      <c r="G670" s="189"/>
      <c r="I670" s="190"/>
    </row>
    <row r="671" spans="1:9" s="188" customFormat="1">
      <c r="A671" s="191" t="s">
        <v>313</v>
      </c>
      <c r="B671" s="189">
        <v>2.2999999999999998</v>
      </c>
      <c r="C671" s="189"/>
      <c r="D671" s="189"/>
      <c r="E671" s="189"/>
      <c r="F671" s="189"/>
      <c r="G671" s="189"/>
      <c r="I671" s="190"/>
    </row>
    <row r="672" spans="1:9" s="188" customFormat="1">
      <c r="A672" s="191" t="s">
        <v>311</v>
      </c>
      <c r="B672" s="189">
        <v>6.2</v>
      </c>
      <c r="C672" s="189"/>
      <c r="D672" s="189"/>
      <c r="E672" s="189"/>
      <c r="F672" s="189"/>
      <c r="G672" s="189"/>
      <c r="I672" s="190"/>
    </row>
    <row r="673" spans="1:11" s="188" customFormat="1" ht="13.5" customHeight="1">
      <c r="A673" s="191" t="s">
        <v>310</v>
      </c>
      <c r="B673" s="189">
        <v>6.2</v>
      </c>
      <c r="C673" s="189"/>
      <c r="D673" s="189"/>
      <c r="E673" s="189"/>
      <c r="F673" s="189"/>
      <c r="G673" s="189"/>
      <c r="I673" s="190"/>
    </row>
    <row r="674" spans="1:11" s="313" customFormat="1">
      <c r="A674" s="311"/>
      <c r="B674" s="312"/>
      <c r="C674" s="312"/>
      <c r="D674" s="312"/>
      <c r="E674" s="312"/>
      <c r="F674" s="312"/>
      <c r="G674" s="312"/>
    </row>
    <row r="675" spans="1:11" s="315" customFormat="1">
      <c r="A675" s="311"/>
      <c r="B675" s="312"/>
      <c r="C675" s="312"/>
      <c r="D675" s="314" t="s">
        <v>916</v>
      </c>
      <c r="E675" s="314" t="s">
        <v>916</v>
      </c>
      <c r="F675" s="314" t="s">
        <v>916</v>
      </c>
      <c r="G675" s="314" t="s">
        <v>917</v>
      </c>
      <c r="H675" s="314" t="s">
        <v>917</v>
      </c>
      <c r="I675" s="314" t="s">
        <v>917</v>
      </c>
      <c r="J675" s="315" t="s">
        <v>918</v>
      </c>
    </row>
    <row r="676" spans="1:11" s="315" customFormat="1">
      <c r="B676" s="316" t="s">
        <v>22</v>
      </c>
      <c r="C676" s="316" t="s">
        <v>910</v>
      </c>
      <c r="D676" s="316" t="s">
        <v>909</v>
      </c>
      <c r="E676" s="316" t="s">
        <v>909</v>
      </c>
      <c r="F676" s="316" t="s">
        <v>909</v>
      </c>
      <c r="G676" s="315" t="s">
        <v>915</v>
      </c>
      <c r="H676" s="315" t="s">
        <v>915</v>
      </c>
      <c r="I676" s="315" t="s">
        <v>915</v>
      </c>
      <c r="J676" s="315" t="s">
        <v>919</v>
      </c>
    </row>
    <row r="677" spans="1:11" s="315" customFormat="1">
      <c r="A677" s="317"/>
      <c r="B677" s="316"/>
      <c r="C677" s="318" t="s">
        <v>900</v>
      </c>
      <c r="D677" s="315" t="s">
        <v>906</v>
      </c>
      <c r="E677" s="315" t="s">
        <v>912</v>
      </c>
      <c r="F677" s="316" t="s">
        <v>914</v>
      </c>
      <c r="G677" s="315" t="s">
        <v>906</v>
      </c>
      <c r="H677" s="315" t="s">
        <v>912</v>
      </c>
      <c r="I677" s="316" t="s">
        <v>914</v>
      </c>
      <c r="J677" s="315" t="s">
        <v>921</v>
      </c>
    </row>
    <row r="678" spans="1:11" s="315" customFormat="1">
      <c r="A678" s="317" t="s">
        <v>904</v>
      </c>
      <c r="B678" s="319"/>
      <c r="C678" s="319" t="s">
        <v>901</v>
      </c>
      <c r="D678" s="315" t="s">
        <v>907</v>
      </c>
      <c r="E678" s="315" t="s">
        <v>913</v>
      </c>
      <c r="F678" s="316" t="s">
        <v>911</v>
      </c>
      <c r="G678" s="315" t="s">
        <v>907</v>
      </c>
      <c r="H678" s="315" t="s">
        <v>913</v>
      </c>
      <c r="I678" s="316" t="s">
        <v>911</v>
      </c>
      <c r="J678" s="315" t="s">
        <v>920</v>
      </c>
    </row>
    <row r="679" spans="1:11" s="323" customFormat="1">
      <c r="A679" s="320" t="s">
        <v>899</v>
      </c>
      <c r="B679" s="321">
        <f t="shared" ref="B679:B684" si="11">(J679/10^9)*C679*(D679+H679*methane+I679*Nitrous)</f>
        <v>2.8713948129333327</v>
      </c>
      <c r="C679" s="322">
        <v>44.3</v>
      </c>
      <c r="D679" s="323">
        <v>69300</v>
      </c>
      <c r="E679" s="323">
        <v>33</v>
      </c>
      <c r="F679" s="322">
        <v>3.2</v>
      </c>
      <c r="G679" s="322">
        <v>69300</v>
      </c>
      <c r="H679" s="323">
        <f>(80+140+170)/3</f>
        <v>130</v>
      </c>
      <c r="I679" s="324">
        <f>(2+0.4+0.4)/3</f>
        <v>0.93333333333333324</v>
      </c>
      <c r="J679" s="323">
        <v>890</v>
      </c>
    </row>
    <row r="680" spans="1:11" s="323" customFormat="1">
      <c r="A680" s="320" t="s">
        <v>903</v>
      </c>
      <c r="B680" s="321">
        <f t="shared" si="11"/>
        <v>2.6224696892130002</v>
      </c>
      <c r="C680" s="321">
        <v>43</v>
      </c>
      <c r="D680" s="323">
        <v>74100</v>
      </c>
      <c r="E680" s="323">
        <v>3.9</v>
      </c>
      <c r="F680" s="322">
        <v>3.9</v>
      </c>
      <c r="G680" s="322">
        <v>74100</v>
      </c>
      <c r="H680" s="323">
        <v>4.1500000000000004</v>
      </c>
      <c r="I680" s="323">
        <v>28.6</v>
      </c>
      <c r="J680" s="323">
        <v>737.22</v>
      </c>
    </row>
    <row r="681" spans="1:11" s="323" customFormat="1">
      <c r="A681" s="320" t="s">
        <v>908</v>
      </c>
      <c r="B681" s="321">
        <f>(J681/10^9)*C681*(D681+H681*methane+I681*Nitrous)</f>
        <v>3.1287749445000004</v>
      </c>
      <c r="C681" s="321">
        <v>40.200000000000003</v>
      </c>
      <c r="D681" s="323">
        <v>73300</v>
      </c>
      <c r="E681" s="323">
        <v>3.9</v>
      </c>
      <c r="F681" s="322">
        <v>3.9</v>
      </c>
      <c r="G681" s="322">
        <v>73300</v>
      </c>
      <c r="H681" s="323">
        <v>4.1500000000000004</v>
      </c>
      <c r="I681" s="323">
        <v>28.6</v>
      </c>
      <c r="J681" s="323">
        <v>950</v>
      </c>
    </row>
    <row r="682" spans="1:11" s="323" customFormat="1">
      <c r="A682" s="320" t="s">
        <v>902</v>
      </c>
      <c r="B682" s="321">
        <f>(J682/10^9)*C682*(D682+H682*methane+I682*Nitrous)</f>
        <v>1.6266233500000001E-3</v>
      </c>
      <c r="C682" s="321">
        <v>47.3</v>
      </c>
      <c r="D682" s="323">
        <v>63100</v>
      </c>
      <c r="E682" s="323">
        <v>62</v>
      </c>
      <c r="F682" s="322">
        <v>0.2</v>
      </c>
      <c r="G682" s="322"/>
      <c r="J682" s="323">
        <v>0.54500000000000004</v>
      </c>
    </row>
    <row r="683" spans="1:11" s="323" customFormat="1">
      <c r="A683" s="320" t="s">
        <v>905</v>
      </c>
      <c r="B683" s="321">
        <f t="shared" si="11"/>
        <v>1.7503200000000001E-3</v>
      </c>
      <c r="C683" s="322">
        <v>48</v>
      </c>
      <c r="D683" s="323">
        <v>56100</v>
      </c>
      <c r="E683" s="323">
        <v>92</v>
      </c>
      <c r="F683" s="322">
        <v>3</v>
      </c>
      <c r="G683" s="322"/>
      <c r="J683" s="323">
        <v>0.65</v>
      </c>
      <c r="K683" s="323" t="s">
        <v>109</v>
      </c>
    </row>
    <row r="684" spans="1:11" s="323" customFormat="1">
      <c r="A684" s="320" t="s">
        <v>271</v>
      </c>
      <c r="B684" s="1202">
        <f t="shared" si="11"/>
        <v>3.1434089411764704E-3</v>
      </c>
      <c r="C684" s="322">
        <v>9.76</v>
      </c>
      <c r="F684" s="322"/>
      <c r="G684" s="322"/>
      <c r="H684" s="323">
        <v>1</v>
      </c>
      <c r="I684" s="323">
        <v>1.5</v>
      </c>
      <c r="J684" s="1577">
        <f>1000*(B843+B844)/2</f>
        <v>682.35294117647061</v>
      </c>
    </row>
    <row r="685" spans="1:11" s="1200" customFormat="1">
      <c r="A685" s="1198" t="s">
        <v>904</v>
      </c>
      <c r="B685" s="1201" t="s">
        <v>114</v>
      </c>
      <c r="C685" s="1199"/>
      <c r="F685" s="1199"/>
      <c r="G685" s="1199"/>
    </row>
    <row r="686" spans="1:11" s="1200" customFormat="1">
      <c r="A686" s="1198"/>
      <c r="B686" s="1201"/>
      <c r="C686" s="1199" t="s">
        <v>115</v>
      </c>
      <c r="D686" s="1200" t="s">
        <v>116</v>
      </c>
      <c r="E686" s="1200" t="s">
        <v>117</v>
      </c>
      <c r="F686" s="1199"/>
      <c r="G686" s="1199"/>
    </row>
    <row r="687" spans="1:11" s="323" customFormat="1">
      <c r="A687" s="320" t="s">
        <v>112</v>
      </c>
      <c r="B687" s="1628">
        <v>6.0000000000000001E-3</v>
      </c>
      <c r="C687" s="322"/>
      <c r="D687" s="1630" t="s">
        <v>1279</v>
      </c>
      <c r="F687" s="322"/>
      <c r="G687" s="322"/>
    </row>
    <row r="688" spans="1:11" s="323" customFormat="1">
      <c r="A688" s="320" t="s">
        <v>113</v>
      </c>
      <c r="B688" s="1628">
        <v>8.0000000000000002E-3</v>
      </c>
      <c r="C688" s="322"/>
      <c r="D688" s="1629" t="s">
        <v>1278</v>
      </c>
      <c r="F688" s="322"/>
      <c r="G688" s="322"/>
    </row>
    <row r="689" spans="1:9" s="323" customFormat="1">
      <c r="A689" s="320"/>
      <c r="B689" s="321" t="s">
        <v>119</v>
      </c>
      <c r="C689" s="322" t="s">
        <v>272</v>
      </c>
      <c r="D689" s="323" t="s">
        <v>118</v>
      </c>
      <c r="F689" s="322"/>
      <c r="G689" s="322"/>
    </row>
    <row r="690" spans="1:9" s="323" customFormat="1">
      <c r="A690" s="323" t="s">
        <v>111</v>
      </c>
      <c r="B690" s="1202">
        <f>((C690*methane)+(D690*Nitrous))/1000</f>
        <v>0.19498000000000001</v>
      </c>
      <c r="C690" s="323">
        <f>D116</f>
        <v>4.7</v>
      </c>
      <c r="D690" s="323">
        <f>E116</f>
        <v>0.26</v>
      </c>
      <c r="F690" s="322"/>
      <c r="G690" s="322"/>
    </row>
    <row r="691" spans="1:9" s="315" customFormat="1">
      <c r="A691" s="325" t="s">
        <v>933</v>
      </c>
      <c r="B691" s="316"/>
      <c r="C691" s="316"/>
      <c r="D691" s="316"/>
      <c r="G691" s="316"/>
    </row>
    <row r="692" spans="1:9" s="315" customFormat="1">
      <c r="A692" s="325" t="s">
        <v>934</v>
      </c>
      <c r="B692" s="316"/>
      <c r="C692" s="316"/>
      <c r="D692" s="316"/>
      <c r="G692" s="316"/>
    </row>
    <row r="693" spans="1:9" s="315" customFormat="1">
      <c r="A693" s="315" t="s">
        <v>935</v>
      </c>
      <c r="B693" s="316" t="s">
        <v>946</v>
      </c>
      <c r="C693" s="316"/>
      <c r="D693" s="316" t="s">
        <v>947</v>
      </c>
      <c r="G693" s="316"/>
    </row>
    <row r="694" spans="1:9" s="323" customFormat="1">
      <c r="A694" s="323" t="s">
        <v>4</v>
      </c>
      <c r="B694" s="321">
        <v>0</v>
      </c>
      <c r="C694" s="322"/>
      <c r="D694" s="322"/>
      <c r="G694" s="322"/>
    </row>
    <row r="695" spans="1:9" s="323" customFormat="1">
      <c r="A695" s="2822" t="s">
        <v>3088</v>
      </c>
      <c r="B695" s="321">
        <v>34</v>
      </c>
      <c r="C695" s="322"/>
      <c r="D695" s="322"/>
      <c r="G695" s="322"/>
    </row>
    <row r="696" spans="1:9" s="323" customFormat="1">
      <c r="A696" s="2822" t="s">
        <v>3089</v>
      </c>
      <c r="B696" s="321">
        <v>90.2</v>
      </c>
      <c r="C696" s="322"/>
      <c r="D696" s="322"/>
      <c r="G696" s="322"/>
    </row>
    <row r="697" spans="1:9" s="323" customFormat="1">
      <c r="A697" s="323" t="s">
        <v>936</v>
      </c>
      <c r="B697" s="321">
        <v>444.76666666666665</v>
      </c>
      <c r="C697" s="322"/>
      <c r="D697" s="322"/>
      <c r="G697" s="322"/>
    </row>
    <row r="698" spans="1:9" s="323" customFormat="1">
      <c r="A698" s="323" t="s">
        <v>937</v>
      </c>
      <c r="B698" s="321">
        <v>130.16666666666666</v>
      </c>
      <c r="C698" s="322"/>
      <c r="D698" s="322"/>
      <c r="G698" s="322"/>
    </row>
    <row r="699" spans="1:9" s="323" customFormat="1">
      <c r="A699" s="323" t="s">
        <v>938</v>
      </c>
      <c r="B699" s="321">
        <v>59.766666666666673</v>
      </c>
      <c r="C699" s="322"/>
      <c r="D699" s="322"/>
      <c r="G699" s="322"/>
    </row>
    <row r="700" spans="1:9" s="323" customFormat="1">
      <c r="A700" s="323" t="s">
        <v>939</v>
      </c>
      <c r="B700" s="321">
        <v>85.433333333333337</v>
      </c>
      <c r="C700" s="322"/>
      <c r="D700" s="322"/>
      <c r="G700" s="322"/>
    </row>
    <row r="701" spans="1:9" s="306" customFormat="1">
      <c r="A701" s="323" t="s">
        <v>940</v>
      </c>
      <c r="B701" s="321">
        <v>79.2</v>
      </c>
      <c r="C701" s="305"/>
      <c r="D701" s="305"/>
      <c r="G701" s="305"/>
      <c r="I701" s="307"/>
    </row>
    <row r="702" spans="1:9" s="306" customFormat="1">
      <c r="A702" s="323" t="s">
        <v>941</v>
      </c>
      <c r="B702" s="321">
        <v>61.966666666666661</v>
      </c>
      <c r="C702" s="305"/>
      <c r="D702" s="305"/>
      <c r="G702" s="305"/>
      <c r="I702" s="307"/>
    </row>
    <row r="703" spans="1:9" s="306" customFormat="1">
      <c r="A703" s="323" t="s">
        <v>942</v>
      </c>
      <c r="B703" s="321">
        <v>311.3</v>
      </c>
      <c r="C703" s="305"/>
      <c r="D703" s="305"/>
      <c r="G703" s="305"/>
      <c r="I703" s="307"/>
    </row>
    <row r="704" spans="1:9" s="45" customFormat="1">
      <c r="A704" s="315" t="s">
        <v>950</v>
      </c>
      <c r="B704" s="36"/>
      <c r="C704" s="36"/>
      <c r="D704" s="36"/>
      <c r="G704" s="36"/>
      <c r="I704" s="303"/>
    </row>
    <row r="705" spans="1:9" s="45" customFormat="1">
      <c r="A705" s="315" t="s">
        <v>951</v>
      </c>
      <c r="B705" s="36"/>
      <c r="C705" s="36"/>
      <c r="D705" s="36"/>
      <c r="G705" s="36"/>
      <c r="I705" s="303"/>
    </row>
    <row r="706" spans="1:9" s="45" customFormat="1">
      <c r="A706" s="45" t="s">
        <v>652</v>
      </c>
      <c r="B706" s="36"/>
      <c r="C706" s="36" t="s">
        <v>963</v>
      </c>
      <c r="D706" s="36"/>
      <c r="G706" s="36"/>
      <c r="I706" s="303"/>
    </row>
    <row r="707" spans="1:9" s="326" customFormat="1">
      <c r="A707" s="326" t="s">
        <v>4</v>
      </c>
      <c r="B707" s="327">
        <v>0</v>
      </c>
      <c r="C707" s="328"/>
      <c r="D707" s="328"/>
      <c r="G707" s="328"/>
      <c r="I707" s="329"/>
    </row>
    <row r="708" spans="1:9" s="326" customFormat="1">
      <c r="A708" s="326" t="s">
        <v>952</v>
      </c>
      <c r="B708" s="327">
        <v>436</v>
      </c>
      <c r="C708" s="328"/>
      <c r="D708" s="328"/>
      <c r="G708" s="328"/>
      <c r="I708" s="329"/>
    </row>
    <row r="709" spans="1:9" s="326" customFormat="1">
      <c r="A709" s="326" t="s">
        <v>953</v>
      </c>
      <c r="B709" s="327">
        <v>656</v>
      </c>
      <c r="C709" s="328"/>
      <c r="D709" s="328"/>
      <c r="G709" s="328"/>
      <c r="I709" s="329"/>
    </row>
    <row r="710" spans="1:9" s="326" customFormat="1">
      <c r="A710" s="326" t="s">
        <v>954</v>
      </c>
      <c r="B710" s="327">
        <v>220</v>
      </c>
      <c r="C710" s="328"/>
      <c r="D710" s="328"/>
      <c r="G710" s="328"/>
      <c r="I710" s="329"/>
    </row>
    <row r="711" spans="1:9" s="326" customFormat="1">
      <c r="A711" s="326" t="s">
        <v>955</v>
      </c>
      <c r="B711" s="327">
        <v>825</v>
      </c>
      <c r="C711" s="328"/>
      <c r="D711" s="328"/>
      <c r="G711" s="328"/>
      <c r="I711" s="329"/>
    </row>
    <row r="712" spans="1:9" s="326" customFormat="1">
      <c r="A712" s="326" t="s">
        <v>956</v>
      </c>
      <c r="B712" s="327">
        <v>275</v>
      </c>
      <c r="C712" s="328"/>
      <c r="D712" s="328"/>
      <c r="G712" s="328"/>
      <c r="I712" s="329"/>
    </row>
    <row r="713" spans="1:9" s="326" customFormat="1">
      <c r="A713" s="326" t="s">
        <v>957</v>
      </c>
      <c r="B713" s="327">
        <v>656</v>
      </c>
      <c r="C713" s="328"/>
      <c r="D713" s="328"/>
      <c r="G713" s="328"/>
      <c r="I713" s="329"/>
    </row>
    <row r="714" spans="1:9" s="326" customFormat="1">
      <c r="A714" s="326" t="s">
        <v>958</v>
      </c>
      <c r="B714" s="327">
        <v>220</v>
      </c>
      <c r="C714" s="328"/>
      <c r="D714" s="328"/>
      <c r="G714" s="328"/>
      <c r="I714" s="329"/>
    </row>
    <row r="715" spans="1:9" s="326" customFormat="1">
      <c r="A715" s="326" t="s">
        <v>959</v>
      </c>
      <c r="B715" s="327">
        <v>469</v>
      </c>
      <c r="C715" s="328"/>
      <c r="D715" s="328"/>
      <c r="G715" s="328"/>
      <c r="I715" s="329"/>
    </row>
    <row r="716" spans="1:9" s="326" customFormat="1">
      <c r="A716" s="326" t="s">
        <v>960</v>
      </c>
      <c r="B716" s="327">
        <v>157</v>
      </c>
      <c r="C716" s="328"/>
      <c r="D716" s="328"/>
      <c r="G716" s="328"/>
      <c r="I716" s="329"/>
    </row>
    <row r="717" spans="1:9" s="326" customFormat="1">
      <c r="A717" s="326" t="s">
        <v>961</v>
      </c>
      <c r="B717" s="327">
        <v>550</v>
      </c>
      <c r="C717" s="328"/>
      <c r="D717" s="328"/>
      <c r="G717" s="328"/>
      <c r="I717" s="329"/>
    </row>
    <row r="718" spans="1:9" s="326" customFormat="1">
      <c r="A718" s="326" t="s">
        <v>962</v>
      </c>
      <c r="B718" s="327">
        <v>220</v>
      </c>
      <c r="C718" s="328"/>
      <c r="D718" s="328"/>
      <c r="G718" s="328"/>
      <c r="I718" s="329"/>
    </row>
    <row r="719" spans="1:9" s="326" customFormat="1">
      <c r="A719" s="326" t="s">
        <v>8895</v>
      </c>
      <c r="B719" s="327">
        <f>87/12*44</f>
        <v>319</v>
      </c>
      <c r="C719" s="328"/>
      <c r="D719" s="328"/>
      <c r="G719" s="328"/>
      <c r="I719" s="329"/>
    </row>
    <row r="720" spans="1:9" s="326" customFormat="1">
      <c r="A720" s="326" t="s">
        <v>8896</v>
      </c>
      <c r="B720" s="327">
        <f>20/12*44</f>
        <v>73.333333333333343</v>
      </c>
      <c r="C720" s="328"/>
      <c r="D720" s="328"/>
      <c r="G720" s="328"/>
      <c r="I720" s="329"/>
    </row>
    <row r="721" spans="1:10" s="326" customFormat="1">
      <c r="A721" s="326" t="s">
        <v>125</v>
      </c>
      <c r="B721" s="327">
        <f>125/12*44</f>
        <v>458.33333333333331</v>
      </c>
      <c r="C721" s="328"/>
      <c r="D721" s="328"/>
      <c r="G721" s="328"/>
      <c r="I721" s="329"/>
    </row>
    <row r="722" spans="1:10" s="326" customFormat="1">
      <c r="A722" s="326" t="s">
        <v>126</v>
      </c>
      <c r="B722" s="327">
        <f>40/12*44</f>
        <v>146.66666666666669</v>
      </c>
      <c r="C722" s="328"/>
      <c r="D722" s="328"/>
      <c r="G722" s="328"/>
      <c r="I722" s="329"/>
    </row>
    <row r="723" spans="1:10" s="87" customFormat="1">
      <c r="A723" s="87" t="s">
        <v>224</v>
      </c>
      <c r="B723" s="101"/>
      <c r="C723" s="101"/>
      <c r="D723" s="101" t="s">
        <v>225</v>
      </c>
      <c r="G723" s="101"/>
      <c r="I723" s="104"/>
    </row>
    <row r="724" spans="1:10" s="87" customFormat="1">
      <c r="A724" s="87" t="s">
        <v>293</v>
      </c>
      <c r="B724" s="87" t="s">
        <v>226</v>
      </c>
      <c r="C724" s="101"/>
      <c r="D724" s="3008"/>
      <c r="E724" s="3007" t="s">
        <v>5533</v>
      </c>
      <c r="G724" s="101"/>
      <c r="I724" s="3013" t="s">
        <v>5541</v>
      </c>
      <c r="J724" s="3013"/>
    </row>
    <row r="725" spans="1:10" s="87" customFormat="1">
      <c r="A725" s="87" t="str">
        <f>A707</f>
        <v>Please select</v>
      </c>
      <c r="D725" s="3007" t="s">
        <v>5549</v>
      </c>
      <c r="G725" s="101"/>
      <c r="I725" s="3013"/>
      <c r="J725" s="3013"/>
    </row>
    <row r="726" spans="1:10" s="70" customFormat="1">
      <c r="A726" s="70" t="str">
        <f t="shared" ref="A726:A736" si="12">A75</f>
        <v>Boreal Dry</v>
      </c>
      <c r="B726" s="71">
        <v>0.16</v>
      </c>
      <c r="C726" s="3012">
        <f>AVERAGE(0.37,0.25)</f>
        <v>0.31</v>
      </c>
      <c r="D726" s="3006"/>
      <c r="G726" s="71"/>
      <c r="I726" s="3070">
        <f>0.93/0.31</f>
        <v>3</v>
      </c>
      <c r="J726" s="3029"/>
    </row>
    <row r="727" spans="1:10" s="70" customFormat="1">
      <c r="A727" s="70" t="str">
        <f t="shared" si="12"/>
        <v>Boreal Moist</v>
      </c>
      <c r="B727" s="71">
        <v>0.16</v>
      </c>
      <c r="C727" s="3012">
        <f>AVERAGE(0.37,0.25)</f>
        <v>0.31</v>
      </c>
      <c r="D727" s="3006"/>
      <c r="G727" s="71"/>
      <c r="I727" s="3070">
        <f>0.93/0.31</f>
        <v>3</v>
      </c>
      <c r="J727" s="3029"/>
    </row>
    <row r="728" spans="1:10" s="70" customFormat="1">
      <c r="A728" s="70" t="str">
        <f t="shared" si="12"/>
        <v>Cool Temperate Dry</v>
      </c>
      <c r="B728" s="71">
        <v>0.68</v>
      </c>
      <c r="C728" s="3006">
        <v>2.6</v>
      </c>
      <c r="D728" s="3006"/>
      <c r="G728" s="71"/>
      <c r="I728" s="105"/>
    </row>
    <row r="729" spans="1:10" s="70" customFormat="1">
      <c r="A729" s="70" t="str">
        <f t="shared" si="12"/>
        <v>Cool Temperate Moist</v>
      </c>
      <c r="B729" s="71">
        <v>0.68</v>
      </c>
      <c r="C729" s="3006">
        <v>2.6</v>
      </c>
      <c r="D729" s="3006"/>
      <c r="G729" s="71"/>
      <c r="I729" s="105"/>
    </row>
    <row r="730" spans="1:10" s="70" customFormat="1">
      <c r="A730" s="70" t="str">
        <f t="shared" si="12"/>
        <v>Warm Temperate Dry</v>
      </c>
      <c r="B730" s="71">
        <v>0.68</v>
      </c>
      <c r="C730" s="3006">
        <v>2.6</v>
      </c>
      <c r="D730" s="3006"/>
      <c r="G730" s="71"/>
      <c r="I730" s="105"/>
    </row>
    <row r="731" spans="1:10" s="70" customFormat="1">
      <c r="A731" s="70" t="str">
        <f t="shared" si="12"/>
        <v>Warm Temperate Moist</v>
      </c>
      <c r="B731" s="71">
        <v>0.68</v>
      </c>
      <c r="C731" s="3006">
        <v>2.6</v>
      </c>
      <c r="D731" s="3006"/>
      <c r="G731" s="71"/>
      <c r="I731" s="105"/>
    </row>
    <row r="732" spans="1:10" s="70" customFormat="1">
      <c r="A732" s="70" t="str">
        <f t="shared" si="12"/>
        <v>Tropical Mountain Dry</v>
      </c>
      <c r="B732" s="71">
        <v>1.36</v>
      </c>
      <c r="C732" s="3006">
        <v>5.3</v>
      </c>
      <c r="D732" s="3006"/>
      <c r="G732" s="71"/>
      <c r="I732" s="105"/>
    </row>
    <row r="733" spans="1:10" s="70" customFormat="1">
      <c r="A733" s="70" t="str">
        <f t="shared" si="12"/>
        <v>Tropical Mountain Moist</v>
      </c>
      <c r="B733" s="71">
        <v>1.36</v>
      </c>
      <c r="C733" s="3006">
        <v>5.3</v>
      </c>
      <c r="D733" s="3006"/>
      <c r="G733" s="71"/>
      <c r="I733" s="105"/>
    </row>
    <row r="734" spans="1:10" s="70" customFormat="1">
      <c r="A734" s="70" t="str">
        <f t="shared" si="12"/>
        <v>Tropical Dry</v>
      </c>
      <c r="B734" s="71">
        <v>1.36</v>
      </c>
      <c r="C734" s="3006">
        <v>5.3</v>
      </c>
      <c r="D734" s="3006"/>
      <c r="G734" s="71"/>
      <c r="I734" s="105"/>
    </row>
    <row r="735" spans="1:10" s="70" customFormat="1">
      <c r="A735" s="70" t="str">
        <f t="shared" si="12"/>
        <v>Tropical Moist</v>
      </c>
      <c r="B735" s="71">
        <v>1.36</v>
      </c>
      <c r="C735" s="3006">
        <v>5.3</v>
      </c>
      <c r="D735" s="3006"/>
      <c r="G735" s="71"/>
      <c r="I735" s="105"/>
    </row>
    <row r="736" spans="1:10" s="70" customFormat="1">
      <c r="A736" s="70" t="str">
        <f t="shared" si="12"/>
        <v>Tropical Wet</v>
      </c>
      <c r="B736" s="71">
        <v>1.36</v>
      </c>
      <c r="C736" s="3006">
        <v>5.3</v>
      </c>
      <c r="D736" s="3006"/>
      <c r="G736" s="71"/>
      <c r="I736" s="105"/>
    </row>
    <row r="737" spans="1:9" s="87" customFormat="1">
      <c r="A737" s="87" t="s">
        <v>227</v>
      </c>
      <c r="B737" s="101"/>
      <c r="C737" s="101"/>
      <c r="D737" s="101" t="s">
        <v>228</v>
      </c>
      <c r="G737" s="101"/>
      <c r="I737" s="104"/>
    </row>
    <row r="738" spans="1:9" s="87" customFormat="1">
      <c r="A738" s="87" t="s">
        <v>293</v>
      </c>
      <c r="B738" s="87" t="s">
        <v>226</v>
      </c>
      <c r="C738" s="101"/>
      <c r="D738" s="3008"/>
      <c r="E738" s="3007" t="s">
        <v>5533</v>
      </c>
      <c r="G738" s="101"/>
      <c r="I738" s="104"/>
    </row>
    <row r="739" spans="1:9" s="87" customFormat="1">
      <c r="A739" s="87" t="str">
        <f>A725</f>
        <v>Please select</v>
      </c>
      <c r="D739" s="3007" t="s">
        <v>5549</v>
      </c>
      <c r="G739" s="101"/>
      <c r="I739" s="104"/>
    </row>
    <row r="740" spans="1:9" s="70" customFormat="1">
      <c r="A740" s="70" t="str">
        <f>A726</f>
        <v>Boreal Dry</v>
      </c>
      <c r="B740" s="71">
        <v>5</v>
      </c>
      <c r="C740" s="3006">
        <v>7.9</v>
      </c>
      <c r="D740" s="71"/>
      <c r="G740" s="71"/>
      <c r="I740" s="105"/>
    </row>
    <row r="741" spans="1:9" s="70" customFormat="1">
      <c r="A741" s="70" t="str">
        <f t="shared" ref="A741:A750" si="13">A727</f>
        <v>Boreal Moist</v>
      </c>
      <c r="B741" s="71">
        <v>5</v>
      </c>
      <c r="C741" s="3006">
        <v>7.9</v>
      </c>
      <c r="D741" s="71"/>
      <c r="G741" s="71"/>
      <c r="I741" s="105"/>
    </row>
    <row r="742" spans="1:9" s="70" customFormat="1">
      <c r="A742" s="70" t="str">
        <f t="shared" si="13"/>
        <v>Cool Temperate Dry</v>
      </c>
      <c r="B742" s="71">
        <v>5</v>
      </c>
      <c r="C742" s="3006">
        <v>7.9</v>
      </c>
      <c r="D742" s="71"/>
      <c r="G742" s="71"/>
      <c r="I742" s="105"/>
    </row>
    <row r="743" spans="1:9" s="70" customFormat="1">
      <c r="A743" s="70" t="str">
        <f t="shared" si="13"/>
        <v>Cool Temperate Moist</v>
      </c>
      <c r="B743" s="71">
        <v>5</v>
      </c>
      <c r="C743" s="3006">
        <v>7.9</v>
      </c>
      <c r="D743" s="71"/>
      <c r="G743" s="71"/>
      <c r="I743" s="105"/>
    </row>
    <row r="744" spans="1:9" s="70" customFormat="1">
      <c r="A744" s="70" t="str">
        <f t="shared" si="13"/>
        <v>Warm Temperate Dry</v>
      </c>
      <c r="B744" s="71">
        <v>10</v>
      </c>
      <c r="C744" s="3006">
        <v>7.9</v>
      </c>
      <c r="D744" s="71"/>
      <c r="G744" s="71"/>
      <c r="I744" s="105"/>
    </row>
    <row r="745" spans="1:9" s="70" customFormat="1">
      <c r="A745" s="70" t="str">
        <f t="shared" si="13"/>
        <v>Warm Temperate Moist</v>
      </c>
      <c r="B745" s="71">
        <v>10</v>
      </c>
      <c r="C745" s="3006">
        <v>7.9</v>
      </c>
      <c r="D745" s="71"/>
      <c r="G745" s="71"/>
      <c r="I745" s="105"/>
    </row>
    <row r="746" spans="1:9" s="70" customFormat="1">
      <c r="A746" s="70" t="str">
        <f t="shared" si="13"/>
        <v>Tropical Mountain Dry</v>
      </c>
      <c r="B746" s="71">
        <v>20</v>
      </c>
      <c r="C746" s="3006">
        <v>14</v>
      </c>
      <c r="D746" s="71"/>
      <c r="G746" s="71"/>
      <c r="I746" s="105"/>
    </row>
    <row r="747" spans="1:9" s="70" customFormat="1">
      <c r="A747" s="70" t="str">
        <f t="shared" si="13"/>
        <v>Tropical Mountain Moist</v>
      </c>
      <c r="B747" s="71">
        <v>20</v>
      </c>
      <c r="C747" s="3006">
        <v>14</v>
      </c>
      <c r="D747" s="71"/>
      <c r="G747" s="71"/>
      <c r="I747" s="105"/>
    </row>
    <row r="748" spans="1:9" s="70" customFormat="1">
      <c r="A748" s="70" t="str">
        <f t="shared" si="13"/>
        <v>Tropical Dry</v>
      </c>
      <c r="B748" s="71">
        <v>20</v>
      </c>
      <c r="C748" s="3006">
        <v>14</v>
      </c>
      <c r="D748" s="71"/>
      <c r="G748" s="71"/>
      <c r="I748" s="105"/>
    </row>
    <row r="749" spans="1:9" s="70" customFormat="1">
      <c r="A749" s="70" t="str">
        <f t="shared" si="13"/>
        <v>Tropical Moist</v>
      </c>
      <c r="B749" s="71">
        <v>20</v>
      </c>
      <c r="C749" s="3006">
        <v>14</v>
      </c>
      <c r="D749" s="71"/>
      <c r="G749" s="71"/>
      <c r="I749" s="105"/>
    </row>
    <row r="750" spans="1:9" s="70" customFormat="1">
      <c r="A750" s="70" t="str">
        <f t="shared" si="13"/>
        <v>Tropical Wet</v>
      </c>
      <c r="B750" s="71">
        <v>20</v>
      </c>
      <c r="C750" s="3006">
        <v>14</v>
      </c>
      <c r="D750" s="71"/>
      <c r="G750" s="71"/>
      <c r="I750" s="105"/>
    </row>
    <row r="751" spans="1:9" s="87" customFormat="1">
      <c r="A751" s="87" t="s">
        <v>278</v>
      </c>
      <c r="B751" s="101"/>
      <c r="C751" s="101"/>
      <c r="D751" s="101" t="s">
        <v>279</v>
      </c>
      <c r="G751" s="101"/>
      <c r="I751" s="104"/>
    </row>
    <row r="752" spans="1:9" s="87" customFormat="1">
      <c r="A752" s="87" t="s">
        <v>293</v>
      </c>
      <c r="B752" s="87" t="s">
        <v>226</v>
      </c>
      <c r="C752" s="101"/>
      <c r="D752" s="3008"/>
      <c r="E752" s="3007" t="s">
        <v>5533</v>
      </c>
      <c r="G752" s="101"/>
      <c r="I752" s="3013" t="s">
        <v>5541</v>
      </c>
    </row>
    <row r="753" spans="1:9" s="87" customFormat="1">
      <c r="A753" s="87" t="str">
        <f>A739</f>
        <v>Please select</v>
      </c>
      <c r="B753" s="87" t="s">
        <v>5532</v>
      </c>
      <c r="D753" s="3007" t="s">
        <v>5549</v>
      </c>
      <c r="G753" s="101"/>
      <c r="I753" s="3013"/>
    </row>
    <row r="754" spans="1:9" s="70" customFormat="1">
      <c r="A754" s="70" t="str">
        <f>A740</f>
        <v>Boreal Dry</v>
      </c>
      <c r="B754" s="71">
        <v>0.25</v>
      </c>
      <c r="C754" s="3006">
        <v>5.7</v>
      </c>
      <c r="D754" s="71"/>
      <c r="G754" s="71"/>
      <c r="I754" s="3070"/>
    </row>
    <row r="755" spans="1:9" s="70" customFormat="1">
      <c r="A755" s="70" t="str">
        <f t="shared" ref="A755:A764" si="14">A741</f>
        <v>Boreal Moist</v>
      </c>
      <c r="B755" s="71">
        <v>0.25</v>
      </c>
      <c r="C755" s="3006">
        <v>5.7</v>
      </c>
      <c r="D755" s="71"/>
      <c r="G755" s="71"/>
      <c r="I755" s="3070"/>
    </row>
    <row r="756" spans="1:9" s="70" customFormat="1">
      <c r="A756" s="70" t="str">
        <f t="shared" si="14"/>
        <v>Cool Temperate Dry</v>
      </c>
      <c r="B756" s="71">
        <v>0.25</v>
      </c>
      <c r="C756" s="3006">
        <v>5.3</v>
      </c>
      <c r="D756" s="71"/>
      <c r="G756" s="71"/>
      <c r="I756" s="3030">
        <f>6.1/5.3</f>
        <v>1.1509433962264151</v>
      </c>
    </row>
    <row r="757" spans="1:9" s="70" customFormat="1">
      <c r="A757" s="70" t="str">
        <f t="shared" si="14"/>
        <v>Cool Temperate Moist</v>
      </c>
      <c r="B757" s="71">
        <v>0.25</v>
      </c>
      <c r="C757" s="3006">
        <v>5.3</v>
      </c>
      <c r="D757" s="71"/>
      <c r="G757" s="71"/>
      <c r="I757" s="3030">
        <f t="shared" ref="I757:I759" si="15">6.1/5.3</f>
        <v>1.1509433962264151</v>
      </c>
    </row>
    <row r="758" spans="1:9" s="70" customFormat="1">
      <c r="A758" s="70" t="str">
        <f t="shared" si="14"/>
        <v>Warm Temperate Dry</v>
      </c>
      <c r="B758" s="71">
        <v>2.5</v>
      </c>
      <c r="C758" s="3006">
        <v>5.3</v>
      </c>
      <c r="D758" s="71"/>
      <c r="G758" s="71"/>
      <c r="I758" s="3030">
        <f t="shared" si="15"/>
        <v>1.1509433962264151</v>
      </c>
    </row>
    <row r="759" spans="1:9" s="70" customFormat="1">
      <c r="A759" s="70" t="str">
        <f t="shared" si="14"/>
        <v>Warm Temperate Moist</v>
      </c>
      <c r="B759" s="71">
        <v>2.5</v>
      </c>
      <c r="C759" s="3006">
        <v>5.3</v>
      </c>
      <c r="D759" s="71"/>
      <c r="G759" s="71"/>
      <c r="I759" s="3030">
        <f t="shared" si="15"/>
        <v>1.1509433962264151</v>
      </c>
    </row>
    <row r="760" spans="1:9" s="70" customFormat="1">
      <c r="A760" s="70" t="str">
        <f t="shared" si="14"/>
        <v>Tropical Mountain Dry</v>
      </c>
      <c r="B760" s="71">
        <v>5</v>
      </c>
      <c r="C760" s="3006">
        <v>9.6</v>
      </c>
      <c r="D760" s="71"/>
      <c r="G760" s="71"/>
      <c r="I760" s="105"/>
    </row>
    <row r="761" spans="1:9" s="70" customFormat="1">
      <c r="A761" s="70" t="str">
        <f t="shared" si="14"/>
        <v>Tropical Mountain Moist</v>
      </c>
      <c r="B761" s="71">
        <v>5</v>
      </c>
      <c r="C761" s="3006">
        <v>9.6</v>
      </c>
      <c r="D761" s="71"/>
      <c r="G761" s="71"/>
      <c r="I761" s="105"/>
    </row>
    <row r="762" spans="1:9" s="70" customFormat="1">
      <c r="A762" s="70" t="str">
        <f t="shared" si="14"/>
        <v>Tropical Dry</v>
      </c>
      <c r="B762" s="71">
        <v>5</v>
      </c>
      <c r="C762" s="3006">
        <v>9.6</v>
      </c>
      <c r="D762" s="71"/>
      <c r="G762" s="71"/>
      <c r="I762" s="105"/>
    </row>
    <row r="763" spans="1:9" s="70" customFormat="1">
      <c r="A763" s="70" t="str">
        <f t="shared" si="14"/>
        <v>Tropical Moist</v>
      </c>
      <c r="B763" s="71">
        <v>5</v>
      </c>
      <c r="C763" s="3006">
        <v>9.6</v>
      </c>
      <c r="D763" s="71"/>
      <c r="G763" s="71"/>
      <c r="I763" s="105"/>
    </row>
    <row r="764" spans="1:9" s="70" customFormat="1">
      <c r="A764" s="70" t="str">
        <f t="shared" si="14"/>
        <v>Tropical Wet</v>
      </c>
      <c r="B764" s="71">
        <v>5</v>
      </c>
      <c r="C764" s="3006">
        <v>9.6</v>
      </c>
      <c r="D764" s="71"/>
      <c r="G764" s="71"/>
      <c r="I764" s="105"/>
    </row>
    <row r="765" spans="1:9" s="87" customFormat="1">
      <c r="A765" s="87" t="s">
        <v>235</v>
      </c>
      <c r="B765" s="101"/>
      <c r="C765" s="101"/>
      <c r="G765" s="101" t="s">
        <v>238</v>
      </c>
      <c r="I765" s="104"/>
    </row>
    <row r="766" spans="1:9" s="87" customFormat="1">
      <c r="A766" s="87" t="s">
        <v>236</v>
      </c>
      <c r="B766" s="87" t="s">
        <v>226</v>
      </c>
      <c r="C766" s="101"/>
      <c r="D766" s="101"/>
      <c r="E766" s="101" t="s">
        <v>237</v>
      </c>
      <c r="G766" s="3007" t="s">
        <v>5533</v>
      </c>
      <c r="I766" s="104"/>
    </row>
    <row r="767" spans="1:9" s="87" customFormat="1">
      <c r="A767" s="87" t="str">
        <f>A753</f>
        <v>Please select</v>
      </c>
      <c r="C767" s="101"/>
      <c r="D767" s="101"/>
      <c r="E767" s="101"/>
      <c r="G767" s="101"/>
      <c r="I767" s="104"/>
    </row>
    <row r="768" spans="1:9" s="70" customFormat="1">
      <c r="A768" s="70" t="str">
        <f>A754</f>
        <v>Boreal Dry</v>
      </c>
      <c r="B768" s="3006">
        <v>2.8</v>
      </c>
      <c r="C768" s="71"/>
      <c r="D768" s="71"/>
      <c r="G768" s="71"/>
      <c r="I768" s="105"/>
    </row>
    <row r="769" spans="1:9" s="70" customFormat="1">
      <c r="A769" s="70" t="str">
        <f t="shared" ref="A769:A778" si="16">A755</f>
        <v>Boreal Moist</v>
      </c>
      <c r="B769" s="3006">
        <v>2.8</v>
      </c>
      <c r="C769" s="71"/>
      <c r="D769" s="71"/>
      <c r="G769" s="71"/>
      <c r="I769" s="105"/>
    </row>
    <row r="770" spans="1:9" s="70" customFormat="1">
      <c r="A770" s="70" t="str">
        <f t="shared" si="16"/>
        <v>Cool Temperate Dry</v>
      </c>
      <c r="B770" s="3006">
        <v>2.8</v>
      </c>
      <c r="C770" s="71"/>
      <c r="D770" s="71"/>
      <c r="G770" s="71"/>
      <c r="I770" s="105"/>
    </row>
    <row r="771" spans="1:9" s="70" customFormat="1">
      <c r="A771" s="70" t="str">
        <f t="shared" si="16"/>
        <v>Cool Temperate Moist</v>
      </c>
      <c r="B771" s="3006">
        <v>2.8</v>
      </c>
      <c r="C771" s="71"/>
      <c r="D771" s="71"/>
      <c r="G771" s="71"/>
      <c r="I771" s="105"/>
    </row>
    <row r="772" spans="1:9" s="70" customFormat="1">
      <c r="A772" s="70" t="str">
        <f t="shared" si="16"/>
        <v>Warm Temperate Dry</v>
      </c>
      <c r="B772" s="3006">
        <v>2.8</v>
      </c>
      <c r="C772" s="71"/>
      <c r="D772" s="71"/>
      <c r="G772" s="71"/>
      <c r="I772" s="105"/>
    </row>
    <row r="773" spans="1:9" s="70" customFormat="1">
      <c r="A773" s="70" t="str">
        <f t="shared" si="16"/>
        <v>Warm Temperate Moist</v>
      </c>
      <c r="B773" s="3006">
        <v>2.8</v>
      </c>
      <c r="C773" s="71"/>
      <c r="D773" s="71"/>
      <c r="G773" s="71"/>
      <c r="I773" s="105"/>
    </row>
    <row r="774" spans="1:9" s="70" customFormat="1">
      <c r="A774" s="70" t="str">
        <f t="shared" si="16"/>
        <v>Tropical Mountain Dry</v>
      </c>
      <c r="B774" s="71">
        <v>2</v>
      </c>
      <c r="C774" s="71"/>
      <c r="D774" s="71"/>
      <c r="G774" s="71"/>
      <c r="I774" s="105"/>
    </row>
    <row r="775" spans="1:9" s="70" customFormat="1">
      <c r="A775" s="70" t="str">
        <f t="shared" si="16"/>
        <v>Tropical Mountain Moist</v>
      </c>
      <c r="B775" s="71">
        <v>2</v>
      </c>
      <c r="C775" s="71"/>
      <c r="D775" s="71"/>
      <c r="G775" s="71"/>
      <c r="I775" s="105"/>
    </row>
    <row r="776" spans="1:9" s="70" customFormat="1">
      <c r="A776" s="70" t="str">
        <f t="shared" si="16"/>
        <v>Tropical Dry</v>
      </c>
      <c r="B776" s="71">
        <v>2</v>
      </c>
      <c r="C776" s="71"/>
      <c r="D776" s="71"/>
      <c r="G776" s="71"/>
      <c r="I776" s="105"/>
    </row>
    <row r="777" spans="1:9" s="70" customFormat="1">
      <c r="A777" s="70" t="str">
        <f t="shared" si="16"/>
        <v>Tropical Moist</v>
      </c>
      <c r="B777" s="71">
        <v>2</v>
      </c>
      <c r="C777" s="71"/>
      <c r="D777" s="71"/>
      <c r="G777" s="71"/>
      <c r="I777" s="105"/>
    </row>
    <row r="778" spans="1:9" s="70" customFormat="1">
      <c r="A778" s="70" t="str">
        <f t="shared" si="16"/>
        <v>Tropical Wet</v>
      </c>
      <c r="B778" s="71">
        <v>2</v>
      </c>
      <c r="C778" s="71"/>
      <c r="D778" s="71"/>
      <c r="G778" s="71"/>
      <c r="I778" s="105"/>
    </row>
    <row r="779" spans="1:9" s="87" customFormat="1">
      <c r="A779" s="87" t="s">
        <v>235</v>
      </c>
      <c r="B779" s="101"/>
      <c r="C779" s="101"/>
      <c r="G779" s="101" t="s">
        <v>239</v>
      </c>
      <c r="I779" s="104"/>
    </row>
    <row r="780" spans="1:9" s="87" customFormat="1">
      <c r="A780" s="87" t="s">
        <v>236</v>
      </c>
      <c r="B780" s="87" t="s">
        <v>226</v>
      </c>
      <c r="C780" s="101"/>
      <c r="D780" s="101"/>
      <c r="E780" s="101" t="s">
        <v>237</v>
      </c>
      <c r="G780" s="3007" t="s">
        <v>5533</v>
      </c>
      <c r="I780" s="104"/>
    </row>
    <row r="781" spans="1:9" s="87" customFormat="1">
      <c r="A781" s="87" t="str">
        <f>A767</f>
        <v>Please select</v>
      </c>
      <c r="C781" s="101"/>
      <c r="D781" s="101"/>
      <c r="E781" s="101"/>
      <c r="G781" s="101"/>
      <c r="I781" s="104"/>
    </row>
    <row r="782" spans="1:9" s="70" customFormat="1">
      <c r="A782" s="70" t="str">
        <f>A768</f>
        <v>Boreal Dry</v>
      </c>
      <c r="B782" s="3006">
        <v>2.8</v>
      </c>
      <c r="C782" s="71"/>
      <c r="D782" s="71"/>
      <c r="G782" s="71"/>
      <c r="I782" s="105"/>
    </row>
    <row r="783" spans="1:9" s="70" customFormat="1">
      <c r="A783" s="70" t="str">
        <f t="shared" ref="A783:A792" si="17">A769</f>
        <v>Boreal Moist</v>
      </c>
      <c r="B783" s="3006">
        <v>2.8</v>
      </c>
      <c r="C783" s="71"/>
      <c r="D783" s="71"/>
      <c r="G783" s="71"/>
      <c r="I783" s="105"/>
    </row>
    <row r="784" spans="1:9" s="70" customFormat="1">
      <c r="A784" s="70" t="str">
        <f t="shared" si="17"/>
        <v>Cool Temperate Dry</v>
      </c>
      <c r="B784" s="3006">
        <v>2.8</v>
      </c>
      <c r="C784" s="71"/>
      <c r="D784" s="71"/>
      <c r="G784" s="71"/>
      <c r="I784" s="105"/>
    </row>
    <row r="785" spans="1:9" s="70" customFormat="1">
      <c r="A785" s="70" t="str">
        <f t="shared" si="17"/>
        <v>Cool Temperate Moist</v>
      </c>
      <c r="B785" s="3006">
        <v>2.8</v>
      </c>
      <c r="C785" s="71"/>
      <c r="D785" s="71"/>
      <c r="G785" s="71"/>
      <c r="I785" s="105"/>
    </row>
    <row r="786" spans="1:9" s="70" customFormat="1">
      <c r="A786" s="70" t="str">
        <f t="shared" si="17"/>
        <v>Warm Temperate Dry</v>
      </c>
      <c r="B786" s="3006">
        <v>2.8</v>
      </c>
      <c r="C786" s="71"/>
      <c r="D786" s="71"/>
      <c r="G786" s="71"/>
      <c r="I786" s="105"/>
    </row>
    <row r="787" spans="1:9" s="70" customFormat="1">
      <c r="A787" s="70" t="str">
        <f t="shared" si="17"/>
        <v>Warm Temperate Moist</v>
      </c>
      <c r="B787" s="3006">
        <v>2.8</v>
      </c>
      <c r="C787" s="71"/>
      <c r="D787" s="71"/>
      <c r="G787" s="71"/>
      <c r="I787" s="105"/>
    </row>
    <row r="788" spans="1:9" s="70" customFormat="1">
      <c r="A788" s="70" t="str">
        <f t="shared" si="17"/>
        <v>Tropical Mountain Dry</v>
      </c>
      <c r="B788" s="71">
        <v>2</v>
      </c>
      <c r="C788" s="71"/>
      <c r="D788" s="71"/>
      <c r="G788" s="71"/>
      <c r="I788" s="105"/>
    </row>
    <row r="789" spans="1:9" s="70" customFormat="1">
      <c r="A789" s="70" t="str">
        <f t="shared" si="17"/>
        <v>Tropical Mountain Moist</v>
      </c>
      <c r="B789" s="71">
        <v>2</v>
      </c>
      <c r="C789" s="71"/>
      <c r="D789" s="71"/>
      <c r="G789" s="71"/>
      <c r="I789" s="105"/>
    </row>
    <row r="790" spans="1:9" s="70" customFormat="1">
      <c r="A790" s="70" t="str">
        <f t="shared" si="17"/>
        <v>Tropical Dry</v>
      </c>
      <c r="B790" s="71">
        <v>2</v>
      </c>
      <c r="C790" s="71"/>
      <c r="D790" s="71"/>
      <c r="G790" s="71"/>
      <c r="I790" s="105"/>
    </row>
    <row r="791" spans="1:9" s="70" customFormat="1">
      <c r="A791" s="70" t="str">
        <f t="shared" si="17"/>
        <v>Tropical Moist</v>
      </c>
      <c r="B791" s="71">
        <v>2</v>
      </c>
      <c r="C791" s="71"/>
      <c r="D791" s="71"/>
      <c r="G791" s="71"/>
      <c r="I791" s="105"/>
    </row>
    <row r="792" spans="1:9" s="70" customFormat="1">
      <c r="A792" s="70" t="str">
        <f t="shared" si="17"/>
        <v>Tropical Wet</v>
      </c>
      <c r="B792" s="71">
        <v>2</v>
      </c>
      <c r="C792" s="71"/>
      <c r="D792" s="71"/>
      <c r="G792" s="71"/>
      <c r="I792" s="105"/>
    </row>
    <row r="793" spans="1:9" s="87" customFormat="1">
      <c r="A793" s="87" t="s">
        <v>250</v>
      </c>
      <c r="B793" s="101"/>
      <c r="C793" s="101"/>
      <c r="G793" s="101" t="s">
        <v>238</v>
      </c>
      <c r="I793" s="104"/>
    </row>
    <row r="794" spans="1:9" s="87" customFormat="1">
      <c r="A794" s="87" t="s">
        <v>236</v>
      </c>
      <c r="B794" s="87" t="s">
        <v>242</v>
      </c>
      <c r="C794" s="101"/>
      <c r="D794" s="101"/>
      <c r="E794" s="101" t="s">
        <v>252</v>
      </c>
      <c r="G794" s="101"/>
      <c r="I794" s="104"/>
    </row>
    <row r="795" spans="1:9" s="87" customFormat="1">
      <c r="A795" s="87" t="str">
        <f>A781</f>
        <v>Please select</v>
      </c>
      <c r="C795" s="101"/>
      <c r="D795" s="101"/>
      <c r="E795" s="101"/>
      <c r="G795" s="101"/>
      <c r="I795" s="104"/>
    </row>
    <row r="796" spans="1:9" s="70" customFormat="1">
      <c r="A796" s="70" t="str">
        <f>A782</f>
        <v>Boreal Dry</v>
      </c>
      <c r="B796" s="71">
        <v>0.45</v>
      </c>
      <c r="C796" s="71"/>
      <c r="D796" s="71"/>
      <c r="G796" s="71"/>
      <c r="I796" s="105"/>
    </row>
    <row r="797" spans="1:9" s="70" customFormat="1">
      <c r="A797" s="70" t="str">
        <f t="shared" ref="A797:A806" si="18">A783</f>
        <v>Boreal Moist</v>
      </c>
      <c r="B797" s="71">
        <v>0.45</v>
      </c>
      <c r="C797" s="71"/>
      <c r="D797" s="71"/>
      <c r="G797" s="71"/>
      <c r="I797" s="105"/>
    </row>
    <row r="798" spans="1:9" s="70" customFormat="1">
      <c r="A798" s="70" t="str">
        <f t="shared" si="18"/>
        <v>Cool Temperate Dry</v>
      </c>
      <c r="B798" s="71">
        <v>0.45</v>
      </c>
      <c r="C798" s="71"/>
      <c r="D798" s="71"/>
      <c r="G798" s="71"/>
      <c r="I798" s="105"/>
    </row>
    <row r="799" spans="1:9" s="70" customFormat="1">
      <c r="A799" s="70" t="str">
        <f t="shared" si="18"/>
        <v>Cool Temperate Moist</v>
      </c>
      <c r="B799" s="71">
        <v>0.45</v>
      </c>
      <c r="C799" s="71"/>
      <c r="D799" s="71"/>
      <c r="G799" s="71"/>
      <c r="I799" s="105"/>
    </row>
    <row r="800" spans="1:9" s="70" customFormat="1">
      <c r="A800" s="70" t="str">
        <f t="shared" si="18"/>
        <v>Warm Temperate Dry</v>
      </c>
      <c r="B800" s="71">
        <v>0.45</v>
      </c>
      <c r="C800" s="71"/>
      <c r="D800" s="71"/>
      <c r="G800" s="71"/>
      <c r="I800" s="105"/>
    </row>
    <row r="801" spans="1:9" s="70" customFormat="1">
      <c r="A801" s="70" t="str">
        <f t="shared" si="18"/>
        <v>Warm Temperate Moist</v>
      </c>
      <c r="B801" s="71">
        <v>0.45</v>
      </c>
      <c r="C801" s="71"/>
      <c r="D801" s="71"/>
      <c r="G801" s="71"/>
      <c r="I801" s="105"/>
    </row>
    <row r="802" spans="1:9" s="70" customFormat="1">
      <c r="A802" s="70" t="str">
        <f t="shared" si="18"/>
        <v>Tropical Mountain Dry</v>
      </c>
      <c r="B802" s="71">
        <v>0.34</v>
      </c>
      <c r="C802" s="71"/>
      <c r="D802" s="71"/>
      <c r="G802" s="71"/>
      <c r="I802" s="105"/>
    </row>
    <row r="803" spans="1:9" s="70" customFormat="1">
      <c r="A803" s="70" t="str">
        <f t="shared" si="18"/>
        <v>Tropical Mountain Moist</v>
      </c>
      <c r="B803" s="71">
        <v>0.34</v>
      </c>
      <c r="C803" s="71"/>
      <c r="D803" s="71"/>
      <c r="G803" s="71"/>
      <c r="I803" s="105"/>
    </row>
    <row r="804" spans="1:9" s="70" customFormat="1">
      <c r="A804" s="70" t="str">
        <f t="shared" si="18"/>
        <v>Tropical Dry</v>
      </c>
      <c r="B804" s="71">
        <v>0.34</v>
      </c>
      <c r="C804" s="71"/>
      <c r="D804" s="71"/>
      <c r="G804" s="71"/>
      <c r="I804" s="105"/>
    </row>
    <row r="805" spans="1:9" s="70" customFormat="1">
      <c r="A805" s="70" t="str">
        <f t="shared" si="18"/>
        <v>Tropical Moist</v>
      </c>
      <c r="B805" s="71">
        <v>0.34</v>
      </c>
      <c r="C805" s="71"/>
      <c r="D805" s="71"/>
      <c r="G805" s="71"/>
      <c r="I805" s="105"/>
    </row>
    <row r="806" spans="1:9" s="70" customFormat="1">
      <c r="A806" s="70" t="str">
        <f t="shared" si="18"/>
        <v>Tropical Wet</v>
      </c>
      <c r="B806" s="71">
        <v>0.34</v>
      </c>
      <c r="C806" s="71"/>
      <c r="D806" s="71"/>
      <c r="G806" s="71"/>
      <c r="I806" s="105"/>
    </row>
    <row r="807" spans="1:9" s="87" customFormat="1">
      <c r="A807" s="87" t="s">
        <v>250</v>
      </c>
      <c r="B807" s="101"/>
      <c r="C807" s="101"/>
      <c r="G807" s="101" t="s">
        <v>239</v>
      </c>
      <c r="I807" s="104"/>
    </row>
    <row r="808" spans="1:9" s="87" customFormat="1">
      <c r="A808" s="87" t="s">
        <v>236</v>
      </c>
      <c r="B808" s="87" t="s">
        <v>242</v>
      </c>
      <c r="C808" s="101"/>
      <c r="D808" s="101"/>
      <c r="E808" s="101" t="s">
        <v>252</v>
      </c>
      <c r="G808" s="101"/>
      <c r="I808" s="104"/>
    </row>
    <row r="809" spans="1:9" s="87" customFormat="1">
      <c r="A809" s="87" t="str">
        <f>A795</f>
        <v>Please select</v>
      </c>
      <c r="C809" s="101"/>
      <c r="D809" s="101"/>
      <c r="E809" s="101"/>
      <c r="G809" s="101"/>
      <c r="I809" s="104"/>
    </row>
    <row r="810" spans="1:9" s="70" customFormat="1">
      <c r="A810" s="70" t="str">
        <f>A796</f>
        <v>Boreal Dry</v>
      </c>
      <c r="B810" s="1542">
        <v>0.4</v>
      </c>
      <c r="C810" s="71"/>
      <c r="D810" s="71"/>
      <c r="G810" s="71"/>
      <c r="I810" s="105"/>
    </row>
    <row r="811" spans="1:9" s="70" customFormat="1">
      <c r="A811" s="70" t="str">
        <f t="shared" ref="A811:A820" si="19">A797</f>
        <v>Boreal Moist</v>
      </c>
      <c r="B811" s="1542">
        <v>0.4</v>
      </c>
      <c r="C811" s="71"/>
      <c r="D811" s="71"/>
      <c r="G811" s="71"/>
      <c r="I811" s="105"/>
    </row>
    <row r="812" spans="1:9" s="70" customFormat="1">
      <c r="A812" s="70" t="str">
        <f t="shared" si="19"/>
        <v>Cool Temperate Dry</v>
      </c>
      <c r="B812" s="1542">
        <v>0.4</v>
      </c>
      <c r="C812" s="71"/>
      <c r="D812" s="71"/>
      <c r="G812" s="71"/>
      <c r="I812" s="105"/>
    </row>
    <row r="813" spans="1:9" s="70" customFormat="1">
      <c r="A813" s="70" t="str">
        <f t="shared" si="19"/>
        <v>Cool Temperate Moist</v>
      </c>
      <c r="B813" s="1542">
        <v>0.4</v>
      </c>
      <c r="C813" s="71"/>
      <c r="D813" s="71"/>
      <c r="G813" s="71"/>
      <c r="I813" s="105"/>
    </row>
    <row r="814" spans="1:9" s="70" customFormat="1">
      <c r="A814" s="70" t="str">
        <f t="shared" si="19"/>
        <v>Warm Temperate Dry</v>
      </c>
      <c r="B814" s="1542">
        <v>0.4</v>
      </c>
      <c r="C814" s="71"/>
      <c r="D814" s="71"/>
      <c r="G814" s="71"/>
      <c r="I814" s="105"/>
    </row>
    <row r="815" spans="1:9" s="70" customFormat="1">
      <c r="A815" s="70" t="str">
        <f t="shared" si="19"/>
        <v>Warm Temperate Moist</v>
      </c>
      <c r="B815" s="1542">
        <v>0.4</v>
      </c>
      <c r="C815" s="71"/>
      <c r="D815" s="71"/>
      <c r="G815" s="71"/>
      <c r="I815" s="105"/>
    </row>
    <row r="816" spans="1:9" s="70" customFormat="1">
      <c r="A816" s="70" t="str">
        <f t="shared" si="19"/>
        <v>Tropical Mountain Dry</v>
      </c>
      <c r="B816" s="71">
        <v>0.34</v>
      </c>
      <c r="C816" s="71"/>
      <c r="D816" s="71"/>
      <c r="G816" s="71"/>
      <c r="I816" s="105"/>
    </row>
    <row r="817" spans="1:9" s="70" customFormat="1">
      <c r="A817" s="70" t="str">
        <f t="shared" si="19"/>
        <v>Tropical Mountain Moist</v>
      </c>
      <c r="B817" s="71">
        <v>0.34</v>
      </c>
      <c r="C817" s="71"/>
      <c r="D817" s="71"/>
      <c r="G817" s="71"/>
      <c r="I817" s="105"/>
    </row>
    <row r="818" spans="1:9" s="70" customFormat="1">
      <c r="A818" s="70" t="str">
        <f t="shared" si="19"/>
        <v>Tropical Dry</v>
      </c>
      <c r="B818" s="71">
        <v>0.34</v>
      </c>
      <c r="C818" s="71"/>
      <c r="D818" s="71"/>
      <c r="G818" s="71"/>
      <c r="I818" s="105"/>
    </row>
    <row r="819" spans="1:9" s="70" customFormat="1">
      <c r="A819" s="70" t="str">
        <f t="shared" si="19"/>
        <v>Tropical Moist</v>
      </c>
      <c r="B819" s="71">
        <v>0.34</v>
      </c>
      <c r="C819" s="71"/>
      <c r="D819" s="71"/>
      <c r="G819" s="71"/>
      <c r="I819" s="105"/>
    </row>
    <row r="820" spans="1:9" s="70" customFormat="1">
      <c r="A820" s="70" t="str">
        <f t="shared" si="19"/>
        <v>Tropical Wet</v>
      </c>
      <c r="B820" s="71">
        <v>0.34</v>
      </c>
      <c r="C820" s="71"/>
      <c r="D820" s="71"/>
      <c r="G820" s="71"/>
      <c r="I820" s="105"/>
    </row>
    <row r="821" spans="1:9" s="87" customFormat="1">
      <c r="A821" s="87" t="s">
        <v>251</v>
      </c>
      <c r="B821" s="101"/>
      <c r="C821" s="101"/>
      <c r="G821" s="101" t="s">
        <v>238</v>
      </c>
      <c r="I821" s="104"/>
    </row>
    <row r="822" spans="1:9" s="87" customFormat="1">
      <c r="A822" s="87" t="s">
        <v>236</v>
      </c>
      <c r="B822" s="87" t="s">
        <v>242</v>
      </c>
      <c r="C822" s="101"/>
      <c r="D822" s="101"/>
      <c r="E822" s="101" t="s">
        <v>252</v>
      </c>
      <c r="G822" s="101"/>
      <c r="I822" s="104"/>
    </row>
    <row r="823" spans="1:9" s="87" customFormat="1">
      <c r="A823" s="87" t="str">
        <f>A809</f>
        <v>Please select</v>
      </c>
      <c r="C823" s="101"/>
      <c r="D823" s="101"/>
      <c r="E823" s="101"/>
      <c r="G823" s="101"/>
      <c r="I823" s="104"/>
    </row>
    <row r="824" spans="1:9" s="70" customFormat="1">
      <c r="A824" s="70" t="str">
        <f>A810</f>
        <v>Boreal Dry</v>
      </c>
      <c r="B824" s="1542">
        <f t="shared" ref="B824:B829" si="20">0.07/0.45</f>
        <v>0.15555555555555556</v>
      </c>
      <c r="C824" s="71"/>
      <c r="D824" s="71"/>
      <c r="G824" s="71"/>
      <c r="I824" s="105"/>
    </row>
    <row r="825" spans="1:9" s="70" customFormat="1">
      <c r="A825" s="70" t="str">
        <f t="shared" ref="A825:A834" si="21">A811</f>
        <v>Boreal Moist</v>
      </c>
      <c r="B825" s="1542">
        <f t="shared" si="20"/>
        <v>0.15555555555555556</v>
      </c>
      <c r="C825" s="71"/>
      <c r="D825" s="71"/>
      <c r="G825" s="71"/>
      <c r="I825" s="105"/>
    </row>
    <row r="826" spans="1:9" s="70" customFormat="1">
      <c r="A826" s="70" t="str">
        <f t="shared" si="21"/>
        <v>Cool Temperate Dry</v>
      </c>
      <c r="B826" s="1542">
        <f t="shared" si="20"/>
        <v>0.15555555555555556</v>
      </c>
      <c r="C826" s="71"/>
      <c r="D826" s="71"/>
      <c r="G826" s="71"/>
      <c r="I826" s="105"/>
    </row>
    <row r="827" spans="1:9" s="70" customFormat="1">
      <c r="A827" s="70" t="str">
        <f t="shared" si="21"/>
        <v>Cool Temperate Moist</v>
      </c>
      <c r="B827" s="1542">
        <f t="shared" si="20"/>
        <v>0.15555555555555556</v>
      </c>
      <c r="C827" s="71"/>
      <c r="D827" s="71"/>
      <c r="G827" s="71"/>
      <c r="I827" s="105"/>
    </row>
    <row r="828" spans="1:9" s="70" customFormat="1">
      <c r="A828" s="70" t="str">
        <f t="shared" si="21"/>
        <v>Warm Temperate Dry</v>
      </c>
      <c r="B828" s="1542">
        <f t="shared" si="20"/>
        <v>0.15555555555555556</v>
      </c>
      <c r="C828" s="71"/>
      <c r="D828" s="71"/>
      <c r="G828" s="71"/>
      <c r="I828" s="105"/>
    </row>
    <row r="829" spans="1:9" s="70" customFormat="1">
      <c r="A829" s="70" t="str">
        <f t="shared" si="21"/>
        <v>Warm Temperate Moist</v>
      </c>
      <c r="B829" s="1542">
        <f t="shared" si="20"/>
        <v>0.15555555555555556</v>
      </c>
      <c r="C829" s="71"/>
      <c r="D829" s="71"/>
      <c r="G829" s="71"/>
      <c r="I829" s="105"/>
    </row>
    <row r="830" spans="1:9" s="70" customFormat="1">
      <c r="A830" s="70" t="str">
        <f t="shared" si="21"/>
        <v>Tropical Mountain Dry</v>
      </c>
      <c r="B830" s="1542">
        <f>0.26/0.34</f>
        <v>0.76470588235294112</v>
      </c>
      <c r="C830" s="71"/>
      <c r="D830" s="71"/>
      <c r="G830" s="71"/>
      <c r="I830" s="105"/>
    </row>
    <row r="831" spans="1:9" s="70" customFormat="1">
      <c r="A831" s="70" t="str">
        <f t="shared" si="21"/>
        <v>Tropical Mountain Moist</v>
      </c>
      <c r="B831" s="1542">
        <f>0.26/0.34</f>
        <v>0.76470588235294112</v>
      </c>
      <c r="C831" s="71"/>
      <c r="D831" s="71"/>
      <c r="G831" s="71"/>
      <c r="I831" s="105"/>
    </row>
    <row r="832" spans="1:9" s="70" customFormat="1">
      <c r="A832" s="70" t="str">
        <f t="shared" si="21"/>
        <v>Tropical Dry</v>
      </c>
      <c r="B832" s="1542">
        <f>0.26/0.34</f>
        <v>0.76470588235294112</v>
      </c>
      <c r="C832" s="71"/>
      <c r="D832" s="71"/>
      <c r="G832" s="71"/>
      <c r="I832" s="105"/>
    </row>
    <row r="833" spans="1:9" s="70" customFormat="1">
      <c r="A833" s="70" t="str">
        <f t="shared" si="21"/>
        <v>Tropical Moist</v>
      </c>
      <c r="B833" s="1542">
        <f>0.26/0.34</f>
        <v>0.76470588235294112</v>
      </c>
      <c r="C833" s="71"/>
      <c r="D833" s="71"/>
      <c r="G833" s="71"/>
      <c r="I833" s="105"/>
    </row>
    <row r="834" spans="1:9" s="70" customFormat="1">
      <c r="A834" s="70" t="str">
        <f t="shared" si="21"/>
        <v>Tropical Wet</v>
      </c>
      <c r="B834" s="1542">
        <f>0.26/0.34</f>
        <v>0.76470588235294112</v>
      </c>
      <c r="C834" s="71"/>
      <c r="D834" s="71"/>
      <c r="G834" s="71"/>
      <c r="I834" s="105"/>
    </row>
    <row r="835" spans="1:9" s="87" customFormat="1">
      <c r="A835" s="87" t="s">
        <v>251</v>
      </c>
      <c r="B835" s="101"/>
      <c r="C835" s="101"/>
      <c r="G835" s="101" t="s">
        <v>239</v>
      </c>
      <c r="I835" s="104"/>
    </row>
    <row r="836" spans="1:9" s="87" customFormat="1">
      <c r="A836" s="87" t="s">
        <v>236</v>
      </c>
      <c r="B836" s="87" t="s">
        <v>242</v>
      </c>
      <c r="C836" s="101"/>
      <c r="D836" s="101"/>
      <c r="E836" s="101" t="s">
        <v>252</v>
      </c>
      <c r="G836" s="101"/>
      <c r="I836" s="104"/>
    </row>
    <row r="837" spans="1:9" s="87" customFormat="1">
      <c r="A837" s="87" t="str">
        <f>A823</f>
        <v>Please select</v>
      </c>
      <c r="C837" s="101"/>
      <c r="D837" s="101"/>
      <c r="E837" s="101"/>
      <c r="G837" s="101"/>
      <c r="I837" s="104"/>
    </row>
    <row r="838" spans="1:9" s="70" customFormat="1">
      <c r="A838" s="70" t="str">
        <f>A824</f>
        <v>Boreal Dry</v>
      </c>
      <c r="B838" s="1542">
        <f t="shared" ref="B838:B843" si="22">0.24/0.4</f>
        <v>0.6</v>
      </c>
      <c r="C838" s="71"/>
      <c r="D838" s="71"/>
      <c r="G838" s="71"/>
      <c r="I838" s="105"/>
    </row>
    <row r="839" spans="1:9" s="70" customFormat="1">
      <c r="A839" s="70" t="str">
        <f t="shared" ref="A839:A848" si="23">A825</f>
        <v>Boreal Moist</v>
      </c>
      <c r="B839" s="1542">
        <f t="shared" si="22"/>
        <v>0.6</v>
      </c>
      <c r="C839" s="71"/>
      <c r="D839" s="71"/>
      <c r="G839" s="71"/>
      <c r="I839" s="105"/>
    </row>
    <row r="840" spans="1:9" s="70" customFormat="1">
      <c r="A840" s="70" t="str">
        <f t="shared" si="23"/>
        <v>Cool Temperate Dry</v>
      </c>
      <c r="B840" s="1542">
        <f t="shared" si="22"/>
        <v>0.6</v>
      </c>
      <c r="C840" s="71"/>
      <c r="D840" s="71"/>
      <c r="G840" s="71"/>
      <c r="I840" s="105"/>
    </row>
    <row r="841" spans="1:9" s="70" customFormat="1">
      <c r="A841" s="70" t="str">
        <f t="shared" si="23"/>
        <v>Cool Temperate Moist</v>
      </c>
      <c r="B841" s="1542">
        <f t="shared" si="22"/>
        <v>0.6</v>
      </c>
      <c r="C841" s="71"/>
      <c r="D841" s="71"/>
      <c r="G841" s="71"/>
      <c r="I841" s="105"/>
    </row>
    <row r="842" spans="1:9" s="70" customFormat="1">
      <c r="A842" s="70" t="str">
        <f t="shared" si="23"/>
        <v>Warm Temperate Dry</v>
      </c>
      <c r="B842" s="1542">
        <f t="shared" si="22"/>
        <v>0.6</v>
      </c>
      <c r="C842" s="71"/>
      <c r="D842" s="71"/>
      <c r="G842" s="71"/>
      <c r="I842" s="105"/>
    </row>
    <row r="843" spans="1:9" s="70" customFormat="1">
      <c r="A843" s="70" t="str">
        <f t="shared" si="23"/>
        <v>Warm Temperate Moist</v>
      </c>
      <c r="B843" s="1542">
        <f t="shared" si="22"/>
        <v>0.6</v>
      </c>
      <c r="C843" s="71"/>
      <c r="D843" s="71"/>
      <c r="G843" s="71"/>
      <c r="I843" s="105"/>
    </row>
    <row r="844" spans="1:9" s="70" customFormat="1">
      <c r="A844" s="70" t="str">
        <f t="shared" si="23"/>
        <v>Tropical Mountain Dry</v>
      </c>
      <c r="B844" s="1542">
        <f>0.26/0.34</f>
        <v>0.76470588235294112</v>
      </c>
      <c r="C844" s="71"/>
      <c r="D844" s="71"/>
      <c r="G844" s="71"/>
      <c r="I844" s="105"/>
    </row>
    <row r="845" spans="1:9" s="70" customFormat="1">
      <c r="A845" s="70" t="str">
        <f t="shared" si="23"/>
        <v>Tropical Mountain Moist</v>
      </c>
      <c r="B845" s="1542">
        <f>0.26/0.34</f>
        <v>0.76470588235294112</v>
      </c>
      <c r="C845" s="71"/>
      <c r="D845" s="71"/>
      <c r="G845" s="71"/>
      <c r="I845" s="105"/>
    </row>
    <row r="846" spans="1:9" s="70" customFormat="1">
      <c r="A846" s="70" t="str">
        <f t="shared" si="23"/>
        <v>Tropical Dry</v>
      </c>
      <c r="B846" s="1542">
        <f>0.26/0.34</f>
        <v>0.76470588235294112</v>
      </c>
      <c r="C846" s="71"/>
      <c r="D846" s="71"/>
      <c r="G846" s="71"/>
      <c r="I846" s="105"/>
    </row>
    <row r="847" spans="1:9" s="70" customFormat="1">
      <c r="A847" s="70" t="str">
        <f t="shared" si="23"/>
        <v>Tropical Moist</v>
      </c>
      <c r="B847" s="1542">
        <f>0.26/0.34</f>
        <v>0.76470588235294112</v>
      </c>
      <c r="C847" s="71"/>
      <c r="D847" s="71"/>
      <c r="G847" s="71"/>
      <c r="I847" s="105"/>
    </row>
    <row r="848" spans="1:9" s="70" customFormat="1">
      <c r="A848" s="70" t="str">
        <f t="shared" si="23"/>
        <v>Tropical Wet</v>
      </c>
      <c r="B848" s="1542">
        <f>0.26/0.34</f>
        <v>0.76470588235294112</v>
      </c>
      <c r="C848" s="71"/>
      <c r="D848" s="71"/>
      <c r="G848" s="71"/>
      <c r="I848" s="105"/>
    </row>
    <row r="849" spans="1:24" s="87" customFormat="1">
      <c r="A849" s="87" t="s">
        <v>254</v>
      </c>
      <c r="B849" s="101"/>
      <c r="C849" s="101"/>
      <c r="G849" s="3005" t="s">
        <v>5565</v>
      </c>
      <c r="I849" s="104"/>
    </row>
    <row r="850" spans="1:24" s="87" customFormat="1">
      <c r="A850" s="87" t="s">
        <v>236</v>
      </c>
      <c r="B850" s="87" t="s">
        <v>256</v>
      </c>
      <c r="C850" s="101"/>
      <c r="D850" s="101"/>
      <c r="E850" s="101" t="s">
        <v>255</v>
      </c>
      <c r="G850" s="3007" t="s">
        <v>5566</v>
      </c>
      <c r="I850" s="104"/>
    </row>
    <row r="851" spans="1:24" s="87" customFormat="1">
      <c r="A851" s="87" t="str">
        <f>A837</f>
        <v>Please select</v>
      </c>
      <c r="C851" s="101"/>
      <c r="D851" s="101"/>
      <c r="E851" s="101"/>
      <c r="G851" s="101"/>
      <c r="I851" s="104"/>
    </row>
    <row r="852" spans="1:24" s="70" customFormat="1">
      <c r="A852" s="70" t="str">
        <f>A838</f>
        <v>Boreal Dry</v>
      </c>
      <c r="B852" s="3012">
        <v>0.3</v>
      </c>
      <c r="C852" s="71"/>
      <c r="D852" s="71"/>
      <c r="G852" s="71"/>
      <c r="I852" s="105"/>
    </row>
    <row r="853" spans="1:24" s="70" customFormat="1">
      <c r="A853" s="70" t="str">
        <f t="shared" ref="A853:A862" si="24">A839</f>
        <v>Boreal Moist</v>
      </c>
      <c r="B853" s="3012">
        <v>0.3</v>
      </c>
      <c r="C853" s="71"/>
      <c r="D853" s="71"/>
      <c r="G853" s="71"/>
      <c r="I853" s="105"/>
    </row>
    <row r="854" spans="1:24" s="70" customFormat="1">
      <c r="A854" s="70" t="str">
        <f t="shared" si="24"/>
        <v>Cool Temperate Dry</v>
      </c>
      <c r="B854" s="3012">
        <v>0.3</v>
      </c>
      <c r="C854" s="71"/>
      <c r="D854" s="71"/>
      <c r="G854" s="71"/>
      <c r="I854" s="105"/>
    </row>
    <row r="855" spans="1:24" s="70" customFormat="1">
      <c r="A855" s="70" t="str">
        <f t="shared" si="24"/>
        <v>Cool Temperate Moist</v>
      </c>
      <c r="B855" s="3012">
        <v>0.3</v>
      </c>
      <c r="C855" s="71"/>
      <c r="D855" s="71"/>
      <c r="G855" s="71"/>
      <c r="I855" s="105"/>
    </row>
    <row r="856" spans="1:24" s="70" customFormat="1">
      <c r="A856" s="70" t="str">
        <f t="shared" si="24"/>
        <v>Warm Temperate Dry</v>
      </c>
      <c r="B856" s="3012">
        <v>0.3</v>
      </c>
      <c r="C856" s="71"/>
      <c r="D856" s="71"/>
      <c r="G856" s="71"/>
      <c r="I856" s="105"/>
    </row>
    <row r="857" spans="1:24" s="70" customFormat="1">
      <c r="A857" s="70" t="str">
        <f t="shared" si="24"/>
        <v>Warm Temperate Moist</v>
      </c>
      <c r="B857" s="3012">
        <v>0.3</v>
      </c>
      <c r="C857" s="71"/>
      <c r="D857" s="71"/>
      <c r="G857" s="71"/>
      <c r="I857" s="105"/>
    </row>
    <row r="858" spans="1:24" s="70" customFormat="1">
      <c r="A858" s="70" t="str">
        <f t="shared" si="24"/>
        <v>Tropical Mountain Dry</v>
      </c>
      <c r="B858" s="1542">
        <v>3.6</v>
      </c>
      <c r="C858" s="71"/>
      <c r="D858" s="71"/>
      <c r="G858" s="71"/>
      <c r="I858" s="105"/>
    </row>
    <row r="859" spans="1:24" s="70" customFormat="1">
      <c r="A859" s="70" t="str">
        <f t="shared" si="24"/>
        <v>Tropical Mountain Moist</v>
      </c>
      <c r="B859" s="1542">
        <v>3.6</v>
      </c>
      <c r="C859" s="71"/>
      <c r="D859" s="71"/>
      <c r="G859" s="71"/>
      <c r="I859" s="105"/>
    </row>
    <row r="860" spans="1:24" s="70" customFormat="1">
      <c r="A860" s="70" t="str">
        <f t="shared" si="24"/>
        <v>Tropical Dry</v>
      </c>
      <c r="B860" s="1542">
        <v>3.6</v>
      </c>
      <c r="C860" s="71"/>
      <c r="D860" s="71"/>
      <c r="G860" s="71"/>
      <c r="I860" s="105"/>
    </row>
    <row r="861" spans="1:24" s="70" customFormat="1">
      <c r="A861" s="70" t="str">
        <f t="shared" si="24"/>
        <v>Tropical Moist</v>
      </c>
      <c r="B861" s="1542">
        <v>3.6</v>
      </c>
      <c r="C861" s="71"/>
      <c r="D861" s="71"/>
      <c r="G861" s="71"/>
      <c r="I861" s="105"/>
    </row>
    <row r="862" spans="1:24" s="70" customFormat="1">
      <c r="A862" s="70" t="str">
        <f t="shared" si="24"/>
        <v>Tropical Wet</v>
      </c>
      <c r="B862" s="1542">
        <v>3.6</v>
      </c>
      <c r="C862" s="71"/>
      <c r="D862" s="71"/>
      <c r="G862" s="71"/>
      <c r="I862" s="105"/>
    </row>
    <row r="863" spans="1:24">
      <c r="A863" s="1926" t="s">
        <v>1429</v>
      </c>
      <c r="B863" s="1927"/>
      <c r="C863" s="1927"/>
      <c r="D863" s="1927"/>
      <c r="E863" s="1926"/>
      <c r="F863" s="1926"/>
      <c r="G863" s="1927"/>
      <c r="H863" s="1926"/>
      <c r="I863" s="1928"/>
      <c r="J863" s="1875"/>
      <c r="K863" s="1875"/>
      <c r="L863" s="1875"/>
      <c r="M863" s="1875"/>
      <c r="N863" s="1875"/>
      <c r="O863" s="1875"/>
      <c r="P863" s="1875"/>
      <c r="Q863" s="1875"/>
      <c r="R863" s="1875"/>
      <c r="S863" s="1875"/>
      <c r="T863" s="1875"/>
      <c r="U863" s="1875"/>
      <c r="V863" s="1875"/>
      <c r="W863" s="1875"/>
      <c r="X863" s="1875"/>
    </row>
    <row r="864" spans="1:24">
      <c r="A864" s="1926" t="s">
        <v>330</v>
      </c>
      <c r="B864" s="1927" t="s">
        <v>452</v>
      </c>
      <c r="C864" s="1927" t="s">
        <v>453</v>
      </c>
      <c r="D864" s="1927" t="s">
        <v>355</v>
      </c>
      <c r="E864" s="1927" t="s">
        <v>357</v>
      </c>
      <c r="F864" s="1929" t="s">
        <v>454</v>
      </c>
      <c r="G864" s="1927"/>
      <c r="H864" s="1926"/>
      <c r="I864" s="1928"/>
      <c r="J864" s="1875"/>
      <c r="K864" s="1875"/>
      <c r="L864" s="1875"/>
      <c r="M864" s="1875"/>
      <c r="N864" s="1875"/>
      <c r="O864" s="1875"/>
      <c r="P864" s="1875"/>
      <c r="Q864" s="1875"/>
      <c r="R864" s="1875"/>
      <c r="S864" s="1875"/>
      <c r="T864" s="1875"/>
      <c r="U864" s="1875"/>
      <c r="V864" s="1875"/>
      <c r="W864" s="1875"/>
      <c r="X864" s="1875"/>
    </row>
    <row r="865" spans="1:24">
      <c r="A865" s="1923" t="str">
        <f>A851</f>
        <v>Please select</v>
      </c>
      <c r="B865" s="1922"/>
      <c r="C865" s="1922"/>
      <c r="D865" s="1922"/>
      <c r="E865" s="1922"/>
      <c r="F865" s="1925"/>
      <c r="G865" s="1921"/>
      <c r="H865" s="1921"/>
      <c r="I865" s="1921"/>
      <c r="J865" s="1875"/>
      <c r="K865" s="1875"/>
      <c r="L865" s="1875"/>
      <c r="M865" s="1875"/>
      <c r="N865" s="1875"/>
      <c r="O865" s="1875"/>
      <c r="P865" s="1875"/>
      <c r="Q865" s="1875"/>
      <c r="R865" s="1875"/>
      <c r="S865" s="1875"/>
      <c r="T865" s="1875"/>
      <c r="U865" s="1875"/>
      <c r="V865" s="1875"/>
      <c r="W865" s="1875"/>
      <c r="X865" s="1875"/>
    </row>
    <row r="866" spans="1:24">
      <c r="A866" s="1924" t="s">
        <v>304</v>
      </c>
      <c r="B866" s="2259">
        <v>10.8</v>
      </c>
      <c r="C866" s="2259">
        <v>81.5</v>
      </c>
      <c r="D866" s="2259">
        <v>0</v>
      </c>
      <c r="E866" s="2259">
        <v>0</v>
      </c>
      <c r="F866" s="2259">
        <v>0</v>
      </c>
      <c r="G866" s="1921"/>
      <c r="H866" s="1921"/>
      <c r="I866" s="1921"/>
      <c r="J866" s="1875"/>
      <c r="K866" s="1875"/>
      <c r="L866" s="1875"/>
      <c r="M866" s="1875"/>
      <c r="N866" s="1875"/>
      <c r="O866" s="1875"/>
      <c r="P866" s="1875"/>
      <c r="Q866" s="1875"/>
      <c r="R866" s="1875"/>
      <c r="S866" s="1875"/>
      <c r="T866" s="1875"/>
      <c r="U866" s="1875"/>
      <c r="V866" s="1875"/>
      <c r="W866" s="1875"/>
      <c r="X866" s="1875"/>
    </row>
    <row r="867" spans="1:24">
      <c r="A867" s="1924" t="s">
        <v>301</v>
      </c>
      <c r="B867" s="2259">
        <v>20</v>
      </c>
      <c r="C867" s="2259">
        <v>32</v>
      </c>
      <c r="D867" s="2259">
        <v>0</v>
      </c>
      <c r="E867" s="2259">
        <v>0</v>
      </c>
      <c r="F867" s="2259">
        <v>0</v>
      </c>
      <c r="G867" s="1921"/>
      <c r="H867" s="1921"/>
      <c r="I867" s="1921"/>
      <c r="J867" s="1875"/>
      <c r="K867" s="1875"/>
      <c r="L867" s="1875"/>
      <c r="M867" s="1875"/>
      <c r="N867" s="1875"/>
      <c r="O867" s="1875"/>
      <c r="P867" s="1875"/>
      <c r="Q867" s="1875"/>
      <c r="R867" s="1875"/>
      <c r="S867" s="1875"/>
      <c r="T867" s="1875"/>
      <c r="U867" s="1875"/>
      <c r="V867" s="1875"/>
      <c r="W867" s="1875"/>
      <c r="X867" s="1875"/>
    </row>
    <row r="868" spans="1:24">
      <c r="A868" s="1924" t="s">
        <v>302</v>
      </c>
      <c r="B868" s="2259">
        <v>18</v>
      </c>
      <c r="C868" s="2259">
        <v>20</v>
      </c>
      <c r="D868" s="2259">
        <v>29</v>
      </c>
      <c r="E868" s="2259">
        <v>0</v>
      </c>
      <c r="F868" s="2259">
        <v>0</v>
      </c>
      <c r="G868" s="1921"/>
      <c r="H868" s="1921"/>
      <c r="I868" s="1921"/>
      <c r="J868" s="1875"/>
      <c r="K868" s="1875"/>
      <c r="L868" s="1875"/>
      <c r="M868" s="1875"/>
      <c r="N868" s="1875"/>
      <c r="O868" s="1875"/>
      <c r="P868" s="1875"/>
      <c r="Q868" s="1875"/>
      <c r="R868" s="1875"/>
      <c r="S868" s="1875"/>
      <c r="T868" s="1875"/>
      <c r="U868" s="1875"/>
      <c r="V868" s="1875"/>
      <c r="W868" s="1875"/>
      <c r="X868" s="1875"/>
    </row>
    <row r="869" spans="1:24">
      <c r="A869" s="1924" t="s">
        <v>303</v>
      </c>
      <c r="B869" s="2259">
        <v>76</v>
      </c>
      <c r="C869" s="2259">
        <v>91</v>
      </c>
      <c r="D869" s="2259">
        <v>0</v>
      </c>
      <c r="E869" s="2259">
        <v>0</v>
      </c>
      <c r="F869" s="2259">
        <v>0</v>
      </c>
      <c r="G869" s="1880"/>
      <c r="H869" s="1875"/>
      <c r="I869" s="1882"/>
      <c r="J869" s="1875"/>
      <c r="K869" s="1875"/>
      <c r="L869" s="1875"/>
      <c r="M869" s="1875"/>
      <c r="N869" s="1875"/>
      <c r="O869" s="1875"/>
      <c r="P869" s="1875"/>
      <c r="Q869" s="1875"/>
      <c r="R869" s="1875"/>
      <c r="S869" s="1875"/>
      <c r="T869" s="1875"/>
      <c r="U869" s="1875"/>
      <c r="V869" s="1875"/>
      <c r="W869" s="1875"/>
      <c r="X869" s="1875"/>
    </row>
    <row r="870" spans="1:24">
      <c r="A870" s="1924" t="s">
        <v>306</v>
      </c>
      <c r="B870" s="2259">
        <v>36</v>
      </c>
      <c r="C870" s="2259">
        <v>99</v>
      </c>
      <c r="D870" s="2259">
        <v>99</v>
      </c>
      <c r="E870" s="2259">
        <v>0</v>
      </c>
      <c r="F870" s="2259">
        <v>0</v>
      </c>
      <c r="G870" s="1880"/>
      <c r="H870" s="1875"/>
      <c r="I870" s="1882"/>
      <c r="J870" s="1875"/>
      <c r="K870" s="1875"/>
      <c r="L870" s="1875"/>
      <c r="M870" s="1875"/>
      <c r="N870" s="1875"/>
      <c r="O870" s="1875"/>
      <c r="P870" s="1875"/>
      <c r="Q870" s="1875"/>
      <c r="R870" s="1875"/>
      <c r="S870" s="1875"/>
      <c r="T870" s="1875"/>
      <c r="U870" s="1875"/>
      <c r="V870" s="1875"/>
      <c r="W870" s="1875"/>
      <c r="X870" s="1875"/>
    </row>
    <row r="871" spans="1:24">
      <c r="A871" s="1924" t="s">
        <v>305</v>
      </c>
      <c r="B871" s="2259">
        <v>36</v>
      </c>
      <c r="C871" s="2259">
        <v>99</v>
      </c>
      <c r="D871" s="2259">
        <v>99</v>
      </c>
      <c r="E871" s="2259">
        <v>0</v>
      </c>
      <c r="F871" s="2259">
        <v>0</v>
      </c>
      <c r="G871" s="1880"/>
      <c r="H871" s="1875"/>
      <c r="I871" s="1882"/>
      <c r="J871" s="1875"/>
      <c r="K871" s="1875"/>
      <c r="L871" s="1875"/>
      <c r="M871" s="1875"/>
      <c r="N871" s="1875"/>
      <c r="O871" s="1875"/>
      <c r="P871" s="1875"/>
      <c r="Q871" s="1875"/>
      <c r="R871" s="1875"/>
      <c r="S871" s="1875"/>
      <c r="T871" s="1875"/>
      <c r="U871" s="1875"/>
      <c r="V871" s="1875"/>
      <c r="W871" s="1875"/>
      <c r="X871" s="1875"/>
    </row>
    <row r="872" spans="1:24">
      <c r="A872" s="1924" t="s">
        <v>297</v>
      </c>
      <c r="B872" s="2259">
        <v>83</v>
      </c>
      <c r="C872" s="2259">
        <v>95</v>
      </c>
      <c r="D872" s="2259">
        <v>0</v>
      </c>
      <c r="E872" s="2259">
        <v>0</v>
      </c>
      <c r="F872" s="2259">
        <v>0</v>
      </c>
      <c r="G872" s="1880"/>
      <c r="H872" s="1875"/>
      <c r="I872" s="1882"/>
      <c r="J872" s="1875"/>
      <c r="K872" s="1875"/>
      <c r="L872" s="1875"/>
      <c r="M872" s="1875"/>
      <c r="N872" s="1875"/>
      <c r="O872" s="1875"/>
      <c r="P872" s="1875"/>
      <c r="Q872" s="1875"/>
      <c r="R872" s="1875"/>
      <c r="S872" s="1875"/>
      <c r="T872" s="1875"/>
      <c r="U872" s="1875"/>
      <c r="V872" s="1875"/>
      <c r="W872" s="1875"/>
      <c r="X872" s="1875"/>
    </row>
    <row r="873" spans="1:24">
      <c r="A873" s="1924" t="s">
        <v>300</v>
      </c>
      <c r="B873" s="2259">
        <v>83</v>
      </c>
      <c r="C873" s="2259">
        <v>79</v>
      </c>
      <c r="D873" s="2259">
        <v>20</v>
      </c>
      <c r="E873" s="2259">
        <v>0</v>
      </c>
      <c r="F873" s="2259">
        <v>0</v>
      </c>
      <c r="G873" s="1880"/>
      <c r="H873" s="1875"/>
      <c r="I873" s="1882"/>
      <c r="J873" s="1875"/>
      <c r="K873" s="1875"/>
      <c r="L873" s="1875"/>
      <c r="M873" s="1875"/>
      <c r="N873" s="1875"/>
      <c r="O873" s="1875"/>
      <c r="P873" s="1875"/>
      <c r="Q873" s="1875"/>
      <c r="R873" s="1875"/>
      <c r="S873" s="1875"/>
      <c r="T873" s="1875"/>
      <c r="U873" s="1875"/>
      <c r="V873" s="1875"/>
      <c r="W873" s="1875"/>
      <c r="X873" s="1875"/>
    </row>
    <row r="874" spans="1:24">
      <c r="A874" s="1924" t="s">
        <v>298</v>
      </c>
      <c r="B874" s="2259">
        <v>20</v>
      </c>
      <c r="C874" s="2259">
        <v>50</v>
      </c>
      <c r="D874" s="2259">
        <v>50</v>
      </c>
      <c r="E874" s="2259">
        <v>0</v>
      </c>
      <c r="F874" s="2259">
        <v>0</v>
      </c>
      <c r="G874" s="1880"/>
      <c r="H874" s="1875"/>
      <c r="I874" s="1882"/>
      <c r="J874" s="1875"/>
      <c r="K874" s="1875"/>
      <c r="L874" s="1875"/>
      <c r="M874" s="1875"/>
      <c r="N874" s="1875"/>
      <c r="O874" s="1875"/>
      <c r="P874" s="1875"/>
      <c r="Q874" s="1875"/>
      <c r="R874" s="1875"/>
      <c r="S874" s="1875"/>
      <c r="T874" s="1875"/>
      <c r="U874" s="1875"/>
      <c r="V874" s="1875"/>
      <c r="W874" s="1875"/>
      <c r="X874" s="1875"/>
    </row>
    <row r="875" spans="1:24">
      <c r="A875" s="1924" t="s">
        <v>299</v>
      </c>
      <c r="B875" s="2259">
        <v>20</v>
      </c>
      <c r="C875" s="2259">
        <v>50</v>
      </c>
      <c r="D875" s="2259">
        <v>50</v>
      </c>
      <c r="E875" s="2259">
        <v>0</v>
      </c>
      <c r="F875" s="2259">
        <v>0</v>
      </c>
      <c r="G875" s="1880"/>
      <c r="H875" s="1875"/>
      <c r="I875" s="1882"/>
      <c r="J875" s="1875"/>
      <c r="K875" s="1875"/>
      <c r="L875" s="1875"/>
      <c r="M875" s="1875"/>
      <c r="N875" s="1875"/>
      <c r="O875" s="1875"/>
      <c r="P875" s="1875"/>
      <c r="Q875" s="1875"/>
      <c r="R875" s="1875"/>
      <c r="S875" s="1875"/>
      <c r="T875" s="1875"/>
      <c r="U875" s="1875"/>
      <c r="V875" s="1875"/>
      <c r="W875" s="1875"/>
      <c r="X875" s="1875"/>
    </row>
    <row r="876" spans="1:24">
      <c r="A876" s="1924" t="s">
        <v>425</v>
      </c>
      <c r="B876" s="2259">
        <v>27</v>
      </c>
      <c r="C876" s="2259">
        <v>22</v>
      </c>
      <c r="D876" s="2259">
        <v>19</v>
      </c>
      <c r="E876" s="2259">
        <v>0</v>
      </c>
      <c r="F876" s="2259">
        <v>0</v>
      </c>
      <c r="G876" s="1880"/>
      <c r="H876" s="1875"/>
      <c r="I876" s="1882"/>
      <c r="J876" s="1875"/>
      <c r="K876" s="1875"/>
      <c r="L876" s="1875"/>
      <c r="M876" s="1875"/>
      <c r="N876" s="1875"/>
      <c r="O876" s="1875"/>
      <c r="P876" s="1875"/>
      <c r="Q876" s="1875"/>
      <c r="R876" s="1875"/>
      <c r="S876" s="1875"/>
      <c r="T876" s="1875"/>
      <c r="U876" s="1875"/>
      <c r="V876" s="1875"/>
      <c r="W876" s="1875"/>
      <c r="X876" s="1875"/>
    </row>
    <row r="877" spans="1:24" s="87" customFormat="1">
      <c r="A877" s="87" t="s">
        <v>224</v>
      </c>
      <c r="B877" s="101"/>
      <c r="C877" s="101"/>
      <c r="D877" s="101" t="s">
        <v>225</v>
      </c>
      <c r="G877" s="101"/>
      <c r="I877" s="104"/>
    </row>
    <row r="878" spans="1:24" s="87" customFormat="1">
      <c r="A878" s="87" t="s">
        <v>293</v>
      </c>
      <c r="B878" s="87" t="s">
        <v>226</v>
      </c>
      <c r="C878" s="101"/>
      <c r="D878" s="3008"/>
      <c r="E878" s="3007" t="s">
        <v>5533</v>
      </c>
      <c r="G878" s="101"/>
      <c r="I878" s="104"/>
    </row>
    <row r="879" spans="1:24" s="87" customFormat="1">
      <c r="A879" s="87" t="str">
        <f>A837</f>
        <v>Please select</v>
      </c>
      <c r="D879" s="3007" t="s">
        <v>5549</v>
      </c>
      <c r="G879" s="101"/>
      <c r="I879" s="104"/>
    </row>
    <row r="880" spans="1:24" s="1881" customFormat="1">
      <c r="A880" s="1881" t="str">
        <f>A852</f>
        <v>Boreal Dry</v>
      </c>
      <c r="B880" s="71">
        <v>0.16</v>
      </c>
      <c r="C880" s="3012">
        <f>C726</f>
        <v>0.31</v>
      </c>
      <c r="D880" s="3006"/>
      <c r="G880" s="71"/>
      <c r="I880" s="105"/>
    </row>
    <row r="881" spans="1:9" s="1881" customFormat="1">
      <c r="A881" s="1881" t="str">
        <f t="shared" ref="A881:A890" si="25">A853</f>
        <v>Boreal Moist</v>
      </c>
      <c r="B881" s="71">
        <v>0.16</v>
      </c>
      <c r="C881" s="3012">
        <f t="shared" ref="C881:C885" si="26">C727</f>
        <v>0.31</v>
      </c>
      <c r="D881" s="3006"/>
      <c r="G881" s="71"/>
      <c r="I881" s="105"/>
    </row>
    <row r="882" spans="1:9" s="1881" customFormat="1">
      <c r="A882" s="1881" t="str">
        <f t="shared" si="25"/>
        <v>Cool Temperate Dry</v>
      </c>
      <c r="B882" s="71">
        <v>0.68</v>
      </c>
      <c r="C882" s="3012">
        <f t="shared" si="26"/>
        <v>2.6</v>
      </c>
      <c r="D882" s="3006"/>
      <c r="G882" s="71"/>
      <c r="I882" s="105"/>
    </row>
    <row r="883" spans="1:9" s="1881" customFormat="1">
      <c r="A883" s="1881" t="str">
        <f t="shared" si="25"/>
        <v>Cool Temperate Moist</v>
      </c>
      <c r="B883" s="71">
        <v>0.68</v>
      </c>
      <c r="C883" s="3012">
        <f t="shared" si="26"/>
        <v>2.6</v>
      </c>
      <c r="D883" s="3006"/>
      <c r="G883" s="71"/>
      <c r="I883" s="105"/>
    </row>
    <row r="884" spans="1:9" s="1881" customFormat="1">
      <c r="A884" s="1881" t="str">
        <f t="shared" si="25"/>
        <v>Warm Temperate Dry</v>
      </c>
      <c r="B884" s="71">
        <v>0.68</v>
      </c>
      <c r="C884" s="3012">
        <f t="shared" si="26"/>
        <v>2.6</v>
      </c>
      <c r="D884" s="3006"/>
      <c r="G884" s="71"/>
      <c r="I884" s="105"/>
    </row>
    <row r="885" spans="1:9" s="1881" customFormat="1">
      <c r="A885" s="1881" t="str">
        <f t="shared" si="25"/>
        <v>Warm Temperate Moist</v>
      </c>
      <c r="B885" s="71">
        <v>0.68</v>
      </c>
      <c r="C885" s="3012">
        <f t="shared" si="26"/>
        <v>2.6</v>
      </c>
      <c r="D885" s="3006"/>
      <c r="G885" s="71"/>
      <c r="I885" s="105"/>
    </row>
    <row r="886" spans="1:9" s="1881" customFormat="1">
      <c r="A886" s="1881" t="str">
        <f t="shared" si="25"/>
        <v>Tropical Mountain Dry</v>
      </c>
      <c r="B886" s="71">
        <v>1.36</v>
      </c>
      <c r="C886" s="3017">
        <f>AVERAGE(15,20,11)</f>
        <v>15.333333333333334</v>
      </c>
      <c r="D886" s="3006"/>
      <c r="G886" s="71"/>
      <c r="I886" s="105"/>
    </row>
    <row r="887" spans="1:9" s="1881" customFormat="1">
      <c r="A887" s="1881" t="str">
        <f t="shared" si="25"/>
        <v>Tropical Mountain Moist</v>
      </c>
      <c r="B887" s="71">
        <v>1.36</v>
      </c>
      <c r="C887" s="3017">
        <f t="shared" ref="C887:C890" si="27">AVERAGE(15,20,11)</f>
        <v>15.333333333333334</v>
      </c>
      <c r="D887" s="3006"/>
      <c r="G887" s="71"/>
      <c r="I887" s="105"/>
    </row>
    <row r="888" spans="1:9" s="1881" customFormat="1">
      <c r="A888" s="1881" t="str">
        <f t="shared" si="25"/>
        <v>Tropical Dry</v>
      </c>
      <c r="B888" s="71">
        <v>1.36</v>
      </c>
      <c r="C888" s="3017">
        <f t="shared" si="27"/>
        <v>15.333333333333334</v>
      </c>
      <c r="D888" s="3006"/>
      <c r="G888" s="71"/>
      <c r="I888" s="105"/>
    </row>
    <row r="889" spans="1:9" s="1881" customFormat="1">
      <c r="A889" s="1881" t="str">
        <f t="shared" si="25"/>
        <v>Tropical Moist</v>
      </c>
      <c r="B889" s="71">
        <v>1.36</v>
      </c>
      <c r="C889" s="3017">
        <f t="shared" si="27"/>
        <v>15.333333333333334</v>
      </c>
      <c r="D889" s="3006"/>
      <c r="G889" s="71"/>
      <c r="I889" s="105"/>
    </row>
    <row r="890" spans="1:9" s="1881" customFormat="1">
      <c r="A890" s="1881" t="str">
        <f t="shared" si="25"/>
        <v>Tropical Wet</v>
      </c>
      <c r="B890" s="71">
        <v>1.36</v>
      </c>
      <c r="C890" s="3017">
        <f t="shared" si="27"/>
        <v>15.333333333333334</v>
      </c>
      <c r="D890" s="3006"/>
      <c r="G890" s="71"/>
      <c r="I890" s="105"/>
    </row>
    <row r="891" spans="1:9" s="87" customFormat="1">
      <c r="A891" s="3013" t="s">
        <v>5537</v>
      </c>
      <c r="B891" s="101"/>
      <c r="C891" s="101"/>
      <c r="D891" s="101" t="s">
        <v>225</v>
      </c>
      <c r="G891" s="101"/>
      <c r="I891" s="104"/>
    </row>
    <row r="892" spans="1:9" s="87" customFormat="1">
      <c r="A892" s="87" t="s">
        <v>293</v>
      </c>
      <c r="B892" s="3013" t="s">
        <v>5538</v>
      </c>
      <c r="C892" s="101"/>
      <c r="D892" s="3008"/>
      <c r="E892" s="3007" t="s">
        <v>5539</v>
      </c>
      <c r="G892" s="101"/>
      <c r="I892" s="104"/>
    </row>
    <row r="893" spans="1:9" s="87" customFormat="1">
      <c r="B893" s="3005" t="s">
        <v>5534</v>
      </c>
      <c r="C893" s="3005" t="s">
        <v>387</v>
      </c>
      <c r="D893" s="3014" t="s">
        <v>1091</v>
      </c>
      <c r="E893" s="3014" t="s">
        <v>5540</v>
      </c>
      <c r="F893" s="3014" t="s">
        <v>329</v>
      </c>
      <c r="G893" s="101"/>
      <c r="H893" s="3013" t="s">
        <v>5541</v>
      </c>
      <c r="I893" s="104"/>
    </row>
    <row r="894" spans="1:9" s="87" customFormat="1">
      <c r="A894" s="87" t="str">
        <f t="shared" ref="A894:A905" si="28">A879</f>
        <v>Please select</v>
      </c>
    </row>
    <row r="895" spans="1:9" s="1881" customFormat="1">
      <c r="A895" s="1881" t="str">
        <f t="shared" si="28"/>
        <v>Boreal Dry</v>
      </c>
      <c r="B895" s="3009">
        <v>7</v>
      </c>
      <c r="C895" s="3011">
        <f>B895</f>
        <v>7</v>
      </c>
      <c r="D895" s="3009">
        <v>0</v>
      </c>
      <c r="E895" s="3009">
        <f>D895</f>
        <v>0</v>
      </c>
      <c r="F895" s="3009">
        <v>1.4</v>
      </c>
      <c r="G895" s="71"/>
      <c r="H895" s="3030">
        <f>2/7</f>
        <v>0.2857142857142857</v>
      </c>
      <c r="I895" s="3029" t="s">
        <v>5542</v>
      </c>
    </row>
    <row r="896" spans="1:9" s="1881" customFormat="1">
      <c r="A896" s="1881" t="str">
        <f t="shared" si="28"/>
        <v>Boreal Moist</v>
      </c>
      <c r="B896" s="3009">
        <v>7</v>
      </c>
      <c r="C896" s="3011">
        <f t="shared" ref="C896:C898" si="29">B896</f>
        <v>7</v>
      </c>
      <c r="D896" s="3009">
        <v>0</v>
      </c>
      <c r="E896" s="3009">
        <f t="shared" ref="E896:E905" si="30">D896</f>
        <v>0</v>
      </c>
      <c r="F896" s="3009">
        <v>1.4</v>
      </c>
      <c r="G896" s="71"/>
      <c r="H896" s="3030">
        <f>2/7</f>
        <v>0.2857142857142857</v>
      </c>
      <c r="I896" s="3029" t="s">
        <v>5542</v>
      </c>
    </row>
    <row r="897" spans="1:9" s="1881" customFormat="1">
      <c r="A897" s="1881" t="str">
        <f t="shared" si="28"/>
        <v>Cool Temperate Dry</v>
      </c>
      <c r="B897" s="3009">
        <v>2.5</v>
      </c>
      <c r="C897" s="3011">
        <f t="shared" si="29"/>
        <v>2.5</v>
      </c>
      <c r="D897" s="3009">
        <v>0</v>
      </c>
      <c r="E897" s="3009">
        <f t="shared" si="30"/>
        <v>0</v>
      </c>
      <c r="F897" s="3009">
        <v>1.8</v>
      </c>
      <c r="G897" s="71"/>
      <c r="H897" s="3030">
        <f>1.8/16</f>
        <v>0.1125</v>
      </c>
      <c r="I897" s="3029" t="s">
        <v>5543</v>
      </c>
    </row>
    <row r="898" spans="1:9" s="1881" customFormat="1">
      <c r="A898" s="1881" t="str">
        <f t="shared" si="28"/>
        <v>Cool Temperate Moist</v>
      </c>
      <c r="B898" s="3009">
        <v>2.5</v>
      </c>
      <c r="C898" s="3011">
        <f t="shared" si="29"/>
        <v>2.5</v>
      </c>
      <c r="D898" s="3009">
        <v>0</v>
      </c>
      <c r="E898" s="3009">
        <f t="shared" si="30"/>
        <v>0</v>
      </c>
      <c r="F898" s="3009">
        <v>1.8</v>
      </c>
      <c r="G898" s="71"/>
      <c r="H898" s="3030">
        <f t="shared" ref="H898" si="31">1.8/16</f>
        <v>0.1125</v>
      </c>
      <c r="I898" s="3029" t="s">
        <v>5543</v>
      </c>
    </row>
    <row r="899" spans="1:9" s="1881" customFormat="1">
      <c r="A899" s="1881" t="str">
        <f t="shared" si="28"/>
        <v>Warm Temperate Dry</v>
      </c>
      <c r="B899" s="3009">
        <v>4.9000000000000004</v>
      </c>
      <c r="C899" s="3011">
        <v>2.7</v>
      </c>
      <c r="D899" s="3009">
        <v>7</v>
      </c>
      <c r="E899" s="3009">
        <f t="shared" si="30"/>
        <v>7</v>
      </c>
      <c r="F899" s="3009">
        <v>7</v>
      </c>
      <c r="G899" s="71"/>
      <c r="H899" s="3030"/>
      <c r="I899" s="3029"/>
    </row>
    <row r="900" spans="1:9" s="1881" customFormat="1">
      <c r="A900" s="1881" t="str">
        <f t="shared" si="28"/>
        <v>Warm Temperate Moist</v>
      </c>
      <c r="B900" s="3009">
        <v>4.9000000000000004</v>
      </c>
      <c r="C900" s="3011">
        <v>2.7</v>
      </c>
      <c r="D900" s="3009">
        <v>7</v>
      </c>
      <c r="E900" s="3009">
        <f t="shared" si="30"/>
        <v>7</v>
      </c>
      <c r="F900" s="3009">
        <v>7</v>
      </c>
      <c r="G900" s="71"/>
      <c r="H900" s="3030"/>
      <c r="I900" s="3029"/>
    </row>
    <row r="901" spans="1:9" s="1881" customFormat="1">
      <c r="A901" s="1881" t="str">
        <f t="shared" si="28"/>
        <v>Tropical Mountain Dry</v>
      </c>
      <c r="B901" s="3009">
        <v>4.9000000000000004</v>
      </c>
      <c r="C901" s="3011">
        <v>2.7</v>
      </c>
      <c r="D901" s="3009">
        <v>7</v>
      </c>
      <c r="E901" s="3009">
        <f t="shared" si="30"/>
        <v>7</v>
      </c>
      <c r="F901" s="3009">
        <v>7</v>
      </c>
      <c r="G901" s="71"/>
      <c r="I901" s="105"/>
    </row>
    <row r="902" spans="1:9" s="1881" customFormat="1">
      <c r="A902" s="1881" t="str">
        <f t="shared" si="28"/>
        <v>Tropical Mountain Moist</v>
      </c>
      <c r="B902" s="3009">
        <v>4.9000000000000004</v>
      </c>
      <c r="C902" s="3011">
        <v>2.7</v>
      </c>
      <c r="D902" s="3009">
        <v>7</v>
      </c>
      <c r="E902" s="3009">
        <f t="shared" si="30"/>
        <v>7</v>
      </c>
      <c r="F902" s="3009">
        <v>7</v>
      </c>
      <c r="G902" s="71"/>
      <c r="I902" s="105"/>
    </row>
    <row r="903" spans="1:9" s="1881" customFormat="1">
      <c r="A903" s="1881" t="str">
        <f t="shared" si="28"/>
        <v>Tropical Dry</v>
      </c>
      <c r="B903" s="3009">
        <v>4.9000000000000004</v>
      </c>
      <c r="C903" s="3011">
        <v>2.7</v>
      </c>
      <c r="D903" s="3009">
        <v>7</v>
      </c>
      <c r="E903" s="3009">
        <f t="shared" si="30"/>
        <v>7</v>
      </c>
      <c r="F903" s="3009">
        <v>7</v>
      </c>
      <c r="G903" s="71"/>
      <c r="I903" s="105"/>
    </row>
    <row r="904" spans="1:9" s="1881" customFormat="1">
      <c r="A904" s="1881" t="str">
        <f t="shared" si="28"/>
        <v>Tropical Moist</v>
      </c>
      <c r="B904" s="3009">
        <v>4.9000000000000004</v>
      </c>
      <c r="C904" s="3011">
        <v>2.7</v>
      </c>
      <c r="D904" s="3009">
        <v>7</v>
      </c>
      <c r="E904" s="3009">
        <f t="shared" si="30"/>
        <v>7</v>
      </c>
      <c r="F904" s="3009">
        <v>7</v>
      </c>
      <c r="G904" s="71"/>
      <c r="I904" s="105"/>
    </row>
    <row r="905" spans="1:9" s="1881" customFormat="1">
      <c r="A905" s="1881" t="str">
        <f t="shared" si="28"/>
        <v>Tropical Wet</v>
      </c>
      <c r="B905" s="3009">
        <v>4.9000000000000004</v>
      </c>
      <c r="C905" s="3011">
        <v>2.7</v>
      </c>
      <c r="D905" s="3009">
        <v>7</v>
      </c>
      <c r="E905" s="3009">
        <f t="shared" si="30"/>
        <v>7</v>
      </c>
      <c r="F905" s="3009">
        <v>7</v>
      </c>
      <c r="G905" s="71"/>
      <c r="I905" s="105"/>
    </row>
    <row r="906" spans="1:9" s="87" customFormat="1">
      <c r="A906" s="3013" t="s">
        <v>5544</v>
      </c>
      <c r="B906" s="101"/>
      <c r="C906" s="101"/>
      <c r="D906" s="101" t="s">
        <v>225</v>
      </c>
      <c r="G906" s="101"/>
      <c r="I906" s="104"/>
    </row>
    <row r="907" spans="1:9" s="87" customFormat="1">
      <c r="A907" s="87" t="s">
        <v>293</v>
      </c>
      <c r="B907" s="3013" t="s">
        <v>5538</v>
      </c>
      <c r="C907" s="101"/>
      <c r="D907" s="3008"/>
      <c r="E907" s="3007" t="s">
        <v>5539</v>
      </c>
      <c r="G907" s="101"/>
      <c r="I907" s="104"/>
    </row>
    <row r="908" spans="1:9" s="87" customFormat="1">
      <c r="B908" s="3005" t="s">
        <v>5534</v>
      </c>
      <c r="C908" s="3005" t="s">
        <v>387</v>
      </c>
      <c r="D908" s="3014" t="s">
        <v>1091</v>
      </c>
      <c r="E908" s="3014" t="s">
        <v>5540</v>
      </c>
      <c r="F908" s="3014" t="s">
        <v>329</v>
      </c>
      <c r="G908" s="101"/>
      <c r="H908" s="3013" t="s">
        <v>5541</v>
      </c>
      <c r="I908" s="104"/>
    </row>
    <row r="909" spans="1:9" s="87" customFormat="1">
      <c r="A909" s="87" t="str">
        <f t="shared" ref="A909:A920" si="32">A894</f>
        <v>Please select</v>
      </c>
    </row>
    <row r="910" spans="1:9" s="1881" customFormat="1">
      <c r="A910" s="1881" t="str">
        <f t="shared" si="32"/>
        <v>Boreal Dry</v>
      </c>
      <c r="B910" s="3009">
        <v>217</v>
      </c>
      <c r="C910" s="3011">
        <f>B910</f>
        <v>217</v>
      </c>
      <c r="D910" s="3009">
        <f>F910</f>
        <v>1165</v>
      </c>
      <c r="E910" s="3009">
        <f>F910</f>
        <v>1165</v>
      </c>
      <c r="F910" s="3009">
        <v>1165</v>
      </c>
      <c r="G910" s="71"/>
      <c r="H910" s="3030">
        <f>2/7</f>
        <v>0.2857142857142857</v>
      </c>
      <c r="I910" s="3029" t="s">
        <v>5542</v>
      </c>
    </row>
    <row r="911" spans="1:9" s="1881" customFormat="1">
      <c r="A911" s="1881" t="str">
        <f t="shared" si="32"/>
        <v>Boreal Moist</v>
      </c>
      <c r="B911" s="3009">
        <v>217</v>
      </c>
      <c r="C911" s="3011">
        <f t="shared" ref="C911:C913" si="33">B911</f>
        <v>217</v>
      </c>
      <c r="D911" s="3009">
        <f t="shared" ref="D911:D915" si="34">F911</f>
        <v>1165</v>
      </c>
      <c r="E911" s="3009">
        <f t="shared" ref="E911:E915" si="35">F911</f>
        <v>1165</v>
      </c>
      <c r="F911" s="3009">
        <v>1165</v>
      </c>
      <c r="G911" s="71"/>
      <c r="H911" s="3030">
        <f>2/7</f>
        <v>0.2857142857142857</v>
      </c>
      <c r="I911" s="3029" t="s">
        <v>5542</v>
      </c>
    </row>
    <row r="912" spans="1:9" s="1881" customFormat="1">
      <c r="A912" s="1881" t="str">
        <f t="shared" si="32"/>
        <v>Cool Temperate Dry</v>
      </c>
      <c r="B912" s="3009">
        <v>217</v>
      </c>
      <c r="C912" s="3011">
        <f t="shared" si="33"/>
        <v>217</v>
      </c>
      <c r="D912" s="3009">
        <f t="shared" si="34"/>
        <v>1165</v>
      </c>
      <c r="E912" s="3009">
        <f t="shared" si="35"/>
        <v>1165</v>
      </c>
      <c r="F912" s="3009">
        <v>1165</v>
      </c>
      <c r="G912" s="71"/>
      <c r="H912" s="3030">
        <f>1.8/16</f>
        <v>0.1125</v>
      </c>
      <c r="I912" s="3029" t="s">
        <v>5543</v>
      </c>
    </row>
    <row r="913" spans="1:9" s="1881" customFormat="1">
      <c r="A913" s="1881" t="str">
        <f t="shared" si="32"/>
        <v>Cool Temperate Moist</v>
      </c>
      <c r="B913" s="3009">
        <v>217</v>
      </c>
      <c r="C913" s="3011">
        <f t="shared" si="33"/>
        <v>217</v>
      </c>
      <c r="D913" s="3009">
        <f t="shared" si="34"/>
        <v>1165</v>
      </c>
      <c r="E913" s="3009">
        <f t="shared" si="35"/>
        <v>1165</v>
      </c>
      <c r="F913" s="3009">
        <v>1165</v>
      </c>
      <c r="G913" s="71"/>
      <c r="H913" s="3030">
        <f t="shared" ref="H913" si="36">1.8/16</f>
        <v>0.1125</v>
      </c>
      <c r="I913" s="3029" t="s">
        <v>5543</v>
      </c>
    </row>
    <row r="914" spans="1:9" s="1881" customFormat="1">
      <c r="A914" s="1881" t="str">
        <f t="shared" si="32"/>
        <v>Warm Temperate Dry</v>
      </c>
      <c r="B914" s="3009">
        <v>217</v>
      </c>
      <c r="C914" s="3011">
        <f>B914</f>
        <v>217</v>
      </c>
      <c r="D914" s="3009">
        <f t="shared" si="34"/>
        <v>1165</v>
      </c>
      <c r="E914" s="3009">
        <f t="shared" si="35"/>
        <v>1165</v>
      </c>
      <c r="F914" s="3009">
        <v>1165</v>
      </c>
      <c r="G914" s="71"/>
      <c r="H914" s="3030"/>
      <c r="I914" s="3029"/>
    </row>
    <row r="915" spans="1:9" s="1881" customFormat="1">
      <c r="A915" s="1881" t="str">
        <f t="shared" si="32"/>
        <v>Warm Temperate Moist</v>
      </c>
      <c r="B915" s="3009">
        <v>217</v>
      </c>
      <c r="C915" s="3011">
        <f>B915</f>
        <v>217</v>
      </c>
      <c r="D915" s="3009">
        <f t="shared" si="34"/>
        <v>1165</v>
      </c>
      <c r="E915" s="3009">
        <f t="shared" si="35"/>
        <v>1165</v>
      </c>
      <c r="F915" s="3009">
        <v>1165</v>
      </c>
      <c r="G915" s="71"/>
      <c r="H915" s="3030"/>
      <c r="I915" s="3029"/>
    </row>
    <row r="916" spans="1:9" s="1881" customFormat="1">
      <c r="A916" s="1881" t="str">
        <f t="shared" si="32"/>
        <v>Tropical Mountain Dry</v>
      </c>
      <c r="B916" s="3031">
        <v>2259</v>
      </c>
      <c r="C916" s="3031">
        <v>2259</v>
      </c>
      <c r="D916" s="3031">
        <v>2259</v>
      </c>
      <c r="E916" s="3031">
        <v>2259</v>
      </c>
      <c r="F916" s="3031">
        <v>2259</v>
      </c>
      <c r="G916" s="71"/>
      <c r="I916" s="105"/>
    </row>
    <row r="917" spans="1:9" s="1881" customFormat="1">
      <c r="A917" s="1881" t="str">
        <f t="shared" si="32"/>
        <v>Tropical Mountain Moist</v>
      </c>
      <c r="B917" s="3031">
        <v>2259</v>
      </c>
      <c r="C917" s="3031">
        <v>2259</v>
      </c>
      <c r="D917" s="3031">
        <v>2259</v>
      </c>
      <c r="E917" s="3031">
        <v>2259</v>
      </c>
      <c r="F917" s="3031">
        <v>2259</v>
      </c>
      <c r="G917" s="71"/>
      <c r="I917" s="105"/>
    </row>
    <row r="918" spans="1:9" s="1881" customFormat="1">
      <c r="A918" s="1881" t="str">
        <f t="shared" si="32"/>
        <v>Tropical Dry</v>
      </c>
      <c r="B918" s="3031">
        <v>2259</v>
      </c>
      <c r="C918" s="3031">
        <v>2259</v>
      </c>
      <c r="D918" s="3031">
        <v>2259</v>
      </c>
      <c r="E918" s="3031">
        <v>2259</v>
      </c>
      <c r="F918" s="3031">
        <v>2259</v>
      </c>
      <c r="G918" s="71"/>
      <c r="I918" s="105"/>
    </row>
    <row r="919" spans="1:9" s="1881" customFormat="1">
      <c r="A919" s="1881" t="str">
        <f t="shared" si="32"/>
        <v>Tropical Moist</v>
      </c>
      <c r="B919" s="3031">
        <v>2259</v>
      </c>
      <c r="C919" s="3031">
        <v>2259</v>
      </c>
      <c r="D919" s="3031">
        <v>2259</v>
      </c>
      <c r="E919" s="3031">
        <v>2259</v>
      </c>
      <c r="F919" s="3031">
        <v>2259</v>
      </c>
      <c r="G919" s="71"/>
      <c r="I919" s="105"/>
    </row>
    <row r="920" spans="1:9" s="1881" customFormat="1">
      <c r="A920" s="1881" t="str">
        <f t="shared" si="32"/>
        <v>Tropical Wet</v>
      </c>
      <c r="B920" s="3031">
        <v>2259</v>
      </c>
      <c r="C920" s="3031">
        <v>2259</v>
      </c>
      <c r="D920" s="3031">
        <v>2259</v>
      </c>
      <c r="E920" s="3031">
        <v>2259</v>
      </c>
      <c r="F920" s="3031">
        <v>2259</v>
      </c>
      <c r="G920" s="71"/>
      <c r="I920" s="105"/>
    </row>
    <row r="921" spans="1:9" s="87" customFormat="1">
      <c r="A921" s="3013" t="s">
        <v>5570</v>
      </c>
      <c r="B921" s="101"/>
      <c r="C921" s="101"/>
      <c r="D921" s="101"/>
      <c r="G921" s="101"/>
      <c r="I921" s="104"/>
    </row>
    <row r="922" spans="1:9" s="87" customFormat="1">
      <c r="A922" s="87" t="s">
        <v>293</v>
      </c>
      <c r="B922" s="3013" t="s">
        <v>5538</v>
      </c>
      <c r="C922" s="101"/>
      <c r="D922" s="3008"/>
      <c r="E922" s="3007" t="s">
        <v>5539</v>
      </c>
      <c r="G922" s="101"/>
      <c r="I922" s="104"/>
    </row>
    <row r="923" spans="1:9" s="87" customFormat="1">
      <c r="B923" s="3005"/>
      <c r="C923" s="3005"/>
      <c r="D923" s="3014"/>
      <c r="E923" s="3014"/>
      <c r="F923" s="3014"/>
      <c r="G923" s="101"/>
      <c r="H923" s="3013"/>
      <c r="I923" s="104"/>
    </row>
    <row r="924" spans="1:9" s="87" customFormat="1">
      <c r="A924" s="87" t="str">
        <f t="shared" ref="A924:A935" si="37">A909</f>
        <v>Please select</v>
      </c>
    </row>
    <row r="925" spans="1:9" s="1881" customFormat="1">
      <c r="A925" s="1881" t="str">
        <f t="shared" si="37"/>
        <v>Boreal Dry</v>
      </c>
      <c r="B925" s="3006">
        <v>6.1</v>
      </c>
      <c r="C925" s="3011"/>
      <c r="D925" s="3009"/>
      <c r="E925" s="3009"/>
      <c r="F925" s="3009"/>
      <c r="G925" s="71"/>
      <c r="H925" s="3030"/>
      <c r="I925" s="3029"/>
    </row>
    <row r="926" spans="1:9" s="1881" customFormat="1">
      <c r="A926" s="1881" t="str">
        <f t="shared" si="37"/>
        <v>Boreal Moist</v>
      </c>
      <c r="B926" s="3006">
        <v>6.1</v>
      </c>
      <c r="C926" s="3011"/>
      <c r="D926" s="3009"/>
      <c r="E926" s="3009"/>
      <c r="F926" s="3009"/>
      <c r="G926" s="71"/>
      <c r="H926" s="3030"/>
      <c r="I926" s="3029"/>
    </row>
    <row r="927" spans="1:9" s="1881" customFormat="1">
      <c r="A927" s="1881" t="str">
        <f t="shared" si="37"/>
        <v>Cool Temperate Dry</v>
      </c>
      <c r="B927" s="3006">
        <v>6.1</v>
      </c>
      <c r="C927" s="3011"/>
      <c r="D927" s="3009"/>
      <c r="E927" s="3009"/>
      <c r="F927" s="3009"/>
      <c r="G927" s="71"/>
      <c r="H927" s="3030"/>
      <c r="I927" s="3029"/>
    </row>
    <row r="928" spans="1:9" s="1881" customFormat="1">
      <c r="A928" s="1881" t="str">
        <f t="shared" si="37"/>
        <v>Cool Temperate Moist</v>
      </c>
      <c r="B928" s="3006">
        <v>6.1</v>
      </c>
      <c r="C928" s="3011"/>
      <c r="D928" s="3009"/>
      <c r="E928" s="3009"/>
      <c r="F928" s="3009"/>
      <c r="G928" s="71"/>
      <c r="H928" s="3030"/>
      <c r="I928" s="3029"/>
    </row>
    <row r="929" spans="1:10" s="1881" customFormat="1">
      <c r="A929" s="1881" t="str">
        <f t="shared" si="37"/>
        <v>Warm Temperate Dry</v>
      </c>
      <c r="B929" s="3006">
        <v>6.1</v>
      </c>
      <c r="C929" s="3011"/>
      <c r="D929" s="3009"/>
      <c r="E929" s="3009"/>
      <c r="F929" s="3009"/>
      <c r="G929" s="71"/>
      <c r="H929" s="3030"/>
      <c r="I929" s="3029"/>
    </row>
    <row r="930" spans="1:10" s="1881" customFormat="1">
      <c r="A930" s="1881" t="str">
        <f t="shared" si="37"/>
        <v>Warm Temperate Moist</v>
      </c>
      <c r="B930" s="3006">
        <v>6.1</v>
      </c>
      <c r="C930" s="3011"/>
      <c r="D930" s="3009"/>
      <c r="E930" s="3009"/>
      <c r="F930" s="3009"/>
      <c r="G930" s="71"/>
      <c r="H930" s="3030"/>
      <c r="I930" s="3029"/>
    </row>
    <row r="931" spans="1:10" s="1881" customFormat="1">
      <c r="A931" s="1881" t="str">
        <f t="shared" si="37"/>
        <v>Tropical Mountain Dry</v>
      </c>
      <c r="B931" s="3072">
        <v>0</v>
      </c>
      <c r="C931" s="3031"/>
      <c r="D931" s="3031"/>
      <c r="E931" s="3031"/>
      <c r="F931" s="3031"/>
      <c r="G931" s="71"/>
      <c r="I931" s="105"/>
    </row>
    <row r="932" spans="1:10" s="1881" customFormat="1">
      <c r="A932" s="1881" t="str">
        <f t="shared" si="37"/>
        <v>Tropical Mountain Moist</v>
      </c>
      <c r="B932" s="3072">
        <v>0</v>
      </c>
      <c r="C932" s="3031"/>
      <c r="D932" s="3031"/>
      <c r="E932" s="3031"/>
      <c r="F932" s="3031"/>
      <c r="G932" s="71"/>
      <c r="I932" s="105"/>
    </row>
    <row r="933" spans="1:10" s="1881" customFormat="1">
      <c r="A933" s="1881" t="str">
        <f t="shared" si="37"/>
        <v>Tropical Dry</v>
      </c>
      <c r="B933" s="3072">
        <v>0</v>
      </c>
      <c r="C933" s="3031"/>
      <c r="D933" s="3031"/>
      <c r="E933" s="3031"/>
      <c r="F933" s="3031"/>
      <c r="G933" s="71"/>
      <c r="I933" s="105"/>
    </row>
    <row r="934" spans="1:10" s="1881" customFormat="1">
      <c r="A934" s="1881" t="str">
        <f t="shared" si="37"/>
        <v>Tropical Moist</v>
      </c>
      <c r="B934" s="3072">
        <v>0</v>
      </c>
      <c r="C934" s="3031"/>
      <c r="D934" s="3031"/>
      <c r="E934" s="3031"/>
      <c r="F934" s="3031"/>
      <c r="G934" s="71"/>
      <c r="I934" s="105"/>
    </row>
    <row r="935" spans="1:10" s="1881" customFormat="1">
      <c r="A935" s="1881" t="str">
        <f t="shared" si="37"/>
        <v>Tropical Wet</v>
      </c>
      <c r="B935" s="3072">
        <v>0</v>
      </c>
      <c r="C935" s="3031"/>
      <c r="D935" s="3031"/>
      <c r="E935" s="3031"/>
      <c r="F935" s="3031"/>
      <c r="G935" s="71"/>
      <c r="I935" s="105"/>
    </row>
    <row r="936" spans="1:10">
      <c r="A936" s="3013" t="s">
        <v>5574</v>
      </c>
      <c r="B936" s="101"/>
      <c r="C936" s="101"/>
      <c r="D936" s="101"/>
      <c r="E936" s="87"/>
      <c r="F936" s="87"/>
      <c r="G936" s="101"/>
      <c r="H936" s="87"/>
      <c r="I936" s="104"/>
      <c r="J936" s="87"/>
    </row>
    <row r="937" spans="1:10">
      <c r="A937" s="87" t="s">
        <v>293</v>
      </c>
      <c r="B937" s="3013" t="s">
        <v>5538</v>
      </c>
      <c r="C937" s="101"/>
      <c r="D937" s="3008"/>
      <c r="E937" s="3007" t="s">
        <v>5566</v>
      </c>
      <c r="F937" s="87"/>
      <c r="G937" s="101"/>
      <c r="H937" s="87"/>
      <c r="I937" s="104"/>
      <c r="J937" s="87"/>
    </row>
    <row r="938" spans="1:10">
      <c r="A938" s="87"/>
      <c r="B938" s="3005" t="s">
        <v>5534</v>
      </c>
      <c r="C938" s="3005" t="s">
        <v>387</v>
      </c>
      <c r="D938" s="3014" t="s">
        <v>1091</v>
      </c>
      <c r="E938" s="3014" t="s">
        <v>5540</v>
      </c>
      <c r="F938" s="3014" t="s">
        <v>329</v>
      </c>
      <c r="G938" s="101"/>
      <c r="H938" s="3013" t="s">
        <v>5541</v>
      </c>
      <c r="I938" s="104"/>
      <c r="J938" s="87"/>
    </row>
    <row r="939" spans="1:10">
      <c r="A939" s="87" t="str">
        <f t="shared" ref="A939:A950" si="38">A924</f>
        <v>Please select</v>
      </c>
      <c r="B939" s="87"/>
      <c r="C939" s="87"/>
      <c r="D939" s="87"/>
      <c r="E939" s="87"/>
      <c r="F939" s="87"/>
      <c r="G939" s="87"/>
      <c r="H939" s="87"/>
      <c r="I939" s="87"/>
      <c r="J939" s="87"/>
    </row>
    <row r="940" spans="1:10">
      <c r="A940" s="1881" t="str">
        <f t="shared" si="38"/>
        <v>Boreal Dry</v>
      </c>
      <c r="B940" s="3009">
        <v>0.22</v>
      </c>
      <c r="C940" s="3011">
        <f>B940</f>
        <v>0.22</v>
      </c>
      <c r="D940" s="3009">
        <v>13</v>
      </c>
      <c r="E940" s="3009">
        <f>D940</f>
        <v>13</v>
      </c>
      <c r="F940" s="3009">
        <v>9.5</v>
      </c>
      <c r="G940" s="71"/>
      <c r="H940" s="3030">
        <f>3.2/0.22</f>
        <v>14.545454545454547</v>
      </c>
      <c r="I940" s="3029" t="s">
        <v>5542</v>
      </c>
      <c r="J940" s="1881"/>
    </row>
    <row r="941" spans="1:10">
      <c r="A941" s="1881" t="str">
        <f t="shared" si="38"/>
        <v>Boreal Moist</v>
      </c>
      <c r="B941" s="3009">
        <v>0.22</v>
      </c>
      <c r="C941" s="3011">
        <f t="shared" ref="C941:C943" si="39">B941</f>
        <v>0.22</v>
      </c>
      <c r="D941" s="3009">
        <v>13</v>
      </c>
      <c r="E941" s="3009">
        <f t="shared" ref="E941:E950" si="40">D941</f>
        <v>13</v>
      </c>
      <c r="F941" s="3009">
        <v>9.5</v>
      </c>
      <c r="G941" s="71"/>
      <c r="H941" s="3030">
        <f>H940</f>
        <v>14.545454545454547</v>
      </c>
      <c r="I941" s="3029" t="s">
        <v>5542</v>
      </c>
      <c r="J941" s="1881"/>
    </row>
    <row r="942" spans="1:10">
      <c r="A942" s="1881" t="str">
        <f t="shared" si="38"/>
        <v>Cool Temperate Dry</v>
      </c>
      <c r="B942" s="3009">
        <v>2.8</v>
      </c>
      <c r="C942" s="3011">
        <f t="shared" si="39"/>
        <v>2.8</v>
      </c>
      <c r="D942" s="3009">
        <v>13</v>
      </c>
      <c r="E942" s="3009">
        <f t="shared" si="40"/>
        <v>13</v>
      </c>
      <c r="F942" s="3009">
        <v>4.3</v>
      </c>
      <c r="G942" s="71"/>
      <c r="H942" s="3030">
        <f>8.2/4.3</f>
        <v>1.9069767441860463</v>
      </c>
      <c r="I942" s="3029" t="s">
        <v>5543</v>
      </c>
      <c r="J942" s="1881"/>
    </row>
    <row r="943" spans="1:10">
      <c r="A943" s="1881" t="str">
        <f t="shared" si="38"/>
        <v>Cool Temperate Moist</v>
      </c>
      <c r="B943" s="3009">
        <v>2.8</v>
      </c>
      <c r="C943" s="3011">
        <f t="shared" si="39"/>
        <v>2.8</v>
      </c>
      <c r="D943" s="3009">
        <v>13</v>
      </c>
      <c r="E943" s="3009">
        <f t="shared" si="40"/>
        <v>13</v>
      </c>
      <c r="F943" s="3009">
        <v>4.3</v>
      </c>
      <c r="G943" s="71"/>
      <c r="H943" s="3030">
        <f>H942</f>
        <v>1.9069767441860463</v>
      </c>
      <c r="I943" s="3029" t="s">
        <v>5543</v>
      </c>
      <c r="J943" s="1881"/>
    </row>
    <row r="944" spans="1:10">
      <c r="A944" s="1881" t="str">
        <f t="shared" si="38"/>
        <v>Warm Temperate Dry</v>
      </c>
      <c r="B944" s="3009">
        <v>2.4</v>
      </c>
      <c r="C944" s="3011">
        <f>AVERAGE(1.2,3.3)</f>
        <v>2.25</v>
      </c>
      <c r="D944" s="3009">
        <v>5</v>
      </c>
      <c r="E944" s="3009">
        <f t="shared" si="40"/>
        <v>5</v>
      </c>
      <c r="F944" s="3009">
        <v>5</v>
      </c>
      <c r="G944" s="71"/>
      <c r="H944" s="3030"/>
      <c r="I944" s="3029"/>
      <c r="J944" s="1881"/>
    </row>
    <row r="945" spans="1:10">
      <c r="A945" s="1881" t="str">
        <f t="shared" si="38"/>
        <v>Warm Temperate Moist</v>
      </c>
      <c r="B945" s="3009">
        <v>2.4</v>
      </c>
      <c r="C945" s="3011">
        <f t="shared" ref="C945:C950" si="41">AVERAGE(1.2,3.3)</f>
        <v>2.25</v>
      </c>
      <c r="D945" s="3009">
        <v>5</v>
      </c>
      <c r="E945" s="3009">
        <f t="shared" si="40"/>
        <v>5</v>
      </c>
      <c r="F945" s="3009">
        <v>5</v>
      </c>
      <c r="G945" s="71"/>
      <c r="H945" s="3030"/>
      <c r="I945" s="3029"/>
      <c r="J945" s="1881"/>
    </row>
    <row r="946" spans="1:10">
      <c r="A946" s="1881" t="str">
        <f t="shared" si="38"/>
        <v>Tropical Mountain Dry</v>
      </c>
      <c r="B946" s="3009">
        <v>2.4</v>
      </c>
      <c r="C946" s="3011">
        <f t="shared" si="41"/>
        <v>2.25</v>
      </c>
      <c r="D946" s="3009">
        <v>5</v>
      </c>
      <c r="E946" s="3009">
        <f t="shared" si="40"/>
        <v>5</v>
      </c>
      <c r="F946" s="3009">
        <v>5</v>
      </c>
      <c r="G946" s="71"/>
      <c r="H946" s="1881"/>
      <c r="I946" s="105"/>
      <c r="J946" s="1881"/>
    </row>
    <row r="947" spans="1:10">
      <c r="A947" s="1881" t="str">
        <f t="shared" si="38"/>
        <v>Tropical Mountain Moist</v>
      </c>
      <c r="B947" s="3009">
        <v>2.4</v>
      </c>
      <c r="C947" s="3011">
        <f t="shared" si="41"/>
        <v>2.25</v>
      </c>
      <c r="D947" s="3009">
        <v>5</v>
      </c>
      <c r="E947" s="3009">
        <f t="shared" si="40"/>
        <v>5</v>
      </c>
      <c r="F947" s="3009">
        <v>5</v>
      </c>
      <c r="G947" s="71"/>
      <c r="H947" s="1881"/>
      <c r="I947" s="105"/>
      <c r="J947" s="1881"/>
    </row>
    <row r="948" spans="1:10">
      <c r="A948" s="1881" t="str">
        <f t="shared" si="38"/>
        <v>Tropical Dry</v>
      </c>
      <c r="B948" s="3009">
        <v>2.4</v>
      </c>
      <c r="C948" s="3011">
        <f t="shared" si="41"/>
        <v>2.25</v>
      </c>
      <c r="D948" s="3009">
        <v>5</v>
      </c>
      <c r="E948" s="3009">
        <f t="shared" si="40"/>
        <v>5</v>
      </c>
      <c r="F948" s="3009">
        <v>5</v>
      </c>
      <c r="G948" s="71"/>
      <c r="H948" s="1881"/>
      <c r="I948" s="105"/>
      <c r="J948" s="1881"/>
    </row>
    <row r="949" spans="1:10">
      <c r="A949" s="1881" t="str">
        <f t="shared" si="38"/>
        <v>Tropical Moist</v>
      </c>
      <c r="B949" s="3009">
        <v>2.4</v>
      </c>
      <c r="C949" s="3011">
        <f t="shared" si="41"/>
        <v>2.25</v>
      </c>
      <c r="D949" s="3009">
        <v>5</v>
      </c>
      <c r="E949" s="3009">
        <f t="shared" si="40"/>
        <v>5</v>
      </c>
      <c r="F949" s="3009">
        <v>5</v>
      </c>
      <c r="G949" s="71"/>
      <c r="H949" s="1881"/>
      <c r="I949" s="105"/>
      <c r="J949" s="1881"/>
    </row>
    <row r="950" spans="1:10">
      <c r="A950" s="1881" t="str">
        <f t="shared" si="38"/>
        <v>Tropical Wet</v>
      </c>
      <c r="B950" s="3009">
        <v>2.4</v>
      </c>
      <c r="C950" s="3011">
        <f t="shared" si="41"/>
        <v>2.25</v>
      </c>
      <c r="D950" s="3009">
        <v>5</v>
      </c>
      <c r="E950" s="3009">
        <f t="shared" si="40"/>
        <v>5</v>
      </c>
      <c r="F950" s="3009">
        <v>5</v>
      </c>
      <c r="G950" s="71"/>
      <c r="H950" s="1881"/>
      <c r="I950" s="105"/>
      <c r="J950" s="1881"/>
    </row>
    <row r="951" spans="1:10" s="2028" customFormat="1">
      <c r="A951" s="3013" t="s">
        <v>5591</v>
      </c>
      <c r="B951" s="101"/>
      <c r="C951" s="101"/>
      <c r="D951" s="101"/>
      <c r="E951" s="87"/>
      <c r="F951" s="87"/>
      <c r="G951" s="101"/>
      <c r="H951" s="87"/>
      <c r="I951" s="104"/>
      <c r="J951" s="87"/>
    </row>
    <row r="952" spans="1:10" s="2028" customFormat="1">
      <c r="A952" s="87" t="s">
        <v>293</v>
      </c>
      <c r="B952" s="3013" t="s">
        <v>5588</v>
      </c>
      <c r="C952" s="101"/>
      <c r="D952" s="3008"/>
      <c r="E952" s="3007"/>
      <c r="F952" s="87"/>
      <c r="G952" s="101"/>
      <c r="H952" s="87"/>
      <c r="I952" s="104"/>
      <c r="J952" s="87"/>
    </row>
    <row r="953" spans="1:10" s="2028" customFormat="1">
      <c r="A953" s="87"/>
      <c r="B953" s="3005" t="s">
        <v>5586</v>
      </c>
      <c r="C953" s="3007" t="s">
        <v>5587</v>
      </c>
      <c r="D953" s="3014"/>
      <c r="E953" s="3014"/>
      <c r="F953" s="3014"/>
      <c r="G953" s="101"/>
      <c r="H953" s="3013"/>
      <c r="I953" s="104"/>
      <c r="J953" s="87"/>
    </row>
    <row r="954" spans="1:10" s="2028" customFormat="1">
      <c r="A954" s="87" t="str">
        <f t="shared" ref="A954:A965" si="42">A939</f>
        <v>Please select</v>
      </c>
      <c r="B954" s="87"/>
      <c r="C954" s="87"/>
      <c r="D954" s="87"/>
      <c r="E954" s="87"/>
      <c r="F954" s="87"/>
      <c r="G954" s="87"/>
      <c r="H954" s="87"/>
      <c r="I954" s="87"/>
      <c r="J954" s="87"/>
    </row>
    <row r="955" spans="1:10" s="2028" customFormat="1">
      <c r="A955" s="1881" t="str">
        <f t="shared" si="42"/>
        <v>Boreal Dry</v>
      </c>
      <c r="B955" s="3009">
        <v>0.12</v>
      </c>
      <c r="C955" s="3011"/>
      <c r="D955" s="3009"/>
      <c r="E955" s="3009"/>
      <c r="F955" s="3009"/>
      <c r="G955" s="71"/>
      <c r="H955" s="3030"/>
      <c r="I955" s="3029"/>
      <c r="J955" s="1881"/>
    </row>
    <row r="956" spans="1:10" s="2028" customFormat="1">
      <c r="A956" s="1881" t="str">
        <f t="shared" si="42"/>
        <v>Boreal Moist</v>
      </c>
      <c r="B956" s="3009">
        <v>0.12</v>
      </c>
      <c r="C956" s="3011"/>
      <c r="D956" s="3009"/>
      <c r="E956" s="3009"/>
      <c r="F956" s="3009"/>
      <c r="G956" s="71"/>
      <c r="H956" s="3030"/>
      <c r="I956" s="3029"/>
      <c r="J956" s="1881"/>
    </row>
    <row r="957" spans="1:10" s="2028" customFormat="1">
      <c r="A957" s="1881" t="str">
        <f t="shared" si="42"/>
        <v>Cool Temperate Dry</v>
      </c>
      <c r="B957" s="3009">
        <v>0.31</v>
      </c>
      <c r="C957" s="3011"/>
      <c r="D957" s="3009"/>
      <c r="E957" s="3009"/>
      <c r="F957" s="3009"/>
      <c r="G957" s="71"/>
      <c r="H957" s="3030"/>
      <c r="I957" s="3029"/>
      <c r="J957" s="1881"/>
    </row>
    <row r="958" spans="1:10" s="2028" customFormat="1">
      <c r="A958" s="1881" t="str">
        <f t="shared" si="42"/>
        <v>Cool Temperate Moist</v>
      </c>
      <c r="B958" s="3009">
        <v>0.31</v>
      </c>
      <c r="C958" s="3011"/>
      <c r="D958" s="3009"/>
      <c r="E958" s="3009"/>
      <c r="F958" s="3009"/>
      <c r="G958" s="71"/>
      <c r="H958" s="3030"/>
      <c r="I958" s="3029"/>
      <c r="J958" s="1881"/>
    </row>
    <row r="959" spans="1:10" s="2028" customFormat="1">
      <c r="A959" s="1881" t="str">
        <f t="shared" si="42"/>
        <v>Warm Temperate Dry</v>
      </c>
      <c r="B959" s="3009">
        <v>0.31</v>
      </c>
      <c r="C959" s="3011"/>
      <c r="D959" s="3009"/>
      <c r="E959" s="3009"/>
      <c r="F959" s="3009"/>
      <c r="G959" s="71"/>
      <c r="H959" s="3030"/>
      <c r="I959" s="3029"/>
      <c r="J959" s="1881"/>
    </row>
    <row r="960" spans="1:10" s="2028" customFormat="1">
      <c r="A960" s="1881" t="str">
        <f t="shared" si="42"/>
        <v>Warm Temperate Moist</v>
      </c>
      <c r="B960" s="3009">
        <v>0.31</v>
      </c>
      <c r="C960" s="3011"/>
      <c r="D960" s="3009"/>
      <c r="E960" s="3009"/>
      <c r="F960" s="3009"/>
      <c r="G960" s="71"/>
      <c r="H960" s="3030"/>
      <c r="I960" s="3029"/>
      <c r="J960" s="1881"/>
    </row>
    <row r="961" spans="1:10" s="2028" customFormat="1">
      <c r="A961" s="1881" t="str">
        <f t="shared" si="42"/>
        <v>Tropical Mountain Dry</v>
      </c>
      <c r="B961" s="3009">
        <v>0.82</v>
      </c>
      <c r="C961" s="3011"/>
      <c r="D961" s="3009"/>
      <c r="E961" s="3009"/>
      <c r="F961" s="3009"/>
      <c r="G961" s="71"/>
      <c r="H961" s="1881"/>
      <c r="I961" s="105"/>
      <c r="J961" s="1881"/>
    </row>
    <row r="962" spans="1:10" s="2028" customFormat="1">
      <c r="A962" s="1881" t="str">
        <f t="shared" si="42"/>
        <v>Tropical Mountain Moist</v>
      </c>
      <c r="B962" s="3009">
        <v>0.82</v>
      </c>
      <c r="C962" s="3011"/>
      <c r="D962" s="3009"/>
      <c r="E962" s="3009"/>
      <c r="F962" s="3009"/>
      <c r="G962" s="71"/>
      <c r="H962" s="1881"/>
      <c r="I962" s="105"/>
      <c r="J962" s="1881"/>
    </row>
    <row r="963" spans="1:10" s="2028" customFormat="1">
      <c r="A963" s="1881" t="str">
        <f t="shared" si="42"/>
        <v>Tropical Dry</v>
      </c>
      <c r="B963" s="3009">
        <v>0.82</v>
      </c>
      <c r="C963" s="3011"/>
      <c r="D963" s="3009"/>
      <c r="E963" s="3009"/>
      <c r="F963" s="3009"/>
      <c r="G963" s="71"/>
      <c r="H963" s="1881"/>
      <c r="I963" s="105"/>
      <c r="J963" s="1881"/>
    </row>
    <row r="964" spans="1:10" s="2028" customFormat="1">
      <c r="A964" s="1881" t="str">
        <f t="shared" si="42"/>
        <v>Tropical Moist</v>
      </c>
      <c r="B964" s="3009">
        <v>0.82</v>
      </c>
      <c r="C964" s="3011"/>
      <c r="D964" s="3009"/>
      <c r="E964" s="3009"/>
      <c r="F964" s="3009"/>
      <c r="G964" s="71"/>
      <c r="H964" s="1881"/>
      <c r="I964" s="105"/>
      <c r="J964" s="1881"/>
    </row>
    <row r="965" spans="1:10" s="2028" customFormat="1">
      <c r="A965" s="1881" t="str">
        <f t="shared" si="42"/>
        <v>Tropical Wet</v>
      </c>
      <c r="B965" s="3009">
        <v>0.82</v>
      </c>
      <c r="C965" s="3011"/>
      <c r="D965" s="3009"/>
      <c r="E965" s="3009"/>
      <c r="F965" s="3009"/>
      <c r="G965" s="71"/>
      <c r="H965" s="1881"/>
      <c r="I965" s="105"/>
      <c r="J965" s="1881"/>
    </row>
    <row r="966" spans="1:10">
      <c r="A966" s="3013" t="s">
        <v>5598</v>
      </c>
      <c r="B966" s="101"/>
      <c r="C966" s="101"/>
      <c r="D966" s="101"/>
      <c r="E966" s="87"/>
      <c r="F966" s="87"/>
      <c r="G966" s="101"/>
      <c r="H966" s="87"/>
      <c r="I966" s="104"/>
      <c r="J966" s="87"/>
    </row>
    <row r="967" spans="1:10">
      <c r="A967" s="87" t="s">
        <v>293</v>
      </c>
      <c r="B967" s="3013" t="s">
        <v>5580</v>
      </c>
      <c r="C967" s="101"/>
      <c r="D967" s="3008"/>
      <c r="E967" s="3007"/>
      <c r="F967" s="87"/>
      <c r="G967" s="101"/>
      <c r="H967" s="87"/>
      <c r="I967" s="104"/>
      <c r="J967" s="87"/>
    </row>
    <row r="968" spans="1:10">
      <c r="A968" s="87"/>
      <c r="B968" s="3005" t="s">
        <v>230</v>
      </c>
      <c r="C968" s="3005" t="s">
        <v>5581</v>
      </c>
      <c r="D968" s="3014"/>
      <c r="E968" s="3014"/>
      <c r="F968" s="3014"/>
      <c r="G968" s="101"/>
      <c r="H968" s="3013"/>
      <c r="I968" s="104"/>
      <c r="J968" s="87"/>
    </row>
    <row r="969" spans="1:10">
      <c r="A969" s="87" t="str">
        <f t="shared" ref="A969:A980" si="43">A954</f>
        <v>Please select</v>
      </c>
      <c r="B969" s="87"/>
      <c r="C969" s="87"/>
      <c r="D969" s="87"/>
      <c r="E969" s="87"/>
      <c r="F969" s="87"/>
      <c r="G969" s="87"/>
      <c r="H969" s="87"/>
      <c r="I969" s="87"/>
      <c r="J969" s="87"/>
    </row>
    <row r="970" spans="1:10">
      <c r="A970" s="1881" t="str">
        <f t="shared" si="43"/>
        <v>Boreal Dry</v>
      </c>
      <c r="B970" s="3009">
        <v>-0.55000000000000004</v>
      </c>
      <c r="C970" s="3011">
        <v>-0.34</v>
      </c>
      <c r="D970" s="3009"/>
      <c r="E970" s="3009"/>
      <c r="F970" s="3009"/>
      <c r="G970" s="71"/>
      <c r="H970" s="3030"/>
      <c r="I970" s="3029"/>
      <c r="J970" s="1881"/>
    </row>
    <row r="971" spans="1:10">
      <c r="A971" s="1881" t="str">
        <f t="shared" si="43"/>
        <v>Boreal Moist</v>
      </c>
      <c r="B971" s="3009">
        <v>-0.55000000000000004</v>
      </c>
      <c r="C971" s="3011">
        <v>-0.34</v>
      </c>
      <c r="D971" s="3009"/>
      <c r="E971" s="3009"/>
      <c r="F971" s="3009"/>
      <c r="G971" s="71"/>
      <c r="H971" s="3030"/>
      <c r="I971" s="3029"/>
      <c r="J971" s="1881"/>
    </row>
    <row r="972" spans="1:10">
      <c r="A972" s="1881" t="str">
        <f t="shared" si="43"/>
        <v>Cool Temperate Dry</v>
      </c>
      <c r="B972" s="3009">
        <v>0.5</v>
      </c>
      <c r="C972" s="3011">
        <v>-0.23</v>
      </c>
      <c r="D972" s="3009"/>
      <c r="E972" s="3009"/>
      <c r="F972" s="3009"/>
      <c r="G972" s="71"/>
      <c r="H972" s="3030"/>
      <c r="I972" s="3029"/>
      <c r="J972" s="1881"/>
    </row>
    <row r="973" spans="1:10">
      <c r="A973" s="1881" t="str">
        <f t="shared" si="43"/>
        <v>Cool Temperate Moist</v>
      </c>
      <c r="B973" s="3009">
        <v>0.5</v>
      </c>
      <c r="C973" s="3011">
        <v>-0.23</v>
      </c>
      <c r="D973" s="3009"/>
      <c r="E973" s="3009"/>
      <c r="F973" s="3009"/>
      <c r="G973" s="71"/>
      <c r="H973" s="3030"/>
      <c r="I973" s="3029"/>
      <c r="J973" s="1881"/>
    </row>
    <row r="974" spans="1:10">
      <c r="A974" s="1881" t="str">
        <f t="shared" si="43"/>
        <v>Warm Temperate Dry</v>
      </c>
      <c r="B974" s="3009">
        <v>0.5</v>
      </c>
      <c r="C974" s="3011">
        <v>-0.23</v>
      </c>
      <c r="D974" s="3009"/>
      <c r="E974" s="3009"/>
      <c r="F974" s="3009"/>
      <c r="G974" s="71"/>
      <c r="H974" s="3030"/>
      <c r="I974" s="3029"/>
      <c r="J974" s="1881"/>
    </row>
    <row r="975" spans="1:10">
      <c r="A975" s="1881" t="str">
        <f t="shared" si="43"/>
        <v>Warm Temperate Moist</v>
      </c>
      <c r="B975" s="3009">
        <v>0.5</v>
      </c>
      <c r="C975" s="3011">
        <v>-0.23</v>
      </c>
      <c r="D975" s="3009"/>
      <c r="E975" s="3009"/>
      <c r="F975" s="3009"/>
      <c r="G975" s="71"/>
      <c r="H975" s="3030"/>
      <c r="I975" s="3029"/>
      <c r="J975" s="1881"/>
    </row>
    <row r="976" spans="1:10">
      <c r="A976" s="1881" t="str">
        <f t="shared" si="43"/>
        <v>Tropical Mountain Dry</v>
      </c>
      <c r="B976" s="3009">
        <v>0</v>
      </c>
      <c r="C976" s="3011">
        <v>0</v>
      </c>
      <c r="D976" s="3009"/>
      <c r="E976" s="3009"/>
      <c r="F976" s="3009"/>
      <c r="G976" s="71"/>
      <c r="H976" s="1881"/>
      <c r="I976" s="105"/>
      <c r="J976" s="1881"/>
    </row>
    <row r="977" spans="1:10">
      <c r="A977" s="1881" t="str">
        <f t="shared" si="43"/>
        <v>Tropical Mountain Moist</v>
      </c>
      <c r="B977" s="3009">
        <v>0</v>
      </c>
      <c r="C977" s="3011">
        <v>0</v>
      </c>
      <c r="D977" s="3009"/>
      <c r="E977" s="3009"/>
      <c r="F977" s="3009"/>
      <c r="G977" s="71"/>
      <c r="H977" s="1881"/>
      <c r="I977" s="105"/>
      <c r="J977" s="1881"/>
    </row>
    <row r="978" spans="1:10">
      <c r="A978" s="1881" t="str">
        <f t="shared" si="43"/>
        <v>Tropical Dry</v>
      </c>
      <c r="B978" s="3009">
        <v>0</v>
      </c>
      <c r="C978" s="3011">
        <v>0</v>
      </c>
      <c r="D978" s="3009"/>
      <c r="E978" s="3009"/>
      <c r="F978" s="3009"/>
      <c r="G978" s="71"/>
      <c r="H978" s="1881"/>
      <c r="I978" s="105"/>
      <c r="J978" s="1881"/>
    </row>
    <row r="979" spans="1:10">
      <c r="A979" s="1881" t="str">
        <f t="shared" si="43"/>
        <v>Tropical Moist</v>
      </c>
      <c r="B979" s="3009">
        <v>0</v>
      </c>
      <c r="C979" s="3011">
        <v>0</v>
      </c>
      <c r="D979" s="3009"/>
      <c r="E979" s="3009"/>
      <c r="F979" s="3009"/>
      <c r="G979" s="71"/>
      <c r="H979" s="1881"/>
      <c r="I979" s="105"/>
      <c r="J979" s="1881"/>
    </row>
    <row r="980" spans="1:10">
      <c r="A980" s="1881" t="str">
        <f t="shared" si="43"/>
        <v>Tropical Wet</v>
      </c>
      <c r="B980" s="3009">
        <v>0</v>
      </c>
      <c r="C980" s="3011">
        <v>0</v>
      </c>
      <c r="D980" s="3009"/>
      <c r="E980" s="3009"/>
      <c r="F980" s="3009"/>
      <c r="G980" s="71"/>
      <c r="H980" s="1881"/>
      <c r="I980" s="105"/>
      <c r="J980" s="1881"/>
    </row>
    <row r="981" spans="1:10">
      <c r="A981" s="3013" t="s">
        <v>5597</v>
      </c>
      <c r="B981" s="101"/>
      <c r="C981" s="101"/>
      <c r="D981" s="101"/>
      <c r="E981" s="87"/>
      <c r="F981" s="87"/>
      <c r="G981" s="101"/>
      <c r="H981" s="87"/>
      <c r="I981" s="104"/>
      <c r="J981" s="87"/>
    </row>
    <row r="982" spans="1:10">
      <c r="A982" s="87" t="s">
        <v>293</v>
      </c>
      <c r="B982" s="3013" t="s">
        <v>5580</v>
      </c>
      <c r="C982" s="101"/>
      <c r="D982" s="3008"/>
      <c r="E982" s="3007"/>
      <c r="F982" s="87"/>
      <c r="G982" s="101"/>
      <c r="H982" s="87"/>
      <c r="I982" s="104"/>
      <c r="J982" s="87"/>
    </row>
    <row r="983" spans="1:10">
      <c r="A983" s="87"/>
      <c r="B983" s="3005" t="s">
        <v>230</v>
      </c>
      <c r="C983" s="3005" t="s">
        <v>5581</v>
      </c>
      <c r="D983" s="3014"/>
      <c r="E983" s="3014"/>
      <c r="F983" s="3014"/>
      <c r="G983" s="101"/>
      <c r="H983" s="3013"/>
      <c r="I983" s="104"/>
      <c r="J983" s="87"/>
    </row>
    <row r="984" spans="1:10">
      <c r="A984" s="87" t="str">
        <f t="shared" ref="A984:A995" si="44">A969</f>
        <v>Please select</v>
      </c>
      <c r="B984" s="87"/>
      <c r="C984" s="87"/>
      <c r="D984" s="87"/>
      <c r="E984" s="87"/>
      <c r="F984" s="87"/>
      <c r="G984" s="87"/>
      <c r="H984" s="87"/>
      <c r="I984" s="87"/>
      <c r="J984" s="87"/>
    </row>
    <row r="985" spans="1:10">
      <c r="A985" s="1881" t="str">
        <f t="shared" si="44"/>
        <v>Boreal Dry</v>
      </c>
      <c r="B985" s="3009">
        <v>0.08</v>
      </c>
      <c r="C985" s="3011">
        <f>B985</f>
        <v>0.08</v>
      </c>
      <c r="D985" s="3009"/>
      <c r="E985" s="3009"/>
      <c r="F985" s="3009"/>
      <c r="G985" s="71"/>
      <c r="H985" s="3030"/>
      <c r="I985" s="3029"/>
      <c r="J985" s="1881"/>
    </row>
    <row r="986" spans="1:10">
      <c r="A986" s="1881" t="str">
        <f t="shared" si="44"/>
        <v>Boreal Moist</v>
      </c>
      <c r="B986" s="3009">
        <v>0.08</v>
      </c>
      <c r="C986" s="3011">
        <f t="shared" ref="C986:C995" si="45">B986</f>
        <v>0.08</v>
      </c>
      <c r="D986" s="3009"/>
      <c r="E986" s="3009"/>
      <c r="F986" s="3009"/>
      <c r="G986" s="71"/>
      <c r="H986" s="3030"/>
      <c r="I986" s="3029"/>
      <c r="J986" s="1881"/>
    </row>
    <row r="987" spans="1:10">
      <c r="A987" s="1881" t="str">
        <f t="shared" si="44"/>
        <v>Cool Temperate Dry</v>
      </c>
      <c r="B987" s="3009">
        <v>0.24</v>
      </c>
      <c r="C987" s="3011">
        <f t="shared" si="45"/>
        <v>0.24</v>
      </c>
      <c r="D987" s="3009"/>
      <c r="E987" s="3009"/>
      <c r="F987" s="3009"/>
      <c r="G987" s="71"/>
      <c r="H987" s="3030"/>
      <c r="I987" s="3029"/>
      <c r="J987" s="1881"/>
    </row>
    <row r="988" spans="1:10">
      <c r="A988" s="1881" t="str">
        <f t="shared" si="44"/>
        <v>Cool Temperate Moist</v>
      </c>
      <c r="B988" s="3009">
        <v>0.24</v>
      </c>
      <c r="C988" s="3011">
        <f t="shared" si="45"/>
        <v>0.24</v>
      </c>
      <c r="D988" s="3009"/>
      <c r="E988" s="3009"/>
      <c r="F988" s="3009"/>
      <c r="G988" s="71"/>
      <c r="H988" s="3030"/>
      <c r="I988" s="3029"/>
      <c r="J988" s="1881"/>
    </row>
    <row r="989" spans="1:10">
      <c r="A989" s="1881" t="str">
        <f t="shared" si="44"/>
        <v>Warm Temperate Dry</v>
      </c>
      <c r="B989" s="3009">
        <v>0.24</v>
      </c>
      <c r="C989" s="3011">
        <f t="shared" si="45"/>
        <v>0.24</v>
      </c>
      <c r="D989" s="3009"/>
      <c r="E989" s="3009"/>
      <c r="F989" s="3009"/>
      <c r="G989" s="71"/>
      <c r="H989" s="3030"/>
      <c r="I989" s="3029"/>
      <c r="J989" s="1881"/>
    </row>
    <row r="990" spans="1:10">
      <c r="A990" s="1881" t="str">
        <f t="shared" si="44"/>
        <v>Warm Temperate Moist</v>
      </c>
      <c r="B990" s="3009">
        <v>0.24</v>
      </c>
      <c r="C990" s="3011">
        <f t="shared" si="45"/>
        <v>0.24</v>
      </c>
      <c r="D990" s="3009"/>
      <c r="E990" s="3009"/>
      <c r="F990" s="3009"/>
      <c r="G990" s="71"/>
      <c r="H990" s="3030"/>
      <c r="I990" s="3029"/>
      <c r="J990" s="1881"/>
    </row>
    <row r="991" spans="1:10">
      <c r="A991" s="1881" t="str">
        <f t="shared" si="44"/>
        <v>Tropical Mountain Dry</v>
      </c>
      <c r="B991" s="3009">
        <v>0.51</v>
      </c>
      <c r="C991" s="3011">
        <f t="shared" si="45"/>
        <v>0.51</v>
      </c>
      <c r="D991" s="3009"/>
      <c r="E991" s="3009"/>
      <c r="F991" s="3009"/>
      <c r="G991" s="71"/>
      <c r="H991" s="1881"/>
      <c r="I991" s="105"/>
      <c r="J991" s="1881"/>
    </row>
    <row r="992" spans="1:10">
      <c r="A992" s="1881" t="str">
        <f t="shared" si="44"/>
        <v>Tropical Mountain Moist</v>
      </c>
      <c r="B992" s="3009">
        <v>0.51</v>
      </c>
      <c r="C992" s="3011">
        <f t="shared" si="45"/>
        <v>0.51</v>
      </c>
      <c r="D992" s="3009"/>
      <c r="E992" s="3009"/>
      <c r="F992" s="3009"/>
      <c r="G992" s="71"/>
      <c r="H992" s="1881"/>
      <c r="I992" s="105"/>
      <c r="J992" s="1881"/>
    </row>
    <row r="993" spans="1:10">
      <c r="A993" s="1881" t="str">
        <f t="shared" si="44"/>
        <v>Tropical Dry</v>
      </c>
      <c r="B993" s="3009">
        <v>0.51</v>
      </c>
      <c r="C993" s="3011">
        <f t="shared" si="45"/>
        <v>0.51</v>
      </c>
      <c r="D993" s="3009"/>
      <c r="E993" s="3009"/>
      <c r="F993" s="3009"/>
      <c r="G993" s="71"/>
      <c r="H993" s="1881"/>
      <c r="I993" s="105"/>
      <c r="J993" s="1881"/>
    </row>
    <row r="994" spans="1:10">
      <c r="A994" s="1881" t="str">
        <f t="shared" si="44"/>
        <v>Tropical Moist</v>
      </c>
      <c r="B994" s="3009">
        <v>0.51</v>
      </c>
      <c r="C994" s="3011">
        <f t="shared" si="45"/>
        <v>0.51</v>
      </c>
      <c r="D994" s="3009"/>
      <c r="E994" s="3009"/>
      <c r="F994" s="3009"/>
      <c r="G994" s="71"/>
      <c r="H994" s="1881"/>
      <c r="I994" s="105"/>
      <c r="J994" s="1881"/>
    </row>
    <row r="995" spans="1:10">
      <c r="A995" s="1881" t="str">
        <f t="shared" si="44"/>
        <v>Tropical Wet</v>
      </c>
      <c r="B995" s="3009">
        <v>0.51</v>
      </c>
      <c r="C995" s="3011">
        <f t="shared" si="45"/>
        <v>0.51</v>
      </c>
      <c r="D995" s="3009"/>
      <c r="E995" s="3009"/>
      <c r="F995" s="3009"/>
      <c r="G995" s="71"/>
      <c r="H995" s="1881"/>
      <c r="I995" s="105"/>
      <c r="J995" s="1881"/>
    </row>
    <row r="996" spans="1:10">
      <c r="A996" s="3013" t="s">
        <v>5595</v>
      </c>
      <c r="B996" s="101"/>
      <c r="C996" s="101"/>
      <c r="D996" s="101"/>
      <c r="E996" s="87"/>
      <c r="F996" s="87"/>
      <c r="G996" s="101"/>
      <c r="H996" s="87"/>
      <c r="I996" s="104"/>
      <c r="J996" s="87"/>
    </row>
    <row r="997" spans="1:10">
      <c r="A997" s="87" t="s">
        <v>293</v>
      </c>
      <c r="B997" s="3013" t="s">
        <v>5596</v>
      </c>
      <c r="C997" s="101"/>
      <c r="D997" s="3008"/>
      <c r="E997" s="3007"/>
      <c r="F997" s="87"/>
      <c r="G997" s="101"/>
      <c r="H997" s="87"/>
      <c r="I997" s="104"/>
      <c r="J997" s="87"/>
    </row>
    <row r="998" spans="1:10">
      <c r="A998" s="87"/>
      <c r="B998" s="3005" t="s">
        <v>230</v>
      </c>
      <c r="C998" s="3005" t="s">
        <v>5581</v>
      </c>
      <c r="D998" s="3014"/>
      <c r="E998" s="3014"/>
      <c r="F998" s="3014"/>
      <c r="G998" s="101"/>
      <c r="H998" s="3013"/>
      <c r="I998" s="104"/>
      <c r="J998" s="87"/>
    </row>
    <row r="999" spans="1:10">
      <c r="A999" s="87" t="str">
        <f t="shared" ref="A999:A1010" si="46">A984</f>
        <v>Please select</v>
      </c>
      <c r="B999" s="87"/>
      <c r="C999" s="87"/>
      <c r="D999" s="87"/>
      <c r="E999" s="87"/>
      <c r="F999" s="87"/>
      <c r="G999" s="87"/>
      <c r="H999" s="87"/>
      <c r="I999" s="87"/>
      <c r="J999" s="87"/>
    </row>
    <row r="1000" spans="1:10">
      <c r="A1000" s="1881" t="str">
        <f t="shared" si="46"/>
        <v>Boreal Dry</v>
      </c>
      <c r="B1000" s="3009">
        <v>137</v>
      </c>
      <c r="C1000" s="3031">
        <v>41</v>
      </c>
      <c r="D1000" s="3009"/>
      <c r="E1000" s="3009"/>
      <c r="F1000" s="3009"/>
      <c r="G1000" s="71"/>
      <c r="H1000" s="3030"/>
      <c r="I1000" s="3029"/>
      <c r="J1000" s="1881"/>
    </row>
    <row r="1001" spans="1:10">
      <c r="A1001" s="1881" t="str">
        <f t="shared" si="46"/>
        <v>Boreal Moist</v>
      </c>
      <c r="B1001" s="3009">
        <v>137</v>
      </c>
      <c r="C1001" s="3031">
        <v>41</v>
      </c>
      <c r="D1001" s="3009"/>
      <c r="E1001" s="3009"/>
      <c r="F1001" s="3009"/>
      <c r="G1001" s="71"/>
      <c r="H1001" s="3030"/>
      <c r="I1001" s="3029"/>
      <c r="J1001" s="1881"/>
    </row>
    <row r="1002" spans="1:10">
      <c r="A1002" s="1881" t="str">
        <f t="shared" si="46"/>
        <v>Cool Temperate Dry</v>
      </c>
      <c r="B1002" s="3009">
        <v>216</v>
      </c>
      <c r="C1002" s="3031">
        <v>92</v>
      </c>
      <c r="D1002" s="3009"/>
      <c r="E1002" s="3009"/>
      <c r="F1002" s="3009"/>
      <c r="G1002" s="71"/>
      <c r="H1002" s="3030"/>
      <c r="I1002" s="3029"/>
      <c r="J1002" s="1881"/>
    </row>
    <row r="1003" spans="1:10">
      <c r="A1003" s="1881" t="str">
        <f t="shared" si="46"/>
        <v>Cool Temperate Moist</v>
      </c>
      <c r="B1003" s="3009">
        <v>216</v>
      </c>
      <c r="C1003" s="3031">
        <v>92</v>
      </c>
      <c r="D1003" s="3009"/>
      <c r="E1003" s="3009"/>
      <c r="F1003" s="3009"/>
      <c r="G1003" s="71"/>
      <c r="H1003" s="3030"/>
      <c r="I1003" s="3029"/>
      <c r="J1003" s="1881"/>
    </row>
    <row r="1004" spans="1:10">
      <c r="A1004" s="1881" t="str">
        <f t="shared" si="46"/>
        <v>Warm Temperate Dry</v>
      </c>
      <c r="B1004" s="3009">
        <v>216</v>
      </c>
      <c r="C1004" s="3031">
        <v>92</v>
      </c>
      <c r="D1004" s="3009"/>
      <c r="E1004" s="3009"/>
      <c r="F1004" s="3009"/>
      <c r="G1004" s="71"/>
      <c r="H1004" s="3030"/>
      <c r="I1004" s="3029"/>
      <c r="J1004" s="1881"/>
    </row>
    <row r="1005" spans="1:10">
      <c r="A1005" s="1881" t="str">
        <f t="shared" si="46"/>
        <v>Warm Temperate Moist</v>
      </c>
      <c r="B1005" s="3009">
        <v>216</v>
      </c>
      <c r="C1005" s="3031">
        <v>92</v>
      </c>
      <c r="D1005" s="3009"/>
      <c r="E1005" s="3009"/>
      <c r="F1005" s="3009"/>
      <c r="G1005" s="71"/>
      <c r="H1005" s="3030"/>
      <c r="I1005" s="3029"/>
      <c r="J1005" s="1881"/>
    </row>
    <row r="1006" spans="1:10">
      <c r="A1006" s="1881" t="str">
        <f t="shared" si="46"/>
        <v>Tropical Mountain Dry</v>
      </c>
      <c r="B1006" s="3009">
        <v>41</v>
      </c>
      <c r="C1006" s="3031">
        <f t="shared" ref="C1006:C1010" si="47">B1006</f>
        <v>41</v>
      </c>
      <c r="D1006" s="3009"/>
      <c r="E1006" s="3009"/>
      <c r="F1006" s="3009"/>
      <c r="G1006" s="71"/>
      <c r="H1006" s="1881"/>
      <c r="I1006" s="105"/>
      <c r="J1006" s="1881"/>
    </row>
    <row r="1007" spans="1:10">
      <c r="A1007" s="1881" t="str">
        <f t="shared" si="46"/>
        <v>Tropical Mountain Moist</v>
      </c>
      <c r="B1007" s="3009">
        <v>41</v>
      </c>
      <c r="C1007" s="3031">
        <f t="shared" si="47"/>
        <v>41</v>
      </c>
      <c r="D1007" s="3009"/>
      <c r="E1007" s="3009"/>
      <c r="F1007" s="3009"/>
      <c r="G1007" s="71"/>
      <c r="H1007" s="1881"/>
      <c r="I1007" s="105"/>
      <c r="J1007" s="1881"/>
    </row>
    <row r="1008" spans="1:10">
      <c r="A1008" s="1881" t="str">
        <f t="shared" si="46"/>
        <v>Tropical Dry</v>
      </c>
      <c r="B1008" s="3009">
        <v>41</v>
      </c>
      <c r="C1008" s="3031">
        <f t="shared" si="47"/>
        <v>41</v>
      </c>
      <c r="D1008" s="3009"/>
      <c r="E1008" s="3009"/>
      <c r="F1008" s="3009"/>
      <c r="G1008" s="71"/>
      <c r="H1008" s="1881"/>
      <c r="I1008" s="105"/>
      <c r="J1008" s="1881"/>
    </row>
    <row r="1009" spans="1:10">
      <c r="A1009" s="1881" t="str">
        <f t="shared" si="46"/>
        <v>Tropical Moist</v>
      </c>
      <c r="B1009" s="3009">
        <v>41</v>
      </c>
      <c r="C1009" s="3031">
        <f t="shared" si="47"/>
        <v>41</v>
      </c>
      <c r="D1009" s="3009"/>
      <c r="E1009" s="3009"/>
      <c r="F1009" s="3009"/>
      <c r="G1009" s="71"/>
      <c r="H1009" s="1881"/>
      <c r="I1009" s="105"/>
      <c r="J1009" s="1881"/>
    </row>
    <row r="1010" spans="1:10">
      <c r="A1010" s="1881" t="str">
        <f t="shared" si="46"/>
        <v>Tropical Wet</v>
      </c>
      <c r="B1010" s="3009">
        <v>41</v>
      </c>
      <c r="C1010" s="3031">
        <f t="shared" si="47"/>
        <v>41</v>
      </c>
      <c r="D1010" s="3009"/>
      <c r="E1010" s="3009"/>
      <c r="F1010" s="3009"/>
      <c r="G1010" s="71"/>
      <c r="H1010" s="1881"/>
      <c r="I1010" s="105"/>
      <c r="J1010" s="1881"/>
    </row>
    <row r="1011" spans="1:10">
      <c r="A1011" s="3013" t="s">
        <v>5602</v>
      </c>
      <c r="B1011" s="101"/>
      <c r="C1011" s="101"/>
      <c r="D1011" s="101"/>
      <c r="E1011" s="87"/>
      <c r="F1011" s="87"/>
      <c r="G1011" s="101"/>
      <c r="H1011" s="87"/>
      <c r="I1011" s="104"/>
      <c r="J1011" s="87"/>
    </row>
    <row r="1012" spans="1:10">
      <c r="A1012" s="87" t="s">
        <v>293</v>
      </c>
      <c r="B1012" s="3013" t="s">
        <v>5603</v>
      </c>
      <c r="C1012" s="101"/>
      <c r="D1012" s="3008"/>
      <c r="E1012" s="3007" t="s">
        <v>5604</v>
      </c>
      <c r="F1012" s="87"/>
      <c r="G1012" s="101"/>
      <c r="H1012" s="87"/>
      <c r="I1012" s="104"/>
      <c r="J1012" s="87"/>
    </row>
    <row r="1013" spans="1:10">
      <c r="A1013" s="87"/>
      <c r="B1013" s="3005" t="s">
        <v>230</v>
      </c>
      <c r="C1013" s="3005" t="s">
        <v>5581</v>
      </c>
      <c r="D1013" s="3014"/>
      <c r="E1013" s="3014"/>
      <c r="F1013" s="3014"/>
      <c r="G1013" s="101"/>
      <c r="H1013" s="3013"/>
      <c r="I1013" s="104"/>
      <c r="J1013" s="87"/>
    </row>
    <row r="1014" spans="1:10">
      <c r="A1014" s="87" t="str">
        <f t="shared" ref="A1014:A1025" si="48">A999</f>
        <v>Please select</v>
      </c>
      <c r="B1014" s="87"/>
      <c r="C1014" s="87"/>
      <c r="D1014" s="87"/>
      <c r="E1014" s="87"/>
      <c r="F1014" s="87"/>
      <c r="G1014" s="87"/>
      <c r="H1014" s="87"/>
      <c r="I1014" s="87"/>
      <c r="J1014" s="87"/>
    </row>
    <row r="1015" spans="1:10">
      <c r="A1015" s="1881" t="str">
        <f t="shared" si="48"/>
        <v>Boreal Dry</v>
      </c>
      <c r="B1015" s="3009">
        <v>0</v>
      </c>
      <c r="C1015" s="3031">
        <f>B1015</f>
        <v>0</v>
      </c>
      <c r="D1015" s="3009"/>
      <c r="E1015" s="3009"/>
      <c r="F1015" s="3009"/>
      <c r="G1015" s="71"/>
      <c r="H1015" s="3030"/>
      <c r="I1015" s="3029"/>
      <c r="J1015" s="1881"/>
    </row>
    <row r="1016" spans="1:10">
      <c r="A1016" s="1881" t="str">
        <f t="shared" si="48"/>
        <v>Boreal Moist</v>
      </c>
      <c r="B1016" s="3009">
        <v>0</v>
      </c>
      <c r="C1016" s="3031">
        <f t="shared" ref="C1016:C1020" si="49">B1016</f>
        <v>0</v>
      </c>
      <c r="D1016" s="3009"/>
      <c r="E1016" s="3009"/>
      <c r="F1016" s="3009"/>
      <c r="G1016" s="71"/>
      <c r="H1016" s="3030"/>
      <c r="I1016" s="3029"/>
      <c r="J1016" s="1881"/>
    </row>
    <row r="1017" spans="1:10">
      <c r="A1017" s="1881" t="str">
        <f t="shared" si="48"/>
        <v>Cool Temperate Dry</v>
      </c>
      <c r="B1017" s="3009">
        <v>0</v>
      </c>
      <c r="C1017" s="3031">
        <f t="shared" si="49"/>
        <v>0</v>
      </c>
      <c r="D1017" s="3009"/>
      <c r="E1017" s="3009"/>
      <c r="F1017" s="3009"/>
      <c r="G1017" s="71"/>
      <c r="H1017" s="3030"/>
      <c r="I1017" s="3029"/>
      <c r="J1017" s="1881"/>
    </row>
    <row r="1018" spans="1:10">
      <c r="A1018" s="1881" t="str">
        <f t="shared" si="48"/>
        <v>Cool Temperate Moist</v>
      </c>
      <c r="B1018" s="3009">
        <v>0</v>
      </c>
      <c r="C1018" s="3031">
        <f t="shared" si="49"/>
        <v>0</v>
      </c>
      <c r="D1018" s="3009"/>
      <c r="E1018" s="3009"/>
      <c r="F1018" s="3009"/>
      <c r="G1018" s="71"/>
      <c r="H1018" s="3030"/>
      <c r="I1018" s="3029"/>
      <c r="J1018" s="1881"/>
    </row>
    <row r="1019" spans="1:10">
      <c r="A1019" s="1881" t="str">
        <f t="shared" si="48"/>
        <v>Warm Temperate Dry</v>
      </c>
      <c r="B1019" s="3009">
        <v>0</v>
      </c>
      <c r="C1019" s="3031">
        <f t="shared" si="49"/>
        <v>0</v>
      </c>
      <c r="D1019" s="3009"/>
      <c r="E1019" s="3009"/>
      <c r="F1019" s="3009"/>
      <c r="G1019" s="71"/>
      <c r="H1019" s="3030"/>
      <c r="I1019" s="3029"/>
      <c r="J1019" s="1881"/>
    </row>
    <row r="1020" spans="1:10">
      <c r="A1020" s="1881" t="str">
        <f t="shared" si="48"/>
        <v>Warm Temperate Moist</v>
      </c>
      <c r="B1020" s="3009">
        <v>0</v>
      </c>
      <c r="C1020" s="3031">
        <f t="shared" si="49"/>
        <v>0</v>
      </c>
      <c r="D1020" s="3009"/>
      <c r="E1020" s="3009"/>
      <c r="F1020" s="3009"/>
      <c r="G1020" s="71"/>
      <c r="H1020" s="3030"/>
      <c r="I1020" s="3029"/>
      <c r="J1020" s="1881"/>
    </row>
    <row r="1021" spans="1:10">
      <c r="A1021" s="1881" t="str">
        <f t="shared" si="48"/>
        <v>Tropical Mountain Dry</v>
      </c>
      <c r="B1021" s="3009">
        <v>0</v>
      </c>
      <c r="C1021" s="3031">
        <f t="shared" ref="C1021:C1025" si="50">B1021</f>
        <v>0</v>
      </c>
      <c r="D1021" s="3009"/>
      <c r="E1021" s="3009"/>
      <c r="F1021" s="3009"/>
      <c r="G1021" s="71"/>
      <c r="H1021" s="1881"/>
      <c r="I1021" s="105"/>
      <c r="J1021" s="1881"/>
    </row>
    <row r="1022" spans="1:10">
      <c r="A1022" s="1881" t="str">
        <f t="shared" si="48"/>
        <v>Tropical Mountain Moist</v>
      </c>
      <c r="B1022" s="3009">
        <v>0</v>
      </c>
      <c r="C1022" s="3031">
        <f t="shared" si="50"/>
        <v>0</v>
      </c>
      <c r="D1022" s="3009"/>
      <c r="E1022" s="3009"/>
      <c r="F1022" s="3009"/>
      <c r="G1022" s="71"/>
      <c r="H1022" s="1881"/>
      <c r="I1022" s="105"/>
      <c r="J1022" s="1881"/>
    </row>
    <row r="1023" spans="1:10">
      <c r="A1023" s="1881" t="str">
        <f t="shared" si="48"/>
        <v>Tropical Dry</v>
      </c>
      <c r="B1023" s="3009">
        <v>0</v>
      </c>
      <c r="C1023" s="3031">
        <f t="shared" si="50"/>
        <v>0</v>
      </c>
      <c r="D1023" s="3009"/>
      <c r="E1023" s="3009"/>
      <c r="F1023" s="3009"/>
      <c r="G1023" s="71"/>
      <c r="H1023" s="1881"/>
      <c r="I1023" s="105"/>
      <c r="J1023" s="1881"/>
    </row>
    <row r="1024" spans="1:10">
      <c r="A1024" s="1881" t="str">
        <f t="shared" si="48"/>
        <v>Tropical Moist</v>
      </c>
      <c r="B1024" s="3009">
        <v>0</v>
      </c>
      <c r="C1024" s="3031">
        <f t="shared" si="50"/>
        <v>0</v>
      </c>
      <c r="D1024" s="3009"/>
      <c r="E1024" s="3009"/>
      <c r="F1024" s="3009"/>
      <c r="G1024" s="71"/>
      <c r="H1024" s="1881"/>
      <c r="I1024" s="105"/>
      <c r="J1024" s="1881"/>
    </row>
    <row r="1025" spans="1:10">
      <c r="A1025" s="1881" t="str">
        <f t="shared" si="48"/>
        <v>Tropical Wet</v>
      </c>
      <c r="B1025" s="3009">
        <v>0</v>
      </c>
      <c r="C1025" s="3031">
        <f t="shared" si="50"/>
        <v>0</v>
      </c>
      <c r="D1025" s="3009"/>
      <c r="E1025" s="3009"/>
      <c r="F1025" s="3009"/>
      <c r="G1025" s="71"/>
      <c r="H1025" s="1881"/>
      <c r="I1025" s="105"/>
      <c r="J1025" s="1881"/>
    </row>
    <row r="1026" spans="1:10">
      <c r="A1026" s="3013" t="s">
        <v>5611</v>
      </c>
      <c r="B1026" s="101"/>
      <c r="C1026" s="101"/>
      <c r="D1026" s="101"/>
      <c r="E1026" s="3013" t="s">
        <v>5613</v>
      </c>
      <c r="F1026" s="3118" t="s">
        <v>5623</v>
      </c>
      <c r="G1026" s="101"/>
      <c r="H1026" s="87"/>
      <c r="I1026" s="104"/>
      <c r="J1026" s="87"/>
    </row>
    <row r="1027" spans="1:10">
      <c r="A1027" s="87" t="s">
        <v>293</v>
      </c>
      <c r="B1027" s="3119" t="s">
        <v>331</v>
      </c>
      <c r="C1027" s="3119" t="s">
        <v>5620</v>
      </c>
      <c r="D1027" s="3119" t="s">
        <v>332</v>
      </c>
      <c r="E1027" s="3007"/>
      <c r="F1027" s="87"/>
      <c r="G1027" s="101"/>
      <c r="H1027" s="87"/>
      <c r="I1027" s="104"/>
      <c r="J1027" s="87"/>
    </row>
    <row r="1028" spans="1:10">
      <c r="A1028" s="87"/>
      <c r="B1028" s="4112" t="s">
        <v>5621</v>
      </c>
      <c r="C1028" s="4112"/>
      <c r="D1028" s="4112"/>
      <c r="E1028" s="3014"/>
      <c r="F1028" s="3014"/>
      <c r="G1028" s="101"/>
      <c r="H1028" s="3013"/>
      <c r="I1028" s="104"/>
      <c r="J1028" s="87"/>
    </row>
    <row r="1029" spans="1:10">
      <c r="A1029" s="87" t="str">
        <f t="shared" ref="A1029:A1040" si="51">A1014</f>
        <v>Please select</v>
      </c>
      <c r="B1029" s="87"/>
      <c r="C1029" s="87"/>
      <c r="D1029" s="87"/>
      <c r="E1029" s="87"/>
      <c r="F1029" s="87"/>
      <c r="G1029" s="87"/>
      <c r="H1029" s="87"/>
      <c r="I1029" s="87"/>
      <c r="J1029" s="87"/>
    </row>
    <row r="1030" spans="1:10">
      <c r="A1030" s="1881" t="str">
        <f t="shared" si="51"/>
        <v>Boreal Dry</v>
      </c>
      <c r="B1030" s="3031">
        <f>362*44/12</f>
        <v>1327.3333333333333</v>
      </c>
      <c r="C1030" s="3031">
        <v>207</v>
      </c>
      <c r="D1030" s="3009">
        <v>9</v>
      </c>
      <c r="E1030" s="3009"/>
      <c r="F1030" s="3009"/>
      <c r="G1030" s="71"/>
      <c r="H1030" s="3030"/>
      <c r="I1030" s="3029"/>
      <c r="J1030" s="1881"/>
    </row>
    <row r="1031" spans="1:10">
      <c r="A1031" s="1881" t="str">
        <f t="shared" si="51"/>
        <v>Boreal Moist</v>
      </c>
      <c r="B1031" s="3031">
        <f>B1030</f>
        <v>1327.3333333333333</v>
      </c>
      <c r="C1031" s="3031">
        <f>C1030</f>
        <v>207</v>
      </c>
      <c r="D1031" s="3009">
        <f>D1030</f>
        <v>9</v>
      </c>
      <c r="E1031" s="3009"/>
      <c r="F1031" s="3009"/>
      <c r="G1031" s="71"/>
      <c r="H1031" s="3030"/>
      <c r="I1031" s="3029"/>
      <c r="J1031" s="1881"/>
    </row>
    <row r="1032" spans="1:10">
      <c r="A1032" s="1881" t="str">
        <f t="shared" si="51"/>
        <v>Cool Temperate Dry</v>
      </c>
      <c r="B1032" s="3031">
        <f t="shared" ref="B1032:B1035" si="52">B1031</f>
        <v>1327.3333333333333</v>
      </c>
      <c r="C1032" s="3031">
        <f t="shared" ref="C1032:C1035" si="53">C1031</f>
        <v>207</v>
      </c>
      <c r="D1032" s="3009">
        <f t="shared" ref="D1032:D1035" si="54">D1031</f>
        <v>9</v>
      </c>
      <c r="E1032" s="3009"/>
      <c r="F1032" s="3009"/>
      <c r="G1032" s="71"/>
      <c r="H1032" s="3030"/>
      <c r="I1032" s="3029"/>
      <c r="J1032" s="1881"/>
    </row>
    <row r="1033" spans="1:10">
      <c r="A1033" s="1881" t="str">
        <f t="shared" si="51"/>
        <v>Cool Temperate Moist</v>
      </c>
      <c r="B1033" s="3031">
        <f t="shared" si="52"/>
        <v>1327.3333333333333</v>
      </c>
      <c r="C1033" s="3031">
        <f t="shared" si="53"/>
        <v>207</v>
      </c>
      <c r="D1033" s="3009">
        <f t="shared" si="54"/>
        <v>9</v>
      </c>
      <c r="E1033" s="3009"/>
      <c r="F1033" s="3009"/>
      <c r="G1033" s="71"/>
      <c r="H1033" s="3030"/>
      <c r="I1033" s="3029"/>
      <c r="J1033" s="1881"/>
    </row>
    <row r="1034" spans="1:10">
      <c r="A1034" s="1881" t="str">
        <f t="shared" si="51"/>
        <v>Warm Temperate Dry</v>
      </c>
      <c r="B1034" s="3031">
        <f t="shared" si="52"/>
        <v>1327.3333333333333</v>
      </c>
      <c r="C1034" s="3031">
        <f t="shared" si="53"/>
        <v>207</v>
      </c>
      <c r="D1034" s="3009">
        <f t="shared" si="54"/>
        <v>9</v>
      </c>
      <c r="E1034" s="3009"/>
      <c r="F1034" s="3009"/>
      <c r="G1034" s="71"/>
      <c r="H1034" s="3030"/>
      <c r="I1034" s="3029"/>
      <c r="J1034" s="1881"/>
    </row>
    <row r="1035" spans="1:10">
      <c r="A1035" s="1881" t="str">
        <f t="shared" si="51"/>
        <v>Warm Temperate Moist</v>
      </c>
      <c r="B1035" s="3031">
        <f t="shared" si="52"/>
        <v>1327.3333333333333</v>
      </c>
      <c r="C1035" s="3031">
        <f t="shared" si="53"/>
        <v>207</v>
      </c>
      <c r="D1035" s="3009">
        <f t="shared" si="54"/>
        <v>9</v>
      </c>
      <c r="E1035" s="3009"/>
      <c r="F1035" s="3009"/>
      <c r="G1035" s="71"/>
      <c r="H1035" s="3030"/>
      <c r="I1035" s="3029"/>
      <c r="J1035" s="1881"/>
    </row>
    <row r="1036" spans="1:10">
      <c r="A1036" s="1881" t="str">
        <f t="shared" si="51"/>
        <v>Tropical Mountain Dry</v>
      </c>
      <c r="B1036" s="3031">
        <f>464*44/12</f>
        <v>1701.3333333333333</v>
      </c>
      <c r="C1036" s="3031">
        <v>210</v>
      </c>
      <c r="D1036" s="3009">
        <v>21</v>
      </c>
      <c r="E1036" s="3009"/>
      <c r="F1036" s="3009"/>
      <c r="G1036" s="71"/>
      <c r="H1036" s="1881"/>
      <c r="I1036" s="105"/>
      <c r="J1036" s="1881"/>
    </row>
    <row r="1037" spans="1:10">
      <c r="A1037" s="1881" t="str">
        <f t="shared" si="51"/>
        <v>Tropical Mountain Moist</v>
      </c>
      <c r="B1037" s="3031">
        <f t="shared" ref="B1037:B1040" si="55">464*44/12</f>
        <v>1701.3333333333333</v>
      </c>
      <c r="C1037" s="3031">
        <v>210</v>
      </c>
      <c r="D1037" s="3009">
        <v>21</v>
      </c>
      <c r="E1037" s="3009"/>
      <c r="F1037" s="3009"/>
      <c r="G1037" s="71"/>
      <c r="H1037" s="1881"/>
      <c r="I1037" s="105"/>
      <c r="J1037" s="1881"/>
    </row>
    <row r="1038" spans="1:10">
      <c r="A1038" s="1881" t="str">
        <f t="shared" si="51"/>
        <v>Tropical Dry</v>
      </c>
      <c r="B1038" s="3031">
        <f t="shared" si="55"/>
        <v>1701.3333333333333</v>
      </c>
      <c r="C1038" s="3031">
        <v>210</v>
      </c>
      <c r="D1038" s="3009">
        <v>21</v>
      </c>
      <c r="E1038" s="3009"/>
      <c r="F1038" s="3009"/>
      <c r="G1038" s="71"/>
      <c r="H1038" s="1881"/>
      <c r="I1038" s="105"/>
      <c r="J1038" s="1881"/>
    </row>
    <row r="1039" spans="1:10">
      <c r="A1039" s="1881" t="str">
        <f t="shared" si="51"/>
        <v>Tropical Moist</v>
      </c>
      <c r="B1039" s="3031">
        <f t="shared" si="55"/>
        <v>1701.3333333333333</v>
      </c>
      <c r="C1039" s="3031">
        <v>210</v>
      </c>
      <c r="D1039" s="3009">
        <v>21</v>
      </c>
      <c r="E1039" s="3009"/>
      <c r="F1039" s="3009"/>
      <c r="G1039" s="71"/>
      <c r="H1039" s="1881"/>
      <c r="I1039" s="105"/>
      <c r="J1039" s="1881"/>
    </row>
    <row r="1040" spans="1:10">
      <c r="A1040" s="1881" t="str">
        <f t="shared" si="51"/>
        <v>Tropical Wet</v>
      </c>
      <c r="B1040" s="3031">
        <f t="shared" si="55"/>
        <v>1701.3333333333333</v>
      </c>
      <c r="C1040" s="3031">
        <v>210</v>
      </c>
      <c r="D1040" s="3009">
        <v>21</v>
      </c>
      <c r="E1040" s="3009"/>
      <c r="F1040" s="3009"/>
      <c r="G1040" s="71"/>
      <c r="H1040" s="1881"/>
      <c r="I1040" s="105"/>
      <c r="J1040" s="1881"/>
    </row>
    <row r="1041" spans="1:10">
      <c r="A1041" s="3013" t="s">
        <v>5619</v>
      </c>
      <c r="B1041" s="101"/>
      <c r="C1041" s="101"/>
      <c r="D1041" s="101"/>
      <c r="E1041" s="3013" t="s">
        <v>5618</v>
      </c>
      <c r="F1041" s="87"/>
      <c r="G1041" s="101"/>
      <c r="H1041" s="87"/>
      <c r="I1041" s="104"/>
      <c r="J1041" s="87"/>
    </row>
    <row r="1042" spans="1:10">
      <c r="A1042" s="87" t="s">
        <v>293</v>
      </c>
      <c r="B1042" s="4113" t="s">
        <v>5622</v>
      </c>
      <c r="C1042" s="4113"/>
      <c r="D1042" s="4113"/>
      <c r="E1042" s="3007"/>
      <c r="F1042" s="87"/>
      <c r="G1042" s="101"/>
      <c r="H1042" s="87"/>
      <c r="I1042" s="104"/>
      <c r="J1042" s="87"/>
    </row>
    <row r="1043" spans="1:10">
      <c r="A1043" s="87"/>
      <c r="B1043" s="3005" t="s">
        <v>5616</v>
      </c>
      <c r="C1043" s="3005" t="s">
        <v>5617</v>
      </c>
      <c r="D1043" s="3014" t="s">
        <v>5612</v>
      </c>
      <c r="E1043" s="3014"/>
      <c r="F1043" s="3014"/>
      <c r="G1043" s="101"/>
      <c r="H1043" s="3013"/>
      <c r="I1043" s="104"/>
      <c r="J1043" s="87"/>
    </row>
    <row r="1044" spans="1:10">
      <c r="A1044" s="87" t="str">
        <f t="shared" ref="A1044:A1055" si="56">A1029</f>
        <v>Please select</v>
      </c>
      <c r="B1044" s="87"/>
      <c r="C1044" s="87"/>
      <c r="D1044" s="87"/>
      <c r="E1044" s="87"/>
      <c r="F1044" s="87"/>
      <c r="G1044" s="87"/>
      <c r="H1044" s="87"/>
      <c r="I1044" s="87"/>
      <c r="J1044" s="87"/>
    </row>
    <row r="1045" spans="1:10">
      <c r="A1045" s="1881" t="str">
        <f t="shared" si="56"/>
        <v>Boreal Dry</v>
      </c>
      <c r="B1045" s="3009">
        <v>66</v>
      </c>
      <c r="C1045" s="3031">
        <v>336</v>
      </c>
      <c r="D1045" s="3009">
        <v>0</v>
      </c>
      <c r="E1045" s="3009"/>
      <c r="F1045" s="3009"/>
      <c r="G1045" s="71"/>
      <c r="H1045" s="3030"/>
      <c r="I1045" s="3029"/>
      <c r="J1045" s="1881"/>
    </row>
    <row r="1046" spans="1:10">
      <c r="A1046" s="1881" t="str">
        <f t="shared" si="56"/>
        <v>Boreal Moist</v>
      </c>
      <c r="B1046" s="3009">
        <v>66</v>
      </c>
      <c r="C1046" s="3031">
        <v>336</v>
      </c>
      <c r="D1046" s="3009">
        <v>0</v>
      </c>
      <c r="E1046" s="3009"/>
      <c r="F1046" s="3009"/>
      <c r="G1046" s="71"/>
      <c r="H1046" s="3030"/>
      <c r="I1046" s="3029"/>
      <c r="J1046" s="1881"/>
    </row>
    <row r="1047" spans="1:10">
      <c r="A1047" s="1881" t="str">
        <f t="shared" si="56"/>
        <v>Cool Temperate Dry</v>
      </c>
      <c r="B1047" s="3009">
        <v>66</v>
      </c>
      <c r="C1047" s="3031">
        <v>336</v>
      </c>
      <c r="D1047" s="3009">
        <v>0</v>
      </c>
      <c r="E1047" s="3009"/>
      <c r="F1047" s="3009"/>
      <c r="G1047" s="71"/>
      <c r="H1047" s="3030"/>
      <c r="I1047" s="3029"/>
      <c r="J1047" s="1881"/>
    </row>
    <row r="1048" spans="1:10">
      <c r="A1048" s="1881" t="str">
        <f t="shared" si="56"/>
        <v>Cool Temperate Moist</v>
      </c>
      <c r="B1048" s="3009">
        <v>66</v>
      </c>
      <c r="C1048" s="3031">
        <v>336</v>
      </c>
      <c r="D1048" s="3009">
        <v>0</v>
      </c>
      <c r="E1048" s="3009"/>
      <c r="F1048" s="3009"/>
      <c r="G1048" s="71"/>
      <c r="H1048" s="3030"/>
      <c r="I1048" s="3029"/>
      <c r="J1048" s="1881"/>
    </row>
    <row r="1049" spans="1:10">
      <c r="A1049" s="1881" t="str">
        <f t="shared" si="56"/>
        <v>Warm Temperate Dry</v>
      </c>
      <c r="B1049" s="3009">
        <v>66</v>
      </c>
      <c r="C1049" s="3031">
        <v>336</v>
      </c>
      <c r="D1049" s="3009">
        <v>0</v>
      </c>
      <c r="E1049" s="3009"/>
      <c r="F1049" s="3009"/>
      <c r="G1049" s="71"/>
      <c r="H1049" s="3030"/>
      <c r="I1049" s="3029"/>
      <c r="J1049" s="1881"/>
    </row>
    <row r="1050" spans="1:10">
      <c r="A1050" s="1881" t="str">
        <f t="shared" si="56"/>
        <v>Warm Temperate Moist</v>
      </c>
      <c r="B1050" s="3009">
        <v>66</v>
      </c>
      <c r="C1050" s="3031">
        <v>336</v>
      </c>
      <c r="D1050" s="3009">
        <v>0</v>
      </c>
      <c r="E1050" s="3009"/>
      <c r="F1050" s="3009"/>
      <c r="G1050" s="71"/>
      <c r="H1050" s="3030"/>
      <c r="I1050" s="3029"/>
      <c r="J1050" s="1881"/>
    </row>
    <row r="1051" spans="1:10">
      <c r="A1051" s="1881" t="str">
        <f t="shared" si="56"/>
        <v>Tropical Mountain Dry</v>
      </c>
      <c r="B1051" s="3009">
        <v>0</v>
      </c>
      <c r="C1051" s="3031">
        <v>353</v>
      </c>
      <c r="D1051" s="3009">
        <v>155</v>
      </c>
      <c r="E1051" s="3009"/>
      <c r="F1051" s="3009"/>
      <c r="G1051" s="71"/>
      <c r="H1051" s="1881"/>
      <c r="I1051" s="105"/>
      <c r="J1051" s="1881"/>
    </row>
    <row r="1052" spans="1:10">
      <c r="A1052" s="1881" t="str">
        <f t="shared" si="56"/>
        <v>Tropical Mountain Moist</v>
      </c>
      <c r="B1052" s="3009">
        <v>0</v>
      </c>
      <c r="C1052" s="3031">
        <v>353</v>
      </c>
      <c r="D1052" s="3009">
        <v>155</v>
      </c>
      <c r="E1052" s="3009"/>
      <c r="F1052" s="3009"/>
      <c r="G1052" s="71"/>
      <c r="H1052" s="1881"/>
      <c r="I1052" s="105"/>
      <c r="J1052" s="1881"/>
    </row>
    <row r="1053" spans="1:10">
      <c r="A1053" s="1881" t="str">
        <f t="shared" si="56"/>
        <v>Tropical Dry</v>
      </c>
      <c r="B1053" s="3009">
        <v>0</v>
      </c>
      <c r="C1053" s="3031">
        <v>353</v>
      </c>
      <c r="D1053" s="3009">
        <v>155</v>
      </c>
      <c r="E1053" s="3009"/>
      <c r="F1053" s="3009"/>
      <c r="G1053" s="71"/>
      <c r="H1053" s="1881"/>
      <c r="I1053" s="105"/>
      <c r="J1053" s="1881"/>
    </row>
    <row r="1054" spans="1:10">
      <c r="A1054" s="1881" t="str">
        <f t="shared" si="56"/>
        <v>Tropical Moist</v>
      </c>
      <c r="B1054" s="3009">
        <v>0</v>
      </c>
      <c r="C1054" s="3031">
        <v>353</v>
      </c>
      <c r="D1054" s="3009">
        <v>155</v>
      </c>
      <c r="E1054" s="3009"/>
      <c r="F1054" s="3009"/>
      <c r="G1054" s="71"/>
      <c r="H1054" s="1881"/>
      <c r="I1054" s="105"/>
      <c r="J1054" s="1881"/>
    </row>
    <row r="1055" spans="1:10">
      <c r="A1055" s="1881" t="str">
        <f t="shared" si="56"/>
        <v>Tropical Wet</v>
      </c>
      <c r="B1055" s="3009">
        <v>0</v>
      </c>
      <c r="C1055" s="3031">
        <v>353</v>
      </c>
      <c r="D1055" s="3009">
        <v>155</v>
      </c>
      <c r="E1055" s="3009"/>
      <c r="F1055" s="3009"/>
      <c r="G1055" s="71"/>
      <c r="H1055" s="1881"/>
      <c r="I1055" s="105"/>
      <c r="J1055" s="1881"/>
    </row>
    <row r="1056" spans="1:10" s="2472" customFormat="1">
      <c r="A1056" s="3187" t="s">
        <v>5652</v>
      </c>
      <c r="B1056" s="3185"/>
      <c r="C1056" s="3185"/>
      <c r="D1056" s="3185"/>
      <c r="G1056" s="3185"/>
      <c r="I1056" s="3186"/>
    </row>
    <row r="1057" spans="1:9" s="2472" customFormat="1">
      <c r="A1057" s="3187" t="s">
        <v>5659</v>
      </c>
      <c r="B1057" s="3188" t="s">
        <v>5653</v>
      </c>
      <c r="C1057" s="3188" t="s">
        <v>5655</v>
      </c>
      <c r="D1057" s="3188" t="s">
        <v>495</v>
      </c>
      <c r="E1057" s="3187" t="s">
        <v>496</v>
      </c>
      <c r="G1057" s="3185"/>
      <c r="I1057" s="3186"/>
    </row>
    <row r="1058" spans="1:9" s="2472" customFormat="1">
      <c r="B1058" s="3188" t="s">
        <v>5654</v>
      </c>
      <c r="C1058" s="3188" t="s">
        <v>5656</v>
      </c>
      <c r="D1058" s="3188" t="s">
        <v>200</v>
      </c>
      <c r="G1058" s="3185"/>
      <c r="I1058" s="3186"/>
    </row>
    <row r="1059" spans="1:9" s="2472" customFormat="1">
      <c r="A1059" s="3189" t="s">
        <v>461</v>
      </c>
      <c r="B1059" s="3187" t="s">
        <v>5622</v>
      </c>
      <c r="C1059" s="3185"/>
      <c r="D1059" s="3188" t="s">
        <v>5657</v>
      </c>
      <c r="G1059" s="3185"/>
      <c r="I1059" s="3186"/>
    </row>
    <row r="1060" spans="1:9" s="1631" customFormat="1">
      <c r="A1060" s="3202" t="str">
        <f>A15</f>
        <v>Please select</v>
      </c>
      <c r="B1060" s="2696"/>
      <c r="C1060" s="2010"/>
      <c r="D1060" s="2010"/>
      <c r="G1060" s="2010"/>
      <c r="I1060" s="2006"/>
    </row>
    <row r="1061" spans="1:9" s="2067" customFormat="1">
      <c r="A1061" s="3197" t="s">
        <v>318</v>
      </c>
      <c r="B1061" s="3198">
        <v>0</v>
      </c>
      <c r="C1061" s="3198">
        <v>0</v>
      </c>
      <c r="D1061" s="3198"/>
      <c r="G1061" s="3198"/>
      <c r="I1061" s="3199"/>
    </row>
    <row r="1062" spans="1:9" s="2067" customFormat="1">
      <c r="A1062" s="3197" t="s">
        <v>317</v>
      </c>
      <c r="B1062" s="3198">
        <v>0</v>
      </c>
      <c r="C1062" s="3198">
        <v>0</v>
      </c>
      <c r="D1062" s="3198"/>
      <c r="G1062" s="3198"/>
      <c r="I1062" s="3199"/>
    </row>
    <row r="1063" spans="1:9" s="2067" customFormat="1">
      <c r="A1063" s="3200" t="s">
        <v>315</v>
      </c>
      <c r="B1063" s="3198">
        <v>0</v>
      </c>
      <c r="C1063" s="3198">
        <v>0</v>
      </c>
      <c r="D1063" s="3198"/>
      <c r="G1063" s="3198"/>
      <c r="I1063" s="3199"/>
    </row>
    <row r="1064" spans="1:9" s="2067" customFormat="1">
      <c r="A1064" s="3200" t="s">
        <v>316</v>
      </c>
      <c r="B1064" s="3198">
        <v>0</v>
      </c>
      <c r="C1064" s="3198">
        <v>0</v>
      </c>
      <c r="D1064" s="3198"/>
      <c r="G1064" s="3198"/>
      <c r="I1064" s="3199"/>
    </row>
    <row r="1065" spans="1:9" s="2067" customFormat="1">
      <c r="A1065" s="3200" t="s">
        <v>314</v>
      </c>
      <c r="B1065" s="3198">
        <v>75</v>
      </c>
      <c r="C1065" s="3198">
        <v>0.96</v>
      </c>
      <c r="D1065" s="3198">
        <v>0.7</v>
      </c>
      <c r="E1065" s="3201">
        <v>10.7</v>
      </c>
      <c r="G1065" s="3198"/>
      <c r="I1065" s="3199"/>
    </row>
    <row r="1066" spans="1:9" s="2067" customFormat="1">
      <c r="A1066" s="3200" t="s">
        <v>466</v>
      </c>
      <c r="B1066" s="3198">
        <v>75</v>
      </c>
      <c r="C1066" s="3198">
        <v>0.96</v>
      </c>
      <c r="D1066" s="3198">
        <v>0.7</v>
      </c>
      <c r="E1066" s="3201">
        <v>10.7</v>
      </c>
      <c r="G1066" s="3198"/>
      <c r="I1066" s="3199"/>
    </row>
    <row r="1067" spans="1:9" s="2067" customFormat="1">
      <c r="A1067" s="3200" t="s">
        <v>6503</v>
      </c>
      <c r="B1067" s="3198">
        <v>0</v>
      </c>
      <c r="C1067" s="3198">
        <v>0</v>
      </c>
      <c r="D1067" s="3198"/>
      <c r="G1067" s="3198"/>
      <c r="I1067" s="3199"/>
    </row>
    <row r="1068" spans="1:9" s="2067" customFormat="1">
      <c r="A1068" s="3200" t="s">
        <v>6502</v>
      </c>
      <c r="B1068" s="3198">
        <v>0</v>
      </c>
      <c r="C1068" s="3198">
        <v>0</v>
      </c>
      <c r="D1068" s="3198"/>
      <c r="G1068" s="3198"/>
      <c r="I1068" s="3199"/>
    </row>
    <row r="1069" spans="1:9" s="2067" customFormat="1">
      <c r="A1069" s="3200" t="s">
        <v>313</v>
      </c>
      <c r="B1069" s="3198">
        <v>92</v>
      </c>
      <c r="C1069" s="3198">
        <v>0.28999999999999998</v>
      </c>
      <c r="D1069" s="3198">
        <v>0.7</v>
      </c>
      <c r="E1069" s="3201">
        <v>10.7</v>
      </c>
      <c r="G1069" s="3198"/>
      <c r="I1069" s="3199"/>
    </row>
    <row r="1070" spans="1:9" s="2067" customFormat="1">
      <c r="A1070" s="3200" t="s">
        <v>311</v>
      </c>
      <c r="B1070" s="3198">
        <v>192</v>
      </c>
      <c r="C1070" s="3198">
        <v>0.49</v>
      </c>
      <c r="D1070" s="3198">
        <v>0.7</v>
      </c>
      <c r="E1070" s="3201">
        <v>10.7</v>
      </c>
      <c r="G1070" s="3198"/>
      <c r="I1070" s="3199"/>
    </row>
    <row r="1071" spans="1:9" s="2067" customFormat="1">
      <c r="A1071" s="3200" t="s">
        <v>310</v>
      </c>
      <c r="B1071" s="3198">
        <v>192</v>
      </c>
      <c r="C1071" s="3198">
        <v>0.49</v>
      </c>
      <c r="D1071" s="3198">
        <v>0.7</v>
      </c>
      <c r="E1071" s="3201">
        <v>10.7</v>
      </c>
      <c r="G1071" s="3198"/>
      <c r="I1071" s="3199"/>
    </row>
    <row r="1072" spans="1:9" s="2472" customFormat="1">
      <c r="A1072" s="3187" t="s">
        <v>5652</v>
      </c>
      <c r="B1072" s="3185"/>
      <c r="C1072" s="3185"/>
      <c r="E1072" s="3188" t="s">
        <v>5665</v>
      </c>
      <c r="G1072" s="3185"/>
      <c r="I1072" s="3186"/>
    </row>
    <row r="1073" spans="1:9" s="2472" customFormat="1">
      <c r="A1073" s="3187" t="s">
        <v>5660</v>
      </c>
      <c r="B1073" s="3188" t="s">
        <v>5653</v>
      </c>
      <c r="C1073" s="3188" t="s">
        <v>5663</v>
      </c>
      <c r="D1073" s="3188"/>
      <c r="E1073" s="3187" t="s">
        <v>5667</v>
      </c>
      <c r="G1073" s="3185"/>
      <c r="I1073" s="3186"/>
    </row>
    <row r="1074" spans="1:9" s="2472" customFormat="1">
      <c r="B1074" s="3188" t="s">
        <v>5661</v>
      </c>
      <c r="C1074" s="3188" t="s">
        <v>5664</v>
      </c>
      <c r="D1074" s="3188"/>
      <c r="G1074" s="3185"/>
      <c r="I1074" s="3186"/>
    </row>
    <row r="1075" spans="1:9" s="2472" customFormat="1">
      <c r="A1075" s="3189" t="s">
        <v>461</v>
      </c>
      <c r="B1075" s="3187" t="s">
        <v>5662</v>
      </c>
      <c r="C1075" s="3185"/>
      <c r="D1075" s="3188"/>
      <c r="G1075" s="3185"/>
      <c r="I1075" s="3186"/>
    </row>
    <row r="1076" spans="1:9" s="1631" customFormat="1">
      <c r="A1076" s="3202" t="str">
        <f>A1060</f>
        <v>Please select</v>
      </c>
      <c r="B1076" s="2696"/>
      <c r="C1076" s="2010"/>
      <c r="D1076" s="2010"/>
      <c r="G1076" s="2010"/>
      <c r="I1076" s="2006"/>
    </row>
    <row r="1077" spans="1:9" s="2067" customFormat="1">
      <c r="A1077" s="3197" t="s">
        <v>318</v>
      </c>
      <c r="B1077" s="3198">
        <v>0</v>
      </c>
      <c r="C1077" s="3198"/>
      <c r="D1077" s="3198"/>
      <c r="G1077" s="3198"/>
      <c r="I1077" s="3199"/>
    </row>
    <row r="1078" spans="1:9" s="2067" customFormat="1">
      <c r="A1078" s="3197" t="s">
        <v>317</v>
      </c>
      <c r="B1078" s="3198">
        <v>0</v>
      </c>
      <c r="C1078" s="3198"/>
      <c r="D1078" s="3198"/>
      <c r="G1078" s="3198"/>
      <c r="I1078" s="3199"/>
    </row>
    <row r="1079" spans="1:9" s="2067" customFormat="1">
      <c r="A1079" s="3200" t="s">
        <v>315</v>
      </c>
      <c r="B1079" s="3198">
        <v>0</v>
      </c>
      <c r="C1079" s="3198"/>
      <c r="D1079" s="3198"/>
      <c r="G1079" s="3198"/>
      <c r="I1079" s="3199"/>
    </row>
    <row r="1080" spans="1:9" s="2067" customFormat="1">
      <c r="A1080" s="3200" t="s">
        <v>316</v>
      </c>
      <c r="B1080" s="3198">
        <v>0</v>
      </c>
      <c r="C1080" s="3198"/>
      <c r="D1080" s="3198"/>
      <c r="G1080" s="3198"/>
      <c r="I1080" s="3199"/>
    </row>
    <row r="1081" spans="1:9" s="2067" customFormat="1">
      <c r="A1081" s="3200" t="s">
        <v>314</v>
      </c>
      <c r="B1081" s="3198">
        <v>18.100000000000001</v>
      </c>
      <c r="C1081" s="3204">
        <f>B1065/B1081</f>
        <v>4.1436464088397784</v>
      </c>
      <c r="D1081" s="3205" t="s">
        <v>5666</v>
      </c>
      <c r="E1081" s="3201">
        <f>B1065/20</f>
        <v>3.75</v>
      </c>
      <c r="G1081" s="3198"/>
      <c r="I1081" s="3199"/>
    </row>
    <row r="1082" spans="1:9" s="2067" customFormat="1">
      <c r="A1082" s="3200" t="s">
        <v>466</v>
      </c>
      <c r="B1082" s="3198">
        <v>18.100000000000001</v>
      </c>
      <c r="C1082" s="3204">
        <f t="shared" ref="C1082:C1087" si="57">B1066/B1082</f>
        <v>4.1436464088397784</v>
      </c>
      <c r="D1082" s="3205" t="s">
        <v>5666</v>
      </c>
      <c r="E1082" s="3201">
        <f t="shared" ref="E1082:E1087" si="58">B1066/20</f>
        <v>3.75</v>
      </c>
      <c r="G1082" s="3198"/>
      <c r="I1082" s="3199"/>
    </row>
    <row r="1083" spans="1:9" s="2067" customFormat="1">
      <c r="A1083" s="3200" t="s">
        <v>6503</v>
      </c>
      <c r="B1083" s="3198">
        <v>0</v>
      </c>
      <c r="C1083" s="3203"/>
      <c r="D1083" s="3198"/>
      <c r="E1083" s="3201"/>
      <c r="G1083" s="3198"/>
      <c r="I1083" s="3199"/>
    </row>
    <row r="1084" spans="1:9" s="2067" customFormat="1">
      <c r="A1084" s="3200" t="s">
        <v>6502</v>
      </c>
      <c r="B1084" s="3198">
        <v>0</v>
      </c>
      <c r="C1084" s="3203"/>
      <c r="D1084" s="3198"/>
      <c r="E1084" s="3201"/>
      <c r="G1084" s="3198"/>
      <c r="I1084" s="3199"/>
    </row>
    <row r="1085" spans="1:9" s="2067" customFormat="1">
      <c r="A1085" s="3200" t="s">
        <v>313</v>
      </c>
      <c r="B1085" s="3198">
        <v>3.3</v>
      </c>
      <c r="C1085" s="3203">
        <f t="shared" si="57"/>
        <v>27.878787878787879</v>
      </c>
      <c r="D1085" s="3198"/>
      <c r="E1085" s="3201">
        <f t="shared" si="58"/>
        <v>4.5999999999999996</v>
      </c>
      <c r="G1085" s="3198"/>
      <c r="I1085" s="3199"/>
    </row>
    <row r="1086" spans="1:9" s="2067" customFormat="1">
      <c r="A1086" s="3200" t="s">
        <v>311</v>
      </c>
      <c r="B1086" s="3198">
        <v>9.9</v>
      </c>
      <c r="C1086" s="3203">
        <f t="shared" si="57"/>
        <v>19.393939393939394</v>
      </c>
      <c r="D1086" s="3198"/>
      <c r="E1086" s="3201">
        <f t="shared" si="58"/>
        <v>9.6</v>
      </c>
      <c r="G1086" s="3198"/>
      <c r="I1086" s="3199"/>
    </row>
    <row r="1087" spans="1:9" s="2067" customFormat="1">
      <c r="A1087" s="3200" t="s">
        <v>310</v>
      </c>
      <c r="B1087" s="3198">
        <v>9.9</v>
      </c>
      <c r="C1087" s="3203">
        <f t="shared" si="57"/>
        <v>19.393939393939394</v>
      </c>
      <c r="D1087" s="3198"/>
      <c r="E1087" s="3201">
        <f t="shared" si="58"/>
        <v>9.6</v>
      </c>
      <c r="G1087" s="3198"/>
      <c r="I1087" s="3199"/>
    </row>
    <row r="1088" spans="1:9" s="2472" customFormat="1">
      <c r="A1088" s="3187" t="s">
        <v>5671</v>
      </c>
      <c r="B1088" s="3188" t="s">
        <v>7171</v>
      </c>
      <c r="C1088" s="3188" t="s">
        <v>7172</v>
      </c>
      <c r="D1088" s="3185"/>
      <c r="G1088" s="3185"/>
      <c r="I1088" s="3186"/>
    </row>
    <row r="1089" spans="1:9" s="2472" customFormat="1">
      <c r="A1089" s="3187" t="s">
        <v>5659</v>
      </c>
      <c r="B1089" s="3188" t="s">
        <v>5674</v>
      </c>
      <c r="C1089" s="3188" t="s">
        <v>5655</v>
      </c>
      <c r="D1089" s="3188"/>
      <c r="E1089" s="3187"/>
      <c r="G1089" s="3185"/>
      <c r="I1089" s="3186"/>
    </row>
    <row r="1090" spans="1:9" s="2472" customFormat="1">
      <c r="B1090" s="3188" t="s">
        <v>5672</v>
      </c>
      <c r="C1090" s="3188" t="s">
        <v>5673</v>
      </c>
      <c r="D1090" s="3188"/>
      <c r="G1090" s="3185"/>
      <c r="I1090" s="3186"/>
    </row>
    <row r="1091" spans="1:9" s="2472" customFormat="1">
      <c r="A1091" s="3189" t="s">
        <v>461</v>
      </c>
      <c r="B1091" s="3187" t="s">
        <v>5622</v>
      </c>
      <c r="C1091" s="3185"/>
      <c r="D1091" s="3188"/>
      <c r="G1091" s="3185"/>
      <c r="I1091" s="3186"/>
    </row>
    <row r="1092" spans="1:9" s="1631" customFormat="1">
      <c r="A1092" s="3202" t="str">
        <f>A1060</f>
        <v>Please select</v>
      </c>
      <c r="B1092" s="2696"/>
      <c r="C1092" s="2010"/>
      <c r="D1092" s="2010"/>
      <c r="G1092" s="2010"/>
      <c r="I1092" s="2006"/>
    </row>
    <row r="1093" spans="1:9" s="2067" customFormat="1">
      <c r="A1093" s="3197" t="s">
        <v>318</v>
      </c>
      <c r="B1093" s="3198">
        <v>0</v>
      </c>
      <c r="C1093" s="3198">
        <v>0</v>
      </c>
      <c r="D1093" s="3198"/>
      <c r="G1093" s="3198"/>
      <c r="I1093" s="3199"/>
    </row>
    <row r="1094" spans="1:9" s="2067" customFormat="1">
      <c r="A1094" s="3197" t="s">
        <v>317</v>
      </c>
      <c r="B1094" s="3198">
        <v>0</v>
      </c>
      <c r="C1094" s="3198">
        <v>0</v>
      </c>
      <c r="D1094" s="3198"/>
      <c r="G1094" s="3198"/>
      <c r="I1094" s="3199"/>
    </row>
    <row r="1095" spans="1:9" s="2067" customFormat="1">
      <c r="A1095" s="3200" t="s">
        <v>315</v>
      </c>
      <c r="B1095" s="3198">
        <v>2.11</v>
      </c>
      <c r="C1095" s="3198">
        <v>1.3</v>
      </c>
      <c r="D1095" s="3198"/>
      <c r="G1095" s="3198"/>
      <c r="I1095" s="3199"/>
    </row>
    <row r="1096" spans="1:9" s="2067" customFormat="1">
      <c r="A1096" s="3200" t="s">
        <v>316</v>
      </c>
      <c r="B1096" s="3198">
        <v>2.11</v>
      </c>
      <c r="C1096" s="3198">
        <v>1.3</v>
      </c>
      <c r="D1096" s="3198"/>
      <c r="G1096" s="3198"/>
      <c r="I1096" s="3199"/>
    </row>
    <row r="1097" spans="1:9" s="2067" customFormat="1">
      <c r="A1097" s="3200" t="s">
        <v>314</v>
      </c>
      <c r="B1097" s="3198">
        <v>3.65</v>
      </c>
      <c r="C1097" s="3198">
        <v>2.4</v>
      </c>
      <c r="D1097" s="3198"/>
      <c r="G1097" s="3198"/>
      <c r="I1097" s="3199"/>
    </row>
    <row r="1098" spans="1:9" s="2067" customFormat="1">
      <c r="A1098" s="3200" t="s">
        <v>466</v>
      </c>
      <c r="B1098" s="3198">
        <v>3.65</v>
      </c>
      <c r="C1098" s="3198">
        <v>2.4</v>
      </c>
      <c r="D1098" s="3198"/>
      <c r="G1098" s="3198"/>
      <c r="I1098" s="3199"/>
    </row>
    <row r="1099" spans="1:9" s="2067" customFormat="1">
      <c r="A1099" s="3200" t="s">
        <v>6503</v>
      </c>
      <c r="B1099" s="3365">
        <f>B1095</f>
        <v>2.11</v>
      </c>
      <c r="C1099" s="3366">
        <f>C1095</f>
        <v>1.3</v>
      </c>
      <c r="D1099" s="3198"/>
      <c r="G1099" s="3198"/>
      <c r="I1099" s="3199"/>
    </row>
    <row r="1100" spans="1:9" s="2067" customFormat="1">
      <c r="A1100" s="3200" t="s">
        <v>6502</v>
      </c>
      <c r="B1100" s="3365">
        <f t="shared" ref="B1100:B1103" si="59">B1099</f>
        <v>2.11</v>
      </c>
      <c r="C1100" s="3366">
        <f>C1096</f>
        <v>1.3</v>
      </c>
      <c r="D1100" s="3198"/>
      <c r="G1100" s="3198"/>
      <c r="I1100" s="3199"/>
    </row>
    <row r="1101" spans="1:9" s="2067" customFormat="1">
      <c r="A1101" s="3200" t="s">
        <v>313</v>
      </c>
      <c r="B1101" s="3365">
        <f>B1097</f>
        <v>3.65</v>
      </c>
      <c r="C1101" s="3198">
        <v>1.7</v>
      </c>
      <c r="D1101" s="3198"/>
      <c r="G1101" s="3198"/>
      <c r="I1101" s="3199"/>
    </row>
    <row r="1102" spans="1:9" s="2067" customFormat="1">
      <c r="A1102" s="3200" t="s">
        <v>311</v>
      </c>
      <c r="B1102" s="3365">
        <f t="shared" si="59"/>
        <v>3.65</v>
      </c>
      <c r="C1102" s="3198">
        <v>1.7</v>
      </c>
      <c r="D1102" s="3198"/>
      <c r="G1102" s="3198"/>
      <c r="I1102" s="3199"/>
    </row>
    <row r="1103" spans="1:9" s="2067" customFormat="1">
      <c r="A1103" s="3200" t="s">
        <v>310</v>
      </c>
      <c r="B1103" s="3365">
        <f t="shared" si="59"/>
        <v>3.65</v>
      </c>
      <c r="C1103" s="3198">
        <v>1.7</v>
      </c>
      <c r="D1103" s="3198"/>
      <c r="G1103" s="3198"/>
      <c r="I1103" s="3199"/>
    </row>
    <row r="1104" spans="1:9" s="2472" customFormat="1">
      <c r="A1104" s="3187" t="s">
        <v>5681</v>
      </c>
      <c r="B1104" s="3188" t="s">
        <v>5682</v>
      </c>
      <c r="C1104" s="3185"/>
      <c r="D1104" s="3188" t="s">
        <v>5685</v>
      </c>
      <c r="F1104" s="4110" t="s">
        <v>5668</v>
      </c>
      <c r="G1104" s="4110"/>
      <c r="I1104" s="3186"/>
    </row>
    <row r="1105" spans="1:9" s="2472" customFormat="1">
      <c r="A1105" s="3187" t="s">
        <v>5659</v>
      </c>
      <c r="B1105" s="4110" t="s">
        <v>5652</v>
      </c>
      <c r="C1105" s="4110"/>
      <c r="D1105" s="4110" t="s">
        <v>5684</v>
      </c>
      <c r="E1105" s="4110"/>
      <c r="F1105" s="4110"/>
      <c r="G1105" s="4110"/>
      <c r="I1105" s="3186"/>
    </row>
    <row r="1106" spans="1:9" s="2472" customFormat="1">
      <c r="B1106" s="3188" t="s">
        <v>5677</v>
      </c>
      <c r="C1106" s="3188" t="s">
        <v>5683</v>
      </c>
      <c r="D1106" s="3188" t="str">
        <f>B1106</f>
        <v>Mineral</v>
      </c>
      <c r="E1106" s="2472" t="str">
        <f>C1106</f>
        <v>Organic</v>
      </c>
      <c r="F1106" s="2472" t="str">
        <f>D1106</f>
        <v>Mineral</v>
      </c>
      <c r="G1106" s="3185" t="str">
        <f>E1106</f>
        <v>Organic</v>
      </c>
      <c r="I1106" s="3186"/>
    </row>
    <row r="1107" spans="1:9" s="2472" customFormat="1">
      <c r="A1107" s="3189" t="s">
        <v>461</v>
      </c>
      <c r="B1107" s="3187"/>
      <c r="C1107" s="3185"/>
      <c r="D1107" s="3188"/>
      <c r="G1107" s="3185"/>
      <c r="I1107" s="3186"/>
    </row>
    <row r="1108" spans="1:9" s="1631" customFormat="1">
      <c r="A1108" s="3202" t="str">
        <f>A1076</f>
        <v>Please select</v>
      </c>
      <c r="B1108" s="3224">
        <v>0</v>
      </c>
      <c r="C1108" s="2010">
        <v>0</v>
      </c>
      <c r="D1108" s="2010">
        <v>0</v>
      </c>
      <c r="E1108" s="2010">
        <v>0</v>
      </c>
      <c r="F1108" s="2010">
        <v>0</v>
      </c>
      <c r="G1108" s="2010">
        <v>0</v>
      </c>
      <c r="I1108" s="2006"/>
    </row>
    <row r="1109" spans="1:9" s="2067" customFormat="1">
      <c r="A1109" s="3197" t="s">
        <v>318</v>
      </c>
      <c r="B1109" s="3198">
        <v>286</v>
      </c>
      <c r="C1109" s="3198">
        <v>471</v>
      </c>
      <c r="D1109" s="3198">
        <v>226</v>
      </c>
      <c r="E1109" s="3198">
        <v>340</v>
      </c>
      <c r="F1109" s="3198">
        <v>108</v>
      </c>
      <c r="G1109" s="3198">
        <v>0</v>
      </c>
      <c r="I1109" s="3199"/>
    </row>
    <row r="1110" spans="1:9" s="2067" customFormat="1">
      <c r="A1110" s="3197" t="s">
        <v>317</v>
      </c>
      <c r="B1110" s="3198">
        <v>286</v>
      </c>
      <c r="C1110" s="3198">
        <v>471</v>
      </c>
      <c r="D1110" s="3198">
        <v>226</v>
      </c>
      <c r="E1110" s="3198">
        <v>340</v>
      </c>
      <c r="F1110" s="3198">
        <v>108</v>
      </c>
      <c r="G1110" s="3198">
        <v>0</v>
      </c>
      <c r="I1110" s="3199"/>
    </row>
    <row r="1111" spans="1:9" s="2067" customFormat="1">
      <c r="A1111" s="3200" t="s">
        <v>315</v>
      </c>
      <c r="B1111" s="3198">
        <v>286</v>
      </c>
      <c r="C1111" s="3198">
        <v>471</v>
      </c>
      <c r="D1111" s="3198">
        <v>226</v>
      </c>
      <c r="E1111" s="3198">
        <v>340</v>
      </c>
      <c r="F1111" s="3198">
        <v>108</v>
      </c>
      <c r="G1111" s="3198">
        <v>0</v>
      </c>
      <c r="I1111" s="3199"/>
    </row>
    <row r="1112" spans="1:9" s="2067" customFormat="1">
      <c r="A1112" s="3200" t="s">
        <v>316</v>
      </c>
      <c r="B1112" s="3198">
        <v>286</v>
      </c>
      <c r="C1112" s="3198">
        <v>471</v>
      </c>
      <c r="D1112" s="3198">
        <v>226</v>
      </c>
      <c r="E1112" s="3198">
        <v>340</v>
      </c>
      <c r="F1112" s="3198">
        <v>108</v>
      </c>
      <c r="G1112" s="3198">
        <v>0</v>
      </c>
      <c r="I1112" s="3199"/>
    </row>
    <row r="1113" spans="1:9" s="2067" customFormat="1">
      <c r="A1113" s="3200" t="s">
        <v>314</v>
      </c>
      <c r="B1113" s="3198">
        <v>286</v>
      </c>
      <c r="C1113" s="3198">
        <v>471</v>
      </c>
      <c r="D1113" s="3198">
        <v>226</v>
      </c>
      <c r="E1113" s="3198">
        <v>340</v>
      </c>
      <c r="F1113" s="3198">
        <v>108</v>
      </c>
      <c r="G1113" s="3198">
        <v>0</v>
      </c>
      <c r="I1113" s="3199"/>
    </row>
    <row r="1114" spans="1:9" s="2067" customFormat="1">
      <c r="A1114" s="3200" t="s">
        <v>466</v>
      </c>
      <c r="B1114" s="3198">
        <v>286</v>
      </c>
      <c r="C1114" s="3198">
        <v>471</v>
      </c>
      <c r="D1114" s="3198">
        <v>226</v>
      </c>
      <c r="E1114" s="3198">
        <v>340</v>
      </c>
      <c r="F1114" s="3198">
        <v>108</v>
      </c>
      <c r="G1114" s="3198">
        <v>0</v>
      </c>
      <c r="I1114" s="3199"/>
    </row>
    <row r="1115" spans="1:9" s="2067" customFormat="1">
      <c r="A1115" s="3200" t="s">
        <v>6503</v>
      </c>
      <c r="B1115" s="3198">
        <v>286</v>
      </c>
      <c r="C1115" s="3198">
        <v>471</v>
      </c>
      <c r="D1115" s="3198">
        <v>226</v>
      </c>
      <c r="E1115" s="3198">
        <v>340</v>
      </c>
      <c r="F1115" s="3198">
        <v>108</v>
      </c>
      <c r="G1115" s="3198">
        <v>0</v>
      </c>
      <c r="I1115" s="3199"/>
    </row>
    <row r="1116" spans="1:9" s="2067" customFormat="1">
      <c r="A1116" s="3200" t="s">
        <v>6502</v>
      </c>
      <c r="B1116" s="3198">
        <v>286</v>
      </c>
      <c r="C1116" s="3198">
        <v>471</v>
      </c>
      <c r="D1116" s="3198">
        <v>226</v>
      </c>
      <c r="E1116" s="3198">
        <v>340</v>
      </c>
      <c r="F1116" s="3198">
        <v>108</v>
      </c>
      <c r="G1116" s="3198">
        <v>0</v>
      </c>
      <c r="I1116" s="3199"/>
    </row>
    <row r="1117" spans="1:9" s="2067" customFormat="1">
      <c r="A1117" s="3200" t="s">
        <v>313</v>
      </c>
      <c r="B1117" s="3198">
        <v>286</v>
      </c>
      <c r="C1117" s="3198">
        <v>471</v>
      </c>
      <c r="D1117" s="3198">
        <v>226</v>
      </c>
      <c r="E1117" s="3198">
        <v>340</v>
      </c>
      <c r="F1117" s="3198">
        <v>108</v>
      </c>
      <c r="G1117" s="3198">
        <v>0</v>
      </c>
      <c r="I1117" s="3199"/>
    </row>
    <row r="1118" spans="1:9" s="2067" customFormat="1">
      <c r="A1118" s="3200" t="s">
        <v>311</v>
      </c>
      <c r="B1118" s="3198">
        <v>286</v>
      </c>
      <c r="C1118" s="3198">
        <v>471</v>
      </c>
      <c r="D1118" s="3198">
        <v>226</v>
      </c>
      <c r="E1118" s="3198">
        <v>340</v>
      </c>
      <c r="F1118" s="3198">
        <v>108</v>
      </c>
      <c r="G1118" s="3198">
        <v>0</v>
      </c>
      <c r="I1118" s="3199"/>
    </row>
    <row r="1119" spans="1:9" s="2067" customFormat="1">
      <c r="A1119" s="3200" t="s">
        <v>310</v>
      </c>
      <c r="B1119" s="3198">
        <v>286</v>
      </c>
      <c r="C1119" s="3198">
        <v>471</v>
      </c>
      <c r="D1119" s="3198">
        <v>226</v>
      </c>
      <c r="E1119" s="3198">
        <v>340</v>
      </c>
      <c r="F1119" s="3198">
        <v>108</v>
      </c>
      <c r="G1119" s="3198">
        <v>0</v>
      </c>
      <c r="I1119" s="3199"/>
    </row>
    <row r="1120" spans="1:9" s="2472" customFormat="1">
      <c r="A1120" s="3187" t="s">
        <v>5698</v>
      </c>
      <c r="B1120" s="3188" t="s">
        <v>5699</v>
      </c>
      <c r="C1120" s="3185"/>
      <c r="D1120" s="3188" t="s">
        <v>5685</v>
      </c>
      <c r="F1120" s="4110" t="s">
        <v>5668</v>
      </c>
      <c r="G1120" s="4110"/>
      <c r="I1120" s="3186"/>
    </row>
    <row r="1121" spans="1:9" s="2472" customFormat="1">
      <c r="A1121" s="3187" t="s">
        <v>5659</v>
      </c>
      <c r="B1121" s="4110" t="s">
        <v>5652</v>
      </c>
      <c r="C1121" s="4110"/>
      <c r="D1121" s="4110" t="s">
        <v>5684</v>
      </c>
      <c r="E1121" s="4110"/>
      <c r="F1121" s="4110"/>
      <c r="G1121" s="4110"/>
      <c r="I1121" s="3186"/>
    </row>
    <row r="1122" spans="1:9" s="2472" customFormat="1">
      <c r="B1122" s="3188" t="s">
        <v>5677</v>
      </c>
      <c r="C1122" s="3188" t="s">
        <v>5683</v>
      </c>
      <c r="D1122" s="3188" t="str">
        <f>B1122</f>
        <v>Mineral</v>
      </c>
      <c r="E1122" s="2472" t="str">
        <f>C1122</f>
        <v>Organic</v>
      </c>
      <c r="F1122" s="2472" t="str">
        <f>D1122</f>
        <v>Mineral</v>
      </c>
      <c r="G1122" s="3185" t="str">
        <f>E1122</f>
        <v>Organic</v>
      </c>
      <c r="I1122" s="3186"/>
    </row>
    <row r="1123" spans="1:9" s="2472" customFormat="1">
      <c r="A1123" s="3189" t="s">
        <v>461</v>
      </c>
      <c r="B1123" s="3187"/>
      <c r="C1123" s="3185"/>
      <c r="D1123" s="3188"/>
      <c r="G1123" s="3185"/>
      <c r="I1123" s="3186"/>
    </row>
    <row r="1124" spans="1:9" s="1631" customFormat="1">
      <c r="A1124" s="3202" t="str">
        <f>A1092</f>
        <v>Please select</v>
      </c>
      <c r="B1124" s="3224">
        <v>0</v>
      </c>
      <c r="C1124" s="2010">
        <v>0</v>
      </c>
      <c r="D1124" s="2010">
        <v>0</v>
      </c>
      <c r="E1124" s="2010">
        <v>0</v>
      </c>
      <c r="F1124" s="2010">
        <v>0</v>
      </c>
      <c r="G1124" s="2010">
        <v>0</v>
      </c>
      <c r="I1124" s="2006"/>
    </row>
    <row r="1125" spans="1:9" s="2067" customFormat="1">
      <c r="A1125" s="3197" t="s">
        <v>318</v>
      </c>
      <c r="B1125" s="3198">
        <v>7.9</v>
      </c>
      <c r="C1125" s="3198">
        <v>7.9</v>
      </c>
      <c r="D1125" s="3198">
        <f>C1125</f>
        <v>7.9</v>
      </c>
      <c r="E1125" s="3198">
        <f>D1125</f>
        <v>7.9</v>
      </c>
      <c r="F1125" s="3198">
        <f>E1125</f>
        <v>7.9</v>
      </c>
      <c r="G1125" s="3198">
        <v>0</v>
      </c>
      <c r="I1125" s="3199"/>
    </row>
    <row r="1126" spans="1:9" s="2067" customFormat="1">
      <c r="A1126" s="3197" t="s">
        <v>317</v>
      </c>
      <c r="B1126" s="3198">
        <f>B1125</f>
        <v>7.9</v>
      </c>
      <c r="C1126" s="3198">
        <f t="shared" ref="C1126:F1126" si="60">C1125</f>
        <v>7.9</v>
      </c>
      <c r="D1126" s="3198">
        <f t="shared" si="60"/>
        <v>7.9</v>
      </c>
      <c r="E1126" s="3198">
        <f t="shared" si="60"/>
        <v>7.9</v>
      </c>
      <c r="F1126" s="3198">
        <f t="shared" si="60"/>
        <v>7.9</v>
      </c>
      <c r="G1126" s="3198">
        <v>0</v>
      </c>
      <c r="I1126" s="3199"/>
    </row>
    <row r="1127" spans="1:9" s="2067" customFormat="1">
      <c r="A1127" s="3200" t="s">
        <v>315</v>
      </c>
      <c r="B1127" s="3198">
        <f t="shared" ref="B1127:B1135" si="61">B1126</f>
        <v>7.9</v>
      </c>
      <c r="C1127" s="3198">
        <f t="shared" ref="C1127:C1135" si="62">C1126</f>
        <v>7.9</v>
      </c>
      <c r="D1127" s="3198">
        <f t="shared" ref="D1127:D1135" si="63">D1126</f>
        <v>7.9</v>
      </c>
      <c r="E1127" s="3198">
        <f t="shared" ref="E1127:E1135" si="64">E1126</f>
        <v>7.9</v>
      </c>
      <c r="F1127" s="3198">
        <f t="shared" ref="F1127:F1135" si="65">F1126</f>
        <v>7.9</v>
      </c>
      <c r="G1127" s="3198">
        <f t="shared" ref="G1127:G1135" si="66">G1126</f>
        <v>0</v>
      </c>
      <c r="I1127" s="3199"/>
    </row>
    <row r="1128" spans="1:9" s="2067" customFormat="1">
      <c r="A1128" s="3200" t="s">
        <v>316</v>
      </c>
      <c r="B1128" s="3198">
        <f t="shared" si="61"/>
        <v>7.9</v>
      </c>
      <c r="C1128" s="3198">
        <f t="shared" si="62"/>
        <v>7.9</v>
      </c>
      <c r="D1128" s="3198">
        <f t="shared" si="63"/>
        <v>7.9</v>
      </c>
      <c r="E1128" s="3198">
        <f t="shared" si="64"/>
        <v>7.9</v>
      </c>
      <c r="F1128" s="3198">
        <f t="shared" si="65"/>
        <v>7.9</v>
      </c>
      <c r="G1128" s="3198">
        <f t="shared" si="66"/>
        <v>0</v>
      </c>
      <c r="I1128" s="3199"/>
    </row>
    <row r="1129" spans="1:9" s="2067" customFormat="1">
      <c r="A1129" s="3200" t="s">
        <v>314</v>
      </c>
      <c r="B1129" s="3198">
        <f t="shared" si="61"/>
        <v>7.9</v>
      </c>
      <c r="C1129" s="3198">
        <f t="shared" si="62"/>
        <v>7.9</v>
      </c>
      <c r="D1129" s="3198">
        <f t="shared" si="63"/>
        <v>7.9</v>
      </c>
      <c r="E1129" s="3198">
        <f t="shared" si="64"/>
        <v>7.9</v>
      </c>
      <c r="F1129" s="3198">
        <f t="shared" si="65"/>
        <v>7.9</v>
      </c>
      <c r="G1129" s="3198">
        <f t="shared" si="66"/>
        <v>0</v>
      </c>
      <c r="I1129" s="3199"/>
    </row>
    <row r="1130" spans="1:9" s="2067" customFormat="1">
      <c r="A1130" s="3200" t="s">
        <v>466</v>
      </c>
      <c r="B1130" s="3198">
        <f t="shared" si="61"/>
        <v>7.9</v>
      </c>
      <c r="C1130" s="3198">
        <f t="shared" si="62"/>
        <v>7.9</v>
      </c>
      <c r="D1130" s="3198">
        <f t="shared" si="63"/>
        <v>7.9</v>
      </c>
      <c r="E1130" s="3198">
        <f t="shared" si="64"/>
        <v>7.9</v>
      </c>
      <c r="F1130" s="3198">
        <f t="shared" si="65"/>
        <v>7.9</v>
      </c>
      <c r="G1130" s="3198">
        <f t="shared" si="66"/>
        <v>0</v>
      </c>
      <c r="I1130" s="3199"/>
    </row>
    <row r="1131" spans="1:9" s="2067" customFormat="1">
      <c r="A1131" s="3200" t="s">
        <v>6503</v>
      </c>
      <c r="B1131" s="3198">
        <f t="shared" si="61"/>
        <v>7.9</v>
      </c>
      <c r="C1131" s="3198">
        <f t="shared" si="62"/>
        <v>7.9</v>
      </c>
      <c r="D1131" s="3198">
        <f t="shared" si="63"/>
        <v>7.9</v>
      </c>
      <c r="E1131" s="3198">
        <f t="shared" si="64"/>
        <v>7.9</v>
      </c>
      <c r="F1131" s="3198">
        <f t="shared" si="65"/>
        <v>7.9</v>
      </c>
      <c r="G1131" s="3198">
        <f t="shared" si="66"/>
        <v>0</v>
      </c>
      <c r="I1131" s="3199"/>
    </row>
    <row r="1132" spans="1:9" s="2067" customFormat="1">
      <c r="A1132" s="3200" t="s">
        <v>6502</v>
      </c>
      <c r="B1132" s="3198">
        <f t="shared" si="61"/>
        <v>7.9</v>
      </c>
      <c r="C1132" s="3198">
        <f t="shared" si="62"/>
        <v>7.9</v>
      </c>
      <c r="D1132" s="3198">
        <f t="shared" si="63"/>
        <v>7.9</v>
      </c>
      <c r="E1132" s="3198">
        <f t="shared" si="64"/>
        <v>7.9</v>
      </c>
      <c r="F1132" s="3198">
        <f t="shared" si="65"/>
        <v>7.9</v>
      </c>
      <c r="G1132" s="3198">
        <f t="shared" si="66"/>
        <v>0</v>
      </c>
      <c r="I1132" s="3199"/>
    </row>
    <row r="1133" spans="1:9" s="2067" customFormat="1">
      <c r="A1133" s="3200" t="s">
        <v>313</v>
      </c>
      <c r="B1133" s="3198">
        <f t="shared" si="61"/>
        <v>7.9</v>
      </c>
      <c r="C1133" s="3198">
        <f t="shared" si="62"/>
        <v>7.9</v>
      </c>
      <c r="D1133" s="3198">
        <f t="shared" si="63"/>
        <v>7.9</v>
      </c>
      <c r="E1133" s="3198">
        <f t="shared" si="64"/>
        <v>7.9</v>
      </c>
      <c r="F1133" s="3198">
        <f t="shared" si="65"/>
        <v>7.9</v>
      </c>
      <c r="G1133" s="3198">
        <f t="shared" si="66"/>
        <v>0</v>
      </c>
      <c r="I1133" s="3199"/>
    </row>
    <row r="1134" spans="1:9" s="2067" customFormat="1">
      <c r="A1134" s="3200" t="s">
        <v>311</v>
      </c>
      <c r="B1134" s="3198">
        <f t="shared" si="61"/>
        <v>7.9</v>
      </c>
      <c r="C1134" s="3198">
        <f t="shared" si="62"/>
        <v>7.9</v>
      </c>
      <c r="D1134" s="3198">
        <f t="shared" si="63"/>
        <v>7.9</v>
      </c>
      <c r="E1134" s="3198">
        <f t="shared" si="64"/>
        <v>7.9</v>
      </c>
      <c r="F1134" s="3198">
        <f t="shared" si="65"/>
        <v>7.9</v>
      </c>
      <c r="G1134" s="3198">
        <f t="shared" si="66"/>
        <v>0</v>
      </c>
      <c r="I1134" s="3199"/>
    </row>
    <row r="1135" spans="1:9" s="2067" customFormat="1">
      <c r="A1135" s="3200" t="s">
        <v>310</v>
      </c>
      <c r="B1135" s="3198">
        <f t="shared" si="61"/>
        <v>7.9</v>
      </c>
      <c r="C1135" s="3198">
        <f t="shared" si="62"/>
        <v>7.9</v>
      </c>
      <c r="D1135" s="3198">
        <f t="shared" si="63"/>
        <v>7.9</v>
      </c>
      <c r="E1135" s="3198">
        <f t="shared" si="64"/>
        <v>7.9</v>
      </c>
      <c r="F1135" s="3198">
        <f t="shared" si="65"/>
        <v>7.9</v>
      </c>
      <c r="G1135" s="3198">
        <f t="shared" si="66"/>
        <v>0</v>
      </c>
      <c r="I1135" s="3199"/>
    </row>
    <row r="1136" spans="1:9" s="2472" customFormat="1">
      <c r="A1136" s="3187" t="s">
        <v>5705</v>
      </c>
      <c r="B1136" s="3188" t="s">
        <v>489</v>
      </c>
      <c r="C1136" s="3185"/>
      <c r="D1136" s="3188" t="s">
        <v>5685</v>
      </c>
      <c r="F1136" s="4110" t="s">
        <v>5668</v>
      </c>
      <c r="G1136" s="4110"/>
      <c r="I1136" s="3186"/>
    </row>
    <row r="1137" spans="1:9" s="2472" customFormat="1">
      <c r="A1137" s="3187" t="s">
        <v>5659</v>
      </c>
      <c r="B1137" s="4110" t="s">
        <v>5652</v>
      </c>
      <c r="C1137" s="4110"/>
      <c r="D1137" s="4110" t="s">
        <v>5684</v>
      </c>
      <c r="E1137" s="4110"/>
      <c r="F1137" s="4110"/>
      <c r="G1137" s="4110"/>
      <c r="I1137" s="3186"/>
    </row>
    <row r="1138" spans="1:9" s="2472" customFormat="1">
      <c r="B1138" s="3188" t="s">
        <v>5677</v>
      </c>
      <c r="C1138" s="3188" t="s">
        <v>5683</v>
      </c>
      <c r="D1138" s="3188" t="str">
        <f>B1138</f>
        <v>Mineral</v>
      </c>
      <c r="E1138" s="2472" t="str">
        <f>C1138</f>
        <v>Organic</v>
      </c>
      <c r="F1138" s="2472" t="str">
        <f>D1138</f>
        <v>Mineral</v>
      </c>
      <c r="G1138" s="3185" t="str">
        <f>E1138</f>
        <v>Organic</v>
      </c>
      <c r="I1138" s="3186"/>
    </row>
    <row r="1139" spans="1:9" s="2472" customFormat="1">
      <c r="A1139" s="3189" t="s">
        <v>461</v>
      </c>
      <c r="B1139" s="3187"/>
      <c r="C1139" s="3185"/>
      <c r="D1139" s="3188"/>
      <c r="G1139" s="3185"/>
      <c r="I1139" s="3186"/>
    </row>
    <row r="1140" spans="1:9" s="1631" customFormat="1">
      <c r="A1140" s="3202" t="str">
        <f>A1108</f>
        <v>Please select</v>
      </c>
      <c r="B1140" s="3224">
        <v>0</v>
      </c>
      <c r="C1140" s="2010">
        <v>0</v>
      </c>
      <c r="D1140" s="2010">
        <v>0</v>
      </c>
      <c r="E1140" s="2010">
        <v>0</v>
      </c>
      <c r="F1140" s="2010">
        <v>0</v>
      </c>
      <c r="G1140" s="2010">
        <v>0</v>
      </c>
      <c r="I1140" s="2006"/>
    </row>
    <row r="1141" spans="1:9" s="2067" customFormat="1">
      <c r="A1141" s="3197" t="s">
        <v>318</v>
      </c>
      <c r="B1141" s="3198">
        <v>-1.62</v>
      </c>
      <c r="C1141" s="3198">
        <f>B1141</f>
        <v>-1.62</v>
      </c>
      <c r="D1141" s="3198">
        <v>-0.91</v>
      </c>
      <c r="E1141" s="3198">
        <f>D1141</f>
        <v>-0.91</v>
      </c>
      <c r="F1141" s="3198">
        <v>-0.43</v>
      </c>
      <c r="G1141" s="3198">
        <v>0</v>
      </c>
      <c r="I1141" s="3199"/>
    </row>
    <row r="1142" spans="1:9" s="2067" customFormat="1">
      <c r="A1142" s="3197" t="s">
        <v>317</v>
      </c>
      <c r="B1142" s="3198">
        <f>B1141</f>
        <v>-1.62</v>
      </c>
      <c r="C1142" s="3198">
        <f t="shared" ref="C1142:C1151" si="67">C1141</f>
        <v>-1.62</v>
      </c>
      <c r="D1142" s="3198">
        <f t="shared" ref="D1142:D1151" si="68">D1141</f>
        <v>-0.91</v>
      </c>
      <c r="E1142" s="3198">
        <f t="shared" ref="E1142:E1151" si="69">E1141</f>
        <v>-0.91</v>
      </c>
      <c r="F1142" s="3198">
        <f t="shared" ref="F1142:F1151" si="70">F1141</f>
        <v>-0.43</v>
      </c>
      <c r="G1142" s="3198">
        <v>0</v>
      </c>
      <c r="I1142" s="3199"/>
    </row>
    <row r="1143" spans="1:9" s="2067" customFormat="1">
      <c r="A1143" s="3200" t="s">
        <v>315</v>
      </c>
      <c r="B1143" s="3198">
        <f t="shared" ref="B1143:B1151" si="71">B1142</f>
        <v>-1.62</v>
      </c>
      <c r="C1143" s="3198">
        <f t="shared" si="67"/>
        <v>-1.62</v>
      </c>
      <c r="D1143" s="3198">
        <f t="shared" si="68"/>
        <v>-0.91</v>
      </c>
      <c r="E1143" s="3198">
        <f t="shared" si="69"/>
        <v>-0.91</v>
      </c>
      <c r="F1143" s="3198">
        <f t="shared" si="70"/>
        <v>-0.43</v>
      </c>
      <c r="G1143" s="3198">
        <f t="shared" ref="G1143:G1151" si="72">G1142</f>
        <v>0</v>
      </c>
      <c r="I1143" s="3199"/>
    </row>
    <row r="1144" spans="1:9" s="2067" customFormat="1">
      <c r="A1144" s="3200" t="s">
        <v>316</v>
      </c>
      <c r="B1144" s="3198">
        <f t="shared" si="71"/>
        <v>-1.62</v>
      </c>
      <c r="C1144" s="3198">
        <f t="shared" si="67"/>
        <v>-1.62</v>
      </c>
      <c r="D1144" s="3198">
        <f t="shared" si="68"/>
        <v>-0.91</v>
      </c>
      <c r="E1144" s="3198">
        <f t="shared" si="69"/>
        <v>-0.91</v>
      </c>
      <c r="F1144" s="3198">
        <f t="shared" si="70"/>
        <v>-0.43</v>
      </c>
      <c r="G1144" s="3198">
        <f t="shared" si="72"/>
        <v>0</v>
      </c>
      <c r="I1144" s="3199"/>
    </row>
    <row r="1145" spans="1:9" s="2067" customFormat="1">
      <c r="A1145" s="3200" t="s">
        <v>314</v>
      </c>
      <c r="B1145" s="3198">
        <f t="shared" si="71"/>
        <v>-1.62</v>
      </c>
      <c r="C1145" s="3198">
        <f t="shared" si="67"/>
        <v>-1.62</v>
      </c>
      <c r="D1145" s="3198">
        <f t="shared" si="68"/>
        <v>-0.91</v>
      </c>
      <c r="E1145" s="3198">
        <f t="shared" si="69"/>
        <v>-0.91</v>
      </c>
      <c r="F1145" s="3198">
        <f t="shared" si="70"/>
        <v>-0.43</v>
      </c>
      <c r="G1145" s="3198">
        <f t="shared" si="72"/>
        <v>0</v>
      </c>
      <c r="I1145" s="3199"/>
    </row>
    <row r="1146" spans="1:9" s="2067" customFormat="1">
      <c r="A1146" s="3200" t="s">
        <v>466</v>
      </c>
      <c r="B1146" s="3198">
        <f t="shared" si="71"/>
        <v>-1.62</v>
      </c>
      <c r="C1146" s="3198">
        <f t="shared" si="67"/>
        <v>-1.62</v>
      </c>
      <c r="D1146" s="3198">
        <f t="shared" si="68"/>
        <v>-0.91</v>
      </c>
      <c r="E1146" s="3198">
        <f t="shared" si="69"/>
        <v>-0.91</v>
      </c>
      <c r="F1146" s="3198">
        <f t="shared" si="70"/>
        <v>-0.43</v>
      </c>
      <c r="G1146" s="3198">
        <f t="shared" si="72"/>
        <v>0</v>
      </c>
      <c r="I1146" s="3199"/>
    </row>
    <row r="1147" spans="1:9" s="2067" customFormat="1">
      <c r="A1147" s="3200" t="s">
        <v>6503</v>
      </c>
      <c r="B1147" s="3198">
        <f t="shared" si="71"/>
        <v>-1.62</v>
      </c>
      <c r="C1147" s="3198">
        <f t="shared" si="67"/>
        <v>-1.62</v>
      </c>
      <c r="D1147" s="3198">
        <f t="shared" si="68"/>
        <v>-0.91</v>
      </c>
      <c r="E1147" s="3198">
        <f t="shared" si="69"/>
        <v>-0.91</v>
      </c>
      <c r="F1147" s="3198">
        <f t="shared" si="70"/>
        <v>-0.43</v>
      </c>
      <c r="G1147" s="3198">
        <f t="shared" si="72"/>
        <v>0</v>
      </c>
      <c r="I1147" s="3199"/>
    </row>
    <row r="1148" spans="1:9" s="2067" customFormat="1">
      <c r="A1148" s="3200" t="s">
        <v>6502</v>
      </c>
      <c r="B1148" s="3198">
        <f t="shared" si="71"/>
        <v>-1.62</v>
      </c>
      <c r="C1148" s="3198">
        <f t="shared" si="67"/>
        <v>-1.62</v>
      </c>
      <c r="D1148" s="3198">
        <f t="shared" si="68"/>
        <v>-0.91</v>
      </c>
      <c r="E1148" s="3198">
        <f t="shared" si="69"/>
        <v>-0.91</v>
      </c>
      <c r="F1148" s="3198">
        <f t="shared" si="70"/>
        <v>-0.43</v>
      </c>
      <c r="G1148" s="3198">
        <f t="shared" si="72"/>
        <v>0</v>
      </c>
      <c r="I1148" s="3199"/>
    </row>
    <row r="1149" spans="1:9" s="2067" customFormat="1">
      <c r="A1149" s="3200" t="s">
        <v>313</v>
      </c>
      <c r="B1149" s="3198">
        <f t="shared" si="71"/>
        <v>-1.62</v>
      </c>
      <c r="C1149" s="3198">
        <f t="shared" si="67"/>
        <v>-1.62</v>
      </c>
      <c r="D1149" s="3198">
        <f t="shared" si="68"/>
        <v>-0.91</v>
      </c>
      <c r="E1149" s="3198">
        <f t="shared" si="69"/>
        <v>-0.91</v>
      </c>
      <c r="F1149" s="3198">
        <f t="shared" si="70"/>
        <v>-0.43</v>
      </c>
      <c r="G1149" s="3198">
        <f t="shared" si="72"/>
        <v>0</v>
      </c>
      <c r="I1149" s="3199"/>
    </row>
    <row r="1150" spans="1:9" s="2067" customFormat="1">
      <c r="A1150" s="3200" t="s">
        <v>311</v>
      </c>
      <c r="B1150" s="3198">
        <f t="shared" si="71"/>
        <v>-1.62</v>
      </c>
      <c r="C1150" s="3198">
        <f t="shared" si="67"/>
        <v>-1.62</v>
      </c>
      <c r="D1150" s="3198">
        <f t="shared" si="68"/>
        <v>-0.91</v>
      </c>
      <c r="E1150" s="3198">
        <f t="shared" si="69"/>
        <v>-0.91</v>
      </c>
      <c r="F1150" s="3198">
        <f t="shared" si="70"/>
        <v>-0.43</v>
      </c>
      <c r="G1150" s="3198">
        <f t="shared" si="72"/>
        <v>0</v>
      </c>
      <c r="I1150" s="3199"/>
    </row>
    <row r="1151" spans="1:9" s="2067" customFormat="1">
      <c r="A1151" s="3200" t="s">
        <v>310</v>
      </c>
      <c r="B1151" s="3198">
        <f t="shared" si="71"/>
        <v>-1.62</v>
      </c>
      <c r="C1151" s="3198">
        <f t="shared" si="67"/>
        <v>-1.62</v>
      </c>
      <c r="D1151" s="3198">
        <f t="shared" si="68"/>
        <v>-0.91</v>
      </c>
      <c r="E1151" s="3198">
        <f t="shared" si="69"/>
        <v>-0.91</v>
      </c>
      <c r="F1151" s="3198">
        <f t="shared" si="70"/>
        <v>-0.43</v>
      </c>
      <c r="G1151" s="3198">
        <f t="shared" si="72"/>
        <v>0</v>
      </c>
      <c r="I1151" s="3199"/>
    </row>
    <row r="1152" spans="1:9">
      <c r="A1152" s="3187" t="s">
        <v>5711</v>
      </c>
      <c r="B1152" s="3188" t="s">
        <v>5714</v>
      </c>
      <c r="C1152" s="3185"/>
    </row>
    <row r="1153" spans="1:9">
      <c r="A1153" s="3187" t="s">
        <v>5659</v>
      </c>
      <c r="B1153" s="4110" t="s">
        <v>5715</v>
      </c>
      <c r="C1153" s="4110"/>
    </row>
    <row r="1154" spans="1:9">
      <c r="A1154" s="2472"/>
      <c r="B1154" s="3188" t="s">
        <v>5712</v>
      </c>
      <c r="C1154" s="3188" t="s">
        <v>5713</v>
      </c>
    </row>
    <row r="1155" spans="1:9">
      <c r="A1155" s="3189" t="s">
        <v>461</v>
      </c>
      <c r="B1155" s="3187"/>
      <c r="C1155" s="3185"/>
    </row>
    <row r="1156" spans="1:9">
      <c r="A1156" s="3202" t="str">
        <f>A1124</f>
        <v>Please select</v>
      </c>
      <c r="B1156" s="3224">
        <v>0</v>
      </c>
      <c r="C1156" s="2010">
        <v>0</v>
      </c>
    </row>
    <row r="1157" spans="1:9">
      <c r="A1157" s="3197" t="s">
        <v>318</v>
      </c>
      <c r="B1157" s="3198">
        <v>193.7</v>
      </c>
      <c r="C1157" s="3198">
        <v>0</v>
      </c>
    </row>
    <row r="1158" spans="1:9">
      <c r="A1158" s="3197" t="s">
        <v>317</v>
      </c>
      <c r="B1158" s="3198">
        <f>B1157</f>
        <v>193.7</v>
      </c>
      <c r="C1158" s="3198">
        <f t="shared" ref="C1158:C1167" si="73">C1157</f>
        <v>0</v>
      </c>
    </row>
    <row r="1159" spans="1:9">
      <c r="A1159" s="3200" t="s">
        <v>315</v>
      </c>
      <c r="B1159" s="3198">
        <f t="shared" ref="B1159:B1167" si="74">B1158</f>
        <v>193.7</v>
      </c>
      <c r="C1159" s="3198">
        <f t="shared" si="73"/>
        <v>0</v>
      </c>
    </row>
    <row r="1160" spans="1:9">
      <c r="A1160" s="3200" t="s">
        <v>316</v>
      </c>
      <c r="B1160" s="3198">
        <f t="shared" si="74"/>
        <v>193.7</v>
      </c>
      <c r="C1160" s="3198">
        <f t="shared" si="73"/>
        <v>0</v>
      </c>
    </row>
    <row r="1161" spans="1:9">
      <c r="A1161" s="3200" t="s">
        <v>314</v>
      </c>
      <c r="B1161" s="3198">
        <f t="shared" si="74"/>
        <v>193.7</v>
      </c>
      <c r="C1161" s="3198">
        <f t="shared" si="73"/>
        <v>0</v>
      </c>
    </row>
    <row r="1162" spans="1:9">
      <c r="A1162" s="3200" t="s">
        <v>466</v>
      </c>
      <c r="B1162" s="3198">
        <f t="shared" si="74"/>
        <v>193.7</v>
      </c>
      <c r="C1162" s="3198">
        <f t="shared" si="73"/>
        <v>0</v>
      </c>
    </row>
    <row r="1163" spans="1:9">
      <c r="A1163" s="3200" t="s">
        <v>6503</v>
      </c>
      <c r="B1163" s="3198">
        <f t="shared" si="74"/>
        <v>193.7</v>
      </c>
      <c r="C1163" s="3198">
        <f t="shared" si="73"/>
        <v>0</v>
      </c>
    </row>
    <row r="1164" spans="1:9">
      <c r="A1164" s="3200" t="s">
        <v>6502</v>
      </c>
      <c r="B1164" s="3198">
        <f t="shared" si="74"/>
        <v>193.7</v>
      </c>
      <c r="C1164" s="3198">
        <f t="shared" si="73"/>
        <v>0</v>
      </c>
    </row>
    <row r="1165" spans="1:9">
      <c r="A1165" s="3200" t="s">
        <v>313</v>
      </c>
      <c r="B1165" s="3198">
        <f t="shared" si="74"/>
        <v>193.7</v>
      </c>
      <c r="C1165" s="3198">
        <f t="shared" si="73"/>
        <v>0</v>
      </c>
    </row>
    <row r="1166" spans="1:9">
      <c r="A1166" s="3200" t="s">
        <v>311</v>
      </c>
      <c r="B1166" s="3198">
        <f t="shared" si="74"/>
        <v>193.7</v>
      </c>
      <c r="C1166" s="3198">
        <f t="shared" si="73"/>
        <v>0</v>
      </c>
    </row>
    <row r="1167" spans="1:9">
      <c r="A1167" s="3200" t="s">
        <v>310</v>
      </c>
      <c r="B1167" s="3198">
        <f t="shared" si="74"/>
        <v>193.7</v>
      </c>
      <c r="C1167" s="3198">
        <f t="shared" si="73"/>
        <v>0</v>
      </c>
    </row>
    <row r="1168" spans="1:9" s="2228" customFormat="1">
      <c r="A1168" s="3453" t="s">
        <v>7257</v>
      </c>
      <c r="B1168" s="3454"/>
      <c r="C1168" s="3454"/>
      <c r="D1168" s="3454"/>
      <c r="E1168" s="3456" t="s">
        <v>7258</v>
      </c>
      <c r="F1168" s="3456" t="s">
        <v>7259</v>
      </c>
      <c r="G1168" s="3454"/>
      <c r="I1168" s="3455"/>
    </row>
    <row r="1169" spans="1:9" s="2228" customFormat="1">
      <c r="A1169" s="3453"/>
      <c r="B1169" s="3454"/>
      <c r="C1169" s="3454"/>
      <c r="D1169" s="3454"/>
      <c r="G1169" s="3454"/>
      <c r="I1169" s="3455"/>
    </row>
    <row r="1170" spans="1:9" s="3457" customFormat="1">
      <c r="A1170" s="3457" t="s">
        <v>7253</v>
      </c>
      <c r="B1170" s="4108" t="s">
        <v>7260</v>
      </c>
      <c r="C1170" s="4106" t="s">
        <v>7273</v>
      </c>
      <c r="D1170" s="4107"/>
      <c r="E1170" s="4100" t="s">
        <v>7263</v>
      </c>
      <c r="F1170" s="4102" t="s">
        <v>7264</v>
      </c>
      <c r="G1170" s="4104" t="s">
        <v>7265</v>
      </c>
    </row>
    <row r="1171" spans="1:9" s="3457" customFormat="1" ht="12.75" customHeight="1">
      <c r="B1171" s="4108"/>
      <c r="C1171" s="4106"/>
      <c r="D1171" s="4107"/>
      <c r="E1171" s="4100"/>
      <c r="F1171" s="4102"/>
      <c r="G1171" s="4104"/>
    </row>
    <row r="1172" spans="1:9" s="3457" customFormat="1">
      <c r="B1172" s="4109"/>
      <c r="C1172" s="3462" t="s">
        <v>7261</v>
      </c>
      <c r="D1172" s="3462" t="s">
        <v>7262</v>
      </c>
      <c r="E1172" s="4101"/>
      <c r="F1172" s="4103"/>
      <c r="G1172" s="4105"/>
    </row>
    <row r="1173" spans="1:9" s="3457" customFormat="1">
      <c r="A1173" s="3457" t="s">
        <v>7230</v>
      </c>
      <c r="B1173" s="3459">
        <v>0.88</v>
      </c>
      <c r="C1173" s="3461">
        <v>1.0900000000000001</v>
      </c>
      <c r="D1173" s="3459">
        <v>0.88</v>
      </c>
      <c r="E1173" s="3458">
        <v>6.0000000000000001E-3</v>
      </c>
      <c r="F1173" s="3458">
        <v>0.22</v>
      </c>
      <c r="G1173" s="3460">
        <v>8.9999999999999993E-3</v>
      </c>
    </row>
    <row r="1174" spans="1:9" s="3457" customFormat="1">
      <c r="A1174" s="3457" t="s">
        <v>7227</v>
      </c>
      <c r="B1174" s="3459">
        <v>0.91</v>
      </c>
      <c r="C1174" s="3461">
        <v>1.1299999999999999</v>
      </c>
      <c r="D1174" s="3459">
        <v>0.85</v>
      </c>
      <c r="E1174" s="3458">
        <v>8.0000000000000002E-3</v>
      </c>
      <c r="F1174" s="3458">
        <v>0.19</v>
      </c>
      <c r="G1174" s="3460">
        <v>8.0000000000000002E-3</v>
      </c>
    </row>
    <row r="1175" spans="1:9" s="3457" customFormat="1">
      <c r="A1175" s="3457" t="s">
        <v>7236</v>
      </c>
      <c r="B1175" s="3459">
        <v>0.22</v>
      </c>
      <c r="C1175" s="3461">
        <v>0.1</v>
      </c>
      <c r="D1175" s="3459">
        <v>1.06</v>
      </c>
      <c r="E1175" s="3458">
        <v>1.9E-2</v>
      </c>
      <c r="F1175" s="3458">
        <v>0.2</v>
      </c>
      <c r="G1175" s="3460">
        <v>1.4E-2</v>
      </c>
    </row>
    <row r="1176" spans="1:9" s="3457" customFormat="1">
      <c r="A1176" s="3457" t="s">
        <v>7233</v>
      </c>
      <c r="B1176" s="3459">
        <v>0.94</v>
      </c>
      <c r="C1176" s="3461">
        <v>1.07</v>
      </c>
      <c r="D1176" s="3459">
        <v>1.54</v>
      </c>
      <c r="E1176" s="3458">
        <v>1.6E-2</v>
      </c>
      <c r="F1176" s="3458">
        <v>0.2</v>
      </c>
      <c r="G1176" s="3460">
        <v>1.4E-2</v>
      </c>
    </row>
    <row r="1177" spans="1:9" s="3457" customFormat="1">
      <c r="A1177" s="3457" t="s">
        <v>7266</v>
      </c>
      <c r="B1177" s="3459">
        <v>0.9</v>
      </c>
      <c r="C1177" s="3461">
        <v>0.3</v>
      </c>
      <c r="D1177" s="3459">
        <v>0</v>
      </c>
      <c r="E1177" s="3458">
        <v>2.7E-2</v>
      </c>
      <c r="F1177" s="3458">
        <v>0.4</v>
      </c>
      <c r="G1177" s="3460">
        <v>2.1999999999999999E-2</v>
      </c>
    </row>
    <row r="1178" spans="1:9" s="3457" customFormat="1">
      <c r="A1178" s="3457" t="s">
        <v>7267</v>
      </c>
      <c r="B1178" s="3459">
        <v>0.9</v>
      </c>
      <c r="C1178" s="3461">
        <v>0.3</v>
      </c>
      <c r="D1178" s="3459">
        <v>0</v>
      </c>
      <c r="E1178" s="3458">
        <v>1.4999999999999999E-2</v>
      </c>
      <c r="F1178" s="3458">
        <v>0.54</v>
      </c>
      <c r="G1178" s="3460">
        <v>1.2E-2</v>
      </c>
    </row>
    <row r="1179" spans="1:9" s="3457" customFormat="1">
      <c r="A1179" s="3457" t="s">
        <v>1356</v>
      </c>
      <c r="B1179" s="3459">
        <v>0.87</v>
      </c>
      <c r="C1179" s="3461">
        <v>1.03</v>
      </c>
      <c r="D1179" s="3459">
        <v>0.61</v>
      </c>
      <c r="E1179" s="3458">
        <v>6.0000000000000001E-3</v>
      </c>
      <c r="F1179" s="3458">
        <v>0.22</v>
      </c>
      <c r="G1179" s="3460">
        <v>7.0000000000000001E-3</v>
      </c>
    </row>
    <row r="1180" spans="1:9" s="3457" customFormat="1">
      <c r="A1180" s="3457" t="s">
        <v>1383</v>
      </c>
      <c r="B1180" s="3459">
        <v>0.89</v>
      </c>
      <c r="C1180" s="3461">
        <v>1.51</v>
      </c>
      <c r="D1180" s="3459">
        <v>0.52</v>
      </c>
      <c r="E1180" s="3458">
        <v>6.0000000000000001E-3</v>
      </c>
      <c r="F1180" s="3458">
        <v>0.24</v>
      </c>
      <c r="G1180" s="3460">
        <v>8.9999999999999993E-3</v>
      </c>
    </row>
    <row r="1181" spans="1:9" s="3457" customFormat="1">
      <c r="A1181" s="3457" t="s">
        <v>7268</v>
      </c>
      <c r="B1181" s="3459">
        <v>0.89</v>
      </c>
      <c r="C1181" s="3461">
        <v>1.61</v>
      </c>
      <c r="D1181" s="3459">
        <v>0.4</v>
      </c>
      <c r="E1181" s="3458">
        <v>6.0000000000000001E-3</v>
      </c>
      <c r="F1181" s="3458">
        <v>0.23</v>
      </c>
      <c r="G1181" s="3460">
        <v>8.9999999999999993E-3</v>
      </c>
    </row>
    <row r="1182" spans="1:9" s="3457" customFormat="1">
      <c r="A1182" s="3457" t="s">
        <v>7269</v>
      </c>
      <c r="B1182" s="3459">
        <v>0.89</v>
      </c>
      <c r="C1182" s="3461">
        <v>1.29</v>
      </c>
      <c r="D1182" s="3459">
        <v>0.75</v>
      </c>
      <c r="E1182" s="3458">
        <v>6.0000000000000001E-3</v>
      </c>
      <c r="F1182" s="3458">
        <v>0.28000000000000003</v>
      </c>
      <c r="G1182" s="3460">
        <v>8.9999999999999993E-3</v>
      </c>
    </row>
    <row r="1183" spans="1:9" s="3457" customFormat="1">
      <c r="A1183" s="3457" t="s">
        <v>1337</v>
      </c>
      <c r="B1183" s="3459">
        <v>0.89</v>
      </c>
      <c r="C1183" s="3461">
        <v>0.98</v>
      </c>
      <c r="D1183" s="3459">
        <v>0.59</v>
      </c>
      <c r="E1183" s="3458">
        <v>7.0000000000000001E-3</v>
      </c>
      <c r="F1183" s="3458">
        <v>0.22</v>
      </c>
      <c r="G1183" s="3460">
        <v>1.4E-2</v>
      </c>
    </row>
    <row r="1184" spans="1:9" s="3457" customFormat="1">
      <c r="A1184" s="3457" t="s">
        <v>1323</v>
      </c>
      <c r="B1184" s="3459">
        <v>0.89</v>
      </c>
      <c r="C1184" s="3461">
        <v>0.91</v>
      </c>
      <c r="D1184" s="3459">
        <v>0.89</v>
      </c>
      <c r="E1184" s="3458">
        <v>7.0000000000000001E-3</v>
      </c>
      <c r="F1184" s="3458">
        <v>0.25</v>
      </c>
      <c r="G1184" s="3460">
        <v>8.0000000000000002E-3</v>
      </c>
    </row>
    <row r="1185" spans="1:9" s="3457" customFormat="1">
      <c r="A1185" s="3624" t="s">
        <v>1333</v>
      </c>
      <c r="B1185" s="3459">
        <v>0.91</v>
      </c>
      <c r="C1185" s="3461">
        <v>0.93</v>
      </c>
      <c r="D1185" s="3459">
        <v>1.35</v>
      </c>
      <c r="E1185" s="3458">
        <v>8.0000000000000002E-3</v>
      </c>
      <c r="F1185" s="3458">
        <v>0.19</v>
      </c>
      <c r="G1185" s="3460">
        <v>8.0000000000000002E-3</v>
      </c>
    </row>
    <row r="1186" spans="1:9" s="3457" customFormat="1">
      <c r="A1186" s="3624" t="s">
        <v>1368</v>
      </c>
      <c r="B1186" s="3459">
        <v>0.22</v>
      </c>
      <c r="C1186" s="3461">
        <v>0.1</v>
      </c>
      <c r="D1186" s="3459">
        <v>1.06</v>
      </c>
      <c r="E1186" s="3458">
        <v>1.9E-2</v>
      </c>
      <c r="F1186" s="3458">
        <v>0.2</v>
      </c>
      <c r="G1186" s="3460">
        <v>1.4E-2</v>
      </c>
    </row>
    <row r="1187" spans="1:9" s="3457" customFormat="1">
      <c r="A1187" s="3457" t="s">
        <v>7271</v>
      </c>
      <c r="B1187" s="3459">
        <v>0.9</v>
      </c>
      <c r="C1187" s="3461">
        <v>0.28999999999999998</v>
      </c>
      <c r="D1187" s="3459">
        <v>0</v>
      </c>
      <c r="E1187" s="3458">
        <v>2.7E-2</v>
      </c>
      <c r="F1187" s="3458">
        <v>0.4</v>
      </c>
      <c r="G1187" s="3460">
        <v>1.9E-2</v>
      </c>
    </row>
    <row r="1188" spans="1:9" s="3457" customFormat="1">
      <c r="A1188" s="3457" t="s">
        <v>7272</v>
      </c>
      <c r="B1188" s="3459">
        <v>0.9</v>
      </c>
      <c r="C1188" s="3461">
        <v>0.18</v>
      </c>
      <c r="D1188" s="3459">
        <v>0</v>
      </c>
      <c r="E1188" s="3458">
        <v>1.4999999999999999E-2</v>
      </c>
      <c r="F1188" s="3458">
        <v>0.54</v>
      </c>
      <c r="G1188" s="3460">
        <v>1.2E-2</v>
      </c>
    </row>
    <row r="1189" spans="1:9" s="3457" customFormat="1">
      <c r="A1189" s="3457" t="s">
        <v>7239</v>
      </c>
      <c r="B1189" s="3459">
        <v>0.9</v>
      </c>
      <c r="C1189" s="3461">
        <v>0.36</v>
      </c>
      <c r="D1189" s="3459">
        <v>0.68</v>
      </c>
      <c r="E1189" s="3458">
        <v>0.01</v>
      </c>
      <c r="F1189" s="3544" t="s">
        <v>7270</v>
      </c>
      <c r="G1189" s="3460">
        <v>0.01</v>
      </c>
    </row>
    <row r="1190" spans="1:9" s="3457" customFormat="1">
      <c r="A1190" s="3457" t="s">
        <v>7244</v>
      </c>
      <c r="B1190" s="3459">
        <v>0.94</v>
      </c>
      <c r="C1190" s="3461">
        <v>1.07</v>
      </c>
      <c r="D1190" s="3459">
        <v>1.54</v>
      </c>
      <c r="E1190" s="3458">
        <v>1.6E-2</v>
      </c>
      <c r="F1190" s="3544" t="s">
        <v>7270</v>
      </c>
      <c r="G1190" s="3545" t="s">
        <v>7270</v>
      </c>
    </row>
    <row r="1191" spans="1:9" s="3457" customFormat="1">
      <c r="A1191" s="3457" t="s">
        <v>1359</v>
      </c>
      <c r="B1191" s="3459">
        <v>0.9</v>
      </c>
      <c r="C1191" s="3461">
        <v>1.43</v>
      </c>
      <c r="D1191" s="3459">
        <v>0.14000000000000001</v>
      </c>
      <c r="E1191" s="3458">
        <v>7.0000000000000001E-3</v>
      </c>
      <c r="F1191" s="3544" t="s">
        <v>7270</v>
      </c>
      <c r="G1191" s="3545" t="s">
        <v>7270</v>
      </c>
    </row>
    <row r="1192" spans="1:9" s="3457" customFormat="1">
      <c r="A1192" s="3457" t="s">
        <v>1373</v>
      </c>
      <c r="B1192" s="3459">
        <v>0.89</v>
      </c>
      <c r="C1192" s="3461">
        <v>0.88</v>
      </c>
      <c r="D1192" s="3459">
        <v>1.33</v>
      </c>
      <c r="E1192" s="3458">
        <v>7.0000000000000001E-3</v>
      </c>
      <c r="F1192" s="3544" t="s">
        <v>7270</v>
      </c>
      <c r="G1192" s="3460">
        <v>6.0000000000000001E-3</v>
      </c>
    </row>
    <row r="1193" spans="1:9" s="3457" customFormat="1">
      <c r="A1193" s="3457" t="s">
        <v>1327</v>
      </c>
      <c r="B1193" s="3459">
        <v>0.88</v>
      </c>
      <c r="C1193" s="3461">
        <v>1.0900000000000001</v>
      </c>
      <c r="D1193" s="3459">
        <v>0.88</v>
      </c>
      <c r="E1193" s="3458">
        <v>5.0000000000000001E-3</v>
      </c>
      <c r="F1193" s="3544" t="s">
        <v>7270</v>
      </c>
      <c r="G1193" s="3460">
        <v>1.0999999999999999E-2</v>
      </c>
    </row>
    <row r="1194" spans="1:9" s="3457" customFormat="1">
      <c r="A1194" s="3457" t="s">
        <v>1093</v>
      </c>
      <c r="B1194" s="3459">
        <v>0.89</v>
      </c>
      <c r="C1194" s="3461">
        <v>0.95</v>
      </c>
      <c r="D1194" s="3459">
        <v>2.46</v>
      </c>
      <c r="E1194" s="3458">
        <v>7.0000000000000001E-3</v>
      </c>
      <c r="F1194" s="3458">
        <v>0.16</v>
      </c>
      <c r="G1194" s="3545" t="s">
        <v>7270</v>
      </c>
    </row>
    <row r="1195" spans="1:9" s="2228" customFormat="1">
      <c r="A1195" s="3453" t="s">
        <v>7414</v>
      </c>
      <c r="B1195" s="3454"/>
      <c r="C1195" s="3454" t="s">
        <v>7415</v>
      </c>
      <c r="D1195" s="3454"/>
      <c r="E1195" s="3456" t="s">
        <v>7259</v>
      </c>
      <c r="F1195" s="3456"/>
      <c r="G1195" s="3454"/>
      <c r="I1195" s="3455"/>
    </row>
    <row r="1196" spans="1:9" s="2228" customFormat="1">
      <c r="A1196" s="3453" t="s">
        <v>7418</v>
      </c>
      <c r="B1196" s="3454"/>
      <c r="C1196" s="3454"/>
      <c r="D1196" s="3454"/>
      <c r="E1196" s="3456"/>
      <c r="F1196" s="3456"/>
      <c r="G1196" s="3454"/>
      <c r="I1196" s="3455"/>
    </row>
    <row r="1197" spans="1:9" s="3457" customFormat="1">
      <c r="B1197" s="3516" t="s">
        <v>7419</v>
      </c>
      <c r="C1197" s="3514"/>
      <c r="D1197" s="3514"/>
      <c r="E1197" s="3458"/>
      <c r="F1197" s="3458"/>
      <c r="G1197" s="3460"/>
    </row>
    <row r="1198" spans="1:9" s="3457" customFormat="1">
      <c r="A1198" s="3515" t="s">
        <v>7421</v>
      </c>
      <c r="B1198" s="3514"/>
      <c r="C1198" s="3514"/>
      <c r="D1198" s="3514"/>
      <c r="E1198" s="3458"/>
      <c r="F1198" s="3458"/>
      <c r="G1198" s="3460"/>
    </row>
    <row r="1199" spans="1:9" s="3457" customFormat="1">
      <c r="A1199" s="3457" t="s">
        <v>7416</v>
      </c>
      <c r="B1199" s="3514">
        <v>15</v>
      </c>
      <c r="C1199" s="3514"/>
      <c r="D1199" s="3514"/>
      <c r="E1199" s="3458"/>
      <c r="F1199" s="3458"/>
      <c r="G1199" s="3460"/>
    </row>
    <row r="1200" spans="1:9" s="3457" customFormat="1">
      <c r="A1200" s="3457" t="s">
        <v>7417</v>
      </c>
      <c r="B1200" s="3514">
        <v>10</v>
      </c>
      <c r="C1200" s="3514"/>
      <c r="D1200" s="3514"/>
      <c r="E1200" s="3458"/>
      <c r="F1200" s="3458"/>
      <c r="G1200" s="3460"/>
    </row>
  </sheetData>
  <sheetProtection formatCells="0" formatColumns="0" formatRows="0"/>
  <mergeCells count="18">
    <mergeCell ref="B1153:C1153"/>
    <mergeCell ref="F1120:G1121"/>
    <mergeCell ref="B1121:C1121"/>
    <mergeCell ref="D1121:E1121"/>
    <mergeCell ref="F1136:G1137"/>
    <mergeCell ref="B1137:C1137"/>
    <mergeCell ref="D1137:E1137"/>
    <mergeCell ref="F1104:G1105"/>
    <mergeCell ref="B597:E597"/>
    <mergeCell ref="B1028:D1028"/>
    <mergeCell ref="B1042:D1042"/>
    <mergeCell ref="B1105:C1105"/>
    <mergeCell ref="D1105:E1105"/>
    <mergeCell ref="E1170:E1172"/>
    <mergeCell ref="F1170:F1172"/>
    <mergeCell ref="G1170:G1172"/>
    <mergeCell ref="C1170:D1171"/>
    <mergeCell ref="B1170:B1172"/>
  </mergeCells>
  <phoneticPr fontId="11" type="noConversion"/>
  <pageMargins left="0.78740157499999996" right="0.78740157499999996" top="0.33" bottom="0.33" header="0.23" footer="0.2"/>
  <pageSetup paperSize="9" scale="10"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2"/>
  </sheetPr>
  <dimension ref="A1:D143"/>
  <sheetViews>
    <sheetView zoomScaleNormal="100" workbookViewId="0">
      <selection activeCell="B7" sqref="B7"/>
    </sheetView>
  </sheetViews>
  <sheetFormatPr defaultColWidth="11.42578125" defaultRowHeight="12.75"/>
  <cols>
    <col min="1" max="1" width="28.5703125" bestFit="1" customWidth="1"/>
    <col min="2" max="2" width="17.140625" style="58" bestFit="1" customWidth="1"/>
  </cols>
  <sheetData>
    <row r="1" spans="1:2" s="1636" customFormat="1" ht="22.9" customHeight="1">
      <c r="B1" s="1637"/>
    </row>
    <row r="2" spans="1:2" s="1636" customFormat="1" ht="22.9" customHeight="1">
      <c r="B2" s="1637"/>
    </row>
    <row r="3" spans="1:2" s="1636" customFormat="1" ht="22.9" customHeight="1">
      <c r="B3" s="1637"/>
    </row>
    <row r="4" spans="1:2" s="1636" customFormat="1" ht="22.9" customHeight="1">
      <c r="B4" s="1637"/>
    </row>
    <row r="5" spans="1:2" s="1636" customFormat="1" ht="22.9" customHeight="1">
      <c r="A5" s="1638" t="s">
        <v>834</v>
      </c>
      <c r="B5" s="1639" t="s">
        <v>833</v>
      </c>
    </row>
    <row r="6" spans="1:2">
      <c r="A6" s="1017" t="s">
        <v>21</v>
      </c>
      <c r="B6" s="290">
        <f>D140</f>
        <v>0.50720981957055322</v>
      </c>
    </row>
    <row r="7" spans="1:2">
      <c r="A7" t="s">
        <v>725</v>
      </c>
      <c r="B7" s="290">
        <v>5.0723364944820007E-2</v>
      </c>
    </row>
    <row r="8" spans="1:2">
      <c r="A8" t="s">
        <v>775</v>
      </c>
      <c r="B8" s="290">
        <v>0.7524577658617132</v>
      </c>
    </row>
    <row r="9" spans="1:2">
      <c r="A9" t="s">
        <v>776</v>
      </c>
      <c r="B9" s="290">
        <v>0.38582491364878713</v>
      </c>
    </row>
    <row r="10" spans="1:2">
      <c r="A10" t="s">
        <v>795</v>
      </c>
      <c r="B10" s="290">
        <v>0.31668386848401053</v>
      </c>
    </row>
    <row r="11" spans="1:2">
      <c r="A11" t="s">
        <v>726</v>
      </c>
      <c r="B11" s="290">
        <v>0.23022856684407095</v>
      </c>
    </row>
    <row r="12" spans="1:2">
      <c r="A12" t="s">
        <v>721</v>
      </c>
      <c r="B12" s="290">
        <v>0.92436258905619495</v>
      </c>
    </row>
    <row r="13" spans="1:2">
      <c r="A13" t="s">
        <v>698</v>
      </c>
      <c r="B13" s="290">
        <v>0.19730106527107968</v>
      </c>
    </row>
    <row r="14" spans="1:2">
      <c r="A14" t="s">
        <v>727</v>
      </c>
      <c r="B14" s="290">
        <v>0.61323177217856994</v>
      </c>
    </row>
    <row r="15" spans="1:2">
      <c r="A15" t="s">
        <v>761</v>
      </c>
      <c r="B15" s="290">
        <v>0.87628068858119257</v>
      </c>
    </row>
    <row r="16" spans="1:2">
      <c r="A16" t="s">
        <v>746</v>
      </c>
      <c r="B16" s="290">
        <v>0.62451170732007544</v>
      </c>
    </row>
    <row r="17" spans="1:2">
      <c r="A17" t="s">
        <v>728</v>
      </c>
      <c r="B17" s="290">
        <v>0.32553085467054221</v>
      </c>
    </row>
    <row r="18" spans="1:2">
      <c r="A18" t="s">
        <v>699</v>
      </c>
      <c r="B18" s="290">
        <v>0.28855272309554847</v>
      </c>
    </row>
    <row r="19" spans="1:2">
      <c r="A19" t="s">
        <v>826</v>
      </c>
      <c r="B19" s="290">
        <v>0.68302522338637428</v>
      </c>
    </row>
    <row r="20" spans="1:2">
      <c r="A20" t="s">
        <v>796</v>
      </c>
      <c r="B20" s="290">
        <v>0.40133162359826319</v>
      </c>
    </row>
    <row r="21" spans="1:2">
      <c r="A21" t="s">
        <v>729</v>
      </c>
      <c r="B21" s="290">
        <v>0.77041811500285373</v>
      </c>
    </row>
    <row r="22" spans="1:2">
      <c r="A22" t="s">
        <v>825</v>
      </c>
      <c r="B22" s="290">
        <v>0.68302522338637428</v>
      </c>
    </row>
    <row r="23" spans="1:2">
      <c r="A23" t="s">
        <v>797</v>
      </c>
      <c r="B23" s="290">
        <v>9.2840604219325135E-2</v>
      </c>
    </row>
    <row r="24" spans="1:2">
      <c r="A24" t="s">
        <v>747</v>
      </c>
      <c r="B24" s="290">
        <v>0.82957685592138097</v>
      </c>
    </row>
    <row r="25" spans="1:2">
      <c r="A25" t="s">
        <v>730</v>
      </c>
      <c r="B25" s="290">
        <v>0.49204344317490939</v>
      </c>
    </row>
    <row r="26" spans="1:2">
      <c r="A26" t="s">
        <v>777</v>
      </c>
      <c r="B26" s="290">
        <v>1.6006778002482295E-2</v>
      </c>
    </row>
    <row r="27" spans="1:2">
      <c r="A27" t="s">
        <v>696</v>
      </c>
      <c r="B27" s="290">
        <v>0.22305039626496026</v>
      </c>
    </row>
    <row r="28" spans="1:2">
      <c r="A28" t="s">
        <v>798</v>
      </c>
      <c r="B28" s="290">
        <v>0.33252054972102735</v>
      </c>
    </row>
    <row r="29" spans="1:2">
      <c r="A29" t="s">
        <v>828</v>
      </c>
      <c r="B29" s="290">
        <v>0.83920315058806927</v>
      </c>
    </row>
    <row r="30" spans="1:2">
      <c r="A30" t="s">
        <v>748</v>
      </c>
      <c r="B30" s="290">
        <v>0.63079934643405766</v>
      </c>
    </row>
    <row r="31" spans="1:2">
      <c r="A31" t="s">
        <v>799</v>
      </c>
      <c r="B31" s="290">
        <v>0.15719121087814455</v>
      </c>
    </row>
    <row r="32" spans="1:2">
      <c r="A32" t="s">
        <v>824</v>
      </c>
      <c r="B32" s="290">
        <v>0.68302522338637428</v>
      </c>
    </row>
    <row r="33" spans="1:2">
      <c r="A33" t="s">
        <v>800</v>
      </c>
      <c r="B33" s="290">
        <v>1.4773393640099214E-2</v>
      </c>
    </row>
    <row r="34" spans="1:2">
      <c r="A34" t="s">
        <v>778</v>
      </c>
      <c r="B34" s="290">
        <v>0.40823191350374383</v>
      </c>
    </row>
    <row r="35" spans="1:2">
      <c r="A35" t="s">
        <v>831</v>
      </c>
      <c r="B35" s="290">
        <v>0.51296293856220021</v>
      </c>
    </row>
    <row r="36" spans="1:2">
      <c r="A36" t="s">
        <v>801</v>
      </c>
      <c r="B36" s="290">
        <v>1.1039909216170483</v>
      </c>
    </row>
    <row r="37" spans="1:2">
      <c r="A37" t="s">
        <v>762</v>
      </c>
      <c r="B37" s="290">
        <v>0.85149636965496223</v>
      </c>
    </row>
    <row r="38" spans="1:2">
      <c r="A38" t="s">
        <v>700</v>
      </c>
      <c r="B38" s="290">
        <v>0.60436272401240154</v>
      </c>
    </row>
    <row r="39" spans="1:2">
      <c r="A39" t="s">
        <v>749</v>
      </c>
      <c r="B39" s="290">
        <v>0.63040777962737482</v>
      </c>
    </row>
    <row r="40" spans="1:2">
      <c r="A40" t="s">
        <v>779</v>
      </c>
      <c r="B40" s="290">
        <v>3.7755104516129035E-3</v>
      </c>
    </row>
    <row r="41" spans="1:2">
      <c r="A41" t="s">
        <v>701</v>
      </c>
      <c r="B41" s="290">
        <v>0.3584115437150644</v>
      </c>
    </row>
    <row r="42" spans="1:2">
      <c r="A42" t="s">
        <v>802</v>
      </c>
      <c r="B42" s="290">
        <v>0.77056674111675139</v>
      </c>
    </row>
    <row r="43" spans="1:2">
      <c r="A43" t="s">
        <v>803</v>
      </c>
      <c r="B43" s="290">
        <v>0.25612460124304576</v>
      </c>
    </row>
    <row r="44" spans="1:2">
      <c r="A44" t="s">
        <v>780</v>
      </c>
      <c r="B44" s="290">
        <v>0.43588476113258129</v>
      </c>
    </row>
    <row r="45" spans="1:2">
      <c r="A45" t="s">
        <v>804</v>
      </c>
      <c r="B45" s="290">
        <v>0.3018528794469259</v>
      </c>
    </row>
    <row r="46" spans="1:2">
      <c r="A46" t="s">
        <v>781</v>
      </c>
      <c r="B46" s="290">
        <v>0.7361541269406392</v>
      </c>
    </row>
    <row r="47" spans="1:2">
      <c r="A47" t="s">
        <v>731</v>
      </c>
      <c r="B47" s="290">
        <v>0.77354820200126118</v>
      </c>
    </row>
    <row r="48" spans="1:2">
      <c r="A48" t="s">
        <v>782</v>
      </c>
      <c r="B48" s="290">
        <v>1.051502342057762E-2</v>
      </c>
    </row>
    <row r="49" spans="1:2">
      <c r="A49" t="s">
        <v>702</v>
      </c>
      <c r="B49" s="290">
        <v>0.23912726117410768</v>
      </c>
    </row>
    <row r="50" spans="1:2">
      <c r="A50" t="s">
        <v>703</v>
      </c>
      <c r="B50" s="290">
        <v>8.2665880358369484E-2</v>
      </c>
    </row>
    <row r="51" spans="1:2">
      <c r="A51" t="s">
        <v>732</v>
      </c>
      <c r="B51" s="290">
        <v>0.77250539027071718</v>
      </c>
    </row>
    <row r="52" spans="1:2">
      <c r="A52" t="s">
        <v>783</v>
      </c>
      <c r="B52" s="290">
        <v>0.31114179348564958</v>
      </c>
    </row>
    <row r="53" spans="1:2">
      <c r="A53" t="s">
        <v>733</v>
      </c>
      <c r="B53" s="290">
        <v>0.13660469257463728</v>
      </c>
    </row>
    <row r="54" spans="1:2">
      <c r="A54" t="s">
        <v>704</v>
      </c>
      <c r="B54" s="290">
        <v>0.53875839924481517</v>
      </c>
    </row>
    <row r="55" spans="1:2">
      <c r="A55" t="s">
        <v>784</v>
      </c>
      <c r="B55" s="290">
        <v>0.15042381327078222</v>
      </c>
    </row>
    <row r="56" spans="1:2">
      <c r="A56" t="s">
        <v>705</v>
      </c>
      <c r="B56" s="290">
        <v>0.86956036560364469</v>
      </c>
    </row>
    <row r="57" spans="1:2">
      <c r="A57" t="s">
        <v>706</v>
      </c>
      <c r="B57" s="290">
        <v>0.88674501808461492</v>
      </c>
    </row>
    <row r="58" spans="1:2">
      <c r="A58" t="s">
        <v>805</v>
      </c>
      <c r="B58" s="290">
        <v>0.41840838800157176</v>
      </c>
    </row>
    <row r="59" spans="1:2">
      <c r="A59" t="s">
        <v>806</v>
      </c>
      <c r="B59" s="290">
        <v>0.34703377476475622</v>
      </c>
    </row>
    <row r="60" spans="1:2">
      <c r="A60" t="s">
        <v>807</v>
      </c>
      <c r="B60" s="290">
        <v>0.29028859466998252</v>
      </c>
    </row>
    <row r="61" spans="1:2">
      <c r="A61" t="s">
        <v>707</v>
      </c>
      <c r="B61" s="290">
        <v>0.43700372705623775</v>
      </c>
    </row>
    <row r="62" spans="1:2">
      <c r="A62" t="s">
        <v>708</v>
      </c>
      <c r="B62" s="290">
        <v>1.3648056448731689E-3</v>
      </c>
    </row>
    <row r="63" spans="1:2">
      <c r="A63" t="s">
        <v>750</v>
      </c>
      <c r="B63" s="290">
        <v>0.99879240591418605</v>
      </c>
    </row>
    <row r="64" spans="1:2">
      <c r="A64" t="s">
        <v>751</v>
      </c>
      <c r="B64" s="290">
        <v>0.72182172353646556</v>
      </c>
    </row>
    <row r="65" spans="1:2">
      <c r="A65" t="s">
        <v>763</v>
      </c>
      <c r="B65" s="290">
        <v>0.74362259422196841</v>
      </c>
    </row>
    <row r="66" spans="1:2">
      <c r="A66" t="s">
        <v>709</v>
      </c>
      <c r="B66" s="290">
        <v>0.69866072795986722</v>
      </c>
    </row>
    <row r="67" spans="1:2">
      <c r="A67" t="s">
        <v>764</v>
      </c>
      <c r="B67" s="290">
        <v>0.59823072611118833</v>
      </c>
    </row>
    <row r="68" spans="1:2">
      <c r="A68" t="s">
        <v>765</v>
      </c>
      <c r="B68" s="290">
        <v>0.83891772836668499</v>
      </c>
    </row>
    <row r="69" spans="1:2">
      <c r="A69" t="s">
        <v>710</v>
      </c>
      <c r="B69" s="290">
        <v>0.52453513956760034</v>
      </c>
    </row>
    <row r="70" spans="1:2">
      <c r="A70" t="s">
        <v>808</v>
      </c>
      <c r="B70" s="290">
        <v>0.81907408872329313</v>
      </c>
    </row>
    <row r="71" spans="1:2">
      <c r="A71" t="s">
        <v>722</v>
      </c>
      <c r="B71" s="290">
        <v>0.41742822575793453</v>
      </c>
    </row>
    <row r="72" spans="1:2">
      <c r="A72" t="s">
        <v>766</v>
      </c>
      <c r="B72" s="290">
        <v>0.77493790727543754</v>
      </c>
    </row>
    <row r="73" spans="1:2">
      <c r="A73" t="s">
        <v>734</v>
      </c>
      <c r="B73" s="290">
        <v>1.2926600828272028</v>
      </c>
    </row>
    <row r="74" spans="1:2">
      <c r="A74" t="s">
        <v>785</v>
      </c>
      <c r="B74" s="290">
        <v>0.39310192825191942</v>
      </c>
    </row>
    <row r="75" spans="1:2">
      <c r="A75" t="s">
        <v>723</v>
      </c>
      <c r="B75" s="290">
        <v>0.49274834018029212</v>
      </c>
    </row>
    <row r="76" spans="1:2">
      <c r="A76" t="s">
        <v>767</v>
      </c>
      <c r="B76" s="290">
        <v>0.78998097176569237</v>
      </c>
    </row>
    <row r="77" spans="1:2">
      <c r="A77" t="s">
        <v>735</v>
      </c>
      <c r="B77" s="290">
        <v>0.10207626280825775</v>
      </c>
    </row>
    <row r="78" spans="1:2">
      <c r="A78" t="s">
        <v>830</v>
      </c>
      <c r="B78" s="290">
        <v>0.51296293856220021</v>
      </c>
    </row>
    <row r="79" spans="1:2">
      <c r="A79" t="s">
        <v>768</v>
      </c>
      <c r="B79" s="290">
        <v>0.75385785498552782</v>
      </c>
    </row>
    <row r="80" spans="1:2">
      <c r="A80" t="s">
        <v>786</v>
      </c>
      <c r="B80" s="290">
        <v>1.1456836645776616</v>
      </c>
    </row>
    <row r="81" spans="1:2">
      <c r="A81" t="s">
        <v>736</v>
      </c>
      <c r="B81" s="290">
        <v>0.16533794553807368</v>
      </c>
    </row>
    <row r="82" spans="1:2">
      <c r="A82" t="s">
        <v>832</v>
      </c>
      <c r="B82" s="290">
        <v>0.38666944731641445</v>
      </c>
    </row>
    <row r="83" spans="1:2">
      <c r="A83" t="s">
        <v>752</v>
      </c>
      <c r="B83" s="290">
        <v>0.5279247560053868</v>
      </c>
    </row>
    <row r="84" spans="1:2">
      <c r="A84" t="s">
        <v>737</v>
      </c>
      <c r="B84" s="290">
        <v>0.90419364041386874</v>
      </c>
    </row>
    <row r="85" spans="1:2">
      <c r="A85" t="s">
        <v>697</v>
      </c>
      <c r="B85" s="290">
        <v>0.59336166411058167</v>
      </c>
    </row>
    <row r="86" spans="1:2">
      <c r="A86" t="s">
        <v>787</v>
      </c>
      <c r="B86" s="290">
        <v>0.80914038784281628</v>
      </c>
    </row>
    <row r="87" spans="1:2">
      <c r="A87" t="s">
        <v>823</v>
      </c>
      <c r="B87" s="290">
        <v>0.68302522338637428</v>
      </c>
    </row>
    <row r="88" spans="1:2">
      <c r="A88" t="s">
        <v>753</v>
      </c>
      <c r="B88" s="290">
        <v>0.45584896340852893</v>
      </c>
    </row>
    <row r="89" spans="1:2">
      <c r="A89" t="s">
        <v>822</v>
      </c>
      <c r="B89" s="290">
        <v>0.68302522338637428</v>
      </c>
    </row>
    <row r="90" spans="1:2">
      <c r="A90" t="s">
        <v>754</v>
      </c>
      <c r="B90" s="290">
        <v>1.3286084936861094E-2</v>
      </c>
    </row>
    <row r="91" spans="1:2">
      <c r="A91" t="s">
        <v>711</v>
      </c>
      <c r="B91" s="290">
        <v>0.47882606876344863</v>
      </c>
    </row>
    <row r="92" spans="1:2">
      <c r="A92" t="s">
        <v>809</v>
      </c>
      <c r="B92" s="290">
        <v>0.79285299627472494</v>
      </c>
    </row>
    <row r="93" spans="1:2">
      <c r="A93" t="s">
        <v>724</v>
      </c>
      <c r="B93" s="290">
        <v>0.15850147719279087</v>
      </c>
    </row>
    <row r="94" spans="1:2">
      <c r="A94" t="s">
        <v>810</v>
      </c>
      <c r="B94" s="290">
        <v>0.6499613725128206</v>
      </c>
    </row>
    <row r="95" spans="1:2">
      <c r="A95" t="s">
        <v>788</v>
      </c>
      <c r="B95" s="290">
        <v>0.37187955977213927</v>
      </c>
    </row>
    <row r="96" spans="1:2">
      <c r="A96" t="s">
        <v>712</v>
      </c>
      <c r="B96" s="290">
        <v>5.3136052822559095E-3</v>
      </c>
    </row>
    <row r="97" spans="1:2">
      <c r="A97" t="s">
        <v>769</v>
      </c>
      <c r="B97" s="290">
        <v>0.85590164909177424</v>
      </c>
    </row>
    <row r="98" spans="1:2">
      <c r="A98" t="s">
        <v>755</v>
      </c>
      <c r="B98" s="290">
        <v>0.48233501780358495</v>
      </c>
    </row>
    <row r="99" spans="1:2">
      <c r="A99" t="s">
        <v>811</v>
      </c>
      <c r="B99" s="290">
        <v>0.28602782099517648</v>
      </c>
    </row>
    <row r="100" spans="1:2">
      <c r="A100" t="s">
        <v>812</v>
      </c>
      <c r="B100" s="290">
        <v>1.1120875555308471E-4</v>
      </c>
    </row>
    <row r="101" spans="1:2">
      <c r="A101" t="s">
        <v>813</v>
      </c>
      <c r="B101" s="290">
        <v>0.14808670215827344</v>
      </c>
    </row>
    <row r="102" spans="1:2">
      <c r="A102" t="s">
        <v>756</v>
      </c>
      <c r="B102" s="290">
        <v>0.52597249595330564</v>
      </c>
    </row>
    <row r="103" spans="1:2">
      <c r="A103" t="s">
        <v>713</v>
      </c>
      <c r="B103" s="290">
        <v>0.72974599179536004</v>
      </c>
    </row>
    <row r="104" spans="1:2">
      <c r="A104" t="s">
        <v>714</v>
      </c>
      <c r="B104" s="290">
        <v>0.5114175994639768</v>
      </c>
    </row>
    <row r="105" spans="1:2">
      <c r="A105" t="s">
        <v>770</v>
      </c>
      <c r="B105" s="290">
        <v>0.86194754509926086</v>
      </c>
    </row>
    <row r="106" spans="1:2">
      <c r="A106" t="s">
        <v>829</v>
      </c>
      <c r="B106" s="290">
        <v>0.51296293856220021</v>
      </c>
    </row>
    <row r="107" spans="1:2">
      <c r="A107" t="s">
        <v>738</v>
      </c>
      <c r="B107" s="290">
        <v>0.42565835307670363</v>
      </c>
    </row>
    <row r="108" spans="1:2">
      <c r="A108" t="s">
        <v>739</v>
      </c>
      <c r="B108" s="290">
        <v>0.35095770208957883</v>
      </c>
    </row>
    <row r="109" spans="1:2">
      <c r="A109" t="s">
        <v>771</v>
      </c>
      <c r="B109" s="290">
        <v>0.81558427922870602</v>
      </c>
    </row>
    <row r="110" spans="1:2">
      <c r="A110" t="s">
        <v>789</v>
      </c>
      <c r="B110" s="290">
        <v>0.89205644914509397</v>
      </c>
    </row>
    <row r="111" spans="1:2">
      <c r="A111" t="s">
        <v>740</v>
      </c>
      <c r="B111" s="290">
        <v>0.78600874267847098</v>
      </c>
    </row>
    <row r="112" spans="1:2">
      <c r="A112" t="s">
        <v>757</v>
      </c>
      <c r="B112" s="290">
        <v>0.73133426098556975</v>
      </c>
    </row>
    <row r="113" spans="1:2">
      <c r="A113" t="s">
        <v>715</v>
      </c>
      <c r="B113" s="290">
        <v>0.29659800120652802</v>
      </c>
    </row>
    <row r="114" spans="1:2">
      <c r="A114" t="s">
        <v>741</v>
      </c>
      <c r="B114" s="290">
        <v>0.36867086405434374</v>
      </c>
    </row>
    <row r="115" spans="1:2">
      <c r="A115" t="s">
        <v>790</v>
      </c>
      <c r="B115" s="290">
        <v>0.91075297542217282</v>
      </c>
    </row>
    <row r="116" spans="1:2">
      <c r="A116" t="s">
        <v>716</v>
      </c>
      <c r="B116" s="290">
        <v>0.44331737062824433</v>
      </c>
    </row>
    <row r="117" spans="1:2">
      <c r="A117" t="s">
        <v>758</v>
      </c>
      <c r="B117" s="290">
        <v>0.38378174725556463</v>
      </c>
    </row>
    <row r="118" spans="1:2">
      <c r="A118" t="s">
        <v>791</v>
      </c>
      <c r="B118" s="290">
        <v>0.53977647833203435</v>
      </c>
    </row>
    <row r="119" spans="1:2">
      <c r="A119" t="s">
        <v>717</v>
      </c>
      <c r="B119" s="290">
        <v>4.7569838496838046E-2</v>
      </c>
    </row>
    <row r="120" spans="1:2">
      <c r="A120" t="s">
        <v>718</v>
      </c>
      <c r="B120" s="290">
        <v>2.2054023926016568E-2</v>
      </c>
    </row>
    <row r="121" spans="1:2">
      <c r="A121" t="s">
        <v>772</v>
      </c>
      <c r="B121" s="290">
        <v>0.6553163250002747</v>
      </c>
    </row>
    <row r="122" spans="1:2">
      <c r="A122" t="s">
        <v>742</v>
      </c>
      <c r="B122" s="290">
        <v>3.7998239394296897E-2</v>
      </c>
    </row>
    <row r="123" spans="1:2">
      <c r="A123" t="s">
        <v>759</v>
      </c>
      <c r="B123" s="290">
        <v>0.58321885636567572</v>
      </c>
    </row>
    <row r="124" spans="1:2">
      <c r="A124" t="s">
        <v>821</v>
      </c>
      <c r="B124" s="290">
        <v>0.68302522338637428</v>
      </c>
    </row>
    <row r="125" spans="1:2">
      <c r="A125" t="s">
        <v>814</v>
      </c>
      <c r="B125" s="290">
        <v>0.75140999546559872</v>
      </c>
    </row>
    <row r="126" spans="1:2">
      <c r="A126" t="s">
        <v>792</v>
      </c>
      <c r="B126" s="290">
        <v>0.6084898970554411</v>
      </c>
    </row>
    <row r="127" spans="1:2">
      <c r="A127" t="s">
        <v>719</v>
      </c>
      <c r="B127" s="290">
        <v>0.58386734337144053</v>
      </c>
    </row>
    <row r="128" spans="1:2">
      <c r="A128" t="s">
        <v>743</v>
      </c>
      <c r="B128" s="290">
        <v>0.85774146424715236</v>
      </c>
    </row>
    <row r="129" spans="1:4">
      <c r="A129" t="s">
        <v>744</v>
      </c>
      <c r="B129" s="290">
        <v>0.34461067139470242</v>
      </c>
    </row>
    <row r="130" spans="1:4">
      <c r="A130" t="s">
        <v>773</v>
      </c>
      <c r="B130" s="290">
        <v>0.75995658142473577</v>
      </c>
    </row>
    <row r="131" spans="1:4">
      <c r="A131" t="s">
        <v>720</v>
      </c>
      <c r="B131" s="290">
        <v>0.47506613499757161</v>
      </c>
    </row>
    <row r="132" spans="1:4">
      <c r="A132" t="s">
        <v>793</v>
      </c>
      <c r="B132" s="290">
        <v>0.10811730662972871</v>
      </c>
    </row>
    <row r="133" spans="1:4">
      <c r="A133" t="s">
        <v>815</v>
      </c>
      <c r="B133" s="290">
        <v>5.5382557524147683E-2</v>
      </c>
    </row>
    <row r="134" spans="1:4">
      <c r="A134" t="s">
        <v>817</v>
      </c>
      <c r="B134" s="290">
        <v>0.67600000000000005</v>
      </c>
    </row>
    <row r="135" spans="1:4">
      <c r="A135" t="s">
        <v>745</v>
      </c>
      <c r="B135" s="290">
        <v>0.49687246579009459</v>
      </c>
    </row>
    <row r="136" spans="1:4">
      <c r="A136" t="s">
        <v>816</v>
      </c>
      <c r="B136" s="290">
        <v>0.2509683141094271</v>
      </c>
    </row>
    <row r="137" spans="1:4">
      <c r="A137" t="s">
        <v>760</v>
      </c>
      <c r="B137" s="290">
        <v>0.41745690970958788</v>
      </c>
    </row>
    <row r="138" spans="1:4">
      <c r="A138" t="s">
        <v>774</v>
      </c>
      <c r="B138" s="290">
        <v>1.0293606534677935</v>
      </c>
    </row>
    <row r="139" spans="1:4">
      <c r="A139" t="s">
        <v>794</v>
      </c>
      <c r="B139" s="290">
        <v>6.9209177802944518E-3</v>
      </c>
      <c r="D139" s="2579" t="s">
        <v>2344</v>
      </c>
    </row>
    <row r="140" spans="1:4">
      <c r="A140" s="285" t="s">
        <v>820</v>
      </c>
      <c r="B140" s="291">
        <v>0.68302522338637428</v>
      </c>
      <c r="D140" s="2993">
        <f>AVERAGE(B7:B140)</f>
        <v>0.50720981957055322</v>
      </c>
    </row>
    <row r="141" spans="1:4">
      <c r="A141" t="s">
        <v>819</v>
      </c>
      <c r="B141" s="290">
        <v>0.43134408285660869</v>
      </c>
    </row>
    <row r="142" spans="1:4">
      <c r="A142" t="s">
        <v>827</v>
      </c>
      <c r="B142" s="290">
        <v>0.46928705803443194</v>
      </c>
    </row>
    <row r="143" spans="1:4">
      <c r="A143" t="s">
        <v>818</v>
      </c>
      <c r="B143" s="290">
        <v>0.58407657278413294</v>
      </c>
    </row>
  </sheetData>
  <sheetProtection formatCells="0" formatColumns="0" formatRows="0"/>
  <phoneticPr fontId="11"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J649"/>
  <sheetViews>
    <sheetView zoomScale="95" zoomScaleNormal="95" workbookViewId="0">
      <pane xSplit="2" ySplit="1" topLeftCell="C592" activePane="bottomRight" state="frozen"/>
      <selection activeCell="C637" sqref="C637"/>
      <selection pane="topRight" activeCell="C637" sqref="C637"/>
      <selection pane="bottomLeft" activeCell="C637" sqref="C637"/>
      <selection pane="bottomRight" activeCell="H622" sqref="H622"/>
    </sheetView>
  </sheetViews>
  <sheetFormatPr defaultColWidth="11.5703125" defaultRowHeight="12.75"/>
  <cols>
    <col min="1" max="1" width="12.7109375" style="2576" customWidth="1"/>
    <col min="2" max="2" width="45.28515625" style="2577" customWidth="1"/>
    <col min="3" max="3" width="49.85546875" style="2577" customWidth="1"/>
    <col min="4" max="4" width="46.42578125" style="2577" customWidth="1"/>
    <col min="5" max="5" width="60.28515625" style="2577" customWidth="1"/>
    <col min="6" max="6" width="79.5703125" style="2576" customWidth="1"/>
    <col min="7" max="7" width="65.85546875" style="2577" customWidth="1"/>
    <col min="8" max="8" width="36.5703125" style="2576" customWidth="1"/>
    <col min="9" max="9" width="11.5703125" style="2576"/>
    <col min="10" max="10" width="11.5703125" style="2820"/>
    <col min="11" max="16384" width="11.5703125" style="2576"/>
  </cols>
  <sheetData>
    <row r="1" spans="1:10" s="2581" customFormat="1" ht="15">
      <c r="A1" s="2581" t="s">
        <v>1638</v>
      </c>
      <c r="B1" s="2580" t="s">
        <v>1617</v>
      </c>
      <c r="C1" s="2580" t="s">
        <v>1618</v>
      </c>
      <c r="D1" s="2580" t="s">
        <v>1619</v>
      </c>
      <c r="E1" s="2752" t="s">
        <v>3809</v>
      </c>
      <c r="F1" s="2781" t="s">
        <v>2518</v>
      </c>
      <c r="G1" s="2581" t="s">
        <v>3166</v>
      </c>
      <c r="H1" s="2581" t="str">
        <f>'0.Start'!M16</f>
        <v>Tiếng Việt</v>
      </c>
      <c r="J1" s="2581" t="s">
        <v>2195</v>
      </c>
    </row>
    <row r="2" spans="1:10" s="3448" customFormat="1">
      <c r="A2" s="3448" t="s">
        <v>1639</v>
      </c>
      <c r="B2" s="2911" t="s">
        <v>1039</v>
      </c>
      <c r="C2" s="2911" t="s">
        <v>1640</v>
      </c>
      <c r="D2" s="2749" t="s">
        <v>3966</v>
      </c>
      <c r="E2" s="2911" t="s">
        <v>3792</v>
      </c>
      <c r="F2" s="2911" t="s">
        <v>2519</v>
      </c>
      <c r="G2" s="3448" t="s">
        <v>3162</v>
      </c>
      <c r="H2" s="3448" t="str">
        <f>HLOOKUP(Non_UN,'Other Translations'!$A:$L,1+translations!J2,)</f>
        <v>Phạm vi trách nhiệm</v>
      </c>
      <c r="J2" s="3448">
        <v>1</v>
      </c>
    </row>
    <row r="3" spans="1:10" s="3448" customFormat="1" ht="153">
      <c r="A3" s="3448" t="s">
        <v>1639</v>
      </c>
      <c r="B3" s="2911" t="s">
        <v>1277</v>
      </c>
      <c r="C3" s="2911" t="s">
        <v>1628</v>
      </c>
      <c r="D3" s="2911" t="s">
        <v>3967</v>
      </c>
      <c r="E3" s="2911" t="s">
        <v>8202</v>
      </c>
      <c r="F3" s="3599" t="s">
        <v>3093</v>
      </c>
      <c r="G3" s="2911" t="s">
        <v>3163</v>
      </c>
      <c r="H3" s="3448" t="str">
        <f>HLOOKUP(Non_UN,'Other Translations'!$A:$L,1+translations!J3,)</f>
        <v>FAO từ chối mọi trách nhiệm về các sai sót hoặc các thiếu sót trong dữ cơ sở dữ liệu hoặc phần mềm, hoặc trong các tài liệu kèm theo đối với việc duy trì và nâng cấp chương trình, hoặc những tổn thất có thể có. FAO cũng từ chối mọi trách nhiệm đối với việc cập nhật dữ liệu và không có trách nhiệm đối với các lỗi hoặc các bỏ sót trong các dữ liệu được cung cấp. Người sử dụng được yêu cầu báo cáo tất cả những lỗi thường gặp hay những hạn chế đối với các kết quả sản phẩm đến FAO.</v>
      </c>
      <c r="J3" s="3448">
        <v>2</v>
      </c>
    </row>
    <row r="4" spans="1:10" s="3448" customFormat="1" ht="63.75">
      <c r="A4" s="3448" t="s">
        <v>1639</v>
      </c>
      <c r="B4" s="2911" t="s">
        <v>0</v>
      </c>
      <c r="C4" s="2911" t="s">
        <v>1629</v>
      </c>
      <c r="D4" s="2911" t="s">
        <v>4486</v>
      </c>
      <c r="E4" s="2911" t="s">
        <v>8203</v>
      </c>
      <c r="F4" s="3599" t="s">
        <v>3094</v>
      </c>
      <c r="G4" s="2911" t="s">
        <v>3164</v>
      </c>
      <c r="H4" s="3448" t="str">
        <f>HLOOKUP(Non_UN,'Other Translations'!$A:$L,1+translations!J4,)</f>
        <v>Các lựa chọn trong tính toán của bộ công cụ này thể hiện quan điểm của các tác giả và không nhất thiết thể hiện quan điểm và lựa chọn của Tổ chức Nông lương Liên hợp quốc</v>
      </c>
      <c r="J4" s="3448">
        <v>3</v>
      </c>
    </row>
    <row r="5" spans="1:10" s="3448" customFormat="1">
      <c r="A5" s="3448" t="s">
        <v>1639</v>
      </c>
      <c r="B5" s="2749" t="s">
        <v>8843</v>
      </c>
      <c r="C5" s="2749" t="s">
        <v>8842</v>
      </c>
      <c r="D5" s="2749" t="s">
        <v>8841</v>
      </c>
      <c r="E5" s="2749" t="s">
        <v>8844</v>
      </c>
      <c r="F5" s="2749" t="s">
        <v>8845</v>
      </c>
      <c r="G5" s="3578" t="s">
        <v>8846</v>
      </c>
      <c r="H5" s="3448" t="str">
        <f>HLOOKUP(Non_UN,'Other Translations'!$A:$L,1+translations!J5,)</f>
        <v>Phiên bản 7 Bản đa ngôn ngữ</v>
      </c>
      <c r="J5" s="3448">
        <v>4</v>
      </c>
    </row>
    <row r="6" spans="1:10" s="3448" customFormat="1" ht="216.75">
      <c r="A6" s="3448" t="s">
        <v>1639</v>
      </c>
      <c r="B6" s="2911" t="s">
        <v>2348</v>
      </c>
      <c r="C6" s="2749" t="s">
        <v>2349</v>
      </c>
      <c r="D6" s="2911" t="s">
        <v>4487</v>
      </c>
      <c r="E6" s="2911" t="s">
        <v>8204</v>
      </c>
      <c r="F6" s="3599" t="s">
        <v>3095</v>
      </c>
      <c r="G6" s="2911" t="s">
        <v>3165</v>
      </c>
      <c r="H6" s="3448" t="str">
        <f>HLOOKUP(Non_UN,'Other Translations'!$A:$L,1+translations!J6,)</f>
        <v xml:space="preserve">© FAO (2013) 
FAO khuyến khích sử dụng, nhân bản và phổ biến tài liệu trong sản phẩm này. Ngoại trừ khi có các quy định khác, tài liệu này có thể nhân bản, tải về và in cho các mục tiêu học tập cá nhân, nghiên cứu và giảng dạy hoặc sử dụng cho các mục tiêu sản phẩm dịch vụ phi thương mại nhưng có ghi rõ nguồn gốc, hoặc có thư ủng hộ hoặc chấp thuận của FAO đối với sử dụng sản phẩm hoặc dịch vụ.
Tất cả các yêu cầu về dịch thuật và nhượng quyền cho mục đích bán lại hoặc các quyền thương mại khác phải được thực hiện thông qua  www.fao.org/contact-us/licence-request hoặc đến địa chỉ copyright@fao.org.    </v>
      </c>
      <c r="J6" s="3448">
        <v>5</v>
      </c>
    </row>
    <row r="7" spans="1:10" s="2581" customFormat="1" ht="15">
      <c r="B7" s="2580" t="str">
        <f>B1</f>
        <v>English</v>
      </c>
      <c r="C7" s="2580" t="str">
        <f>C1</f>
        <v>Français</v>
      </c>
      <c r="D7" s="2580" t="s">
        <v>1619</v>
      </c>
      <c r="E7" s="2580" t="str">
        <f>E1</f>
        <v>中文</v>
      </c>
      <c r="F7" s="2781" t="s">
        <v>2518</v>
      </c>
      <c r="G7" s="2580" t="s">
        <v>3166</v>
      </c>
      <c r="H7" s="2581" t="str">
        <f>Non_UN</f>
        <v>Tiếng Việt</v>
      </c>
      <c r="J7" s="2820">
        <v>6</v>
      </c>
    </row>
    <row r="8" spans="1:10" s="3448" customFormat="1">
      <c r="A8" s="3578" t="s">
        <v>1641</v>
      </c>
      <c r="B8" s="2911" t="s">
        <v>291</v>
      </c>
      <c r="C8" s="2911" t="s">
        <v>1630</v>
      </c>
      <c r="D8" s="2911" t="s">
        <v>3968</v>
      </c>
      <c r="E8" s="2911" t="s">
        <v>8205</v>
      </c>
      <c r="F8" s="2911" t="s">
        <v>2520</v>
      </c>
      <c r="G8" s="3448" t="s">
        <v>3167</v>
      </c>
      <c r="H8" s="3448" t="str">
        <f>HLOOKUP(Non_UN,'Other Translations'!$A:$L,1+translations!J8,)</f>
        <v>Tên dự án</v>
      </c>
      <c r="J8" s="3448">
        <v>7</v>
      </c>
    </row>
    <row r="9" spans="1:10" s="3448" customFormat="1">
      <c r="A9" s="3578" t="s">
        <v>1641</v>
      </c>
      <c r="B9" s="2911" t="s">
        <v>292</v>
      </c>
      <c r="C9" s="2911" t="s">
        <v>292</v>
      </c>
      <c r="D9" s="2911" t="s">
        <v>2352</v>
      </c>
      <c r="E9" s="2911" t="s">
        <v>8206</v>
      </c>
      <c r="F9" s="2911" t="s">
        <v>2521</v>
      </c>
      <c r="G9" s="3448" t="s">
        <v>3168</v>
      </c>
      <c r="H9" s="3448" t="str">
        <f>HLOOKUP(Non_UN,'Other Translations'!$A:$L,1+translations!J9,)</f>
        <v>Lục địa</v>
      </c>
      <c r="J9" s="3448">
        <v>8</v>
      </c>
    </row>
    <row r="10" spans="1:10" s="3448" customFormat="1">
      <c r="A10" s="3578" t="s">
        <v>1641</v>
      </c>
      <c r="B10" s="2911" t="s">
        <v>293</v>
      </c>
      <c r="C10" s="2911" t="s">
        <v>1631</v>
      </c>
      <c r="D10" s="2911" t="s">
        <v>3969</v>
      </c>
      <c r="E10" s="2911" t="s">
        <v>8207</v>
      </c>
      <c r="F10" s="2911" t="s">
        <v>2522</v>
      </c>
      <c r="G10" s="3448" t="s">
        <v>3169</v>
      </c>
      <c r="H10" s="3448" t="str">
        <f>HLOOKUP(Non_UN,'Other Translations'!$A:$L,1+translations!J10,)</f>
        <v>Khí hậu</v>
      </c>
      <c r="J10" s="3448">
        <v>9</v>
      </c>
    </row>
    <row r="11" spans="1:10" s="3448" customFormat="1">
      <c r="A11" s="3578" t="s">
        <v>1641</v>
      </c>
      <c r="B11" s="2911" t="s">
        <v>501</v>
      </c>
      <c r="C11" s="2911" t="s">
        <v>1632</v>
      </c>
      <c r="D11" s="2911" t="s">
        <v>3970</v>
      </c>
      <c r="E11" s="2911" t="s">
        <v>8208</v>
      </c>
      <c r="F11" s="2911" t="s">
        <v>3096</v>
      </c>
      <c r="G11" s="3448" t="s">
        <v>3170</v>
      </c>
      <c r="H11" s="3448" t="str">
        <f>HLOOKUP(Non_UN,'Other Translations'!$A:$L,1+translations!J11,)</f>
        <v>Chế độ ẩm</v>
      </c>
      <c r="J11" s="3448">
        <v>10</v>
      </c>
    </row>
    <row r="12" spans="1:10" s="3448" customFormat="1">
      <c r="A12" s="3578" t="s">
        <v>1641</v>
      </c>
      <c r="B12" s="2911" t="s">
        <v>502</v>
      </c>
      <c r="C12" s="2911" t="s">
        <v>1633</v>
      </c>
      <c r="D12" s="2911" t="s">
        <v>3971</v>
      </c>
      <c r="E12" s="2911" t="s">
        <v>8209</v>
      </c>
      <c r="F12" s="2911" t="s">
        <v>2523</v>
      </c>
      <c r="G12" s="3448" t="s">
        <v>3171</v>
      </c>
      <c r="H12" s="3448" t="str">
        <f>HLOOKUP(Non_UN,'Other Translations'!$A:$L,1+translations!J12,)</f>
        <v>Kiểu đất đặc thù của vùng</v>
      </c>
      <c r="J12" s="3448">
        <v>11</v>
      </c>
    </row>
    <row r="13" spans="1:10" s="3448" customFormat="1">
      <c r="A13" s="3578" t="s">
        <v>1641</v>
      </c>
      <c r="B13" s="2911" t="s">
        <v>690</v>
      </c>
      <c r="C13" s="2911" t="s">
        <v>1634</v>
      </c>
      <c r="D13" s="2911" t="s">
        <v>3972</v>
      </c>
      <c r="E13" s="2911" t="s">
        <v>8210</v>
      </c>
      <c r="F13" s="2911" t="s">
        <v>2524</v>
      </c>
      <c r="G13" s="3448" t="s">
        <v>3172</v>
      </c>
      <c r="H13" s="3448" t="str">
        <f>HLOOKUP(Non_UN,'Other Translations'!$A:$L,1+translations!J13,)</f>
        <v>Chu kỳ dự án (năm)</v>
      </c>
      <c r="J13" s="3448">
        <v>12</v>
      </c>
    </row>
    <row r="14" spans="1:10" s="3448" customFormat="1">
      <c r="A14" s="3578" t="s">
        <v>1641</v>
      </c>
      <c r="B14" s="2911" t="s">
        <v>844</v>
      </c>
      <c r="C14" s="2911" t="s">
        <v>1635</v>
      </c>
      <c r="D14" s="2911" t="s">
        <v>3973</v>
      </c>
      <c r="E14" s="2911" t="s">
        <v>8211</v>
      </c>
      <c r="F14" s="2911" t="s">
        <v>2525</v>
      </c>
      <c r="G14" s="3448" t="s">
        <v>3173</v>
      </c>
      <c r="H14" s="3448" t="str">
        <f>HLOOKUP(Non_UN,'Other Translations'!$A:$L,1+translations!J14,)</f>
        <v>Pha thực hiên dự án</v>
      </c>
      <c r="J14" s="3448">
        <v>13</v>
      </c>
    </row>
    <row r="15" spans="1:10" s="3448" customFormat="1">
      <c r="A15" s="3578" t="s">
        <v>1641</v>
      </c>
      <c r="B15" s="2911" t="s">
        <v>845</v>
      </c>
      <c r="C15" s="2911" t="s">
        <v>1636</v>
      </c>
      <c r="D15" s="2911" t="s">
        <v>3974</v>
      </c>
      <c r="E15" s="2911" t="s">
        <v>8212</v>
      </c>
      <c r="F15" s="2911" t="s">
        <v>2526</v>
      </c>
      <c r="G15" s="3448" t="s">
        <v>3174</v>
      </c>
      <c r="H15" s="3448" t="str">
        <f>HLOOKUP(Non_UN,'Other Translations'!$A:$L,1+translations!J15,)</f>
        <v>Giai đoạn thể hiện tác động</v>
      </c>
      <c r="J15" s="3448">
        <v>14</v>
      </c>
    </row>
    <row r="16" spans="1:10" s="3448" customFormat="1">
      <c r="A16" s="3578" t="s">
        <v>1641</v>
      </c>
      <c r="B16" s="2911" t="s">
        <v>691</v>
      </c>
      <c r="C16" s="2911" t="s">
        <v>1637</v>
      </c>
      <c r="D16" s="2911" t="s">
        <v>3975</v>
      </c>
      <c r="E16" s="2911" t="s">
        <v>8213</v>
      </c>
      <c r="F16" s="2911" t="s">
        <v>2527</v>
      </c>
      <c r="G16" s="3448" t="s">
        <v>3175</v>
      </c>
      <c r="H16" s="3448" t="str">
        <f>HLOOKUP(Non_UN,'Other Translations'!$A:$L,1+translations!J16,)</f>
        <v>Thời gian hạch toán</v>
      </c>
      <c r="J16" s="3448">
        <v>15</v>
      </c>
    </row>
    <row r="17" spans="1:10" s="3448" customFormat="1">
      <c r="A17" s="3578" t="s">
        <v>1641</v>
      </c>
      <c r="B17" s="2749" t="s">
        <v>1643</v>
      </c>
      <c r="C17" s="2749" t="s">
        <v>1645</v>
      </c>
      <c r="D17" s="2911" t="s">
        <v>3976</v>
      </c>
      <c r="E17" s="2911" t="s">
        <v>8214</v>
      </c>
      <c r="F17" s="2911" t="s">
        <v>2528</v>
      </c>
      <c r="G17" s="3448" t="s">
        <v>3176</v>
      </c>
      <c r="H17" s="3448" t="str">
        <f>HLOOKUP(Non_UN,'Other Translations'!$A:$L,1+translations!J17,)</f>
        <v>Khí hậu</v>
      </c>
      <c r="J17" s="3448">
        <v>16</v>
      </c>
    </row>
    <row r="18" spans="1:10" s="3448" customFormat="1">
      <c r="A18" s="3578" t="s">
        <v>1641</v>
      </c>
      <c r="B18" s="2749" t="s">
        <v>1642</v>
      </c>
      <c r="C18" s="2749" t="s">
        <v>1646</v>
      </c>
      <c r="D18" s="2911" t="s">
        <v>3977</v>
      </c>
      <c r="E18" s="2911" t="s">
        <v>8215</v>
      </c>
      <c r="F18" s="2911" t="s">
        <v>2529</v>
      </c>
      <c r="G18" s="3448" t="s">
        <v>3177</v>
      </c>
      <c r="H18" s="3448" t="str">
        <f>HLOOKUP(Non_UN,'Other Translations'!$A:$L,1+translations!J18,)</f>
        <v>Đất</v>
      </c>
      <c r="J18" s="3448">
        <v>17</v>
      </c>
    </row>
    <row r="19" spans="1:10" s="3448" customFormat="1">
      <c r="A19" s="3578" t="s">
        <v>1641</v>
      </c>
      <c r="B19" s="2749" t="s">
        <v>1731</v>
      </c>
      <c r="C19" s="2749" t="s">
        <v>1687</v>
      </c>
      <c r="D19" s="2749" t="s">
        <v>4485</v>
      </c>
      <c r="E19" s="2911" t="s">
        <v>4811</v>
      </c>
      <c r="F19" s="2911" t="s">
        <v>3092</v>
      </c>
      <c r="G19" s="3448" t="s">
        <v>4812</v>
      </c>
      <c r="H19" s="3448" t="str">
        <f>HLOOKUP(Non_UN,'Other Translations'!$A:$L,1+translations!J19,)</f>
        <v>Dịch</v>
      </c>
      <c r="J19" s="3448">
        <v>18</v>
      </c>
    </row>
    <row r="20" spans="1:10" s="2581" customFormat="1" ht="15">
      <c r="A20" s="2821"/>
      <c r="B20" s="2580" t="str">
        <f>B7</f>
        <v>English</v>
      </c>
      <c r="C20" s="2580" t="str">
        <f>C1</f>
        <v>Français</v>
      </c>
      <c r="D20" s="2580" t="s">
        <v>1619</v>
      </c>
      <c r="E20" s="2580" t="str">
        <f>E1</f>
        <v>中文</v>
      </c>
      <c r="F20" s="2781" t="s">
        <v>2518</v>
      </c>
      <c r="G20" s="2581" t="s">
        <v>3166</v>
      </c>
      <c r="H20" s="2581" t="str">
        <f>Non_UN</f>
        <v>Tiếng Việt</v>
      </c>
      <c r="J20" s="2820">
        <v>19</v>
      </c>
    </row>
    <row r="21" spans="1:10" s="3448" customFormat="1">
      <c r="A21" s="3578" t="s">
        <v>1644</v>
      </c>
      <c r="B21" s="2749" t="s">
        <v>1404</v>
      </c>
      <c r="C21" s="2749" t="s">
        <v>1751</v>
      </c>
      <c r="D21" s="2911" t="s">
        <v>3978</v>
      </c>
      <c r="E21" s="2911" t="s">
        <v>8216</v>
      </c>
      <c r="F21" s="2911" t="s">
        <v>2530</v>
      </c>
      <c r="G21" s="3448" t="s">
        <v>3178</v>
      </c>
      <c r="H21" s="3448" t="str">
        <f>HLOOKUP(Non_UN,'Other Translations'!$A:$L,1+translations!J21,)</f>
        <v>Phá rừng</v>
      </c>
      <c r="J21" s="3448">
        <v>20</v>
      </c>
    </row>
    <row r="22" spans="1:10" s="3448" customFormat="1">
      <c r="A22" s="3578" t="s">
        <v>1644</v>
      </c>
      <c r="B22" s="2749" t="s">
        <v>1651</v>
      </c>
      <c r="C22" s="2749" t="s">
        <v>1652</v>
      </c>
      <c r="D22" s="2911" t="s">
        <v>3979</v>
      </c>
      <c r="E22" s="2911" t="s">
        <v>8217</v>
      </c>
      <c r="F22" s="2911" t="s">
        <v>2531</v>
      </c>
      <c r="G22" s="3448" t="s">
        <v>3179</v>
      </c>
      <c r="H22" s="3448" t="str">
        <f>HLOOKUP(Non_UN,'Other Translations'!$A:$L,1+translations!J22,)</f>
        <v>Bản đổ vùng sinh thái nông nghiệp</v>
      </c>
      <c r="J22" s="3448">
        <v>21</v>
      </c>
    </row>
    <row r="23" spans="1:10" s="3448" customFormat="1">
      <c r="A23" s="3578" t="s">
        <v>1644</v>
      </c>
      <c r="B23" s="2911" t="s">
        <v>1289</v>
      </c>
      <c r="C23" s="2911" t="s">
        <v>1669</v>
      </c>
      <c r="D23" s="2911" t="s">
        <v>3980</v>
      </c>
      <c r="E23" s="2911" t="s">
        <v>8218</v>
      </c>
      <c r="F23" s="2911" t="s">
        <v>2532</v>
      </c>
      <c r="G23" s="3448" t="s">
        <v>3180</v>
      </c>
      <c r="H23" s="3448" t="str">
        <f>HLOOKUP(Non_UN,'Other Translations'!$A:$L,1+translations!J23,)</f>
        <v>Loại thực vật</v>
      </c>
      <c r="J23" s="3448">
        <v>22</v>
      </c>
    </row>
    <row r="24" spans="1:10" s="3448" customFormat="1">
      <c r="A24" s="3578" t="s">
        <v>1644</v>
      </c>
      <c r="B24" s="2911" t="s">
        <v>1298</v>
      </c>
      <c r="C24" s="2911" t="s">
        <v>1670</v>
      </c>
      <c r="D24" s="2911" t="s">
        <v>3981</v>
      </c>
      <c r="E24" s="2911" t="s">
        <v>8219</v>
      </c>
      <c r="F24" s="2911" t="s">
        <v>2533</v>
      </c>
      <c r="G24" s="3448" t="s">
        <v>3181</v>
      </c>
      <c r="H24" s="3448" t="str">
        <f>HLOOKUP(Non_UN,'Other Translations'!$A:$L,1+translations!J24,)</f>
        <v>loại thực vật có khả năng bị tàn phá</v>
      </c>
      <c r="J24" s="3448">
        <v>23</v>
      </c>
    </row>
    <row r="25" spans="1:10" s="3448" customFormat="1">
      <c r="A25" s="3578" t="s">
        <v>1644</v>
      </c>
      <c r="B25" s="2749" t="s">
        <v>5389</v>
      </c>
      <c r="C25" s="2911" t="s">
        <v>1671</v>
      </c>
      <c r="D25" s="2911" t="s">
        <v>4017</v>
      </c>
      <c r="E25" s="2911" t="s">
        <v>8220</v>
      </c>
      <c r="F25" s="2911" t="s">
        <v>2534</v>
      </c>
      <c r="G25" s="3448" t="s">
        <v>3182</v>
      </c>
      <c r="H25" s="3448" t="str">
        <f>HLOOKUP(Non_UN,'Other Translations'!$A:$L,1+translations!J25,)</f>
        <v>HWP#</v>
      </c>
      <c r="J25" s="3448">
        <v>24</v>
      </c>
    </row>
    <row r="26" spans="1:10" s="3448" customFormat="1">
      <c r="A26" s="3578" t="s">
        <v>1644</v>
      </c>
      <c r="B26" s="2911" t="s">
        <v>1683</v>
      </c>
      <c r="C26" s="2911" t="s">
        <v>1682</v>
      </c>
      <c r="D26" s="2911" t="s">
        <v>3982</v>
      </c>
      <c r="E26" s="2911" t="s">
        <v>8221</v>
      </c>
      <c r="F26" s="2911" t="s">
        <v>2535</v>
      </c>
      <c r="G26" s="3448" t="s">
        <v>3183</v>
      </c>
      <c r="H26" s="3448" t="str">
        <f>HLOOKUP(Non_UN,'Other Translations'!$A:$L,1+translations!J26,)</f>
        <v>Sử dụng lửa?</v>
      </c>
      <c r="J26" s="3448">
        <v>25</v>
      </c>
    </row>
    <row r="27" spans="1:10" s="3448" customFormat="1">
      <c r="A27" s="3578" t="s">
        <v>1644</v>
      </c>
      <c r="B27" s="2911" t="s">
        <v>1296</v>
      </c>
      <c r="C27" s="2911" t="s">
        <v>1672</v>
      </c>
      <c r="D27" s="2911" t="s">
        <v>3983</v>
      </c>
      <c r="E27" s="2911" t="s">
        <v>8222</v>
      </c>
      <c r="F27" s="2911" t="s">
        <v>2536</v>
      </c>
      <c r="G27" s="3448" t="s">
        <v>3184</v>
      </c>
      <c r="H27" s="3448" t="str">
        <f>HLOOKUP(Non_UN,'Other Translations'!$A:$L,1+translations!J27,)</f>
        <v>Sử dụng cuối cùng sau phá rừng</v>
      </c>
      <c r="J27" s="3448">
        <v>26</v>
      </c>
    </row>
    <row r="28" spans="1:10" s="3448" customFormat="1">
      <c r="A28" s="3578" t="s">
        <v>1644</v>
      </c>
      <c r="B28" s="2911" t="s">
        <v>1291</v>
      </c>
      <c r="C28" s="2911" t="s">
        <v>1674</v>
      </c>
      <c r="D28" s="2911" t="s">
        <v>3984</v>
      </c>
      <c r="E28" s="2911" t="s">
        <v>8223</v>
      </c>
      <c r="F28" s="2911" t="s">
        <v>2537</v>
      </c>
      <c r="G28" s="3448" t="s">
        <v>3185</v>
      </c>
      <c r="H28" s="3448" t="str">
        <f>HLOOKUP(Non_UN,'Other Translations'!$A:$L,1+translations!J28,)</f>
        <v>Diện tích rừng (ha)</v>
      </c>
      <c r="J28" s="3448">
        <v>27</v>
      </c>
    </row>
    <row r="29" spans="1:10" s="3448" customFormat="1">
      <c r="A29" s="3578" t="s">
        <v>1644</v>
      </c>
      <c r="B29" s="2911" t="s">
        <v>1297</v>
      </c>
      <c r="C29" s="2911" t="s">
        <v>1675</v>
      </c>
      <c r="D29" s="2911" t="s">
        <v>3985</v>
      </c>
      <c r="E29" s="2911" t="s">
        <v>8224</v>
      </c>
      <c r="F29" s="2911" t="s">
        <v>2538</v>
      </c>
      <c r="G29" s="3448" t="s">
        <v>3186</v>
      </c>
      <c r="H29" s="3448" t="str">
        <f>HLOOKUP(Non_UN,'Other Translations'!$A:$L,1+translations!J29,)</f>
        <v>Diện tích đất rừng bị phá (ha)</v>
      </c>
      <c r="J29" s="3448">
        <v>28</v>
      </c>
    </row>
    <row r="30" spans="1:10" s="3448" customFormat="1">
      <c r="A30" s="3578" t="s">
        <v>1644</v>
      </c>
      <c r="B30" s="2911" t="s">
        <v>1302</v>
      </c>
      <c r="C30" s="2911" t="s">
        <v>1673</v>
      </c>
      <c r="D30" s="2911" t="s">
        <v>3986</v>
      </c>
      <c r="E30" s="2911" t="s">
        <v>3793</v>
      </c>
      <c r="F30" s="2911" t="s">
        <v>3097</v>
      </c>
      <c r="G30" s="3448" t="s">
        <v>3187</v>
      </c>
      <c r="H30" s="3448" t="str">
        <f>HLOOKUP(Non_UN,'Other Translations'!$A:$L,1+translations!J30,)</f>
        <v>Tổng phát thải (tCO2e-eq)</v>
      </c>
      <c r="J30" s="3448">
        <v>29</v>
      </c>
    </row>
    <row r="31" spans="1:10" s="3448" customFormat="1">
      <c r="A31" s="3578" t="s">
        <v>1644</v>
      </c>
      <c r="B31" s="2911" t="s">
        <v>1294</v>
      </c>
      <c r="C31" s="2911" t="s">
        <v>1676</v>
      </c>
      <c r="D31" s="2911" t="s">
        <v>1294</v>
      </c>
      <c r="E31" s="2911" t="s">
        <v>8225</v>
      </c>
      <c r="F31" s="2911" t="s">
        <v>2539</v>
      </c>
      <c r="G31" s="3448" t="s">
        <v>3188</v>
      </c>
      <c r="H31" s="3448" t="str">
        <f>HLOOKUP(Non_UN,'Other Translations'!$A:$L,1+translations!J31,)</f>
        <v>Cân bằng</v>
      </c>
      <c r="J31" s="3448">
        <v>30</v>
      </c>
    </row>
    <row r="32" spans="1:10" s="3448" customFormat="1">
      <c r="A32" s="3578" t="s">
        <v>1644</v>
      </c>
      <c r="B32" s="2911" t="s">
        <v>1292</v>
      </c>
      <c r="C32" s="2911" t="s">
        <v>1677</v>
      </c>
      <c r="D32" s="2911" t="s">
        <v>3987</v>
      </c>
      <c r="E32" s="2911" t="s">
        <v>8226</v>
      </c>
      <c r="F32" s="2911" t="s">
        <v>3098</v>
      </c>
      <c r="G32" s="2911" t="s">
        <v>3189</v>
      </c>
      <c r="H32" s="3448" t="str">
        <f>HLOOKUP(Non_UN,'Other Translations'!$A:$L,1+translations!J32,)</f>
        <v xml:space="preserve"> (tDM/ha)</v>
      </c>
      <c r="J32" s="3448">
        <v>31</v>
      </c>
    </row>
    <row r="33" spans="1:10" s="3448" customFormat="1">
      <c r="A33" s="3578" t="s">
        <v>1644</v>
      </c>
      <c r="B33" s="2911" t="s">
        <v>1293</v>
      </c>
      <c r="C33" s="2749" t="s">
        <v>2373</v>
      </c>
      <c r="D33" s="2911" t="s">
        <v>3988</v>
      </c>
      <c r="E33" s="2911" t="s">
        <v>8227</v>
      </c>
      <c r="F33" s="2911" t="s">
        <v>3099</v>
      </c>
      <c r="G33" s="3448" t="s">
        <v>3190</v>
      </c>
      <c r="H33" s="3448" t="str">
        <f>HLOOKUP(Non_UN,'Other Translations'!$A:$L,1+translations!J33,)</f>
        <v>(y/n)</v>
      </c>
      <c r="J33" s="3448">
        <v>32</v>
      </c>
    </row>
    <row r="34" spans="1:10" s="3448" customFormat="1">
      <c r="A34" s="3578" t="s">
        <v>1644</v>
      </c>
      <c r="B34" s="2911" t="s">
        <v>1679</v>
      </c>
      <c r="C34" s="2911" t="s">
        <v>1678</v>
      </c>
      <c r="D34" s="2911" t="s">
        <v>3989</v>
      </c>
      <c r="E34" s="2911" t="s">
        <v>8228</v>
      </c>
      <c r="F34" s="2911" t="s">
        <v>2540</v>
      </c>
      <c r="G34" s="3448" t="s">
        <v>3191</v>
      </c>
      <c r="H34" s="3448" t="str">
        <f>HLOOKUP(Non_UN,'Other Translations'!$A:$L,1+translations!J34,)</f>
        <v xml:space="preserve">Sản lượng gỗ thu hoạch </v>
      </c>
      <c r="J34" s="3448">
        <v>33</v>
      </c>
    </row>
    <row r="35" spans="1:10" s="3448" customFormat="1" ht="38.25">
      <c r="A35" s="3578" t="s">
        <v>1644</v>
      </c>
      <c r="B35" s="2749" t="s">
        <v>5403</v>
      </c>
      <c r="C35" s="2749" t="s">
        <v>1680</v>
      </c>
      <c r="D35" s="2911" t="s">
        <v>4827</v>
      </c>
      <c r="E35" s="2911" t="s">
        <v>3794</v>
      </c>
      <c r="F35" s="2911" t="s">
        <v>2541</v>
      </c>
      <c r="G35" s="2911" t="s">
        <v>3192</v>
      </c>
      <c r="H35" s="3448" t="str">
        <f>HLOOKUP(Non_UN,'Other Translations'!$A:$L,1+translations!J35,)</f>
        <v>Ghi chú liên quan đến các động thái của sự thay đổi: "D" là giá trị mặc định/tuyến tính, "I" là thay đổi ngay lập tức, còn "E" là thay đổi theo cấp số nhân (Xin tham khảo thêm trong hướng dẫn)</v>
      </c>
      <c r="J35" s="3448">
        <v>34</v>
      </c>
    </row>
    <row r="36" spans="1:10" s="3448" customFormat="1">
      <c r="A36" s="3578" t="s">
        <v>1644</v>
      </c>
      <c r="B36" s="2911" t="s">
        <v>1295</v>
      </c>
      <c r="C36" s="2911" t="s">
        <v>1681</v>
      </c>
      <c r="D36" s="2911" t="s">
        <v>3990</v>
      </c>
      <c r="E36" s="2911" t="s">
        <v>8229</v>
      </c>
      <c r="F36" s="2911" t="s">
        <v>2542</v>
      </c>
      <c r="G36" s="3448" t="s">
        <v>3193</v>
      </c>
      <c r="H36" s="3448" t="str">
        <f>HLOOKUP(Non_UN,'Other Translations'!$A:$L,1+translations!J36,)</f>
        <v>Tổng phá rừng</v>
      </c>
      <c r="J36" s="3448">
        <v>35</v>
      </c>
    </row>
    <row r="37" spans="1:10" s="3448" customFormat="1">
      <c r="A37" s="3578" t="s">
        <v>1644</v>
      </c>
      <c r="B37" s="2911" t="s">
        <v>340</v>
      </c>
      <c r="C37" s="2911" t="s">
        <v>1684</v>
      </c>
      <c r="D37" s="2911" t="s">
        <v>3991</v>
      </c>
      <c r="E37" s="2911" t="s">
        <v>8230</v>
      </c>
      <c r="F37" s="2911" t="s">
        <v>2543</v>
      </c>
      <c r="G37" s="3448" t="s">
        <v>3194</v>
      </c>
      <c r="H37" s="3448" t="str">
        <f>HLOOKUP(Non_UN,'Other Translations'!$A:$L,1+translations!J37,)</f>
        <v>Bắt đầu</v>
      </c>
      <c r="J37" s="3448">
        <v>36</v>
      </c>
    </row>
    <row r="38" spans="1:10" s="3448" customFormat="1">
      <c r="A38" s="3578" t="s">
        <v>1644</v>
      </c>
      <c r="B38" s="2911" t="s">
        <v>674</v>
      </c>
      <c r="C38" s="2911" t="s">
        <v>1685</v>
      </c>
      <c r="D38" s="2911" t="s">
        <v>3992</v>
      </c>
      <c r="E38" s="2911" t="s">
        <v>8231</v>
      </c>
      <c r="F38" s="2911" t="s">
        <v>2544</v>
      </c>
      <c r="G38" s="3448" t="s">
        <v>3195</v>
      </c>
      <c r="H38" s="3448" t="str">
        <f>HLOOKUP(Non_UN,'Other Translations'!$A:$L,1+translations!J38,)</f>
        <v>Không có dự án</v>
      </c>
      <c r="J38" s="3448">
        <v>37</v>
      </c>
    </row>
    <row r="39" spans="1:10" s="3448" customFormat="1">
      <c r="A39" s="3578" t="s">
        <v>1644</v>
      </c>
      <c r="B39" s="2911" t="s">
        <v>675</v>
      </c>
      <c r="C39" s="2911" t="s">
        <v>1686</v>
      </c>
      <c r="D39" s="2911" t="s">
        <v>3993</v>
      </c>
      <c r="E39" s="2911" t="s">
        <v>8232</v>
      </c>
      <c r="F39" s="2911" t="s">
        <v>2545</v>
      </c>
      <c r="G39" s="3448" t="s">
        <v>3196</v>
      </c>
      <c r="H39" s="3448" t="str">
        <f>HLOOKUP(Non_UN,'Other Translations'!$A:$L,1+translations!J39,)</f>
        <v>Có dự án</v>
      </c>
      <c r="J39" s="3448">
        <v>38</v>
      </c>
    </row>
    <row r="40" spans="1:10" s="3448" customFormat="1">
      <c r="A40" s="3578" t="s">
        <v>1644</v>
      </c>
      <c r="B40" s="2911" t="s">
        <v>1719</v>
      </c>
      <c r="C40" s="2911" t="s">
        <v>1719</v>
      </c>
      <c r="D40" s="2911" t="s">
        <v>2379</v>
      </c>
      <c r="E40" s="2911" t="s">
        <v>8233</v>
      </c>
      <c r="F40" s="2911" t="s">
        <v>2546</v>
      </c>
      <c r="G40" s="3448" t="s">
        <v>3197</v>
      </c>
      <c r="H40" s="3448" t="str">
        <f>HLOOKUP(Non_UN,'Other Translations'!$A:$L,1+translations!J40,)</f>
        <v>Vùng 1=</v>
      </c>
      <c r="J40" s="3448">
        <v>39</v>
      </c>
    </row>
    <row r="41" spans="1:10" s="3448" customFormat="1">
      <c r="A41" s="3578" t="s">
        <v>1644</v>
      </c>
      <c r="B41" s="2911" t="s">
        <v>1717</v>
      </c>
      <c r="C41" s="2911" t="s">
        <v>1717</v>
      </c>
      <c r="D41" s="2911" t="s">
        <v>2380</v>
      </c>
      <c r="E41" s="2911" t="s">
        <v>8234</v>
      </c>
      <c r="F41" s="2911" t="s">
        <v>2547</v>
      </c>
      <c r="G41" s="3448" t="s">
        <v>3198</v>
      </c>
      <c r="H41" s="3448" t="str">
        <f>HLOOKUP(Non_UN,'Other Translations'!$A:$L,1+translations!J41,)</f>
        <v>Vùng 2=</v>
      </c>
      <c r="J41" s="3448">
        <v>40</v>
      </c>
    </row>
    <row r="42" spans="1:10" s="3448" customFormat="1">
      <c r="A42" s="3578" t="s">
        <v>1644</v>
      </c>
      <c r="B42" s="2911" t="s">
        <v>1720</v>
      </c>
      <c r="C42" s="2911" t="s">
        <v>1720</v>
      </c>
      <c r="D42" s="2911" t="s">
        <v>2381</v>
      </c>
      <c r="E42" s="2911" t="s">
        <v>8235</v>
      </c>
      <c r="F42" s="2911" t="s">
        <v>2548</v>
      </c>
      <c r="G42" s="3448" t="s">
        <v>3199</v>
      </c>
      <c r="H42" s="3448" t="str">
        <f>HLOOKUP(Non_UN,'Other Translations'!$A:$L,1+translations!J42,)</f>
        <v>Vùng 3=</v>
      </c>
      <c r="J42" s="3448">
        <v>41</v>
      </c>
    </row>
    <row r="43" spans="1:10" s="3448" customFormat="1">
      <c r="A43" s="3578" t="s">
        <v>1644</v>
      </c>
      <c r="B43" s="2911" t="s">
        <v>1721</v>
      </c>
      <c r="C43" s="2911" t="s">
        <v>1721</v>
      </c>
      <c r="D43" s="2911" t="s">
        <v>2382</v>
      </c>
      <c r="E43" s="2911" t="s">
        <v>8236</v>
      </c>
      <c r="F43" s="2911" t="s">
        <v>2549</v>
      </c>
      <c r="G43" s="3448" t="s">
        <v>3200</v>
      </c>
      <c r="H43" s="3448" t="str">
        <f>HLOOKUP(Non_UN,'Other Translations'!$A:$L,1+translations!J43,)</f>
        <v>Vùng 4=</v>
      </c>
      <c r="J43" s="3448">
        <v>42</v>
      </c>
    </row>
    <row r="44" spans="1:10" s="3448" customFormat="1">
      <c r="A44" s="3578" t="s">
        <v>1644</v>
      </c>
      <c r="B44" s="2749" t="s">
        <v>1405</v>
      </c>
      <c r="C44" s="2749" t="s">
        <v>1750</v>
      </c>
      <c r="D44" s="2911" t="s">
        <v>3994</v>
      </c>
      <c r="E44" s="2911" t="s">
        <v>8237</v>
      </c>
      <c r="F44" s="2911" t="s">
        <v>2550</v>
      </c>
      <c r="G44" s="3600" t="s">
        <v>3201</v>
      </c>
      <c r="H44" s="3448" t="str">
        <f>HLOOKUP(Non_UN,'Other Translations'!$A:$L,1+translations!J44,)</f>
        <v>2.2. Trồng rừng và tái sinh rừng</v>
      </c>
      <c r="J44" s="3448">
        <v>43</v>
      </c>
    </row>
    <row r="45" spans="1:10" s="3448" customFormat="1">
      <c r="A45" s="3578" t="s">
        <v>1644</v>
      </c>
      <c r="B45" s="2911" t="s">
        <v>1300</v>
      </c>
      <c r="C45" s="2911" t="s">
        <v>1743</v>
      </c>
      <c r="D45" s="2911" t="s">
        <v>3995</v>
      </c>
      <c r="E45" s="2911" t="s">
        <v>8238</v>
      </c>
      <c r="F45" s="2911" t="s">
        <v>2551</v>
      </c>
      <c r="G45" s="3448" t="s">
        <v>3202</v>
      </c>
      <c r="H45" s="3448" t="str">
        <f>HLOOKUP(Non_UN,'Other Translations'!$A:$L,1+translations!J45,)</f>
        <v>Hình thức sử dụng đất trước đó</v>
      </c>
      <c r="J45" s="3448">
        <v>44</v>
      </c>
    </row>
    <row r="46" spans="1:10" s="3448" customFormat="1">
      <c r="A46" s="3578" t="s">
        <v>1644</v>
      </c>
      <c r="B46" s="2911" t="s">
        <v>1301</v>
      </c>
      <c r="C46" s="2911" t="s">
        <v>1744</v>
      </c>
      <c r="D46" s="2911" t="s">
        <v>3996</v>
      </c>
      <c r="E46" s="2911" t="s">
        <v>8239</v>
      </c>
      <c r="F46" s="2911" t="s">
        <v>2552</v>
      </c>
      <c r="G46" s="3448" t="s">
        <v>3203</v>
      </c>
      <c r="H46" s="3448" t="str">
        <f>HLOOKUP(Non_UN,'Other Translations'!$A:$L,1+translations!J46,)</f>
        <v>Diện tích rừng sẽ được trồng lại/tái sinh?</v>
      </c>
      <c r="J46" s="3448">
        <v>45</v>
      </c>
    </row>
    <row r="47" spans="1:10" s="3448" customFormat="1">
      <c r="A47" s="3578" t="s">
        <v>1644</v>
      </c>
      <c r="B47" s="2749" t="s">
        <v>5406</v>
      </c>
      <c r="C47" s="2911" t="s">
        <v>1745</v>
      </c>
      <c r="D47" s="2911" t="s">
        <v>3997</v>
      </c>
      <c r="E47" s="2911" t="s">
        <v>8240</v>
      </c>
      <c r="F47" s="2911" t="s">
        <v>2553</v>
      </c>
      <c r="G47" s="3448" t="s">
        <v>3204</v>
      </c>
      <c r="H47" s="3448" t="str">
        <f>HLOOKUP(Non_UN,'Other Translations'!$A:$L,1+translations!J47,)</f>
        <v>Tổng rừng tái sinh/trồng</v>
      </c>
      <c r="J47" s="3448">
        <v>46</v>
      </c>
    </row>
    <row r="48" spans="1:10" s="3448" customFormat="1">
      <c r="A48" s="3578" t="s">
        <v>1644</v>
      </c>
      <c r="B48" s="2749" t="s">
        <v>5407</v>
      </c>
      <c r="C48" s="2749" t="s">
        <v>1752</v>
      </c>
      <c r="D48" s="2911" t="s">
        <v>3998</v>
      </c>
      <c r="E48" s="2911" t="s">
        <v>8241</v>
      </c>
      <c r="F48" s="2911" t="s">
        <v>2554</v>
      </c>
      <c r="G48" s="3448" t="s">
        <v>3205</v>
      </c>
      <c r="H48" s="3448" t="str">
        <f>HLOOKUP(Non_UN,'Other Translations'!$A:$L,1+translations!J48,)</f>
        <v>2.3. Thay đổi sử dụng đất khác</v>
      </c>
      <c r="J48" s="3448">
        <v>47</v>
      </c>
    </row>
    <row r="49" spans="1:10" s="3448" customFormat="1">
      <c r="A49" s="3578" t="s">
        <v>1644</v>
      </c>
      <c r="B49" s="2749" t="s">
        <v>5401</v>
      </c>
      <c r="C49" s="2749" t="s">
        <v>1753</v>
      </c>
      <c r="D49" s="2911" t="s">
        <v>3999</v>
      </c>
      <c r="E49" s="2911" t="s">
        <v>8242</v>
      </c>
      <c r="F49" s="2911" t="s">
        <v>2555</v>
      </c>
      <c r="G49" s="3448" t="s">
        <v>3206</v>
      </c>
      <c r="H49" s="3448" t="str">
        <f>HLOOKUP(Non_UN,'Other Translations'!$A:$L,1+translations!J49,)</f>
        <v>Điền thông tin với các mô tả của bạn</v>
      </c>
      <c r="J49" s="3448">
        <v>48</v>
      </c>
    </row>
    <row r="50" spans="1:10" s="3448" customFormat="1">
      <c r="A50" s="3578" t="s">
        <v>1644</v>
      </c>
      <c r="B50" s="2749" t="s">
        <v>1303</v>
      </c>
      <c r="C50" s="2749" t="s">
        <v>1754</v>
      </c>
      <c r="D50" s="2911" t="s">
        <v>4000</v>
      </c>
      <c r="E50" s="2911" t="s">
        <v>8243</v>
      </c>
      <c r="F50" s="2911" t="s">
        <v>2556</v>
      </c>
      <c r="G50" s="3448" t="s">
        <v>3207</v>
      </c>
      <c r="H50" s="3448" t="str">
        <f>HLOOKUP(Non_UN,'Other Translations'!$A:$L,1+translations!J50,)</f>
        <v>Loại hình sử dụng đất ban đầu</v>
      </c>
      <c r="J50" s="3448">
        <v>49</v>
      </c>
    </row>
    <row r="51" spans="1:10" s="3448" customFormat="1">
      <c r="A51" s="3578" t="s">
        <v>1644</v>
      </c>
      <c r="B51" s="2749" t="s">
        <v>1304</v>
      </c>
      <c r="C51" s="2749" t="s">
        <v>1755</v>
      </c>
      <c r="D51" s="2911" t="s">
        <v>4001</v>
      </c>
      <c r="E51" s="2911" t="s">
        <v>8244</v>
      </c>
      <c r="F51" s="2911" t="s">
        <v>2557</v>
      </c>
      <c r="G51" s="3448" t="s">
        <v>3208</v>
      </c>
      <c r="H51" s="3448" t="str">
        <f>HLOOKUP(Non_UN,'Other Translations'!$A:$L,1+translations!J51,)</f>
        <v>Loại hình sử dụng đất cuối cùng</v>
      </c>
      <c r="J51" s="3448">
        <v>50</v>
      </c>
    </row>
    <row r="52" spans="1:10" s="3448" customFormat="1">
      <c r="A52" s="3578" t="s">
        <v>1644</v>
      </c>
      <c r="B52" s="2749" t="s">
        <v>1305</v>
      </c>
      <c r="C52" s="2749" t="s">
        <v>1305</v>
      </c>
      <c r="D52" s="2911" t="s">
        <v>4002</v>
      </c>
      <c r="E52" s="2911" t="s">
        <v>8245</v>
      </c>
      <c r="F52" s="2911" t="s">
        <v>2558</v>
      </c>
      <c r="G52" s="3448" t="s">
        <v>3209</v>
      </c>
      <c r="H52" s="3448" t="str">
        <f>HLOOKUP(Non_UN,'Other Translations'!$A:$L,1+translations!J52,)</f>
        <v>Các thông điệp</v>
      </c>
      <c r="J52" s="3448">
        <v>51</v>
      </c>
    </row>
    <row r="53" spans="1:10" s="3448" customFormat="1">
      <c r="A53" s="3578" t="s">
        <v>1644</v>
      </c>
      <c r="B53" s="2749" t="s">
        <v>1756</v>
      </c>
      <c r="C53" s="2749" t="s">
        <v>1757</v>
      </c>
      <c r="D53" s="2911" t="s">
        <v>2391</v>
      </c>
      <c r="E53" s="2911" t="s">
        <v>8246</v>
      </c>
      <c r="F53" s="2911" t="s">
        <v>2559</v>
      </c>
      <c r="G53" s="3448" t="s">
        <v>3210</v>
      </c>
      <c r="H53" s="3448" t="str">
        <f>HLOOKUP(Non_UN,'Other Translations'!$A:$L,1+translations!J53,)</f>
        <v>Diên tích chuyển đổi (ha)</v>
      </c>
      <c r="J53" s="3448">
        <v>52</v>
      </c>
    </row>
    <row r="54" spans="1:10" s="3448" customFormat="1">
      <c r="A54" s="3578" t="s">
        <v>1644</v>
      </c>
      <c r="B54" s="2749" t="s">
        <v>5408</v>
      </c>
      <c r="C54" s="2749" t="s">
        <v>1767</v>
      </c>
      <c r="D54" s="2911" t="s">
        <v>4003</v>
      </c>
      <c r="E54" s="2911" t="s">
        <v>8247</v>
      </c>
      <c r="F54" s="2911" t="s">
        <v>2560</v>
      </c>
      <c r="G54" s="3448" t="s">
        <v>3211</v>
      </c>
      <c r="H54" s="3448" t="str">
        <f>HLOOKUP(Non_UN,'Other Translations'!$A:$L,1+translations!J54,)</f>
        <v>Tổng thay đổi sử dụng đất khác</v>
      </c>
      <c r="J54" s="3448">
        <v>53</v>
      </c>
    </row>
    <row r="55" spans="1:10" s="3448" customFormat="1" ht="25.5">
      <c r="A55" s="3578" t="s">
        <v>1644</v>
      </c>
      <c r="B55" s="2749" t="s">
        <v>5417</v>
      </c>
      <c r="C55" s="2911" t="s">
        <v>1765</v>
      </c>
      <c r="D55" s="2911" t="s">
        <v>4004</v>
      </c>
      <c r="E55" s="2911" t="s">
        <v>8248</v>
      </c>
      <c r="F55" s="2911" t="s">
        <v>2561</v>
      </c>
      <c r="G55" s="3448" t="s">
        <v>3212</v>
      </c>
      <c r="H55" s="3448" t="str">
        <f>HLOOKUP(Non_UN,'Other Translations'!$A:$L,1+translations!J55,)</f>
        <v>Bạn phải chỉ rõ rằng bạn đang sử dụng các loại thảm thực vật sau:</v>
      </c>
      <c r="J55" s="3448">
        <v>54</v>
      </c>
    </row>
    <row r="56" spans="1:10" s="3448" customFormat="1" ht="25.5">
      <c r="A56" s="3578" t="s">
        <v>1644</v>
      </c>
      <c r="B56" s="2749" t="s">
        <v>5416</v>
      </c>
      <c r="C56" s="2749" t="s">
        <v>1766</v>
      </c>
      <c r="D56" s="2911" t="s">
        <v>4005</v>
      </c>
      <c r="E56" s="2911" t="s">
        <v>8249</v>
      </c>
      <c r="F56" s="2911" t="s">
        <v>2562</v>
      </c>
      <c r="G56" s="3448" t="s">
        <v>3213</v>
      </c>
      <c r="H56" s="3448" t="str">
        <f>HLOOKUP(Non_UN,'Other Translations'!$A:$L,1+translations!J56,)</f>
        <v>Sử dụng phần này nếu bạn muốn sử dụng phương pháp phân tích với các hệ số Tier 2</v>
      </c>
      <c r="J56" s="3448">
        <v>55</v>
      </c>
    </row>
    <row r="57" spans="1:10" s="3448" customFormat="1" ht="51">
      <c r="A57" s="3578" t="s">
        <v>1644</v>
      </c>
      <c r="B57" s="2749" t="s">
        <v>1609</v>
      </c>
      <c r="C57" s="2749" t="s">
        <v>8159</v>
      </c>
      <c r="D57" s="2911" t="s">
        <v>4006</v>
      </c>
      <c r="E57" s="2911" t="s">
        <v>3795</v>
      </c>
      <c r="F57" s="3599" t="s">
        <v>2563</v>
      </c>
      <c r="G57" s="2911" t="s">
        <v>3214</v>
      </c>
      <c r="H57" s="3448" t="str">
        <f>HLOOKUP(Non_UN,'Other Translations'!$A:$L,1+translations!J57,)</f>
        <v>(các giá trị mặc định được cung cấp để bạn có thông tin, trong khi EX-ACT sẽ sử dụng các giá trị Tier 2 tự động ở bất cứ nơi nào có yêu cầu cụ thể</v>
      </c>
      <c r="J57" s="3448">
        <v>56</v>
      </c>
    </row>
    <row r="58" spans="1:10" s="3448" customFormat="1" ht="25.5">
      <c r="A58" s="3578" t="s">
        <v>1644</v>
      </c>
      <c r="B58" s="2911" t="s">
        <v>1501</v>
      </c>
      <c r="C58" s="2749" t="s">
        <v>1768</v>
      </c>
      <c r="D58" s="2911" t="s">
        <v>4007</v>
      </c>
      <c r="E58" s="2911" t="s">
        <v>8250</v>
      </c>
      <c r="F58" s="2911" t="s">
        <v>2564</v>
      </c>
      <c r="G58" s="3448" t="s">
        <v>3215</v>
      </c>
      <c r="H58" s="3448" t="str">
        <f>HLOOKUP(Non_UN,'Other Translations'!$A:$L,1+translations!J58,)</f>
        <v>Tất cả các giá trị được thể hiện bằng tấn carbon/ha (tC/ha)</v>
      </c>
      <c r="J58" s="3448">
        <v>57</v>
      </c>
    </row>
    <row r="59" spans="1:10" s="3448" customFormat="1">
      <c r="A59" s="3578" t="s">
        <v>1644</v>
      </c>
      <c r="B59" s="2911" t="s">
        <v>1503</v>
      </c>
      <c r="C59" s="2749" t="s">
        <v>1759</v>
      </c>
      <c r="D59" s="2911" t="s">
        <v>4008</v>
      </c>
      <c r="E59" s="2911" t="s">
        <v>8251</v>
      </c>
      <c r="F59" s="2911" t="s">
        <v>2565</v>
      </c>
      <c r="G59" s="3448" t="s">
        <v>3216</v>
      </c>
      <c r="H59" s="3448" t="str">
        <f>HLOOKUP(Non_UN,'Other Translations'!$A:$L,1+translations!J59,)</f>
        <v>Trên mặt đất</v>
      </c>
      <c r="J59" s="3448">
        <v>58</v>
      </c>
    </row>
    <row r="60" spans="1:10" s="3448" customFormat="1">
      <c r="A60" s="3578" t="s">
        <v>1644</v>
      </c>
      <c r="B60" s="2749" t="s">
        <v>1504</v>
      </c>
      <c r="C60" s="2749" t="s">
        <v>1760</v>
      </c>
      <c r="D60" s="2911" t="s">
        <v>4009</v>
      </c>
      <c r="E60" s="2911" t="s">
        <v>8252</v>
      </c>
      <c r="F60" s="2911" t="s">
        <v>2566</v>
      </c>
      <c r="G60" s="3448" t="s">
        <v>3217</v>
      </c>
      <c r="H60" s="3448" t="str">
        <f>HLOOKUP(Non_UN,'Other Translations'!$A:$L,1+translations!J60,)</f>
        <v>Dưới mặt đất</v>
      </c>
      <c r="J60" s="3448">
        <v>59</v>
      </c>
    </row>
    <row r="61" spans="1:10" s="3448" customFormat="1">
      <c r="A61" s="3578" t="s">
        <v>1644</v>
      </c>
      <c r="B61" s="2749" t="s">
        <v>495</v>
      </c>
      <c r="C61" s="2749" t="s">
        <v>1761</v>
      </c>
      <c r="D61" s="2911" t="s">
        <v>4010</v>
      </c>
      <c r="E61" s="2911" t="s">
        <v>8253</v>
      </c>
      <c r="F61" s="2911" t="s">
        <v>2567</v>
      </c>
      <c r="G61" s="3448" t="s">
        <v>3218</v>
      </c>
      <c r="H61" s="3448" t="str">
        <f>HLOOKUP(Non_UN,'Other Translations'!$A:$L,1+translations!J61,)</f>
        <v>Xác thực vật</v>
      </c>
      <c r="J61" s="3448">
        <v>60</v>
      </c>
    </row>
    <row r="62" spans="1:10" s="3448" customFormat="1">
      <c r="A62" s="3578" t="s">
        <v>1644</v>
      </c>
      <c r="B62" s="2749" t="s">
        <v>1505</v>
      </c>
      <c r="C62" s="2749" t="s">
        <v>1762</v>
      </c>
      <c r="D62" s="2911" t="s">
        <v>4011</v>
      </c>
      <c r="E62" s="2911" t="s">
        <v>8254</v>
      </c>
      <c r="F62" s="2911" t="s">
        <v>2568</v>
      </c>
      <c r="G62" s="3448" t="s">
        <v>3219</v>
      </c>
      <c r="H62" s="3448" t="str">
        <f>HLOOKUP(Non_UN,'Other Translations'!$A:$L,1+translations!J62,)</f>
        <v>Cây gỗ hoặc bộ phận đã chết</v>
      </c>
      <c r="J62" s="3448">
        <v>61</v>
      </c>
    </row>
    <row r="63" spans="1:10" s="3448" customFormat="1">
      <c r="A63" s="3578" t="s">
        <v>1644</v>
      </c>
      <c r="B63" s="2749" t="s">
        <v>1758</v>
      </c>
      <c r="C63" s="2749" t="s">
        <v>1763</v>
      </c>
      <c r="D63" s="2911" t="s">
        <v>4012</v>
      </c>
      <c r="E63" s="2911" t="s">
        <v>8255</v>
      </c>
      <c r="F63" s="2911" t="s">
        <v>2569</v>
      </c>
      <c r="G63" s="3448" t="s">
        <v>3220</v>
      </c>
      <c r="H63" s="3448" t="str">
        <f>HLOOKUP(Non_UN,'Other Translations'!$A:$L,1+translations!J63,)</f>
        <v>Carbon đất</v>
      </c>
      <c r="J63" s="3448">
        <v>62</v>
      </c>
    </row>
    <row r="64" spans="1:10" s="3448" customFormat="1">
      <c r="A64" s="3578" t="s">
        <v>1644</v>
      </c>
      <c r="B64" s="2911" t="s">
        <v>339</v>
      </c>
      <c r="C64" s="2749" t="s">
        <v>1764</v>
      </c>
      <c r="D64" s="2911" t="s">
        <v>4013</v>
      </c>
      <c r="E64" s="2911" t="s">
        <v>3796</v>
      </c>
      <c r="F64" s="2911" t="s">
        <v>2570</v>
      </c>
      <c r="G64" s="3448" t="s">
        <v>3221</v>
      </c>
      <c r="H64" s="3448" t="str">
        <f>HLOOKUP(Non_UN,'Other Translations'!$A:$L,1+translations!J64,)</f>
        <v>Mặc định</v>
      </c>
      <c r="J64" s="3448">
        <v>63</v>
      </c>
    </row>
    <row r="65" spans="1:10" s="3448" customFormat="1">
      <c r="A65" s="3578" t="s">
        <v>1644</v>
      </c>
      <c r="B65" s="2911" t="s">
        <v>1502</v>
      </c>
      <c r="C65" s="2749" t="s">
        <v>1502</v>
      </c>
      <c r="D65" s="2911" t="s">
        <v>4014</v>
      </c>
      <c r="E65" s="2911" t="s">
        <v>8256</v>
      </c>
      <c r="F65" s="2911" t="s">
        <v>2571</v>
      </c>
      <c r="G65" s="3448" t="s">
        <v>3222</v>
      </c>
      <c r="H65" s="3448" t="str">
        <f>HLOOKUP(Non_UN,'Other Translations'!$A:$L,1+translations!J65,)</f>
        <v>Tier 2</v>
      </c>
      <c r="J65" s="3448">
        <v>64</v>
      </c>
    </row>
    <row r="66" spans="1:10" s="3448" customFormat="1">
      <c r="A66" s="3578" t="s">
        <v>1644</v>
      </c>
      <c r="B66" s="2911" t="s">
        <v>1299</v>
      </c>
      <c r="C66" s="2911" t="s">
        <v>1769</v>
      </c>
      <c r="D66" s="2749" t="s">
        <v>4018</v>
      </c>
      <c r="E66" s="2911" t="s">
        <v>8257</v>
      </c>
      <c r="F66" s="2911" t="s">
        <v>2572</v>
      </c>
      <c r="G66" s="3448" t="s">
        <v>3223</v>
      </c>
      <c r="H66" s="3448" t="str">
        <f>HLOOKUP(Non_UN,'Other Translations'!$A:$L,1+translations!J66,)</f>
        <v>mà sẽ được trồng</v>
      </c>
      <c r="J66" s="3448">
        <v>65</v>
      </c>
    </row>
    <row r="67" spans="1:10" s="3448" customFormat="1" ht="25.5">
      <c r="A67" s="3578" t="s">
        <v>1644</v>
      </c>
      <c r="B67" s="2911" t="s">
        <v>1506</v>
      </c>
      <c r="C67" s="2911" t="s">
        <v>1770</v>
      </c>
      <c r="D67" s="2911" t="s">
        <v>4015</v>
      </c>
      <c r="E67" s="2911" t="s">
        <v>8258</v>
      </c>
      <c r="F67" s="2911" t="s">
        <v>2573</v>
      </c>
      <c r="G67" s="3448" t="s">
        <v>3224</v>
      </c>
      <c r="H67" s="3448" t="str">
        <f>HLOOKUP(Non_UN,'Other Translations'!$A:$L,1+translations!J67,)</f>
        <v>Tốc độ tăng trưởng đối với các hệ thống đến 20 năm tuổi</v>
      </c>
      <c r="J67" s="3448">
        <v>66</v>
      </c>
    </row>
    <row r="68" spans="1:10" s="3448" customFormat="1" ht="25.5">
      <c r="A68" s="3578" t="s">
        <v>1644</v>
      </c>
      <c r="B68" s="2911" t="s">
        <v>1507</v>
      </c>
      <c r="C68" s="2911" t="s">
        <v>1771</v>
      </c>
      <c r="D68" s="2911" t="s">
        <v>4016</v>
      </c>
      <c r="E68" s="2911" t="s">
        <v>8259</v>
      </c>
      <c r="F68" s="2911" t="s">
        <v>2574</v>
      </c>
      <c r="G68" s="3448" t="s">
        <v>3225</v>
      </c>
      <c r="H68" s="3448" t="str">
        <f>HLOOKUP(Non_UN,'Other Translations'!$A:$L,1+translations!J68,)</f>
        <v>Tốc độ tăng trưởng đối với các hệ thống sau 20 năm tuổi</v>
      </c>
      <c r="J68" s="3448">
        <v>67</v>
      </c>
    </row>
    <row r="69" spans="1:10" s="3448" customFormat="1">
      <c r="A69" s="3578" t="s">
        <v>1644</v>
      </c>
      <c r="B69" s="2911" t="s">
        <v>7219</v>
      </c>
      <c r="C69" s="2911" t="s">
        <v>7220</v>
      </c>
      <c r="D69" s="2749" t="s">
        <v>8754</v>
      </c>
      <c r="E69" s="2911" t="s">
        <v>8260</v>
      </c>
      <c r="F69" s="3601" t="str">
        <f>B69</f>
        <v>Biomass (1st year)</v>
      </c>
      <c r="G69" s="3602" t="str">
        <f>B69</f>
        <v>Biomass (1st year)</v>
      </c>
      <c r="H69" s="3448" t="str">
        <f>HLOOKUP(Non_UN,'Other Translations'!$A:$L,1+translations!J69,)</f>
        <v>Sinh khối (năm thứ 1)</v>
      </c>
      <c r="J69" s="3448">
        <v>68</v>
      </c>
    </row>
    <row r="70" spans="1:10" s="3448" customFormat="1">
      <c r="A70" s="3578" t="s">
        <v>1644</v>
      </c>
      <c r="B70" s="2911"/>
      <c r="C70" s="2911"/>
      <c r="D70" s="2911"/>
      <c r="E70" s="2911"/>
      <c r="F70" s="2911"/>
      <c r="H70" s="3448">
        <f>HLOOKUP(Non_UN,'Other Translations'!$A:$L,1+translations!J70,)</f>
        <v>0</v>
      </c>
      <c r="J70" s="3448">
        <v>69</v>
      </c>
    </row>
    <row r="71" spans="1:10" s="3448" customFormat="1">
      <c r="A71" s="3578" t="s">
        <v>1644</v>
      </c>
      <c r="B71" s="2911"/>
      <c r="C71" s="2911"/>
      <c r="D71" s="2911"/>
      <c r="E71" s="2911"/>
      <c r="F71" s="2911"/>
      <c r="H71" s="3448">
        <f>HLOOKUP(Non_UN,'Other Translations'!$A:$L,1+translations!J71,)</f>
        <v>0</v>
      </c>
      <c r="J71" s="3448">
        <v>70</v>
      </c>
    </row>
    <row r="72" spans="1:10" s="3448" customFormat="1">
      <c r="A72" s="3578" t="s">
        <v>1644</v>
      </c>
      <c r="B72" s="2911"/>
      <c r="C72" s="2911"/>
      <c r="D72" s="2911"/>
      <c r="E72" s="2911"/>
      <c r="F72" s="2911"/>
      <c r="H72" s="3448">
        <f>HLOOKUP(Non_UN,'Other Translations'!$A:$L,1+translations!J72,)</f>
        <v>0</v>
      </c>
      <c r="J72" s="3448">
        <v>71</v>
      </c>
    </row>
    <row r="73" spans="1:10" s="3448" customFormat="1">
      <c r="A73" s="3578" t="s">
        <v>1644</v>
      </c>
      <c r="B73" s="2911"/>
      <c r="C73" s="2911"/>
      <c r="D73" s="2911"/>
      <c r="E73" s="2911"/>
      <c r="F73" s="2911"/>
      <c r="H73" s="3448">
        <f>HLOOKUP(Non_UN,'Other Translations'!$A:$L,1+translations!J73,)</f>
        <v>0</v>
      </c>
      <c r="J73" s="3448">
        <v>72</v>
      </c>
    </row>
    <row r="74" spans="1:10" s="3448" customFormat="1">
      <c r="A74" s="3578" t="s">
        <v>1644</v>
      </c>
      <c r="B74" s="2911"/>
      <c r="C74" s="2911"/>
      <c r="D74" s="2911"/>
      <c r="E74" s="2911"/>
      <c r="F74" s="2911"/>
      <c r="H74" s="3448">
        <f>HLOOKUP(Non_UN,'Other Translations'!$A:$L,1+translations!J74,)</f>
        <v>0</v>
      </c>
      <c r="J74" s="3448">
        <v>73</v>
      </c>
    </row>
    <row r="75" spans="1:10" s="3448" customFormat="1">
      <c r="A75" s="3578" t="s">
        <v>1644</v>
      </c>
      <c r="B75" s="2911"/>
      <c r="C75" s="2911"/>
      <c r="D75" s="2911"/>
      <c r="E75" s="2911"/>
      <c r="F75" s="2911"/>
      <c r="H75" s="3448">
        <f>HLOOKUP(Non_UN,'Other Translations'!$A:$L,1+translations!J75,)</f>
        <v>0</v>
      </c>
      <c r="J75" s="3448">
        <v>74</v>
      </c>
    </row>
    <row r="76" spans="1:10" s="2581" customFormat="1">
      <c r="A76" s="2581" t="s">
        <v>1638</v>
      </c>
      <c r="B76" s="2580" t="s">
        <v>1617</v>
      </c>
      <c r="C76" s="2580" t="s">
        <v>1618</v>
      </c>
      <c r="D76" s="2580" t="s">
        <v>1619</v>
      </c>
      <c r="E76" s="2580" t="str">
        <f>E1</f>
        <v>中文</v>
      </c>
      <c r="F76" s="2580" t="s">
        <v>2518</v>
      </c>
      <c r="G76" s="2581" t="s">
        <v>3166</v>
      </c>
      <c r="H76" s="2581" t="str">
        <f>HLOOKUP(Non_UN,'Other Translations'!$A:$L,1+translations!J76,)</f>
        <v>Tiếng Việt</v>
      </c>
      <c r="J76" s="2820">
        <v>75</v>
      </c>
    </row>
    <row r="77" spans="1:10" s="3448" customFormat="1" ht="38.25">
      <c r="A77" s="3578" t="s">
        <v>1784</v>
      </c>
      <c r="B77" s="2749" t="s">
        <v>1406</v>
      </c>
      <c r="C77" s="2911" t="s">
        <v>1795</v>
      </c>
      <c r="D77" s="2911" t="s">
        <v>4019</v>
      </c>
      <c r="E77" s="2911" t="s">
        <v>8261</v>
      </c>
      <c r="F77" s="2911" t="s">
        <v>2575</v>
      </c>
      <c r="G77" s="3448" t="s">
        <v>3226</v>
      </c>
      <c r="H77" s="3448" t="str">
        <f>HLOOKUP(Non_UN,'Other Translations'!$A:$L,1+translations!J77,)</f>
        <v>3.1. Các hệ thống cây trồng hàng năm (cũng được sử dụng đối với hệ thống cây trồng lâu năm như bông hay mía)</v>
      </c>
      <c r="J77" s="3448">
        <v>76</v>
      </c>
    </row>
    <row r="78" spans="1:10" s="3448" customFormat="1" ht="38.25">
      <c r="A78" s="3578" t="s">
        <v>1784</v>
      </c>
      <c r="B78" s="2749" t="s">
        <v>5410</v>
      </c>
      <c r="C78" s="2911" t="s">
        <v>1796</v>
      </c>
      <c r="D78" s="2911" t="s">
        <v>4488</v>
      </c>
      <c r="E78" s="2911" t="s">
        <v>8262</v>
      </c>
      <c r="F78" s="2911" t="s">
        <v>2576</v>
      </c>
      <c r="G78" s="2911" t="s">
        <v>3227</v>
      </c>
      <c r="H78" s="3448" t="str">
        <f>HLOOKUP(Non_UN,'Other Translations'!$A:$L,1+translations!J78,)</f>
        <v>3.1.1. Hệ thống cây trồng hàng năm từ các hình thức sử dụng đất khác hoặc được chuyển đổi sang hình thức sử dụng đất khác (điền cụ thể bước 2. LUC ở trên</v>
      </c>
      <c r="J78" s="3448">
        <v>77</v>
      </c>
    </row>
    <row r="79" spans="1:10" s="3448" customFormat="1">
      <c r="A79" s="3578" t="s">
        <v>1784</v>
      </c>
      <c r="B79" s="2749" t="s">
        <v>1785</v>
      </c>
      <c r="C79" s="2911" t="s">
        <v>1797</v>
      </c>
      <c r="D79" s="2911" t="s">
        <v>4020</v>
      </c>
      <c r="E79" s="2911" t="s">
        <v>8263</v>
      </c>
      <c r="F79" s="2911" t="s">
        <v>2577</v>
      </c>
      <c r="G79" s="3448" t="s">
        <v>3228</v>
      </c>
      <c r="H79" s="3448" t="str">
        <f>HLOOKUP(Non_UN,'Other Translations'!$A:$L,1+translations!J79,)</f>
        <v>Năng suất?</v>
      </c>
      <c r="J79" s="3448">
        <v>78</v>
      </c>
    </row>
    <row r="80" spans="1:10" s="3448" customFormat="1">
      <c r="A80" s="3578" t="s">
        <v>1784</v>
      </c>
      <c r="B80" s="2911" t="s">
        <v>1306</v>
      </c>
      <c r="C80" s="3448" t="s">
        <v>1306</v>
      </c>
      <c r="D80" s="2911" t="s">
        <v>4021</v>
      </c>
      <c r="E80" s="2911" t="s">
        <v>8264</v>
      </c>
      <c r="F80" s="2911" t="s">
        <v>2578</v>
      </c>
      <c r="G80" s="3448" t="s">
        <v>3229</v>
      </c>
      <c r="H80" s="3448" t="str">
        <f>HLOOKUP(Non_UN,'Other Translations'!$A:$L,1+translations!J80,)</f>
        <v>Mô tả</v>
      </c>
      <c r="J80" s="3448">
        <v>79</v>
      </c>
    </row>
    <row r="81" spans="1:10" s="3448" customFormat="1">
      <c r="A81" s="3578" t="s">
        <v>1784</v>
      </c>
      <c r="B81" s="2911" t="s">
        <v>583</v>
      </c>
      <c r="C81" s="3448" t="s">
        <v>7221</v>
      </c>
      <c r="D81" s="2911" t="s">
        <v>4022</v>
      </c>
      <c r="E81" s="2911" t="s">
        <v>8265</v>
      </c>
      <c r="F81" s="2911" t="s">
        <v>2579</v>
      </c>
      <c r="G81" s="3448" t="s">
        <v>3230</v>
      </c>
      <c r="H81" s="3448" t="str">
        <f>HLOOKUP(Non_UN,'Other Translations'!$A:$L,1+translations!J81,)</f>
        <v>Biện pháp thực hành nông học cải tiến</v>
      </c>
      <c r="J81" s="3448">
        <v>80</v>
      </c>
    </row>
    <row r="82" spans="1:10" s="3448" customFormat="1">
      <c r="A82" s="3578" t="s">
        <v>1784</v>
      </c>
      <c r="B82" s="2911" t="s">
        <v>584</v>
      </c>
      <c r="C82" s="3448" t="s">
        <v>1798</v>
      </c>
      <c r="D82" s="2911" t="s">
        <v>4023</v>
      </c>
      <c r="E82" s="2911" t="s">
        <v>8266</v>
      </c>
      <c r="F82" s="2911" t="s">
        <v>2580</v>
      </c>
      <c r="G82" s="3448" t="s">
        <v>3231</v>
      </c>
      <c r="H82" s="3448" t="str">
        <f>HLOOKUP(Non_UN,'Other Translations'!$A:$L,1+translations!J82,)</f>
        <v>Quản lý dinh dưỡng</v>
      </c>
      <c r="J82" s="3448">
        <v>81</v>
      </c>
    </row>
    <row r="83" spans="1:10" s="2819" customFormat="1">
      <c r="A83" s="3578" t="s">
        <v>1784</v>
      </c>
      <c r="B83" s="3445" t="s">
        <v>8198</v>
      </c>
      <c r="C83" s="2749" t="s">
        <v>8756</v>
      </c>
      <c r="D83" s="2911" t="s">
        <v>7590</v>
      </c>
      <c r="E83" s="2911" t="s">
        <v>8267</v>
      </c>
      <c r="F83" s="3446" t="s">
        <v>7591</v>
      </c>
      <c r="G83" s="3447" t="s">
        <v>7592</v>
      </c>
      <c r="H83" s="2819" t="str">
        <f>HLOOKUP(Non_UN,'Other Translations'!$A:$L,1+translations!J83,)</f>
        <v>Không làm đất/quản lý chất thải</v>
      </c>
      <c r="J83" s="2820">
        <v>82</v>
      </c>
    </row>
    <row r="84" spans="1:10" s="3448" customFormat="1">
      <c r="A84" s="3578" t="s">
        <v>1784</v>
      </c>
      <c r="B84" s="2911" t="s">
        <v>1786</v>
      </c>
      <c r="C84" s="2911" t="s">
        <v>1799</v>
      </c>
      <c r="D84" s="2911" t="s">
        <v>4024</v>
      </c>
      <c r="E84" s="2911" t="s">
        <v>8268</v>
      </c>
      <c r="F84" s="2911" t="s">
        <v>2581</v>
      </c>
      <c r="G84" s="3448" t="s">
        <v>3232</v>
      </c>
      <c r="H84" s="3448" t="str">
        <f>HLOOKUP(Non_UN,'Other Translations'!$A:$L,1+translations!J84,)</f>
        <v>Quản lý nước</v>
      </c>
      <c r="J84" s="3448">
        <v>83</v>
      </c>
    </row>
    <row r="85" spans="1:10" s="3448" customFormat="1">
      <c r="A85" s="3578" t="s">
        <v>1784</v>
      </c>
      <c r="B85" s="2911" t="s">
        <v>587</v>
      </c>
      <c r="C85" s="2911" t="s">
        <v>1800</v>
      </c>
      <c r="D85" s="2911" t="s">
        <v>4025</v>
      </c>
      <c r="E85" s="2911" t="s">
        <v>8269</v>
      </c>
      <c r="F85" s="2911" t="s">
        <v>2582</v>
      </c>
      <c r="G85" s="3448" t="s">
        <v>3233</v>
      </c>
      <c r="H85" s="3448" t="str">
        <f>HLOOKUP(Non_UN,'Other Translations'!$A:$L,1+translations!J85,)</f>
        <v>Quản lý chất thải hữu cơ</v>
      </c>
      <c r="J85" s="3448">
        <v>84</v>
      </c>
    </row>
    <row r="86" spans="1:10" s="3448" customFormat="1">
      <c r="A86" s="3578" t="s">
        <v>1784</v>
      </c>
      <c r="B86" s="2911" t="s">
        <v>1309</v>
      </c>
      <c r="C86" s="2911" t="s">
        <v>1801</v>
      </c>
      <c r="D86" s="2911" t="s">
        <v>4026</v>
      </c>
      <c r="E86" s="2911" t="s">
        <v>8270</v>
      </c>
      <c r="F86" s="2911" t="s">
        <v>2583</v>
      </c>
      <c r="G86" s="3448" t="s">
        <v>3228</v>
      </c>
      <c r="H86" s="3448" t="str">
        <f>HLOOKUP(Non_UN,'Other Translations'!$A:$L,1+translations!J86,)</f>
        <v>Năng suất</v>
      </c>
      <c r="J86" s="3448">
        <v>85</v>
      </c>
    </row>
    <row r="87" spans="1:10" s="3448" customFormat="1">
      <c r="A87" s="3578" t="s">
        <v>1784</v>
      </c>
      <c r="B87" s="2749" t="s">
        <v>1809</v>
      </c>
      <c r="C87" s="2749" t="s">
        <v>1810</v>
      </c>
      <c r="D87" s="2911" t="s">
        <v>4027</v>
      </c>
      <c r="E87" s="2911" t="s">
        <v>8271</v>
      </c>
      <c r="F87" s="2911" t="s">
        <v>2584</v>
      </c>
      <c r="G87" s="3448" t="s">
        <v>3234</v>
      </c>
      <c r="H87" s="3448" t="str">
        <f>HLOOKUP(Non_UN,'Other Translations'!$A:$L,1+translations!J87,)</f>
        <v>Các khái niệm?</v>
      </c>
      <c r="J87" s="3448">
        <v>86</v>
      </c>
    </row>
    <row r="88" spans="1:10" s="3448" customFormat="1">
      <c r="A88" s="3578" t="s">
        <v>1784</v>
      </c>
      <c r="B88" s="2749" t="s">
        <v>1310</v>
      </c>
      <c r="C88" s="2749" t="s">
        <v>1794</v>
      </c>
      <c r="D88" s="2911" t="s">
        <v>4028</v>
      </c>
      <c r="E88" s="2911" t="s">
        <v>8272</v>
      </c>
      <c r="F88" s="2911" t="s">
        <v>2585</v>
      </c>
      <c r="G88" s="3448" t="s">
        <v>3235</v>
      </c>
      <c r="H88" s="3448" t="str">
        <f>HLOOKUP(Non_UN,'Other Translations'!$A:$L,1+translations!J88,)</f>
        <v>Diện tích (ha)</v>
      </c>
      <c r="J88" s="3448">
        <v>87</v>
      </c>
    </row>
    <row r="89" spans="1:10" s="3448" customFormat="1">
      <c r="A89" s="3578" t="s">
        <v>1784</v>
      </c>
      <c r="B89" s="2749" t="s">
        <v>5463</v>
      </c>
      <c r="C89" s="2749" t="s">
        <v>1811</v>
      </c>
      <c r="D89" s="2911" t="s">
        <v>4029</v>
      </c>
      <c r="E89" s="2911" t="s">
        <v>8273</v>
      </c>
      <c r="F89" s="2911" t="s">
        <v>2586</v>
      </c>
      <c r="G89" s="3448" t="s">
        <v>3236</v>
      </c>
      <c r="H89" s="3448" t="str">
        <f>HLOOKUP(Non_UN,'Other Translations'!$A:$L,1+translations!J89,)</f>
        <v>Đốt phụ phẩm/sinh khối</v>
      </c>
      <c r="J89" s="3448">
        <v>88</v>
      </c>
    </row>
    <row r="90" spans="1:10" s="3448" customFormat="1">
      <c r="A90" s="3578" t="s">
        <v>1784</v>
      </c>
      <c r="B90" s="2911" t="s">
        <v>1307</v>
      </c>
      <c r="C90" s="2911" t="s">
        <v>1802</v>
      </c>
      <c r="D90" s="2911" t="s">
        <v>4030</v>
      </c>
      <c r="E90" s="2911" t="s">
        <v>8274</v>
      </c>
      <c r="F90" s="2911" t="s">
        <v>2587</v>
      </c>
      <c r="G90" s="3448" t="s">
        <v>3237</v>
      </c>
      <c r="H90" s="3448" t="str">
        <f>HLOOKUP(Non_UN,'Other Translations'!$A:$L,1+translations!J90,)</f>
        <v>Hàng năm sau phá rừng</v>
      </c>
      <c r="J90" s="3448">
        <v>89</v>
      </c>
    </row>
    <row r="91" spans="1:10" s="3448" customFormat="1">
      <c r="A91" s="3578" t="s">
        <v>1784</v>
      </c>
      <c r="B91" s="2911" t="s">
        <v>1149</v>
      </c>
      <c r="C91" s="2911" t="s">
        <v>1803</v>
      </c>
      <c r="D91" s="2911" t="s">
        <v>4080</v>
      </c>
      <c r="E91" s="2911" t="s">
        <v>8275</v>
      </c>
      <c r="F91" s="2911" t="s">
        <v>3100</v>
      </c>
      <c r="G91" s="3448" t="s">
        <v>3238</v>
      </c>
      <c r="H91" s="3448" t="str">
        <f>HLOOKUP(Non_UN,'Other Translations'!$A:$L,1+translations!J91,)</f>
        <v>Chuyển đổi sang trồng rừng/tái sinh rừng</v>
      </c>
      <c r="J91" s="3448">
        <v>90</v>
      </c>
    </row>
    <row r="92" spans="1:10" s="3448" customFormat="1">
      <c r="A92" s="3578" t="s">
        <v>1784</v>
      </c>
      <c r="B92" s="2911" t="s">
        <v>1308</v>
      </c>
      <c r="C92" s="2911" t="s">
        <v>1804</v>
      </c>
      <c r="D92" s="2911" t="s">
        <v>4489</v>
      </c>
      <c r="E92" s="2911" t="s">
        <v>8276</v>
      </c>
      <c r="F92" s="2911" t="s">
        <v>2588</v>
      </c>
      <c r="G92" s="3448" t="s">
        <v>3239</v>
      </c>
      <c r="H92" s="3448" t="str">
        <f>HLOOKUP(Non_UN,'Other Translations'!$A:$L,1+translations!J92,)</f>
        <v>Hàng năm sau sử dụng đất không rừng</v>
      </c>
      <c r="J92" s="3448">
        <v>91</v>
      </c>
    </row>
    <row r="93" spans="1:10" s="3448" customFormat="1">
      <c r="A93" s="3578" t="s">
        <v>1784</v>
      </c>
      <c r="B93" s="2911" t="s">
        <v>1224</v>
      </c>
      <c r="C93" s="2911" t="s">
        <v>1805</v>
      </c>
      <c r="D93" s="2911" t="s">
        <v>4082</v>
      </c>
      <c r="E93" s="2911" t="s">
        <v>8277</v>
      </c>
      <c r="F93" s="2911" t="s">
        <v>7593</v>
      </c>
      <c r="G93" s="3448" t="s">
        <v>3240</v>
      </c>
      <c r="H93" s="3448" t="str">
        <f>HLOOKUP(Non_UN,'Other Translations'!$A:$L,1+translations!J93,)</f>
        <v>Chuyển đổi sang các hình thức sử dụng đất khác</v>
      </c>
      <c r="J93" s="3448">
        <v>92</v>
      </c>
    </row>
    <row r="94" spans="1:10" s="3448" customFormat="1" ht="38.25">
      <c r="A94" s="3578" t="s">
        <v>1784</v>
      </c>
      <c r="B94" s="2749" t="s">
        <v>4828</v>
      </c>
      <c r="C94" s="2911" t="s">
        <v>1806</v>
      </c>
      <c r="D94" s="2911" t="s">
        <v>4031</v>
      </c>
      <c r="E94" s="2911" t="s">
        <v>8278</v>
      </c>
      <c r="F94" s="2911" t="s">
        <v>2589</v>
      </c>
      <c r="G94" s="3448" t="s">
        <v>3241</v>
      </c>
      <c r="H94" s="3448" t="str">
        <f>HLOOKUP(Non_UN,'Other Translations'!$A:$L,1+translations!J94,)</f>
        <v>3.1.2. Hệ thống hàng năm còn lại (tổng diện tích phải không đổi)</v>
      </c>
      <c r="J94" s="3448">
        <v>93</v>
      </c>
    </row>
    <row r="95" spans="1:10" s="3448" customFormat="1">
      <c r="A95" s="3578" t="s">
        <v>1784</v>
      </c>
      <c r="B95" s="2911" t="s">
        <v>1787</v>
      </c>
      <c r="C95" s="2911" t="s">
        <v>1787</v>
      </c>
      <c r="D95" s="2911" t="s">
        <v>1787</v>
      </c>
      <c r="E95" s="2911" t="s">
        <v>8279</v>
      </c>
      <c r="F95" s="2911" t="s">
        <v>2590</v>
      </c>
      <c r="G95" s="3448" t="s">
        <v>3242</v>
      </c>
      <c r="H95" s="3448" t="str">
        <f>HLOOKUP(Non_UN,'Other Translations'!$A:$L,1+translations!J95,)</f>
        <v>Tổng số (ha)</v>
      </c>
      <c r="J95" s="3448">
        <v>94</v>
      </c>
    </row>
    <row r="96" spans="1:10" s="3448" customFormat="1">
      <c r="A96" s="3578" t="s">
        <v>1784</v>
      </c>
      <c r="B96" s="2749" t="s">
        <v>5418</v>
      </c>
      <c r="C96" s="2911" t="s">
        <v>1807</v>
      </c>
      <c r="D96" s="2911" t="s">
        <v>4032</v>
      </c>
      <c r="E96" s="2911" t="s">
        <v>8280</v>
      </c>
      <c r="F96" s="2911" t="s">
        <v>2591</v>
      </c>
      <c r="G96" s="3448" t="s">
        <v>3243</v>
      </c>
      <c r="H96" s="3448" t="str">
        <f>HLOOKUP(Non_UN,'Other Translations'!$A:$L,1+translations!J96,)</f>
        <v>Tổng các hệ thống hàng năm</v>
      </c>
      <c r="J96" s="3448">
        <v>95</v>
      </c>
    </row>
    <row r="97" spans="1:10" s="3448" customFormat="1" ht="25.5">
      <c r="A97" s="3578" t="s">
        <v>1784</v>
      </c>
      <c r="B97" s="2749" t="s">
        <v>7130</v>
      </c>
      <c r="C97" s="2911" t="s">
        <v>1814</v>
      </c>
      <c r="D97" s="2911" t="s">
        <v>4033</v>
      </c>
      <c r="E97" s="2911" t="s">
        <v>8281</v>
      </c>
      <c r="F97" s="2911" t="s">
        <v>2592</v>
      </c>
      <c r="G97" s="3448" t="s">
        <v>3244</v>
      </c>
      <c r="H97" s="3448" t="str">
        <f>HLOOKUP(Non_UN,'Other Translations'!$A:$L,1+translations!J97,)</f>
        <v>3.2. Hệ thống cây trồng lâu năm (nông lâm nghiệp, vườn, cây trồng khác</v>
      </c>
      <c r="J97" s="3448">
        <v>96</v>
      </c>
    </row>
    <row r="98" spans="1:10" s="3448" customFormat="1" ht="38.25">
      <c r="A98" s="3578" t="s">
        <v>1784</v>
      </c>
      <c r="B98" s="2749" t="s">
        <v>7131</v>
      </c>
      <c r="C98" s="2911" t="s">
        <v>1815</v>
      </c>
      <c r="D98" s="2911" t="s">
        <v>4034</v>
      </c>
      <c r="E98" s="2911" t="s">
        <v>8282</v>
      </c>
      <c r="F98" s="2911" t="s">
        <v>2593</v>
      </c>
      <c r="G98" s="2911" t="s">
        <v>3245</v>
      </c>
      <c r="H98" s="3448" t="str">
        <f>HLOOKUP(Non_UN,'Other Translations'!$A:$L,1+translations!J98,)</f>
        <v>3.2.1. Hệ thống cây lâu năm từ hình thức sử dụng đất khác hoặc chuyển đổi sang hình thức sử dụng đất khác (điền đầy đủ như bước 2 ở trên)</v>
      </c>
      <c r="J98" s="3448">
        <v>97</v>
      </c>
    </row>
    <row r="99" spans="1:10" s="3448" customFormat="1">
      <c r="A99" s="3578" t="s">
        <v>1784</v>
      </c>
      <c r="B99" s="2911" t="s">
        <v>1400</v>
      </c>
      <c r="C99" s="2911" t="s">
        <v>1802</v>
      </c>
      <c r="D99" s="2911" t="s">
        <v>4035</v>
      </c>
      <c r="E99" s="2911" t="s">
        <v>8283</v>
      </c>
      <c r="F99" s="2911" t="s">
        <v>2594</v>
      </c>
      <c r="G99" s="3448" t="s">
        <v>3246</v>
      </c>
      <c r="H99" s="3448" t="str">
        <f>HLOOKUP(Non_UN,'Other Translations'!$A:$L,1+translations!J99,)</f>
        <v>Cây trồng lâu năm sau khi phá rừng</v>
      </c>
      <c r="J99" s="3448">
        <v>98</v>
      </c>
    </row>
    <row r="100" spans="1:10" s="3448" customFormat="1">
      <c r="A100" s="3578" t="s">
        <v>1784</v>
      </c>
      <c r="B100" s="2911" t="s">
        <v>1149</v>
      </c>
      <c r="C100" s="2911" t="s">
        <v>1803</v>
      </c>
      <c r="D100" s="2911" t="s">
        <v>4080</v>
      </c>
      <c r="E100" s="2911" t="s">
        <v>8275</v>
      </c>
      <c r="F100" s="2911" t="s">
        <v>3100</v>
      </c>
      <c r="G100" s="3448" t="s">
        <v>3247</v>
      </c>
      <c r="H100" s="3448" t="str">
        <f>HLOOKUP(Non_UN,'Other Translations'!$A:$L,1+translations!J100,)</f>
        <v>Chuyển đổi sang trồng rừng/tái sinh rừng</v>
      </c>
      <c r="J100" s="3448">
        <v>99</v>
      </c>
    </row>
    <row r="101" spans="1:10" s="3448" customFormat="1">
      <c r="A101" s="3578" t="s">
        <v>1784</v>
      </c>
      <c r="B101" s="2911" t="s">
        <v>1401</v>
      </c>
      <c r="C101" s="2911" t="s">
        <v>1804</v>
      </c>
      <c r="D101" s="2911" t="s">
        <v>4036</v>
      </c>
      <c r="E101" s="2911" t="s">
        <v>8284</v>
      </c>
      <c r="F101" s="2911" t="s">
        <v>2595</v>
      </c>
      <c r="G101" s="3448" t="s">
        <v>3248</v>
      </c>
      <c r="H101" s="3448" t="str">
        <f>HLOOKUP(Non_UN,'Other Translations'!$A:$L,1+translations!J101,)</f>
        <v>Cây lâu năm sau sử dụng đất không có rừng</v>
      </c>
      <c r="J101" s="3448">
        <v>100</v>
      </c>
    </row>
    <row r="102" spans="1:10" s="3448" customFormat="1">
      <c r="A102" s="3578" t="s">
        <v>1784</v>
      </c>
      <c r="B102" s="2911" t="s">
        <v>1224</v>
      </c>
      <c r="C102" s="2911" t="s">
        <v>1805</v>
      </c>
      <c r="D102" s="2911" t="s">
        <v>4082</v>
      </c>
      <c r="E102" s="2911" t="s">
        <v>8277</v>
      </c>
      <c r="F102" s="2911" t="s">
        <v>7593</v>
      </c>
      <c r="G102" s="3448" t="s">
        <v>3249</v>
      </c>
      <c r="H102" s="3448" t="str">
        <f>HLOOKUP(Non_UN,'Other Translations'!$A:$L,1+translations!J102,)</f>
        <v>Chuyển đổi sang các hình thức sử dụng đất khác</v>
      </c>
      <c r="J102" s="3448">
        <v>101</v>
      </c>
    </row>
    <row r="103" spans="1:10" s="3448" customFormat="1">
      <c r="A103" s="3578" t="s">
        <v>1784</v>
      </c>
      <c r="B103" s="2749" t="s">
        <v>5419</v>
      </c>
      <c r="C103" s="2911" t="s">
        <v>1816</v>
      </c>
      <c r="D103" s="2911" t="s">
        <v>4490</v>
      </c>
      <c r="E103" s="2911" t="s">
        <v>8285</v>
      </c>
      <c r="F103" s="2911" t="s">
        <v>2597</v>
      </c>
      <c r="G103" s="3448" t="s">
        <v>3250</v>
      </c>
      <c r="H103" s="3448" t="str">
        <f>HLOOKUP(Non_UN,'Other Translations'!$A:$L,1+translations!J103,)</f>
        <v>Tổng các hệ thống cây lâu năm</v>
      </c>
      <c r="J103" s="3448">
        <v>102</v>
      </c>
    </row>
    <row r="104" spans="1:10" s="3448" customFormat="1" ht="38.25">
      <c r="A104" s="3578" t="s">
        <v>1784</v>
      </c>
      <c r="B104" s="2749" t="s">
        <v>4829</v>
      </c>
      <c r="C104" s="2749" t="s">
        <v>1817</v>
      </c>
      <c r="D104" s="2911" t="s">
        <v>4037</v>
      </c>
      <c r="E104" s="2911" t="s">
        <v>8286</v>
      </c>
      <c r="F104" s="2911" t="s">
        <v>2598</v>
      </c>
      <c r="G104" s="3603" t="s">
        <v>3251</v>
      </c>
      <c r="H104" s="3448" t="str">
        <f>HLOOKUP(Non_UN,'Other Translations'!$A:$L,1+translations!J104,)</f>
        <v>3.2.2. Các hệ thống cây lâu năm còn lại (tổng diện tích không thay đổi)</v>
      </c>
      <c r="J104" s="3448">
        <v>103</v>
      </c>
    </row>
    <row r="105" spans="1:10" s="3448" customFormat="1">
      <c r="A105" s="3578" t="s">
        <v>1784</v>
      </c>
      <c r="B105" s="2749" t="s">
        <v>7594</v>
      </c>
      <c r="C105" s="2911" t="s">
        <v>1818</v>
      </c>
      <c r="D105" s="2911" t="s">
        <v>4038</v>
      </c>
      <c r="E105" s="2911" t="s">
        <v>8287</v>
      </c>
      <c r="F105" s="2911" t="s">
        <v>2599</v>
      </c>
      <c r="G105" s="3448" t="s">
        <v>3252</v>
      </c>
      <c r="H105" s="3448" t="str">
        <f>HLOOKUP(Non_UN,'Other Translations'!$A:$L,1+translations!J105,)</f>
        <v>3.3. Các hệ thống lúa ngập nước</v>
      </c>
      <c r="J105" s="3448">
        <v>104</v>
      </c>
    </row>
    <row r="106" spans="1:10" s="3448" customFormat="1" ht="38.25">
      <c r="A106" s="3578" t="s">
        <v>1784</v>
      </c>
      <c r="B106" s="2749" t="s">
        <v>7595</v>
      </c>
      <c r="C106" s="2911" t="s">
        <v>1819</v>
      </c>
      <c r="D106" s="2911" t="s">
        <v>4039</v>
      </c>
      <c r="E106" s="2911" t="s">
        <v>8288</v>
      </c>
      <c r="F106" s="2911" t="s">
        <v>2600</v>
      </c>
      <c r="G106" s="2911" t="s">
        <v>3253</v>
      </c>
      <c r="H106" s="3448" t="str">
        <f>HLOOKUP(Non_UN,'Other Translations'!$A:$L,1+translations!J106,)</f>
        <v>3.3.1. Các hệ thống lúa ngập nước từ các loại hình sử dụng đất khác hoặc chuyển đổi sang các hình thức sử dụng đất khác (điền các thông tin như bước 2 ở trên)</v>
      </c>
      <c r="J106" s="3448">
        <v>105</v>
      </c>
    </row>
    <row r="107" spans="1:10" s="3448" customFormat="1">
      <c r="A107" s="3578" t="s">
        <v>1784</v>
      </c>
      <c r="B107" s="2911" t="s">
        <v>1788</v>
      </c>
      <c r="C107" s="2911" t="s">
        <v>1820</v>
      </c>
      <c r="D107" s="2911" t="s">
        <v>4040</v>
      </c>
      <c r="E107" s="2911" t="s">
        <v>8289</v>
      </c>
      <c r="F107" s="2911" t="s">
        <v>2601</v>
      </c>
      <c r="G107" s="3448" t="s">
        <v>3254</v>
      </c>
      <c r="H107" s="3448" t="str">
        <f>HLOOKUP(Non_UN,'Other Translations'!$A:$L,1+translations!J107,)</f>
        <v>Chu kỳ canh tác (ngày)</v>
      </c>
      <c r="J107" s="3448">
        <v>106</v>
      </c>
    </row>
    <row r="108" spans="1:10" s="3448" customFormat="1">
      <c r="A108" s="3578" t="s">
        <v>1784</v>
      </c>
      <c r="B108" s="2749" t="s">
        <v>617</v>
      </c>
      <c r="C108" s="2911" t="s">
        <v>1632</v>
      </c>
      <c r="D108" s="2911" t="s">
        <v>4041</v>
      </c>
      <c r="E108" s="2911" t="s">
        <v>8268</v>
      </c>
      <c r="F108" s="2911" t="s">
        <v>2602</v>
      </c>
      <c r="G108" s="3448" t="s">
        <v>3255</v>
      </c>
      <c r="H108" s="3448" t="str">
        <f>HLOOKUP(Non_UN,'Other Translations'!$A:$L,1+translations!J108,)</f>
        <v xml:space="preserve">Chế độ nước </v>
      </c>
      <c r="J108" s="3448">
        <v>107</v>
      </c>
    </row>
    <row r="109" spans="1:10" s="3448" customFormat="1">
      <c r="A109" s="3578" t="s">
        <v>1784</v>
      </c>
      <c r="B109" s="2749" t="s">
        <v>5405</v>
      </c>
      <c r="C109" s="2911" t="s">
        <v>1821</v>
      </c>
      <c r="D109" s="2911" t="s">
        <v>4042</v>
      </c>
      <c r="E109" s="2911" t="s">
        <v>8290</v>
      </c>
      <c r="F109" s="2911" t="s">
        <v>2603</v>
      </c>
      <c r="G109" s="3448" t="s">
        <v>3256</v>
      </c>
      <c r="H109" s="3448" t="str">
        <f>HLOOKUP(Non_UN,'Other Translations'!$A:$L,1+translations!J109,)</f>
        <v>Trong chu kỳ canh tác</v>
      </c>
      <c r="J109" s="3448">
        <v>108</v>
      </c>
    </row>
    <row r="110" spans="1:10" s="3448" customFormat="1">
      <c r="A110" s="3578" t="s">
        <v>1784</v>
      </c>
      <c r="B110" s="2911" t="s">
        <v>623</v>
      </c>
      <c r="C110" s="2911" t="s">
        <v>1822</v>
      </c>
      <c r="D110" s="2911" t="s">
        <v>4043</v>
      </c>
      <c r="E110" s="2911" t="s">
        <v>8291</v>
      </c>
      <c r="F110" s="2911" t="s">
        <v>2604</v>
      </c>
      <c r="G110" s="3448" t="s">
        <v>3257</v>
      </c>
      <c r="H110" s="3448" t="str">
        <f>HLOOKUP(Non_UN,'Other Translations'!$A:$L,1+translations!J110,)</f>
        <v>Trước chu kỳ canh tác</v>
      </c>
      <c r="J110" s="3448">
        <v>109</v>
      </c>
    </row>
    <row r="111" spans="1:10" s="3448" customFormat="1">
      <c r="A111" s="3578" t="s">
        <v>1784</v>
      </c>
      <c r="B111" s="2749" t="s">
        <v>5404</v>
      </c>
      <c r="C111" s="2911" t="s">
        <v>1823</v>
      </c>
      <c r="D111" s="2911" t="s">
        <v>4044</v>
      </c>
      <c r="E111" s="2911" t="s">
        <v>8292</v>
      </c>
      <c r="F111" s="2911" t="s">
        <v>2605</v>
      </c>
      <c r="G111" s="3448" t="s">
        <v>3258</v>
      </c>
      <c r="H111" s="3448" t="str">
        <f>HLOOKUP(Non_UN,'Other Translations'!$A:$L,1+translations!J111,)</f>
        <v>Dạng chất độn hữu cơ (rơm rạ hoặc loại khác)</v>
      </c>
      <c r="J111" s="3448">
        <v>110</v>
      </c>
    </row>
    <row r="112" spans="1:10" s="3448" customFormat="1" ht="38.25">
      <c r="A112" s="3578" t="s">
        <v>1784</v>
      </c>
      <c r="B112" s="2749" t="s">
        <v>7596</v>
      </c>
      <c r="C112" s="2911" t="s">
        <v>1824</v>
      </c>
      <c r="D112" s="2911" t="s">
        <v>4045</v>
      </c>
      <c r="E112" s="2911" t="s">
        <v>8293</v>
      </c>
      <c r="F112" s="2911" t="s">
        <v>2606</v>
      </c>
      <c r="G112" s="3448" t="s">
        <v>3259</v>
      </c>
      <c r="H112" s="3448" t="str">
        <f>HLOOKUP(Non_UN,'Other Translations'!$A:$L,1+translations!J112,)</f>
        <v>3.2.2. Hệ thống lúa ngập nước còn lại (tổng diện tích không đổi)</v>
      </c>
      <c r="J112" s="3448">
        <v>111</v>
      </c>
    </row>
    <row r="113" spans="1:10" s="3448" customFormat="1">
      <c r="A113" s="3578" t="s">
        <v>1784</v>
      </c>
      <c r="B113" s="2749" t="s">
        <v>5420</v>
      </c>
      <c r="C113" s="2911" t="s">
        <v>1825</v>
      </c>
      <c r="D113" s="2911" t="s">
        <v>4046</v>
      </c>
      <c r="E113" s="2911" t="s">
        <v>8294</v>
      </c>
      <c r="F113" s="2911" t="s">
        <v>2607</v>
      </c>
      <c r="G113" s="3448" t="s">
        <v>3260</v>
      </c>
      <c r="H113" s="3448" t="str">
        <f>HLOOKUP(Non_UN,'Other Translations'!$A:$L,1+translations!J113,)</f>
        <v>Tổng các hệ thống ngập nước</v>
      </c>
      <c r="J113" s="3448">
        <v>112</v>
      </c>
    </row>
    <row r="114" spans="1:10" s="3448" customFormat="1">
      <c r="A114" s="3578" t="s">
        <v>1784</v>
      </c>
      <c r="B114" s="2911" t="s">
        <v>1402</v>
      </c>
      <c r="C114" s="2911" t="s">
        <v>1827</v>
      </c>
      <c r="D114" s="2911" t="s">
        <v>4047</v>
      </c>
      <c r="E114" s="2911" t="s">
        <v>8295</v>
      </c>
      <c r="F114" s="2911" t="s">
        <v>2608</v>
      </c>
      <c r="G114" s="3448" t="s">
        <v>3261</v>
      </c>
      <c r="H114" s="3448" t="str">
        <f>HLOOKUP(Non_UN,'Other Translations'!$A:$L,1+translations!J114,)</f>
        <v>Lúa sau khi phá rừng</v>
      </c>
      <c r="J114" s="3448">
        <v>113</v>
      </c>
    </row>
    <row r="115" spans="1:10" s="3448" customFormat="1">
      <c r="A115" s="3578" t="s">
        <v>1784</v>
      </c>
      <c r="B115" s="2911" t="s">
        <v>1149</v>
      </c>
      <c r="C115" s="2911" t="s">
        <v>1828</v>
      </c>
      <c r="D115" s="2911" t="s">
        <v>4080</v>
      </c>
      <c r="E115" s="2911" t="s">
        <v>8275</v>
      </c>
      <c r="F115" s="2911" t="s">
        <v>3100</v>
      </c>
      <c r="G115" s="3448" t="s">
        <v>3238</v>
      </c>
      <c r="H115" s="3448" t="str">
        <f>HLOOKUP(Non_UN,'Other Translations'!$A:$L,1+translations!J115,)</f>
        <v>Chuyển đổi sang trồng rừng và tái sinh rừng</v>
      </c>
      <c r="J115" s="3448">
        <v>114</v>
      </c>
    </row>
    <row r="116" spans="1:10" s="3448" customFormat="1">
      <c r="A116" s="3578" t="s">
        <v>1784</v>
      </c>
      <c r="B116" s="2911" t="s">
        <v>1403</v>
      </c>
      <c r="C116" s="2911" t="s">
        <v>1829</v>
      </c>
      <c r="D116" s="2911" t="s">
        <v>4048</v>
      </c>
      <c r="E116" s="2911" t="s">
        <v>8296</v>
      </c>
      <c r="F116" s="2911" t="s">
        <v>2609</v>
      </c>
      <c r="G116" s="3448" t="s">
        <v>3262</v>
      </c>
      <c r="H116" s="3448" t="str">
        <f>HLOOKUP(Non_UN,'Other Translations'!$A:$L,1+translations!J116,)</f>
        <v>Lúa sau sử dụng đất không rừng</v>
      </c>
      <c r="J116" s="3448">
        <v>115</v>
      </c>
    </row>
    <row r="117" spans="1:10" s="3448" customFormat="1">
      <c r="A117" s="3578" t="s">
        <v>1784</v>
      </c>
      <c r="B117" s="2911" t="s">
        <v>1224</v>
      </c>
      <c r="C117" s="2911" t="s">
        <v>1830</v>
      </c>
      <c r="D117" s="2911" t="s">
        <v>4082</v>
      </c>
      <c r="E117" s="2911" t="s">
        <v>8277</v>
      </c>
      <c r="F117" s="2911" t="s">
        <v>7593</v>
      </c>
      <c r="G117" s="3448" t="s">
        <v>3240</v>
      </c>
      <c r="H117" s="3448" t="str">
        <f>HLOOKUP(Non_UN,'Other Translations'!$A:$L,1+translations!J117,)</f>
        <v>Chuyển đổi sang các hình thức sử dụng đất khác</v>
      </c>
      <c r="J117" s="3448">
        <v>116</v>
      </c>
    </row>
    <row r="118" spans="1:10" s="3448" customFormat="1">
      <c r="A118" s="3578" t="s">
        <v>1784</v>
      </c>
      <c r="B118" s="2911" t="s">
        <v>1516</v>
      </c>
      <c r="C118" s="2911" t="s">
        <v>1826</v>
      </c>
      <c r="D118" s="2911" t="s">
        <v>3839</v>
      </c>
      <c r="E118" s="2911" t="s">
        <v>8297</v>
      </c>
      <c r="F118" s="2911" t="s">
        <v>2610</v>
      </c>
      <c r="G118" s="3448" t="s">
        <v>3263</v>
      </c>
      <c r="H118" s="3448" t="str">
        <f>HLOOKUP(Non_UN,'Other Translations'!$A:$L,1+translations!J118,)</f>
        <v>Các hệ thống</v>
      </c>
      <c r="J118" s="3448">
        <v>117</v>
      </c>
    </row>
    <row r="119" spans="1:10" s="3448" customFormat="1">
      <c r="A119" s="3578" t="s">
        <v>1784</v>
      </c>
      <c r="B119" s="2911" t="s">
        <v>1515</v>
      </c>
      <c r="C119" s="2911" t="s">
        <v>1831</v>
      </c>
      <c r="D119" s="2911" t="s">
        <v>4049</v>
      </c>
      <c r="E119" s="2911" t="s">
        <v>8298</v>
      </c>
      <c r="F119" s="2911" t="s">
        <v>2611</v>
      </c>
      <c r="G119" s="3448" t="s">
        <v>3264</v>
      </c>
      <c r="H119" s="3448" t="str">
        <f>HLOOKUP(Non_UN,'Other Translations'!$A:$L,1+translations!J119,)</f>
        <v>Tốc độ hấp thụ C</v>
      </c>
      <c r="J119" s="3448">
        <v>118</v>
      </c>
    </row>
    <row r="120" spans="1:10" s="3448" customFormat="1">
      <c r="A120" s="3578" t="s">
        <v>1784</v>
      </c>
      <c r="B120" s="2911" t="s">
        <v>7597</v>
      </c>
      <c r="C120" s="2911" t="s">
        <v>1832</v>
      </c>
      <c r="D120" s="2911" t="s">
        <v>7598</v>
      </c>
      <c r="E120" s="2911" t="s">
        <v>8299</v>
      </c>
      <c r="F120" s="2911" t="s">
        <v>7599</v>
      </c>
      <c r="G120" s="3448" t="s">
        <v>7600</v>
      </c>
      <c r="H120" s="3448" t="str">
        <f>HLOOKUP(Non_UN,'Other Translations'!$A:$L,1+translations!J120,)</f>
        <v>Tàn dư thực vật có để đốt</v>
      </c>
      <c r="J120" s="3448">
        <v>119</v>
      </c>
    </row>
    <row r="121" spans="1:10" s="3448" customFormat="1">
      <c r="A121" s="3578" t="s">
        <v>1784</v>
      </c>
      <c r="B121" s="2911" t="s">
        <v>1789</v>
      </c>
      <c r="C121" s="2911" t="s">
        <v>1833</v>
      </c>
      <c r="D121" s="2911" t="s">
        <v>4050</v>
      </c>
      <c r="E121" s="2911" t="s">
        <v>3797</v>
      </c>
      <c r="F121" s="2911" t="s">
        <v>3101</v>
      </c>
      <c r="G121" s="3448" t="s">
        <v>3265</v>
      </c>
      <c r="H121" s="3448" t="str">
        <f>HLOOKUP(Non_UN,'Other Translations'!$A:$L,1+translations!J121,)</f>
        <v xml:space="preserve"> (t CO2/ha/năm)</v>
      </c>
      <c r="J121" s="3448">
        <v>120</v>
      </c>
    </row>
    <row r="122" spans="1:10" s="3448" customFormat="1">
      <c r="A122" s="3578" t="s">
        <v>1784</v>
      </c>
      <c r="B122" s="2911" t="s">
        <v>7601</v>
      </c>
      <c r="C122" s="2911" t="s">
        <v>1834</v>
      </c>
      <c r="D122" s="2911" t="s">
        <v>3843</v>
      </c>
      <c r="E122" s="2911" t="s">
        <v>3798</v>
      </c>
      <c r="F122" s="2911" t="s">
        <v>3102</v>
      </c>
      <c r="G122" s="3448" t="s">
        <v>3266</v>
      </c>
      <c r="H122" s="3448" t="str">
        <f>HLOOKUP(Non_UN,'Other Translations'!$A:$L,1+translations!J122,)</f>
        <v>(tấn chất khô/ha)</v>
      </c>
      <c r="J122" s="3448">
        <v>121</v>
      </c>
    </row>
    <row r="123" spans="1:10" s="3448" customFormat="1" ht="25.5">
      <c r="A123" s="3578" t="s">
        <v>1784</v>
      </c>
      <c r="B123" s="2749" t="s">
        <v>3845</v>
      </c>
      <c r="C123" s="2749" t="s">
        <v>3846</v>
      </c>
      <c r="D123" s="2911" t="s">
        <v>4491</v>
      </c>
      <c r="E123" s="2911" t="s">
        <v>8300</v>
      </c>
      <c r="F123" s="2911" t="s">
        <v>2612</v>
      </c>
      <c r="G123" s="3448" t="s">
        <v>3267</v>
      </c>
      <c r="H123" s="3448" t="str">
        <f>HLOOKUP(Non_UN,'Other Translations'!$A:$L,1+translations!J123,)</f>
        <v>Hệ thống hàng năm từ (hoặc đến) các hình thức sử dụng đất khác</v>
      </c>
      <c r="J123" s="3448">
        <v>122</v>
      </c>
    </row>
    <row r="124" spans="1:10" s="3448" customFormat="1" ht="25.5">
      <c r="A124" s="3578" t="s">
        <v>1784</v>
      </c>
      <c r="B124" s="2911" t="s">
        <v>1514</v>
      </c>
      <c r="C124" s="2911" t="s">
        <v>1840</v>
      </c>
      <c r="D124" s="2911" t="s">
        <v>4051</v>
      </c>
      <c r="E124" s="2911" t="s">
        <v>8301</v>
      </c>
      <c r="F124" s="2911" t="s">
        <v>2613</v>
      </c>
      <c r="G124" s="3448" t="s">
        <v>3268</v>
      </c>
      <c r="H124" s="3448" t="str">
        <f>HLOOKUP(Non_UN,'Other Translations'!$A:$L,1+translations!J124,)</f>
        <v xml:space="preserve">Các hệ thống hàng năm còn lại </v>
      </c>
      <c r="J124" s="3448">
        <v>123</v>
      </c>
    </row>
    <row r="125" spans="1:10" s="3448" customFormat="1">
      <c r="A125" s="3578" t="s">
        <v>1784</v>
      </c>
      <c r="B125" s="2911" t="s">
        <v>1519</v>
      </c>
      <c r="C125" s="2911" t="s">
        <v>1835</v>
      </c>
      <c r="D125" s="2911" t="s">
        <v>4052</v>
      </c>
      <c r="E125" s="2911" t="s">
        <v>3799</v>
      </c>
      <c r="F125" s="2911" t="s">
        <v>2614</v>
      </c>
      <c r="G125" s="3448" t="s">
        <v>3269</v>
      </c>
      <c r="H125" s="3448" t="str">
        <f>HLOOKUP(Non_UN,'Other Translations'!$A:$L,1+translations!J125,)</f>
        <v>Tốc độ tăng trường (t C/ha/năm)</v>
      </c>
      <c r="J125" s="3448">
        <v>124</v>
      </c>
    </row>
    <row r="126" spans="1:10" s="3448" customFormat="1">
      <c r="A126" s="3578" t="s">
        <v>1784</v>
      </c>
      <c r="B126" s="2749" t="s">
        <v>5411</v>
      </c>
      <c r="C126" s="2911" t="s">
        <v>1836</v>
      </c>
      <c r="D126" s="2911" t="s">
        <v>4053</v>
      </c>
      <c r="E126" s="2911" t="s">
        <v>8302</v>
      </c>
      <c r="F126" s="2911" t="s">
        <v>2615</v>
      </c>
      <c r="G126" s="3448" t="s">
        <v>3270</v>
      </c>
      <c r="H126" s="3448" t="str">
        <f>HLOOKUP(Non_UN,'Other Translations'!$A:$L,1+translations!J126,)</f>
        <v>Đốt (số lượng chất thải trồng trọt và chu kỳ đốt)</v>
      </c>
      <c r="J126" s="3448">
        <v>125</v>
      </c>
    </row>
    <row r="127" spans="1:10" s="3448" customFormat="1">
      <c r="A127" s="3578" t="s">
        <v>1784</v>
      </c>
      <c r="B127" s="2911" t="s">
        <v>1837</v>
      </c>
      <c r="C127" s="2911" t="s">
        <v>1838</v>
      </c>
      <c r="D127" s="2911" t="s">
        <v>4054</v>
      </c>
      <c r="E127" s="2911" t="s">
        <v>8303</v>
      </c>
      <c r="F127" s="2911" t="s">
        <v>3103</v>
      </c>
      <c r="G127" s="3448" t="s">
        <v>3271</v>
      </c>
      <c r="H127" s="3448" t="str">
        <f>HLOOKUP(Non_UN,'Other Translations'!$A:$L,1+translations!J127,)</f>
        <v>Chu kỳ (năm)</v>
      </c>
      <c r="J127" s="3448">
        <v>126</v>
      </c>
    </row>
    <row r="128" spans="1:10" s="3448" customFormat="1" ht="25.5">
      <c r="A128" s="3578" t="s">
        <v>1784</v>
      </c>
      <c r="B128" s="2749" t="s">
        <v>3847</v>
      </c>
      <c r="C128" s="2749" t="s">
        <v>3849</v>
      </c>
      <c r="D128" s="2911" t="s">
        <v>4492</v>
      </c>
      <c r="E128" s="2911" t="s">
        <v>8304</v>
      </c>
      <c r="F128" s="2911" t="s">
        <v>2616</v>
      </c>
      <c r="G128" s="3448" t="s">
        <v>3272</v>
      </c>
      <c r="H128" s="3448" t="str">
        <f>HLOOKUP(Non_UN,'Other Translations'!$A:$L,1+translations!J128,)</f>
        <v>Hệ thống cây lâu năm từ (hoặc đến) các hình thức sử dụng đất khác</v>
      </c>
      <c r="J128" s="3448">
        <v>127</v>
      </c>
    </row>
    <row r="129" spans="1:10" s="3448" customFormat="1" ht="25.5">
      <c r="A129" s="3578" t="s">
        <v>1784</v>
      </c>
      <c r="B129" s="2911" t="s">
        <v>1520</v>
      </c>
      <c r="C129" s="2911" t="s">
        <v>1839</v>
      </c>
      <c r="D129" s="2911" t="s">
        <v>4055</v>
      </c>
      <c r="E129" s="2911" t="s">
        <v>8305</v>
      </c>
      <c r="F129" s="2911" t="s">
        <v>2617</v>
      </c>
      <c r="G129" s="3448" t="s">
        <v>3273</v>
      </c>
      <c r="H129" s="3448" t="str">
        <f>HLOOKUP(Non_UN,'Other Translations'!$A:$L,1+translations!J129,)</f>
        <v>Hệ thống cây lâu năm còn lại</v>
      </c>
      <c r="J129" s="3448">
        <v>128</v>
      </c>
    </row>
    <row r="130" spans="1:10" s="3448" customFormat="1">
      <c r="A130" s="3578" t="s">
        <v>1784</v>
      </c>
      <c r="B130" s="2911" t="s">
        <v>1532</v>
      </c>
      <c r="C130" s="2911" t="s">
        <v>1841</v>
      </c>
      <c r="D130" s="2911" t="s">
        <v>4056</v>
      </c>
      <c r="E130" s="2911" t="s">
        <v>8306</v>
      </c>
      <c r="F130" s="2911" t="s">
        <v>2618</v>
      </c>
      <c r="G130" s="3448" t="s">
        <v>3274</v>
      </c>
      <c r="H130" s="3448" t="str">
        <f>HLOOKUP(Non_UN,'Other Translations'!$A:$L,1+translations!J130,)</f>
        <v>Số lượng rơm rạ bị đốt</v>
      </c>
      <c r="J130" s="3448">
        <v>129</v>
      </c>
    </row>
    <row r="131" spans="1:10" s="3448" customFormat="1" ht="25.5">
      <c r="A131" s="3578" t="s">
        <v>1784</v>
      </c>
      <c r="B131" s="2749" t="s">
        <v>3848</v>
      </c>
      <c r="C131" s="2749" t="s">
        <v>3850</v>
      </c>
      <c r="D131" s="2911" t="s">
        <v>4493</v>
      </c>
      <c r="E131" s="2911" t="s">
        <v>8307</v>
      </c>
      <c r="F131" s="2911" t="s">
        <v>2619</v>
      </c>
      <c r="G131" s="3448" t="s">
        <v>3275</v>
      </c>
      <c r="H131" s="3448" t="str">
        <f>HLOOKUP(Non_UN,'Other Translations'!$A:$L,1+translations!J131,)</f>
        <v>Hệ thống lúa từ (hoặc đến) hình thức sử dụng khác</v>
      </c>
      <c r="J131" s="3448">
        <v>130</v>
      </c>
    </row>
    <row r="132" spans="1:10" s="3448" customFormat="1" ht="25.5">
      <c r="A132" s="3578" t="s">
        <v>1784</v>
      </c>
      <c r="B132" s="2911" t="s">
        <v>1531</v>
      </c>
      <c r="C132" s="2911" t="s">
        <v>1842</v>
      </c>
      <c r="D132" s="2911" t="s">
        <v>4057</v>
      </c>
      <c r="E132" s="2911" t="s">
        <v>8308</v>
      </c>
      <c r="F132" s="2911" t="s">
        <v>3104</v>
      </c>
      <c r="G132" s="3448" t="s">
        <v>3276</v>
      </c>
      <c r="H132" s="3448" t="str">
        <f>HLOOKUP(Non_UN,'Other Translations'!$A:$L,1+translations!J132,)</f>
        <v>Hệ thống lúa còn lại</v>
      </c>
      <c r="J132" s="3448">
        <v>131</v>
      </c>
    </row>
    <row r="133" spans="1:10" s="3448" customFormat="1" ht="38.25">
      <c r="A133" s="3578" t="s">
        <v>1784</v>
      </c>
      <c r="B133" s="2911" t="s">
        <v>1790</v>
      </c>
      <c r="C133" s="2911" t="s">
        <v>1843</v>
      </c>
      <c r="D133" s="2911" t="s">
        <v>4058</v>
      </c>
      <c r="E133" s="2911" t="s">
        <v>8309</v>
      </c>
      <c r="F133" s="2911" t="s">
        <v>2620</v>
      </c>
      <c r="G133" s="3448" t="s">
        <v>3277</v>
      </c>
      <c r="H133" s="3448" t="str">
        <f>HLOOKUP(Non_UN,'Other Translations'!$A:$L,1+translations!J133,)</f>
        <v>Chế độ tưới ưu tiên cho canh tác lúa (trình bày lược  đồ chỉ rõ thời gian ngập lụt như bóng mờ)</v>
      </c>
      <c r="J133" s="3448">
        <v>132</v>
      </c>
    </row>
    <row r="134" spans="1:10" s="3448" customFormat="1">
      <c r="A134" s="3578" t="s">
        <v>1784</v>
      </c>
      <c r="B134" s="2911" t="s">
        <v>1791</v>
      </c>
      <c r="C134" s="2911" t="s">
        <v>1844</v>
      </c>
      <c r="D134" s="2911" t="s">
        <v>4059</v>
      </c>
      <c r="E134" s="2911" t="s">
        <v>8310</v>
      </c>
      <c r="F134" s="2911" t="s">
        <v>2621</v>
      </c>
      <c r="G134" s="3448" t="s">
        <v>3278</v>
      </c>
      <c r="H134" s="3448" t="str">
        <f>HLOOKUP(Non_UN,'Other Translations'!$A:$L,1+translations!J134,)</f>
        <v>Không ngập lụt trước mùa &lt;180 ngày</v>
      </c>
      <c r="J134" s="3448">
        <v>133</v>
      </c>
    </row>
    <row r="135" spans="1:10" s="3448" customFormat="1">
      <c r="A135" s="3578" t="s">
        <v>1784</v>
      </c>
      <c r="B135" s="2911" t="s">
        <v>1792</v>
      </c>
      <c r="C135" s="2911" t="s">
        <v>1845</v>
      </c>
      <c r="D135" s="2911" t="s">
        <v>4060</v>
      </c>
      <c r="E135" s="2911" t="s">
        <v>8311</v>
      </c>
      <c r="F135" s="2911" t="s">
        <v>2622</v>
      </c>
      <c r="G135" s="3448" t="s">
        <v>3279</v>
      </c>
      <c r="H135" s="3448" t="str">
        <f>HLOOKUP(Non_UN,'Other Translations'!$A:$L,1+translations!J135,)</f>
        <v>Không ngập lụt trước mùa &gt;180 ngày</v>
      </c>
      <c r="J135" s="3448">
        <v>134</v>
      </c>
    </row>
    <row r="136" spans="1:10" s="3448" customFormat="1">
      <c r="A136" s="3578" t="s">
        <v>1784</v>
      </c>
      <c r="B136" s="2911" t="s">
        <v>1793</v>
      </c>
      <c r="C136" s="2911" t="s">
        <v>1846</v>
      </c>
      <c r="D136" s="2911" t="s">
        <v>4061</v>
      </c>
      <c r="E136" s="2911" t="s">
        <v>8312</v>
      </c>
      <c r="F136" s="2911" t="s">
        <v>2623</v>
      </c>
      <c r="G136" s="3448" t="s">
        <v>3280</v>
      </c>
      <c r="H136" s="3448" t="str">
        <f>HLOOKUP(Non_UN,'Other Translations'!$A:$L,1+translations!J136,)</f>
        <v>Ngập lụt trước mùa (&gt;30 ngày)</v>
      </c>
      <c r="J136" s="3448">
        <v>135</v>
      </c>
    </row>
    <row r="137" spans="1:10" s="3448" customFormat="1">
      <c r="A137" s="3578" t="s">
        <v>1784</v>
      </c>
      <c r="B137" s="3448" t="s">
        <v>1813</v>
      </c>
      <c r="C137" s="2911" t="s">
        <v>1808</v>
      </c>
      <c r="D137" s="2911" t="s">
        <v>4062</v>
      </c>
      <c r="E137" s="2911" t="s">
        <v>8313</v>
      </c>
      <c r="F137" s="2911" t="s">
        <v>2624</v>
      </c>
      <c r="G137" s="3448" t="s">
        <v>3281</v>
      </c>
      <c r="H137" s="3448" t="str">
        <f>HLOOKUP(Non_UN,'Other Translations'!$A:$L,1+translations!J137,)</f>
        <v xml:space="preserve">Các lựa chọn quản lý </v>
      </c>
      <c r="J137" s="3448">
        <v>136</v>
      </c>
    </row>
    <row r="138" spans="1:10" s="3448" customFormat="1">
      <c r="A138" s="3578" t="s">
        <v>1784</v>
      </c>
      <c r="B138" s="2911" t="s">
        <v>1485</v>
      </c>
      <c r="C138" s="2911" t="s">
        <v>1812</v>
      </c>
      <c r="D138" s="2911" t="s">
        <v>4063</v>
      </c>
      <c r="E138" s="2911" t="s">
        <v>8314</v>
      </c>
      <c r="F138" s="2911" t="s">
        <v>2625</v>
      </c>
      <c r="G138" s="3448" t="s">
        <v>3282</v>
      </c>
      <c r="H138" s="3448" t="str">
        <f>HLOOKUP(Non_UN,'Other Translations'!$A:$L,1+translations!J138,)</f>
        <v>(t/ha/năm)</v>
      </c>
      <c r="J138" s="3448">
        <v>137</v>
      </c>
    </row>
    <row r="139" spans="1:10" s="3448" customFormat="1">
      <c r="A139" s="3578" t="s">
        <v>1784</v>
      </c>
      <c r="B139" s="2911" t="s">
        <v>2077</v>
      </c>
      <c r="C139" s="2911" t="s">
        <v>2078</v>
      </c>
      <c r="D139" s="2911" t="s">
        <v>4064</v>
      </c>
      <c r="E139" s="2911" t="s">
        <v>8315</v>
      </c>
      <c r="F139" s="2911" t="s">
        <v>2626</v>
      </c>
      <c r="G139" s="3448" t="s">
        <v>3283</v>
      </c>
      <c r="H139" s="3448" t="str">
        <f>HLOOKUP(Non_UN,'Other Translations'!$A:$L,1+translations!J139,)</f>
        <v>Các khái niệm of các lựa chọn quản lý đất</v>
      </c>
      <c r="J139" s="3448">
        <v>138</v>
      </c>
    </row>
    <row r="140" spans="1:10" s="3448" customFormat="1" ht="38.25">
      <c r="A140" s="3578" t="s">
        <v>1784</v>
      </c>
      <c r="B140" s="2911" t="s">
        <v>2079</v>
      </c>
      <c r="C140" s="2749" t="s">
        <v>2083</v>
      </c>
      <c r="D140" s="2911" t="s">
        <v>4065</v>
      </c>
      <c r="E140" s="2911" t="s">
        <v>8316</v>
      </c>
      <c r="F140" s="2911" t="s">
        <v>2627</v>
      </c>
      <c r="G140" s="3448" t="s">
        <v>3284</v>
      </c>
      <c r="H140" s="3448" t="str">
        <f>HLOOKUP(Non_UN,'Other Translations'!$A:$L,1+translations!J140,)</f>
        <v>Sử dụng giống cải tiến, kéo dài thời gian luân canh và tăng phế phụ phẩm cây trồng</v>
      </c>
      <c r="J140" s="3448">
        <v>139</v>
      </c>
    </row>
    <row r="141" spans="1:10" s="3448" customFormat="1" ht="63.75">
      <c r="A141" s="3578" t="s">
        <v>1784</v>
      </c>
      <c r="B141" s="2749" t="s">
        <v>2084</v>
      </c>
      <c r="C141" s="2749" t="s">
        <v>2085</v>
      </c>
      <c r="D141" s="2911" t="s">
        <v>4066</v>
      </c>
      <c r="E141" s="2911" t="s">
        <v>8317</v>
      </c>
      <c r="F141" s="2911" t="s">
        <v>2628</v>
      </c>
      <c r="G141" s="3448" t="s">
        <v>3285</v>
      </c>
      <c r="H141" s="3448" t="str">
        <f>HLOOKUP(Non_UN,'Other Translations'!$A:$L,1+translations!J141,)</f>
        <v>Cải thiện hiệu quả sử dụng N và giảm mất N, điểu chỉnh liều lượng, tỷ lệ áp dụng, thời gian và địa điểm,..</v>
      </c>
      <c r="J141" s="3448">
        <v>140</v>
      </c>
    </row>
    <row r="142" spans="1:10" s="3448" customFormat="1" ht="38.25">
      <c r="A142" s="3578" t="s">
        <v>1784</v>
      </c>
      <c r="B142" s="2911" t="s">
        <v>2080</v>
      </c>
      <c r="C142" s="2749" t="s">
        <v>2086</v>
      </c>
      <c r="D142" s="2911" t="s">
        <v>4067</v>
      </c>
      <c r="E142" s="2911" t="s">
        <v>8318</v>
      </c>
      <c r="F142" s="2911" t="s">
        <v>2629</v>
      </c>
      <c r="G142" s="2911" t="s">
        <v>3286</v>
      </c>
      <c r="H142" s="3448" t="str">
        <f>HLOOKUP(Non_UN,'Other Translations'!$A:$L,1+translations!J142,)</f>
        <v>Giảm, hạn chế tối thiểu và không làm đất, có và không có che phủ bao gồm nông nghiệp bảo tồn</v>
      </c>
      <c r="J142" s="3448">
        <v>141</v>
      </c>
    </row>
    <row r="143" spans="1:10" s="3448" customFormat="1" ht="25.5">
      <c r="A143" s="3578" t="s">
        <v>1784</v>
      </c>
      <c r="B143" s="2911" t="s">
        <v>2081</v>
      </c>
      <c r="C143" s="2749" t="s">
        <v>2087</v>
      </c>
      <c r="D143" s="2911" t="s">
        <v>4068</v>
      </c>
      <c r="E143" s="2911" t="s">
        <v>8319</v>
      </c>
      <c r="F143" s="2911" t="s">
        <v>2630</v>
      </c>
      <c r="G143" s="3448" t="s">
        <v>3287</v>
      </c>
      <c r="H143" s="3448" t="str">
        <f>HLOOKUP(Non_UN,'Other Translations'!$A:$L,1+translations!J143,)</f>
        <v>Đo đạc hiệu quả thủy lợi</v>
      </c>
      <c r="J143" s="3448">
        <v>142</v>
      </c>
    </row>
    <row r="144" spans="1:10" s="3448" customFormat="1" ht="25.5">
      <c r="A144" s="3578" t="s">
        <v>1784</v>
      </c>
      <c r="B144" s="2911" t="s">
        <v>2082</v>
      </c>
      <c r="C144" s="2749" t="s">
        <v>2088</v>
      </c>
      <c r="D144" s="2911" t="s">
        <v>4069</v>
      </c>
      <c r="E144" s="2911" t="s">
        <v>8320</v>
      </c>
      <c r="F144" s="2911" t="s">
        <v>2631</v>
      </c>
      <c r="G144" s="3448" t="s">
        <v>3288</v>
      </c>
      <c r="H144" s="3448" t="str">
        <f>HLOOKUP(Non_UN,'Other Translations'!$A:$L,1+translations!J144,)</f>
        <v>Sử dụng phân chuồng hoặc chất thải sinh học như vật tư đầu vào</v>
      </c>
      <c r="J144" s="3448">
        <v>143</v>
      </c>
    </row>
    <row r="145" spans="1:10" s="2581" customFormat="1">
      <c r="A145" s="2581" t="s">
        <v>1638</v>
      </c>
      <c r="B145" s="2580" t="s">
        <v>1617</v>
      </c>
      <c r="C145" s="2580" t="s">
        <v>1618</v>
      </c>
      <c r="D145" s="2580" t="s">
        <v>1619</v>
      </c>
      <c r="E145" s="2580" t="str">
        <f>E1</f>
        <v>中文</v>
      </c>
      <c r="F145" s="2580" t="s">
        <v>2518</v>
      </c>
      <c r="G145" s="2581" t="s">
        <v>3166</v>
      </c>
      <c r="H145" s="2581" t="str">
        <f>Non_UN</f>
        <v>Tiếng Việt</v>
      </c>
      <c r="J145" s="2820">
        <v>144</v>
      </c>
    </row>
    <row r="146" spans="1:10" s="3448" customFormat="1">
      <c r="A146" s="3578" t="s">
        <v>1864</v>
      </c>
      <c r="B146" s="2749" t="s">
        <v>4831</v>
      </c>
      <c r="C146" s="3578" t="s">
        <v>1865</v>
      </c>
      <c r="D146" s="2911" t="s">
        <v>4070</v>
      </c>
      <c r="E146" s="2911" t="s">
        <v>8321</v>
      </c>
      <c r="F146" s="2911" t="s">
        <v>2632</v>
      </c>
      <c r="G146" s="3448" t="s">
        <v>3289</v>
      </c>
      <c r="H146" s="3448" t="str">
        <f>HLOOKUP(Non_UN,'Other Translations'!$A:$L,1+translations!J146,)</f>
        <v>4.1. Hệ thống đồng cỏ</v>
      </c>
      <c r="J146" s="3448">
        <v>145</v>
      </c>
    </row>
    <row r="147" spans="1:10" s="3448" customFormat="1" ht="38.25">
      <c r="A147" s="3578" t="s">
        <v>1864</v>
      </c>
      <c r="B147" s="2749" t="s">
        <v>5412</v>
      </c>
      <c r="C147" s="2749" t="s">
        <v>1920</v>
      </c>
      <c r="D147" s="2911" t="s">
        <v>4071</v>
      </c>
      <c r="E147" s="2911" t="s">
        <v>8322</v>
      </c>
      <c r="F147" s="2911" t="s">
        <v>2633</v>
      </c>
      <c r="G147" s="3604" t="s">
        <v>3290</v>
      </c>
      <c r="H147" s="3448" t="str">
        <f>HLOOKUP(Non_UN,'Other Translations'!$A:$L,1+translations!J147,)</f>
        <v>4.1.1. Hệ thống đồng cỏ từ hệ thống sử dụng đất khác hoặc chuyển đổi sang hình thức sử dụng đất khác (điền như bước 2 LUC ở trên)</v>
      </c>
      <c r="J147" s="3448">
        <v>146</v>
      </c>
    </row>
    <row r="148" spans="1:10" s="3448" customFormat="1" ht="25.5">
      <c r="A148" s="3578" t="s">
        <v>1864</v>
      </c>
      <c r="B148" s="2911" t="s">
        <v>4830</v>
      </c>
      <c r="C148" s="2749" t="s">
        <v>1921</v>
      </c>
      <c r="D148" s="2911" t="s">
        <v>4072</v>
      </c>
      <c r="E148" s="2911" t="s">
        <v>8323</v>
      </c>
      <c r="F148" s="2911" t="s">
        <v>2634</v>
      </c>
      <c r="G148" s="3448" t="s">
        <v>3291</v>
      </c>
      <c r="H148" s="3448" t="str">
        <f>HLOOKUP(Non_UN,'Other Translations'!$A:$L,1+translations!J148,)</f>
        <v>4.1.2. Hệ thống đồng cỏ còn lại (tổng diện tích phải không đổi)</v>
      </c>
      <c r="J148" s="3448">
        <v>147</v>
      </c>
    </row>
    <row r="149" spans="1:10" s="3448" customFormat="1">
      <c r="A149" s="3578" t="s">
        <v>1864</v>
      </c>
      <c r="B149" s="2911" t="s">
        <v>183</v>
      </c>
      <c r="C149" s="2911" t="s">
        <v>1866</v>
      </c>
      <c r="D149" s="2911" t="s">
        <v>4073</v>
      </c>
      <c r="E149" s="2911" t="s">
        <v>8324</v>
      </c>
      <c r="F149" s="2911" t="s">
        <v>2635</v>
      </c>
      <c r="G149" s="3448" t="s">
        <v>3292</v>
      </c>
      <c r="H149" s="3448" t="str">
        <f>HLOOKUP(Non_UN,'Other Translations'!$A:$L,1+translations!J149,)</f>
        <v>Tình trạng trước đó</v>
      </c>
      <c r="J149" s="3448">
        <v>148</v>
      </c>
    </row>
    <row r="150" spans="1:10" s="3448" customFormat="1">
      <c r="A150" s="3578" t="s">
        <v>1864</v>
      </c>
      <c r="B150" s="2749" t="s">
        <v>5413</v>
      </c>
      <c r="C150" s="2749" t="s">
        <v>1867</v>
      </c>
      <c r="D150" s="2911" t="s">
        <v>4074</v>
      </c>
      <c r="E150" s="2911" t="s">
        <v>8325</v>
      </c>
      <c r="F150" s="2911" t="s">
        <v>2636</v>
      </c>
      <c r="G150" s="3448" t="s">
        <v>3293</v>
      </c>
      <c r="H150" s="3448" t="str">
        <f>HLOOKUP(Non_UN,'Other Translations'!$A:$L,1+translations!J150,)</f>
        <v>Dùng lửa để quản lý?</v>
      </c>
      <c r="J150" s="3448">
        <v>149</v>
      </c>
    </row>
    <row r="151" spans="1:10" s="3448" customFormat="1">
      <c r="A151" s="3578" t="s">
        <v>1864</v>
      </c>
      <c r="B151" s="2749" t="s">
        <v>1411</v>
      </c>
      <c r="C151" s="2749" t="s">
        <v>1868</v>
      </c>
      <c r="D151" s="2911" t="s">
        <v>4075</v>
      </c>
      <c r="E151" s="2911" t="s">
        <v>8326</v>
      </c>
      <c r="F151" s="2911" t="s">
        <v>2637</v>
      </c>
      <c r="G151" s="3448" t="s">
        <v>3294</v>
      </c>
      <c r="H151" s="3448" t="str">
        <f>HLOOKUP(Non_UN,'Other Translations'!$A:$L,1+translations!J151,)</f>
        <v>Tổng phát thải</v>
      </c>
      <c r="J151" s="3448">
        <v>150</v>
      </c>
    </row>
    <row r="152" spans="1:10" s="3448" customFormat="1">
      <c r="A152" s="3578" t="s">
        <v>1864</v>
      </c>
      <c r="B152" s="2749" t="s">
        <v>1409</v>
      </c>
      <c r="C152" s="2749" t="s">
        <v>1869</v>
      </c>
      <c r="D152" s="2911" t="s">
        <v>4076</v>
      </c>
      <c r="E152" s="2911" t="s">
        <v>8327</v>
      </c>
      <c r="F152" s="2911" t="s">
        <v>2638</v>
      </c>
      <c r="G152" s="3448" t="s">
        <v>3295</v>
      </c>
      <c r="H152" s="3448" t="str">
        <f>HLOOKUP(Non_UN,'Other Translations'!$A:$L,1+translations!J152,)</f>
        <v>(năm)</v>
      </c>
      <c r="J152" s="3448">
        <v>151</v>
      </c>
    </row>
    <row r="153" spans="1:10" s="3448" customFormat="1">
      <c r="A153" s="3578" t="s">
        <v>1864</v>
      </c>
      <c r="B153" s="2749" t="s">
        <v>1410</v>
      </c>
      <c r="C153" s="2749" t="s">
        <v>1870</v>
      </c>
      <c r="D153" s="2911" t="s">
        <v>4077</v>
      </c>
      <c r="E153" s="2911" t="s">
        <v>8328</v>
      </c>
      <c r="F153" s="2911" t="s">
        <v>2639</v>
      </c>
      <c r="G153" s="3448" t="s">
        <v>3296</v>
      </c>
      <c r="H153" s="3448" t="str">
        <f>HLOOKUP(Non_UN,'Other Translations'!$A:$L,1+translations!J153,)</f>
        <v>Chu kỳ</v>
      </c>
      <c r="J153" s="3448">
        <v>152</v>
      </c>
    </row>
    <row r="154" spans="1:10" s="3448" customFormat="1">
      <c r="A154" s="3578" t="s">
        <v>1864</v>
      </c>
      <c r="B154" s="2911" t="s">
        <v>676</v>
      </c>
      <c r="C154" s="2749" t="s">
        <v>1871</v>
      </c>
      <c r="D154" s="2911" t="s">
        <v>4078</v>
      </c>
      <c r="E154" s="2911" t="s">
        <v>8329</v>
      </c>
      <c r="F154" s="2911" t="s">
        <v>2640</v>
      </c>
      <c r="G154" s="3448" t="s">
        <v>3297</v>
      </c>
      <c r="H154" s="3448" t="str">
        <f>HLOOKUP(Non_UN,'Other Translations'!$A:$L,1+translations!J154,)</f>
        <v>Không có dự án</v>
      </c>
      <c r="J154" s="3448">
        <v>153</v>
      </c>
    </row>
    <row r="155" spans="1:10" s="3448" customFormat="1">
      <c r="A155" s="3578" t="s">
        <v>1864</v>
      </c>
      <c r="B155" s="2749" t="s">
        <v>882</v>
      </c>
      <c r="C155" s="2749" t="s">
        <v>1872</v>
      </c>
      <c r="D155" s="2911" t="s">
        <v>4079</v>
      </c>
      <c r="E155" s="2911" t="s">
        <v>8330</v>
      </c>
      <c r="F155" s="2911" t="s">
        <v>2641</v>
      </c>
      <c r="G155" s="3448" t="s">
        <v>3298</v>
      </c>
      <c r="H155" s="3448" t="str">
        <f>HLOOKUP(Non_UN,'Other Translations'!$A:$L,1+translations!J155,)</f>
        <v>Có dự án</v>
      </c>
      <c r="J155" s="3448">
        <v>154</v>
      </c>
    </row>
    <row r="156" spans="1:10" s="3448" customFormat="1">
      <c r="A156" s="3578" t="s">
        <v>1864</v>
      </c>
      <c r="B156" s="2911" t="s">
        <v>1407</v>
      </c>
      <c r="C156" s="2749" t="s">
        <v>1873</v>
      </c>
      <c r="D156" s="2911" t="s">
        <v>4494</v>
      </c>
      <c r="E156" s="2911" t="s">
        <v>8331</v>
      </c>
      <c r="F156" s="2911" t="s">
        <v>2642</v>
      </c>
      <c r="G156" s="3448" t="s">
        <v>3299</v>
      </c>
      <c r="H156" s="3448" t="str">
        <f>HLOOKUP(Non_UN,'Other Translations'!$A:$L,1+translations!J156,)</f>
        <v>Đồng cỏ sau phá rừng</v>
      </c>
      <c r="J156" s="3448">
        <v>155</v>
      </c>
    </row>
    <row r="157" spans="1:10" s="3448" customFormat="1">
      <c r="A157" s="3578" t="s">
        <v>1864</v>
      </c>
      <c r="B157" s="2911" t="s">
        <v>1149</v>
      </c>
      <c r="C157" s="2749" t="s">
        <v>1874</v>
      </c>
      <c r="D157" s="2911" t="s">
        <v>4080</v>
      </c>
      <c r="E157" s="2911" t="s">
        <v>8275</v>
      </c>
      <c r="F157" s="2911" t="s">
        <v>3100</v>
      </c>
      <c r="G157" s="3448" t="s">
        <v>3247</v>
      </c>
      <c r="H157" s="3448" t="str">
        <f>HLOOKUP(Non_UN,'Other Translations'!$A:$L,1+translations!J157,)</f>
        <v>Chuyển đổi sang trồng rừng/tái sinh rừng</v>
      </c>
      <c r="J157" s="3448">
        <v>156</v>
      </c>
    </row>
    <row r="158" spans="1:10" s="3448" customFormat="1">
      <c r="A158" s="3578" t="s">
        <v>1864</v>
      </c>
      <c r="B158" s="2911" t="s">
        <v>1408</v>
      </c>
      <c r="C158" s="2749" t="s">
        <v>1876</v>
      </c>
      <c r="D158" s="2911" t="s">
        <v>4081</v>
      </c>
      <c r="E158" s="2911" t="s">
        <v>8332</v>
      </c>
      <c r="F158" s="2911" t="s">
        <v>3105</v>
      </c>
      <c r="G158" s="3448" t="s">
        <v>3300</v>
      </c>
      <c r="H158" s="3448" t="str">
        <f>HLOOKUP(Non_UN,'Other Translations'!$A:$L,1+translations!J158,)</f>
        <v>Đồng cỏ sau sử dụng đất không rừng</v>
      </c>
      <c r="J158" s="3448">
        <v>157</v>
      </c>
    </row>
    <row r="159" spans="1:10" s="3448" customFormat="1" ht="15">
      <c r="A159" s="3578" t="s">
        <v>1864</v>
      </c>
      <c r="B159" s="2911" t="s">
        <v>1224</v>
      </c>
      <c r="C159" s="2749" t="s">
        <v>1875</v>
      </c>
      <c r="D159" s="2911" t="s">
        <v>4082</v>
      </c>
      <c r="E159" s="2911" t="s">
        <v>8333</v>
      </c>
      <c r="F159" s="3605" t="s">
        <v>2596</v>
      </c>
      <c r="G159" s="3448" t="s">
        <v>3249</v>
      </c>
      <c r="H159" s="3448" t="str">
        <f>HLOOKUP(Non_UN,'Other Translations'!$A:$L,1+translations!J159,)</f>
        <v>Chuyển đổi sang các hình thức sử dụng đất khác</v>
      </c>
      <c r="J159" s="3448">
        <v>158</v>
      </c>
    </row>
    <row r="160" spans="1:10" s="3448" customFormat="1">
      <c r="A160" s="3578" t="s">
        <v>1864</v>
      </c>
      <c r="B160" s="2911" t="s">
        <v>1412</v>
      </c>
      <c r="C160" s="2749" t="s">
        <v>1877</v>
      </c>
      <c r="D160" s="2911" t="s">
        <v>4083</v>
      </c>
      <c r="E160" s="2911" t="s">
        <v>8334</v>
      </c>
      <c r="F160" s="2911" t="s">
        <v>2643</v>
      </c>
      <c r="G160" s="3448" t="s">
        <v>3301</v>
      </c>
      <c r="H160" s="3448" t="str">
        <f>HLOOKUP(Non_UN,'Other Translations'!$A:$L,1+translations!J160,)</f>
        <v>Hình thức sử dụng đồng cỏ cuối cùng</v>
      </c>
      <c r="J160" s="3448">
        <v>159</v>
      </c>
    </row>
    <row r="161" spans="1:10" s="3448" customFormat="1">
      <c r="A161" s="3578" t="s">
        <v>1864</v>
      </c>
      <c r="B161" s="2749" t="s">
        <v>1878</v>
      </c>
      <c r="C161" s="2749" t="s">
        <v>1878</v>
      </c>
      <c r="D161" s="2911" t="s">
        <v>1878</v>
      </c>
      <c r="E161" s="2911" t="s">
        <v>3800</v>
      </c>
      <c r="F161" s="2911" t="s">
        <v>3106</v>
      </c>
      <c r="G161" s="3448" t="s">
        <v>3302</v>
      </c>
      <c r="H161" s="3448" t="str">
        <f>HLOOKUP(Non_UN,'Other Translations'!$A:$L,1+translations!J161,)</f>
        <v>(tCO2eq)</v>
      </c>
      <c r="J161" s="3448">
        <v>160</v>
      </c>
    </row>
    <row r="162" spans="1:10" s="3448" customFormat="1">
      <c r="A162" s="3578" t="s">
        <v>1864</v>
      </c>
      <c r="B162" s="2749" t="s">
        <v>5421</v>
      </c>
      <c r="C162" s="2749" t="s">
        <v>1879</v>
      </c>
      <c r="D162" s="2911" t="s">
        <v>4084</v>
      </c>
      <c r="E162" s="2911" t="s">
        <v>8335</v>
      </c>
      <c r="F162" s="2911" t="s">
        <v>2644</v>
      </c>
      <c r="G162" s="3448" t="s">
        <v>3303</v>
      </c>
      <c r="H162" s="3448" t="str">
        <f>HLOOKUP(Non_UN,'Other Translations'!$A:$L,1+translations!J162,)</f>
        <v>Tổng các hệ thống đồng cỏ</v>
      </c>
      <c r="J162" s="3448">
        <v>161</v>
      </c>
    </row>
    <row r="163" spans="1:10" s="3448" customFormat="1">
      <c r="A163" s="3578" t="s">
        <v>1864</v>
      </c>
      <c r="B163" s="2749" t="s">
        <v>1881</v>
      </c>
      <c r="C163" s="2749" t="s">
        <v>1882</v>
      </c>
      <c r="D163" s="2911" t="s">
        <v>4085</v>
      </c>
      <c r="E163" s="2911" t="s">
        <v>8336</v>
      </c>
      <c r="F163" s="2911" t="s">
        <v>2645</v>
      </c>
      <c r="G163" s="3448" t="s">
        <v>3304</v>
      </c>
      <c r="H163" s="3448" t="str">
        <f>HLOOKUP(Non_UN,'Other Translations'!$A:$L,1+translations!J163,)</f>
        <v>4.2. Chăn nuôi (và quản lý dinh dưỡng)</v>
      </c>
      <c r="J163" s="3448">
        <v>162</v>
      </c>
    </row>
    <row r="164" spans="1:10" s="3448" customFormat="1">
      <c r="A164" s="3578" t="s">
        <v>1864</v>
      </c>
      <c r="B164" s="2911" t="s">
        <v>1432</v>
      </c>
      <c r="C164" s="2749" t="s">
        <v>1883</v>
      </c>
      <c r="D164" s="2911" t="s">
        <v>4086</v>
      </c>
      <c r="E164" s="2911" t="s">
        <v>8337</v>
      </c>
      <c r="F164" s="2911" t="s">
        <v>2646</v>
      </c>
      <c r="G164" s="3448" t="s">
        <v>3305</v>
      </c>
      <c r="H164" s="3448" t="str">
        <f>HLOOKUP(Non_UN,'Other Translations'!$A:$L,1+translations!J164,)</f>
        <v>Các loại chăn nuôi</v>
      </c>
      <c r="J164" s="3448">
        <v>163</v>
      </c>
    </row>
    <row r="165" spans="1:10" s="3448" customFormat="1">
      <c r="A165" s="3578" t="s">
        <v>1864</v>
      </c>
      <c r="B165" s="2911" t="s">
        <v>1880</v>
      </c>
      <c r="C165" s="2911" t="s">
        <v>1884</v>
      </c>
      <c r="D165" s="2911" t="s">
        <v>4087</v>
      </c>
      <c r="E165" s="2911" t="s">
        <v>8338</v>
      </c>
      <c r="F165" s="2911" t="s">
        <v>3107</v>
      </c>
      <c r="G165" s="3448" t="s">
        <v>3306</v>
      </c>
      <c r="H165" s="3448" t="str">
        <f>HLOOKUP(Non_UN,'Other Translations'!$A:$L,1+translations!J165,)</f>
        <v>Số đầu gia súc (trung bình/năm)</v>
      </c>
      <c r="J165" s="3448">
        <v>164</v>
      </c>
    </row>
    <row r="166" spans="1:10" s="3448" customFormat="1">
      <c r="A166" s="3578" t="s">
        <v>1864</v>
      </c>
      <c r="B166" s="2911" t="s">
        <v>1433</v>
      </c>
      <c r="C166" s="2749" t="s">
        <v>1885</v>
      </c>
      <c r="D166" s="2911" t="s">
        <v>4088</v>
      </c>
      <c r="E166" s="2911" t="s">
        <v>8339</v>
      </c>
      <c r="F166" s="2911" t="s">
        <v>2647</v>
      </c>
      <c r="G166" s="3448" t="s">
        <v>3307</v>
      </c>
      <c r="H166" s="3448" t="str">
        <f>HLOOKUP(Non_UN,'Other Translations'!$A:$L,1+translations!J166,)</f>
        <v>Phương án kỹ thuật giảm phát thải (%)</v>
      </c>
      <c r="J166" s="3448">
        <v>165</v>
      </c>
    </row>
    <row r="167" spans="1:10" s="3448" customFormat="1">
      <c r="A167" s="3578" t="s">
        <v>1864</v>
      </c>
      <c r="B167" s="2911" t="s">
        <v>1491</v>
      </c>
      <c r="C167" s="2749" t="s">
        <v>1886</v>
      </c>
      <c r="D167" s="2911" t="s">
        <v>4089</v>
      </c>
      <c r="E167" s="2911" t="s">
        <v>8340</v>
      </c>
      <c r="F167" s="2911" t="s">
        <v>2648</v>
      </c>
      <c r="G167" s="3448" t="s">
        <v>3308</v>
      </c>
      <c r="H167" s="3448" t="str">
        <f>HLOOKUP(Non_UN,'Other Translations'!$A:$L,1+translations!J167,)</f>
        <v>Sản suất (thịt, sữa,..)</v>
      </c>
      <c r="J167" s="3448">
        <v>166</v>
      </c>
    </row>
    <row r="168" spans="1:10" s="3448" customFormat="1">
      <c r="A168" s="3578" t="s">
        <v>1864</v>
      </c>
      <c r="B168" s="2911" t="s">
        <v>1435</v>
      </c>
      <c r="C168" s="2749" t="s">
        <v>1888</v>
      </c>
      <c r="D168" s="2911" t="s">
        <v>4090</v>
      </c>
      <c r="E168" s="2911" t="s">
        <v>8341</v>
      </c>
      <c r="F168" s="2911" t="s">
        <v>2649</v>
      </c>
      <c r="G168" s="3448" t="s">
        <v>3309</v>
      </c>
      <c r="H168" s="3448" t="str">
        <f>HLOOKUP(Non_UN,'Other Translations'!$A:$L,1+translations!J168,)</f>
        <v>Các biện pháp cho ăn*</v>
      </c>
      <c r="J168" s="3448">
        <v>167</v>
      </c>
    </row>
    <row r="169" spans="1:10" s="3448" customFormat="1">
      <c r="A169" s="3578" t="s">
        <v>1864</v>
      </c>
      <c r="B169" s="2911" t="s">
        <v>1436</v>
      </c>
      <c r="C169" s="2749" t="s">
        <v>1889</v>
      </c>
      <c r="D169" s="2911" t="s">
        <v>3891</v>
      </c>
      <c r="E169" s="2911" t="s">
        <v>8342</v>
      </c>
      <c r="F169" s="2911" t="s">
        <v>2650</v>
      </c>
      <c r="G169" s="3448" t="s">
        <v>3310</v>
      </c>
      <c r="H169" s="3448" t="str">
        <f>HLOOKUP(Non_UN,'Other Translations'!$A:$L,1+translations!J169,)</f>
        <v>Các hoạt chất đặc biệt</v>
      </c>
      <c r="J169" s="3448">
        <v>168</v>
      </c>
    </row>
    <row r="170" spans="1:10" s="3448" customFormat="1">
      <c r="A170" s="3578" t="s">
        <v>1864</v>
      </c>
      <c r="B170" s="2911" t="s">
        <v>1437</v>
      </c>
      <c r="C170" s="2749" t="s">
        <v>1887</v>
      </c>
      <c r="D170" s="2911" t="s">
        <v>4091</v>
      </c>
      <c r="E170" s="2911" t="s">
        <v>8343</v>
      </c>
      <c r="F170" s="2911" t="s">
        <v>2651</v>
      </c>
      <c r="G170" s="3448" t="s">
        <v>3311</v>
      </c>
      <c r="H170" s="3448" t="str">
        <f>HLOOKUP(Non_UN,'Other Translations'!$A:$L,1+translations!J170,)</f>
        <v>Chọn giống</v>
      </c>
      <c r="J170" s="3448">
        <v>169</v>
      </c>
    </row>
    <row r="171" spans="1:10" s="3448" customFormat="1">
      <c r="A171" s="3578" t="s">
        <v>1864</v>
      </c>
      <c r="B171" s="2911" t="s">
        <v>1492</v>
      </c>
      <c r="C171" s="2749" t="s">
        <v>1890</v>
      </c>
      <c r="D171" s="2911" t="s">
        <v>4092</v>
      </c>
      <c r="E171" s="2911" t="s">
        <v>8344</v>
      </c>
      <c r="F171" s="2911" t="s">
        <v>2652</v>
      </c>
      <c r="G171" s="3448" t="s">
        <v>3312</v>
      </c>
      <c r="H171" s="3448" t="str">
        <f>HLOOKUP(Non_UN,'Other Translations'!$A:$L,1+translations!J171,)</f>
        <v>sản lượng tính bằng tấn sản phẩm/năm</v>
      </c>
      <c r="J171" s="3448">
        <v>170</v>
      </c>
    </row>
    <row r="172" spans="1:10" s="3448" customFormat="1">
      <c r="A172" s="3578" t="s">
        <v>1864</v>
      </c>
      <c r="B172" s="2911" t="s">
        <v>349</v>
      </c>
      <c r="C172" s="2911" t="s">
        <v>1891</v>
      </c>
      <c r="D172" s="2911" t="s">
        <v>4093</v>
      </c>
      <c r="E172" s="2911" t="s">
        <v>8345</v>
      </c>
      <c r="F172" s="2911" t="s">
        <v>2653</v>
      </c>
      <c r="G172" s="3448" t="s">
        <v>3313</v>
      </c>
      <c r="H172" s="3448" t="str">
        <f>HLOOKUP(Non_UN,'Other Translations'!$A:$L,1+translations!J172,)</f>
        <v>Bò sữa</v>
      </c>
      <c r="J172" s="3448">
        <v>171</v>
      </c>
    </row>
    <row r="173" spans="1:10" s="3448" customFormat="1">
      <c r="A173" s="3578" t="s">
        <v>1864</v>
      </c>
      <c r="B173" s="2911" t="s">
        <v>353</v>
      </c>
      <c r="C173" s="2911" t="s">
        <v>1892</v>
      </c>
      <c r="D173" s="2911" t="s">
        <v>4094</v>
      </c>
      <c r="E173" s="2911" t="s">
        <v>8346</v>
      </c>
      <c r="F173" s="2911" t="s">
        <v>2654</v>
      </c>
      <c r="G173" s="3448" t="s">
        <v>3314</v>
      </c>
      <c r="H173" s="3448" t="str">
        <f>HLOOKUP(Non_UN,'Other Translations'!$A:$L,1+translations!J173,)</f>
        <v>Gia súc khác</v>
      </c>
      <c r="J173" s="3448">
        <v>172</v>
      </c>
    </row>
    <row r="174" spans="1:10" s="3448" customFormat="1">
      <c r="A174" s="3578" t="s">
        <v>1864</v>
      </c>
      <c r="B174" s="2911" t="s">
        <v>355</v>
      </c>
      <c r="C174" s="2911" t="s">
        <v>1893</v>
      </c>
      <c r="D174" s="2911" t="s">
        <v>3896</v>
      </c>
      <c r="E174" s="2911" t="s">
        <v>8347</v>
      </c>
      <c r="F174" s="2911" t="s">
        <v>2655</v>
      </c>
      <c r="G174" s="3448" t="s">
        <v>3315</v>
      </c>
      <c r="H174" s="3448" t="str">
        <f>HLOOKUP(Non_UN,'Other Translations'!$A:$L,1+translations!J174,)</f>
        <v>Trâu</v>
      </c>
      <c r="J174" s="3448">
        <v>173</v>
      </c>
    </row>
    <row r="175" spans="1:10" s="3448" customFormat="1">
      <c r="A175" s="3578" t="s">
        <v>1864</v>
      </c>
      <c r="B175" s="2911" t="s">
        <v>359</v>
      </c>
      <c r="C175" s="2911" t="s">
        <v>1894</v>
      </c>
      <c r="D175" s="2911" t="s">
        <v>4095</v>
      </c>
      <c r="E175" s="2911" t="s">
        <v>8348</v>
      </c>
      <c r="F175" s="2911" t="s">
        <v>2656</v>
      </c>
      <c r="G175" s="3448" t="s">
        <v>3316</v>
      </c>
      <c r="H175" s="3448" t="str">
        <f>HLOOKUP(Non_UN,'Other Translations'!$A:$L,1+translations!J175,)</f>
        <v>Cừu</v>
      </c>
      <c r="J175" s="3448">
        <v>174</v>
      </c>
    </row>
    <row r="176" spans="1:10" s="3448" customFormat="1">
      <c r="A176" s="3578" t="s">
        <v>1864</v>
      </c>
      <c r="B176" s="2911" t="s">
        <v>357</v>
      </c>
      <c r="C176" s="2911" t="s">
        <v>1895</v>
      </c>
      <c r="D176" s="2911" t="s">
        <v>4096</v>
      </c>
      <c r="E176" s="2911" t="s">
        <v>8349</v>
      </c>
      <c r="F176" s="2911" t="s">
        <v>2657</v>
      </c>
      <c r="G176" s="3448" t="s">
        <v>3317</v>
      </c>
      <c r="H176" s="3448" t="str">
        <f>HLOOKUP(Non_UN,'Other Translations'!$A:$L,1+translations!J176,)</f>
        <v>Lợn (để bán)</v>
      </c>
      <c r="J176" s="3448">
        <v>175</v>
      </c>
    </row>
    <row r="177" spans="1:10" s="3448" customFormat="1">
      <c r="A177" s="3578" t="s">
        <v>1864</v>
      </c>
      <c r="B177" s="2911" t="s">
        <v>358</v>
      </c>
      <c r="C177" s="2911" t="s">
        <v>1896</v>
      </c>
      <c r="D177" s="2911" t="s">
        <v>4097</v>
      </c>
      <c r="E177" s="2911" t="s">
        <v>8350</v>
      </c>
      <c r="F177" s="2911" t="s">
        <v>2658</v>
      </c>
      <c r="G177" s="3448" t="s">
        <v>3318</v>
      </c>
      <c r="H177" s="3448" t="str">
        <f>HLOOKUP(Non_UN,'Other Translations'!$A:$L,1+translations!J177,)</f>
        <v>Lợn (để làm giống)</v>
      </c>
      <c r="J177" s="3448">
        <v>176</v>
      </c>
    </row>
    <row r="178" spans="1:10" s="3448" customFormat="1" ht="38.25">
      <c r="A178" s="3578" t="s">
        <v>1864</v>
      </c>
      <c r="B178" s="2911" t="s">
        <v>4832</v>
      </c>
      <c r="C178" s="2749" t="s">
        <v>1897</v>
      </c>
      <c r="D178" s="2911" t="s">
        <v>4495</v>
      </c>
      <c r="E178" s="2911" t="s">
        <v>8351</v>
      </c>
      <c r="F178" s="2911" t="s">
        <v>2659</v>
      </c>
      <c r="G178" s="3448" t="s">
        <v>3319</v>
      </c>
      <c r="H178" s="3448" t="str">
        <f>HLOOKUP(Non_UN,'Other Translations'!$A:$L,1+translations!J178,)</f>
        <v>Biện pháp nuôi dưỡng: VD: tập trung, bổ sung dầu, hạt có dầu vào khẩu phần ăn, cải thiện chất lượng đồng cỏ,…</v>
      </c>
      <c r="J178" s="3448">
        <v>177</v>
      </c>
    </row>
    <row r="179" spans="1:10" s="3448" customFormat="1" ht="38.25">
      <c r="A179" s="3578" t="s">
        <v>1864</v>
      </c>
      <c r="B179" s="2911" t="s">
        <v>1033</v>
      </c>
      <c r="C179" s="2749" t="s">
        <v>1899</v>
      </c>
      <c r="D179" s="2911" t="s">
        <v>4098</v>
      </c>
      <c r="E179" s="2911" t="s">
        <v>8352</v>
      </c>
      <c r="F179" s="2911" t="s">
        <v>2660</v>
      </c>
      <c r="G179" s="2911" t="s">
        <v>3320</v>
      </c>
      <c r="H179" s="3448" t="str">
        <f>HLOOKUP(Non_UN,'Other Translations'!$A:$L,1+translations!J179,)</f>
        <v>Các hoạt chất đặc biệt: các hoạt chất đặc biệt và phụ gia trong khẩu phần để giảm phát thải CH4 (như lonophores, vaccines,bST,..)</v>
      </c>
      <c r="J179" s="3448">
        <v>178</v>
      </c>
    </row>
    <row r="180" spans="1:10" s="3448" customFormat="1" ht="51">
      <c r="A180" s="3578" t="s">
        <v>1864</v>
      </c>
      <c r="B180" s="2749" t="s">
        <v>5415</v>
      </c>
      <c r="C180" s="2911" t="s">
        <v>1898</v>
      </c>
      <c r="D180" s="2911" t="s">
        <v>4099</v>
      </c>
      <c r="E180" s="2911" t="s">
        <v>8353</v>
      </c>
      <c r="F180" s="2911" t="s">
        <v>2661</v>
      </c>
      <c r="G180" s="3448" t="s">
        <v>3321</v>
      </c>
      <c r="H180" s="3448" t="str">
        <f>HLOOKUP(Non_UN,'Other Translations'!$A:$L,1+translations!J180,)</f>
        <v>Chọn giống: tăng sản lượng thông qua chọn giống và các biện pháp quản lý tốt hơn (giảm số lượng thay thế bê)</v>
      </c>
      <c r="J180" s="3448">
        <v>179</v>
      </c>
    </row>
    <row r="181" spans="1:10" s="3448" customFormat="1">
      <c r="A181" s="3578" t="s">
        <v>1864</v>
      </c>
      <c r="B181" s="2749" t="s">
        <v>5414</v>
      </c>
      <c r="C181" s="2749" t="s">
        <v>1900</v>
      </c>
      <c r="D181" s="2911" t="s">
        <v>4100</v>
      </c>
      <c r="E181" s="2911" t="s">
        <v>8354</v>
      </c>
      <c r="F181" s="2911" t="s">
        <v>2662</v>
      </c>
      <c r="G181" s="3448" t="s">
        <v>3322</v>
      </c>
      <c r="H181" s="3448" t="str">
        <f>HLOOKUP(Non_UN,'Other Translations'!$A:$L,1+translations!J181,)</f>
        <v>Tổng chăn nuôi</v>
      </c>
      <c r="J181" s="3448">
        <v>180</v>
      </c>
    </row>
    <row r="182" spans="1:10" s="3448" customFormat="1">
      <c r="A182" s="3578" t="s">
        <v>1864</v>
      </c>
      <c r="B182" s="2911" t="s">
        <v>1649</v>
      </c>
      <c r="C182" s="2749" t="s">
        <v>1908</v>
      </c>
      <c r="D182" s="2911" t="s">
        <v>4101</v>
      </c>
      <c r="E182" s="2911" t="s">
        <v>8355</v>
      </c>
      <c r="F182" s="2911" t="s">
        <v>2663</v>
      </c>
      <c r="G182" s="3448" t="s">
        <v>3323</v>
      </c>
      <c r="H182" s="3448" t="str">
        <f>HLOOKUP(Non_UN,'Other Translations'!$A:$L,1+translations!J182,)</f>
        <v>Dự trữ carbon đất tương ứng</v>
      </c>
      <c r="J182" s="3448">
        <v>181</v>
      </c>
    </row>
    <row r="183" spans="1:10" s="3448" customFormat="1">
      <c r="A183" s="3578" t="s">
        <v>1864</v>
      </c>
      <c r="B183" s="2911" t="s">
        <v>876</v>
      </c>
      <c r="C183" s="2749" t="s">
        <v>1910</v>
      </c>
      <c r="D183" s="2911" t="s">
        <v>4102</v>
      </c>
      <c r="E183" s="2911" t="s">
        <v>8356</v>
      </c>
      <c r="F183" s="2911" t="s">
        <v>2664</v>
      </c>
      <c r="G183" s="3448" t="s">
        <v>3324</v>
      </c>
      <c r="H183" s="3448" t="str">
        <f>HLOOKUP(Non_UN,'Other Translations'!$A:$L,1+translations!J183,)</f>
        <v>Không suy thoái</v>
      </c>
      <c r="J183" s="3448">
        <v>182</v>
      </c>
    </row>
    <row r="184" spans="1:10" s="3448" customFormat="1">
      <c r="A184" s="3578" t="s">
        <v>1864</v>
      </c>
      <c r="B184" s="2911" t="s">
        <v>877</v>
      </c>
      <c r="C184" s="2749" t="s">
        <v>1912</v>
      </c>
      <c r="D184" s="2911" t="s">
        <v>4103</v>
      </c>
      <c r="E184" s="2911" t="s">
        <v>8357</v>
      </c>
      <c r="F184" s="2911" t="s">
        <v>2665</v>
      </c>
      <c r="G184" s="3448" t="s">
        <v>3325</v>
      </c>
      <c r="H184" s="3448" t="str">
        <f>HLOOKUP(Non_UN,'Other Translations'!$A:$L,1+translations!J184,)</f>
        <v>Suy thoái nghiêm trọng</v>
      </c>
      <c r="J184" s="3448">
        <v>183</v>
      </c>
    </row>
    <row r="185" spans="1:10" s="3448" customFormat="1">
      <c r="A185" s="3578" t="s">
        <v>1864</v>
      </c>
      <c r="B185" s="2911" t="s">
        <v>878</v>
      </c>
      <c r="C185" s="2749" t="s">
        <v>1911</v>
      </c>
      <c r="D185" s="2911" t="s">
        <v>2488</v>
      </c>
      <c r="E185" s="2911" t="s">
        <v>8358</v>
      </c>
      <c r="F185" s="2911" t="s">
        <v>2666</v>
      </c>
      <c r="G185" s="3448" t="s">
        <v>3326</v>
      </c>
      <c r="H185" s="3448" t="str">
        <f>HLOOKUP(Non_UN,'Other Translations'!$A:$L,1+translations!J185,)</f>
        <v>Suy thoái trung bình</v>
      </c>
      <c r="J185" s="3448">
        <v>184</v>
      </c>
    </row>
    <row r="186" spans="1:10" s="3448" customFormat="1">
      <c r="A186" s="3578" t="s">
        <v>1864</v>
      </c>
      <c r="B186" s="2911" t="s">
        <v>879</v>
      </c>
      <c r="C186" s="2749" t="s">
        <v>1913</v>
      </c>
      <c r="D186" s="2911" t="s">
        <v>4104</v>
      </c>
      <c r="E186" s="2911" t="s">
        <v>8359</v>
      </c>
      <c r="F186" s="2911" t="s">
        <v>2667</v>
      </c>
      <c r="G186" s="3448" t="s">
        <v>3327</v>
      </c>
      <c r="H186" s="3448" t="str">
        <f>HLOOKUP(Non_UN,'Other Translations'!$A:$L,1+translations!J186,)</f>
        <v>Cải thiện không có quản lý các đầu vào</v>
      </c>
      <c r="J186" s="3448">
        <v>185</v>
      </c>
    </row>
    <row r="187" spans="1:10" s="3448" customFormat="1">
      <c r="A187" s="3578" t="s">
        <v>1864</v>
      </c>
      <c r="B187" s="2911" t="s">
        <v>881</v>
      </c>
      <c r="C187" s="2911" t="s">
        <v>1914</v>
      </c>
      <c r="D187" s="2911" t="s">
        <v>4105</v>
      </c>
      <c r="E187" s="2911" t="s">
        <v>8360</v>
      </c>
      <c r="F187" s="2911" t="s">
        <v>2668</v>
      </c>
      <c r="G187" s="3448" t="s">
        <v>3328</v>
      </c>
      <c r="H187" s="3448" t="str">
        <f>HLOOKUP(Non_UN,'Other Translations'!$A:$L,1+translations!J187,)</f>
        <v>Cải thiện với các cải tiến đầu vào</v>
      </c>
      <c r="J187" s="3448">
        <v>186</v>
      </c>
    </row>
    <row r="188" spans="1:10" s="3448" customFormat="1">
      <c r="A188" s="3578" t="s">
        <v>1864</v>
      </c>
      <c r="B188" s="2749" t="s">
        <v>1650</v>
      </c>
      <c r="C188" s="2749" t="s">
        <v>1650</v>
      </c>
      <c r="D188" s="2911" t="s">
        <v>4106</v>
      </c>
      <c r="E188" s="2911" t="s">
        <v>8361</v>
      </c>
      <c r="F188" s="2911" t="s">
        <v>2669</v>
      </c>
      <c r="G188" s="3448" t="s">
        <v>3329</v>
      </c>
      <c r="H188" s="3448" t="str">
        <f>HLOOKUP(Non_UN,'Other Translations'!$A:$L,1+translations!J188,)</f>
        <v>Đốt cháy</v>
      </c>
      <c r="J188" s="3448">
        <v>187</v>
      </c>
    </row>
    <row r="189" spans="1:10" s="3448" customFormat="1">
      <c r="A189" s="3578" t="s">
        <v>1864</v>
      </c>
      <c r="B189" s="2749" t="s">
        <v>1909</v>
      </c>
      <c r="C189" s="2749" t="s">
        <v>1909</v>
      </c>
      <c r="D189" s="2911" t="s">
        <v>1909</v>
      </c>
      <c r="E189" s="2911" t="s">
        <v>3801</v>
      </c>
      <c r="F189" s="2911" t="s">
        <v>2670</v>
      </c>
      <c r="G189" s="3448" t="s">
        <v>3330</v>
      </c>
      <c r="H189" s="3448" t="str">
        <f>HLOOKUP(Non_UN,'Other Translations'!$A:$L,1+translations!J189,)</f>
        <v>(tC/ha)</v>
      </c>
      <c r="J189" s="3448">
        <v>188</v>
      </c>
    </row>
    <row r="190" spans="1:10" s="3448" customFormat="1">
      <c r="A190" s="3578" t="s">
        <v>1864</v>
      </c>
      <c r="B190" s="2749" t="s">
        <v>1915</v>
      </c>
      <c r="C190" s="2749" t="s">
        <v>1916</v>
      </c>
      <c r="D190" s="2911" t="s">
        <v>4107</v>
      </c>
      <c r="E190" s="2911" t="s">
        <v>8362</v>
      </c>
      <c r="F190" s="2911" t="s">
        <v>3108</v>
      </c>
      <c r="G190" s="3448" t="s">
        <v>3331</v>
      </c>
      <c r="H190" s="3448" t="str">
        <f>HLOOKUP(Non_UN,'Other Translations'!$A:$L,1+translations!J190,)</f>
        <v>% chất khô được giải thoát trước đốt</v>
      </c>
      <c r="J190" s="3448">
        <v>189</v>
      </c>
    </row>
    <row r="191" spans="1:10" s="3448" customFormat="1" ht="25.5">
      <c r="A191" s="3578" t="s">
        <v>1864</v>
      </c>
      <c r="B191" s="2911" t="s">
        <v>1538</v>
      </c>
      <c r="C191" s="2749" t="s">
        <v>1922</v>
      </c>
      <c r="D191" s="2911" t="s">
        <v>4108</v>
      </c>
      <c r="E191" s="2911" t="s">
        <v>8363</v>
      </c>
      <c r="F191" s="2911" t="s">
        <v>2671</v>
      </c>
      <c r="G191" s="3448" t="s">
        <v>3332</v>
      </c>
      <c r="H191" s="3448" t="str">
        <f>HLOOKUP(Non_UN,'Other Translations'!$A:$L,1+translations!J191,)</f>
        <v>Nhiệt độ trung bình năm (MAT) của vùng (bằng °C)</v>
      </c>
      <c r="J191" s="3448">
        <v>190</v>
      </c>
    </row>
    <row r="192" spans="1:10" s="3448" customFormat="1" ht="25.5">
      <c r="A192" s="3578" t="s">
        <v>1864</v>
      </c>
      <c r="B192" s="2911" t="s">
        <v>1537</v>
      </c>
      <c r="C192" s="2749" t="s">
        <v>1923</v>
      </c>
      <c r="D192" s="2911" t="s">
        <v>4109</v>
      </c>
      <c r="E192" s="2911" t="s">
        <v>8364</v>
      </c>
      <c r="F192" s="2911" t="s">
        <v>2672</v>
      </c>
      <c r="G192" s="3448" t="s">
        <v>3333</v>
      </c>
      <c r="H192" s="3448" t="str">
        <f>HLOOKUP(Non_UN,'Other Translations'!$A:$L,1+translations!J192,)</f>
        <v>(nhiệt độ ảnh hưởng đến phát thải từ quản lý chất hữu cơ)</v>
      </c>
      <c r="J192" s="3448">
        <v>191</v>
      </c>
    </row>
    <row r="193" spans="1:10" s="3448" customFormat="1">
      <c r="A193" s="3578" t="s">
        <v>1864</v>
      </c>
      <c r="B193" s="2911" t="s">
        <v>1539</v>
      </c>
      <c r="C193" s="2749" t="s">
        <v>1924</v>
      </c>
      <c r="D193" s="2911" t="s">
        <v>4110</v>
      </c>
      <c r="E193" s="2911" t="s">
        <v>8365</v>
      </c>
      <c r="F193" s="2911" t="s">
        <v>2673</v>
      </c>
      <c r="G193" s="3448" t="s">
        <v>3334</v>
      </c>
      <c r="H193" s="3448" t="str">
        <f>HLOOKUP(Non_UN,'Other Translations'!$A:$L,1+translations!J193,)</f>
        <v>"kiểu" vùng</v>
      </c>
      <c r="J193" s="3448">
        <v>192</v>
      </c>
    </row>
    <row r="194" spans="1:10" s="3448" customFormat="1">
      <c r="A194" s="3578" t="s">
        <v>1864</v>
      </c>
      <c r="B194" s="2911" t="s">
        <v>1540</v>
      </c>
      <c r="C194" s="2749" t="s">
        <v>1925</v>
      </c>
      <c r="D194" s="2911" t="s">
        <v>4111</v>
      </c>
      <c r="E194" s="2911" t="s">
        <v>8366</v>
      </c>
      <c r="F194" s="2911" t="s">
        <v>2674</v>
      </c>
      <c r="G194" s="3448" t="s">
        <v>3335</v>
      </c>
      <c r="H194" s="3448" t="str">
        <f>HLOOKUP(Non_UN,'Other Translations'!$A:$L,1+translations!J194,)</f>
        <v>(chọn cụ thể nếu có thể)</v>
      </c>
      <c r="J194" s="3448">
        <v>193</v>
      </c>
    </row>
    <row r="195" spans="1:10" s="3448" customFormat="1">
      <c r="A195" s="3578" t="s">
        <v>1864</v>
      </c>
      <c r="B195" s="2911" t="s">
        <v>1917</v>
      </c>
      <c r="C195" s="2749" t="s">
        <v>1926</v>
      </c>
      <c r="D195" s="2911" t="s">
        <v>4112</v>
      </c>
      <c r="E195" s="2911" t="s">
        <v>8367</v>
      </c>
      <c r="F195" s="2911" t="s">
        <v>2675</v>
      </c>
      <c r="G195" s="3448" t="s">
        <v>3336</v>
      </c>
      <c r="H195" s="3448" t="str">
        <f>HLOOKUP(Non_UN,'Other Translations'!$A:$L,1+translations!J195,)</f>
        <v>Yếu tố phát thải N2O từ chất hữu cơ</v>
      </c>
      <c r="J195" s="3448">
        <v>194</v>
      </c>
    </row>
    <row r="196" spans="1:10" s="3448" customFormat="1">
      <c r="A196" s="3578" t="s">
        <v>1864</v>
      </c>
      <c r="B196" s="2911" t="s">
        <v>1918</v>
      </c>
      <c r="C196" s="2911" t="s">
        <v>1918</v>
      </c>
      <c r="D196" s="2911" t="s">
        <v>1918</v>
      </c>
      <c r="E196" s="2911" t="s">
        <v>8368</v>
      </c>
      <c r="F196" s="2911" t="s">
        <v>2676</v>
      </c>
      <c r="G196" s="2911" t="s">
        <v>3337</v>
      </c>
      <c r="H196" s="3448" t="str">
        <f>HLOOKUP(Non_UN,'Other Translations'!$A:$L,1+translations!J196,)</f>
        <v>(kg N-N2O/kg N)</v>
      </c>
      <c r="J196" s="3448">
        <v>195</v>
      </c>
    </row>
    <row r="197" spans="1:10" s="3448" customFormat="1">
      <c r="A197" s="3578" t="s">
        <v>1864</v>
      </c>
      <c r="B197" s="2749" t="s">
        <v>1542</v>
      </c>
      <c r="C197" s="2749" t="s">
        <v>1928</v>
      </c>
      <c r="D197" s="2911" t="s">
        <v>4496</v>
      </c>
      <c r="E197" s="2911" t="s">
        <v>8369</v>
      </c>
      <c r="F197" s="2911" t="s">
        <v>2677</v>
      </c>
      <c r="G197" s="3448" t="s">
        <v>3338</v>
      </c>
      <c r="H197" s="3448" t="str">
        <f>HLOOKUP(Non_UN,'Other Translations'!$A:$L,1+translations!J197,)</f>
        <v>Đồng cỏ, phạm vi hoạt động và nuôi nhốt</v>
      </c>
      <c r="J197" s="3448">
        <v>196</v>
      </c>
    </row>
    <row r="198" spans="1:10" s="3448" customFormat="1">
      <c r="A198" s="3578" t="s">
        <v>1864</v>
      </c>
      <c r="B198" s="2911" t="s">
        <v>388</v>
      </c>
      <c r="C198" s="2749" t="s">
        <v>1927</v>
      </c>
      <c r="D198" s="2911" t="s">
        <v>4113</v>
      </c>
      <c r="E198" s="2911" t="s">
        <v>8370</v>
      </c>
      <c r="F198" s="2911" t="s">
        <v>2678</v>
      </c>
      <c r="G198" s="3448" t="s">
        <v>3339</v>
      </c>
      <c r="H198" s="3448" t="str">
        <f>HLOOKUP(Non_UN,'Other Translations'!$A:$L,1+translations!J198,)</f>
        <v>Khác</v>
      </c>
      <c r="J198" s="3448">
        <v>197</v>
      </c>
    </row>
    <row r="199" spans="1:10" s="3448" customFormat="1">
      <c r="A199" s="3578" t="s">
        <v>1864</v>
      </c>
      <c r="B199" s="2911" t="s">
        <v>1536</v>
      </c>
      <c r="C199" s="2749" t="s">
        <v>1929</v>
      </c>
      <c r="D199" s="2911" t="s">
        <v>4114</v>
      </c>
      <c r="E199" s="2911" t="s">
        <v>8371</v>
      </c>
      <c r="F199" s="2911" t="s">
        <v>2679</v>
      </c>
      <c r="G199" s="3448" t="s">
        <v>3340</v>
      </c>
      <c r="H199" s="3448" t="str">
        <f>HLOOKUP(Non_UN,'Other Translations'!$A:$L,1+translations!J199,)</f>
        <v>Lên men dạ cỏ</v>
      </c>
      <c r="J199" s="3448">
        <v>198</v>
      </c>
    </row>
    <row r="200" spans="1:10" s="3448" customFormat="1">
      <c r="A200" s="3578" t="s">
        <v>1864</v>
      </c>
      <c r="B200" s="2749" t="s">
        <v>1919</v>
      </c>
      <c r="C200" s="2749" t="s">
        <v>1930</v>
      </c>
      <c r="D200" s="2911" t="s">
        <v>4115</v>
      </c>
      <c r="E200" s="2911" t="s">
        <v>8372</v>
      </c>
      <c r="F200" s="2911" t="s">
        <v>2680</v>
      </c>
      <c r="G200" s="3448" t="s">
        <v>3341</v>
      </c>
      <c r="H200" s="3448" t="str">
        <f>HLOOKUP(Non_UN,'Other Translations'!$A:$L,1+translations!J200,)</f>
        <v>(kg CH4/đầu gia súc/năm)</v>
      </c>
      <c r="J200" s="3448">
        <v>199</v>
      </c>
    </row>
    <row r="201" spans="1:10" s="3448" customFormat="1" ht="25.5">
      <c r="A201" s="3578" t="s">
        <v>1864</v>
      </c>
      <c r="B201" s="2749" t="s">
        <v>1931</v>
      </c>
      <c r="C201" s="2749" t="s">
        <v>1932</v>
      </c>
      <c r="D201" s="2911" t="s">
        <v>4497</v>
      </c>
      <c r="E201" s="2911" t="s">
        <v>8373</v>
      </c>
      <c r="F201" s="2911" t="s">
        <v>2681</v>
      </c>
      <c r="G201" s="3448" t="s">
        <v>3342</v>
      </c>
      <c r="H201" s="3448" t="str">
        <f>HLOOKUP(Non_UN,'Other Translations'!$A:$L,1+translations!J201,)</f>
        <v>% tương ứng với đồng cỏ, phạm vi và hệ thống nuôi nhốt</v>
      </c>
      <c r="J201" s="3448">
        <v>200</v>
      </c>
    </row>
    <row r="202" spans="1:10" s="3448" customFormat="1">
      <c r="A202" s="3578" t="s">
        <v>1864</v>
      </c>
      <c r="B202" s="2911" t="s">
        <v>1541</v>
      </c>
      <c r="C202" s="2749" t="s">
        <v>1933</v>
      </c>
      <c r="D202" s="2911" t="s">
        <v>4116</v>
      </c>
      <c r="E202" s="2911" t="s">
        <v>8374</v>
      </c>
      <c r="F202" s="2911" t="s">
        <v>2682</v>
      </c>
      <c r="G202" s="3448" t="s">
        <v>3343</v>
      </c>
      <c r="H202" s="3448" t="str">
        <f>HLOOKUP(Non_UN,'Other Translations'!$A:$L,1+translations!J202,)</f>
        <v>Mê-tan từ quản lý chất hữu cơ</v>
      </c>
      <c r="J202" s="3448">
        <v>201</v>
      </c>
    </row>
    <row r="203" spans="1:10" s="3448" customFormat="1">
      <c r="B203" s="2911"/>
      <c r="C203" s="2911"/>
      <c r="D203" s="2911"/>
      <c r="E203" s="2911"/>
      <c r="F203" s="2911"/>
      <c r="H203" s="3448">
        <f>HLOOKUP(Non_UN,'Other Translations'!$A:$L,1+translations!J203,)</f>
        <v>0</v>
      </c>
      <c r="J203" s="3448">
        <v>202</v>
      </c>
    </row>
    <row r="204" spans="1:10" s="3448" customFormat="1">
      <c r="B204" s="2911"/>
      <c r="C204" s="2911"/>
      <c r="D204" s="2911"/>
      <c r="E204" s="2911"/>
      <c r="F204" s="2911"/>
      <c r="H204" s="3448">
        <f>HLOOKUP(Non_UN,'Other Translations'!$A:$L,1+translations!J204,)</f>
        <v>0</v>
      </c>
      <c r="J204" s="3448">
        <v>203</v>
      </c>
    </row>
    <row r="205" spans="1:10" s="3448" customFormat="1">
      <c r="B205" s="2911"/>
      <c r="C205" s="2911"/>
      <c r="D205" s="2911"/>
      <c r="E205" s="2911"/>
      <c r="F205" s="2911"/>
      <c r="H205" s="3448">
        <f>HLOOKUP(Non_UN,'Other Translations'!$A:$L,1+translations!J205,)</f>
        <v>0</v>
      </c>
      <c r="J205" s="3448">
        <v>204</v>
      </c>
    </row>
    <row r="206" spans="1:10" s="3448" customFormat="1">
      <c r="B206" s="2911"/>
      <c r="C206" s="2911"/>
      <c r="D206" s="2911"/>
      <c r="E206" s="2911"/>
      <c r="F206" s="2911"/>
      <c r="H206" s="3448">
        <f>HLOOKUP(Non_UN,'Other Translations'!$A:$L,1+translations!J206,)</f>
        <v>0</v>
      </c>
      <c r="J206" s="3448">
        <v>205</v>
      </c>
    </row>
    <row r="207" spans="1:10" s="3448" customFormat="1">
      <c r="B207" s="2911"/>
      <c r="C207" s="2911"/>
      <c r="D207" s="2911"/>
      <c r="E207" s="2911"/>
      <c r="F207" s="2911"/>
      <c r="H207" s="3448">
        <f>HLOOKUP(Non_UN,'Other Translations'!$A:$L,1+translations!J207,)</f>
        <v>0</v>
      </c>
      <c r="J207" s="3448">
        <v>206</v>
      </c>
    </row>
    <row r="208" spans="1:10" s="3448" customFormat="1">
      <c r="B208" s="2911"/>
      <c r="C208" s="2911"/>
      <c r="D208" s="2911"/>
      <c r="E208" s="2911"/>
      <c r="F208" s="2911"/>
      <c r="H208" s="3448">
        <f>HLOOKUP(Non_UN,'Other Translations'!$A:$L,1+translations!J208,)</f>
        <v>0</v>
      </c>
      <c r="J208" s="3448">
        <v>207</v>
      </c>
    </row>
    <row r="209" spans="1:10" s="2581" customFormat="1">
      <c r="A209" s="2581" t="s">
        <v>1638</v>
      </c>
      <c r="B209" s="2580" t="s">
        <v>1617</v>
      </c>
      <c r="C209" s="2580" t="s">
        <v>1618</v>
      </c>
      <c r="D209" s="2580" t="s">
        <v>1619</v>
      </c>
      <c r="E209" s="2580" t="str">
        <f>E1</f>
        <v>中文</v>
      </c>
      <c r="F209" s="2580" t="s">
        <v>2518</v>
      </c>
      <c r="G209" s="2581" t="s">
        <v>3166</v>
      </c>
      <c r="H209" s="2581" t="str">
        <f>HLOOKUP(Non_UN,'Other Translations'!$A:$L,1+translations!J209,)</f>
        <v>Tiếng Việt</v>
      </c>
      <c r="J209" s="2820">
        <v>208</v>
      </c>
    </row>
    <row r="210" spans="1:10" s="3448" customFormat="1">
      <c r="A210" s="3578" t="s">
        <v>7143</v>
      </c>
      <c r="B210" s="2749" t="s">
        <v>7602</v>
      </c>
      <c r="C210" s="2749" t="s">
        <v>1934</v>
      </c>
      <c r="D210" s="2911" t="s">
        <v>4118</v>
      </c>
      <c r="E210" s="2911" t="s">
        <v>8375</v>
      </c>
      <c r="F210" s="2911" t="s">
        <v>2683</v>
      </c>
      <c r="G210" s="3600" t="s">
        <v>3344</v>
      </c>
      <c r="H210" s="3448" t="str">
        <f>HLOOKUP(Non_UN,'Other Translations'!$A:$L,1+translations!J210,)</f>
        <v>5.1. Suy thoái rừng và quản lý</v>
      </c>
      <c r="J210" s="3448">
        <v>209</v>
      </c>
    </row>
    <row r="211" spans="1:10" s="3448" customFormat="1">
      <c r="A211" s="3578" t="s">
        <v>7143</v>
      </c>
      <c r="B211" s="2911" t="s">
        <v>1462</v>
      </c>
      <c r="C211" s="2749" t="s">
        <v>1935</v>
      </c>
      <c r="D211" s="2911" t="s">
        <v>4119</v>
      </c>
      <c r="E211" s="2911" t="s">
        <v>8376</v>
      </c>
      <c r="F211" s="2911" t="s">
        <v>2684</v>
      </c>
      <c r="G211" s="3448" t="s">
        <v>3345</v>
      </c>
      <c r="H211" s="3448" t="str">
        <f>HLOOKUP(Non_UN,'Other Translations'!$A:$L,1+translations!J211,)</f>
        <v>Mức độ suy thoái thảm thực vật</v>
      </c>
      <c r="J211" s="3448">
        <v>210</v>
      </c>
    </row>
    <row r="212" spans="1:10" s="3448" customFormat="1">
      <c r="A212" s="3578" t="s">
        <v>7143</v>
      </c>
      <c r="B212" s="2911" t="s">
        <v>1463</v>
      </c>
      <c r="C212" s="2749" t="s">
        <v>1936</v>
      </c>
      <c r="D212" s="2911" t="s">
        <v>4120</v>
      </c>
      <c r="E212" s="2911" t="s">
        <v>8377</v>
      </c>
      <c r="F212" s="2911" t="s">
        <v>2685</v>
      </c>
      <c r="G212" s="3448" t="s">
        <v>3346</v>
      </c>
      <c r="H212" s="3448" t="str">
        <f>HLOOKUP(Non_UN,'Other Translations'!$A:$L,1+translations!J212,)</f>
        <v>Tại thời điểm cuối</v>
      </c>
      <c r="J212" s="3448">
        <v>211</v>
      </c>
    </row>
    <row r="213" spans="1:10" s="3448" customFormat="1">
      <c r="A213" s="3578" t="s">
        <v>7143</v>
      </c>
      <c r="B213" s="2911" t="s">
        <v>1461</v>
      </c>
      <c r="C213" s="2749" t="s">
        <v>1937</v>
      </c>
      <c r="D213" s="2749" t="s">
        <v>4498</v>
      </c>
      <c r="E213" s="2911" t="s">
        <v>8378</v>
      </c>
      <c r="F213" s="2911" t="s">
        <v>3109</v>
      </c>
      <c r="G213" s="3448" t="s">
        <v>3347</v>
      </c>
      <c r="H213" s="3448" t="str">
        <f>HLOOKUP(Non_UN,'Other Translations'!$A:$L,1+translations!J213,)</f>
        <v>mà có thể sẽ bị suy thoái</v>
      </c>
      <c r="J213" s="3448">
        <v>212</v>
      </c>
    </row>
    <row r="214" spans="1:10" s="3448" customFormat="1">
      <c r="A214" s="3578" t="s">
        <v>7143</v>
      </c>
      <c r="B214" s="2911" t="s">
        <v>1464</v>
      </c>
      <c r="C214" s="2749" t="s">
        <v>1938</v>
      </c>
      <c r="D214" s="2911" t="s">
        <v>4121</v>
      </c>
      <c r="E214" s="2911" t="s">
        <v>8379</v>
      </c>
      <c r="F214" s="2911" t="s">
        <v>2686</v>
      </c>
      <c r="G214" s="3448" t="s">
        <v>3348</v>
      </c>
      <c r="H214" s="3448" t="str">
        <f>HLOOKUP(Non_UN,'Other Translations'!$A:$L,1+translations!J214,)</f>
        <v>Xảy ra cháy và mức độ nghiêm trọng</v>
      </c>
      <c r="J214" s="3448">
        <v>213</v>
      </c>
    </row>
    <row r="215" spans="1:10" s="3448" customFormat="1">
      <c r="A215" s="3578" t="s">
        <v>7143</v>
      </c>
      <c r="B215" s="2749" t="s">
        <v>5422</v>
      </c>
      <c r="C215" s="2749" t="s">
        <v>1949</v>
      </c>
      <c r="D215" s="2911" t="s">
        <v>4122</v>
      </c>
      <c r="E215" s="2911" t="s">
        <v>8380</v>
      </c>
      <c r="F215" s="2911" t="s">
        <v>3110</v>
      </c>
      <c r="G215" s="3448" t="s">
        <v>3349</v>
      </c>
      <c r="H215" s="3448" t="str">
        <f>HLOOKUP(Non_UN,'Other Translations'!$A:$L,1+translations!J215,)</f>
        <v>Tổng suy thoái rừng và quản lý</v>
      </c>
      <c r="J215" s="3448">
        <v>214</v>
      </c>
    </row>
    <row r="216" spans="1:10" s="3448" customFormat="1">
      <c r="A216" s="3578" t="s">
        <v>7143</v>
      </c>
      <c r="B216" s="2911" t="s">
        <v>1465</v>
      </c>
      <c r="C216" s="2749" t="s">
        <v>1950</v>
      </c>
      <c r="D216" s="2911" t="s">
        <v>4123</v>
      </c>
      <c r="E216" s="2911" t="s">
        <v>8381</v>
      </c>
      <c r="F216" s="2911" t="s">
        <v>2687</v>
      </c>
      <c r="G216" s="3448" t="s">
        <v>3350</v>
      </c>
      <c r="H216" s="3448" t="str">
        <f>HLOOKUP(Non_UN,'Other Translations'!$A:$L,1+translations!J216,)</f>
        <v>(% đốt)</v>
      </c>
      <c r="J216" s="3448">
        <v>215</v>
      </c>
    </row>
    <row r="217" spans="1:10" s="3448" customFormat="1">
      <c r="A217" s="3578" t="s">
        <v>7143</v>
      </c>
      <c r="B217" s="2749" t="s">
        <v>1410</v>
      </c>
      <c r="C217" s="2749" t="s">
        <v>1870</v>
      </c>
      <c r="D217" s="2911" t="s">
        <v>4077</v>
      </c>
      <c r="E217" s="2911" t="s">
        <v>8328</v>
      </c>
      <c r="F217" s="2911" t="s">
        <v>2639</v>
      </c>
      <c r="G217" s="3448" t="s">
        <v>3351</v>
      </c>
      <c r="H217" s="3448" t="str">
        <f>HLOOKUP(Non_UN,'Other Translations'!$A:$L,1+translations!J217,)</f>
        <v>Chu kỳ</v>
      </c>
      <c r="J217" s="3448">
        <v>216</v>
      </c>
    </row>
    <row r="218" spans="1:10" s="3448" customFormat="1">
      <c r="A218" s="3578" t="s">
        <v>7143</v>
      </c>
      <c r="B218" s="2749" t="s">
        <v>1466</v>
      </c>
      <c r="C218" s="2749" t="s">
        <v>1466</v>
      </c>
      <c r="D218" s="2911" t="s">
        <v>3926</v>
      </c>
      <c r="E218" s="2911" t="s">
        <v>8382</v>
      </c>
      <c r="F218" s="2911" t="s">
        <v>2688</v>
      </c>
      <c r="G218" s="3448" t="s">
        <v>3352</v>
      </c>
      <c r="H218" s="3448" t="str">
        <f>HLOOKUP(Non_UN,'Other Translations'!$A:$L,1+translations!J218,)</f>
        <v>Tác động</v>
      </c>
      <c r="J218" s="3448">
        <v>217</v>
      </c>
    </row>
    <row r="219" spans="1:10" s="3448" customFormat="1">
      <c r="A219" s="3578" t="s">
        <v>7143</v>
      </c>
      <c r="B219" s="2749" t="s">
        <v>1955</v>
      </c>
      <c r="C219" s="2749" t="s">
        <v>1956</v>
      </c>
      <c r="D219" s="2911" t="s">
        <v>4124</v>
      </c>
      <c r="E219" s="2911" t="s">
        <v>8383</v>
      </c>
      <c r="F219" s="2911" t="s">
        <v>3111</v>
      </c>
      <c r="G219" s="3448" t="s">
        <v>3353</v>
      </c>
      <c r="H219" s="3448" t="str">
        <f>HLOOKUP(Non_UN,'Other Translations'!$A:$L,1+translations!J219,)</f>
        <v>5.2. Suy thoái carbon đất (đất than bùn)</v>
      </c>
      <c r="J219" s="3448">
        <v>218</v>
      </c>
    </row>
    <row r="220" spans="1:10" s="3448" customFormat="1">
      <c r="A220" s="3578" t="s">
        <v>7143</v>
      </c>
      <c r="B220" s="2911" t="s">
        <v>1544</v>
      </c>
      <c r="C220" s="2749" t="s">
        <v>1957</v>
      </c>
      <c r="D220" s="2911" t="s">
        <v>4125</v>
      </c>
      <c r="E220" s="2911" t="s">
        <v>8384</v>
      </c>
      <c r="F220" s="2911" t="s">
        <v>3112</v>
      </c>
      <c r="G220" s="3448" t="s">
        <v>3354</v>
      </c>
      <c r="H220" s="3448" t="str">
        <f>HLOOKUP(Non_UN,'Other Translations'!$A:$L,1+translations!J220,)</f>
        <v>5.2.1. Thất thoát hữu cơ đất (đất than bùn)</v>
      </c>
      <c r="J220" s="3448">
        <v>219</v>
      </c>
    </row>
    <row r="221" spans="1:10" s="3448" customFormat="1">
      <c r="A221" s="3578" t="s">
        <v>7143</v>
      </c>
      <c r="B221" s="2749" t="s">
        <v>1965</v>
      </c>
      <c r="C221" s="2749" t="s">
        <v>1964</v>
      </c>
      <c r="D221" s="2911" t="s">
        <v>4126</v>
      </c>
      <c r="E221" s="2911" t="s">
        <v>8385</v>
      </c>
      <c r="F221" s="2911" t="s">
        <v>3113</v>
      </c>
      <c r="G221" s="3448" t="s">
        <v>3355</v>
      </c>
      <c r="H221" s="3448" t="str">
        <f>HLOOKUP(Non_UN,'Other Translations'!$A:$L,1+translations!J221,)</f>
        <v>liên quan đến tiêu thoát nước</v>
      </c>
      <c r="J221" s="3448">
        <v>220</v>
      </c>
    </row>
    <row r="222" spans="1:10" s="3448" customFormat="1">
      <c r="A222" s="3578" t="s">
        <v>7143</v>
      </c>
      <c r="B222" s="2749" t="s">
        <v>4117</v>
      </c>
      <c r="C222" s="2749" t="s">
        <v>1958</v>
      </c>
      <c r="D222" s="2911" t="s">
        <v>4127</v>
      </c>
      <c r="E222" s="2911" t="s">
        <v>8386</v>
      </c>
      <c r="F222" s="2911" t="s">
        <v>2689</v>
      </c>
      <c r="G222" s="3448" t="s">
        <v>3356</v>
      </c>
      <c r="H222" s="3448" t="str">
        <f>HLOOKUP(Non_UN,'Other Translations'!$A:$L,1+translations!J222,)</f>
        <v>Diện tích bề mặt bị thất thoát carbon đất (ha)</v>
      </c>
      <c r="J222" s="3448">
        <v>221</v>
      </c>
    </row>
    <row r="223" spans="1:10" s="3448" customFormat="1">
      <c r="A223" s="3578" t="s">
        <v>7143</v>
      </c>
      <c r="B223" s="2911" t="s">
        <v>231</v>
      </c>
      <c r="C223" s="2749" t="s">
        <v>1951</v>
      </c>
      <c r="D223" s="2911" t="s">
        <v>4128</v>
      </c>
      <c r="E223" s="2911" t="s">
        <v>8387</v>
      </c>
      <c r="F223" s="2911" t="s">
        <v>2690</v>
      </c>
      <c r="G223" s="3448" t="s">
        <v>3357</v>
      </c>
      <c r="H223" s="3448" t="str">
        <f>HLOOKUP(Non_UN,'Other Translations'!$A:$L,1+translations!J223,)</f>
        <v>Rừng được quản lý</v>
      </c>
      <c r="J223" s="3448">
        <v>222</v>
      </c>
    </row>
    <row r="224" spans="1:10" s="3448" customFormat="1">
      <c r="A224" s="3578" t="s">
        <v>7143</v>
      </c>
      <c r="B224" s="2911" t="s">
        <v>1091</v>
      </c>
      <c r="C224" s="2749" t="s">
        <v>1953</v>
      </c>
      <c r="D224" s="2911" t="s">
        <v>4129</v>
      </c>
      <c r="E224" s="2911" t="s">
        <v>8388</v>
      </c>
      <c r="F224" s="2911" t="s">
        <v>2691</v>
      </c>
      <c r="G224" s="3448" t="s">
        <v>3358</v>
      </c>
      <c r="H224" s="3448" t="str">
        <f>HLOOKUP(Non_UN,'Other Translations'!$A:$L,1+translations!J224,)</f>
        <v>Hàng năm</v>
      </c>
      <c r="J224" s="3448">
        <v>223</v>
      </c>
    </row>
    <row r="225" spans="1:10" s="3448" customFormat="1">
      <c r="A225" s="3578" t="s">
        <v>7143</v>
      </c>
      <c r="B225" s="2911" t="s">
        <v>1092</v>
      </c>
      <c r="C225" s="2749" t="s">
        <v>1952</v>
      </c>
      <c r="D225" s="2911" t="s">
        <v>4130</v>
      </c>
      <c r="E225" s="2911" t="s">
        <v>8389</v>
      </c>
      <c r="F225" s="2911" t="s">
        <v>2692</v>
      </c>
      <c r="G225" s="3448" t="s">
        <v>3359</v>
      </c>
      <c r="H225" s="3448" t="str">
        <f>HLOOKUP(Non_UN,'Other Translations'!$A:$L,1+translations!J225,)</f>
        <v>Lâu năm</v>
      </c>
      <c r="J225" s="3448">
        <v>224</v>
      </c>
    </row>
    <row r="226" spans="1:10" s="3448" customFormat="1">
      <c r="A226" s="3578" t="s">
        <v>7143</v>
      </c>
      <c r="B226" s="2911" t="s">
        <v>329</v>
      </c>
      <c r="C226" s="2749" t="s">
        <v>1954</v>
      </c>
      <c r="D226" s="2911" t="s">
        <v>4131</v>
      </c>
      <c r="E226" s="2911" t="s">
        <v>8390</v>
      </c>
      <c r="F226" s="2911" t="s">
        <v>2693</v>
      </c>
      <c r="G226" s="3448" t="s">
        <v>3360</v>
      </c>
      <c r="H226" s="3448" t="str">
        <f>HLOOKUP(Non_UN,'Other Translations'!$A:$L,1+translations!J226,)</f>
        <v>Đồng cỏ</v>
      </c>
      <c r="J226" s="3448">
        <v>225</v>
      </c>
    </row>
    <row r="227" spans="1:10" s="3448" customFormat="1">
      <c r="A227" s="3578" t="s">
        <v>7143</v>
      </c>
      <c r="B227" s="2749" t="s">
        <v>5424</v>
      </c>
      <c r="C227" s="2749" t="s">
        <v>1959</v>
      </c>
      <c r="D227" s="2911" t="s">
        <v>4132</v>
      </c>
      <c r="E227" s="2911" t="s">
        <v>8391</v>
      </c>
      <c r="F227" s="2911" t="s">
        <v>2694</v>
      </c>
      <c r="G227" s="3448" t="s">
        <v>3361</v>
      </c>
      <c r="H227" s="3448" t="str">
        <f>HLOOKUP(Non_UN,'Other Translations'!$A:$L,1+translations!J227,)</f>
        <v>Tổng cộng cho tiêu thoát</v>
      </c>
      <c r="J227" s="3448">
        <v>226</v>
      </c>
    </row>
    <row r="228" spans="1:10" s="3448" customFormat="1">
      <c r="A228" s="3578" t="s">
        <v>7143</v>
      </c>
      <c r="B228" s="2911" t="s">
        <v>4833</v>
      </c>
      <c r="C228" s="2749" t="s">
        <v>1960</v>
      </c>
      <c r="D228" s="2911" t="s">
        <v>4133</v>
      </c>
      <c r="E228" s="2911" t="s">
        <v>8392</v>
      </c>
      <c r="F228" s="2911" t="s">
        <v>2695</v>
      </c>
      <c r="G228" s="3603" t="s">
        <v>3362</v>
      </c>
      <c r="H228" s="3448" t="str">
        <f>HLOOKUP(Non_UN,'Other Translations'!$A:$L,1+translations!J228,)</f>
        <v>5.2.2. Khai thác than bùn hoạt tính</v>
      </c>
      <c r="J228" s="3448">
        <v>227</v>
      </c>
    </row>
    <row r="229" spans="1:10" s="3448" customFormat="1">
      <c r="A229" s="3578" t="s">
        <v>7143</v>
      </c>
      <c r="B229" s="2749" t="s">
        <v>1467</v>
      </c>
      <c r="C229" s="2749" t="s">
        <v>1961</v>
      </c>
      <c r="D229" s="2911" t="s">
        <v>4134</v>
      </c>
      <c r="E229" s="2911" t="s">
        <v>8393</v>
      </c>
      <c r="F229" s="2911" t="s">
        <v>2696</v>
      </c>
      <c r="G229" s="3448" t="s">
        <v>3363</v>
      </c>
      <c r="H229" s="3448" t="str">
        <f>HLOOKUP(Non_UN,'Other Translations'!$A:$L,1+translations!J229,)</f>
        <v>Kiểu than bùn</v>
      </c>
      <c r="J229" s="3448">
        <v>228</v>
      </c>
    </row>
    <row r="230" spans="1:10" s="3448" customFormat="1">
      <c r="A230" s="3578" t="s">
        <v>7143</v>
      </c>
      <c r="B230" s="2911" t="s">
        <v>1610</v>
      </c>
      <c r="C230" s="2749" t="s">
        <v>1962</v>
      </c>
      <c r="D230" s="2911" t="s">
        <v>4135</v>
      </c>
      <c r="E230" s="2911" t="s">
        <v>8394</v>
      </c>
      <c r="F230" s="2911" t="s">
        <v>2697</v>
      </c>
      <c r="G230" s="3448" t="s">
        <v>3364</v>
      </c>
      <c r="H230" s="3448" t="str">
        <f>HLOOKUP(Non_UN,'Other Translations'!$A:$L,1+translations!J230,)</f>
        <v>Than bùn nghèo dinh dưỡng</v>
      </c>
      <c r="J230" s="3448">
        <v>229</v>
      </c>
    </row>
    <row r="231" spans="1:10" s="3448" customFormat="1">
      <c r="A231" s="3578" t="s">
        <v>7143</v>
      </c>
      <c r="B231" s="2911" t="s">
        <v>230</v>
      </c>
      <c r="C231" s="2749" t="s">
        <v>1963</v>
      </c>
      <c r="D231" s="2911" t="s">
        <v>4136</v>
      </c>
      <c r="E231" s="2911" t="s">
        <v>8395</v>
      </c>
      <c r="F231" s="2911" t="s">
        <v>2698</v>
      </c>
      <c r="G231" s="3448" t="s">
        <v>3365</v>
      </c>
      <c r="H231" s="3448" t="str">
        <f>HLOOKUP(Non_UN,'Other Translations'!$A:$L,1+translations!J231,)</f>
        <v>Giầu dinh dưỡng</v>
      </c>
      <c r="J231" s="3448">
        <v>230</v>
      </c>
    </row>
    <row r="232" spans="1:10" s="3448" customFormat="1">
      <c r="A232" s="3578" t="s">
        <v>7143</v>
      </c>
      <c r="B232" s="2749" t="s">
        <v>5423</v>
      </c>
      <c r="C232" s="2749" t="s">
        <v>1967</v>
      </c>
      <c r="D232" s="2911" t="s">
        <v>4137</v>
      </c>
      <c r="E232" s="2911" t="s">
        <v>8396</v>
      </c>
      <c r="F232" s="2911" t="s">
        <v>2699</v>
      </c>
      <c r="G232" s="3448" t="s">
        <v>3366</v>
      </c>
      <c r="H232" s="3448" t="str">
        <f>HLOOKUP(Non_UN,'Other Translations'!$A:$L,1+translations!J232,)</f>
        <v>Tổng khai thác</v>
      </c>
      <c r="J232" s="3448">
        <v>231</v>
      </c>
    </row>
    <row r="233" spans="1:10" s="3448" customFormat="1">
      <c r="A233" s="3578" t="s">
        <v>7143</v>
      </c>
      <c r="B233" s="2911" t="s">
        <v>1543</v>
      </c>
      <c r="C233" s="2749" t="s">
        <v>1966</v>
      </c>
      <c r="D233" s="2911" t="s">
        <v>4138</v>
      </c>
      <c r="E233" s="2911" t="s">
        <v>8397</v>
      </c>
      <c r="F233" s="2911" t="s">
        <v>2700</v>
      </c>
      <c r="G233" s="3448" t="s">
        <v>3367</v>
      </c>
      <c r="H233" s="3448" t="str">
        <f>HLOOKUP(Non_UN,'Other Translations'!$A:$L,1+translations!J233,)</f>
        <v>Mức độ suy thoái (% sinh khối mất)</v>
      </c>
      <c r="J233" s="3448">
        <v>232</v>
      </c>
    </row>
    <row r="234" spans="1:10" s="3448" customFormat="1" ht="25.5">
      <c r="A234" s="3578" t="s">
        <v>7143</v>
      </c>
      <c r="B234" s="2911" t="s">
        <v>232</v>
      </c>
      <c r="C234" s="2749" t="s">
        <v>1968</v>
      </c>
      <c r="D234" s="2911" t="s">
        <v>4139</v>
      </c>
      <c r="E234" s="2911" t="s">
        <v>8398</v>
      </c>
      <c r="F234" s="2911" t="s">
        <v>2701</v>
      </c>
      <c r="G234" s="3448" t="s">
        <v>3368</v>
      </c>
      <c r="H234" s="3448" t="str">
        <f>HLOOKUP(Non_UN,'Other Translations'!$A:$L,1+translations!J234,)</f>
        <v>Phát thải từ mất C từ tiêu thoát hữu cơ đất</v>
      </c>
      <c r="J234" s="3448">
        <v>233</v>
      </c>
    </row>
    <row r="235" spans="1:10" s="3448" customFormat="1">
      <c r="A235" s="3578" t="s">
        <v>7143</v>
      </c>
      <c r="B235" s="2911" t="s">
        <v>1545</v>
      </c>
      <c r="C235" s="2749" t="s">
        <v>1969</v>
      </c>
      <c r="D235" s="2911" t="s">
        <v>4140</v>
      </c>
      <c r="E235" s="2911" t="s">
        <v>3802</v>
      </c>
      <c r="F235" s="2911" t="s">
        <v>3114</v>
      </c>
      <c r="G235" s="3448" t="s">
        <v>3369</v>
      </c>
      <c r="H235" s="3448" t="str">
        <f>HLOOKUP(Non_UN,'Other Translations'!$A:$L,1+translations!J235,)</f>
        <v>Yếu tố phát thải (t C/ha/năm)</v>
      </c>
      <c r="J235" s="3448">
        <v>234</v>
      </c>
    </row>
    <row r="236" spans="1:10" s="3448" customFormat="1" ht="25.5">
      <c r="A236" s="3578" t="s">
        <v>7143</v>
      </c>
      <c r="B236" s="2911" t="s">
        <v>1546</v>
      </c>
      <c r="C236" s="2749" t="s">
        <v>1972</v>
      </c>
      <c r="D236" s="2911" t="s">
        <v>4141</v>
      </c>
      <c r="E236" s="2911" t="s">
        <v>8399</v>
      </c>
      <c r="F236" s="2911" t="s">
        <v>2702</v>
      </c>
      <c r="G236" s="3448" t="s">
        <v>3370</v>
      </c>
      <c r="H236" s="3448" t="str">
        <f>HLOOKUP(Non_UN,'Other Translations'!$A:$L,1+translations!J236,)</f>
        <v>Phát thải tại chỗ từ khai thác than bùn hoạt tính</v>
      </c>
      <c r="J236" s="3448">
        <v>235</v>
      </c>
    </row>
    <row r="237" spans="1:10" s="3448" customFormat="1">
      <c r="A237" s="3578" t="s">
        <v>7143</v>
      </c>
      <c r="B237" s="2911" t="s">
        <v>1970</v>
      </c>
      <c r="C237" s="2749" t="s">
        <v>1973</v>
      </c>
      <c r="D237" s="2911" t="s">
        <v>4142</v>
      </c>
      <c r="E237" s="2911" t="s">
        <v>3803</v>
      </c>
      <c r="F237" s="2911" t="s">
        <v>2703</v>
      </c>
      <c r="G237" s="3448" t="s">
        <v>3371</v>
      </c>
      <c r="H237" s="3448" t="str">
        <f>HLOOKUP(Non_UN,'Other Translations'!$A:$L,1+translations!J237,)</f>
        <v>Yếu tố phát thải CO2 (tC/ha/năm)</v>
      </c>
      <c r="J237" s="3448">
        <v>236</v>
      </c>
    </row>
    <row r="238" spans="1:10" s="3448" customFormat="1">
      <c r="A238" s="3578" t="s">
        <v>7143</v>
      </c>
      <c r="B238" s="2749" t="s">
        <v>1971</v>
      </c>
      <c r="C238" s="2749" t="s">
        <v>1974</v>
      </c>
      <c r="D238" s="2911" t="s">
        <v>4499</v>
      </c>
      <c r="E238" s="2911" t="s">
        <v>8400</v>
      </c>
      <c r="F238" s="2911" t="s">
        <v>2704</v>
      </c>
      <c r="G238" s="3448" t="s">
        <v>3372</v>
      </c>
      <c r="H238" s="3448" t="str">
        <f>HLOOKUP(Non_UN,'Other Translations'!$A:$L,1+translations!J238,)</f>
        <v>Yếu tố phát thải N2O (kg N2O-N/ha/năm)</v>
      </c>
      <c r="J238" s="3448">
        <v>237</v>
      </c>
    </row>
    <row r="239" spans="1:10" s="3448" customFormat="1">
      <c r="A239" s="3578" t="s">
        <v>7143</v>
      </c>
      <c r="C239" s="2911"/>
      <c r="D239" s="2911"/>
      <c r="E239" s="2911"/>
      <c r="F239" s="2911"/>
      <c r="H239" s="3448" t="str">
        <f>HLOOKUP(Non_UN,'Other Translations'!$A:$L,1+translations!J239,)</f>
        <v>Điểm này phù hợp với suy thoái rừng ngập mặn và chỉ nên được tính ở đây</v>
      </c>
      <c r="J239" s="3448">
        <v>238</v>
      </c>
    </row>
    <row r="240" spans="1:10" s="3448" customFormat="1">
      <c r="A240" s="3578" t="s">
        <v>7143</v>
      </c>
      <c r="B240" s="2911"/>
      <c r="C240" s="2911"/>
      <c r="D240" s="2911"/>
      <c r="E240" s="2911"/>
      <c r="F240" s="2911"/>
      <c r="H240" s="3448">
        <f>HLOOKUP(Non_UN,'Other Translations'!$A:$L,1+translations!J240,)</f>
        <v>0</v>
      </c>
      <c r="J240" s="3448">
        <v>239</v>
      </c>
    </row>
    <row r="241" spans="1:10" s="3448" customFormat="1">
      <c r="A241" s="3578" t="s">
        <v>7143</v>
      </c>
      <c r="B241" s="2911"/>
      <c r="C241" s="2911"/>
      <c r="D241" s="2911"/>
      <c r="E241" s="2911"/>
      <c r="F241" s="2911"/>
      <c r="H241" s="3448">
        <f>HLOOKUP(Non_UN,'Other Translations'!$A:$L,1+translations!J241,)</f>
        <v>0</v>
      </c>
      <c r="J241" s="3448">
        <v>240</v>
      </c>
    </row>
    <row r="242" spans="1:10" s="3448" customFormat="1">
      <c r="A242" s="3578" t="s">
        <v>7143</v>
      </c>
      <c r="B242" s="2911"/>
      <c r="C242" s="2911"/>
      <c r="D242" s="2911"/>
      <c r="E242" s="2911"/>
      <c r="F242" s="2911"/>
      <c r="H242" s="3448">
        <f>HLOOKUP(Non_UN,'Other Translations'!$A:$L,1+translations!J242,)</f>
        <v>0</v>
      </c>
      <c r="J242" s="3448">
        <v>241</v>
      </c>
    </row>
    <row r="243" spans="1:10" s="3448" customFormat="1">
      <c r="A243" s="3578" t="s">
        <v>7143</v>
      </c>
      <c r="B243" s="2911"/>
      <c r="C243" s="2911"/>
      <c r="D243" s="2911"/>
      <c r="E243" s="2911"/>
      <c r="F243" s="2911"/>
      <c r="H243" s="3448">
        <f>HLOOKUP(Non_UN,'Other Translations'!$A:$L,1+translations!J243,)</f>
        <v>0</v>
      </c>
      <c r="J243" s="3448">
        <v>242</v>
      </c>
    </row>
    <row r="244" spans="1:10" s="3448" customFormat="1">
      <c r="A244" s="3578" t="s">
        <v>7143</v>
      </c>
      <c r="B244" s="2911"/>
      <c r="C244" s="2911"/>
      <c r="D244" s="2911"/>
      <c r="E244" s="2911"/>
      <c r="F244" s="2911"/>
      <c r="H244" s="3448">
        <f>HLOOKUP(Non_UN,'Other Translations'!$A:$L,1+translations!J244,)</f>
        <v>0</v>
      </c>
      <c r="J244" s="3448">
        <v>243</v>
      </c>
    </row>
    <row r="245" spans="1:10" s="3448" customFormat="1">
      <c r="A245" s="3578" t="s">
        <v>7143</v>
      </c>
      <c r="B245" s="2911"/>
      <c r="C245" s="2911"/>
      <c r="D245" s="2911"/>
      <c r="E245" s="2911"/>
      <c r="F245" s="2911"/>
      <c r="H245" s="3448">
        <f>HLOOKUP(Non_UN,'Other Translations'!$A:$L,1+translations!J245,)</f>
        <v>0</v>
      </c>
      <c r="J245" s="3448">
        <v>244</v>
      </c>
    </row>
    <row r="246" spans="1:10" s="3448" customFormat="1">
      <c r="A246" s="3578" t="s">
        <v>7143</v>
      </c>
      <c r="B246" s="2911"/>
      <c r="C246" s="2911"/>
      <c r="D246" s="2911"/>
      <c r="E246" s="2911"/>
      <c r="F246" s="2911"/>
      <c r="H246" s="3448">
        <f>HLOOKUP(Non_UN,'Other Translations'!$A:$L,1+translations!J246,)</f>
        <v>0</v>
      </c>
      <c r="J246" s="3448">
        <v>245</v>
      </c>
    </row>
    <row r="247" spans="1:10" s="3448" customFormat="1">
      <c r="A247" s="3578" t="s">
        <v>7143</v>
      </c>
      <c r="B247" s="2911"/>
      <c r="C247" s="2911"/>
      <c r="D247" s="2911"/>
      <c r="E247" s="2911"/>
      <c r="F247" s="2911"/>
      <c r="H247" s="3448">
        <f>HLOOKUP(Non_UN,'Other Translations'!$A:$L,1+translations!J247,)</f>
        <v>0</v>
      </c>
      <c r="J247" s="3448">
        <v>246</v>
      </c>
    </row>
    <row r="248" spans="1:10" s="3448" customFormat="1">
      <c r="A248" s="3578" t="s">
        <v>7143</v>
      </c>
      <c r="B248" s="2911"/>
      <c r="C248" s="2911"/>
      <c r="D248" s="2911"/>
      <c r="E248" s="2911"/>
      <c r="F248" s="2911"/>
      <c r="H248" s="3448">
        <f>HLOOKUP(Non_UN,'Other Translations'!$A:$L,1+translations!J248,)</f>
        <v>0</v>
      </c>
      <c r="J248" s="3448">
        <v>247</v>
      </c>
    </row>
    <row r="249" spans="1:10" s="3448" customFormat="1">
      <c r="A249" s="3578" t="s">
        <v>7143</v>
      </c>
      <c r="B249" s="2911"/>
      <c r="C249" s="2911"/>
      <c r="D249" s="2911"/>
      <c r="E249" s="2911"/>
      <c r="F249" s="2911"/>
      <c r="H249" s="3448">
        <f>HLOOKUP(Non_UN,'Other Translations'!$A:$L,1+translations!J249,)</f>
        <v>0</v>
      </c>
      <c r="J249" s="3448">
        <v>248</v>
      </c>
    </row>
    <row r="250" spans="1:10" s="3448" customFormat="1">
      <c r="A250" s="3578" t="s">
        <v>7143</v>
      </c>
      <c r="B250" s="2911"/>
      <c r="C250" s="2911"/>
      <c r="D250" s="2911"/>
      <c r="E250" s="2911"/>
      <c r="F250" s="2911"/>
      <c r="H250" s="3448">
        <f>HLOOKUP(Non_UN,'Other Translations'!$A:$L,1+translations!J250,)</f>
        <v>0</v>
      </c>
      <c r="J250" s="3448">
        <v>249</v>
      </c>
    </row>
    <row r="251" spans="1:10" s="2581" customFormat="1">
      <c r="A251" s="2581" t="s">
        <v>1638</v>
      </c>
      <c r="B251" s="2580" t="s">
        <v>1617</v>
      </c>
      <c r="C251" s="2580" t="s">
        <v>1618</v>
      </c>
      <c r="D251" s="2580" t="s">
        <v>1619</v>
      </c>
      <c r="E251" s="2580" t="str">
        <f>E1</f>
        <v>中文</v>
      </c>
      <c r="F251" s="2580" t="s">
        <v>2518</v>
      </c>
      <c r="G251" s="2581" t="s">
        <v>3166</v>
      </c>
      <c r="H251" s="2581" t="str">
        <f>HLOOKUP(Non_UN,'Other Translations'!$A:$L,1+translations!J251,)</f>
        <v>Tiếng Việt</v>
      </c>
      <c r="J251" s="2820">
        <v>250</v>
      </c>
    </row>
    <row r="252" spans="1:10" s="3448" customFormat="1" ht="25.5">
      <c r="A252" s="3578" t="s">
        <v>1975</v>
      </c>
      <c r="B252" s="2911" t="s">
        <v>4834</v>
      </c>
      <c r="C252" s="2749" t="s">
        <v>1976</v>
      </c>
      <c r="D252" s="2911" t="s">
        <v>4143</v>
      </c>
      <c r="E252" s="2911" t="s">
        <v>8401</v>
      </c>
      <c r="F252" s="3599" t="s">
        <v>2705</v>
      </c>
      <c r="G252" s="3448" t="s">
        <v>3373</v>
      </c>
      <c r="H252" s="3448" t="str">
        <f>HLOOKUP(Non_UN,'Other Translations'!$A:$L,1+translations!J252,)</f>
        <v>6.1. Các vật tư đầu vào (...)</v>
      </c>
      <c r="J252" s="3448">
        <v>251</v>
      </c>
    </row>
    <row r="253" spans="1:10" s="3448" customFormat="1">
      <c r="A253" s="3578" t="s">
        <v>1975</v>
      </c>
      <c r="B253" s="2749" t="s">
        <v>1443</v>
      </c>
      <c r="C253" s="2749" t="s">
        <v>1977</v>
      </c>
      <c r="D253" s="2911" t="s">
        <v>4144</v>
      </c>
      <c r="E253" s="2911" t="s">
        <v>8402</v>
      </c>
      <c r="F253" s="2911" t="s">
        <v>2706</v>
      </c>
      <c r="G253" s="3448" t="s">
        <v>3374</v>
      </c>
      <c r="H253" s="3448" t="str">
        <f>HLOOKUP(Non_UN,'Other Translations'!$A:$L,1+translations!J253,)</f>
        <v>Mô tả  và các đơn vị để báo cáo</v>
      </c>
      <c r="J253" s="3448">
        <v>252</v>
      </c>
    </row>
    <row r="254" spans="1:10" s="3448" customFormat="1">
      <c r="A254" s="3578" t="s">
        <v>1975</v>
      </c>
      <c r="B254" s="2911" t="s">
        <v>1454</v>
      </c>
      <c r="C254" s="2749" t="s">
        <v>1978</v>
      </c>
      <c r="D254" s="2911" t="s">
        <v>4145</v>
      </c>
      <c r="E254" s="2911" t="s">
        <v>8403</v>
      </c>
      <c r="F254" s="2911" t="s">
        <v>2707</v>
      </c>
      <c r="G254" s="3448" t="s">
        <v>3375</v>
      </c>
      <c r="H254" s="3448" t="str">
        <f>HLOOKUP(Non_UN,'Other Translations'!$A:$L,1+translations!J254,)</f>
        <v>Số lượng áp dụng/năm</v>
      </c>
      <c r="J254" s="3448">
        <v>253</v>
      </c>
    </row>
    <row r="255" spans="1:10" s="3448" customFormat="1">
      <c r="A255" s="3578" t="s">
        <v>1975</v>
      </c>
      <c r="B255" s="2749" t="s">
        <v>1980</v>
      </c>
      <c r="C255" s="2749" t="s">
        <v>1979</v>
      </c>
      <c r="D255" s="2911" t="s">
        <v>4146</v>
      </c>
      <c r="E255" s="2911" t="s">
        <v>3804</v>
      </c>
      <c r="F255" s="2911" t="s">
        <v>2708</v>
      </c>
      <c r="G255" s="3448" t="s">
        <v>3376</v>
      </c>
      <c r="H255" s="3448" t="str">
        <f>HLOOKUP(Non_UN,'Other Translations'!$A:$L,1+translations!J255,)</f>
        <v>Tổng phát thải tại đồng ruộng (tCO2-eq)</v>
      </c>
      <c r="J255" s="3448">
        <v>254</v>
      </c>
    </row>
    <row r="256" spans="1:10" s="3448" customFormat="1" ht="25.5">
      <c r="A256" s="3578" t="s">
        <v>1975</v>
      </c>
      <c r="B256" s="2749" t="s">
        <v>1981</v>
      </c>
      <c r="C256" s="2749" t="s">
        <v>1982</v>
      </c>
      <c r="D256" s="2911" t="s">
        <v>4147</v>
      </c>
      <c r="E256" s="2911" t="s">
        <v>3805</v>
      </c>
      <c r="F256" s="2911" t="s">
        <v>2709</v>
      </c>
      <c r="G256" s="3448" t="s">
        <v>3377</v>
      </c>
      <c r="H256" s="3448" t="str">
        <f>HLOOKUP(Non_UN,'Other Translations'!$A:$L,1+translations!J256,)</f>
        <v>Phát thải từ sản xuất, giao thông, bảo quản và chuyển giao (tCO2eq)</v>
      </c>
      <c r="J256" s="3448">
        <v>255</v>
      </c>
    </row>
    <row r="257" spans="1:10" s="3448" customFormat="1">
      <c r="A257" s="3578" t="s">
        <v>1975</v>
      </c>
      <c r="B257" s="2911" t="s">
        <v>1438</v>
      </c>
      <c r="C257" s="2749" t="s">
        <v>1986</v>
      </c>
      <c r="D257" s="2911" t="s">
        <v>4148</v>
      </c>
      <c r="E257" s="2911" t="s">
        <v>8404</v>
      </c>
      <c r="F257" s="2911" t="s">
        <v>2710</v>
      </c>
      <c r="G257" s="3448" t="s">
        <v>3378</v>
      </c>
      <c r="H257" s="3448" t="str">
        <f>HLOOKUP(Non_UN,'Other Translations'!$A:$L,1+translations!J257,)</f>
        <v>Áp dụng bón vôi</v>
      </c>
      <c r="J257" s="3448">
        <v>256</v>
      </c>
    </row>
    <row r="258" spans="1:10" s="3448" customFormat="1">
      <c r="A258" s="3578" t="s">
        <v>1975</v>
      </c>
      <c r="B258" s="2911" t="s">
        <v>1441</v>
      </c>
      <c r="C258" s="2749" t="s">
        <v>1984</v>
      </c>
      <c r="D258" s="2911" t="s">
        <v>4149</v>
      </c>
      <c r="E258" s="2911" t="s">
        <v>8405</v>
      </c>
      <c r="F258" s="2911" t="s">
        <v>2711</v>
      </c>
      <c r="G258" s="3448" t="s">
        <v>3379</v>
      </c>
      <c r="H258" s="3448" t="str">
        <f>HLOOKUP(Non_UN,'Other Translations'!$A:$L,1+translations!J258,)</f>
        <v>Vôi bột (tấn/năm)</v>
      </c>
      <c r="J258" s="3448">
        <v>257</v>
      </c>
    </row>
    <row r="259" spans="1:10" s="3448" customFormat="1">
      <c r="A259" s="3578" t="s">
        <v>1975</v>
      </c>
      <c r="B259" s="2911" t="s">
        <v>1442</v>
      </c>
      <c r="C259" s="2749" t="s">
        <v>1985</v>
      </c>
      <c r="D259" s="2911" t="s">
        <v>4150</v>
      </c>
      <c r="E259" s="2911" t="s">
        <v>8406</v>
      </c>
      <c r="F259" s="2911" t="s">
        <v>2712</v>
      </c>
      <c r="G259" s="3448" t="s">
        <v>3380</v>
      </c>
      <c r="H259" s="3448" t="str">
        <f>HLOOKUP(Non_UN,'Other Translations'!$A:$L,1+translations!J259,)</f>
        <v>Tấn quặng Dolomi /năm</v>
      </c>
      <c r="J259" s="3448">
        <v>258</v>
      </c>
    </row>
    <row r="260" spans="1:10" s="3448" customFormat="1">
      <c r="A260" s="3578" t="s">
        <v>1975</v>
      </c>
      <c r="B260" s="2911" t="s">
        <v>1444</v>
      </c>
      <c r="C260" s="2749" t="s">
        <v>1983</v>
      </c>
      <c r="D260" s="2911" t="s">
        <v>4151</v>
      </c>
      <c r="E260" s="2911" t="s">
        <v>8407</v>
      </c>
      <c r="F260" s="2911" t="s">
        <v>2713</v>
      </c>
      <c r="G260" s="3448" t="s">
        <v>3381</v>
      </c>
      <c r="H260" s="3448" t="str">
        <f>HLOOKUP(Non_UN,'Other Translations'!$A:$L,1+translations!J260,)</f>
        <v>không có loại cụ thể (tấn/năm)</v>
      </c>
      <c r="J260" s="3448">
        <v>259</v>
      </c>
    </row>
    <row r="261" spans="1:10" s="3448" customFormat="1">
      <c r="A261" s="3578" t="s">
        <v>1975</v>
      </c>
      <c r="B261" s="2911" t="s">
        <v>1439</v>
      </c>
      <c r="C261" s="2749" t="s">
        <v>1987</v>
      </c>
      <c r="D261" s="2911" t="s">
        <v>3954</v>
      </c>
      <c r="E261" s="2911" t="s">
        <v>8408</v>
      </c>
      <c r="F261" s="2911" t="s">
        <v>2714</v>
      </c>
      <c r="G261" s="3448" t="s">
        <v>3382</v>
      </c>
      <c r="H261" s="3448" t="str">
        <f>HLOOKUP(Non_UN,'Other Translations'!$A:$L,1+translations!J261,)</f>
        <v>Phân bón</v>
      </c>
      <c r="J261" s="3448">
        <v>260</v>
      </c>
    </row>
    <row r="262" spans="1:10" s="3448" customFormat="1" ht="25.5">
      <c r="A262" s="3578" t="s">
        <v>1975</v>
      </c>
      <c r="B262" s="2911" t="s">
        <v>1548</v>
      </c>
      <c r="C262" s="2749" t="s">
        <v>2047</v>
      </c>
      <c r="D262" s="2911" t="s">
        <v>4152</v>
      </c>
      <c r="E262" s="2911" t="s">
        <v>8409</v>
      </c>
      <c r="F262" s="2911" t="s">
        <v>2715</v>
      </c>
      <c r="G262" s="3448" t="s">
        <v>3383</v>
      </c>
      <c r="H262" s="3448" t="str">
        <f>HLOOKUP(Non_UN,'Other Translations'!$A:$L,1+translations!J262,)</f>
        <v>Urea (tấn N/năm-Urea có 46.7%N)</v>
      </c>
      <c r="J262" s="3448">
        <v>261</v>
      </c>
    </row>
    <row r="263" spans="1:10" s="3448" customFormat="1">
      <c r="A263" s="3578" t="s">
        <v>1975</v>
      </c>
      <c r="B263" s="2911" t="s">
        <v>1445</v>
      </c>
      <c r="C263" s="2749" t="s">
        <v>5575</v>
      </c>
      <c r="D263" s="2911" t="s">
        <v>4500</v>
      </c>
      <c r="E263" s="2911" t="s">
        <v>8410</v>
      </c>
      <c r="F263" s="2911" t="s">
        <v>2716</v>
      </c>
      <c r="G263" s="3448" t="s">
        <v>3384</v>
      </c>
      <c r="H263" s="3448" t="str">
        <f>HLOOKUP(Non_UN,'Other Translations'!$A:$L,1+translations!J263,)</f>
        <v>Phân bón đạm khác (tấn N/năm)</v>
      </c>
      <c r="J263" s="3448">
        <v>262</v>
      </c>
    </row>
    <row r="264" spans="1:10" s="3448" customFormat="1" ht="25.5">
      <c r="A264" s="3578" t="s">
        <v>1975</v>
      </c>
      <c r="B264" s="2911" t="s">
        <v>1446</v>
      </c>
      <c r="C264" s="2749" t="s">
        <v>1988</v>
      </c>
      <c r="D264" s="2911" t="s">
        <v>4153</v>
      </c>
      <c r="E264" s="2911" t="s">
        <v>8411</v>
      </c>
      <c r="F264" s="2911" t="s">
        <v>2717</v>
      </c>
      <c r="G264" s="3448" t="s">
        <v>3385</v>
      </c>
      <c r="H264" s="3448" t="str">
        <f>HLOOKUP(Non_UN,'Other Translations'!$A:$L,1+translations!J264,)</f>
        <v>Phân đạm cho lúa có tưới (tấn N/năm)</v>
      </c>
      <c r="J264" s="3448">
        <v>263</v>
      </c>
    </row>
    <row r="265" spans="1:10" s="3448" customFormat="1">
      <c r="A265" s="3578" t="s">
        <v>1975</v>
      </c>
      <c r="B265" s="2911" t="s">
        <v>1447</v>
      </c>
      <c r="C265" s="2749" t="s">
        <v>1989</v>
      </c>
      <c r="D265" s="2911" t="s">
        <v>4154</v>
      </c>
      <c r="E265" s="2911" t="s">
        <v>8412</v>
      </c>
      <c r="F265" s="2911" t="s">
        <v>2718</v>
      </c>
      <c r="G265" s="3448" t="s">
        <v>3386</v>
      </c>
      <c r="H265" s="3448" t="str">
        <f>HLOOKUP(Non_UN,'Other Translations'!$A:$L,1+translations!J265,)</f>
        <v>Nước thải (tấn N/năm)</v>
      </c>
      <c r="J265" s="3448">
        <v>264</v>
      </c>
    </row>
    <row r="266" spans="1:10" s="3448" customFormat="1">
      <c r="A266" s="3578" t="s">
        <v>1975</v>
      </c>
      <c r="B266" s="2911" t="s">
        <v>1448</v>
      </c>
      <c r="C266" s="2749" t="s">
        <v>1990</v>
      </c>
      <c r="D266" s="2911" t="s">
        <v>4155</v>
      </c>
      <c r="E266" s="2911" t="s">
        <v>8413</v>
      </c>
      <c r="F266" s="2911" t="s">
        <v>2719</v>
      </c>
      <c r="G266" s="3448" t="s">
        <v>3387</v>
      </c>
      <c r="H266" s="3448" t="str">
        <f>HLOOKUP(Non_UN,'Other Translations'!$A:$L,1+translations!J266,)</f>
        <v>Phân ủ (tấn N/năm)</v>
      </c>
      <c r="J266" s="3448">
        <v>265</v>
      </c>
    </row>
    <row r="267" spans="1:10" s="3448" customFormat="1">
      <c r="A267" s="3578" t="s">
        <v>1975</v>
      </c>
      <c r="B267" s="2911" t="s">
        <v>1449</v>
      </c>
      <c r="C267" s="2749" t="s">
        <v>1991</v>
      </c>
      <c r="D267" s="2911" t="s">
        <v>4156</v>
      </c>
      <c r="E267" s="2911" t="s">
        <v>8414</v>
      </c>
      <c r="F267" s="2911" t="s">
        <v>2720</v>
      </c>
      <c r="G267" s="3448" t="s">
        <v>3388</v>
      </c>
      <c r="H267" s="3448" t="str">
        <f>HLOOKUP(Non_UN,'Other Translations'!$A:$L,1+translations!J267,)</f>
        <v>Phân lân (tấn P2O5/năm)</v>
      </c>
      <c r="J267" s="3448">
        <v>266</v>
      </c>
    </row>
    <row r="268" spans="1:10" s="3448" customFormat="1">
      <c r="A268" s="3578" t="s">
        <v>1975</v>
      </c>
      <c r="B268" s="2911" t="s">
        <v>1450</v>
      </c>
      <c r="C268" s="2749" t="s">
        <v>1992</v>
      </c>
      <c r="D268" s="2911" t="s">
        <v>4157</v>
      </c>
      <c r="E268" s="2911" t="s">
        <v>8415</v>
      </c>
      <c r="F268" s="2911" t="s">
        <v>2721</v>
      </c>
      <c r="G268" s="3448" t="s">
        <v>3389</v>
      </c>
      <c r="H268" s="3448" t="str">
        <f>HLOOKUP(Non_UN,'Other Translations'!$A:$L,1+translations!J268,)</f>
        <v>Kali (tấn K2O/năm)</v>
      </c>
      <c r="J268" s="3448">
        <v>267</v>
      </c>
    </row>
    <row r="269" spans="1:10" s="3448" customFormat="1">
      <c r="A269" s="3578" t="s">
        <v>1975</v>
      </c>
      <c r="B269" s="2749" t="s">
        <v>1440</v>
      </c>
      <c r="C269" s="2749" t="s">
        <v>1440</v>
      </c>
      <c r="D269" s="2911" t="s">
        <v>4158</v>
      </c>
      <c r="E269" s="2911" t="s">
        <v>8416</v>
      </c>
      <c r="F269" s="2911" t="s">
        <v>2722</v>
      </c>
      <c r="G269" s="3448" t="s">
        <v>3390</v>
      </c>
      <c r="H269" s="3448" t="str">
        <f>HLOOKUP(Non_UN,'Other Translations'!$A:$L,1+translations!J269,)</f>
        <v>Thuốc trừ sâu</v>
      </c>
      <c r="J269" s="3448">
        <v>268</v>
      </c>
    </row>
    <row r="270" spans="1:10" s="3448" customFormat="1">
      <c r="A270" s="3578" t="s">
        <v>1975</v>
      </c>
      <c r="B270" s="2911" t="s">
        <v>1451</v>
      </c>
      <c r="C270" s="2749" t="s">
        <v>1993</v>
      </c>
      <c r="D270" s="2911" t="s">
        <v>4159</v>
      </c>
      <c r="E270" s="2911" t="s">
        <v>8417</v>
      </c>
      <c r="F270" s="2911" t="s">
        <v>2723</v>
      </c>
      <c r="G270" s="3448" t="s">
        <v>3391</v>
      </c>
      <c r="H270" s="3448" t="str">
        <f>HLOOKUP(Non_UN,'Other Translations'!$A:$L,1+translations!J270,)</f>
        <v>Thuốc trừ cỏ (tấn theo thành phần hoạt chất/năm)</v>
      </c>
      <c r="J270" s="3448">
        <v>269</v>
      </c>
    </row>
    <row r="271" spans="1:10" s="3448" customFormat="1">
      <c r="A271" s="3578" t="s">
        <v>1975</v>
      </c>
      <c r="B271" s="2911" t="s">
        <v>1452</v>
      </c>
      <c r="C271" s="2749" t="s">
        <v>1994</v>
      </c>
      <c r="D271" s="2911" t="s">
        <v>4160</v>
      </c>
      <c r="E271" s="2911" t="s">
        <v>8418</v>
      </c>
      <c r="F271" s="2911" t="s">
        <v>2724</v>
      </c>
      <c r="G271" s="3448" t="s">
        <v>3392</v>
      </c>
      <c r="H271" s="3448" t="str">
        <f>HLOOKUP(Non_UN,'Other Translations'!$A:$L,1+translations!J271,)</f>
        <v>Thuốc trừ sâu (tấn theo thành phần hoạt chất/năm)</v>
      </c>
      <c r="J271" s="3448">
        <v>270</v>
      </c>
    </row>
    <row r="272" spans="1:10" s="3448" customFormat="1">
      <c r="A272" s="3578" t="s">
        <v>1975</v>
      </c>
      <c r="B272" s="2911" t="s">
        <v>1453</v>
      </c>
      <c r="C272" s="2749" t="s">
        <v>1995</v>
      </c>
      <c r="D272" s="2911" t="s">
        <v>4161</v>
      </c>
      <c r="E272" s="2911" t="s">
        <v>8419</v>
      </c>
      <c r="F272" s="2911" t="s">
        <v>2725</v>
      </c>
      <c r="G272" s="3448" t="s">
        <v>3393</v>
      </c>
      <c r="H272" s="3448" t="str">
        <f>HLOOKUP(Non_UN,'Other Translations'!$A:$L,1+translations!J272,)</f>
        <v>Thuốc diệt nấm (tấn theo thành phần hoạt chất/năm)</v>
      </c>
      <c r="J272" s="3448">
        <v>271</v>
      </c>
    </row>
    <row r="273" spans="1:10" s="3448" customFormat="1" ht="15">
      <c r="A273" s="3578" t="s">
        <v>1975</v>
      </c>
      <c r="B273" s="2749" t="s">
        <v>5425</v>
      </c>
      <c r="C273" s="2749" t="s">
        <v>1996</v>
      </c>
      <c r="D273" s="2911" t="s">
        <v>4162</v>
      </c>
      <c r="E273" s="2911" t="s">
        <v>8420</v>
      </c>
      <c r="F273" s="3599" t="s">
        <v>2726</v>
      </c>
      <c r="G273" s="3448" t="s">
        <v>3394</v>
      </c>
      <c r="H273" s="3448" t="str">
        <f>HLOOKUP(Non_UN,'Other Translations'!$A:$L,1+translations!J273,)</f>
        <v>Tổng đầu vào</v>
      </c>
      <c r="J273" s="3448">
        <v>272</v>
      </c>
    </row>
    <row r="274" spans="1:10" s="3448" customFormat="1">
      <c r="A274" s="3578" t="s">
        <v>1975</v>
      </c>
      <c r="B274" s="2749" t="s">
        <v>1455</v>
      </c>
      <c r="C274" s="2749" t="s">
        <v>1997</v>
      </c>
      <c r="D274" s="2911" t="s">
        <v>4163</v>
      </c>
      <c r="E274" s="2911" t="s">
        <v>8421</v>
      </c>
      <c r="F274" s="2911" t="s">
        <v>2727</v>
      </c>
      <c r="G274" s="3448" t="s">
        <v>3395</v>
      </c>
      <c r="H274" s="3448" t="str">
        <f>HLOOKUP(Non_UN,'Other Translations'!$A:$L,1+translations!J274,)</f>
        <v>Phát thải CO2</v>
      </c>
      <c r="J274" s="3448">
        <v>273</v>
      </c>
    </row>
    <row r="275" spans="1:10" s="3448" customFormat="1">
      <c r="A275" s="3578" t="s">
        <v>1975</v>
      </c>
      <c r="B275" s="2749" t="s">
        <v>1456</v>
      </c>
      <c r="C275" s="2749" t="s">
        <v>1998</v>
      </c>
      <c r="D275" s="2911" t="s">
        <v>4164</v>
      </c>
      <c r="E275" s="2911" t="s">
        <v>8422</v>
      </c>
      <c r="F275" s="2911" t="s">
        <v>2728</v>
      </c>
      <c r="G275" s="3448" t="s">
        <v>3396</v>
      </c>
      <c r="H275" s="3448" t="str">
        <f>HLOOKUP(Non_UN,'Other Translations'!$A:$L,1+translations!J275,)</f>
        <v>Phát thải N2O</v>
      </c>
      <c r="J275" s="3448">
        <v>274</v>
      </c>
    </row>
    <row r="276" spans="1:10" s="3448" customFormat="1" ht="25.5">
      <c r="A276" s="3578" t="s">
        <v>1975</v>
      </c>
      <c r="B276" s="2911" t="s">
        <v>4835</v>
      </c>
      <c r="C276" s="2749" t="s">
        <v>1999</v>
      </c>
      <c r="D276" s="2911" t="s">
        <v>4836</v>
      </c>
      <c r="E276" s="2911" t="s">
        <v>8423</v>
      </c>
      <c r="F276" s="2911" t="s">
        <v>2729</v>
      </c>
      <c r="G276" s="3448" t="s">
        <v>3397</v>
      </c>
      <c r="H276" s="3448" t="str">
        <f>HLOOKUP(Non_UN,'Other Translations'!$A:$L,1+translations!J276,)</f>
        <v>6.2. Tiêu thu năng lượng (điện, nhiên liệu...)</v>
      </c>
      <c r="J276" s="3448">
        <v>275</v>
      </c>
    </row>
    <row r="277" spans="1:10" s="3448" customFormat="1">
      <c r="A277" s="3578" t="s">
        <v>1975</v>
      </c>
      <c r="B277" s="2911" t="s">
        <v>1458</v>
      </c>
      <c r="C277" s="2749" t="s">
        <v>2000</v>
      </c>
      <c r="D277" s="2911" t="s">
        <v>4165</v>
      </c>
      <c r="E277" s="2911" t="s">
        <v>8424</v>
      </c>
      <c r="F277" s="2911" t="s">
        <v>2730</v>
      </c>
      <c r="G277" s="3448" t="s">
        <v>3398</v>
      </c>
      <c r="H277" s="3448" t="str">
        <f>HLOOKUP(Non_UN,'Other Translations'!$A:$L,1+translations!J277,)</f>
        <v>Số lượng tiêu thụ/năm</v>
      </c>
      <c r="J277" s="3448">
        <v>276</v>
      </c>
    </row>
    <row r="278" spans="1:10" s="3448" customFormat="1">
      <c r="A278" s="3578" t="s">
        <v>1975</v>
      </c>
      <c r="B278" s="2911" t="s">
        <v>1459</v>
      </c>
      <c r="C278" s="2749" t="s">
        <v>2002</v>
      </c>
      <c r="D278" s="2911" t="s">
        <v>4166</v>
      </c>
      <c r="E278" s="2911" t="s">
        <v>8425</v>
      </c>
      <c r="F278" s="2911" t="s">
        <v>2731</v>
      </c>
      <c r="G278" s="3448" t="s">
        <v>3399</v>
      </c>
      <c r="H278" s="3448" t="str">
        <f>HLOOKUP(Non_UN,'Other Translations'!$A:$L,1+translations!J278,)</f>
        <v>Điện (MWh/năm)</v>
      </c>
      <c r="J278" s="3448">
        <v>277</v>
      </c>
    </row>
    <row r="279" spans="1:10" s="3448" customFormat="1">
      <c r="A279" s="3578" t="s">
        <v>1975</v>
      </c>
      <c r="B279" s="2911" t="s">
        <v>4837</v>
      </c>
      <c r="C279" s="2749" t="s">
        <v>2001</v>
      </c>
      <c r="D279" s="2911" t="s">
        <v>4167</v>
      </c>
      <c r="E279" s="2911" t="s">
        <v>8426</v>
      </c>
      <c r="F279" s="2911" t="s">
        <v>2732</v>
      </c>
      <c r="G279" s="3448" t="s">
        <v>3400</v>
      </c>
      <c r="H279" s="3448" t="str">
        <f>HLOOKUP(Non_UN,'Other Translations'!$A:$L,1+translations!J279,)</f>
        <v>(vui lòng chọn quốc gia xuất xứ)</v>
      </c>
      <c r="J279" s="3448">
        <v>278</v>
      </c>
    </row>
    <row r="280" spans="1:10" s="3448" customFormat="1">
      <c r="A280" s="3578" t="s">
        <v>1975</v>
      </c>
      <c r="B280" s="2911" t="s">
        <v>2003</v>
      </c>
      <c r="C280" s="2749" t="s">
        <v>2004</v>
      </c>
      <c r="D280" s="2911" t="s">
        <v>4168</v>
      </c>
      <c r="E280" s="2911" t="s">
        <v>8427</v>
      </c>
      <c r="F280" s="2911" t="s">
        <v>2733</v>
      </c>
      <c r="G280" s="3448" t="s">
        <v>3401</v>
      </c>
      <c r="H280" s="3448" t="str">
        <f>HLOOKUP(Non_UN,'Other Translations'!$A:$L,1+translations!J280,)</f>
        <v>Dạng lỏng và dạng khí (tính bằng m3/ năm)</v>
      </c>
      <c r="J280" s="3448">
        <v>279</v>
      </c>
    </row>
    <row r="281" spans="1:10" s="3448" customFormat="1">
      <c r="A281" s="3578" t="s">
        <v>1975</v>
      </c>
      <c r="B281" s="2911" t="s">
        <v>923</v>
      </c>
      <c r="C281" s="2749" t="s">
        <v>2005</v>
      </c>
      <c r="D281" s="2911" t="s">
        <v>923</v>
      </c>
      <c r="E281" s="2911" t="s">
        <v>8428</v>
      </c>
      <c r="F281" s="2911" t="s">
        <v>2734</v>
      </c>
      <c r="G281" s="3448" t="s">
        <v>3402</v>
      </c>
      <c r="H281" s="3448" t="str">
        <f>HLOOKUP(Non_UN,'Other Translations'!$A:$L,1+translations!J281,)</f>
        <v>Ga/dầu diesel</v>
      </c>
      <c r="J281" s="3448">
        <v>280</v>
      </c>
    </row>
    <row r="282" spans="1:10" s="3448" customFormat="1">
      <c r="A282" s="3578" t="s">
        <v>1975</v>
      </c>
      <c r="B282" s="2911" t="s">
        <v>924</v>
      </c>
      <c r="C282" s="2749" t="s">
        <v>2006</v>
      </c>
      <c r="D282" s="2911" t="s">
        <v>4169</v>
      </c>
      <c r="E282" s="2911" t="s">
        <v>8429</v>
      </c>
      <c r="F282" s="2911" t="s">
        <v>2735</v>
      </c>
      <c r="G282" s="3448" t="s">
        <v>3403</v>
      </c>
      <c r="H282" s="3448" t="str">
        <f>HLOOKUP(Non_UN,'Other Translations'!$A:$L,1+translations!J282,)</f>
        <v>Xăng</v>
      </c>
      <c r="J282" s="3448">
        <v>281</v>
      </c>
    </row>
    <row r="283" spans="1:10" s="3448" customFormat="1">
      <c r="A283" s="3578" t="s">
        <v>1975</v>
      </c>
      <c r="B283" s="2911" t="s">
        <v>110</v>
      </c>
      <c r="C283" s="2749" t="s">
        <v>2007</v>
      </c>
      <c r="D283" s="2911" t="s">
        <v>4170</v>
      </c>
      <c r="E283" s="2911" t="s">
        <v>8430</v>
      </c>
      <c r="F283" s="2911" t="s">
        <v>2736</v>
      </c>
      <c r="G283" s="3448" t="s">
        <v>3404</v>
      </c>
      <c r="H283" s="3448" t="str">
        <f>HLOOKUP(Non_UN,'Other Translations'!$A:$L,1+translations!J283,)</f>
        <v>Khí ga (LPG/tự nhiên)</v>
      </c>
      <c r="J283" s="3448">
        <v>282</v>
      </c>
    </row>
    <row r="284" spans="1:10" s="3448" customFormat="1">
      <c r="A284" s="3578" t="s">
        <v>1975</v>
      </c>
      <c r="B284" s="2911" t="s">
        <v>112</v>
      </c>
      <c r="C284" s="2749" t="s">
        <v>112</v>
      </c>
      <c r="D284" s="2911" t="s">
        <v>4171</v>
      </c>
      <c r="E284" s="2911" t="s">
        <v>8431</v>
      </c>
      <c r="F284" s="2911" t="s">
        <v>2737</v>
      </c>
      <c r="G284" s="3448" t="s">
        <v>3405</v>
      </c>
      <c r="H284" s="3448" t="str">
        <f>HLOOKUP(Non_UN,'Other Translations'!$A:$L,1+translations!J284,)</f>
        <v>Butane</v>
      </c>
      <c r="J284" s="3448">
        <v>283</v>
      </c>
    </row>
    <row r="285" spans="1:10" s="3448" customFormat="1">
      <c r="A285" s="3578" t="s">
        <v>1975</v>
      </c>
      <c r="B285" s="2911" t="s">
        <v>113</v>
      </c>
      <c r="C285" s="2749" t="s">
        <v>113</v>
      </c>
      <c r="D285" s="2911" t="s">
        <v>4172</v>
      </c>
      <c r="E285" s="2911" t="s">
        <v>8432</v>
      </c>
      <c r="F285" s="2911" t="s">
        <v>2738</v>
      </c>
      <c r="G285" s="3448" t="s">
        <v>3406</v>
      </c>
      <c r="H285" s="3448" t="str">
        <f>HLOOKUP(Non_UN,'Other Translations'!$A:$L,1+translations!J285,)</f>
        <v>Propane</v>
      </c>
      <c r="J285" s="3448">
        <v>284</v>
      </c>
    </row>
    <row r="286" spans="1:10" s="3448" customFormat="1">
      <c r="A286" s="3578" t="s">
        <v>1975</v>
      </c>
      <c r="B286" s="2911" t="s">
        <v>220</v>
      </c>
      <c r="C286" s="2749" t="s">
        <v>220</v>
      </c>
      <c r="D286" s="2911" t="s">
        <v>4173</v>
      </c>
      <c r="E286" s="2911" t="s">
        <v>8433</v>
      </c>
      <c r="F286" s="2911" t="s">
        <v>2739</v>
      </c>
      <c r="G286" s="3448" t="s">
        <v>3407</v>
      </c>
      <c r="H286" s="3448" t="str">
        <f>HLOOKUP(Non_UN,'Other Translations'!$A:$L,1+translations!J286,)</f>
        <v>Cồn</v>
      </c>
      <c r="J286" s="3448">
        <v>285</v>
      </c>
    </row>
    <row r="287" spans="1:10" s="3448" customFormat="1">
      <c r="A287" s="3578" t="s">
        <v>1975</v>
      </c>
      <c r="B287" s="2911" t="s">
        <v>1612</v>
      </c>
      <c r="C287" s="2749" t="s">
        <v>2008</v>
      </c>
      <c r="D287" s="2911" t="s">
        <v>4174</v>
      </c>
      <c r="E287" s="2911" t="s">
        <v>8434</v>
      </c>
      <c r="F287" s="2911" t="s">
        <v>2740</v>
      </c>
      <c r="G287" s="3448" t="s">
        <v>3408</v>
      </c>
      <c r="H287" s="3448" t="str">
        <f>HLOOKUP(Non_UN,'Other Translations'!$A:$L,1+translations!J287,)</f>
        <v>Sử dụng khái niệm (Tier2)</v>
      </c>
      <c r="J287" s="3448">
        <v>286</v>
      </c>
    </row>
    <row r="288" spans="1:10" s="3448" customFormat="1">
      <c r="A288" s="3578" t="s">
        <v>1975</v>
      </c>
      <c r="B288" s="2911" t="s">
        <v>1460</v>
      </c>
      <c r="C288" s="2749" t="s">
        <v>2009</v>
      </c>
      <c r="D288" s="2911" t="s">
        <v>4175</v>
      </c>
      <c r="E288" s="2911" t="s">
        <v>8435</v>
      </c>
      <c r="F288" s="2911" t="s">
        <v>2741</v>
      </c>
      <c r="G288" s="3448" t="s">
        <v>3409</v>
      </c>
      <c r="H288" s="3448" t="str">
        <f>HLOOKUP(Non_UN,'Other Translations'!$A:$L,1+translations!J288,)</f>
        <v>Chất rắn (tính bằng tấn chất khô/năm)</v>
      </c>
      <c r="J288" s="3448">
        <v>287</v>
      </c>
    </row>
    <row r="289" spans="1:10" s="3448" customFormat="1">
      <c r="A289" s="3578" t="s">
        <v>1975</v>
      </c>
      <c r="B289" s="2749" t="s">
        <v>111</v>
      </c>
      <c r="C289" s="2749" t="s">
        <v>2010</v>
      </c>
      <c r="D289" s="2911" t="s">
        <v>4176</v>
      </c>
      <c r="E289" s="2911" t="s">
        <v>8436</v>
      </c>
      <c r="F289" s="2911" t="s">
        <v>2742</v>
      </c>
      <c r="G289" s="3448" t="s">
        <v>3410</v>
      </c>
      <c r="H289" s="3448" t="str">
        <f>HLOOKUP(Non_UN,'Other Translations'!$A:$L,1+translations!J289,)</f>
        <v>Gỗ</v>
      </c>
      <c r="J289" s="3448">
        <v>288</v>
      </c>
    </row>
    <row r="290" spans="1:10" s="3448" customFormat="1">
      <c r="A290" s="3578" t="s">
        <v>1975</v>
      </c>
      <c r="B290" s="2749" t="s">
        <v>271</v>
      </c>
      <c r="C290" s="2749" t="s">
        <v>2011</v>
      </c>
      <c r="D290" s="2911" t="s">
        <v>4177</v>
      </c>
      <c r="E290" s="2911" t="s">
        <v>8437</v>
      </c>
      <c r="F290" s="2911" t="s">
        <v>2743</v>
      </c>
      <c r="G290" s="3448" t="s">
        <v>3411</v>
      </c>
      <c r="H290" s="3448" t="str">
        <f>HLOOKUP(Non_UN,'Other Translations'!$A:$L,1+translations!J290,)</f>
        <v>Than bùn</v>
      </c>
      <c r="J290" s="3448">
        <v>289</v>
      </c>
    </row>
    <row r="291" spans="1:10" s="3448" customFormat="1">
      <c r="A291" s="3578" t="s">
        <v>1975</v>
      </c>
      <c r="B291" s="2749" t="s">
        <v>5426</v>
      </c>
      <c r="C291" s="2749" t="s">
        <v>2012</v>
      </c>
      <c r="D291" s="2911" t="s">
        <v>4178</v>
      </c>
      <c r="E291" s="2911" t="s">
        <v>8438</v>
      </c>
      <c r="F291" s="2911" t="s">
        <v>2744</v>
      </c>
      <c r="G291" s="3448" t="s">
        <v>3412</v>
      </c>
      <c r="H291" s="3448" t="str">
        <f>HLOOKUP(Non_UN,'Other Translations'!$A:$L,1+translations!J291,)</f>
        <v>Tổng năng lượng</v>
      </c>
      <c r="J291" s="3448">
        <v>290</v>
      </c>
    </row>
    <row r="292" spans="1:10" s="3448" customFormat="1" ht="25.5">
      <c r="A292" s="3578" t="s">
        <v>1975</v>
      </c>
      <c r="B292" s="2749" t="s">
        <v>4838</v>
      </c>
      <c r="C292" s="2749" t="s">
        <v>2013</v>
      </c>
      <c r="D292" s="2911" t="s">
        <v>4839</v>
      </c>
      <c r="E292" s="2911" t="s">
        <v>8439</v>
      </c>
      <c r="F292" s="2911" t="s">
        <v>2745</v>
      </c>
      <c r="G292" s="3448" t="s">
        <v>3413</v>
      </c>
      <c r="H292" s="3448" t="str">
        <f>HLOOKUP(Non_UN,'Other Translations'!$A:$L,1+translations!J292,)</f>
        <v>6.3. Xây dựng hệ thống cơ sở hạ tầng mới (hệ thống thủy lợi, công trình, đường xá)</v>
      </c>
      <c r="J292" s="3448">
        <v>291</v>
      </c>
    </row>
    <row r="293" spans="1:10" s="3448" customFormat="1">
      <c r="A293" s="3578" t="s">
        <v>1975</v>
      </c>
      <c r="B293" s="2749" t="s">
        <v>2014</v>
      </c>
      <c r="C293" s="2749" t="s">
        <v>2014</v>
      </c>
      <c r="D293" s="2911" t="s">
        <v>2015</v>
      </c>
      <c r="E293" s="2911" t="s">
        <v>8440</v>
      </c>
      <c r="F293" s="2911" t="s">
        <v>2746</v>
      </c>
      <c r="G293" s="3448" t="s">
        <v>3414</v>
      </c>
      <c r="H293" s="3448" t="str">
        <f>HLOOKUP(Non_UN,'Other Translations'!$A:$L,1+translations!J293,)</f>
        <v>Bề mặt</v>
      </c>
      <c r="J293" s="3448">
        <v>292</v>
      </c>
    </row>
    <row r="294" spans="1:10" s="3448" customFormat="1">
      <c r="A294" s="3578" t="s">
        <v>1975</v>
      </c>
      <c r="B294" s="2749" t="s">
        <v>2018</v>
      </c>
      <c r="C294" s="2749" t="s">
        <v>2017</v>
      </c>
      <c r="D294" s="2911" t="s">
        <v>4179</v>
      </c>
      <c r="E294" s="2911" t="s">
        <v>8441</v>
      </c>
      <c r="F294" s="2911" t="s">
        <v>2747</v>
      </c>
      <c r="G294" s="3448" t="s">
        <v>3415</v>
      </c>
      <c r="H294" s="3448" t="str">
        <f>HLOOKUP(Non_UN,'Other Translations'!$A:$L,1+translations!J294,)</f>
        <v>Hệ thống thủy lợi (bằng ha)</v>
      </c>
      <c r="J294" s="3448">
        <v>293</v>
      </c>
    </row>
    <row r="295" spans="1:10" s="3448" customFormat="1">
      <c r="A295" s="3578" t="s">
        <v>1975</v>
      </c>
      <c r="B295" s="2749" t="s">
        <v>2019</v>
      </c>
      <c r="C295" s="2749" t="s">
        <v>2016</v>
      </c>
      <c r="D295" s="2911" t="s">
        <v>4180</v>
      </c>
      <c r="E295" s="2911" t="s">
        <v>8442</v>
      </c>
      <c r="F295" s="2911" t="s">
        <v>2748</v>
      </c>
      <c r="G295" s="3448" t="s">
        <v>3416</v>
      </c>
      <c r="H295" s="3448" t="str">
        <f>HLOOKUP(Non_UN,'Other Translations'!$A:$L,1+translations!J295,)</f>
        <v>Công trình và đường xá (tính bằng m2)</v>
      </c>
      <c r="J295" s="3448">
        <v>294</v>
      </c>
    </row>
    <row r="296" spans="1:10" s="3448" customFormat="1" ht="25.5">
      <c r="A296" s="3578" t="s">
        <v>1975</v>
      </c>
      <c r="B296" s="2749" t="s">
        <v>2880</v>
      </c>
      <c r="C296" s="2911" t="s">
        <v>2879</v>
      </c>
      <c r="D296" s="2911" t="s">
        <v>4181</v>
      </c>
      <c r="E296" s="2911" t="s">
        <v>8443</v>
      </c>
      <c r="F296" s="2911" t="s">
        <v>2749</v>
      </c>
      <c r="G296" s="3448" t="s">
        <v>3417</v>
      </c>
      <c r="H296" s="3448" t="str">
        <f>HLOOKUP(Non_UN,'Other Translations'!$A:$L,1+translations!J296,)</f>
        <v>Hệ thống thủy lợi khai thác dòng chảy-IRRS</v>
      </c>
      <c r="J296" s="3448">
        <v>295</v>
      </c>
    </row>
    <row r="297" spans="1:10" s="3448" customFormat="1">
      <c r="A297" s="3578" t="s">
        <v>1975</v>
      </c>
      <c r="B297" s="2749" t="s">
        <v>5427</v>
      </c>
      <c r="C297" s="2749" t="s">
        <v>2040</v>
      </c>
      <c r="D297" s="2911" t="s">
        <v>4182</v>
      </c>
      <c r="E297" s="2911" t="s">
        <v>8444</v>
      </c>
      <c r="F297" s="2911" t="s">
        <v>2750</v>
      </c>
      <c r="G297" s="3448" t="s">
        <v>3418</v>
      </c>
      <c r="H297" s="3448" t="str">
        <f>HLOOKUP(Non_UN,'Other Translations'!$A:$L,1+translations!J297,)</f>
        <v>Tổng xây dựng</v>
      </c>
      <c r="J297" s="3448">
        <v>296</v>
      </c>
    </row>
    <row r="298" spans="1:10" s="3448" customFormat="1">
      <c r="A298" s="3578" t="s">
        <v>1975</v>
      </c>
      <c r="B298" s="2749" t="s">
        <v>1549</v>
      </c>
      <c r="C298" s="2749" t="s">
        <v>2041</v>
      </c>
      <c r="D298" s="2911" t="s">
        <v>4183</v>
      </c>
      <c r="E298" s="2911" t="s">
        <v>8445</v>
      </c>
      <c r="F298" s="2911" t="s">
        <v>2751</v>
      </c>
      <c r="G298" s="3448" t="s">
        <v>3419</v>
      </c>
      <c r="H298" s="3448" t="str">
        <f>HLOOKUP(Non_UN,'Other Translations'!$A:$L,1+translations!J298,)</f>
        <v>Các yếu tố phát thải</v>
      </c>
      <c r="J298" s="3448">
        <v>297</v>
      </c>
    </row>
    <row r="299" spans="1:10" s="3448" customFormat="1">
      <c r="A299" s="3578" t="s">
        <v>1975</v>
      </c>
      <c r="B299" s="2749" t="s">
        <v>1455</v>
      </c>
      <c r="C299" s="2749" t="s">
        <v>1997</v>
      </c>
      <c r="D299" s="2911" t="s">
        <v>4163</v>
      </c>
      <c r="E299" s="2911" t="s">
        <v>8421</v>
      </c>
      <c r="F299" s="2911" t="s">
        <v>2727</v>
      </c>
      <c r="G299" s="3448" t="s">
        <v>3395</v>
      </c>
      <c r="H299" s="3448" t="str">
        <f>HLOOKUP(Non_UN,'Other Translations'!$A:$L,1+translations!J299,)</f>
        <v>Phát thải CO2</v>
      </c>
      <c r="J299" s="3448">
        <v>298</v>
      </c>
    </row>
    <row r="300" spans="1:10" s="3448" customFormat="1">
      <c r="A300" s="3578" t="s">
        <v>1975</v>
      </c>
      <c r="B300" s="2749" t="s">
        <v>1456</v>
      </c>
      <c r="C300" s="2749" t="s">
        <v>1998</v>
      </c>
      <c r="D300" s="2911" t="s">
        <v>4164</v>
      </c>
      <c r="E300" s="2911" t="s">
        <v>8422</v>
      </c>
      <c r="F300" s="2911" t="s">
        <v>2728</v>
      </c>
      <c r="G300" s="3448" t="s">
        <v>3396</v>
      </c>
      <c r="H300" s="3448" t="str">
        <f>HLOOKUP(Non_UN,'Other Translations'!$A:$L,1+translations!J300,)</f>
        <v>Phát thải N2O</v>
      </c>
      <c r="J300" s="3448">
        <v>299</v>
      </c>
    </row>
    <row r="301" spans="1:10" s="3448" customFormat="1">
      <c r="A301" s="3578" t="s">
        <v>1975</v>
      </c>
      <c r="B301" s="2911" t="s">
        <v>1553</v>
      </c>
      <c r="C301" s="2749" t="s">
        <v>2042</v>
      </c>
      <c r="D301" s="2911" t="s">
        <v>4184</v>
      </c>
      <c r="E301" s="2911" t="s">
        <v>8446</v>
      </c>
      <c r="F301" s="2911" t="s">
        <v>2752</v>
      </c>
      <c r="G301" s="3448" t="s">
        <v>3420</v>
      </c>
      <c r="H301" s="3448" t="str">
        <f>HLOOKUP(Non_UN,'Other Translations'!$A:$L,1+translations!J301,)</f>
        <v>Phát thải trên đồng ruộng</v>
      </c>
      <c r="J301" s="3448">
        <v>300</v>
      </c>
    </row>
    <row r="302" spans="1:10" s="3448" customFormat="1" ht="25.5">
      <c r="A302" s="3578" t="s">
        <v>1975</v>
      </c>
      <c r="B302" s="2911" t="s">
        <v>1554</v>
      </c>
      <c r="C302" s="2749" t="s">
        <v>2043</v>
      </c>
      <c r="D302" s="2911" t="s">
        <v>4185</v>
      </c>
      <c r="E302" s="2911" t="s">
        <v>8447</v>
      </c>
      <c r="F302" s="2911" t="s">
        <v>2753</v>
      </c>
      <c r="G302" s="3448" t="s">
        <v>3421</v>
      </c>
      <c r="H302" s="3448" t="str">
        <f>HLOOKUP(Non_UN,'Other Translations'!$A:$L,1+translations!J302,)</f>
        <v>Phát thải từ sản xuất, giao thông, bảo quản và chuyển giao</v>
      </c>
      <c r="J302" s="3448">
        <v>301</v>
      </c>
    </row>
    <row r="303" spans="1:10" s="3448" customFormat="1">
      <c r="A303" s="3578" t="s">
        <v>1975</v>
      </c>
      <c r="B303" s="2749" t="s">
        <v>1550</v>
      </c>
      <c r="C303" s="2749" t="s">
        <v>2044</v>
      </c>
      <c r="D303" s="2911" t="s">
        <v>4186</v>
      </c>
      <c r="E303" s="2911" t="s">
        <v>8448</v>
      </c>
      <c r="F303" s="2911" t="s">
        <v>2754</v>
      </c>
      <c r="G303" s="3448" t="s">
        <v>3422</v>
      </c>
      <c r="H303" s="3448" t="str">
        <f>HLOOKUP(Non_UN,'Other Translations'!$A:$L,1+translations!J303,)</f>
        <v>Đơn vị</v>
      </c>
      <c r="J303" s="3448">
        <v>302</v>
      </c>
    </row>
    <row r="304" spans="1:10" s="3448" customFormat="1">
      <c r="A304" s="3578" t="s">
        <v>1975</v>
      </c>
      <c r="B304" s="3606" t="s">
        <v>1551</v>
      </c>
      <c r="C304" s="2749" t="s">
        <v>2045</v>
      </c>
      <c r="D304" s="2911" t="s">
        <v>4187</v>
      </c>
      <c r="E304" s="2911" t="s">
        <v>8449</v>
      </c>
      <c r="F304" s="2911" t="s">
        <v>3115</v>
      </c>
      <c r="G304" s="3448" t="s">
        <v>3423</v>
      </c>
      <c r="H304" s="3448" t="str">
        <f>HLOOKUP(Non_UN,'Other Translations'!$A:$L,1+translations!J304,)</f>
        <v>tC/tấn vôi</v>
      </c>
      <c r="J304" s="3448">
        <v>303</v>
      </c>
    </row>
    <row r="305" spans="1:10" s="3448" customFormat="1">
      <c r="A305" s="3578" t="s">
        <v>1975</v>
      </c>
      <c r="B305" s="2911" t="s">
        <v>2046</v>
      </c>
      <c r="C305" s="2749" t="s">
        <v>2046</v>
      </c>
      <c r="D305" s="2911" t="s">
        <v>2046</v>
      </c>
      <c r="E305" s="2911" t="s">
        <v>8450</v>
      </c>
      <c r="F305" s="2911" t="s">
        <v>3116</v>
      </c>
      <c r="G305" s="3448" t="s">
        <v>3424</v>
      </c>
      <c r="H305" s="3448" t="str">
        <f>HLOOKUP(Non_UN,'Other Translations'!$A:$L,1+translations!J305,)</f>
        <v>tCO2/t CaCO3</v>
      </c>
      <c r="J305" s="3448">
        <v>304</v>
      </c>
    </row>
    <row r="306" spans="1:10" s="3448" customFormat="1">
      <c r="A306" s="3578" t="s">
        <v>1975</v>
      </c>
      <c r="B306" s="2911" t="s">
        <v>1552</v>
      </c>
      <c r="C306" s="2749" t="s">
        <v>2048</v>
      </c>
      <c r="D306" s="2911" t="s">
        <v>1552</v>
      </c>
      <c r="E306" s="2911" t="s">
        <v>8451</v>
      </c>
      <c r="F306" s="2911" t="s">
        <v>3117</v>
      </c>
      <c r="G306" s="3448" t="s">
        <v>3425</v>
      </c>
      <c r="H306" s="3448" t="str">
        <f>HLOOKUP(Non_UN,'Other Translations'!$A:$L,1+translations!J306,)</f>
        <v>tC/t Urea</v>
      </c>
      <c r="J306" s="3448">
        <v>305</v>
      </c>
    </row>
    <row r="307" spans="1:10" s="3448" customFormat="1">
      <c r="A307" s="3578" t="s">
        <v>1975</v>
      </c>
      <c r="B307" s="2911" t="s">
        <v>2049</v>
      </c>
      <c r="C307" s="2911" t="s">
        <v>2049</v>
      </c>
      <c r="D307" s="2911" t="s">
        <v>2049</v>
      </c>
      <c r="E307" s="2911" t="s">
        <v>8452</v>
      </c>
      <c r="F307" s="2911" t="s">
        <v>2755</v>
      </c>
      <c r="G307" s="3448" t="s">
        <v>3426</v>
      </c>
      <c r="H307" s="3448" t="str">
        <f>HLOOKUP(Non_UN,'Other Translations'!$A:$L,1+translations!J307,)</f>
        <v>kg N-N2O/kg N</v>
      </c>
      <c r="J307" s="3448">
        <v>306</v>
      </c>
    </row>
    <row r="308" spans="1:10" s="3448" customFormat="1">
      <c r="A308" s="3578" t="s">
        <v>1975</v>
      </c>
      <c r="B308" s="2911" t="s">
        <v>2050</v>
      </c>
      <c r="C308" s="2749" t="s">
        <v>2050</v>
      </c>
      <c r="D308" s="2911" t="s">
        <v>2050</v>
      </c>
      <c r="E308" s="2911" t="s">
        <v>8453</v>
      </c>
      <c r="F308" s="2911" t="s">
        <v>2756</v>
      </c>
      <c r="G308" s="3448" t="s">
        <v>3427</v>
      </c>
      <c r="H308" s="3448" t="str">
        <f>HLOOKUP(Non_UN,'Other Translations'!$A:$L,1+translations!J308,)</f>
        <v>tCO2/t N</v>
      </c>
      <c r="J308" s="3448">
        <v>307</v>
      </c>
    </row>
    <row r="309" spans="1:10" s="3448" customFormat="1">
      <c r="A309" s="3578" t="s">
        <v>1975</v>
      </c>
      <c r="B309" s="2911" t="s">
        <v>2051</v>
      </c>
      <c r="C309" s="2911" t="s">
        <v>2051</v>
      </c>
      <c r="D309" s="2911" t="s">
        <v>2051</v>
      </c>
      <c r="E309" s="2911" t="s">
        <v>8454</v>
      </c>
      <c r="F309" s="2911" t="s">
        <v>2757</v>
      </c>
      <c r="G309" s="3448" t="s">
        <v>3428</v>
      </c>
      <c r="H309" s="3448" t="str">
        <f>HLOOKUP(Non_UN,'Other Translations'!$A:$L,1+translations!J309,)</f>
        <v>tCO2/t P2O5</v>
      </c>
      <c r="J309" s="3448">
        <v>308</v>
      </c>
    </row>
    <row r="310" spans="1:10" s="3448" customFormat="1">
      <c r="A310" s="3578" t="s">
        <v>1975</v>
      </c>
      <c r="B310" s="2911" t="s">
        <v>2052</v>
      </c>
      <c r="C310" s="2911" t="s">
        <v>2052</v>
      </c>
      <c r="D310" s="2911" t="s">
        <v>2052</v>
      </c>
      <c r="E310" s="2911" t="s">
        <v>8455</v>
      </c>
      <c r="F310" s="2911" t="s">
        <v>2758</v>
      </c>
      <c r="G310" s="3448" t="s">
        <v>3429</v>
      </c>
      <c r="H310" s="3448" t="str">
        <f>HLOOKUP(Non_UN,'Other Translations'!$A:$L,1+translations!J310,)</f>
        <v>tCO2/t K2O</v>
      </c>
      <c r="J310" s="3448">
        <v>309</v>
      </c>
    </row>
    <row r="311" spans="1:10" s="3448" customFormat="1">
      <c r="A311" s="3578" t="s">
        <v>1975</v>
      </c>
      <c r="B311" s="2911" t="s">
        <v>2053</v>
      </c>
      <c r="C311" s="2749" t="s">
        <v>2054</v>
      </c>
      <c r="D311" s="2911" t="s">
        <v>4188</v>
      </c>
      <c r="E311" s="2911" t="s">
        <v>8456</v>
      </c>
      <c r="F311" s="2911" t="s">
        <v>2759</v>
      </c>
      <c r="G311" s="3448" t="s">
        <v>3430</v>
      </c>
      <c r="H311" s="3448" t="str">
        <f>HLOOKUP(Non_UN,'Other Translations'!$A:$L,1+translations!J311,)</f>
        <v>tCO2/t thành phần hoạt chất</v>
      </c>
      <c r="J311" s="3448">
        <v>310</v>
      </c>
    </row>
    <row r="312" spans="1:10" s="3448" customFormat="1" ht="51">
      <c r="A312" s="3578" t="s">
        <v>1975</v>
      </c>
      <c r="B312" s="2749" t="s">
        <v>4199</v>
      </c>
      <c r="C312" s="2749" t="s">
        <v>8162</v>
      </c>
      <c r="D312" s="2911" t="s">
        <v>4189</v>
      </c>
      <c r="E312" s="2911" t="s">
        <v>8457</v>
      </c>
      <c r="F312" s="2911" t="s">
        <v>2760</v>
      </c>
      <c r="G312" s="2911" t="s">
        <v>3431</v>
      </c>
      <c r="H312" s="3448" t="str">
        <f>HLOOKUP(Non_UN,'Other Translations'!$A:$L,1+translations!J312,)</f>
        <v>Loại bỏ CO2 từ khí quyển trong quá trình sản xuất urea được ước tính trong quá trình công nghiệp và lĩnh vực sử dụng sản phẩm theo quốc gia sản xuất urea</v>
      </c>
      <c r="J312" s="3448">
        <v>311</v>
      </c>
    </row>
    <row r="313" spans="1:10" s="3448" customFormat="1" ht="38.25">
      <c r="A313" s="3578" t="s">
        <v>1975</v>
      </c>
      <c r="B313" s="2749" t="s">
        <v>4200</v>
      </c>
      <c r="C313" s="2749" t="s">
        <v>2055</v>
      </c>
      <c r="D313" s="2911" t="s">
        <v>4501</v>
      </c>
      <c r="E313" s="2911" t="s">
        <v>8458</v>
      </c>
      <c r="F313" s="2911" t="s">
        <v>2761</v>
      </c>
      <c r="G313" s="2911" t="s">
        <v>7603</v>
      </c>
      <c r="H313" s="3448" t="str">
        <f>HLOOKUP(Non_UN,'Other Translations'!$A:$L,1+translations!J313,)</f>
        <v>Băng các mặc định, EX-ACT thừa nhận nhập khẩu urea và không tính toán trong phần giảm phát thải nhưng bạn cũng có thể tính toán theo:</v>
      </c>
      <c r="J313" s="3448">
        <v>312</v>
      </c>
    </row>
    <row r="314" spans="1:10" s="3448" customFormat="1">
      <c r="A314" s="3578" t="s">
        <v>1975</v>
      </c>
      <c r="B314" s="2911" t="s">
        <v>1593</v>
      </c>
      <c r="C314" s="2749" t="s">
        <v>2056</v>
      </c>
      <c r="D314" s="2911" t="s">
        <v>4190</v>
      </c>
      <c r="E314" s="2911" t="s">
        <v>8459</v>
      </c>
      <c r="F314" s="2911" t="s">
        <v>2762</v>
      </c>
      <c r="G314" s="3448" t="s">
        <v>3432</v>
      </c>
      <c r="H314" s="3448" t="str">
        <f>HLOOKUP(Non_UN,'Other Translations'!$A:$L,1+translations!J314,)</f>
        <v>Có tính toán giảm phát thải từ sản xuất?</v>
      </c>
      <c r="J314" s="3448">
        <v>313</v>
      </c>
    </row>
    <row r="315" spans="1:10" s="3448" customFormat="1">
      <c r="A315" s="3578" t="s">
        <v>1975</v>
      </c>
      <c r="B315" s="2749" t="s">
        <v>373</v>
      </c>
      <c r="C315" s="2749" t="s">
        <v>2057</v>
      </c>
      <c r="D315" s="2911" t="s">
        <v>373</v>
      </c>
      <c r="E315" s="2911" t="s">
        <v>8460</v>
      </c>
      <c r="F315" s="2911" t="s">
        <v>2763</v>
      </c>
      <c r="G315" s="3448" t="s">
        <v>3433</v>
      </c>
      <c r="H315" s="3448" t="str">
        <f>HLOOKUP(Non_UN,'Other Translations'!$A:$L,1+translations!J315,)</f>
        <v>Urea</v>
      </c>
      <c r="J315" s="3448">
        <v>314</v>
      </c>
    </row>
    <row r="316" spans="1:10" s="3448" customFormat="1">
      <c r="A316" s="3578" t="s">
        <v>1975</v>
      </c>
      <c r="B316" s="2911" t="s">
        <v>1555</v>
      </c>
      <c r="C316" s="2749" t="s">
        <v>2059</v>
      </c>
      <c r="D316" s="2911" t="s">
        <v>4191</v>
      </c>
      <c r="E316" s="2911" t="s">
        <v>8461</v>
      </c>
      <c r="F316" s="2911" t="s">
        <v>2764</v>
      </c>
      <c r="G316" s="3448" t="s">
        <v>3434</v>
      </c>
      <c r="H316" s="3448" t="str">
        <f>HLOOKUP(Non_UN,'Other Translations'!$A:$L,1+translations!J316,)</f>
        <v>Yếu tố phát thải từ các quốc gia lựa chon</v>
      </c>
      <c r="J316" s="3448">
        <v>315</v>
      </c>
    </row>
    <row r="317" spans="1:10" s="3448" customFormat="1">
      <c r="A317" s="3578" t="s">
        <v>1975</v>
      </c>
      <c r="B317" s="2911" t="s">
        <v>897</v>
      </c>
      <c r="C317" s="2749" t="s">
        <v>2060</v>
      </c>
      <c r="D317" s="2911" t="s">
        <v>4192</v>
      </c>
      <c r="E317" s="2911" t="s">
        <v>8462</v>
      </c>
      <c r="F317" s="2911" t="s">
        <v>2765</v>
      </c>
      <c r="G317" s="3448" t="s">
        <v>3435</v>
      </c>
      <c r="H317" s="3448" t="str">
        <f>HLOOKUP(Non_UN,'Other Translations'!$A:$L,1+translations!J317,)</f>
        <v>Tổn thất trong quá trình truyển tải điện</v>
      </c>
      <c r="J317" s="3448">
        <v>316</v>
      </c>
    </row>
    <row r="318" spans="1:10" s="3448" customFormat="1">
      <c r="A318" s="3578" t="s">
        <v>1975</v>
      </c>
      <c r="B318" s="3607" t="s">
        <v>4805</v>
      </c>
      <c r="C318" s="2749" t="s">
        <v>4806</v>
      </c>
      <c r="D318" s="2911" t="s">
        <v>4807</v>
      </c>
      <c r="E318" s="2911" t="s">
        <v>4808</v>
      </c>
      <c r="F318" s="2911" t="s">
        <v>4809</v>
      </c>
      <c r="G318" s="3448" t="s">
        <v>7604</v>
      </c>
      <c r="H318" s="3448" t="str">
        <f>HLOOKUP(Non_UN,'Other Translations'!$A:$L,1+translations!J318,)</f>
        <v>tCO2/MWh/năm)</v>
      </c>
      <c r="J318" s="3448">
        <v>317</v>
      </c>
    </row>
    <row r="319" spans="1:10" s="3448" customFormat="1">
      <c r="A319" s="3578" t="s">
        <v>1975</v>
      </c>
      <c r="B319" s="3607" t="s">
        <v>93</v>
      </c>
      <c r="C319" s="2911" t="s">
        <v>93</v>
      </c>
      <c r="D319" s="2911" t="s">
        <v>93</v>
      </c>
      <c r="E319" s="2911" t="s">
        <v>8463</v>
      </c>
      <c r="F319" s="2911" t="s">
        <v>93</v>
      </c>
      <c r="G319" s="3448" t="s">
        <v>3436</v>
      </c>
      <c r="H319" s="3448" t="str">
        <f>HLOOKUP(Non_UN,'Other Translations'!$A:$L,1+translations!J319,)</f>
        <v>%</v>
      </c>
      <c r="J319" s="3448">
        <v>318</v>
      </c>
    </row>
    <row r="320" spans="1:10" s="3448" customFormat="1">
      <c r="A320" s="3578" t="s">
        <v>1975</v>
      </c>
      <c r="B320" s="2911" t="s">
        <v>927</v>
      </c>
      <c r="C320" s="2911" t="s">
        <v>927</v>
      </c>
      <c r="D320" s="2911" t="s">
        <v>4193</v>
      </c>
      <c r="E320" s="2911" t="s">
        <v>8464</v>
      </c>
      <c r="F320" s="2911" t="s">
        <v>2766</v>
      </c>
      <c r="G320" s="3448" t="s">
        <v>3437</v>
      </c>
      <c r="H320" s="3448" t="str">
        <f>HLOOKUP(Non_UN,'Other Translations'!$A:$L,1+translations!J320,)</f>
        <v>t CO2 /m3</v>
      </c>
      <c r="J320" s="3448">
        <v>319</v>
      </c>
    </row>
    <row r="321" spans="1:10" s="3448" customFormat="1">
      <c r="A321" s="3578" t="s">
        <v>1975</v>
      </c>
      <c r="B321" s="2911" t="s">
        <v>1611</v>
      </c>
      <c r="C321" s="2749" t="s">
        <v>2061</v>
      </c>
      <c r="D321" s="2911" t="s">
        <v>4194</v>
      </c>
      <c r="E321" s="2911" t="s">
        <v>8465</v>
      </c>
      <c r="F321" s="2911" t="s">
        <v>2767</v>
      </c>
      <c r="G321" s="3448" t="s">
        <v>3438</v>
      </c>
      <c r="H321" s="3448" t="str">
        <f>HLOOKUP(Non_UN,'Other Translations'!$A:$L,1+translations!J321,)</f>
        <v>Hãy xác định đúng tên</v>
      </c>
      <c r="J321" s="3448">
        <v>320</v>
      </c>
    </row>
    <row r="322" spans="1:10" s="3448" customFormat="1">
      <c r="A322" s="3578" t="s">
        <v>1975</v>
      </c>
      <c r="B322" s="2911" t="s">
        <v>1613</v>
      </c>
      <c r="C322" s="2749" t="s">
        <v>2062</v>
      </c>
      <c r="D322" s="2911" t="s">
        <v>4195</v>
      </c>
      <c r="E322" s="2911" t="s">
        <v>8466</v>
      </c>
      <c r="F322" s="2911" t="s">
        <v>3118</v>
      </c>
      <c r="G322" s="3448" t="s">
        <v>3439</v>
      </c>
      <c r="H322" s="3448" t="str">
        <f>HLOOKUP(Non_UN,'Other Translations'!$A:$L,1+translations!J322,)</f>
        <v>Đơn vị sử dụng</v>
      </c>
      <c r="J322" s="3448">
        <v>321</v>
      </c>
    </row>
    <row r="323" spans="1:10" s="3448" customFormat="1">
      <c r="A323" s="3578" t="s">
        <v>1975</v>
      </c>
      <c r="B323" s="2911" t="s">
        <v>121</v>
      </c>
      <c r="C323" s="2749" t="s">
        <v>2063</v>
      </c>
      <c r="D323" s="2911" t="s">
        <v>4196</v>
      </c>
      <c r="E323" s="2911" t="s">
        <v>8467</v>
      </c>
      <c r="F323" s="2911" t="s">
        <v>2768</v>
      </c>
      <c r="G323" s="3448" t="s">
        <v>3440</v>
      </c>
      <c r="H323" s="3448" t="str">
        <f>HLOOKUP(Non_UN,'Other Translations'!$A:$L,1+translations!J323,)</f>
        <v>tCO2/t chất khô</v>
      </c>
      <c r="J323" s="3448">
        <v>322</v>
      </c>
    </row>
    <row r="324" spans="1:10" s="3448" customFormat="1">
      <c r="A324" s="3578" t="s">
        <v>1975</v>
      </c>
      <c r="B324" s="2749" t="s">
        <v>1556</v>
      </c>
      <c r="C324" s="2749" t="s">
        <v>2064</v>
      </c>
      <c r="D324" s="2911" t="s">
        <v>4197</v>
      </c>
      <c r="E324" s="2911" t="s">
        <v>8441</v>
      </c>
      <c r="F324" s="2911" t="s">
        <v>2769</v>
      </c>
      <c r="G324" s="3448" t="s">
        <v>3441</v>
      </c>
      <c r="H324" s="3448" t="str">
        <f>HLOOKUP(Non_UN,'Other Translations'!$A:$L,1+translations!J324,)</f>
        <v>Các hệ thống thủy lợi</v>
      </c>
      <c r="J324" s="3448">
        <v>323</v>
      </c>
    </row>
    <row r="325" spans="1:10" s="3448" customFormat="1">
      <c r="A325" s="3578" t="s">
        <v>1975</v>
      </c>
      <c r="B325" s="2749" t="s">
        <v>1557</v>
      </c>
      <c r="C325" s="2749" t="s">
        <v>2065</v>
      </c>
      <c r="D325" s="2911" t="s">
        <v>4198</v>
      </c>
      <c r="E325" s="2911" t="s">
        <v>8468</v>
      </c>
      <c r="F325" s="2911" t="s">
        <v>2770</v>
      </c>
      <c r="G325" s="3448" t="s">
        <v>3442</v>
      </c>
      <c r="H325" s="3448" t="str">
        <f>HLOOKUP(Non_UN,'Other Translations'!$A:$L,1+translations!J325,)</f>
        <v>Công trình và đường xá</v>
      </c>
      <c r="J325" s="3448">
        <v>324</v>
      </c>
    </row>
    <row r="326" spans="1:10" s="3448" customFormat="1">
      <c r="A326" s="3578" t="s">
        <v>1975</v>
      </c>
      <c r="B326" s="2911" t="s">
        <v>946</v>
      </c>
      <c r="C326" s="2911" t="s">
        <v>946</v>
      </c>
      <c r="D326" s="2911" t="s">
        <v>946</v>
      </c>
      <c r="E326" s="2911" t="s">
        <v>8469</v>
      </c>
      <c r="F326" s="2911" t="s">
        <v>3119</v>
      </c>
      <c r="G326" s="3448" t="s">
        <v>3443</v>
      </c>
      <c r="H326" s="3448" t="str">
        <f>HLOOKUP(Non_UN,'Other Translations'!$A:$L,1+translations!J326,)</f>
        <v>kgCO2/ha</v>
      </c>
      <c r="J326" s="3448">
        <v>325</v>
      </c>
    </row>
    <row r="327" spans="1:10" s="3448" customFormat="1">
      <c r="A327" s="3578" t="s">
        <v>1975</v>
      </c>
      <c r="B327" s="2911" t="s">
        <v>2058</v>
      </c>
      <c r="C327" s="2911" t="s">
        <v>2058</v>
      </c>
      <c r="D327" s="2911" t="s">
        <v>2058</v>
      </c>
      <c r="E327" s="2911" t="s">
        <v>8470</v>
      </c>
      <c r="F327" s="2911" t="s">
        <v>2771</v>
      </c>
      <c r="G327" s="3448" t="s">
        <v>3444</v>
      </c>
      <c r="H327" s="3448" t="str">
        <f>HLOOKUP(Non_UN,'Other Translations'!$A:$L,1+translations!J327,)</f>
        <v>tCO2/m2</v>
      </c>
      <c r="J327" s="3448">
        <v>326</v>
      </c>
    </row>
    <row r="328" spans="1:10" s="3448" customFormat="1">
      <c r="A328" s="3578" t="s">
        <v>1975</v>
      </c>
      <c r="B328" s="2911"/>
      <c r="C328" s="2911"/>
      <c r="D328" s="2911"/>
      <c r="E328" s="2911"/>
      <c r="F328" s="2911"/>
      <c r="H328" s="3448">
        <f>HLOOKUP(Non_UN,'Other Translations'!$A:$L,1+translations!J328,)</f>
        <v>0</v>
      </c>
      <c r="J328" s="3448">
        <v>327</v>
      </c>
    </row>
    <row r="329" spans="1:10" s="3448" customFormat="1">
      <c r="A329" s="3578" t="s">
        <v>1975</v>
      </c>
      <c r="B329" s="2911"/>
      <c r="C329" s="2911"/>
      <c r="D329" s="2911"/>
      <c r="E329" s="2911"/>
      <c r="F329" s="2911"/>
      <c r="H329" s="3448">
        <f>HLOOKUP(Non_UN,'Other Translations'!$A:$L,1+translations!J329,)</f>
        <v>0</v>
      </c>
      <c r="J329" s="3448">
        <v>328</v>
      </c>
    </row>
    <row r="330" spans="1:10" s="3448" customFormat="1">
      <c r="A330" s="3578" t="s">
        <v>1975</v>
      </c>
      <c r="B330" s="2911"/>
      <c r="C330" s="2911"/>
      <c r="D330" s="2911"/>
      <c r="E330" s="2911"/>
      <c r="F330" s="2911"/>
      <c r="H330" s="3448">
        <f>HLOOKUP(Non_UN,'Other Translations'!$A:$L,1+translations!J330,)</f>
        <v>0</v>
      </c>
      <c r="J330" s="3448">
        <v>329</v>
      </c>
    </row>
    <row r="331" spans="1:10" s="3448" customFormat="1">
      <c r="A331" s="3578" t="s">
        <v>1975</v>
      </c>
      <c r="B331" s="2911"/>
      <c r="C331" s="2911"/>
      <c r="D331" s="2911"/>
      <c r="E331" s="2911"/>
      <c r="F331" s="2911"/>
      <c r="H331" s="3448">
        <f>HLOOKUP(Non_UN,'Other Translations'!$A:$L,1+translations!J331,)</f>
        <v>0</v>
      </c>
      <c r="J331" s="3448">
        <v>330</v>
      </c>
    </row>
    <row r="332" spans="1:10" s="3448" customFormat="1">
      <c r="A332" s="3578" t="s">
        <v>1975</v>
      </c>
      <c r="B332" s="2911"/>
      <c r="C332" s="2911"/>
      <c r="D332" s="2911"/>
      <c r="E332" s="2911"/>
      <c r="F332" s="2911"/>
      <c r="H332" s="3448">
        <f>HLOOKUP(Non_UN,'Other Translations'!$A:$L,1+translations!J332,)</f>
        <v>0</v>
      </c>
      <c r="J332" s="3448">
        <v>331</v>
      </c>
    </row>
    <row r="333" spans="1:10" s="3448" customFormat="1">
      <c r="A333" s="3578" t="s">
        <v>1975</v>
      </c>
      <c r="B333" s="2911"/>
      <c r="C333" s="2911"/>
      <c r="D333" s="2911"/>
      <c r="E333" s="2911"/>
      <c r="F333" s="2911"/>
      <c r="H333" s="3448">
        <f>HLOOKUP(Non_UN,'Other Translations'!$A:$L,1+translations!J333,)</f>
        <v>0</v>
      </c>
      <c r="J333" s="3448">
        <v>332</v>
      </c>
    </row>
    <row r="334" spans="1:10" s="3448" customFormat="1">
      <c r="A334" s="3578" t="s">
        <v>1975</v>
      </c>
      <c r="B334" s="2911"/>
      <c r="C334" s="2911"/>
      <c r="D334" s="2911"/>
      <c r="E334" s="2911"/>
      <c r="F334" s="2911"/>
      <c r="H334" s="3448">
        <f>HLOOKUP(Non_UN,'Other Translations'!$A:$L,1+translations!J334,)</f>
        <v>0</v>
      </c>
      <c r="J334" s="3448">
        <v>333</v>
      </c>
    </row>
    <row r="335" spans="1:10" s="3448" customFormat="1">
      <c r="A335" s="3578" t="s">
        <v>1975</v>
      </c>
      <c r="B335" s="2911"/>
      <c r="C335" s="2911"/>
      <c r="D335" s="2911"/>
      <c r="E335" s="2911"/>
      <c r="F335" s="2911"/>
      <c r="H335" s="3448">
        <f>HLOOKUP(Non_UN,'Other Translations'!$A:$L,1+translations!J335,)</f>
        <v>0</v>
      </c>
      <c r="J335" s="3448">
        <v>334</v>
      </c>
    </row>
    <row r="336" spans="1:10" s="3448" customFormat="1">
      <c r="A336" s="3578" t="s">
        <v>1975</v>
      </c>
      <c r="B336" s="2911"/>
      <c r="C336" s="2911"/>
      <c r="D336" s="2911"/>
      <c r="E336" s="2911"/>
      <c r="F336" s="2911"/>
      <c r="H336" s="3448">
        <f>HLOOKUP(Non_UN,'Other Translations'!$A:$L,1+translations!J336,)</f>
        <v>0</v>
      </c>
      <c r="J336" s="3448">
        <v>335</v>
      </c>
    </row>
    <row r="337" spans="1:10" s="3448" customFormat="1">
      <c r="A337" s="3578" t="s">
        <v>1975</v>
      </c>
      <c r="B337" s="2911"/>
      <c r="C337" s="2911"/>
      <c r="D337" s="2911"/>
      <c r="E337" s="2911"/>
      <c r="F337" s="2911"/>
      <c r="H337" s="3448">
        <f>HLOOKUP(Non_UN,'Other Translations'!$A:$L,1+translations!J337,)</f>
        <v>0</v>
      </c>
      <c r="J337" s="3448">
        <v>336</v>
      </c>
    </row>
    <row r="338" spans="1:10" s="3448" customFormat="1">
      <c r="A338" s="3578" t="s">
        <v>1975</v>
      </c>
      <c r="B338" s="2911"/>
      <c r="C338" s="2911"/>
      <c r="D338" s="2911"/>
      <c r="E338" s="2911"/>
      <c r="F338" s="2911"/>
      <c r="H338" s="3448">
        <f>HLOOKUP(Non_UN,'Other Translations'!$A:$L,1+translations!J338,)</f>
        <v>0</v>
      </c>
      <c r="J338" s="3448">
        <v>337</v>
      </c>
    </row>
    <row r="339" spans="1:10" s="3448" customFormat="1">
      <c r="A339" s="3578" t="s">
        <v>1975</v>
      </c>
      <c r="B339" s="2911"/>
      <c r="C339" s="2911"/>
      <c r="D339" s="2911"/>
      <c r="E339" s="2911"/>
      <c r="F339" s="2911"/>
      <c r="H339" s="3448">
        <f>HLOOKUP(Non_UN,'Other Translations'!$A:$L,1+translations!J339,)</f>
        <v>0</v>
      </c>
      <c r="J339" s="3448">
        <v>338</v>
      </c>
    </row>
    <row r="340" spans="1:10" s="3448" customFormat="1">
      <c r="A340" s="3578" t="s">
        <v>1975</v>
      </c>
      <c r="B340" s="2911"/>
      <c r="C340" s="2911"/>
      <c r="D340" s="2911"/>
      <c r="E340" s="2911"/>
      <c r="F340" s="2911"/>
      <c r="H340" s="3448">
        <f>HLOOKUP(Non_UN,'Other Translations'!$A:$L,1+translations!J340,)</f>
        <v>0</v>
      </c>
      <c r="J340" s="3448">
        <v>339</v>
      </c>
    </row>
    <row r="341" spans="1:10" s="2581" customFormat="1">
      <c r="A341" s="2581" t="s">
        <v>1638</v>
      </c>
      <c r="B341" s="2580" t="s">
        <v>1617</v>
      </c>
      <c r="C341" s="2580" t="s">
        <v>1618</v>
      </c>
      <c r="D341" s="2580" t="s">
        <v>1619</v>
      </c>
      <c r="E341" s="2580" t="str">
        <f>E1</f>
        <v>中文</v>
      </c>
      <c r="F341" s="2580" t="s">
        <v>2518</v>
      </c>
      <c r="G341" s="2581" t="s">
        <v>3166</v>
      </c>
      <c r="H341" s="2581" t="str">
        <f>HLOOKUP(Non_UN,'Other Translations'!$A:$L,1+translations!J341,)</f>
        <v>Tiếng Việt</v>
      </c>
      <c r="J341" s="2820">
        <v>340</v>
      </c>
    </row>
    <row r="342" spans="1:10" s="3448" customFormat="1">
      <c r="A342" s="3578" t="s">
        <v>2066</v>
      </c>
      <c r="B342" s="2911" t="s">
        <v>1474</v>
      </c>
      <c r="C342" s="2749" t="s">
        <v>2067</v>
      </c>
      <c r="D342" s="2911" t="s">
        <v>4201</v>
      </c>
      <c r="E342" s="2911" t="s">
        <v>8471</v>
      </c>
      <c r="F342" s="2911" t="s">
        <v>2772</v>
      </c>
      <c r="G342" s="3448" t="s">
        <v>3445</v>
      </c>
      <c r="H342" s="3448" t="str">
        <f>HLOOKUP(Non_UN,'Other Translations'!$A:$L,1+translations!J342,)</f>
        <v>Tổng diện tích (ha)</v>
      </c>
      <c r="J342" s="3448">
        <v>341</v>
      </c>
    </row>
    <row r="343" spans="1:10" s="3448" customFormat="1">
      <c r="A343" s="3578" t="s">
        <v>2066</v>
      </c>
      <c r="B343" s="2749" t="s">
        <v>2069</v>
      </c>
      <c r="C343" s="2749" t="s">
        <v>2068</v>
      </c>
      <c r="D343" s="2911" t="s">
        <v>4202</v>
      </c>
      <c r="E343" s="2911" t="s">
        <v>8472</v>
      </c>
      <c r="F343" s="2911" t="s">
        <v>2773</v>
      </c>
      <c r="G343" s="3448" t="s">
        <v>3446</v>
      </c>
      <c r="H343" s="3448" t="str">
        <f>HLOOKUP(Non_UN,'Other Translations'!$A:$L,1+translations!J343,)</f>
        <v>Các hợp phần của dự án</v>
      </c>
      <c r="J343" s="3448">
        <v>342</v>
      </c>
    </row>
    <row r="344" spans="1:10" s="3448" customFormat="1">
      <c r="A344" s="3578" t="s">
        <v>2066</v>
      </c>
      <c r="B344" s="2749" t="s">
        <v>1473</v>
      </c>
      <c r="C344" s="2749" t="s">
        <v>2070</v>
      </c>
      <c r="D344" s="2911" t="s">
        <v>4203</v>
      </c>
      <c r="E344" s="2911" t="s">
        <v>8473</v>
      </c>
      <c r="F344" s="2911" t="s">
        <v>2774</v>
      </c>
      <c r="G344" s="3448" t="s">
        <v>3447</v>
      </c>
      <c r="H344" s="3448" t="str">
        <f>HLOOKUP(Non_UN,'Other Translations'!$A:$L,1+translations!J344,)</f>
        <v>Tổng bức xạ</v>
      </c>
      <c r="J344" s="3448">
        <v>343</v>
      </c>
    </row>
    <row r="345" spans="1:10" s="3448" customFormat="1">
      <c r="A345" s="3578" t="s">
        <v>2066</v>
      </c>
      <c r="B345" s="2911" t="s">
        <v>59</v>
      </c>
      <c r="C345" s="2749" t="s">
        <v>2071</v>
      </c>
      <c r="D345" s="2911" t="s">
        <v>4204</v>
      </c>
      <c r="E345" s="2911" t="s">
        <v>8474</v>
      </c>
      <c r="F345" s="2911" t="s">
        <v>3120</v>
      </c>
      <c r="G345" s="3448" t="s">
        <v>3448</v>
      </c>
      <c r="H345" s="3448" t="str">
        <f>HLOOKUP(Non_UN,'Other Translations'!$A:$L,1+translations!J345,)</f>
        <v>Tất cả KNK quy đổi ra tCO2eq</v>
      </c>
      <c r="J345" s="3448">
        <v>344</v>
      </c>
    </row>
    <row r="346" spans="1:10" s="3448" customFormat="1">
      <c r="A346" s="3578" t="s">
        <v>2066</v>
      </c>
      <c r="B346" s="2911" t="s">
        <v>1468</v>
      </c>
      <c r="C346" s="2749" t="s">
        <v>2072</v>
      </c>
      <c r="D346" s="2911" t="s">
        <v>4205</v>
      </c>
      <c r="E346" s="2911" t="s">
        <v>8475</v>
      </c>
      <c r="F346" s="2911" t="s">
        <v>2775</v>
      </c>
      <c r="G346" s="3448" t="s">
        <v>3449</v>
      </c>
      <c r="H346" s="3448" t="str">
        <f>HLOOKUP(Non_UN,'Other Translations'!$A:$L,1+translations!J346,)</f>
        <v>Dương=nguồn phát thải/ Âm=nguồn hấp thụ</v>
      </c>
      <c r="J346" s="3448">
        <v>345</v>
      </c>
    </row>
    <row r="347" spans="1:10" s="3448" customFormat="1">
      <c r="A347" s="3578" t="s">
        <v>2066</v>
      </c>
      <c r="B347" s="2911" t="s">
        <v>1476</v>
      </c>
      <c r="C347" s="2749" t="s">
        <v>2073</v>
      </c>
      <c r="D347" s="2749" t="s">
        <v>4504</v>
      </c>
      <c r="E347" s="2911" t="s">
        <v>8476</v>
      </c>
      <c r="F347" s="2911" t="s">
        <v>3121</v>
      </c>
      <c r="G347" s="3448" t="s">
        <v>3450</v>
      </c>
      <c r="H347" s="3448" t="str">
        <f>HLOOKUP(Non_UN,'Other Translations'!$A:$L,1+translations!J347,)</f>
        <v>Tỷ lệ chia sẻ trong cân bằng phát thải KNK</v>
      </c>
      <c r="J347" s="3448">
        <v>346</v>
      </c>
    </row>
    <row r="348" spans="1:10" s="3448" customFormat="1">
      <c r="A348" s="3578" t="s">
        <v>2066</v>
      </c>
      <c r="B348" s="2749" t="s">
        <v>535</v>
      </c>
      <c r="C348" s="2749" t="s">
        <v>2074</v>
      </c>
      <c r="D348" s="2911" t="s">
        <v>4206</v>
      </c>
      <c r="E348" s="2911" t="s">
        <v>8477</v>
      </c>
      <c r="F348" s="2911" t="s">
        <v>2776</v>
      </c>
      <c r="G348" s="3448" t="s">
        <v>3451</v>
      </c>
      <c r="H348" s="3448" t="str">
        <f>HLOOKUP(Non_UN,'Other Translations'!$A:$L,1+translations!J348,)</f>
        <v>Sinh khối</v>
      </c>
      <c r="J348" s="3448">
        <v>347</v>
      </c>
    </row>
    <row r="349" spans="1:10" s="3448" customFormat="1">
      <c r="A349" s="3578" t="s">
        <v>2066</v>
      </c>
      <c r="B349" s="2749" t="s">
        <v>540</v>
      </c>
      <c r="C349" s="2749" t="s">
        <v>2075</v>
      </c>
      <c r="D349" s="2911" t="s">
        <v>4207</v>
      </c>
      <c r="E349" s="2911" t="s">
        <v>8478</v>
      </c>
      <c r="F349" s="2911" t="s">
        <v>2777</v>
      </c>
      <c r="G349" s="3448" t="s">
        <v>3452</v>
      </c>
      <c r="H349" s="3448" t="str">
        <f>HLOOKUP(Non_UN,'Other Translations'!$A:$L,1+translations!J349,)</f>
        <v>Đất</v>
      </c>
      <c r="J349" s="3448">
        <v>348</v>
      </c>
    </row>
    <row r="350" spans="1:10" s="3448" customFormat="1">
      <c r="A350" s="3578" t="s">
        <v>2066</v>
      </c>
      <c r="B350" s="2749" t="s">
        <v>388</v>
      </c>
      <c r="C350" s="2749" t="s">
        <v>1927</v>
      </c>
      <c r="D350" s="2911" t="s">
        <v>4113</v>
      </c>
      <c r="E350" s="2911" t="s">
        <v>8370</v>
      </c>
      <c r="F350" s="2911" t="s">
        <v>2778</v>
      </c>
      <c r="G350" s="3448" t="s">
        <v>3339</v>
      </c>
      <c r="H350" s="3448" t="str">
        <f>HLOOKUP(Non_UN,'Other Translations'!$A:$L,1+translations!J350,)</f>
        <v>Khác</v>
      </c>
      <c r="J350" s="3448">
        <v>349</v>
      </c>
    </row>
    <row r="351" spans="1:10" s="3448" customFormat="1">
      <c r="A351" s="3578" t="s">
        <v>2066</v>
      </c>
      <c r="B351" s="2749" t="s">
        <v>2076</v>
      </c>
      <c r="C351" s="2749" t="s">
        <v>2089</v>
      </c>
      <c r="D351" s="2911" t="s">
        <v>4208</v>
      </c>
      <c r="E351" s="2911" t="s">
        <v>8479</v>
      </c>
      <c r="F351" s="2911" t="s">
        <v>2779</v>
      </c>
      <c r="G351" s="3448" t="s">
        <v>3453</v>
      </c>
      <c r="H351" s="3448" t="str">
        <f>HLOOKUP(Non_UN,'Other Translations'!$A:$L,1+translations!J351,)</f>
        <v>Kết quả/năm</v>
      </c>
      <c r="J351" s="3448">
        <v>350</v>
      </c>
    </row>
    <row r="352" spans="1:10" s="3448" customFormat="1">
      <c r="A352" s="3578" t="s">
        <v>2066</v>
      </c>
      <c r="B352" s="2749" t="s">
        <v>2090</v>
      </c>
      <c r="C352" s="2749" t="s">
        <v>2094</v>
      </c>
      <c r="D352" s="2911" t="s">
        <v>4209</v>
      </c>
      <c r="E352" s="2911" t="s">
        <v>8480</v>
      </c>
      <c r="F352" s="2911" t="s">
        <v>2780</v>
      </c>
      <c r="G352" s="3448" t="s">
        <v>3454</v>
      </c>
      <c r="H352" s="3448" t="str">
        <f>HLOOKUP(Non_UN,'Other Translations'!$A:$L,1+translations!J352,)</f>
        <v>Thay đổi sử dụng đất</v>
      </c>
      <c r="J352" s="3448">
        <v>351</v>
      </c>
    </row>
    <row r="353" spans="1:10" s="3448" customFormat="1">
      <c r="A353" s="3578" t="s">
        <v>2066</v>
      </c>
      <c r="B353" s="2911" t="s">
        <v>1469</v>
      </c>
      <c r="C353" s="2749" t="s">
        <v>2091</v>
      </c>
      <c r="D353" s="2911" t="s">
        <v>4210</v>
      </c>
      <c r="E353" s="2911" t="s">
        <v>8216</v>
      </c>
      <c r="F353" s="2911" t="s">
        <v>2781</v>
      </c>
      <c r="G353" s="3448" t="s">
        <v>3455</v>
      </c>
      <c r="H353" s="3448" t="str">
        <f>HLOOKUP(Non_UN,'Other Translations'!$A:$L,1+translations!J353,)</f>
        <v>Phá rừng</v>
      </c>
      <c r="J353" s="3448">
        <v>352</v>
      </c>
    </row>
    <row r="354" spans="1:10" s="3448" customFormat="1">
      <c r="A354" s="3578" t="s">
        <v>2066</v>
      </c>
      <c r="B354" s="2911" t="s">
        <v>1470</v>
      </c>
      <c r="C354" s="2749" t="s">
        <v>2092</v>
      </c>
      <c r="D354" s="2911" t="s">
        <v>4211</v>
      </c>
      <c r="E354" s="2911" t="s">
        <v>8481</v>
      </c>
      <c r="F354" s="2911" t="s">
        <v>2782</v>
      </c>
      <c r="G354" s="3448" t="s">
        <v>3456</v>
      </c>
      <c r="H354" s="3448" t="str">
        <f>HLOOKUP(Non_UN,'Other Translations'!$A:$L,1+translations!J354,)</f>
        <v>Trồng rừng</v>
      </c>
      <c r="J354" s="3448">
        <v>353</v>
      </c>
    </row>
    <row r="355" spans="1:10" s="3448" customFormat="1">
      <c r="A355" s="3578" t="s">
        <v>2066</v>
      </c>
      <c r="B355" s="2749" t="s">
        <v>5409</v>
      </c>
      <c r="C355" s="2749" t="s">
        <v>4826</v>
      </c>
      <c r="D355" s="2911" t="s">
        <v>4212</v>
      </c>
      <c r="E355" s="2911" t="s">
        <v>8370</v>
      </c>
      <c r="F355" s="2911" t="s">
        <v>2678</v>
      </c>
      <c r="G355" s="3448" t="s">
        <v>3339</v>
      </c>
      <c r="H355" s="3448" t="str">
        <f>HLOOKUP(Non_UN,'Other Translations'!$A:$L,1+translations!J355,)</f>
        <v>Sử dụng đất khác</v>
      </c>
      <c r="J355" s="3448">
        <v>354</v>
      </c>
    </row>
    <row r="356" spans="1:10" s="3448" customFormat="1">
      <c r="A356" s="3578" t="s">
        <v>2066</v>
      </c>
      <c r="B356" s="2749" t="s">
        <v>328</v>
      </c>
      <c r="C356" s="2749" t="s">
        <v>328</v>
      </c>
      <c r="D356" s="2911" t="s">
        <v>4213</v>
      </c>
      <c r="E356" s="2911" t="s">
        <v>8482</v>
      </c>
      <c r="F356" s="2911" t="s">
        <v>2783</v>
      </c>
      <c r="G356" s="3448" t="s">
        <v>3457</v>
      </c>
      <c r="H356" s="3448" t="str">
        <f>HLOOKUP(Non_UN,'Other Translations'!$A:$L,1+translations!J356,)</f>
        <v>Nông nghiệp</v>
      </c>
      <c r="J356" s="3448">
        <v>355</v>
      </c>
    </row>
    <row r="357" spans="1:10" s="3448" customFormat="1">
      <c r="A357" s="3578" t="s">
        <v>2066</v>
      </c>
      <c r="B357" s="2911" t="s">
        <v>1091</v>
      </c>
      <c r="C357" s="2749" t="s">
        <v>2095</v>
      </c>
      <c r="D357" s="2911" t="s">
        <v>4214</v>
      </c>
      <c r="E357" s="2911" t="s">
        <v>8479</v>
      </c>
      <c r="F357" s="2911" t="s">
        <v>2691</v>
      </c>
      <c r="G357" s="3448" t="s">
        <v>3358</v>
      </c>
      <c r="H357" s="3448" t="str">
        <f>HLOOKUP(Non_UN,'Other Translations'!$A:$L,1+translations!J357,)</f>
        <v>Hàng năm</v>
      </c>
      <c r="J357" s="3448">
        <v>356</v>
      </c>
    </row>
    <row r="358" spans="1:10" s="3448" customFormat="1">
      <c r="A358" s="3578" t="s">
        <v>2066</v>
      </c>
      <c r="B358" s="2911" t="s">
        <v>1092</v>
      </c>
      <c r="C358" s="2749" t="s">
        <v>2096</v>
      </c>
      <c r="D358" s="2911" t="s">
        <v>4215</v>
      </c>
      <c r="E358" s="2911" t="s">
        <v>8483</v>
      </c>
      <c r="F358" s="2911" t="s">
        <v>2692</v>
      </c>
      <c r="G358" s="3448" t="s">
        <v>3359</v>
      </c>
      <c r="H358" s="3448" t="str">
        <f>HLOOKUP(Non_UN,'Other Translations'!$A:$L,1+translations!J358,)</f>
        <v>Lâu năm</v>
      </c>
      <c r="J358" s="3448">
        <v>357</v>
      </c>
    </row>
    <row r="359" spans="1:10" s="3448" customFormat="1">
      <c r="A359" s="3578" t="s">
        <v>2066</v>
      </c>
      <c r="B359" s="2911" t="s">
        <v>1093</v>
      </c>
      <c r="C359" s="2749" t="s">
        <v>2097</v>
      </c>
      <c r="D359" s="2911" t="s">
        <v>4216</v>
      </c>
      <c r="E359" s="2911" t="s">
        <v>8484</v>
      </c>
      <c r="F359" s="2911" t="s">
        <v>2784</v>
      </c>
      <c r="G359" s="3448" t="s">
        <v>3458</v>
      </c>
      <c r="H359" s="3448" t="str">
        <f>HLOOKUP(Non_UN,'Other Translations'!$A:$L,1+translations!J359,)</f>
        <v>Lúa</v>
      </c>
      <c r="J359" s="3448">
        <v>358</v>
      </c>
    </row>
    <row r="360" spans="1:10" s="3448" customFormat="1">
      <c r="A360" s="3578" t="s">
        <v>2066</v>
      </c>
      <c r="B360" s="2911" t="s">
        <v>1471</v>
      </c>
      <c r="C360" s="2749" t="s">
        <v>2098</v>
      </c>
      <c r="D360" s="2911" t="s">
        <v>4217</v>
      </c>
      <c r="E360" s="2911" t="s">
        <v>8485</v>
      </c>
      <c r="F360" s="2911" t="s">
        <v>2785</v>
      </c>
      <c r="G360" s="3448" t="s">
        <v>3459</v>
      </c>
      <c r="H360" s="3448" t="str">
        <f>HLOOKUP(Non_UN,'Other Translations'!$A:$L,1+translations!J360,)</f>
        <v>Đồng cỏ và chăn nuôi</v>
      </c>
      <c r="J360" s="3448">
        <v>359</v>
      </c>
    </row>
    <row r="361" spans="1:10" s="3448" customFormat="1">
      <c r="A361" s="3578" t="s">
        <v>2066</v>
      </c>
      <c r="B361" s="2749" t="s">
        <v>329</v>
      </c>
      <c r="C361" s="2749" t="s">
        <v>2099</v>
      </c>
      <c r="D361" s="2911" t="s">
        <v>4218</v>
      </c>
      <c r="E361" s="2911" t="s">
        <v>8390</v>
      </c>
      <c r="F361" s="2911" t="s">
        <v>2693</v>
      </c>
      <c r="G361" s="3448" t="s">
        <v>3360</v>
      </c>
      <c r="H361" s="3448" t="str">
        <f>HLOOKUP(Non_UN,'Other Translations'!$A:$L,1+translations!J361,)</f>
        <v>Đồng cỏ</v>
      </c>
      <c r="J361" s="3448">
        <v>360</v>
      </c>
    </row>
    <row r="362" spans="1:10" s="3448" customFormat="1">
      <c r="A362" s="3578" t="s">
        <v>2066</v>
      </c>
      <c r="B362" s="2749" t="s">
        <v>1017</v>
      </c>
      <c r="C362" s="2749" t="s">
        <v>2100</v>
      </c>
      <c r="D362" s="2911" t="s">
        <v>4219</v>
      </c>
      <c r="E362" s="2911" t="s">
        <v>8486</v>
      </c>
      <c r="F362" s="2911" t="s">
        <v>2786</v>
      </c>
      <c r="G362" s="3448" t="s">
        <v>3460</v>
      </c>
      <c r="H362" s="3448" t="str">
        <f>HLOOKUP(Non_UN,'Other Translations'!$A:$L,1+translations!J362,)</f>
        <v>Chăn nuôi</v>
      </c>
      <c r="J362" s="3448">
        <v>361</v>
      </c>
    </row>
    <row r="363" spans="1:10" s="3448" customFormat="1">
      <c r="A363" s="3578" t="s">
        <v>2066</v>
      </c>
      <c r="B363" s="2749" t="s">
        <v>2101</v>
      </c>
      <c r="C363" s="2749" t="s">
        <v>2102</v>
      </c>
      <c r="D363" s="2911" t="s">
        <v>4220</v>
      </c>
      <c r="E363" s="2911" t="s">
        <v>8487</v>
      </c>
      <c r="F363" s="2911" t="s">
        <v>2787</v>
      </c>
      <c r="G363" s="3448" t="s">
        <v>3461</v>
      </c>
      <c r="H363" s="3448" t="str">
        <f>HLOOKUP(Non_UN,'Other Translations'!$A:$L,1+translations!J363,)</f>
        <v>Suy thoái và quản lý</v>
      </c>
      <c r="J363" s="3448">
        <v>362</v>
      </c>
    </row>
    <row r="364" spans="1:10" s="3448" customFormat="1">
      <c r="A364" s="3578" t="s">
        <v>2066</v>
      </c>
      <c r="B364" s="2911" t="s">
        <v>1472</v>
      </c>
      <c r="C364" s="2749" t="s">
        <v>2103</v>
      </c>
      <c r="D364" s="2911" t="s">
        <v>4221</v>
      </c>
      <c r="E364" s="2911" t="s">
        <v>8488</v>
      </c>
      <c r="F364" s="2911" t="s">
        <v>2788</v>
      </c>
      <c r="G364" s="3448" t="s">
        <v>3462</v>
      </c>
      <c r="H364" s="3448" t="str">
        <f>HLOOKUP(Non_UN,'Other Translations'!$A:$L,1+translations!J364,)</f>
        <v>Các đầu vào và Đầu tư</v>
      </c>
      <c r="J364" s="3448">
        <v>363</v>
      </c>
    </row>
    <row r="365" spans="1:10" s="3448" customFormat="1">
      <c r="A365" s="3578" t="s">
        <v>2066</v>
      </c>
      <c r="B365" s="2749" t="s">
        <v>516</v>
      </c>
      <c r="C365" s="2749" t="s">
        <v>516</v>
      </c>
      <c r="D365" s="2911" t="s">
        <v>516</v>
      </c>
      <c r="E365" s="2911" t="s">
        <v>8489</v>
      </c>
      <c r="F365" s="2911" t="s">
        <v>2789</v>
      </c>
      <c r="G365" s="3448" t="s">
        <v>3463</v>
      </c>
      <c r="H365" s="3448" t="str">
        <f>HLOOKUP(Non_UN,'Other Translations'!$A:$L,1+translations!J365,)</f>
        <v>Tổng</v>
      </c>
      <c r="J365" s="3448">
        <v>364</v>
      </c>
    </row>
    <row r="366" spans="1:10" s="3448" customFormat="1">
      <c r="A366" s="3578" t="s">
        <v>2066</v>
      </c>
      <c r="B366" s="2749" t="s">
        <v>1475</v>
      </c>
      <c r="C366" s="2749" t="s">
        <v>2104</v>
      </c>
      <c r="D366" s="2911" t="s">
        <v>4222</v>
      </c>
      <c r="E366" s="2911" t="s">
        <v>8490</v>
      </c>
      <c r="F366" s="2911" t="s">
        <v>2790</v>
      </c>
      <c r="G366" s="3448" t="s">
        <v>3464</v>
      </c>
      <c r="H366" s="3448" t="str">
        <f>HLOOKUP(Non_UN,'Other Translations'!$A:$L,1+translations!J366,)</f>
        <v>trên ha</v>
      </c>
      <c r="J366" s="3448">
        <v>365</v>
      </c>
    </row>
    <row r="367" spans="1:10" s="3448" customFormat="1">
      <c r="A367" s="3578" t="s">
        <v>2066</v>
      </c>
      <c r="B367" s="2749" t="s">
        <v>1480</v>
      </c>
      <c r="C367" s="2749" t="s">
        <v>2105</v>
      </c>
      <c r="D367" s="2911" t="s">
        <v>4223</v>
      </c>
      <c r="E367" s="2911" t="s">
        <v>8491</v>
      </c>
      <c r="F367" s="2911" t="s">
        <v>2791</v>
      </c>
      <c r="G367" s="3448" t="s">
        <v>3465</v>
      </c>
      <c r="H367" s="3448" t="str">
        <f>HLOOKUP(Non_UN,'Other Translations'!$A:$L,1+translations!J367,)</f>
        <v>trên ha/năm</v>
      </c>
      <c r="J367" s="3448">
        <v>366</v>
      </c>
    </row>
    <row r="368" spans="1:10" s="3448" customFormat="1">
      <c r="A368" s="3578" t="s">
        <v>2066</v>
      </c>
      <c r="B368" s="2749" t="s">
        <v>1481</v>
      </c>
      <c r="C368" s="2749" t="s">
        <v>2106</v>
      </c>
      <c r="D368" s="2911" t="s">
        <v>4224</v>
      </c>
      <c r="E368" s="2911" t="s">
        <v>8492</v>
      </c>
      <c r="F368" s="2911" t="s">
        <v>2792</v>
      </c>
      <c r="G368" s="3448" t="s">
        <v>3466</v>
      </c>
      <c r="H368" s="3448" t="str">
        <f>HLOOKUP(Non_UN,'Other Translations'!$A:$L,1+translations!J368,)</f>
        <v>CO2 -Sinh khố</v>
      </c>
      <c r="J368" s="3448">
        <v>367</v>
      </c>
    </row>
    <row r="369" spans="1:10" s="3448" customFormat="1">
      <c r="A369" s="3578" t="s">
        <v>2066</v>
      </c>
      <c r="B369" s="2749" t="s">
        <v>1482</v>
      </c>
      <c r="C369" s="2749" t="s">
        <v>2107</v>
      </c>
      <c r="D369" s="2911" t="s">
        <v>4225</v>
      </c>
      <c r="E369" s="2911" t="s">
        <v>8493</v>
      </c>
      <c r="F369" s="2911" t="s">
        <v>2793</v>
      </c>
      <c r="G369" s="3448" t="s">
        <v>3467</v>
      </c>
      <c r="H369" s="3448" t="str">
        <f>HLOOKUP(Non_UN,'Other Translations'!$A:$L,1+translations!J369,)</f>
        <v>CO2-Đất</v>
      </c>
      <c r="J369" s="3448">
        <v>368</v>
      </c>
    </row>
    <row r="370" spans="1:10" s="3448" customFormat="1">
      <c r="A370" s="3578" t="s">
        <v>2066</v>
      </c>
      <c r="B370" s="2749" t="s">
        <v>1483</v>
      </c>
      <c r="C370" s="2749" t="s">
        <v>2108</v>
      </c>
      <c r="D370" s="2911" t="s">
        <v>4226</v>
      </c>
      <c r="E370" s="2911" t="s">
        <v>8494</v>
      </c>
      <c r="F370" s="2911" t="s">
        <v>2794</v>
      </c>
      <c r="G370" s="3448" t="s">
        <v>3468</v>
      </c>
      <c r="H370" s="3448" t="str">
        <f>HLOOKUP(Non_UN,'Other Translations'!$A:$L,1+translations!J370,)</f>
        <v>CO2-Khác</v>
      </c>
      <c r="J370" s="3448">
        <v>369</v>
      </c>
    </row>
    <row r="371" spans="1:10" s="3448" customFormat="1">
      <c r="A371" s="3578" t="s">
        <v>2066</v>
      </c>
      <c r="B371" s="2911" t="s">
        <v>2109</v>
      </c>
      <c r="C371" s="2749" t="s">
        <v>2110</v>
      </c>
      <c r="D371" s="2911" t="s">
        <v>4502</v>
      </c>
      <c r="E371" s="2911" t="s">
        <v>8495</v>
      </c>
      <c r="F371" s="2911" t="s">
        <v>3122</v>
      </c>
      <c r="G371" s="3448" t="s">
        <v>3469</v>
      </c>
      <c r="H371" s="3448" t="str">
        <f>HLOOKUP(Non_UN,'Other Translations'!$A:$L,1+translations!J371,)</f>
        <v>Sử dụng trong đánh giá theo chuỗi đơn giản</v>
      </c>
      <c r="J371" s="3448">
        <v>370</v>
      </c>
    </row>
    <row r="372" spans="1:10" s="3448" customFormat="1">
      <c r="A372" s="3578" t="s">
        <v>2066</v>
      </c>
      <c r="B372" s="2749" t="s">
        <v>2113</v>
      </c>
      <c r="C372" s="2749" t="s">
        <v>2112</v>
      </c>
      <c r="D372" s="2911" t="s">
        <v>4227</v>
      </c>
      <c r="E372" s="2911" t="s">
        <v>8496</v>
      </c>
      <c r="F372" s="2911" t="s">
        <v>2795</v>
      </c>
      <c r="G372" s="3448" t="s">
        <v>3470</v>
      </c>
      <c r="H372" s="3448" t="str">
        <f>HLOOKUP(Non_UN,'Other Translations'!$A:$L,1+translations!J372,)</f>
        <v>Bức xạ/hợp phần</v>
      </c>
      <c r="J372" s="3448">
        <v>371</v>
      </c>
    </row>
    <row r="373" spans="1:10" s="3448" customFormat="1">
      <c r="A373" s="3578" t="s">
        <v>2066</v>
      </c>
      <c r="B373" s="2749" t="s">
        <v>2114</v>
      </c>
      <c r="C373" s="2749" t="s">
        <v>2115</v>
      </c>
      <c r="D373" s="2911" t="s">
        <v>4228</v>
      </c>
      <c r="E373" s="2911" t="s">
        <v>8497</v>
      </c>
      <c r="F373" s="2911" t="s">
        <v>2796</v>
      </c>
      <c r="G373" s="3448" t="s">
        <v>3471</v>
      </c>
      <c r="H373" s="3448" t="str">
        <f>HLOOKUP(Non_UN,'Other Translations'!$A:$L,1+translations!J373,)</f>
        <v>Cân bằng/hợp phần</v>
      </c>
      <c r="J373" s="3448">
        <v>372</v>
      </c>
    </row>
    <row r="374" spans="1:10" s="3448" customFormat="1">
      <c r="A374" s="3578" t="s">
        <v>2066</v>
      </c>
      <c r="B374" s="2911" t="s">
        <v>1484</v>
      </c>
      <c r="C374" s="2749" t="s">
        <v>2117</v>
      </c>
      <c r="D374" s="2911" t="s">
        <v>4229</v>
      </c>
      <c r="E374" s="2911" t="s">
        <v>8498</v>
      </c>
      <c r="F374" s="2911" t="s">
        <v>2797</v>
      </c>
      <c r="G374" s="3448" t="s">
        <v>3472</v>
      </c>
      <c r="H374" s="3448" t="str">
        <f>HLOOKUP(Non_UN,'Other Translations'!$A:$L,1+translations!J374,)</f>
        <v>Tổng khi không có và có dự án và cân bằng</v>
      </c>
      <c r="J374" s="3448">
        <v>373</v>
      </c>
    </row>
    <row r="375" spans="1:10" s="3448" customFormat="1" ht="25.5">
      <c r="A375" s="3578" t="s">
        <v>2066</v>
      </c>
      <c r="B375" s="2911" t="s">
        <v>2116</v>
      </c>
      <c r="C375" s="2749" t="s">
        <v>2118</v>
      </c>
      <c r="D375" s="2911" t="s">
        <v>4230</v>
      </c>
      <c r="E375" s="2911" t="s">
        <v>8499</v>
      </c>
      <c r="F375" s="2911" t="s">
        <v>3123</v>
      </c>
      <c r="G375" s="3448" t="s">
        <v>3473</v>
      </c>
      <c r="H375" s="3448" t="str">
        <f>HLOOKUP(Non_UN,'Other Translations'!$A:$L,1+translations!J375,)</f>
        <v xml:space="preserve">Tỷ lệ trong cân bằng/KNK (cộng với phát thải CO2 gốc) </v>
      </c>
      <c r="J375" s="3448">
        <v>374</v>
      </c>
    </row>
    <row r="376" spans="1:10" s="3448" customFormat="1" ht="25.5">
      <c r="A376" s="3578" t="s">
        <v>2066</v>
      </c>
      <c r="B376" s="2911" t="s">
        <v>4840</v>
      </c>
      <c r="C376" s="2749" t="s">
        <v>4841</v>
      </c>
      <c r="D376" s="2911" t="s">
        <v>4842</v>
      </c>
      <c r="E376" s="2911" t="s">
        <v>8500</v>
      </c>
      <c r="F376" s="2911" t="s">
        <v>2798</v>
      </c>
      <c r="G376" s="3448" t="s">
        <v>3474</v>
      </c>
      <c r="H376" s="3448" t="str">
        <f>HLOOKUP(Non_UN,'Other Translations'!$A:$L,1+translations!J376,)</f>
        <v>Đổi mới sử dụng đất/theo loại (ha)</v>
      </c>
      <c r="J376" s="3448">
        <v>375</v>
      </c>
    </row>
    <row r="377" spans="1:10" s="3448" customFormat="1">
      <c r="A377" s="3578" t="s">
        <v>2066</v>
      </c>
      <c r="B377" s="2911" t="s">
        <v>1095</v>
      </c>
      <c r="C377" s="2749" t="s">
        <v>2120</v>
      </c>
      <c r="D377" s="2911" t="s">
        <v>4231</v>
      </c>
      <c r="E377" s="2911" t="s">
        <v>8501</v>
      </c>
      <c r="F377" s="2911" t="s">
        <v>3124</v>
      </c>
      <c r="G377" s="3448" t="s">
        <v>3475</v>
      </c>
      <c r="H377" s="3448" t="str">
        <f>HLOOKUP(Non_UN,'Other Translations'!$A:$L,1+translations!J377,)</f>
        <v>Rừng/trồng rừng</v>
      </c>
      <c r="J377" s="3448">
        <v>376</v>
      </c>
    </row>
    <row r="378" spans="1:10" s="3448" customFormat="1">
      <c r="A378" s="3578" t="s">
        <v>2066</v>
      </c>
      <c r="B378" s="2749" t="s">
        <v>2119</v>
      </c>
      <c r="C378" s="2749" t="s">
        <v>2121</v>
      </c>
      <c r="D378" s="2911" t="s">
        <v>4232</v>
      </c>
      <c r="E378" s="2911" t="s">
        <v>8502</v>
      </c>
      <c r="F378" s="2911" t="s">
        <v>2799</v>
      </c>
      <c r="G378" s="3448" t="s">
        <v>3476</v>
      </c>
      <c r="H378" s="3448" t="str">
        <f>HLOOKUP(Non_UN,'Other Translations'!$A:$L,1+translations!J378,)</f>
        <v>Các loại đất khác</v>
      </c>
      <c r="J378" s="3448">
        <v>377</v>
      </c>
    </row>
    <row r="379" spans="1:10" s="3448" customFormat="1">
      <c r="A379" s="3578" t="s">
        <v>2066</v>
      </c>
      <c r="B379" s="2749" t="s">
        <v>1187</v>
      </c>
      <c r="C379" s="2749" t="s">
        <v>2122</v>
      </c>
      <c r="D379" s="2911" t="s">
        <v>4233</v>
      </c>
      <c r="E379" s="2911" t="s">
        <v>8503</v>
      </c>
      <c r="F379" s="2911" t="s">
        <v>2800</v>
      </c>
      <c r="G379" s="3448" t="s">
        <v>3477</v>
      </c>
      <c r="H379" s="3448" t="str">
        <f>HLOOKUP(Non_UN,'Other Translations'!$A:$L,1+translations!J379,)</f>
        <v>Suy thoái</v>
      </c>
      <c r="J379" s="3448">
        <v>378</v>
      </c>
    </row>
    <row r="380" spans="1:10" s="3448" customFormat="1">
      <c r="A380" s="3578" t="s">
        <v>2066</v>
      </c>
      <c r="B380" s="2749" t="s">
        <v>388</v>
      </c>
      <c r="C380" s="2749" t="s">
        <v>2093</v>
      </c>
      <c r="D380" s="2911" t="s">
        <v>4113</v>
      </c>
      <c r="E380" s="2911" t="s">
        <v>8370</v>
      </c>
      <c r="F380" s="2911" t="s">
        <v>2778</v>
      </c>
      <c r="G380" s="3448" t="s">
        <v>3339</v>
      </c>
      <c r="H380" s="3448" t="str">
        <f>HLOOKUP(Non_UN,'Other Translations'!$A:$L,1+translations!J380,)</f>
        <v>Khác</v>
      </c>
      <c r="J380" s="3448">
        <v>379</v>
      </c>
    </row>
    <row r="381" spans="1:10" s="3448" customFormat="1">
      <c r="A381" s="3578" t="s">
        <v>2066</v>
      </c>
      <c r="B381" s="2749" t="s">
        <v>2124</v>
      </c>
      <c r="C381" s="2749" t="s">
        <v>2123</v>
      </c>
      <c r="D381" s="2911" t="s">
        <v>4234</v>
      </c>
      <c r="E381" s="2911" t="s">
        <v>8504</v>
      </c>
      <c r="F381" s="2911" t="s">
        <v>2801</v>
      </c>
      <c r="G381" s="3448" t="s">
        <v>3478</v>
      </c>
      <c r="H381" s="3448" t="str">
        <f>HLOOKUP(Non_UN,'Other Translations'!$A:$L,1+translations!J381,)</f>
        <v>Đất ngập nước</v>
      </c>
      <c r="J381" s="3448">
        <v>380</v>
      </c>
    </row>
    <row r="382" spans="1:10" s="3448" customFormat="1">
      <c r="A382" s="3578" t="s">
        <v>2066</v>
      </c>
      <c r="B382" s="2749" t="s">
        <v>1494</v>
      </c>
      <c r="C382" s="2749" t="s">
        <v>2125</v>
      </c>
      <c r="D382" s="2911" t="s">
        <v>4235</v>
      </c>
      <c r="E382" s="2911" t="s">
        <v>3806</v>
      </c>
      <c r="F382" s="2911" t="s">
        <v>2802</v>
      </c>
      <c r="G382" s="3448" t="s">
        <v>3479</v>
      </c>
      <c r="H382" s="3448" t="str">
        <f>HLOOKUP(Non_UN,'Other Translations'!$A:$L,1+translations!J382,)</f>
        <v>Mức độ không chắc chắn</v>
      </c>
      <c r="J382" s="3448">
        <v>381</v>
      </c>
    </row>
    <row r="383" spans="1:10" s="3448" customFormat="1">
      <c r="A383" s="3578" t="s">
        <v>2066</v>
      </c>
      <c r="B383" s="2911" t="s">
        <v>1495</v>
      </c>
      <c r="C383" s="2749" t="s">
        <v>2126</v>
      </c>
      <c r="D383" s="2911" t="s">
        <v>4236</v>
      </c>
      <c r="E383" s="2911" t="s">
        <v>8505</v>
      </c>
      <c r="F383" s="2911" t="s">
        <v>2803</v>
      </c>
      <c r="G383" s="3448" t="s">
        <v>3480</v>
      </c>
      <c r="H383" s="3448" t="str">
        <f>HLOOKUP(Non_UN,'Other Translations'!$A:$L,1+translations!J383,)</f>
        <v>Cân bằng thực</v>
      </c>
      <c r="J383" s="3448">
        <v>382</v>
      </c>
    </row>
    <row r="384" spans="1:10" s="3448" customFormat="1">
      <c r="A384" s="3578" t="s">
        <v>2066</v>
      </c>
      <c r="B384" s="2911" t="s">
        <v>1497</v>
      </c>
      <c r="C384" s="2749" t="s">
        <v>2128</v>
      </c>
      <c r="D384" s="2911" t="s">
        <v>4237</v>
      </c>
      <c r="E384" s="2911" t="s">
        <v>8506</v>
      </c>
      <c r="F384" s="2911" t="s">
        <v>2804</v>
      </c>
      <c r="G384" s="3448" t="s">
        <v>3481</v>
      </c>
      <c r="H384" s="3448" t="str">
        <f>HLOOKUP(Non_UN,'Other Translations'!$A:$L,1+translations!J384,)</f>
        <v>Tổng không chắc chắn</v>
      </c>
      <c r="J384" s="3448">
        <v>383</v>
      </c>
    </row>
    <row r="385" spans="1:10" s="3448" customFormat="1">
      <c r="A385" s="3578" t="s">
        <v>2066</v>
      </c>
      <c r="B385" s="2911" t="s">
        <v>1496</v>
      </c>
      <c r="C385" s="2749" t="s">
        <v>2127</v>
      </c>
      <c r="D385" s="2911" t="s">
        <v>4238</v>
      </c>
      <c r="E385" s="2911" t="s">
        <v>8507</v>
      </c>
      <c r="F385" s="2911" t="s">
        <v>2805</v>
      </c>
      <c r="G385" s="3448" t="s">
        <v>3482</v>
      </c>
      <c r="H385" s="3448" t="str">
        <f>HLOOKUP(Non_UN,'Other Translations'!$A:$L,1+translations!J385,)</f>
        <v>% của tính không chắc chắn</v>
      </c>
      <c r="J385" s="3448">
        <v>384</v>
      </c>
    </row>
    <row r="386" spans="1:10" s="3448" customFormat="1">
      <c r="A386" s="3578" t="s">
        <v>2066</v>
      </c>
      <c r="B386" s="2911" t="s">
        <v>2129</v>
      </c>
      <c r="C386" s="2911" t="s">
        <v>2130</v>
      </c>
      <c r="D386" s="2911" t="s">
        <v>4239</v>
      </c>
      <c r="E386" s="2911" t="s">
        <v>8508</v>
      </c>
      <c r="F386" s="2911" t="s">
        <v>2806</v>
      </c>
      <c r="G386" s="3448" t="s">
        <v>3483</v>
      </c>
      <c r="H386" s="3448" t="str">
        <f>HLOOKUP(Non_UN,'Other Translations'!$A:$L,1+translations!J386,)</f>
        <v>Ma trận chi tiết về sự thay đổi</v>
      </c>
      <c r="J386" s="3448">
        <v>385</v>
      </c>
    </row>
    <row r="387" spans="1:10" s="3448" customFormat="1" ht="38.25">
      <c r="A387" s="3578" t="s">
        <v>2066</v>
      </c>
      <c r="B387" s="2911" t="s">
        <v>2131</v>
      </c>
      <c r="C387" s="2749" t="s">
        <v>2132</v>
      </c>
      <c r="D387" s="2911" t="s">
        <v>4240</v>
      </c>
      <c r="E387" s="2911" t="s">
        <v>8509</v>
      </c>
      <c r="F387" s="2911" t="s">
        <v>2807</v>
      </c>
      <c r="G387" s="3448" t="s">
        <v>3484</v>
      </c>
      <c r="H387" s="3448" t="str">
        <f>HLOOKUP(Non_UN,'Other Translations'!$A:$L,1+translations!J387,)</f>
        <v>Tổng diện tích phải bằng tất cả các trường hợp: Hãy kiểm tra cẩn thận tất cả các hợp phần</v>
      </c>
      <c r="J387" s="3448">
        <v>386</v>
      </c>
    </row>
    <row r="388" spans="1:10" s="3448" customFormat="1">
      <c r="A388" s="3578" t="s">
        <v>2066</v>
      </c>
      <c r="B388" s="2749" t="s">
        <v>2133</v>
      </c>
      <c r="C388" s="2749" t="s">
        <v>2134</v>
      </c>
      <c r="D388" s="2911" t="s">
        <v>4241</v>
      </c>
      <c r="E388" s="2911" t="s">
        <v>8510</v>
      </c>
      <c r="F388" s="2911" t="s">
        <v>2808</v>
      </c>
      <c r="G388" s="3448" t="s">
        <v>3485</v>
      </c>
      <c r="H388" s="3448" t="str">
        <f>HLOOKUP(Non_UN,'Other Translations'!$A:$L,1+translations!J388,)</f>
        <v>Các chỉ số khác</v>
      </c>
      <c r="J388" s="3448">
        <v>387</v>
      </c>
    </row>
    <row r="389" spans="1:10" s="3448" customFormat="1">
      <c r="A389" s="3578" t="s">
        <v>2066</v>
      </c>
      <c r="B389" s="2911" t="s">
        <v>1563</v>
      </c>
      <c r="C389" s="2749" t="s">
        <v>2139</v>
      </c>
      <c r="D389" s="2911" t="s">
        <v>4242</v>
      </c>
      <c r="E389" s="2911" t="s">
        <v>8511</v>
      </c>
      <c r="F389" s="2911" t="s">
        <v>2809</v>
      </c>
      <c r="G389" s="3448" t="s">
        <v>3486</v>
      </c>
      <c r="H389" s="3448" t="str">
        <f>HLOOKUP(Non_UN,'Other Translations'!$A:$L,1+translations!J389,)</f>
        <v>Diện tích có tưới (ha)</v>
      </c>
      <c r="J389" s="3448">
        <v>388</v>
      </c>
    </row>
    <row r="390" spans="1:10" s="3448" customFormat="1">
      <c r="A390" s="3578" t="s">
        <v>2066</v>
      </c>
      <c r="B390" s="2749" t="s">
        <v>2135</v>
      </c>
      <c r="C390" s="2749" t="s">
        <v>2136</v>
      </c>
      <c r="D390" s="2911" t="s">
        <v>4243</v>
      </c>
      <c r="E390" s="2911" t="s">
        <v>8512</v>
      </c>
      <c r="F390" s="2911" t="s">
        <v>2810</v>
      </c>
      <c r="G390" s="3448" t="s">
        <v>3487</v>
      </c>
      <c r="H390" s="3448" t="str">
        <f>HLOOKUP(Non_UN,'Other Translations'!$A:$L,1+translations!J390,)</f>
        <v>Lúa có tưới</v>
      </c>
      <c r="J390" s="3448">
        <v>389</v>
      </c>
    </row>
    <row r="391" spans="1:10" s="3448" customFormat="1">
      <c r="A391" s="3578" t="s">
        <v>2066</v>
      </c>
      <c r="B391" s="2749" t="s">
        <v>2137</v>
      </c>
      <c r="C391" s="2749" t="s">
        <v>2138</v>
      </c>
      <c r="D391" s="2911" t="s">
        <v>4214</v>
      </c>
      <c r="E391" s="2911" t="s">
        <v>8513</v>
      </c>
      <c r="F391" s="2911" t="s">
        <v>2811</v>
      </c>
      <c r="G391" s="3448" t="s">
        <v>3488</v>
      </c>
      <c r="H391" s="3448" t="str">
        <f>HLOOKUP(Non_UN,'Other Translations'!$A:$L,1+translations!J391,)</f>
        <v>Cây trồng hàng năm</v>
      </c>
      <c r="J391" s="3448">
        <v>390</v>
      </c>
    </row>
    <row r="392" spans="1:10" s="3448" customFormat="1" ht="15">
      <c r="A392" s="3578" t="s">
        <v>2066</v>
      </c>
      <c r="B392" s="2911" t="s">
        <v>1571</v>
      </c>
      <c r="C392" s="2749" t="s">
        <v>2140</v>
      </c>
      <c r="D392" s="2911" t="s">
        <v>4244</v>
      </c>
      <c r="E392" s="2911" t="s">
        <v>8514</v>
      </c>
      <c r="F392" s="3599" t="s">
        <v>3125</v>
      </c>
      <c r="G392" s="3448" t="s">
        <v>3489</v>
      </c>
      <c r="H392" s="3448" t="str">
        <f>HLOOKUP(Non_UN,'Other Translations'!$A:$L,1+translations!J392,)</f>
        <v>Diện tích đốt lũy kế -ha</v>
      </c>
      <c r="J392" s="3448">
        <v>391</v>
      </c>
    </row>
    <row r="393" spans="1:10" s="3448" customFormat="1">
      <c r="A393" s="3578" t="s">
        <v>2066</v>
      </c>
      <c r="B393" s="2911" t="s">
        <v>1564</v>
      </c>
      <c r="C393" s="2749" t="s">
        <v>2141</v>
      </c>
      <c r="D393" s="2911" t="s">
        <v>4245</v>
      </c>
      <c r="E393" s="2911" t="s">
        <v>8515</v>
      </c>
      <c r="F393" s="2911" t="s">
        <v>2812</v>
      </c>
      <c r="G393" s="3448" t="s">
        <v>3490</v>
      </c>
      <c r="H393" s="3448" t="str">
        <f>HLOOKUP(Non_UN,'Other Translations'!$A:$L,1+translations!J393,)</f>
        <v>Từ phá rừng</v>
      </c>
      <c r="J393" s="3448">
        <v>392</v>
      </c>
    </row>
    <row r="394" spans="1:10" s="3448" customFormat="1">
      <c r="A394" s="3578" t="s">
        <v>2066</v>
      </c>
      <c r="B394" s="2911" t="s">
        <v>1565</v>
      </c>
      <c r="C394" s="2749" t="s">
        <v>2142</v>
      </c>
      <c r="D394" s="2911" t="s">
        <v>4246</v>
      </c>
      <c r="E394" s="2911" t="s">
        <v>8516</v>
      </c>
      <c r="F394" s="2911" t="s">
        <v>2813</v>
      </c>
      <c r="G394" s="3448" t="s">
        <v>3491</v>
      </c>
      <c r="H394" s="3448" t="str">
        <f>HLOOKUP(Non_UN,'Other Translations'!$A:$L,1+translations!J394,)</f>
        <v>Từ suy thoái rừng</v>
      </c>
      <c r="J394" s="3448">
        <v>393</v>
      </c>
    </row>
    <row r="395" spans="1:10" s="3448" customFormat="1">
      <c r="A395" s="3578" t="s">
        <v>2066</v>
      </c>
      <c r="B395" s="2911" t="s">
        <v>2111</v>
      </c>
      <c r="C395" s="2749" t="s">
        <v>2143</v>
      </c>
      <c r="D395" s="2911" t="s">
        <v>4247</v>
      </c>
      <c r="E395" s="2911" t="s">
        <v>8517</v>
      </c>
      <c r="F395" s="2911" t="s">
        <v>2814</v>
      </c>
      <c r="G395" s="3448" t="s">
        <v>3492</v>
      </c>
      <c r="H395" s="3448" t="str">
        <f>HLOOKUP(Non_UN,'Other Translations'!$A:$L,1+translations!J395,)</f>
        <v>Trở lại các kết quả chính</v>
      </c>
      <c r="J395" s="3448">
        <v>394</v>
      </c>
    </row>
    <row r="396" spans="1:10" s="3448" customFormat="1">
      <c r="A396" s="3578" t="s">
        <v>2066</v>
      </c>
      <c r="B396" s="2911" t="s">
        <v>1488</v>
      </c>
      <c r="C396" s="2749" t="s">
        <v>1488</v>
      </c>
      <c r="D396" s="2911" t="s">
        <v>4248</v>
      </c>
      <c r="E396" s="2911" t="s">
        <v>8518</v>
      </c>
      <c r="F396" s="2911" t="s">
        <v>2815</v>
      </c>
      <c r="G396" s="3448" t="s">
        <v>3493</v>
      </c>
      <c r="H396" s="3448" t="str">
        <f>HLOOKUP(Non_UN,'Other Translations'!$A:$L,1+translations!J396,)</f>
        <v>Sản xuất</v>
      </c>
      <c r="J396" s="3448">
        <v>395</v>
      </c>
    </row>
    <row r="397" spans="1:10" s="3448" customFormat="1">
      <c r="A397" s="3578" t="s">
        <v>2066</v>
      </c>
      <c r="B397" s="2911" t="s">
        <v>1489</v>
      </c>
      <c r="C397" s="2749" t="s">
        <v>2144</v>
      </c>
      <c r="D397" s="2911" t="s">
        <v>4249</v>
      </c>
      <c r="E397" s="2911" t="s">
        <v>8519</v>
      </c>
      <c r="F397" s="2911" t="s">
        <v>2816</v>
      </c>
      <c r="G397" s="3448" t="s">
        <v>3494</v>
      </c>
      <c r="H397" s="3448" t="str">
        <f>HLOOKUP(Non_UN,'Other Translations'!$A:$L,1+translations!J397,)</f>
        <v>tấn sản phẩm</v>
      </c>
      <c r="J397" s="3448">
        <v>396</v>
      </c>
    </row>
    <row r="398" spans="1:10" s="3448" customFormat="1">
      <c r="A398" s="3578" t="s">
        <v>2066</v>
      </c>
      <c r="B398" s="2911" t="s">
        <v>2146</v>
      </c>
      <c r="C398" s="2911" t="s">
        <v>2147</v>
      </c>
      <c r="D398" s="2911" t="s">
        <v>4250</v>
      </c>
      <c r="E398" s="2911" t="s">
        <v>8520</v>
      </c>
      <c r="F398" s="2911" t="s">
        <v>3126</v>
      </c>
      <c r="G398" s="3448" t="s">
        <v>3495</v>
      </c>
      <c r="H398" s="3448" t="str">
        <f>HLOOKUP(Non_UN,'Other Translations'!$A:$L,1+translations!J398,)</f>
        <v>Tổng cường độ phát thải</v>
      </c>
      <c r="J398" s="3448">
        <v>397</v>
      </c>
    </row>
    <row r="399" spans="1:10" s="3448" customFormat="1">
      <c r="A399" s="3578" t="s">
        <v>2066</v>
      </c>
      <c r="B399" s="2911" t="s">
        <v>2145</v>
      </c>
      <c r="C399" s="2911" t="s">
        <v>2148</v>
      </c>
      <c r="D399" s="2911" t="s">
        <v>4251</v>
      </c>
      <c r="E399" s="2911" t="s">
        <v>8521</v>
      </c>
      <c r="F399" s="2911" t="s">
        <v>3127</v>
      </c>
      <c r="G399" s="3448" t="s">
        <v>3496</v>
      </c>
      <c r="H399" s="3448" t="str">
        <f>HLOOKUP(Non_UN,'Other Translations'!$A:$L,1+translations!J399,)</f>
        <v>CO2eq/tấn sản phẩm</v>
      </c>
      <c r="J399" s="3448">
        <v>398</v>
      </c>
    </row>
    <row r="400" spans="1:10" s="3448" customFormat="1">
      <c r="A400" s="3578" t="s">
        <v>2066</v>
      </c>
      <c r="B400" s="2911" t="s">
        <v>1576</v>
      </c>
      <c r="C400" s="2911" t="s">
        <v>2149</v>
      </c>
      <c r="D400" s="2911" t="s">
        <v>4252</v>
      </c>
      <c r="E400" s="2911" t="s">
        <v>8522</v>
      </c>
      <c r="F400" s="2911" t="s">
        <v>2817</v>
      </c>
      <c r="G400" s="3448" t="s">
        <v>3497</v>
      </c>
      <c r="H400" s="3448" t="str">
        <f>HLOOKUP(Non_UN,'Other Translations'!$A:$L,1+translations!J400,)</f>
        <v>Phần trăm con người sử dụng</v>
      </c>
      <c r="J400" s="3448">
        <v>399</v>
      </c>
    </row>
    <row r="401" spans="1:10" s="3448" customFormat="1">
      <c r="A401" s="3578" t="s">
        <v>2066</v>
      </c>
      <c r="B401" s="2911" t="s">
        <v>1581</v>
      </c>
      <c r="C401" s="2911" t="s">
        <v>2150</v>
      </c>
      <c r="D401" s="2911" t="s">
        <v>4253</v>
      </c>
      <c r="E401" s="2911" t="s">
        <v>8523</v>
      </c>
      <c r="F401" s="2911" t="s">
        <v>2818</v>
      </c>
      <c r="G401" s="3448" t="s">
        <v>3498</v>
      </c>
      <c r="H401" s="3448" t="str">
        <f>HLOOKUP(Non_UN,'Other Translations'!$A:$L,1+translations!J401,)</f>
        <v>Số lượng sử dụng tương đương</v>
      </c>
      <c r="J401" s="3448">
        <v>400</v>
      </c>
    </row>
    <row r="402" spans="1:10" s="3448" customFormat="1">
      <c r="A402" s="3578" t="s">
        <v>2066</v>
      </c>
      <c r="B402" s="2749" t="s">
        <v>1590</v>
      </c>
      <c r="C402" s="2749" t="s">
        <v>2151</v>
      </c>
      <c r="D402" s="2911" t="s">
        <v>4254</v>
      </c>
      <c r="E402" s="2911" t="s">
        <v>8524</v>
      </c>
      <c r="F402" s="2911" t="s">
        <v>2819</v>
      </c>
      <c r="G402" s="3448" t="s">
        <v>3499</v>
      </c>
      <c r="H402" s="3448" t="str">
        <f>HLOOKUP(Non_UN,'Other Translations'!$A:$L,1+translations!J402,)</f>
        <v>Tất cả thay đổi sử dụng đất</v>
      </c>
      <c r="J402" s="3448">
        <v>401</v>
      </c>
    </row>
    <row r="403" spans="1:10" s="3448" customFormat="1" ht="38.25">
      <c r="A403" s="3578" t="s">
        <v>2066</v>
      </c>
      <c r="B403" s="2911" t="s">
        <v>2152</v>
      </c>
      <c r="C403" s="2749" t="s">
        <v>2153</v>
      </c>
      <c r="D403" s="2911" t="s">
        <v>4255</v>
      </c>
      <c r="E403" s="2911" t="s">
        <v>8525</v>
      </c>
      <c r="F403" s="2911" t="s">
        <v>3128</v>
      </c>
      <c r="G403" s="3448" t="s">
        <v>3500</v>
      </c>
      <c r="H403" s="3448" t="str">
        <f>HLOOKUP(Non_UN,'Other Translations'!$A:$L,1+translations!J403,)</f>
        <v>Chi tiết các phát thải tình bằng tCO2eq cho các pha khác nhau của chuối giá trị</v>
      </c>
      <c r="J403" s="3448">
        <v>402</v>
      </c>
    </row>
    <row r="404" spans="1:10" s="3448" customFormat="1">
      <c r="A404" s="3578" t="s">
        <v>2066</v>
      </c>
      <c r="B404" s="2911" t="s">
        <v>2154</v>
      </c>
      <c r="C404" s="2749" t="s">
        <v>2155</v>
      </c>
      <c r="D404" s="2911" t="s">
        <v>4256</v>
      </c>
      <c r="E404" s="2911" t="s">
        <v>8526</v>
      </c>
      <c r="F404" s="2911" t="s">
        <v>3129</v>
      </c>
      <c r="G404" s="3448" t="s">
        <v>3501</v>
      </c>
      <c r="H404" s="3448" t="str">
        <f>HLOOKUP(Non_UN,'Other Translations'!$A:$L,1+translations!J404,)</f>
        <v>Phát thải (tCO2e/tấn sản phẩm)</v>
      </c>
      <c r="J404" s="3448">
        <v>403</v>
      </c>
    </row>
    <row r="405" spans="1:10" s="3448" customFormat="1" ht="38.25">
      <c r="A405" s="3578" t="s">
        <v>2066</v>
      </c>
      <c r="B405" s="2911" t="s">
        <v>1582</v>
      </c>
      <c r="C405" s="2749" t="s">
        <v>2156</v>
      </c>
      <c r="D405" s="2911" t="s">
        <v>4257</v>
      </c>
      <c r="E405" s="2911" t="s">
        <v>8527</v>
      </c>
      <c r="F405" s="3599" t="s">
        <v>2820</v>
      </c>
      <c r="G405" s="3448" t="s">
        <v>3502</v>
      </c>
      <c r="H405" s="3448" t="str">
        <f>HLOOKUP(Non_UN,'Other Translations'!$A:$L,1+translations!J405,)</f>
        <v>Mức độ sản xuất (phát thải tương ứng được tính toán bằng phần trăm của tổng số sử dụng)</v>
      </c>
      <c r="J405" s="3448">
        <v>404</v>
      </c>
    </row>
    <row r="406" spans="1:10" s="3448" customFormat="1" ht="38.25">
      <c r="A406" s="3578" t="s">
        <v>2066</v>
      </c>
      <c r="B406" s="2911" t="s">
        <v>1583</v>
      </c>
      <c r="C406" s="2749" t="s">
        <v>2157</v>
      </c>
      <c r="D406" s="2911" t="s">
        <v>4258</v>
      </c>
      <c r="E406" s="2911" t="s">
        <v>8528</v>
      </c>
      <c r="F406" s="3599" t="s">
        <v>2821</v>
      </c>
      <c r="G406" s="3448" t="s">
        <v>3503</v>
      </c>
      <c r="H406" s="3448" t="str">
        <f>HLOOKUP(Non_UN,'Other Translations'!$A:$L,1+translations!J406,)</f>
        <v>Phát thải trực tiếp và gián tiếp (bao gồm thay đổi sử dụng đất (LUC), suy thoái, các đầu vào và đầu tư)</v>
      </c>
      <c r="J406" s="3448">
        <v>405</v>
      </c>
    </row>
    <row r="407" spans="1:10" s="3448" customFormat="1" ht="25.5">
      <c r="A407" s="3578" t="s">
        <v>2066</v>
      </c>
      <c r="B407" s="2749" t="s">
        <v>1584</v>
      </c>
      <c r="C407" s="2749" t="s">
        <v>2158</v>
      </c>
      <c r="D407" s="2911" t="s">
        <v>4503</v>
      </c>
      <c r="E407" s="2911" t="s">
        <v>8529</v>
      </c>
      <c r="F407" s="3599" t="s">
        <v>2822</v>
      </c>
      <c r="G407" s="3448" t="s">
        <v>3504</v>
      </c>
      <c r="H407" s="3448" t="str">
        <f>HLOOKUP(Non_UN,'Other Translations'!$A:$L,1+translations!J407,)</f>
        <v>Lĩnh CHẾ BIẾN (liệt kê các đầu vào hoặc các quá trình cần thiết)</v>
      </c>
      <c r="J407" s="3448">
        <v>406</v>
      </c>
    </row>
    <row r="408" spans="1:10" s="3448" customFormat="1" ht="15">
      <c r="A408" s="3578" t="s">
        <v>2066</v>
      </c>
      <c r="B408" s="2749" t="s">
        <v>2159</v>
      </c>
      <c r="C408" s="2749" t="s">
        <v>2160</v>
      </c>
      <c r="D408" s="2911" t="s">
        <v>4259</v>
      </c>
      <c r="E408" s="2911" t="s">
        <v>8530</v>
      </c>
      <c r="F408" s="3599" t="s">
        <v>2823</v>
      </c>
      <c r="G408" s="3448" t="s">
        <v>3505</v>
      </c>
      <c r="H408" s="3448" t="str">
        <f>HLOOKUP(Non_UN,'Other Translations'!$A:$L,1+translations!J408,)</f>
        <v>Tên đầu vào/quá trình</v>
      </c>
      <c r="J408" s="3448">
        <v>407</v>
      </c>
    </row>
    <row r="409" spans="1:10" s="3448" customFormat="1" ht="15">
      <c r="A409" s="3578" t="s">
        <v>2066</v>
      </c>
      <c r="B409" s="2911" t="s">
        <v>1585</v>
      </c>
      <c r="C409" s="2749" t="s">
        <v>2161</v>
      </c>
      <c r="D409" s="2911" t="s">
        <v>4260</v>
      </c>
      <c r="E409" s="2911" t="s">
        <v>8531</v>
      </c>
      <c r="F409" s="3599" t="s">
        <v>2824</v>
      </c>
      <c r="G409" s="3448" t="s">
        <v>3506</v>
      </c>
      <c r="H409" s="3448" t="str">
        <f>HLOOKUP(Non_UN,'Other Translations'!$A:$L,1+translations!J409,)</f>
        <v>Phát thải/đầu vào</v>
      </c>
      <c r="J409" s="3448">
        <v>408</v>
      </c>
    </row>
    <row r="410" spans="1:10" s="3448" customFormat="1" ht="15">
      <c r="A410" s="3578" t="s">
        <v>2066</v>
      </c>
      <c r="B410" s="3448" t="s">
        <v>1586</v>
      </c>
      <c r="C410" s="2749" t="s">
        <v>2162</v>
      </c>
      <c r="D410" s="2911" t="s">
        <v>4261</v>
      </c>
      <c r="E410" s="2911" t="s">
        <v>8532</v>
      </c>
      <c r="F410" s="3599" t="s">
        <v>3130</v>
      </c>
      <c r="G410" s="3448" t="s">
        <v>3507</v>
      </c>
      <c r="H410" s="3448" t="str">
        <f>HLOOKUP(Non_UN,'Other Translations'!$A:$L,1+translations!J410,)</f>
        <v>Đầu vào/tấn sản phẩm</v>
      </c>
      <c r="J410" s="3448">
        <v>409</v>
      </c>
    </row>
    <row r="411" spans="1:10" s="3448" customFormat="1">
      <c r="A411" s="3578" t="s">
        <v>2066</v>
      </c>
      <c r="B411" s="2749" t="s">
        <v>2175</v>
      </c>
      <c r="C411" s="2749" t="s">
        <v>2163</v>
      </c>
      <c r="D411" s="2911" t="s">
        <v>4262</v>
      </c>
      <c r="E411" s="2911" t="s">
        <v>8533</v>
      </c>
      <c r="F411" s="2911" t="s">
        <v>2825</v>
      </c>
      <c r="G411" s="3448" t="s">
        <v>3508</v>
      </c>
      <c r="H411" s="3448" t="str">
        <f>HLOOKUP(Non_UN,'Other Translations'!$A:$L,1+translations!J411,)</f>
        <v>Tổng CHẾ BIẾN</v>
      </c>
      <c r="J411" s="3448">
        <v>410</v>
      </c>
    </row>
    <row r="412" spans="1:10" s="3448" customFormat="1" ht="25.5">
      <c r="A412" s="3578" t="s">
        <v>2066</v>
      </c>
      <c r="B412" s="2749" t="s">
        <v>2166</v>
      </c>
      <c r="C412" s="2749" t="s">
        <v>2167</v>
      </c>
      <c r="D412" s="2911" t="s">
        <v>4263</v>
      </c>
      <c r="E412" s="2911" t="s">
        <v>8534</v>
      </c>
      <c r="F412" s="2911" t="s">
        <v>2826</v>
      </c>
      <c r="G412" s="3448" t="s">
        <v>3509</v>
      </c>
      <c r="H412" s="3448" t="str">
        <f>HLOOKUP(Non_UN,'Other Translations'!$A:$L,1+translations!J412,)</f>
        <v>Lĩnh vực GIAO THÔNG (danh mục các đầu vào khác nhau hoặc các quá trình cần thiết)</v>
      </c>
      <c r="J412" s="3448">
        <v>411</v>
      </c>
    </row>
    <row r="413" spans="1:10" s="3448" customFormat="1">
      <c r="A413" s="3578" t="s">
        <v>2066</v>
      </c>
      <c r="B413" s="2749" t="s">
        <v>2168</v>
      </c>
      <c r="C413" s="2749" t="s">
        <v>2169</v>
      </c>
      <c r="D413" s="2911" t="s">
        <v>4264</v>
      </c>
      <c r="E413" s="2911" t="s">
        <v>8535</v>
      </c>
      <c r="F413" s="2911" t="s">
        <v>2827</v>
      </c>
      <c r="G413" s="3448" t="s">
        <v>3510</v>
      </c>
      <c r="H413" s="3448" t="str">
        <f>HLOOKUP(Non_UN,'Other Translations'!$A:$L,1+translations!J413,)</f>
        <v>Tổng GIAO THÔNG</v>
      </c>
      <c r="J413" s="3448">
        <v>412</v>
      </c>
    </row>
    <row r="414" spans="1:10" s="3448" customFormat="1">
      <c r="A414" s="3578" t="s">
        <v>2066</v>
      </c>
      <c r="B414" s="2749" t="s">
        <v>2164</v>
      </c>
      <c r="C414" s="2749" t="s">
        <v>2165</v>
      </c>
      <c r="D414" s="2911" t="s">
        <v>4265</v>
      </c>
      <c r="E414" s="2911" t="s">
        <v>8536</v>
      </c>
      <c r="F414" s="2911" t="s">
        <v>2828</v>
      </c>
      <c r="G414" s="3448" t="s">
        <v>3511</v>
      </c>
      <c r="H414" s="3448" t="str">
        <f>HLOOKUP(Non_UN,'Other Translations'!$A:$L,1+translations!J414,)</f>
        <v>Điền tên dưới đây</v>
      </c>
      <c r="J414" s="3448">
        <v>413</v>
      </c>
    </row>
    <row r="415" spans="1:10" s="3448" customFormat="1" ht="25.5">
      <c r="A415" s="3578" t="s">
        <v>2066</v>
      </c>
      <c r="B415" s="2911" t="s">
        <v>1587</v>
      </c>
      <c r="C415" s="2749" t="s">
        <v>2170</v>
      </c>
      <c r="D415" s="2911" t="s">
        <v>4266</v>
      </c>
      <c r="E415" s="2911" t="s">
        <v>8537</v>
      </c>
      <c r="F415" s="2911" t="s">
        <v>3131</v>
      </c>
      <c r="G415" s="3448" t="s">
        <v>3512</v>
      </c>
      <c r="H415" s="3448" t="str">
        <f>HLOOKUP(Non_UN,'Other Translations'!$A:$L,1+translations!J415,)</f>
        <v>Lĩnh vực sử dụng (danh mục các đầu vào khác nhau hoặc các bước cần thiết)</v>
      </c>
      <c r="J415" s="3448">
        <v>414</v>
      </c>
    </row>
    <row r="416" spans="1:10" s="3448" customFormat="1">
      <c r="A416" s="3578" t="s">
        <v>2066</v>
      </c>
      <c r="B416" s="3578" t="s">
        <v>2174</v>
      </c>
      <c r="C416" s="2749" t="s">
        <v>2171</v>
      </c>
      <c r="D416" s="2911" t="s">
        <v>4267</v>
      </c>
      <c r="E416" s="2911" t="s">
        <v>8538</v>
      </c>
      <c r="F416" s="2911" t="s">
        <v>2829</v>
      </c>
      <c r="G416" s="3448" t="s">
        <v>3513</v>
      </c>
      <c r="H416" s="3448" t="str">
        <f>HLOOKUP(Non_UN,'Other Translations'!$A:$L,1+translations!J416,)</f>
        <v>Tổng SỬ DỤNG</v>
      </c>
      <c r="J416" s="3448">
        <v>415</v>
      </c>
    </row>
    <row r="417" spans="1:10" s="3448" customFormat="1" ht="25.5">
      <c r="A417" s="3578" t="s">
        <v>2066</v>
      </c>
      <c r="B417" s="2911" t="s">
        <v>1588</v>
      </c>
      <c r="C417" s="2749" t="s">
        <v>2172</v>
      </c>
      <c r="D417" s="2911" t="s">
        <v>4268</v>
      </c>
      <c r="E417" s="2911" t="s">
        <v>8539</v>
      </c>
      <c r="F417" s="2911" t="s">
        <v>3132</v>
      </c>
      <c r="G417" s="3448" t="s">
        <v>3514</v>
      </c>
      <c r="H417" s="3448" t="str">
        <f>HLOOKUP(Non_UN,'Other Translations'!$A:$L,1+translations!J417,)</f>
        <v>Lĩnh vực CHẤT THẢI (danh mục các đầu vào khác nhau hoặc các bước khác nhau)</v>
      </c>
      <c r="J417" s="3448">
        <v>416</v>
      </c>
    </row>
    <row r="418" spans="1:10" s="3448" customFormat="1">
      <c r="A418" s="3578" t="s">
        <v>2066</v>
      </c>
      <c r="B418" s="2749" t="s">
        <v>2173</v>
      </c>
      <c r="C418" s="2749" t="s">
        <v>2176</v>
      </c>
      <c r="D418" s="2911" t="s">
        <v>4269</v>
      </c>
      <c r="E418" s="2911" t="s">
        <v>8540</v>
      </c>
      <c r="F418" s="2911" t="s">
        <v>2830</v>
      </c>
      <c r="G418" s="3448" t="s">
        <v>3515</v>
      </c>
      <c r="H418" s="3448" t="str">
        <f>HLOOKUP(Non_UN,'Other Translations'!$A:$L,1+translations!J418,)</f>
        <v>Tổng CHẤT THẢI</v>
      </c>
      <c r="J418" s="3448">
        <v>417</v>
      </c>
    </row>
    <row r="419" spans="1:10" s="3448" customFormat="1" ht="25.5">
      <c r="A419" s="3578" t="s">
        <v>2066</v>
      </c>
      <c r="B419" s="2911" t="s">
        <v>2177</v>
      </c>
      <c r="C419" s="2749" t="s">
        <v>2178</v>
      </c>
      <c r="D419" s="2911" t="s">
        <v>4270</v>
      </c>
      <c r="E419" s="2911" t="s">
        <v>8541</v>
      </c>
      <c r="F419" s="2911" t="s">
        <v>3133</v>
      </c>
      <c r="G419" s="3448" t="s">
        <v>3516</v>
      </c>
      <c r="H419" s="3448" t="str">
        <f>HLOOKUP(Non_UN,'Other Translations'!$A:$L,1+translations!J419,)</f>
        <v>Tổng Phát thải được tính bằng tấn CO2eq đối với các pha khác nhau của chuỗi giá trị</v>
      </c>
      <c r="J419" s="3448">
        <v>418</v>
      </c>
    </row>
    <row r="420" spans="1:10" s="3448" customFormat="1">
      <c r="A420" s="3578" t="s">
        <v>2066</v>
      </c>
      <c r="B420" s="2911" t="s">
        <v>1589</v>
      </c>
      <c r="C420" s="2749" t="s">
        <v>1589</v>
      </c>
      <c r="D420" s="2911" t="s">
        <v>4271</v>
      </c>
      <c r="E420" s="2911" t="s">
        <v>8542</v>
      </c>
      <c r="F420" s="2911" t="s">
        <v>2831</v>
      </c>
      <c r="G420" s="3448" t="s">
        <v>3517</v>
      </c>
      <c r="H420" s="3448" t="str">
        <f>HLOOKUP(Non_UN,'Other Translations'!$A:$L,1+translations!J420,)</f>
        <v>SẢN XUẤT</v>
      </c>
      <c r="J420" s="3448">
        <v>419</v>
      </c>
    </row>
    <row r="421" spans="1:10" s="3448" customFormat="1">
      <c r="A421" s="3578" t="s">
        <v>2066</v>
      </c>
      <c r="B421" s="2911" t="s">
        <v>1577</v>
      </c>
      <c r="C421" s="2749" t="s">
        <v>2179</v>
      </c>
      <c r="D421" s="2911" t="s">
        <v>4272</v>
      </c>
      <c r="E421" s="2911" t="s">
        <v>8543</v>
      </c>
      <c r="F421" s="2911" t="s">
        <v>2832</v>
      </c>
      <c r="G421" s="3448" t="s">
        <v>3518</v>
      </c>
      <c r="H421" s="3448" t="str">
        <f>HLOOKUP(Non_UN,'Other Translations'!$A:$L,1+translations!J421,)</f>
        <v>CHẾ BIẾN</v>
      </c>
      <c r="J421" s="3448">
        <v>420</v>
      </c>
    </row>
    <row r="422" spans="1:10" s="3448" customFormat="1">
      <c r="A422" s="3578" t="s">
        <v>2066</v>
      </c>
      <c r="B422" s="2911" t="s">
        <v>1578</v>
      </c>
      <c r="C422" s="2749" t="s">
        <v>1578</v>
      </c>
      <c r="D422" s="2911" t="s">
        <v>4273</v>
      </c>
      <c r="E422" s="2911" t="s">
        <v>8544</v>
      </c>
      <c r="F422" s="2911" t="s">
        <v>2833</v>
      </c>
      <c r="G422" s="3448" t="s">
        <v>3519</v>
      </c>
      <c r="H422" s="3448" t="str">
        <f>HLOOKUP(Non_UN,'Other Translations'!$A:$L,1+translations!J422,)</f>
        <v>GIAO THÔNG</v>
      </c>
      <c r="J422" s="3448">
        <v>421</v>
      </c>
    </row>
    <row r="423" spans="1:10" s="3448" customFormat="1">
      <c r="A423" s="3578" t="s">
        <v>2066</v>
      </c>
      <c r="B423" s="2911" t="s">
        <v>1579</v>
      </c>
      <c r="C423" s="2749" t="s">
        <v>2180</v>
      </c>
      <c r="D423" s="2911" t="s">
        <v>4274</v>
      </c>
      <c r="E423" s="2911" t="s">
        <v>8545</v>
      </c>
      <c r="F423" s="2911" t="s">
        <v>2834</v>
      </c>
      <c r="G423" s="3448" t="s">
        <v>3520</v>
      </c>
      <c r="H423" s="3448" t="str">
        <f>HLOOKUP(Non_UN,'Other Translations'!$A:$L,1+translations!J423,)</f>
        <v>SỬ DỤNG</v>
      </c>
      <c r="J423" s="3448">
        <v>422</v>
      </c>
    </row>
    <row r="424" spans="1:10" s="3448" customFormat="1">
      <c r="A424" s="3578" t="s">
        <v>2066</v>
      </c>
      <c r="B424" s="2911" t="s">
        <v>1580</v>
      </c>
      <c r="C424" s="2749" t="s">
        <v>2181</v>
      </c>
      <c r="D424" s="2911" t="s">
        <v>4275</v>
      </c>
      <c r="E424" s="2911" t="s">
        <v>8546</v>
      </c>
      <c r="F424" s="2911" t="s">
        <v>2835</v>
      </c>
      <c r="G424" s="3448" t="s">
        <v>3521</v>
      </c>
      <c r="H424" s="3448" t="str">
        <f>HLOOKUP(Non_UN,'Other Translations'!$A:$L,1+translations!J424,)</f>
        <v>CHẤT THẢI</v>
      </c>
      <c r="J424" s="3448">
        <v>423</v>
      </c>
    </row>
    <row r="425" spans="1:10" s="3448" customFormat="1">
      <c r="A425" s="3578" t="s">
        <v>2066</v>
      </c>
      <c r="B425" s="2911" t="s">
        <v>1591</v>
      </c>
      <c r="C425" s="2749" t="s">
        <v>2182</v>
      </c>
      <c r="D425" s="2911" t="s">
        <v>4276</v>
      </c>
      <c r="E425" s="2911" t="s">
        <v>8547</v>
      </c>
      <c r="F425" s="2911" t="s">
        <v>2836</v>
      </c>
      <c r="G425" s="3448" t="s">
        <v>3522</v>
      </c>
      <c r="H425" s="3448" t="str">
        <f>HLOOKUP(Non_UN,'Other Translations'!$A:$L,1+translations!J425,)</f>
        <v>Ma trận thay đổi</v>
      </c>
      <c r="J425" s="3448">
        <v>424</v>
      </c>
    </row>
    <row r="426" spans="1:10" s="3448" customFormat="1">
      <c r="A426" s="3578" t="s">
        <v>2066</v>
      </c>
      <c r="B426" s="2749" t="s">
        <v>1592</v>
      </c>
      <c r="C426" s="2749" t="s">
        <v>2183</v>
      </c>
      <c r="D426" s="2911" t="s">
        <v>4277</v>
      </c>
      <c r="E426" s="2911" t="s">
        <v>8548</v>
      </c>
      <c r="F426" s="2911" t="s">
        <v>2837</v>
      </c>
      <c r="G426" s="3448" t="s">
        <v>3523</v>
      </c>
      <c r="H426" s="3448" t="str">
        <f>HLOOKUP(Non_UN,'Other Translations'!$A:$L,1+translations!J426,)</f>
        <v>Các loại khoáng đất (ha)</v>
      </c>
      <c r="J426" s="3448">
        <v>425</v>
      </c>
    </row>
    <row r="427" spans="1:10" s="3448" customFormat="1">
      <c r="A427" s="3578" t="s">
        <v>2066</v>
      </c>
      <c r="B427" s="2749" t="s">
        <v>2184</v>
      </c>
      <c r="C427" s="2749" t="s">
        <v>2185</v>
      </c>
      <c r="D427" s="2911" t="s">
        <v>4278</v>
      </c>
      <c r="E427" s="2911" t="s">
        <v>8549</v>
      </c>
      <c r="F427" s="2911" t="s">
        <v>2838</v>
      </c>
      <c r="G427" s="3448" t="s">
        <v>3524</v>
      </c>
      <c r="H427" s="3448" t="str">
        <f>HLOOKUP(Non_UN,'Other Translations'!$A:$L,1+translations!J427,)</f>
        <v>Các loại đất hữu cơ (ha)</v>
      </c>
      <c r="J427" s="3448">
        <v>426</v>
      </c>
    </row>
    <row r="428" spans="1:10" s="3448" customFormat="1">
      <c r="A428" s="3578" t="s">
        <v>2066</v>
      </c>
      <c r="B428" s="2749" t="s">
        <v>1089</v>
      </c>
      <c r="C428" s="2749" t="s">
        <v>2186</v>
      </c>
      <c r="D428" s="2911" t="s">
        <v>4279</v>
      </c>
      <c r="E428" s="2911" t="s">
        <v>8550</v>
      </c>
      <c r="F428" s="2911" t="s">
        <v>2839</v>
      </c>
      <c r="G428" s="3448" t="s">
        <v>3525</v>
      </c>
      <c r="H428" s="3448" t="str">
        <f>HLOOKUP(Non_UN,'Other Translations'!$A:$L,1+translations!J428,)</f>
        <v>BAN ĐẦU</v>
      </c>
      <c r="J428" s="3448">
        <v>427</v>
      </c>
    </row>
    <row r="429" spans="1:10" s="3448" customFormat="1">
      <c r="A429" s="3578" t="s">
        <v>2066</v>
      </c>
      <c r="B429" s="2749" t="s">
        <v>1086</v>
      </c>
      <c r="C429" s="2749" t="s">
        <v>2187</v>
      </c>
      <c r="D429" s="2911" t="s">
        <v>1086</v>
      </c>
      <c r="E429" s="2911" t="s">
        <v>8551</v>
      </c>
      <c r="F429" s="2911" t="s">
        <v>2840</v>
      </c>
      <c r="G429" s="3448" t="s">
        <v>3526</v>
      </c>
      <c r="H429" s="3448" t="str">
        <f>HLOOKUP(Non_UN,'Other Translations'!$A:$L,1+translations!J429,)</f>
        <v>CUỐI CÙNG</v>
      </c>
      <c r="J429" s="3448">
        <v>428</v>
      </c>
    </row>
    <row r="430" spans="1:10" s="3448" customFormat="1">
      <c r="A430" s="3578" t="s">
        <v>2066</v>
      </c>
      <c r="B430" s="2749" t="s">
        <v>1098</v>
      </c>
      <c r="C430" s="2749" t="s">
        <v>2189</v>
      </c>
      <c r="D430" s="2911" t="s">
        <v>4280</v>
      </c>
      <c r="E430" s="2911" t="s">
        <v>8552</v>
      </c>
      <c r="F430" s="2911" t="s">
        <v>3134</v>
      </c>
      <c r="G430" s="3448" t="s">
        <v>3527</v>
      </c>
      <c r="H430" s="3448" t="str">
        <f>HLOOKUP(Non_UN,'Other Translations'!$A:$L,1+translations!J430,)</f>
        <v>Tổng ban đầu</v>
      </c>
      <c r="J430" s="3448">
        <v>429</v>
      </c>
    </row>
    <row r="431" spans="1:10" s="3448" customFormat="1">
      <c r="A431" s="3578" t="s">
        <v>2066</v>
      </c>
      <c r="B431" s="2749" t="s">
        <v>1099</v>
      </c>
      <c r="C431" s="2749" t="s">
        <v>2188</v>
      </c>
      <c r="D431" s="2911" t="s">
        <v>4281</v>
      </c>
      <c r="E431" s="2911" t="s">
        <v>8553</v>
      </c>
      <c r="F431" s="2911" t="s">
        <v>3135</v>
      </c>
      <c r="G431" s="3448" t="s">
        <v>3528</v>
      </c>
      <c r="H431" s="3448" t="str">
        <f>HLOOKUP(Non_UN,'Other Translations'!$A:$L,1+translations!J431,)</f>
        <v>Tổng cuối cùng</v>
      </c>
      <c r="J431" s="3448">
        <v>430</v>
      </c>
    </row>
    <row r="432" spans="1:10" s="3448" customFormat="1">
      <c r="A432" s="3578" t="s">
        <v>2066</v>
      </c>
      <c r="B432" s="2911" t="s">
        <v>1547</v>
      </c>
      <c r="C432" s="2749" t="s">
        <v>2191</v>
      </c>
      <c r="D432" s="2911" t="s">
        <v>4282</v>
      </c>
      <c r="E432" s="2911" t="s">
        <v>8554</v>
      </c>
      <c r="F432" s="2911" t="s">
        <v>3136</v>
      </c>
      <c r="G432" s="3448" t="s">
        <v>3529</v>
      </c>
      <c r="H432" s="3448" t="str">
        <f>HLOOKUP(Non_UN,'Other Translations'!$A:$L,1+translations!J432,)</f>
        <v>Lựa chọn tiềm năng nóng lên toàn cầu (GWP) cho tính toán</v>
      </c>
      <c r="J432" s="3448">
        <v>431</v>
      </c>
    </row>
    <row r="433" spans="1:10" s="3448" customFormat="1">
      <c r="A433" s="3578" t="s">
        <v>2066</v>
      </c>
      <c r="B433" s="2911" t="s">
        <v>7173</v>
      </c>
      <c r="C433" s="2911" t="s">
        <v>7605</v>
      </c>
      <c r="D433" s="2911" t="s">
        <v>7606</v>
      </c>
      <c r="E433" s="2911" t="s">
        <v>8555</v>
      </c>
      <c r="F433" s="2911" t="s">
        <v>7607</v>
      </c>
      <c r="G433" s="3448" t="s">
        <v>7608</v>
      </c>
      <c r="H433" s="3448" t="str">
        <f>HLOOKUP(Non_UN,'Other Translations'!$A:$L,1+translations!J433,)</f>
        <v>Đất ngập nước ven biển</v>
      </c>
      <c r="J433" s="3448">
        <v>432</v>
      </c>
    </row>
    <row r="434" spans="1:10" s="3448" customFormat="1">
      <c r="A434" s="3578" t="s">
        <v>2066</v>
      </c>
      <c r="B434" s="2911" t="s">
        <v>7609</v>
      </c>
      <c r="C434" s="2911" t="s">
        <v>7610</v>
      </c>
      <c r="D434" s="2911" t="s">
        <v>7611</v>
      </c>
      <c r="E434" s="2911" t="s">
        <v>8556</v>
      </c>
      <c r="F434" s="2911" t="s">
        <v>7612</v>
      </c>
      <c r="G434" s="3448" t="s">
        <v>7613</v>
      </c>
      <c r="H434" s="3448" t="str">
        <f>HLOOKUP(Non_UN,'Other Translations'!$A:$L,1+translations!J434,)</f>
        <v>Đánh bắt và nuôi trồng thủy sản</v>
      </c>
      <c r="J434" s="3448">
        <v>433</v>
      </c>
    </row>
    <row r="435" spans="1:10" s="3448" customFormat="1">
      <c r="A435" s="3578" t="s">
        <v>2066</v>
      </c>
      <c r="B435" s="2911"/>
      <c r="C435" s="2911"/>
      <c r="D435" s="2911"/>
      <c r="E435" s="2911"/>
      <c r="F435" s="2911"/>
      <c r="H435" s="3448">
        <f>HLOOKUP(Non_UN,'Other Translations'!$A:$L,1+translations!J435,)</f>
        <v>0</v>
      </c>
      <c r="J435" s="3448">
        <v>434</v>
      </c>
    </row>
    <row r="436" spans="1:10" s="2581" customFormat="1">
      <c r="A436" s="2581" t="s">
        <v>1638</v>
      </c>
      <c r="B436" s="2580" t="s">
        <v>1617</v>
      </c>
      <c r="C436" s="2580" t="s">
        <v>1618</v>
      </c>
      <c r="D436" s="2580" t="s">
        <v>1619</v>
      </c>
      <c r="E436" s="2580" t="str">
        <f>E1</f>
        <v>中文</v>
      </c>
      <c r="F436" s="2580" t="s">
        <v>2518</v>
      </c>
      <c r="G436" s="2581" t="s">
        <v>3166</v>
      </c>
      <c r="H436" s="2581" t="str">
        <f>HLOOKUP(Non_UN,'Other Translations'!$A:$L,1+translations!J436,)</f>
        <v>Tiếng Việt</v>
      </c>
      <c r="J436" s="2820">
        <v>435</v>
      </c>
    </row>
    <row r="437" spans="1:10" s="3448" customFormat="1" ht="63.75">
      <c r="A437" s="3578" t="s">
        <v>2190</v>
      </c>
      <c r="B437" s="2749" t="s">
        <v>1731</v>
      </c>
      <c r="C437" s="2749" t="s">
        <v>7614</v>
      </c>
      <c r="D437" s="2911" t="s">
        <v>7615</v>
      </c>
      <c r="E437" s="2911" t="s">
        <v>8557</v>
      </c>
      <c r="F437" s="2911" t="s">
        <v>7616</v>
      </c>
      <c r="G437" s="3448" t="s">
        <v>7617</v>
      </c>
      <c r="H437" s="3608" t="str">
        <f>HLOOKUP(Non_UN,'Other Translations'!$A:$L,1+translations!J437,)</f>
        <v>Dịch các lựa chọn: "Bắt đầu", "Mô tả", "Thay đổi sử dụng đất", "Trồng trọt", "Đồng cỏ/Chăn nuôi", "Suy thoái và Phục hồi", "Đất ngập nước ven biển", "Đầu vào và Đầu tư", "Đánh bắt và Nuôi trồng thủy sản", "Kết quả chi tiết"</v>
      </c>
      <c r="J437" s="3448">
        <v>436</v>
      </c>
    </row>
    <row r="438" spans="1:10" s="3448" customFormat="1">
      <c r="A438" s="3578" t="s">
        <v>2190</v>
      </c>
      <c r="B438" s="2911"/>
      <c r="C438" s="2749"/>
      <c r="D438" s="2911"/>
      <c r="E438" s="2911"/>
      <c r="F438" s="2911"/>
      <c r="H438" s="3448">
        <f>HLOOKUP(Non_UN,'Other Translations'!$A:$L,1+translations!J438,)</f>
        <v>0</v>
      </c>
      <c r="J438" s="3448">
        <v>437</v>
      </c>
    </row>
    <row r="439" spans="1:10" s="3448" customFormat="1">
      <c r="A439" s="3578" t="s">
        <v>2190</v>
      </c>
      <c r="B439" s="2911"/>
      <c r="C439" s="2911"/>
      <c r="D439" s="2911"/>
      <c r="E439" s="2911"/>
      <c r="F439" s="2911"/>
      <c r="H439" s="3448">
        <f>HLOOKUP(Non_UN,'Other Translations'!$A:$L,1+translations!J439,)</f>
        <v>0</v>
      </c>
      <c r="J439" s="3448">
        <v>438</v>
      </c>
    </row>
    <row r="440" spans="1:10" s="3448" customFormat="1">
      <c r="A440" s="3578" t="s">
        <v>2190</v>
      </c>
      <c r="B440" s="2911"/>
      <c r="C440" s="2911"/>
      <c r="D440" s="2911"/>
      <c r="E440" s="2911"/>
      <c r="F440" s="2911"/>
      <c r="H440" s="3448">
        <f>HLOOKUP(Non_UN,'Other Translations'!$A:$L,1+translations!J440,)</f>
        <v>0</v>
      </c>
      <c r="J440" s="3448">
        <v>439</v>
      </c>
    </row>
    <row r="441" spans="1:10" s="3448" customFormat="1">
      <c r="A441" s="3578" t="s">
        <v>2190</v>
      </c>
      <c r="B441" s="2911"/>
      <c r="C441" s="2911"/>
      <c r="D441" s="2911"/>
      <c r="E441" s="2911"/>
      <c r="F441" s="2911"/>
      <c r="H441" s="3448">
        <f>HLOOKUP(Non_UN,'Other Translations'!$A:$L,1+translations!J441,)</f>
        <v>0</v>
      </c>
      <c r="J441" s="3448">
        <v>440</v>
      </c>
    </row>
    <row r="442" spans="1:10" s="3448" customFormat="1">
      <c r="A442" s="3578" t="s">
        <v>2190</v>
      </c>
      <c r="B442" s="2911"/>
      <c r="C442" s="2911"/>
      <c r="D442" s="2911"/>
      <c r="E442" s="2911"/>
      <c r="F442" s="2911"/>
      <c r="H442" s="3448">
        <f>HLOOKUP(Non_UN,'Other Translations'!$A:$L,1+translations!J442,)</f>
        <v>0</v>
      </c>
      <c r="J442" s="3448">
        <v>441</v>
      </c>
    </row>
    <row r="443" spans="1:10" s="3448" customFormat="1">
      <c r="A443" s="3578" t="s">
        <v>2190</v>
      </c>
      <c r="B443" s="2911"/>
      <c r="C443" s="2911"/>
      <c r="D443" s="2911"/>
      <c r="E443" s="2911"/>
      <c r="F443" s="2911"/>
      <c r="H443" s="3448">
        <f>HLOOKUP(Non_UN,'Other Translations'!$A:$L,1+translations!J443,)</f>
        <v>0</v>
      </c>
      <c r="J443" s="3448">
        <v>442</v>
      </c>
    </row>
    <row r="444" spans="1:10" s="3448" customFormat="1">
      <c r="A444" s="3578" t="s">
        <v>2190</v>
      </c>
      <c r="B444" s="2911"/>
      <c r="C444" s="2911"/>
      <c r="D444" s="2911"/>
      <c r="E444" s="2911"/>
      <c r="F444" s="2911"/>
      <c r="H444" s="3448">
        <f>HLOOKUP(Non_UN,'Other Translations'!$A:$L,1+translations!J444,)</f>
        <v>0</v>
      </c>
      <c r="J444" s="3448">
        <v>443</v>
      </c>
    </row>
    <row r="445" spans="1:10" s="2581" customFormat="1">
      <c r="A445" s="2581" t="s">
        <v>1638</v>
      </c>
      <c r="B445" s="2580" t="s">
        <v>1617</v>
      </c>
      <c r="C445" s="2580" t="s">
        <v>1618</v>
      </c>
      <c r="D445" s="2580" t="s">
        <v>1619</v>
      </c>
      <c r="E445" s="2580" t="str">
        <f>E1</f>
        <v>中文</v>
      </c>
      <c r="F445" s="2580" t="s">
        <v>2518</v>
      </c>
      <c r="G445" s="2581" t="s">
        <v>3166</v>
      </c>
      <c r="H445" s="2581" t="str">
        <f>H436</f>
        <v>Tiếng Việt</v>
      </c>
      <c r="J445" s="2820">
        <v>444</v>
      </c>
    </row>
    <row r="446" spans="1:10" s="3448" customFormat="1">
      <c r="A446" s="3578" t="s">
        <v>2196</v>
      </c>
      <c r="B446" s="2749" t="s">
        <v>540</v>
      </c>
      <c r="C446" s="2749" t="s">
        <v>2075</v>
      </c>
      <c r="D446" s="2911" t="s">
        <v>4207</v>
      </c>
      <c r="E446" s="2911" t="s">
        <v>8478</v>
      </c>
      <c r="F446" s="2911" t="s">
        <v>2777</v>
      </c>
      <c r="G446" s="3448" t="s">
        <v>3452</v>
      </c>
      <c r="H446" s="3448" t="str">
        <f>HLOOKUP(Non_UN,'Other Translations'!$A:$L,1+translations!J446,)</f>
        <v>Đất</v>
      </c>
      <c r="J446" s="3448">
        <v>445</v>
      </c>
    </row>
    <row r="447" spans="1:10" s="3448" customFormat="1">
      <c r="A447" s="3578" t="s">
        <v>2196</v>
      </c>
      <c r="B447" s="2749" t="s">
        <v>2201</v>
      </c>
      <c r="C447" s="2749" t="s">
        <v>2202</v>
      </c>
      <c r="D447" s="2911" t="s">
        <v>4283</v>
      </c>
      <c r="E447" s="2911" t="s">
        <v>8558</v>
      </c>
      <c r="F447" s="2911" t="s">
        <v>2841</v>
      </c>
      <c r="G447" s="3448" t="s">
        <v>3530</v>
      </c>
      <c r="H447" s="3448" t="str">
        <f>HLOOKUP(Non_UN,'Other Translations'!$A:$L,1+translations!J447,)</f>
        <v>Phân loại đất</v>
      </c>
      <c r="J447" s="3448">
        <v>446</v>
      </c>
    </row>
    <row r="448" spans="1:10" s="3448" customFormat="1">
      <c r="A448" s="3578" t="s">
        <v>2196</v>
      </c>
      <c r="B448" s="2749" t="s">
        <v>1051</v>
      </c>
      <c r="C448" s="2749" t="s">
        <v>1051</v>
      </c>
      <c r="D448" s="2911" t="s">
        <v>1051</v>
      </c>
      <c r="E448" s="2911" t="s">
        <v>8559</v>
      </c>
      <c r="F448" s="2911" t="s">
        <v>2842</v>
      </c>
      <c r="G448" s="3448" t="s">
        <v>3531</v>
      </c>
      <c r="H448" s="3448" t="str">
        <f>HLOOKUP(Non_UN,'Other Translations'!$A:$L,1+translations!J448,)</f>
        <v>WRB-2006</v>
      </c>
      <c r="J448" s="3448">
        <v>447</v>
      </c>
    </row>
    <row r="449" spans="1:10" s="3448" customFormat="1">
      <c r="A449" s="3578" t="s">
        <v>2196</v>
      </c>
      <c r="B449" s="2749" t="s">
        <v>337</v>
      </c>
      <c r="C449" s="2749" t="s">
        <v>2203</v>
      </c>
      <c r="D449" s="2911" t="s">
        <v>337</v>
      </c>
      <c r="E449" s="2911" t="s">
        <v>8560</v>
      </c>
      <c r="F449" s="2911" t="s">
        <v>2843</v>
      </c>
      <c r="G449" s="3448" t="s">
        <v>3532</v>
      </c>
      <c r="H449" s="3448" t="str">
        <f>HLOOKUP(Non_UN,'Other Translations'!$A:$L,1+translations!J449,)</f>
        <v>IPCC</v>
      </c>
      <c r="J449" s="3448">
        <v>448</v>
      </c>
    </row>
    <row r="450" spans="1:10" s="3448" customFormat="1">
      <c r="A450" s="3578" t="s">
        <v>2196</v>
      </c>
      <c r="B450" s="2749" t="s">
        <v>293</v>
      </c>
      <c r="C450" s="2749" t="s">
        <v>2204</v>
      </c>
      <c r="D450" s="2911" t="s">
        <v>3969</v>
      </c>
      <c r="E450" s="2911" t="s">
        <v>8207</v>
      </c>
      <c r="F450" s="2911" t="s">
        <v>2522</v>
      </c>
      <c r="G450" s="3448" t="s">
        <v>3169</v>
      </c>
      <c r="H450" s="3448" t="str">
        <f>HLOOKUP(Non_UN,'Other Translations'!$A:$L,1+translations!J450,)</f>
        <v>Khí hậu</v>
      </c>
      <c r="J450" s="3448">
        <v>449</v>
      </c>
    </row>
    <row r="451" spans="1:10" s="3448" customFormat="1" ht="25.5">
      <c r="A451" s="3578" t="s">
        <v>2196</v>
      </c>
      <c r="B451" s="2911" t="s">
        <v>2205</v>
      </c>
      <c r="C451" s="2749" t="s">
        <v>2212</v>
      </c>
      <c r="D451" s="2911" t="s">
        <v>4505</v>
      </c>
      <c r="E451" s="2911" t="s">
        <v>8561</v>
      </c>
      <c r="F451" s="2911" t="s">
        <v>3137</v>
      </c>
      <c r="G451" s="3448" t="s">
        <v>3533</v>
      </c>
      <c r="H451" s="3448" t="str">
        <f>HLOOKUP(Non_UN,'Other Translations'!$A:$L,1+translations!J451,)</f>
        <v>Trợ giúp khí hậu: Hỗ trợ xác định loại hình khí hậu với MAT và MAP</v>
      </c>
      <c r="J451" s="3448">
        <v>450</v>
      </c>
    </row>
    <row r="452" spans="1:10" s="3448" customFormat="1">
      <c r="A452" s="3578" t="s">
        <v>2196</v>
      </c>
      <c r="B452" s="2749" t="s">
        <v>294</v>
      </c>
      <c r="C452" s="2749" t="s">
        <v>2211</v>
      </c>
      <c r="D452" s="2911" t="s">
        <v>2211</v>
      </c>
      <c r="E452" s="2911" t="s">
        <v>8562</v>
      </c>
      <c r="F452" s="2911" t="s">
        <v>3138</v>
      </c>
      <c r="G452" s="3448" t="s">
        <v>294</v>
      </c>
      <c r="H452" s="3448" t="str">
        <f>HLOOKUP(Non_UN,'Other Translations'!$A:$L,1+translations!J452,)</f>
        <v>MAT</v>
      </c>
      <c r="J452" s="3448">
        <v>451</v>
      </c>
    </row>
    <row r="453" spans="1:10" s="3448" customFormat="1">
      <c r="A453" s="3578" t="s">
        <v>2196</v>
      </c>
      <c r="B453" s="2749" t="s">
        <v>295</v>
      </c>
      <c r="C453" s="2749" t="s">
        <v>2206</v>
      </c>
      <c r="D453" s="2911" t="s">
        <v>2206</v>
      </c>
      <c r="E453" s="2911" t="s">
        <v>8563</v>
      </c>
      <c r="F453" s="2911" t="s">
        <v>3139</v>
      </c>
      <c r="G453" s="3448" t="s">
        <v>295</v>
      </c>
      <c r="H453" s="3448" t="str">
        <f>HLOOKUP(Non_UN,'Other Translations'!$A:$L,1+translations!J453,)</f>
        <v>MAP</v>
      </c>
      <c r="J453" s="3448">
        <v>452</v>
      </c>
    </row>
    <row r="454" spans="1:10" s="3448" customFormat="1">
      <c r="A454" s="3578" t="s">
        <v>2196</v>
      </c>
      <c r="B454" s="2911" t="s">
        <v>2207</v>
      </c>
      <c r="C454" s="2749" t="s">
        <v>2210</v>
      </c>
      <c r="D454" s="2911" t="s">
        <v>4506</v>
      </c>
      <c r="E454" s="2911" t="s">
        <v>8564</v>
      </c>
      <c r="F454" s="2911" t="s">
        <v>2844</v>
      </c>
      <c r="G454" s="3448" t="s">
        <v>3534</v>
      </c>
      <c r="H454" s="3448" t="str">
        <f>HLOOKUP(Non_UN,'Other Translations'!$A:$L,1+translations!J454,)</f>
        <v>Nhiệt độ trung bình hàng năm (°C)</v>
      </c>
      <c r="J454" s="3448">
        <v>453</v>
      </c>
    </row>
    <row r="455" spans="1:10" s="3448" customFormat="1">
      <c r="A455" s="3578" t="s">
        <v>2196</v>
      </c>
      <c r="B455" s="2749" t="s">
        <v>2208</v>
      </c>
      <c r="C455" s="2749" t="s">
        <v>2209</v>
      </c>
      <c r="D455" s="2911" t="s">
        <v>4284</v>
      </c>
      <c r="E455" s="2911" t="s">
        <v>8565</v>
      </c>
      <c r="F455" s="2911" t="s">
        <v>3140</v>
      </c>
      <c r="G455" s="3448" t="s">
        <v>3535</v>
      </c>
      <c r="H455" s="3448" t="str">
        <f>HLOOKUP(Non_UN,'Other Translations'!$A:$L,1+translations!J455,)</f>
        <v>Lượng mưa trung bình năm (MAP) (mm)</v>
      </c>
      <c r="J455" s="3448">
        <v>454</v>
      </c>
    </row>
    <row r="456" spans="1:10" s="3448" customFormat="1">
      <c r="A456" s="3578" t="s">
        <v>2196</v>
      </c>
      <c r="B456" s="2911" t="s">
        <v>2213</v>
      </c>
      <c r="C456" s="2749" t="s">
        <v>2214</v>
      </c>
      <c r="D456" s="2911" t="s">
        <v>4285</v>
      </c>
      <c r="E456" s="2911" t="s">
        <v>8566</v>
      </c>
      <c r="F456" s="2911" t="s">
        <v>3141</v>
      </c>
      <c r="G456" s="3448" t="s">
        <v>3536</v>
      </c>
      <c r="H456" s="3448" t="str">
        <f>HLOOKUP(Non_UN,'Other Translations'!$A:$L,1+translations!J456,)</f>
        <v>Ẩm nếu MAP&gt;PET và Khô PET&gt;MAP</v>
      </c>
      <c r="J456" s="3448">
        <v>455</v>
      </c>
    </row>
    <row r="457" spans="1:10" s="3448" customFormat="1">
      <c r="A457" s="3578" t="s">
        <v>2196</v>
      </c>
      <c r="B457" s="2911" t="s">
        <v>2215</v>
      </c>
      <c r="C457" s="2749" t="s">
        <v>2216</v>
      </c>
      <c r="D457" s="2911" t="s">
        <v>4286</v>
      </c>
      <c r="E457" s="2911" t="s">
        <v>8567</v>
      </c>
      <c r="F457" s="2911" t="s">
        <v>2845</v>
      </c>
      <c r="G457" s="3448" t="s">
        <v>3537</v>
      </c>
      <c r="H457" s="3448" t="str">
        <f>HLOOKUP(Non_UN,'Other Translations'!$A:$L,1+translations!J457,)</f>
        <v>PET=Độ bốc hơi nước tiềm năng</v>
      </c>
      <c r="J457" s="3448">
        <v>456</v>
      </c>
    </row>
    <row r="458" spans="1:10" s="3448" customFormat="1">
      <c r="A458" s="3578" t="s">
        <v>2196</v>
      </c>
      <c r="B458" s="2911" t="s">
        <v>322</v>
      </c>
      <c r="C458" s="2749" t="s">
        <v>2217</v>
      </c>
      <c r="D458" s="2911" t="s">
        <v>4507</v>
      </c>
      <c r="E458" s="2911" t="s">
        <v>8568</v>
      </c>
      <c r="F458" s="2911" t="s">
        <v>3142</v>
      </c>
      <c r="G458" s="3448" t="s">
        <v>3538</v>
      </c>
      <c r="H458" s="3448" t="str">
        <f>HLOOKUP(Non_UN,'Other Translations'!$A:$L,1+translations!J458,)</f>
        <v>MAT và loại khí hậu</v>
      </c>
      <c r="J458" s="3448">
        <v>457</v>
      </c>
    </row>
    <row r="459" spans="1:10" s="3448" customFormat="1">
      <c r="A459" s="3578" t="s">
        <v>2196</v>
      </c>
      <c r="B459" s="2911" t="s">
        <v>321</v>
      </c>
      <c r="C459" s="2749" t="s">
        <v>2218</v>
      </c>
      <c r="D459" s="2911" t="s">
        <v>2218</v>
      </c>
      <c r="E459" s="2911" t="s">
        <v>8569</v>
      </c>
      <c r="F459" s="2911" t="s">
        <v>3143</v>
      </c>
      <c r="G459" s="3448" t="s">
        <v>3539</v>
      </c>
      <c r="H459" s="3448" t="str">
        <f>HLOOKUP(Non_UN,'Other Translations'!$A:$L,1+translations!J459,)</f>
        <v>MAT &gt; 18</v>
      </c>
      <c r="J459" s="3448">
        <v>458</v>
      </c>
    </row>
    <row r="460" spans="1:10" s="3448" customFormat="1">
      <c r="A460" s="3578" t="s">
        <v>2196</v>
      </c>
      <c r="B460" s="2749" t="s">
        <v>2220</v>
      </c>
      <c r="C460" s="2749" t="s">
        <v>2219</v>
      </c>
      <c r="D460" s="2911" t="s">
        <v>2219</v>
      </c>
      <c r="E460" s="2911" t="s">
        <v>8570</v>
      </c>
      <c r="F460" s="2911" t="s">
        <v>3144</v>
      </c>
      <c r="G460" s="3448" t="s">
        <v>3540</v>
      </c>
      <c r="H460" s="3448" t="str">
        <f>HLOOKUP(Non_UN,'Other Translations'!$A:$L,1+translations!J460,)</f>
        <v>10 &gt; MAT &gt; 18</v>
      </c>
      <c r="J460" s="3448">
        <v>459</v>
      </c>
    </row>
    <row r="461" spans="1:10" s="3448" customFormat="1">
      <c r="A461" s="3578" t="s">
        <v>2196</v>
      </c>
      <c r="B461" s="2749" t="s">
        <v>2222</v>
      </c>
      <c r="C461" s="2749" t="s">
        <v>2221</v>
      </c>
      <c r="D461" s="2911" t="s">
        <v>2221</v>
      </c>
      <c r="E461" s="2911" t="s">
        <v>8571</v>
      </c>
      <c r="F461" s="2911" t="s">
        <v>3145</v>
      </c>
      <c r="G461" s="3448" t="s">
        <v>3541</v>
      </c>
      <c r="H461" s="3448" t="str">
        <f>HLOOKUP(Non_UN,'Other Translations'!$A:$L,1+translations!J461,)</f>
        <v>0 &gt; MAT &gt; 10</v>
      </c>
      <c r="J461" s="3448">
        <v>460</v>
      </c>
    </row>
    <row r="462" spans="1:10" s="3448" customFormat="1">
      <c r="A462" s="3578" t="s">
        <v>2196</v>
      </c>
      <c r="B462" s="2911" t="s">
        <v>78</v>
      </c>
      <c r="C462" s="2749" t="s">
        <v>2223</v>
      </c>
      <c r="D462" s="2911" t="s">
        <v>4508</v>
      </c>
      <c r="E462" s="2911" t="s">
        <v>8572</v>
      </c>
      <c r="F462" s="2911" t="s">
        <v>3146</v>
      </c>
      <c r="G462" s="3448" t="s">
        <v>3542</v>
      </c>
      <c r="H462" s="3448" t="str">
        <f>HLOOKUP(Non_UN,'Other Translations'!$A:$L,1+translations!J462,)</f>
        <v>MAT &lt; 0</v>
      </c>
      <c r="J462" s="3448">
        <v>461</v>
      </c>
    </row>
    <row r="463" spans="1:10" s="3448" customFormat="1">
      <c r="A463" s="3578" t="s">
        <v>2196</v>
      </c>
      <c r="B463" s="2749" t="s">
        <v>2224</v>
      </c>
      <c r="C463" s="2749" t="s">
        <v>2225</v>
      </c>
      <c r="D463" s="2911" t="s">
        <v>4287</v>
      </c>
      <c r="E463" s="2911" t="s">
        <v>8573</v>
      </c>
      <c r="F463" s="2911" t="s">
        <v>2846</v>
      </c>
      <c r="G463" s="3448" t="s">
        <v>3543</v>
      </c>
      <c r="H463" s="3448" t="str">
        <f>HLOOKUP(Non_UN,'Other Translations'!$A:$L,1+translations!J463,)</f>
        <v>Ghi chú: Núi vùng nhiệt đới thường khô</v>
      </c>
      <c r="J463" s="3448">
        <v>462</v>
      </c>
    </row>
    <row r="464" spans="1:10" s="3448" customFormat="1">
      <c r="A464" s="3578" t="s">
        <v>2196</v>
      </c>
      <c r="B464" s="2749" t="s">
        <v>2226</v>
      </c>
      <c r="C464" s="2749" t="s">
        <v>2227</v>
      </c>
      <c r="D464" s="2911" t="s">
        <v>4288</v>
      </c>
      <c r="E464" s="2911" t="s">
        <v>8574</v>
      </c>
      <c r="F464" s="2911" t="s">
        <v>2847</v>
      </c>
      <c r="G464" s="3448" t="s">
        <v>3544</v>
      </c>
      <c r="H464" s="3448" t="str">
        <f>HLOOKUP(Non_UN,'Other Translations'!$A:$L,1+translations!J464,)</f>
        <v>Vùng khí hậu theo phân vùng của IPCC</v>
      </c>
      <c r="J464" s="3448">
        <v>463</v>
      </c>
    </row>
    <row r="465" spans="1:10" s="3448" customFormat="1">
      <c r="A465" s="3578" t="s">
        <v>2196</v>
      </c>
      <c r="B465" s="2749" t="s">
        <v>2228</v>
      </c>
      <c r="C465" s="2749" t="s">
        <v>2229</v>
      </c>
      <c r="D465" s="2911" t="s">
        <v>4289</v>
      </c>
      <c r="E465" s="2911" t="s">
        <v>8575</v>
      </c>
      <c r="F465" s="2911" t="s">
        <v>2848</v>
      </c>
      <c r="G465" s="3448" t="s">
        <v>3545</v>
      </c>
      <c r="H465" s="3448" t="str">
        <f>HLOOKUP(Non_UN,'Other Translations'!$A:$L,1+translations!J465,)</f>
        <v>Không có số liệu</v>
      </c>
      <c r="J465" s="3448">
        <v>464</v>
      </c>
    </row>
    <row r="466" spans="1:10" s="3448" customFormat="1">
      <c r="A466" s="3578" t="s">
        <v>2196</v>
      </c>
      <c r="B466" s="2911" t="s">
        <v>81</v>
      </c>
      <c r="C466" s="2749" t="s">
        <v>2230</v>
      </c>
      <c r="D466" s="2911" t="s">
        <v>4509</v>
      </c>
      <c r="E466" s="2911" t="s">
        <v>3807</v>
      </c>
      <c r="F466" s="2911" t="s">
        <v>3147</v>
      </c>
      <c r="G466" s="3448" t="s">
        <v>3546</v>
      </c>
      <c r="H466" s="3448" t="str">
        <f>HLOOKUP(Non_UN,'Other Translations'!$A:$L,1+translations!J466,)</f>
        <v>MAT mặc định</v>
      </c>
      <c r="J466" s="3448">
        <v>465</v>
      </c>
    </row>
    <row r="467" spans="1:10" s="3448" customFormat="1">
      <c r="A467" s="3578" t="s">
        <v>2196</v>
      </c>
      <c r="B467" s="2749" t="s">
        <v>2231</v>
      </c>
      <c r="C467" s="2749" t="s">
        <v>2232</v>
      </c>
      <c r="D467" s="2911" t="s">
        <v>4290</v>
      </c>
      <c r="E467" s="2911" t="s">
        <v>8576</v>
      </c>
      <c r="F467" s="2911" t="s">
        <v>2849</v>
      </c>
      <c r="G467" s="3448" t="s">
        <v>3547</v>
      </c>
      <c r="H467" s="3448" t="str">
        <f>HLOOKUP(Non_UN,'Other Translations'!$A:$L,1+translations!J467,)</f>
        <v>Vùng Khí hậu IPCC đơn giản hóa</v>
      </c>
      <c r="J467" s="3448">
        <v>466</v>
      </c>
    </row>
    <row r="468" spans="1:10" s="3448" customFormat="1">
      <c r="A468" s="3578" t="s">
        <v>2196</v>
      </c>
      <c r="B468" s="2749" t="s">
        <v>2233</v>
      </c>
      <c r="C468" s="2749" t="s">
        <v>2235</v>
      </c>
      <c r="D468" s="2911" t="s">
        <v>4291</v>
      </c>
      <c r="E468" s="2911" t="s">
        <v>8577</v>
      </c>
      <c r="F468" s="2911" t="s">
        <v>2850</v>
      </c>
      <c r="G468" s="3448" t="s">
        <v>3548</v>
      </c>
      <c r="H468" s="3448" t="str">
        <f>HLOOKUP(Non_UN,'Other Translations'!$A:$L,1+translations!J468,)</f>
        <v>Mát mẻ</v>
      </c>
      <c r="J468" s="3448">
        <v>467</v>
      </c>
    </row>
    <row r="469" spans="1:10" s="3448" customFormat="1">
      <c r="A469" s="3578" t="s">
        <v>2196</v>
      </c>
      <c r="B469" s="2749" t="s">
        <v>2234</v>
      </c>
      <c r="C469" s="2749" t="s">
        <v>2236</v>
      </c>
      <c r="D469" s="2911" t="s">
        <v>4292</v>
      </c>
      <c r="E469" s="2911" t="s">
        <v>8578</v>
      </c>
      <c r="F469" s="2911" t="s">
        <v>2851</v>
      </c>
      <c r="G469" s="3448" t="s">
        <v>3549</v>
      </c>
      <c r="H469" s="3448" t="str">
        <f>HLOOKUP(Non_UN,'Other Translations'!$A:$L,1+translations!J469,)</f>
        <v>Ấm</v>
      </c>
      <c r="J469" s="3448">
        <v>468</v>
      </c>
    </row>
    <row r="470" spans="1:10" s="3448" customFormat="1">
      <c r="A470" s="3578" t="s">
        <v>2196</v>
      </c>
      <c r="B470" s="2749" t="s">
        <v>391</v>
      </c>
      <c r="C470" s="2749" t="s">
        <v>1703</v>
      </c>
      <c r="D470" s="2911" t="s">
        <v>4293</v>
      </c>
      <c r="E470" s="2911" t="s">
        <v>3808</v>
      </c>
      <c r="F470" s="2911" t="s">
        <v>2852</v>
      </c>
      <c r="G470" s="3448" t="s">
        <v>3550</v>
      </c>
      <c r="H470" s="3448" t="str">
        <f>HLOOKUP(Non_UN,'Other Translations'!$A:$L,1+translations!J470,)</f>
        <v>thuộc về Phương bắc</v>
      </c>
      <c r="J470" s="3448">
        <v>469</v>
      </c>
    </row>
    <row r="471" spans="1:10" s="3448" customFormat="1">
      <c r="A471" s="3578" t="s">
        <v>2196</v>
      </c>
      <c r="B471" s="2749" t="s">
        <v>2237</v>
      </c>
      <c r="C471" s="2749" t="s">
        <v>2238</v>
      </c>
      <c r="D471" s="2911" t="s">
        <v>4294</v>
      </c>
      <c r="E471" s="2911" t="s">
        <v>8579</v>
      </c>
      <c r="F471" s="2911" t="s">
        <v>2853</v>
      </c>
      <c r="G471" s="3448" t="s">
        <v>3551</v>
      </c>
      <c r="H471" s="3448" t="str">
        <f>HLOOKUP(Non_UN,'Other Translations'!$A:$L,1+translations!J471,)</f>
        <v>(hoặc Bắc cực)</v>
      </c>
      <c r="J471" s="3448">
        <v>470</v>
      </c>
    </row>
    <row r="472" spans="1:10" s="3448" customFormat="1">
      <c r="A472" s="3578" t="s">
        <v>2196</v>
      </c>
      <c r="B472" s="2911" t="s">
        <v>1041</v>
      </c>
      <c r="C472" s="2749" t="s">
        <v>2244</v>
      </c>
      <c r="D472" s="2911" t="s">
        <v>4295</v>
      </c>
      <c r="E472" s="2911" t="s">
        <v>8580</v>
      </c>
      <c r="F472" s="2911" t="s">
        <v>2854</v>
      </c>
      <c r="G472" s="3448" t="s">
        <v>3552</v>
      </c>
      <c r="H472" s="3448" t="str">
        <f>HLOOKUP(Non_UN,'Other Translations'!$A:$L,1+translations!J472,)</f>
        <v>Nguồn lực của FAO</v>
      </c>
      <c r="J472" s="3448">
        <v>471</v>
      </c>
    </row>
    <row r="473" spans="1:10" s="3448" customFormat="1">
      <c r="A473" s="3578" t="s">
        <v>2196</v>
      </c>
      <c r="B473" s="2749" t="s">
        <v>2242</v>
      </c>
      <c r="C473" s="2749" t="s">
        <v>2243</v>
      </c>
      <c r="D473" s="2911" t="s">
        <v>4510</v>
      </c>
      <c r="E473" s="2911" t="s">
        <v>8581</v>
      </c>
      <c r="F473" s="2911" t="s">
        <v>3148</v>
      </c>
      <c r="G473" s="3448" t="s">
        <v>3553</v>
      </c>
      <c r="H473" s="3448" t="str">
        <f>HLOOKUP(Non_UN,'Other Translations'!$A:$L,1+translations!J473,)</f>
        <v>Bản đồ MAP và MAT</v>
      </c>
      <c r="J473" s="3448">
        <v>472</v>
      </c>
    </row>
    <row r="474" spans="1:10" s="3448" customFormat="1" ht="25.5">
      <c r="A474" s="3578" t="s">
        <v>2196</v>
      </c>
      <c r="B474" s="2911" t="s">
        <v>1045</v>
      </c>
      <c r="C474" s="2911" t="s">
        <v>2239</v>
      </c>
      <c r="D474" s="2911" t="s">
        <v>4296</v>
      </c>
      <c r="E474" s="2911" t="s">
        <v>8582</v>
      </c>
      <c r="F474" s="2911" t="s">
        <v>2855</v>
      </c>
      <c r="G474" s="3448" t="s">
        <v>3554</v>
      </c>
      <c r="H474" s="3448" t="str">
        <f>HLOOKUP(Non_UN,'Other Translations'!$A:$L,1+translations!J474,)</f>
        <v>Xem thêm ở Bản đồ khí hậu toàn cầu của FAO</v>
      </c>
      <c r="J474" s="3448">
        <v>473</v>
      </c>
    </row>
    <row r="475" spans="1:10" s="3448" customFormat="1">
      <c r="A475" s="3578" t="s">
        <v>2196</v>
      </c>
      <c r="B475" s="2911" t="s">
        <v>1046</v>
      </c>
      <c r="C475" s="2911" t="s">
        <v>2240</v>
      </c>
      <c r="D475" s="2911" t="s">
        <v>4297</v>
      </c>
      <c r="E475" s="2911" t="s">
        <v>8583</v>
      </c>
      <c r="F475" s="2911" t="s">
        <v>3149</v>
      </c>
      <c r="G475" s="3448" t="s">
        <v>3555</v>
      </c>
      <c r="H475" s="3448" t="str">
        <f>HLOOKUP(Non_UN,'Other Translations'!$A:$L,1+translations!J475,)</f>
        <v>Tổng lượng mưa trung bình</v>
      </c>
      <c r="J475" s="3448">
        <v>474</v>
      </c>
    </row>
    <row r="476" spans="1:10" s="3448" customFormat="1">
      <c r="A476" s="3578" t="s">
        <v>2196</v>
      </c>
      <c r="B476" s="2911" t="s">
        <v>1047</v>
      </c>
      <c r="C476" s="2911" t="s">
        <v>2241</v>
      </c>
      <c r="D476" s="2911" t="s">
        <v>4298</v>
      </c>
      <c r="E476" s="2911" t="s">
        <v>8584</v>
      </c>
      <c r="F476" s="2911" t="s">
        <v>2856</v>
      </c>
      <c r="G476" s="3448" t="s">
        <v>3556</v>
      </c>
      <c r="H476" s="3448" t="str">
        <f>HLOOKUP(Non_UN,'Other Translations'!$A:$L,1+translations!J476,)</f>
        <v>Nhiệt độ bình quân năm</v>
      </c>
      <c r="J476" s="3448">
        <v>475</v>
      </c>
    </row>
    <row r="477" spans="1:10" s="3448" customFormat="1">
      <c r="A477" s="3578" t="s">
        <v>2196</v>
      </c>
      <c r="B477" s="2911" t="s">
        <v>1042</v>
      </c>
      <c r="C477" s="2911" t="s">
        <v>1042</v>
      </c>
      <c r="D477" s="2911" t="s">
        <v>1042</v>
      </c>
      <c r="E477" s="2911" t="s">
        <v>8585</v>
      </c>
      <c r="F477" s="2911" t="s">
        <v>1042</v>
      </c>
      <c r="G477" s="3448" t="s">
        <v>3557</v>
      </c>
      <c r="H477" s="3448" t="str">
        <f>HLOOKUP(Non_UN,'Other Translations'!$A:$L,1+translations!J477,)</f>
        <v>Khí hậu địa phương (LocClim)</v>
      </c>
      <c r="J477" s="3448">
        <v>476</v>
      </c>
    </row>
    <row r="478" spans="1:10" s="3448" customFormat="1">
      <c r="A478" s="3578" t="s">
        <v>2196</v>
      </c>
      <c r="B478" s="2911" t="s">
        <v>1043</v>
      </c>
      <c r="C478" s="2911" t="s">
        <v>1043</v>
      </c>
      <c r="D478" s="2911" t="s">
        <v>1043</v>
      </c>
      <c r="E478" s="2911" t="s">
        <v>8586</v>
      </c>
      <c r="F478" s="2911" t="s">
        <v>2857</v>
      </c>
      <c r="G478" s="3448" t="s">
        <v>3558</v>
      </c>
      <c r="H478" s="3448" t="str">
        <f>HLOOKUP(Non_UN,'Other Translations'!$A:$L,1+translations!J478,)</f>
        <v>Trang thông tin về Loc Clim</v>
      </c>
      <c r="J478" s="3448">
        <v>477</v>
      </c>
    </row>
    <row r="479" spans="1:10" s="3448" customFormat="1" ht="63.75">
      <c r="A479" s="3578" t="s">
        <v>2196</v>
      </c>
      <c r="B479" s="2749" t="s">
        <v>2246</v>
      </c>
      <c r="C479" s="2749" t="s">
        <v>2248</v>
      </c>
      <c r="D479" s="2911" t="s">
        <v>4299</v>
      </c>
      <c r="E479" s="2911" t="s">
        <v>8587</v>
      </c>
      <c r="F479" s="2911" t="s">
        <v>2858</v>
      </c>
      <c r="G479" s="2911" t="s">
        <v>3559</v>
      </c>
      <c r="H479" s="3448" t="str">
        <f>HLOOKUP(Non_UN,'Other Translations'!$A:$L,1+translations!J479,)</f>
        <v>LocClim được phát triển để cung cấp các tính toán về điều kiện khí hậu tại các vùng mà không có số liệu quan sát hoặc các số liệu không có sẵn. Để đạt được điều này, chương trình sử dụng 28800 trạm khí tượng của FAOCLIME 2.0</v>
      </c>
      <c r="J479" s="3448">
        <v>478</v>
      </c>
    </row>
    <row r="480" spans="1:10" s="3448" customFormat="1">
      <c r="A480" s="3578" t="s">
        <v>2196</v>
      </c>
      <c r="B480" s="2911" t="s">
        <v>1044</v>
      </c>
      <c r="C480" s="2911" t="s">
        <v>2247</v>
      </c>
      <c r="D480" s="2911" t="s">
        <v>4300</v>
      </c>
      <c r="E480" s="2911" t="s">
        <v>8588</v>
      </c>
      <c r="F480" s="2911" t="s">
        <v>2859</v>
      </c>
      <c r="G480" s="3448" t="s">
        <v>3560</v>
      </c>
      <c r="H480" s="3448" t="str">
        <f>HLOOKUP(Non_UN,'Other Translations'!$A:$L,1+translations!J480,)</f>
        <v>Kích vào đây để đi đến ứng dụng</v>
      </c>
      <c r="J480" s="3448">
        <v>479</v>
      </c>
    </row>
    <row r="481" spans="1:10" s="3448" customFormat="1" ht="38.25">
      <c r="A481" s="3578" t="s">
        <v>2196</v>
      </c>
      <c r="B481" s="2749" t="s">
        <v>2249</v>
      </c>
      <c r="C481" s="2749" t="s">
        <v>2251</v>
      </c>
      <c r="D481" s="2911" t="s">
        <v>4511</v>
      </c>
      <c r="E481" s="2911" t="s">
        <v>8589</v>
      </c>
      <c r="F481" s="2911" t="s">
        <v>3150</v>
      </c>
      <c r="G481" s="2911" t="s">
        <v>3561</v>
      </c>
      <c r="H481" s="3448" t="str">
        <f>HLOOKUP(Non_UN,'Other Translations'!$A:$L,1+translations!J481,)</f>
        <v>Đối với số liệu khí hậu trực tuyến sử dụng nội địa hóa cũng có thể xem trên trang LocClim với các ước tính khí hậu địa phương hàng tháng</v>
      </c>
      <c r="J481" s="3448">
        <v>480</v>
      </c>
    </row>
    <row r="482" spans="1:10" s="3448" customFormat="1">
      <c r="A482" s="3578" t="s">
        <v>2196</v>
      </c>
      <c r="B482" s="2911" t="s">
        <v>1040</v>
      </c>
      <c r="C482" s="2911" t="s">
        <v>2250</v>
      </c>
      <c r="D482" s="2911" t="s">
        <v>4301</v>
      </c>
      <c r="E482" s="2911" t="s">
        <v>8590</v>
      </c>
      <c r="F482" s="2911" t="s">
        <v>2860</v>
      </c>
      <c r="G482" s="3448" t="s">
        <v>3562</v>
      </c>
      <c r="H482" s="3448" t="str">
        <f>HLOOKUP(Non_UN,'Other Translations'!$A:$L,1+translations!J482,)</f>
        <v>Chuyển tới trang LocClim</v>
      </c>
      <c r="J482" s="3448">
        <v>481</v>
      </c>
    </row>
    <row r="483" spans="1:10" s="3448" customFormat="1">
      <c r="A483" s="3578" t="s">
        <v>2196</v>
      </c>
      <c r="B483" s="2911" t="s">
        <v>2252</v>
      </c>
      <c r="C483" s="3578" t="s">
        <v>2254</v>
      </c>
      <c r="D483" s="2911" t="s">
        <v>4302</v>
      </c>
      <c r="E483" s="2911" t="s">
        <v>8591</v>
      </c>
      <c r="F483" s="2911" t="s">
        <v>2861</v>
      </c>
      <c r="G483" s="3448" t="s">
        <v>3563</v>
      </c>
      <c r="H483" s="3448" t="str">
        <f>HLOOKUP(Non_UN,'Other Translations'!$A:$L,1+translations!J483,)</f>
        <v>Các vùng sinh thái toán cầu</v>
      </c>
      <c r="J483" s="3448">
        <v>482</v>
      </c>
    </row>
    <row r="484" spans="1:10" s="3448" customFormat="1" ht="51">
      <c r="A484" s="3578" t="s">
        <v>2196</v>
      </c>
      <c r="B484" s="2911" t="s">
        <v>566</v>
      </c>
      <c r="C484" s="2911" t="s">
        <v>2253</v>
      </c>
      <c r="D484" s="2911" t="s">
        <v>4303</v>
      </c>
      <c r="E484" s="2911" t="s">
        <v>8592</v>
      </c>
      <c r="F484" s="2911" t="s">
        <v>2862</v>
      </c>
      <c r="G484" s="2911" t="s">
        <v>3564</v>
      </c>
      <c r="H484" s="3448" t="str">
        <f>HLOOKUP(Non_UN,'Other Translations'!$A:$L,1+translations!J484,)</f>
        <v>Các vùng sinh thái toàn cầu, dựa trên khí hậu quan sát và đặc điểm thảm thực vật (FAO, 2001). Số liệu về hệ thống thông tin địa lý có sẵn tại http://www.fao.org</v>
      </c>
      <c r="J484" s="3448">
        <v>483</v>
      </c>
    </row>
    <row r="485" spans="1:10" s="3448" customFormat="1">
      <c r="A485" s="3578" t="s">
        <v>2196</v>
      </c>
      <c r="B485" s="2749" t="s">
        <v>2255</v>
      </c>
      <c r="C485" s="2749" t="s">
        <v>2256</v>
      </c>
      <c r="D485" s="2911" t="s">
        <v>4304</v>
      </c>
      <c r="E485" s="2911" t="s">
        <v>8593</v>
      </c>
      <c r="F485" s="2911" t="s">
        <v>2863</v>
      </c>
      <c r="G485" s="3448" t="s">
        <v>3565</v>
      </c>
      <c r="H485" s="3448" t="str">
        <f>HLOOKUP(Non_UN,'Other Translations'!$A:$L,1+translations!J485,)</f>
        <v>Sa mạc nhiệt đới</v>
      </c>
      <c r="J485" s="3448">
        <v>484</v>
      </c>
    </row>
    <row r="486" spans="1:10" s="3448" customFormat="1">
      <c r="A486" s="3578" t="s">
        <v>2196</v>
      </c>
      <c r="B486" s="2749" t="s">
        <v>4698</v>
      </c>
      <c r="C486" s="2749" t="s">
        <v>2257</v>
      </c>
      <c r="D486" s="2911" t="s">
        <v>4305</v>
      </c>
      <c r="E486" s="2911" t="s">
        <v>8594</v>
      </c>
      <c r="F486" s="2911" t="s">
        <v>2864</v>
      </c>
      <c r="G486" s="3448" t="s">
        <v>3566</v>
      </c>
      <c r="H486" s="3448" t="str">
        <f>HLOOKUP(Non_UN,'Other Translations'!$A:$L,1+translations!J486,)</f>
        <v>Sa mạc cận nhiệt đới</v>
      </c>
      <c r="J486" s="3448">
        <v>485</v>
      </c>
    </row>
    <row r="487" spans="1:10" s="3448" customFormat="1">
      <c r="A487" s="3578" t="s">
        <v>2196</v>
      </c>
      <c r="B487" s="2749" t="s">
        <v>2260</v>
      </c>
      <c r="C487" s="2749" t="s">
        <v>2263</v>
      </c>
      <c r="D487" s="2911" t="s">
        <v>4306</v>
      </c>
      <c r="E487" s="2911" t="s">
        <v>8595</v>
      </c>
      <c r="F487" s="2911" t="s">
        <v>2865</v>
      </c>
      <c r="G487" s="3448" t="s">
        <v>3567</v>
      </c>
      <c r="H487" s="3448" t="str">
        <f>HLOOKUP(Non_UN,'Other Translations'!$A:$L,1+translations!J487,)</f>
        <v>Thảo nguyên ôn đới</v>
      </c>
      <c r="J487" s="3448">
        <v>486</v>
      </c>
    </row>
    <row r="488" spans="1:10" s="3448" customFormat="1">
      <c r="A488" s="3578" t="s">
        <v>2196</v>
      </c>
      <c r="B488" s="2749" t="s">
        <v>2261</v>
      </c>
      <c r="C488" s="2749" t="s">
        <v>2262</v>
      </c>
      <c r="D488" s="2911" t="s">
        <v>4307</v>
      </c>
      <c r="E488" s="2911" t="s">
        <v>8596</v>
      </c>
      <c r="F488" s="2911" t="s">
        <v>2866</v>
      </c>
      <c r="G488" s="3448" t="s">
        <v>3568</v>
      </c>
      <c r="H488" s="3448" t="str">
        <f>HLOOKUP(Non_UN,'Other Translations'!$A:$L,1+translations!J488,)</f>
        <v>Sa mạc ôn đới</v>
      </c>
      <c r="J488" s="3448">
        <v>487</v>
      </c>
    </row>
    <row r="489" spans="1:10" s="3448" customFormat="1">
      <c r="A489" s="3578" t="s">
        <v>2196</v>
      </c>
      <c r="B489" s="2749" t="s">
        <v>2258</v>
      </c>
      <c r="C489" s="2749" t="s">
        <v>2259</v>
      </c>
      <c r="D489" s="2911" t="s">
        <v>2258</v>
      </c>
      <c r="E489" s="2911" t="s">
        <v>8597</v>
      </c>
      <c r="F489" s="2911" t="s">
        <v>2867</v>
      </c>
      <c r="G489" s="3448" t="s">
        <v>3569</v>
      </c>
      <c r="H489" s="3448" t="str">
        <f>HLOOKUP(Non_UN,'Other Translations'!$A:$L,1+translations!J489,)</f>
        <v>Bắc cực</v>
      </c>
      <c r="J489" s="3448">
        <v>488</v>
      </c>
    </row>
    <row r="490" spans="1:10" s="3448" customFormat="1">
      <c r="A490" s="3578" t="s">
        <v>2196</v>
      </c>
      <c r="B490" s="2911"/>
      <c r="C490" s="2911"/>
      <c r="D490" s="2911"/>
      <c r="E490" s="2911"/>
      <c r="F490" s="2911"/>
      <c r="H490" s="3448">
        <f>HLOOKUP(Non_UN,'Other Translations'!$A:$L,1+translations!J490,)</f>
        <v>0</v>
      </c>
      <c r="J490" s="3448">
        <v>489</v>
      </c>
    </row>
    <row r="491" spans="1:10" s="2581" customFormat="1">
      <c r="A491" s="2581" t="s">
        <v>1638</v>
      </c>
      <c r="B491" s="2580" t="s">
        <v>1617</v>
      </c>
      <c r="C491" s="2580" t="s">
        <v>1618</v>
      </c>
      <c r="D491" s="2580" t="s">
        <v>1619</v>
      </c>
      <c r="E491" s="2580" t="str">
        <f>E1</f>
        <v>中文</v>
      </c>
      <c r="F491" s="2580" t="s">
        <v>2518</v>
      </c>
      <c r="G491" s="2581" t="s">
        <v>3166</v>
      </c>
      <c r="H491" s="2581" t="str">
        <f>Non_UN</f>
        <v>Tiếng Việt</v>
      </c>
      <c r="J491" s="2820">
        <v>490</v>
      </c>
    </row>
    <row r="492" spans="1:10" s="3448" customFormat="1">
      <c r="A492" s="3578" t="s">
        <v>1309</v>
      </c>
      <c r="B492" s="2749" t="s">
        <v>1309</v>
      </c>
      <c r="C492" s="2749" t="s">
        <v>1801</v>
      </c>
      <c r="D492" s="2911" t="s">
        <v>4026</v>
      </c>
      <c r="E492" s="2911" t="s">
        <v>8270</v>
      </c>
      <c r="F492" s="2911" t="s">
        <v>2868</v>
      </c>
      <c r="G492" s="3448" t="s">
        <v>3570</v>
      </c>
      <c r="H492" s="3448" t="str">
        <f>HLOOKUP(Non_UN,'Other Translations'!$A:$L,1+translations!J492,)</f>
        <v>Năng suất</v>
      </c>
      <c r="J492" s="3448">
        <v>491</v>
      </c>
    </row>
    <row r="493" spans="1:10" s="3448" customFormat="1">
      <c r="A493" s="3578" t="s">
        <v>1309</v>
      </c>
      <c r="B493" s="2749" t="s">
        <v>330</v>
      </c>
      <c r="C493" s="2749" t="s">
        <v>2264</v>
      </c>
      <c r="D493" s="2911" t="s">
        <v>4308</v>
      </c>
      <c r="E493" s="2911" t="s">
        <v>8598</v>
      </c>
      <c r="F493" s="2911" t="s">
        <v>2869</v>
      </c>
      <c r="G493" s="3448" t="s">
        <v>3571</v>
      </c>
      <c r="H493" s="3448" t="str">
        <f>HLOOKUP(Non_UN,'Other Translations'!$A:$L,1+translations!J493,)</f>
        <v>Vùng</v>
      </c>
      <c r="J493" s="3448">
        <v>492</v>
      </c>
    </row>
    <row r="494" spans="1:10" s="3448" customFormat="1">
      <c r="A494" s="3578" t="s">
        <v>1309</v>
      </c>
      <c r="B494" s="2749" t="s">
        <v>1313</v>
      </c>
      <c r="C494" s="2749" t="s">
        <v>1313</v>
      </c>
      <c r="D494" s="2911" t="s">
        <v>4309</v>
      </c>
      <c r="E494" s="2911" t="s">
        <v>8599</v>
      </c>
      <c r="F494" s="2911" t="s">
        <v>2870</v>
      </c>
      <c r="G494" s="3448" t="s">
        <v>3572</v>
      </c>
      <c r="H494" s="3448" t="str">
        <f>HLOOKUP(Non_UN,'Other Translations'!$A:$L,1+translations!J494,)</f>
        <v>Khoản mục</v>
      </c>
      <c r="J494" s="3448">
        <v>493</v>
      </c>
    </row>
    <row r="495" spans="1:10" s="3448" customFormat="1">
      <c r="A495" s="3578" t="s">
        <v>1309</v>
      </c>
      <c r="B495" s="2911" t="s">
        <v>1312</v>
      </c>
      <c r="C495" s="2749" t="s">
        <v>2265</v>
      </c>
      <c r="D495" s="2911" t="s">
        <v>4310</v>
      </c>
      <c r="E495" s="2911" t="s">
        <v>8600</v>
      </c>
      <c r="F495" s="2911" t="s">
        <v>2871</v>
      </c>
      <c r="G495" s="3448" t="s">
        <v>3573</v>
      </c>
      <c r="H495" s="3448" t="str">
        <f>HLOOKUP(Non_UN,'Other Translations'!$A:$L,1+translations!J495,)</f>
        <v>(xem Bản đồ dưới đây)</v>
      </c>
      <c r="J495" s="3448">
        <v>494</v>
      </c>
    </row>
    <row r="496" spans="1:10" s="3448" customFormat="1">
      <c r="A496" s="3578" t="s">
        <v>1309</v>
      </c>
      <c r="B496" s="2749" t="s">
        <v>1314</v>
      </c>
      <c r="C496" s="2749" t="s">
        <v>2266</v>
      </c>
      <c r="D496" s="2911" t="s">
        <v>4311</v>
      </c>
      <c r="E496" s="2911" t="s">
        <v>8601</v>
      </c>
      <c r="F496" s="2911" t="s">
        <v>2872</v>
      </c>
      <c r="G496" s="3448" t="s">
        <v>3574</v>
      </c>
      <c r="H496" s="3448" t="str">
        <f>HLOOKUP(Non_UN,'Other Translations'!$A:$L,1+translations!J496,)</f>
        <v>Năm</v>
      </c>
      <c r="J496" s="3448">
        <v>495</v>
      </c>
    </row>
    <row r="497" spans="1:10" s="3448" customFormat="1">
      <c r="A497" s="3578" t="s">
        <v>1309</v>
      </c>
      <c r="B497" s="2749" t="s">
        <v>1315</v>
      </c>
      <c r="C497" s="2749" t="s">
        <v>2267</v>
      </c>
      <c r="D497" s="2911" t="s">
        <v>4312</v>
      </c>
      <c r="E497" s="2911" t="s">
        <v>8602</v>
      </c>
      <c r="F497" s="2911" t="s">
        <v>2873</v>
      </c>
      <c r="G497" s="3448" t="s">
        <v>3575</v>
      </c>
      <c r="H497" s="3448" t="str">
        <f>HLOOKUP(Non_UN,'Other Translations'!$A:$L,1+translations!J497,)</f>
        <v>Năng suất (t/ha)</v>
      </c>
      <c r="J497" s="3448">
        <v>496</v>
      </c>
    </row>
    <row r="498" spans="1:10" s="3448" customFormat="1">
      <c r="A498" s="3578" t="s">
        <v>1309</v>
      </c>
      <c r="B498" s="3578" t="s">
        <v>1647</v>
      </c>
      <c r="C498" s="3578" t="s">
        <v>2343</v>
      </c>
      <c r="D498" s="2911" t="s">
        <v>4313</v>
      </c>
      <c r="E498" s="2911" t="s">
        <v>8603</v>
      </c>
      <c r="F498" s="2911" t="s">
        <v>2874</v>
      </c>
      <c r="G498" s="3448" t="s">
        <v>3576</v>
      </c>
      <c r="H498" s="3448" t="str">
        <f>HLOOKUP(Non_UN,'Other Translations'!$A:$L,1+translations!J498,)</f>
        <v>Các chu kỳ</v>
      </c>
      <c r="J498" s="3448">
        <v>497</v>
      </c>
    </row>
    <row r="499" spans="1:10" s="3448" customFormat="1">
      <c r="A499" s="3578" t="s">
        <v>1309</v>
      </c>
      <c r="B499" s="3578" t="s">
        <v>1648</v>
      </c>
      <c r="C499" s="3578" t="s">
        <v>2344</v>
      </c>
      <c r="D499" s="2911" t="s">
        <v>4314</v>
      </c>
      <c r="E499" s="2749" t="s">
        <v>8163</v>
      </c>
      <c r="F499" s="2911" t="s">
        <v>2875</v>
      </c>
      <c r="G499" s="3448" t="s">
        <v>3577</v>
      </c>
      <c r="H499" s="3448" t="str">
        <f>HLOOKUP(Non_UN,'Other Translations'!$A:$L,1+translations!J499,)</f>
        <v>Trung bình</v>
      </c>
      <c r="J499" s="3448">
        <v>498</v>
      </c>
    </row>
    <row r="500" spans="1:10" s="3448" customFormat="1">
      <c r="A500" s="3578" t="s">
        <v>1309</v>
      </c>
      <c r="B500" s="3578" t="s">
        <v>169</v>
      </c>
      <c r="C500" s="3578" t="s">
        <v>2342</v>
      </c>
      <c r="D500" s="2911" t="s">
        <v>4315</v>
      </c>
      <c r="E500" s="2911" t="s">
        <v>8604</v>
      </c>
      <c r="F500" s="2911" t="s">
        <v>2876</v>
      </c>
      <c r="G500" s="3448" t="s">
        <v>3578</v>
      </c>
      <c r="H500" s="3448" t="str">
        <f>HLOOKUP(Non_UN,'Other Translations'!$A:$L,1+translations!J500,)</f>
        <v>Tỷ lệ (%)</v>
      </c>
      <c r="J500" s="3448">
        <v>499</v>
      </c>
    </row>
    <row r="501" spans="1:10" s="3448" customFormat="1">
      <c r="A501" s="3578" t="s">
        <v>1309</v>
      </c>
      <c r="B501" s="3578" t="s">
        <v>1316</v>
      </c>
      <c r="C501" s="3578" t="s">
        <v>1316</v>
      </c>
      <c r="D501" s="2911" t="s">
        <v>4316</v>
      </c>
      <c r="E501" s="2911" t="s">
        <v>8605</v>
      </c>
      <c r="F501" s="2911" t="s">
        <v>2877</v>
      </c>
      <c r="G501" s="3448" t="s">
        <v>3579</v>
      </c>
      <c r="H501" s="3448" t="str">
        <f>HLOOKUP(Non_UN,'Other Translations'!$A:$L,1+translations!J501,)</f>
        <v>Các dự báo</v>
      </c>
      <c r="J501" s="3448">
        <v>500</v>
      </c>
    </row>
    <row r="502" spans="1:10" s="3448" customFormat="1">
      <c r="A502" s="3578" t="s">
        <v>1309</v>
      </c>
      <c r="B502" s="3448" t="s">
        <v>8758</v>
      </c>
      <c r="C502" s="3578" t="s">
        <v>8759</v>
      </c>
      <c r="D502" s="2911" t="s">
        <v>8760</v>
      </c>
      <c r="E502" s="2911" t="s">
        <v>8761</v>
      </c>
      <c r="F502" s="2911" t="s">
        <v>8762</v>
      </c>
      <c r="G502" s="3448" t="s">
        <v>8763</v>
      </c>
      <c r="H502" s="3448" t="str">
        <f>HLOOKUP(Non_UN,'Other Translations'!$A:$L,1+translations!J502,)</f>
        <v>5 năm trước (2009-2013)</v>
      </c>
      <c r="J502" s="3448">
        <v>501</v>
      </c>
    </row>
    <row r="503" spans="1:10" s="3448" customFormat="1">
      <c r="A503" s="3578" t="s">
        <v>1309</v>
      </c>
      <c r="B503" s="3448" t="s">
        <v>8764</v>
      </c>
      <c r="C503" s="3578" t="s">
        <v>8765</v>
      </c>
      <c r="D503" s="2911" t="s">
        <v>8766</v>
      </c>
      <c r="E503" s="2911" t="s">
        <v>8767</v>
      </c>
      <c r="F503" s="2911" t="s">
        <v>8768</v>
      </c>
      <c r="G503" s="3448" t="s">
        <v>8769</v>
      </c>
      <c r="H503" s="3448" t="str">
        <f>HLOOKUP(Non_UN,'Other Translations'!$A:$L,1+translations!J503,)</f>
        <v>10 năm trước (2004-2013)</v>
      </c>
      <c r="J503" s="3448">
        <v>502</v>
      </c>
    </row>
    <row r="504" spans="1:10" s="3448" customFormat="1">
      <c r="A504" s="3578" t="s">
        <v>1309</v>
      </c>
      <c r="B504" s="3448" t="s">
        <v>8770</v>
      </c>
      <c r="C504" s="3578" t="s">
        <v>8771</v>
      </c>
      <c r="D504" s="2911" t="s">
        <v>8772</v>
      </c>
      <c r="E504" s="2911" t="s">
        <v>8773</v>
      </c>
      <c r="F504" s="2911" t="s">
        <v>8774</v>
      </c>
      <c r="G504" s="3448" t="s">
        <v>8775</v>
      </c>
      <c r="H504" s="3448" t="str">
        <f>HLOOKUP(Non_UN,'Other Translations'!$A:$L,1+translations!J504,)</f>
        <v>20 năm trước (1994-2013)</v>
      </c>
      <c r="J504" s="3448">
        <v>503</v>
      </c>
    </row>
    <row r="505" spans="1:10" s="3448" customFormat="1">
      <c r="A505" s="3578" t="s">
        <v>1309</v>
      </c>
      <c r="B505" s="3448" t="s">
        <v>8776</v>
      </c>
      <c r="C505" s="3578" t="s">
        <v>8777</v>
      </c>
      <c r="D505" s="2911" t="s">
        <v>8778</v>
      </c>
      <c r="E505" s="2911" t="s">
        <v>8779</v>
      </c>
      <c r="F505" s="2911" t="s">
        <v>8780</v>
      </c>
      <c r="G505" s="3448" t="s">
        <v>8781</v>
      </c>
      <c r="H505" s="3448" t="str">
        <f>HLOOKUP(Non_UN,'Other Translations'!$A:$L,1+translations!J505,)</f>
        <v>25 năm trước (1989-2013)</v>
      </c>
      <c r="J505" s="3448">
        <v>504</v>
      </c>
    </row>
    <row r="506" spans="1:10" s="3448" customFormat="1" ht="38.25">
      <c r="A506" s="3578" t="s">
        <v>1309</v>
      </c>
      <c r="B506" s="2911" t="s">
        <v>4844</v>
      </c>
      <c r="C506" s="2749" t="s">
        <v>2345</v>
      </c>
      <c r="D506" s="2911" t="s">
        <v>4317</v>
      </c>
      <c r="E506" s="2911" t="s">
        <v>8606</v>
      </c>
      <c r="F506" s="2911" t="s">
        <v>2878</v>
      </c>
      <c r="G506" s="2911" t="s">
        <v>3580</v>
      </c>
      <c r="H506" s="3448" t="str">
        <f>HLOOKUP(Non_UN,'Other Translations'!$A:$L,1+translations!J506,)</f>
        <v>Số liệu này từ FAOSTAT, nếu bạn cần chi tiết hơn (theo quốc gia), có thể tham khảo từ trang của FAO</v>
      </c>
      <c r="J506" s="3448">
        <v>505</v>
      </c>
    </row>
    <row r="507" spans="1:10" s="3448" customFormat="1">
      <c r="A507" s="3578" t="s">
        <v>1309</v>
      </c>
      <c r="C507" s="2911"/>
      <c r="D507" s="2911"/>
      <c r="E507" s="2911"/>
      <c r="F507" s="2911"/>
      <c r="G507" s="2911"/>
      <c r="H507" s="3448">
        <f>HLOOKUP(Non_UN,'Other Translations'!$A:$L,1+translations!J507,)</f>
        <v>0</v>
      </c>
      <c r="J507" s="3448">
        <v>506</v>
      </c>
    </row>
    <row r="508" spans="1:10" s="3448" customFormat="1">
      <c r="A508" s="3578" t="s">
        <v>1309</v>
      </c>
      <c r="C508" s="2911"/>
      <c r="D508" s="2911"/>
      <c r="E508" s="2911"/>
      <c r="F508" s="2911"/>
      <c r="G508" s="2911"/>
      <c r="H508" s="3448">
        <f>HLOOKUP(Non_UN,'Other Translations'!$A:$L,1+translations!J508,)</f>
        <v>0</v>
      </c>
      <c r="J508" s="3448">
        <v>507</v>
      </c>
    </row>
    <row r="509" spans="1:10" s="3448" customFormat="1">
      <c r="A509" s="3578" t="s">
        <v>1309</v>
      </c>
      <c r="C509" s="2911"/>
      <c r="D509" s="2911"/>
      <c r="E509" s="2911"/>
      <c r="F509" s="2911"/>
      <c r="G509" s="2911"/>
      <c r="H509" s="3448">
        <f>HLOOKUP(Non_UN,'Other Translations'!$A:$L,1+translations!J509,)</f>
        <v>0</v>
      </c>
      <c r="J509" s="3448">
        <v>508</v>
      </c>
    </row>
    <row r="510" spans="1:10" s="3448" customFormat="1">
      <c r="A510" s="3578" t="s">
        <v>1309</v>
      </c>
      <c r="C510" s="2911"/>
      <c r="D510" s="2911"/>
      <c r="E510" s="2911"/>
      <c r="F510" s="2911"/>
      <c r="G510" s="2911"/>
      <c r="H510" s="3448">
        <f>HLOOKUP(Non_UN,'Other Translations'!$A:$L,1+translations!J510,)</f>
        <v>0</v>
      </c>
      <c r="J510" s="3448">
        <v>509</v>
      </c>
    </row>
    <row r="511" spans="1:10" s="2581" customFormat="1">
      <c r="A511" s="2581" t="s">
        <v>1638</v>
      </c>
      <c r="B511" s="2580" t="s">
        <v>1617</v>
      </c>
      <c r="C511" s="2580" t="s">
        <v>1618</v>
      </c>
      <c r="D511" s="2580" t="s">
        <v>1619</v>
      </c>
      <c r="E511" s="2580" t="str">
        <f>E1</f>
        <v>中文</v>
      </c>
      <c r="F511" s="2580" t="s">
        <v>2530</v>
      </c>
      <c r="G511" s="2581" t="s">
        <v>3166</v>
      </c>
      <c r="H511" s="2581" t="str">
        <f>HLOOKUP(Non_UN,'Other Translations'!$A:$L,1+translations!J511,)</f>
        <v>Tiếng Việt</v>
      </c>
      <c r="J511" s="2581">
        <v>510</v>
      </c>
    </row>
    <row r="512" spans="1:10" ht="51">
      <c r="A512" s="2576" t="s">
        <v>1087</v>
      </c>
      <c r="B512" s="2750" t="s">
        <v>5481</v>
      </c>
      <c r="C512" s="2750" t="s">
        <v>5476</v>
      </c>
      <c r="D512" s="2750" t="s">
        <v>5482</v>
      </c>
      <c r="E512" s="2577" t="s">
        <v>8607</v>
      </c>
      <c r="F512" s="3602" t="s">
        <v>5481</v>
      </c>
      <c r="G512" s="3602" t="s">
        <v>5481</v>
      </c>
      <c r="H512" s="2911" t="str">
        <f>HLOOKUP(Non_UN,'Other Translations'!$A:$L,1+translations!J512,)</f>
        <v>Yếu tố phát thải hàng ngày đối với lúa (EF)=EF-Đường cơ sở x EF-trước dự án x EF-trong thời gian thực hiên dự án x EF-Chất độn hữu cơ</v>
      </c>
      <c r="J512" s="2820">
        <v>511</v>
      </c>
    </row>
    <row r="513" spans="1:10" ht="16.149999999999999" customHeight="1">
      <c r="A513" s="2576" t="s">
        <v>1087</v>
      </c>
      <c r="B513" s="2577" t="s">
        <v>5467</v>
      </c>
      <c r="C513" s="2750" t="s">
        <v>5483</v>
      </c>
      <c r="D513" s="2750" t="s">
        <v>5490</v>
      </c>
      <c r="E513" s="2577" t="s">
        <v>8608</v>
      </c>
      <c r="F513" s="3602" t="s">
        <v>5467</v>
      </c>
      <c r="G513" s="3602" t="s">
        <v>5467</v>
      </c>
      <c r="H513" s="2911" t="str">
        <f>HLOOKUP(Non_UN,'Other Translations'!$A:$L,1+translations!J513,)</f>
        <v>(EF là kg CH4/ha/ngày)</v>
      </c>
      <c r="J513" s="2820">
        <v>512</v>
      </c>
    </row>
    <row r="514" spans="1:10">
      <c r="A514" s="2576" t="s">
        <v>1087</v>
      </c>
      <c r="B514" s="2577" t="s">
        <v>5480</v>
      </c>
      <c r="C514" s="2750" t="s">
        <v>5470</v>
      </c>
      <c r="D514" s="2750" t="s">
        <v>5470</v>
      </c>
      <c r="E514" s="2577" t="s">
        <v>8609</v>
      </c>
      <c r="F514" s="3602" t="s">
        <v>5480</v>
      </c>
      <c r="G514" s="3602" t="s">
        <v>5480</v>
      </c>
      <c r="H514" s="2911" t="str">
        <f>HLOOKUP(Non_UN,'Other Translations'!$A:$L,1+translations!J514,)</f>
        <v>EF-đường cơ sở</v>
      </c>
      <c r="J514" s="2820">
        <v>513</v>
      </c>
    </row>
    <row r="515" spans="1:10">
      <c r="A515" s="2576" t="s">
        <v>1087</v>
      </c>
      <c r="B515" s="2577" t="s">
        <v>5465</v>
      </c>
      <c r="C515" s="2750" t="s">
        <v>5469</v>
      </c>
      <c r="D515" s="2750" t="s">
        <v>5477</v>
      </c>
      <c r="E515" s="2577" t="s">
        <v>8610</v>
      </c>
      <c r="F515" s="3602" t="s">
        <v>5465</v>
      </c>
      <c r="G515" s="3602" t="s">
        <v>5465</v>
      </c>
      <c r="H515" s="2911" t="str">
        <f>HLOOKUP(Non_UN,'Other Translations'!$A:$L,1+translations!J515,)</f>
        <v>EF-Trước dự án</v>
      </c>
      <c r="J515" s="2820">
        <v>514</v>
      </c>
    </row>
    <row r="516" spans="1:10">
      <c r="A516" s="2576" t="s">
        <v>1087</v>
      </c>
      <c r="B516" s="2577" t="s">
        <v>5466</v>
      </c>
      <c r="C516" s="2750" t="s">
        <v>5468</v>
      </c>
      <c r="D516" s="2750" t="s">
        <v>5475</v>
      </c>
      <c r="E516" s="2577" t="s">
        <v>8611</v>
      </c>
      <c r="F516" s="3602" t="s">
        <v>5466</v>
      </c>
      <c r="G516" s="3602" t="s">
        <v>5466</v>
      </c>
      <c r="H516" s="2911" t="str">
        <f>HLOOKUP(Non_UN,'Other Translations'!$A:$L,1+translations!J516,)</f>
        <v>EF-Trong thực hiện dự án</v>
      </c>
      <c r="J516" s="2820">
        <v>515</v>
      </c>
    </row>
    <row r="517" spans="1:10">
      <c r="A517" s="2576" t="s">
        <v>1087</v>
      </c>
      <c r="B517" s="2750" t="s">
        <v>5473</v>
      </c>
      <c r="C517" s="2750" t="s">
        <v>5472</v>
      </c>
      <c r="D517" s="2750" t="s">
        <v>5474</v>
      </c>
      <c r="E517" s="2577" t="s">
        <v>8612</v>
      </c>
      <c r="F517" s="3602" t="s">
        <v>5473</v>
      </c>
      <c r="G517" s="3602" t="s">
        <v>5473</v>
      </c>
      <c r="H517" s="2911" t="str">
        <f>HLOOKUP(Non_UN,'Other Translations'!$A:$L,1+translations!J517,)</f>
        <v>EF-Chất độn hữu cơ</v>
      </c>
      <c r="J517" s="2820">
        <v>516</v>
      </c>
    </row>
    <row r="518" spans="1:10">
      <c r="A518" s="2576" t="s">
        <v>1087</v>
      </c>
      <c r="B518" s="2750" t="s">
        <v>5464</v>
      </c>
      <c r="C518" s="2750" t="s">
        <v>5471</v>
      </c>
      <c r="D518" s="2750" t="s">
        <v>5471</v>
      </c>
      <c r="E518" s="2577" t="s">
        <v>8160</v>
      </c>
      <c r="F518" s="3602" t="s">
        <v>5464</v>
      </c>
      <c r="G518" s="3602" t="s">
        <v>5464</v>
      </c>
      <c r="H518" s="2911" t="str">
        <f>HLOOKUP(Non_UN,'Other Translations'!$A:$L,1+translations!J518,)</f>
        <v>EF</v>
      </c>
      <c r="J518" s="2820">
        <v>517</v>
      </c>
    </row>
    <row r="519" spans="1:10">
      <c r="F519" s="2576">
        <v>0</v>
      </c>
      <c r="G519" s="2577">
        <v>0</v>
      </c>
      <c r="H519" s="2911">
        <f>HLOOKUP(Non_UN,'Other Translations'!$A:$L,1+translations!J519,)</f>
        <v>0</v>
      </c>
      <c r="J519" s="2820">
        <v>518</v>
      </c>
    </row>
    <row r="520" spans="1:10">
      <c r="F520" s="2576">
        <v>0</v>
      </c>
      <c r="G520" s="2577">
        <v>0</v>
      </c>
      <c r="H520" s="2911">
        <f>HLOOKUP(Non_UN,'Other Translations'!$A:$L,1+translations!J520,)</f>
        <v>0</v>
      </c>
      <c r="J520" s="2820">
        <v>519</v>
      </c>
    </row>
    <row r="521" spans="1:10" s="3277" customFormat="1">
      <c r="A521" s="3277" t="str">
        <f>A511</f>
        <v>Spreadsheet</v>
      </c>
      <c r="B521" s="3277" t="str">
        <f>B511</f>
        <v>English</v>
      </c>
      <c r="C521" s="3277" t="str">
        <f>C511</f>
        <v>Français</v>
      </c>
      <c r="D521" s="3277" t="s">
        <v>1619</v>
      </c>
      <c r="E521" s="3277" t="str">
        <f>E1</f>
        <v>中文</v>
      </c>
      <c r="F521" s="3277" t="s">
        <v>2530</v>
      </c>
      <c r="G521" s="3277" t="s">
        <v>3166</v>
      </c>
      <c r="H521" s="3274" t="str">
        <f>HLOOKUP(Non_UN,'Other Translations'!$A:$L,1+translations!J521,)</f>
        <v>Tiếng Việt</v>
      </c>
      <c r="J521" s="3277">
        <v>520</v>
      </c>
    </row>
    <row r="522" spans="1:10">
      <c r="A522" s="3019" t="s">
        <v>7144</v>
      </c>
      <c r="B522" s="2750" t="s">
        <v>5534</v>
      </c>
      <c r="C522" s="2750" t="s">
        <v>5535</v>
      </c>
      <c r="D522" s="2577" t="s">
        <v>7618</v>
      </c>
      <c r="E522" s="2577" t="s">
        <v>8613</v>
      </c>
      <c r="F522" s="2576" t="s">
        <v>7619</v>
      </c>
      <c r="G522" s="2577" t="s">
        <v>7620</v>
      </c>
      <c r="H522" s="2911" t="str">
        <f>HLOOKUP(Non_UN,'Other Translations'!$A:$L,1+translations!J522,)</f>
        <v>Rừng</v>
      </c>
      <c r="J522" s="2820">
        <v>521</v>
      </c>
    </row>
    <row r="523" spans="1:10">
      <c r="A523" s="3019" t="s">
        <v>7144</v>
      </c>
      <c r="B523" s="2750" t="s">
        <v>387</v>
      </c>
      <c r="C523" s="2750" t="s">
        <v>387</v>
      </c>
      <c r="D523" s="2577" t="s">
        <v>7621</v>
      </c>
      <c r="E523" s="2577" t="s">
        <v>8614</v>
      </c>
      <c r="F523" s="2576" t="s">
        <v>7622</v>
      </c>
      <c r="G523" s="2577" t="s">
        <v>7623</v>
      </c>
      <c r="H523" s="2911" t="str">
        <f>HLOOKUP(Non_UN,'Other Translations'!$A:$L,1+translations!J523,)</f>
        <v>Khu vực trồng</v>
      </c>
      <c r="J523" s="2820">
        <v>522</v>
      </c>
    </row>
    <row r="524" spans="1:10" ht="25.5">
      <c r="A524" s="3019" t="s">
        <v>7144</v>
      </c>
      <c r="B524" s="2577" t="s">
        <v>5637</v>
      </c>
      <c r="C524" s="2750" t="s">
        <v>6308</v>
      </c>
      <c r="D524" s="2577" t="s">
        <v>7624</v>
      </c>
      <c r="E524" s="2577" t="s">
        <v>8615</v>
      </c>
      <c r="F524" s="2576" t="s">
        <v>7625</v>
      </c>
      <c r="G524" s="2577" t="s">
        <v>7626</v>
      </c>
      <c r="H524" s="2911" t="str">
        <f>HLOOKUP(Non_UN,'Other Translations'!$A:$L,1+translations!J524,)</f>
        <v>5.2. Suy thoái và quản lý đất hữu cơ (đất than bùn)</v>
      </c>
      <c r="J524" s="2820">
        <v>523</v>
      </c>
    </row>
    <row r="525" spans="1:10" ht="25.5">
      <c r="A525" s="3019" t="s">
        <v>7144</v>
      </c>
      <c r="B525" s="2577" t="s">
        <v>5555</v>
      </c>
      <c r="C525" s="2750" t="s">
        <v>6309</v>
      </c>
      <c r="D525" s="2577" t="s">
        <v>7627</v>
      </c>
      <c r="E525" s="2577" t="s">
        <v>8616</v>
      </c>
      <c r="F525" s="2576" t="s">
        <v>7628</v>
      </c>
      <c r="G525" s="2577" t="s">
        <v>7629</v>
      </c>
      <c r="H525" s="2911" t="str">
        <f>HLOOKUP(Non_UN,'Other Translations'!$A:$L,1+translations!J525,)</f>
        <v>5.2.1. Sự khô hạn và mất nước ở đất hữu cơ</v>
      </c>
      <c r="J525" s="2820">
        <v>524</v>
      </c>
    </row>
    <row r="526" spans="1:10">
      <c r="A526" s="3019" t="s">
        <v>7144</v>
      </c>
      <c r="B526" s="2577" t="s">
        <v>5554</v>
      </c>
      <c r="C526" s="3268" t="s">
        <v>8164</v>
      </c>
      <c r="D526" s="2577" t="s">
        <v>7630</v>
      </c>
      <c r="E526" s="2577" t="s">
        <v>8617</v>
      </c>
      <c r="F526" s="2576" t="s">
        <v>7631</v>
      </c>
      <c r="G526" s="2577" t="s">
        <v>7632</v>
      </c>
      <c r="H526" s="2911" t="str">
        <f>HLOOKUP(Non_UN,'Other Translations'!$A:$L,1+translations!J526,)</f>
        <v>SAI</v>
      </c>
      <c r="J526" s="2820">
        <v>525</v>
      </c>
    </row>
    <row r="527" spans="1:10">
      <c r="A527" s="3019" t="s">
        <v>7144</v>
      </c>
      <c r="B527" s="2577" t="s">
        <v>6310</v>
      </c>
      <c r="C527" s="3268" t="s">
        <v>8165</v>
      </c>
      <c r="D527" s="2577" t="s">
        <v>7633</v>
      </c>
      <c r="E527" s="2577" t="s">
        <v>8618</v>
      </c>
      <c r="F527" s="2576" t="s">
        <v>7634</v>
      </c>
      <c r="G527" s="2577" t="s">
        <v>7635</v>
      </c>
      <c r="H527" s="2911" t="str">
        <f>HLOOKUP(Non_UN,'Other Translations'!$A:$L,1+translations!J527,)</f>
        <v>Bề mặt than bùn bị khai thác</v>
      </c>
      <c r="J527" s="2820">
        <v>526</v>
      </c>
    </row>
    <row r="528" spans="1:10">
      <c r="A528" s="3019" t="s">
        <v>7144</v>
      </c>
      <c r="B528" s="2577" t="s">
        <v>5645</v>
      </c>
      <c r="C528" s="3268" t="s">
        <v>8166</v>
      </c>
      <c r="D528" s="2577" t="s">
        <v>7636</v>
      </c>
      <c r="E528" s="2577" t="s">
        <v>8619</v>
      </c>
      <c r="F528" s="2576" t="s">
        <v>7637</v>
      </c>
      <c r="G528" s="2577" t="s">
        <v>7638</v>
      </c>
      <c r="H528" s="2911" t="str">
        <f>HLOOKUP(Non_UN,'Other Translations'!$A:$L,1+translations!J528,)</f>
        <v>Chiều cao khai thác (cm)</v>
      </c>
      <c r="J528" s="2820">
        <v>527</v>
      </c>
    </row>
    <row r="529" spans="1:10">
      <c r="A529" s="3019" t="s">
        <v>7144</v>
      </c>
      <c r="B529" s="2577" t="s">
        <v>5648</v>
      </c>
      <c r="C529" s="3268" t="s">
        <v>8167</v>
      </c>
      <c r="D529" s="2577" t="s">
        <v>7639</v>
      </c>
      <c r="E529" s="2577" t="s">
        <v>8620</v>
      </c>
      <c r="F529" s="2576" t="s">
        <v>7640</v>
      </c>
      <c r="G529" s="2577" t="s">
        <v>7641</v>
      </c>
      <c r="H529" s="2911" t="str">
        <f>HLOOKUP(Non_UN,'Other Translations'!$A:$L,1+translations!J529,)</f>
        <v>Số lượng than bùn sản xuất (t/năm)</v>
      </c>
      <c r="J529" s="2820">
        <v>528</v>
      </c>
    </row>
    <row r="530" spans="1:10" ht="25.5">
      <c r="A530" s="3019" t="s">
        <v>7144</v>
      </c>
      <c r="B530" s="2577" t="s">
        <v>5643</v>
      </c>
      <c r="C530" s="3268" t="s">
        <v>8168</v>
      </c>
      <c r="D530" s="2577" t="s">
        <v>7642</v>
      </c>
      <c r="E530" s="2577" t="s">
        <v>8621</v>
      </c>
      <c r="F530" s="2576" t="s">
        <v>7643</v>
      </c>
      <c r="G530" s="2577" t="s">
        <v>7644</v>
      </c>
      <c r="H530" s="2911" t="str">
        <f>HLOOKUP(Non_UN,'Other Translations'!$A:$L,1+translations!J530,)</f>
        <v xml:space="preserve">5.2.3. Tái làm ướt đất hữu cơ (đất than bùn) </v>
      </c>
      <c r="J530" s="2820">
        <v>529</v>
      </c>
    </row>
    <row r="531" spans="1:10">
      <c r="A531" s="3019" t="s">
        <v>7144</v>
      </c>
      <c r="B531" s="2577" t="s">
        <v>5607</v>
      </c>
      <c r="C531" s="1880" t="s">
        <v>6311</v>
      </c>
      <c r="D531" s="2577" t="s">
        <v>7645</v>
      </c>
      <c r="E531" s="2577" t="s">
        <v>8622</v>
      </c>
      <c r="F531" s="2576" t="s">
        <v>7646</v>
      </c>
      <c r="G531" s="2577" t="s">
        <v>7647</v>
      </c>
      <c r="H531" s="2911" t="str">
        <f>HLOOKUP(Non_UN,'Other Translations'!$A:$L,1+translations!J531,)</f>
        <v>Kiểu cháy</v>
      </c>
      <c r="J531" s="2820">
        <v>530</v>
      </c>
    </row>
    <row r="532" spans="1:10">
      <c r="A532" s="3019" t="s">
        <v>7144</v>
      </c>
      <c r="B532" s="2577" t="s">
        <v>5669</v>
      </c>
      <c r="C532" s="1880" t="s">
        <v>6312</v>
      </c>
      <c r="D532" s="2577" t="s">
        <v>7648</v>
      </c>
      <c r="E532" s="2577" t="s">
        <v>8623</v>
      </c>
      <c r="F532" s="2576" t="s">
        <v>7649</v>
      </c>
      <c r="G532" s="2577" t="s">
        <v>7650</v>
      </c>
      <c r="H532" s="2911" t="str">
        <f>HLOOKUP(Non_UN,'Other Translations'!$A:$L,1+translations!J532,)</f>
        <v>Diện tích bị cháy (ha)</v>
      </c>
      <c r="J532" s="2820">
        <v>531</v>
      </c>
    </row>
    <row r="533" spans="1:10">
      <c r="A533" s="3019" t="s">
        <v>7144</v>
      </c>
      <c r="B533" s="2577" t="s">
        <v>5615</v>
      </c>
      <c r="C533" s="3268" t="s">
        <v>6316</v>
      </c>
      <c r="D533" s="2577" t="s">
        <v>7651</v>
      </c>
      <c r="E533" s="2577" t="s">
        <v>8624</v>
      </c>
      <c r="F533" s="2576" t="s">
        <v>7652</v>
      </c>
      <c r="G533" s="2577" t="s">
        <v>7653</v>
      </c>
      <c r="H533" s="2911" t="str">
        <f>HLOOKUP(Non_UN,'Other Translations'!$A:$L,1+translations!J533,)</f>
        <v>Cháy tự nhiên (than bùn khô)</v>
      </c>
      <c r="J533" s="2820">
        <v>532</v>
      </c>
    </row>
    <row r="534" spans="1:10">
      <c r="A534" s="3019" t="s">
        <v>7144</v>
      </c>
      <c r="B534" s="2577" t="s">
        <v>5614</v>
      </c>
      <c r="C534" s="3268" t="s">
        <v>6317</v>
      </c>
      <c r="D534" s="2577" t="s">
        <v>7654</v>
      </c>
      <c r="E534" s="2577" t="s">
        <v>8625</v>
      </c>
      <c r="F534" s="2576" t="s">
        <v>7655</v>
      </c>
      <c r="G534" s="2577" t="s">
        <v>7656</v>
      </c>
      <c r="H534" s="2911" t="str">
        <f>HLOOKUP(Non_UN,'Other Translations'!$A:$L,1+translations!J534,)</f>
        <v>Cháy tự nhiên (than bùn không khô)</v>
      </c>
      <c r="J534" s="2820">
        <v>533</v>
      </c>
    </row>
    <row r="535" spans="1:10">
      <c r="A535" s="3019" t="s">
        <v>7144</v>
      </c>
      <c r="B535" s="2577" t="s">
        <v>5608</v>
      </c>
      <c r="C535" s="3268" t="s">
        <v>6313</v>
      </c>
      <c r="D535" s="2577" t="s">
        <v>7657</v>
      </c>
      <c r="E535" s="2577" t="s">
        <v>8626</v>
      </c>
      <c r="F535" s="2576" t="s">
        <v>7658</v>
      </c>
      <c r="G535" s="2577" t="s">
        <v>7659</v>
      </c>
      <c r="H535" s="2911" t="str">
        <f>HLOOKUP(Non_UN,'Other Translations'!$A:$L,1+translations!J535,)</f>
        <v>Cháy chủ động (có kế hoạch)</v>
      </c>
      <c r="J535" s="2820">
        <v>534</v>
      </c>
    </row>
    <row r="536" spans="1:10" ht="25.5">
      <c r="A536" s="3019" t="s">
        <v>7144</v>
      </c>
      <c r="B536" s="2577" t="s">
        <v>5583</v>
      </c>
      <c r="C536" s="2577" t="s">
        <v>6315</v>
      </c>
      <c r="D536" s="2577" t="s">
        <v>7660</v>
      </c>
      <c r="E536" s="2577" t="s">
        <v>8627</v>
      </c>
      <c r="F536" s="2576" t="s">
        <v>7661</v>
      </c>
      <c r="G536" s="2577" t="s">
        <v>7662</v>
      </c>
      <c r="H536" s="2911" t="str">
        <f>HLOOKUP(Non_UN,'Other Translations'!$A:$L,1+translations!J536,)</f>
        <v>Diện tích bề mặt đất hữu cơ được tái làm ướt (ha)</v>
      </c>
      <c r="J536" s="2820">
        <v>535</v>
      </c>
    </row>
    <row r="537" spans="1:10" ht="25.5">
      <c r="A537" s="3019" t="s">
        <v>7144</v>
      </c>
      <c r="B537" s="2577" t="s">
        <v>5644</v>
      </c>
      <c r="C537" s="2577" t="s">
        <v>6314</v>
      </c>
      <c r="D537" s="2577" t="s">
        <v>7663</v>
      </c>
      <c r="E537" s="2577" t="s">
        <v>8628</v>
      </c>
      <c r="F537" s="2576" t="s">
        <v>7664</v>
      </c>
      <c r="G537" s="2577" t="s">
        <v>7665</v>
      </c>
      <c r="H537" s="2911" t="str">
        <f>HLOOKUP(Non_UN,'Other Translations'!$A:$L,1+translations!J537,)</f>
        <v>5.2.4. Phát thải từ quá trình cháy đất hữu cơ (đất than bùn)</v>
      </c>
      <c r="J537" s="2820">
        <v>536</v>
      </c>
    </row>
    <row r="538" spans="1:10">
      <c r="A538" s="3019" t="s">
        <v>7144</v>
      </c>
      <c r="B538" s="2577" t="s">
        <v>5634</v>
      </c>
      <c r="C538" s="2750" t="s">
        <v>6318</v>
      </c>
      <c r="D538" s="2577" t="s">
        <v>7666</v>
      </c>
      <c r="E538" s="2577" t="s">
        <v>8629</v>
      </c>
      <c r="F538" s="2576" t="s">
        <v>7667</v>
      </c>
      <c r="G538" s="2577" t="s">
        <v>7668</v>
      </c>
      <c r="H538" s="2911" t="str">
        <f>HLOOKUP(Non_UN,'Other Translations'!$A:$L,1+translations!J538,)</f>
        <v>Tổng số bị cháy</v>
      </c>
      <c r="J538" s="2820">
        <v>537</v>
      </c>
    </row>
    <row r="539" spans="1:10">
      <c r="A539" s="3019" t="s">
        <v>7144</v>
      </c>
      <c r="B539" s="2577" t="s">
        <v>5584</v>
      </c>
      <c r="C539" s="2577" t="s">
        <v>6319</v>
      </c>
      <c r="D539" s="2577" t="s">
        <v>7669</v>
      </c>
      <c r="E539" s="2577" t="s">
        <v>8630</v>
      </c>
      <c r="F539" s="2576" t="s">
        <v>7670</v>
      </c>
      <c r="G539" s="2577" t="s">
        <v>7671</v>
      </c>
      <c r="H539" s="2911" t="str">
        <f>HLOOKUP(Non_UN,'Other Translations'!$A:$L,1+translations!J539,)</f>
        <v>Tổng số tái làm ướt</v>
      </c>
      <c r="J539" s="2820">
        <v>538</v>
      </c>
    </row>
    <row r="540" spans="1:10" ht="38.25">
      <c r="A540" s="3019" t="s">
        <v>7158</v>
      </c>
      <c r="B540" s="2577" t="s">
        <v>7159</v>
      </c>
      <c r="C540" s="2813" t="s">
        <v>7161</v>
      </c>
      <c r="D540" s="2577" t="s">
        <v>7672</v>
      </c>
      <c r="E540" s="2577" t="s">
        <v>8631</v>
      </c>
      <c r="F540" s="2576" t="s">
        <v>7673</v>
      </c>
      <c r="G540" s="2577" t="s">
        <v>7674</v>
      </c>
      <c r="H540" s="2911" t="str">
        <f>HLOOKUP(Non_UN,'Other Translations'!$A:$L,1+translations!J540,)</f>
        <v>5.3. Quản lý đất ngập nước ven biển (rừng ngập mặn, thực vật ven bờ, cửa sông và cói)</v>
      </c>
      <c r="J540" s="2820">
        <v>539</v>
      </c>
    </row>
    <row r="541" spans="1:10" ht="38.25">
      <c r="A541" s="3019" t="s">
        <v>7158</v>
      </c>
      <c r="B541" s="2577" t="s">
        <v>7160</v>
      </c>
      <c r="C541" s="2577" t="s">
        <v>7162</v>
      </c>
      <c r="D541" s="2577" t="s">
        <v>7675</v>
      </c>
      <c r="E541" s="2577" t="s">
        <v>8632</v>
      </c>
      <c r="F541" s="2576" t="s">
        <v>7676</v>
      </c>
      <c r="G541" s="2577" t="s">
        <v>7677</v>
      </c>
      <c r="H541" s="2911" t="str">
        <f>HLOOKUP(Non_UN,'Other Translations'!$A:$L,1+translations!J541,)</f>
        <v>5.3.1. Khai thác, chuyển đổi (xây dựng cảng, xây dựng ao nuôi trồng thủy sản hoặc đồng muối)</v>
      </c>
      <c r="J541" s="2820">
        <v>540</v>
      </c>
    </row>
    <row r="542" spans="1:10">
      <c r="A542" s="3019" t="s">
        <v>7158</v>
      </c>
      <c r="B542" s="2577" t="s">
        <v>5670</v>
      </c>
      <c r="C542" s="2577" t="s">
        <v>6320</v>
      </c>
      <c r="D542" s="2577" t="s">
        <v>7678</v>
      </c>
      <c r="E542" s="2577" t="s">
        <v>8633</v>
      </c>
      <c r="F542" s="2576" t="s">
        <v>7679</v>
      </c>
      <c r="G542" s="2577" t="s">
        <v>7680</v>
      </c>
      <c r="H542" s="2911" t="str">
        <f>HLOOKUP(Non_UN,'Other Translations'!$A:$L,1+translations!J542,)</f>
        <v>Diện tích chuyển đổi (ha)</v>
      </c>
      <c r="J542" s="2820">
        <v>541</v>
      </c>
    </row>
    <row r="543" spans="1:10">
      <c r="A543" s="3019" t="s">
        <v>7158</v>
      </c>
      <c r="B543" s="2577" t="s">
        <v>7126</v>
      </c>
      <c r="C543" s="2577" t="s">
        <v>6323</v>
      </c>
      <c r="D543" s="2577" t="s">
        <v>7681</v>
      </c>
      <c r="E543" s="2577" t="s">
        <v>8634</v>
      </c>
      <c r="F543" s="2576" t="s">
        <v>7682</v>
      </c>
      <c r="G543" s="2577" t="s">
        <v>7683</v>
      </c>
      <c r="H543" s="2911" t="str">
        <f>HLOOKUP(Non_UN,'Other Translations'!$A:$L,1+translations!J543,)</f>
        <v>Tổng khai thác và chuyển đổi</v>
      </c>
      <c r="J543" s="2820">
        <v>542</v>
      </c>
    </row>
    <row r="544" spans="1:10">
      <c r="A544" s="3019" t="s">
        <v>7158</v>
      </c>
      <c r="B544" s="2577" t="s">
        <v>7165</v>
      </c>
      <c r="C544" s="2577" t="s">
        <v>7166</v>
      </c>
      <c r="D544" s="2577" t="s">
        <v>7684</v>
      </c>
      <c r="E544" s="2577" t="s">
        <v>8635</v>
      </c>
      <c r="F544" s="2576" t="s">
        <v>7685</v>
      </c>
      <c r="G544" s="2577" t="s">
        <v>7686</v>
      </c>
      <c r="H544" s="2911" t="str">
        <f>HLOOKUP(Non_UN,'Other Translations'!$A:$L,1+translations!J544,)</f>
        <v>5.3.2.Cạn nước</v>
      </c>
      <c r="J544" s="2820">
        <v>543</v>
      </c>
    </row>
    <row r="545" spans="1:10">
      <c r="A545" s="3019" t="s">
        <v>7158</v>
      </c>
      <c r="B545" s="2577" t="s">
        <v>7125</v>
      </c>
      <c r="C545" s="2577" t="s">
        <v>6321</v>
      </c>
      <c r="D545" s="2577" t="s">
        <v>7687</v>
      </c>
      <c r="E545" s="2577" t="s">
        <v>8636</v>
      </c>
      <c r="F545" s="2576" t="s">
        <v>7688</v>
      </c>
      <c r="G545" s="2577" t="s">
        <v>7689</v>
      </c>
      <c r="H545" s="2911" t="str">
        <f>HLOOKUP(Non_UN,'Other Translations'!$A:$L,1+translations!J545,)</f>
        <v>Thực vật ven bờ</v>
      </c>
      <c r="J545" s="2820">
        <v>544</v>
      </c>
    </row>
    <row r="546" spans="1:10">
      <c r="A546" s="3019" t="s">
        <v>7158</v>
      </c>
      <c r="B546" s="2577" t="s">
        <v>5668</v>
      </c>
      <c r="C546" s="2577" t="s">
        <v>6322</v>
      </c>
      <c r="D546" s="2577" t="s">
        <v>7690</v>
      </c>
      <c r="E546" s="2577" t="s">
        <v>8637</v>
      </c>
      <c r="F546" s="2576" t="s">
        <v>7691</v>
      </c>
      <c r="G546" s="2577" t="s">
        <v>7692</v>
      </c>
      <c r="H546" s="2911" t="str">
        <f>HLOOKUP(Non_UN,'Other Translations'!$A:$L,1+translations!J546,)</f>
        <v>Cói hoặc cây cỏ vùng nước lợ</v>
      </c>
      <c r="J546" s="2820">
        <v>545</v>
      </c>
    </row>
    <row r="547" spans="1:10">
      <c r="A547" s="3019" t="s">
        <v>7158</v>
      </c>
      <c r="B547" s="2577" t="s">
        <v>5697</v>
      </c>
      <c r="C547" s="2577" t="s">
        <v>6325</v>
      </c>
      <c r="D547" s="2577" t="s">
        <v>6416</v>
      </c>
      <c r="E547" s="2577" t="s">
        <v>8638</v>
      </c>
      <c r="F547" s="2576" t="s">
        <v>7693</v>
      </c>
      <c r="G547" s="2577" t="s">
        <v>7694</v>
      </c>
      <c r="H547" s="2911" t="str">
        <f>HLOOKUP(Non_UN,'Other Translations'!$A:$L,1+translations!J547,)</f>
        <v>Diện tích cạn nước (ha)</v>
      </c>
      <c r="J547" s="2820">
        <v>546</v>
      </c>
    </row>
    <row r="548" spans="1:10">
      <c r="A548" s="3019" t="s">
        <v>7158</v>
      </c>
      <c r="B548" s="2577" t="s">
        <v>6324</v>
      </c>
      <c r="C548" s="2577" t="s">
        <v>6326</v>
      </c>
      <c r="D548" s="2577" t="s">
        <v>7695</v>
      </c>
      <c r="E548" s="2577" t="s">
        <v>8639</v>
      </c>
      <c r="F548" s="2576" t="s">
        <v>7696</v>
      </c>
      <c r="G548" s="2577" t="s">
        <v>7697</v>
      </c>
      <c r="H548" s="2911" t="str">
        <f>HLOOKUP(Non_UN,'Other Translations'!$A:$L,1+translations!J548,)</f>
        <v>Diện tích có nước trở lại (ha)</v>
      </c>
      <c r="J548" s="2820">
        <v>547</v>
      </c>
    </row>
    <row r="549" spans="1:10" ht="13.15" customHeight="1">
      <c r="A549" s="3019" t="s">
        <v>7158</v>
      </c>
      <c r="B549" s="2577" t="s">
        <v>7167</v>
      </c>
      <c r="C549" s="2750" t="s">
        <v>7168</v>
      </c>
      <c r="D549" s="2577" t="s">
        <v>7698</v>
      </c>
      <c r="E549" s="2577" t="s">
        <v>8640</v>
      </c>
      <c r="F549" s="2576" t="s">
        <v>7699</v>
      </c>
      <c r="G549" s="2577" t="s">
        <v>7700</v>
      </c>
      <c r="H549" s="2911" t="str">
        <f>HLOOKUP(Non_UN,'Other Translations'!$A:$L,1+translations!J549,)</f>
        <v>5.3.2.Tái làm ướt/ có nước trở lại</v>
      </c>
      <c r="J549" s="2820">
        <v>548</v>
      </c>
    </row>
    <row r="550" spans="1:10" ht="38.25">
      <c r="A550" s="3019" t="s">
        <v>7158</v>
      </c>
      <c r="B550" s="2577" t="s">
        <v>6327</v>
      </c>
      <c r="C550" s="2577" t="s">
        <v>6334</v>
      </c>
      <c r="D550" s="2577" t="s">
        <v>7701</v>
      </c>
      <c r="E550" s="2577" t="s">
        <v>8641</v>
      </c>
      <c r="F550" s="2576" t="s">
        <v>7702</v>
      </c>
      <c r="G550" s="2577" t="s">
        <v>7703</v>
      </c>
      <c r="H550" s="2911" t="str">
        <f>HLOOKUP(Non_UN,'Other Translations'!$A:$L,1+translations!J550,)</f>
        <v>Hãy chỉ rõ đặc tính nổi trội của than bùn mà có thể ảnh hưởng đến các hệ số phát thải dưới đây</v>
      </c>
      <c r="J550" s="2820">
        <v>549</v>
      </c>
    </row>
    <row r="551" spans="1:10" ht="25.5">
      <c r="A551" s="3019" t="s">
        <v>7158</v>
      </c>
      <c r="B551" s="2577" t="s">
        <v>5547</v>
      </c>
      <c r="C551" s="2577" t="s">
        <v>6335</v>
      </c>
      <c r="D551" s="2577" t="s">
        <v>7704</v>
      </c>
      <c r="E551" s="2577" t="s">
        <v>8642</v>
      </c>
      <c r="F551" s="2576" t="s">
        <v>7705</v>
      </c>
      <c r="G551" s="2577" t="s">
        <v>7706</v>
      </c>
      <c r="H551" s="2911" t="str">
        <f>HLOOKUP(Non_UN,'Other Translations'!$A:$L,1+translations!J551,)</f>
        <v>Phát thải CH4 liên quan đến mất/cạn nước</v>
      </c>
      <c r="J551" s="2820">
        <v>550</v>
      </c>
    </row>
    <row r="552" spans="1:10">
      <c r="A552" s="3019" t="s">
        <v>7158</v>
      </c>
      <c r="B552" s="2577" t="s">
        <v>5548</v>
      </c>
      <c r="C552" s="2577" t="s">
        <v>6336</v>
      </c>
      <c r="D552" s="2577" t="s">
        <v>7707</v>
      </c>
      <c r="E552" s="2577" t="s">
        <v>8643</v>
      </c>
      <c r="F552" s="2576" t="s">
        <v>7708</v>
      </c>
      <c r="G552" s="2577" t="s">
        <v>7709</v>
      </c>
      <c r="H552" s="2911" t="str">
        <f>HLOOKUP(Non_UN,'Other Translations'!$A:$L,1+translations!J552,)</f>
        <v>Từ đất bị khô</v>
      </c>
      <c r="J552" s="2820">
        <v>551</v>
      </c>
    </row>
    <row r="553" spans="1:10">
      <c r="A553" s="3019" t="s">
        <v>7158</v>
      </c>
      <c r="B553" s="2577" t="s">
        <v>5546</v>
      </c>
      <c r="C553" s="2577" t="s">
        <v>6337</v>
      </c>
      <c r="D553" s="2577" t="s">
        <v>7710</v>
      </c>
      <c r="E553" s="2577" t="s">
        <v>8644</v>
      </c>
      <c r="F553" s="2576" t="s">
        <v>7711</v>
      </c>
      <c r="G553" s="2577" t="s">
        <v>7712</v>
      </c>
      <c r="H553" s="2911" t="str">
        <f>HLOOKUP(Non_UN,'Other Translations'!$A:$L,1+translations!J553,)</f>
        <v>Từ mương, kênh</v>
      </c>
      <c r="J553" s="2820">
        <v>552</v>
      </c>
    </row>
    <row r="554" spans="1:10" ht="25.5">
      <c r="A554" s="3019" t="s">
        <v>7158</v>
      </c>
      <c r="B554" s="2577" t="s">
        <v>5572</v>
      </c>
      <c r="C554" s="2577" t="s">
        <v>6338</v>
      </c>
      <c r="D554" s="2577" t="s">
        <v>7713</v>
      </c>
      <c r="E554" s="2577" t="s">
        <v>8645</v>
      </c>
      <c r="F554" s="2576" t="s">
        <v>7714</v>
      </c>
      <c r="G554" s="2577" t="s">
        <v>7715</v>
      </c>
      <c r="H554" s="2911" t="str">
        <f>HLOOKUP(Non_UN,'Other Translations'!$A:$L,1+translations!J554,)</f>
        <v>Phát thải N2O liên quan đến mất/cạn nước</v>
      </c>
      <c r="J554" s="2820">
        <v>553</v>
      </c>
    </row>
    <row r="555" spans="1:10">
      <c r="A555" s="3019" t="s">
        <v>7158</v>
      </c>
      <c r="B555" s="2577" t="s">
        <v>5545</v>
      </c>
      <c r="C555" s="2577" t="s">
        <v>6331</v>
      </c>
      <c r="D555" s="2577" t="s">
        <v>7716</v>
      </c>
      <c r="E555" s="2577" t="s">
        <v>8646</v>
      </c>
      <c r="F555" s="2576" t="s">
        <v>7717</v>
      </c>
      <c r="G555" s="2577" t="s">
        <v>7718</v>
      </c>
      <c r="H555" s="2911" t="str">
        <f>HLOOKUP(Non_UN,'Other Translations'!$A:$L,1+translations!J555,)</f>
        <v>Hệ số phát thải (kg CH4/ha/năm)</v>
      </c>
      <c r="J555" s="2820">
        <v>554</v>
      </c>
    </row>
    <row r="556" spans="1:10">
      <c r="A556" s="3019" t="s">
        <v>7158</v>
      </c>
      <c r="B556" s="2577" t="s">
        <v>5593</v>
      </c>
      <c r="C556" s="2577" t="s">
        <v>6332</v>
      </c>
      <c r="D556" s="2577" t="s">
        <v>7719</v>
      </c>
      <c r="E556" s="2577" t="s">
        <v>8647</v>
      </c>
      <c r="F556" s="2576" t="s">
        <v>7720</v>
      </c>
      <c r="G556" s="2577" t="s">
        <v>7721</v>
      </c>
      <c r="H556" s="2911" t="str">
        <f>HLOOKUP(Non_UN,'Other Translations'!$A:$L,1+translations!J556,)</f>
        <v>Phát thải không từ thực địa</v>
      </c>
      <c r="J556" s="2820">
        <v>555</v>
      </c>
    </row>
    <row r="557" spans="1:10">
      <c r="A557" s="3019" t="s">
        <v>7158</v>
      </c>
      <c r="B557" s="2577" t="s">
        <v>5642</v>
      </c>
      <c r="C557" s="2577" t="s">
        <v>6341</v>
      </c>
      <c r="D557" s="2577" t="s">
        <v>7722</v>
      </c>
      <c r="E557" s="2577" t="s">
        <v>8648</v>
      </c>
      <c r="F557" s="2576" t="s">
        <v>7723</v>
      </c>
      <c r="G557" s="2577" t="s">
        <v>7724</v>
      </c>
      <c r="H557" s="2911" t="str">
        <f>HLOOKUP(Non_UN,'Other Translations'!$A:$L,1+translations!J557,)</f>
        <v>qua việc mất cacbon do nước</v>
      </c>
      <c r="J557" s="2820">
        <v>556</v>
      </c>
    </row>
    <row r="558" spans="1:10">
      <c r="A558" s="3019" t="s">
        <v>7158</v>
      </c>
      <c r="B558" s="2577" t="s">
        <v>5567</v>
      </c>
      <c r="C558" s="2577" t="s">
        <v>6333</v>
      </c>
      <c r="D558" s="2577" t="s">
        <v>7725</v>
      </c>
      <c r="E558" s="2577" t="s">
        <v>8649</v>
      </c>
      <c r="F558" s="2576" t="s">
        <v>7726</v>
      </c>
      <c r="G558" s="2577" t="s">
        <v>7727</v>
      </c>
      <c r="H558" s="2911" t="str">
        <f>HLOOKUP(Non_UN,'Other Translations'!$A:$L,1+translations!J558,)</f>
        <v>Hệ số phát thải CH4 (kg CH4/ha/năm)</v>
      </c>
      <c r="J558" s="2820">
        <v>557</v>
      </c>
    </row>
    <row r="559" spans="1:10">
      <c r="A559" s="3019" t="s">
        <v>7158</v>
      </c>
      <c r="B559" s="2577" t="s">
        <v>5651</v>
      </c>
      <c r="C559" s="2577" t="s">
        <v>6339</v>
      </c>
      <c r="D559" s="2577" t="s">
        <v>7728</v>
      </c>
      <c r="E559" s="2577" t="s">
        <v>8650</v>
      </c>
      <c r="F559" s="2576" t="s">
        <v>7729</v>
      </c>
      <c r="G559" s="2577" t="s">
        <v>7730</v>
      </c>
      <c r="H559" s="2911" t="str">
        <f>HLOOKUP(Non_UN,'Other Translations'!$A:$L,1+translations!J559,)</f>
        <v>phát thải CO2 từ sử dụng than bùn</v>
      </c>
      <c r="J559" s="2820">
        <v>558</v>
      </c>
    </row>
    <row r="560" spans="1:10">
      <c r="A560" s="3019" t="s">
        <v>7158</v>
      </c>
      <c r="B560" s="2577" t="s">
        <v>5649</v>
      </c>
      <c r="C560" s="2577" t="s">
        <v>6342</v>
      </c>
      <c r="D560" s="2577" t="s">
        <v>7731</v>
      </c>
      <c r="E560" s="2577" t="s">
        <v>8651</v>
      </c>
      <c r="F560" s="2576" t="s">
        <v>7732</v>
      </c>
      <c r="G560" s="2577" t="s">
        <v>7733</v>
      </c>
      <c r="H560" s="2911" t="str">
        <f>HLOOKUP(Non_UN,'Other Translations'!$A:$L,1+translations!J560,)</f>
        <v>Hàm lượng than bùn (t/m3)</v>
      </c>
      <c r="J560" s="2820">
        <v>559</v>
      </c>
    </row>
    <row r="561" spans="1:10">
      <c r="A561" s="3019" t="s">
        <v>7158</v>
      </c>
      <c r="B561" s="2577" t="s">
        <v>5650</v>
      </c>
      <c r="C561" s="2577" t="s">
        <v>6340</v>
      </c>
      <c r="D561" s="2577" t="s">
        <v>7734</v>
      </c>
      <c r="E561" s="2577" t="s">
        <v>8652</v>
      </c>
      <c r="F561" s="2576" t="s">
        <v>7735</v>
      </c>
      <c r="G561" s="2577" t="s">
        <v>7736</v>
      </c>
      <c r="H561" s="2911" t="str">
        <f>HLOOKUP(Non_UN,'Other Translations'!$A:$L,1+translations!J561,)</f>
        <v>Sử dụng năng lượng?</v>
      </c>
      <c r="J561" s="2820">
        <v>560</v>
      </c>
    </row>
    <row r="562" spans="1:10" ht="25.5">
      <c r="A562" s="3019" t="s">
        <v>7158</v>
      </c>
      <c r="B562" s="2577" t="s">
        <v>5592</v>
      </c>
      <c r="C562" s="2577" t="s">
        <v>6346</v>
      </c>
      <c r="D562" s="2577" t="s">
        <v>7737</v>
      </c>
      <c r="E562" s="2577" t="s">
        <v>8653</v>
      </c>
      <c r="F562" s="2576" t="s">
        <v>7738</v>
      </c>
      <c r="G562" s="2577" t="s">
        <v>7739</v>
      </c>
      <c r="H562" s="2911" t="str">
        <f>HLOOKUP(Non_UN,'Other Translations'!$A:$L,1+translations!J562,)</f>
        <v>Các hệ số phát thải đối với quá trình làm ướt lại đất hữu cơ</v>
      </c>
      <c r="J562" s="2820">
        <v>561</v>
      </c>
    </row>
    <row r="563" spans="1:10" ht="38.25">
      <c r="A563" s="3019" t="s">
        <v>7158</v>
      </c>
      <c r="B563" s="2577" t="s">
        <v>6348</v>
      </c>
      <c r="C563" s="2577" t="s">
        <v>6347</v>
      </c>
      <c r="D563" s="2577" t="s">
        <v>7740</v>
      </c>
      <c r="E563" s="2911" t="s">
        <v>8654</v>
      </c>
      <c r="F563" s="2576" t="s">
        <v>7741</v>
      </c>
      <c r="G563" s="2577" t="s">
        <v>7742</v>
      </c>
      <c r="H563" s="2911" t="str">
        <f>HLOOKUP(Non_UN,'Other Translations'!$A:$L,1+translations!J563,)</f>
        <v>Các hệ số phát thải đối với quá trình đốt cháy đất hữu cơ tính cho mỗi loại khí (g trên kg chất hữu cơ khô bị đôt)</v>
      </c>
      <c r="J563" s="2820">
        <v>562</v>
      </c>
    </row>
    <row r="564" spans="1:10">
      <c r="A564" s="3019" t="s">
        <v>7158</v>
      </c>
      <c r="B564" s="2750" t="s">
        <v>5609</v>
      </c>
      <c r="C564" s="2577" t="s">
        <v>6349</v>
      </c>
      <c r="D564" s="2577" t="s">
        <v>7743</v>
      </c>
      <c r="E564" s="2577" t="s">
        <v>8655</v>
      </c>
      <c r="F564" s="2576" t="s">
        <v>7744</v>
      </c>
      <c r="G564" s="2577" t="s">
        <v>7745</v>
      </c>
      <c r="H564" s="2911" t="str">
        <f>HLOOKUP(Non_UN,'Other Translations'!$A:$L,1+translations!J564,)</f>
        <v xml:space="preserve">hệ số phát thải CO2 </v>
      </c>
      <c r="J564" s="2820">
        <v>563</v>
      </c>
    </row>
    <row r="565" spans="1:10">
      <c r="A565" s="3019" t="s">
        <v>7158</v>
      </c>
      <c r="B565" s="2750" t="s">
        <v>6328</v>
      </c>
      <c r="C565" s="2577" t="s">
        <v>6350</v>
      </c>
      <c r="D565" s="2577" t="s">
        <v>7746</v>
      </c>
      <c r="E565" s="2577" t="s">
        <v>8656</v>
      </c>
      <c r="F565" s="2576" t="s">
        <v>7747</v>
      </c>
      <c r="G565" s="2577" t="s">
        <v>7748</v>
      </c>
      <c r="H565" s="2911" t="str">
        <f>HLOOKUP(Non_UN,'Other Translations'!$A:$L,1+translations!J565,)</f>
        <v>hệ số phát thải CO</v>
      </c>
      <c r="J565" s="2820">
        <v>564</v>
      </c>
    </row>
    <row r="566" spans="1:10">
      <c r="A566" s="3019" t="s">
        <v>7158</v>
      </c>
      <c r="B566" s="2750" t="s">
        <v>6329</v>
      </c>
      <c r="C566" s="2577" t="s">
        <v>6351</v>
      </c>
      <c r="D566" s="2577" t="s">
        <v>7749</v>
      </c>
      <c r="E566" s="2577" t="s">
        <v>8657</v>
      </c>
      <c r="F566" s="2576" t="s">
        <v>7750</v>
      </c>
      <c r="G566" s="2577" t="s">
        <v>7751</v>
      </c>
      <c r="H566" s="2911" t="str">
        <f>HLOOKUP(Non_UN,'Other Translations'!$A:$L,1+translations!J566,)</f>
        <v xml:space="preserve">hệ số phát thải CH4  </v>
      </c>
      <c r="J566" s="2820">
        <v>565</v>
      </c>
    </row>
    <row r="567" spans="1:10" ht="25.5">
      <c r="A567" s="3019" t="s">
        <v>7158</v>
      </c>
      <c r="B567" s="2577" t="s">
        <v>5610</v>
      </c>
      <c r="C567" s="2577" t="s">
        <v>6352</v>
      </c>
      <c r="D567" s="2577" t="s">
        <v>7752</v>
      </c>
      <c r="E567" s="2577" t="s">
        <v>8658</v>
      </c>
      <c r="F567" s="2576" t="s">
        <v>7753</v>
      </c>
      <c r="G567" s="2577" t="s">
        <v>7754</v>
      </c>
      <c r="H567" s="2911" t="str">
        <f>HLOOKUP(Non_UN,'Other Translations'!$A:$L,1+translations!J567,)</f>
        <v>Lượng chất hữu cơ khô bình quân (t DM/ha)</v>
      </c>
      <c r="J567" s="2820">
        <v>566</v>
      </c>
    </row>
    <row r="568" spans="1:10">
      <c r="A568" s="3019" t="s">
        <v>7158</v>
      </c>
      <c r="B568" s="2577" t="s">
        <v>5678</v>
      </c>
      <c r="C568" s="2577" t="s">
        <v>6343</v>
      </c>
      <c r="D568" s="2577" t="s">
        <v>7755</v>
      </c>
      <c r="E568" s="2577" t="s">
        <v>8659</v>
      </c>
      <c r="F568" s="2576" t="s">
        <v>7756</v>
      </c>
      <c r="G568" s="2577" t="s">
        <v>7757</v>
      </c>
      <c r="H568" s="2911" t="str">
        <f>HLOOKUP(Non_UN,'Other Translations'!$A:$L,1+translations!J568,)</f>
        <v>Kiểu đất mặc định là "khoáng"</v>
      </c>
      <c r="J568" s="2820">
        <v>567</v>
      </c>
    </row>
    <row r="569" spans="1:10">
      <c r="A569" s="3019" t="s">
        <v>7158</v>
      </c>
      <c r="B569" s="2577" t="s">
        <v>5680</v>
      </c>
      <c r="C569" s="2577" t="s">
        <v>6357</v>
      </c>
      <c r="D569" s="2577" t="s">
        <v>7758</v>
      </c>
      <c r="E569" s="2577" t="s">
        <v>8660</v>
      </c>
      <c r="F569" s="2576" t="s">
        <v>7759</v>
      </c>
      <c r="G569" s="2577" t="s">
        <v>7760</v>
      </c>
      <c r="H569" s="2911" t="str">
        <f>HLOOKUP(Non_UN,'Other Translations'!$A:$L,1+translations!J569,)</f>
        <v>(độ sâu mặc định là 1 m)</v>
      </c>
      <c r="J569" s="2820">
        <v>568</v>
      </c>
    </row>
    <row r="570" spans="1:10">
      <c r="A570" s="3019" t="s">
        <v>7158</v>
      </c>
      <c r="B570" s="2577" t="s">
        <v>5696</v>
      </c>
      <c r="C570" s="2577" t="s">
        <v>6353</v>
      </c>
      <c r="D570" s="2577" t="s">
        <v>7761</v>
      </c>
      <c r="E570" s="2577" t="s">
        <v>8661</v>
      </c>
      <c r="F570" s="2576" t="s">
        <v>7762</v>
      </c>
      <c r="G570" s="2577" t="s">
        <v>7763</v>
      </c>
      <c r="H570" s="2911" t="str">
        <f>HLOOKUP(Non_UN,'Other Translations'!$A:$L,1+translations!J570,)</f>
        <v>% C mất đi sau khi chuyển đổi/khai thác</v>
      </c>
      <c r="J570" s="2820">
        <v>569</v>
      </c>
    </row>
    <row r="571" spans="1:10">
      <c r="A571" s="3019" t="s">
        <v>7158</v>
      </c>
      <c r="B571" s="2577" t="s">
        <v>5679</v>
      </c>
      <c r="C571" s="2577" t="s">
        <v>6356</v>
      </c>
      <c r="E571" s="2577" t="s">
        <v>8662</v>
      </c>
      <c r="F571" s="2576" t="s">
        <v>7764</v>
      </c>
      <c r="G571" s="2577" t="s">
        <v>7765</v>
      </c>
      <c r="H571" s="2911" t="str">
        <f>HLOOKUP(Non_UN,'Other Translations'!$A:$L,1+translations!J571,)</f>
        <v>Chuyển tới "Hữu cơ"?</v>
      </c>
      <c r="J571" s="2820">
        <v>570</v>
      </c>
    </row>
    <row r="572" spans="1:10">
      <c r="A572" s="3019" t="s">
        <v>7158</v>
      </c>
      <c r="B572" s="2750" t="s">
        <v>5516</v>
      </c>
      <c r="C572" s="2577" t="s">
        <v>6344</v>
      </c>
      <c r="D572" s="2577" t="s">
        <v>7766</v>
      </c>
      <c r="E572" s="2577" t="s">
        <v>8160</v>
      </c>
      <c r="F572" s="2576" t="s">
        <v>7767</v>
      </c>
      <c r="G572" s="2577" t="s">
        <v>7768</v>
      </c>
      <c r="H572" s="2911" t="str">
        <f>HLOOKUP(Non_UN,'Other Translations'!$A:$L,1+translations!J572,)</f>
        <v>Hệ số phát thải</v>
      </c>
      <c r="J572" s="2820">
        <v>571</v>
      </c>
    </row>
    <row r="573" spans="1:10">
      <c r="A573" s="3019" t="s">
        <v>7158</v>
      </c>
      <c r="B573" s="2750" t="s">
        <v>6330</v>
      </c>
      <c r="C573" s="2577" t="s">
        <v>6345</v>
      </c>
      <c r="D573" s="2577" t="s">
        <v>7769</v>
      </c>
      <c r="E573" s="2577" t="s">
        <v>8663</v>
      </c>
      <c r="F573" s="2576" t="s">
        <v>7770</v>
      </c>
      <c r="G573" s="2577" t="s">
        <v>7771</v>
      </c>
      <c r="H573" s="2911" t="str">
        <f>HLOOKUP(Non_UN,'Other Translations'!$A:$L,1+translations!J573,)</f>
        <v>(t C/ha/năm)</v>
      </c>
      <c r="J573" s="2820">
        <v>572</v>
      </c>
    </row>
    <row r="574" spans="1:10" ht="25.5">
      <c r="A574" s="3019" t="s">
        <v>7158</v>
      </c>
      <c r="B574" s="2577" t="s">
        <v>5709</v>
      </c>
      <c r="C574" s="2577" t="s">
        <v>6354</v>
      </c>
      <c r="D574" s="2577" t="s">
        <v>7772</v>
      </c>
      <c r="E574" s="2577" t="s">
        <v>8664</v>
      </c>
      <c r="F574" s="2576" t="s">
        <v>7773</v>
      </c>
      <c r="G574" s="2577" t="s">
        <v>7774</v>
      </c>
      <c r="H574" s="2911" t="str">
        <f>HLOOKUP(Non_UN,'Other Translations'!$A:$L,1+translations!J574,)</f>
        <v>Mặc định là nước dùng để tái làm ướt là nước ngọt</v>
      </c>
      <c r="J574" s="2820">
        <v>573</v>
      </c>
    </row>
    <row r="575" spans="1:10">
      <c r="A575" s="3019" t="s">
        <v>7158</v>
      </c>
      <c r="B575" s="2577" t="s">
        <v>5710</v>
      </c>
      <c r="C575" s="2577" t="s">
        <v>6355</v>
      </c>
      <c r="D575" s="2577" t="s">
        <v>7775</v>
      </c>
      <c r="E575" s="2577" t="s">
        <v>8665</v>
      </c>
      <c r="F575" s="2576" t="s">
        <v>7776</v>
      </c>
      <c r="G575" s="2577" t="s">
        <v>7777</v>
      </c>
      <c r="H575" s="2911" t="str">
        <f>HLOOKUP(Non_UN,'Other Translations'!$A:$L,1+translations!J575,)</f>
        <v>Chuyển sang nước lợ?</v>
      </c>
      <c r="J575" s="2820">
        <v>574</v>
      </c>
    </row>
    <row r="576" spans="1:10">
      <c r="A576" s="3019" t="s">
        <v>7158</v>
      </c>
      <c r="B576" s="2577" t="s">
        <v>6359</v>
      </c>
      <c r="C576" s="2577" t="s">
        <v>6358</v>
      </c>
      <c r="D576" s="2577" t="s">
        <v>7778</v>
      </c>
      <c r="E576" s="2577" t="s">
        <v>8666</v>
      </c>
      <c r="F576" s="2576" t="s">
        <v>7779</v>
      </c>
      <c r="G576" s="2577" t="s">
        <v>7780</v>
      </c>
      <c r="H576" s="2911" t="str">
        <f>HLOOKUP(Non_UN,'Other Translations'!$A:$L,1+translations!J576,)</f>
        <v>(kg CH4/ha/ năm)</v>
      </c>
      <c r="J576" s="2820">
        <v>575</v>
      </c>
    </row>
    <row r="577" spans="1:10" ht="25.5">
      <c r="A577" s="3019" t="s">
        <v>7158</v>
      </c>
      <c r="B577" s="2577" t="s">
        <v>6464</v>
      </c>
      <c r="C577" s="2577" t="s">
        <v>7145</v>
      </c>
      <c r="D577" s="2577" t="s">
        <v>7781</v>
      </c>
      <c r="E577" s="2577" t="s">
        <v>8667</v>
      </c>
      <c r="F577" s="2576" t="s">
        <v>7782</v>
      </c>
      <c r="G577" s="2577" t="s">
        <v>7783</v>
      </c>
      <c r="H577" s="2911" t="str">
        <f>HLOOKUP(Non_UN,'Other Translations'!$A:$L,1+translations!J577,)</f>
        <v>(điều này phù hợp với việc tái trồng rừng ngập mặn và chỉ nên tính ở đây)</v>
      </c>
      <c r="J577" s="2820">
        <v>576</v>
      </c>
    </row>
    <row r="578" spans="1:10" ht="25.5">
      <c r="A578" s="3019" t="s">
        <v>7158</v>
      </c>
      <c r="B578" s="2577" t="s">
        <v>7132</v>
      </c>
      <c r="C578" s="2577" t="s">
        <v>7146</v>
      </c>
      <c r="D578" s="2577" t="s">
        <v>7784</v>
      </c>
      <c r="E578" s="2577" t="s">
        <v>8668</v>
      </c>
      <c r="F578" s="2576" t="s">
        <v>7785</v>
      </c>
      <c r="G578" s="2577" t="s">
        <v>7786</v>
      </c>
      <c r="H578" s="2911" t="str">
        <f>HLOOKUP(Non_UN,'Other Translations'!$A:$L,1+translations!J578,)</f>
        <v>Phần trăm sinh khối bị mất bởi cạn/mất nước</v>
      </c>
      <c r="J578" s="2820">
        <v>577</v>
      </c>
    </row>
    <row r="579" spans="1:10" ht="25.5">
      <c r="A579" s="3019" t="s">
        <v>7158</v>
      </c>
      <c r="B579" s="2577" t="s">
        <v>7138</v>
      </c>
      <c r="C579" s="2577" t="s">
        <v>7147</v>
      </c>
      <c r="D579" s="2577" t="s">
        <v>7787</v>
      </c>
      <c r="E579" s="2577" t="s">
        <v>8669</v>
      </c>
      <c r="F579" s="2576" t="s">
        <v>7788</v>
      </c>
      <c r="G579" s="2577" t="s">
        <v>7789</v>
      </c>
      <c r="H579" s="2911" t="str">
        <f>HLOOKUP(Non_UN,'Other Translations'!$A:$L,1+translations!J579,)</f>
        <v>Phần trăm sinh khối được giữ lại</v>
      </c>
      <c r="J579" s="2820">
        <v>578</v>
      </c>
    </row>
    <row r="580" spans="1:10">
      <c r="A580" s="3019" t="s">
        <v>7158</v>
      </c>
      <c r="B580" s="2911" t="s">
        <v>7182</v>
      </c>
      <c r="C580" s="2577" t="s">
        <v>7790</v>
      </c>
      <c r="D580" s="2577" t="s">
        <v>7791</v>
      </c>
      <c r="E580" s="2577" t="s">
        <v>8670</v>
      </c>
      <c r="F580" s="2576" t="s">
        <v>7792</v>
      </c>
      <c r="G580" s="2577" t="s">
        <v>7793</v>
      </c>
      <c r="H580" s="2911" t="str">
        <f>HLOOKUP(Non_UN,'Other Translations'!$A:$L,1+translations!J580,)</f>
        <v>Diện tích tối đa có sẵn cho thoát nước</v>
      </c>
      <c r="J580" s="2820">
        <v>579</v>
      </c>
    </row>
    <row r="581" spans="1:10">
      <c r="A581" s="3019" t="s">
        <v>7158</v>
      </c>
      <c r="B581" s="2911" t="s">
        <v>5584</v>
      </c>
      <c r="C581" s="2750" t="s">
        <v>8903</v>
      </c>
      <c r="D581" s="2577" t="s">
        <v>7794</v>
      </c>
      <c r="E581" s="2577" t="s">
        <v>8671</v>
      </c>
      <c r="F581" s="2576" t="s">
        <v>7670</v>
      </c>
      <c r="G581" s="2577" t="s">
        <v>7671</v>
      </c>
      <c r="H581" s="2911" t="str">
        <f>HLOOKUP(Non_UN,'Other Translations'!$A:$L,1+translations!J581,)</f>
        <v>Tổng cộng tái thẩm thấu</v>
      </c>
      <c r="J581" s="2820">
        <v>580</v>
      </c>
    </row>
    <row r="582" spans="1:10" s="3020" customFormat="1">
      <c r="A582" s="3020" t="str">
        <f>A521</f>
        <v>Spreadsheet</v>
      </c>
      <c r="B582" s="3020" t="str">
        <f>B521</f>
        <v>English</v>
      </c>
      <c r="C582" s="3020" t="str">
        <f>C521</f>
        <v>Français</v>
      </c>
      <c r="D582" s="3020" t="s">
        <v>1619</v>
      </c>
      <c r="E582" s="3020" t="str">
        <f>E1</f>
        <v>中文</v>
      </c>
      <c r="F582" s="3020" t="s">
        <v>2530</v>
      </c>
      <c r="G582" s="3020" t="s">
        <v>3166</v>
      </c>
      <c r="H582" s="2911" t="str">
        <f>HLOOKUP(Non_UN,'Other Translations'!$A:$L,1+translations!J582,)</f>
        <v>Tiếng Việt</v>
      </c>
      <c r="J582" s="2820">
        <v>581</v>
      </c>
    </row>
    <row r="583" spans="1:10">
      <c r="A583" s="3019" t="s">
        <v>559</v>
      </c>
      <c r="B583" s="2577" t="s">
        <v>5646</v>
      </c>
      <c r="C583" s="2577" t="s">
        <v>6362</v>
      </c>
      <c r="D583" s="2577" t="s">
        <v>7795</v>
      </c>
      <c r="E583" s="2577" t="s">
        <v>8672</v>
      </c>
      <c r="F583" s="2576" t="s">
        <v>7796</v>
      </c>
      <c r="G583" s="2577" t="s">
        <v>7797</v>
      </c>
      <c r="H583" s="2911" t="str">
        <f>HLOOKUP(Non_UN,'Other Translations'!$A:$L,1+translations!J583,)</f>
        <v>Than bùn (từ đất than bùn)</v>
      </c>
      <c r="J583" s="2820">
        <v>582</v>
      </c>
    </row>
    <row r="584" spans="1:10">
      <c r="A584" s="3019" t="s">
        <v>6511</v>
      </c>
      <c r="B584" s="2750" t="s">
        <v>7175</v>
      </c>
      <c r="C584" s="2750" t="s">
        <v>7176</v>
      </c>
      <c r="D584" s="2577" t="s">
        <v>7798</v>
      </c>
      <c r="E584" s="2577" t="s">
        <v>8673</v>
      </c>
      <c r="F584" s="2576" t="s">
        <v>7799</v>
      </c>
      <c r="G584" s="2577" t="s">
        <v>7800</v>
      </c>
      <c r="H584" s="2911" t="str">
        <f>HLOOKUP(Non_UN,'Other Translations'!$A:$L,1+translations!J584,)</f>
        <v>7.1. Thủy sản</v>
      </c>
      <c r="J584" s="2820">
        <v>583</v>
      </c>
    </row>
    <row r="585" spans="1:10" ht="51">
      <c r="A585" s="3019" t="s">
        <v>6511</v>
      </c>
      <c r="B585" s="2577" t="s">
        <v>6466</v>
      </c>
      <c r="C585" s="2577" t="s">
        <v>6467</v>
      </c>
      <c r="D585" s="2577" t="s">
        <v>7801</v>
      </c>
      <c r="E585" s="2577" t="s">
        <v>8674</v>
      </c>
      <c r="F585" s="2576" t="s">
        <v>7802</v>
      </c>
      <c r="G585" s="2577" t="s">
        <v>7803</v>
      </c>
      <c r="H585" s="2911" t="str">
        <f>HLOOKUP(Non_UN,'Other Translations'!$A:$L,1+translations!J585,)</f>
        <v>Các mục 6.1. (Đầu vào), 6.2. (Năng lượng) và 6.3. (Xây dựng các hạ tầng mới) có thể được dùng để thay thế mục này</v>
      </c>
      <c r="J585" s="2820">
        <v>584</v>
      </c>
    </row>
    <row r="586" spans="1:10">
      <c r="A586" s="3019" t="s">
        <v>6511</v>
      </c>
      <c r="B586" s="2750" t="s">
        <v>5492</v>
      </c>
      <c r="C586" s="2577" t="s">
        <v>6363</v>
      </c>
      <c r="D586" s="2577" t="s">
        <v>7804</v>
      </c>
      <c r="E586" s="2577" t="s">
        <v>8675</v>
      </c>
      <c r="F586" s="2576" t="s">
        <v>7805</v>
      </c>
      <c r="G586" s="2577" t="s">
        <v>7806</v>
      </c>
      <c r="H586" s="2911" t="str">
        <f>HLOOKUP(Non_UN,'Other Translations'!$A:$L,1+translations!J586,)</f>
        <v>Phân nhóm</v>
      </c>
      <c r="J586" s="2820">
        <v>585</v>
      </c>
    </row>
    <row r="587" spans="1:10">
      <c r="A587" s="3019" t="s">
        <v>6511</v>
      </c>
      <c r="B587" s="2577" t="s">
        <v>5512</v>
      </c>
      <c r="C587" s="2577" t="s">
        <v>6364</v>
      </c>
      <c r="D587" s="2577" t="s">
        <v>7807</v>
      </c>
      <c r="E587" s="2577" t="s">
        <v>8676</v>
      </c>
      <c r="F587" s="2576" t="s">
        <v>7808</v>
      </c>
      <c r="G587" s="2577" t="s">
        <v>7809</v>
      </c>
      <c r="H587" s="2911" t="str">
        <f>HLOOKUP(Non_UN,'Other Translations'!$A:$L,1+translations!J587,)</f>
        <v>Tổng đánh bắt trong năm (tấn/năm)</v>
      </c>
      <c r="J587" s="2820">
        <v>586</v>
      </c>
    </row>
    <row r="588" spans="1:10" ht="25.5">
      <c r="A588" s="3019" t="s">
        <v>6511</v>
      </c>
      <c r="B588" s="2577" t="s">
        <v>5519</v>
      </c>
      <c r="C588" s="2577" t="s">
        <v>6365</v>
      </c>
      <c r="D588" s="2577" t="s">
        <v>7810</v>
      </c>
      <c r="E588" s="2577" t="s">
        <v>8677</v>
      </c>
      <c r="F588" s="2576" t="s">
        <v>7811</v>
      </c>
      <c r="G588" s="2577" t="s">
        <v>7812</v>
      </c>
      <c r="H588" s="2911" t="str">
        <f>HLOOKUP(Non_UN,'Other Translations'!$A:$L,1+translations!J588,)</f>
        <v>Hoạt động đánh bắt (dựa vào Hàm lượng Nhiên liệu Sử dụng - FUI - các giá trị)</v>
      </c>
      <c r="J588" s="2820">
        <v>587</v>
      </c>
    </row>
    <row r="589" spans="1:10" ht="25.5">
      <c r="A589" s="3019" t="s">
        <v>6511</v>
      </c>
      <c r="B589" s="2577" t="s">
        <v>6461</v>
      </c>
      <c r="C589" s="2577" t="s">
        <v>6462</v>
      </c>
      <c r="D589" s="2577" t="s">
        <v>7813</v>
      </c>
      <c r="E589" s="2577" t="s">
        <v>8678</v>
      </c>
      <c r="F589" s="2576" t="s">
        <v>7814</v>
      </c>
      <c r="G589" s="2577" t="s">
        <v>7815</v>
      </c>
      <c r="H589" s="2911" t="str">
        <f>HLOOKUP(Non_UN,'Other Translations'!$A:$L,1+translations!J589,)</f>
        <v>Rò rỉ từ hệ thống làm lạnh trong quá trình ra khơi</v>
      </c>
      <c r="J589" s="2820">
        <v>588</v>
      </c>
    </row>
    <row r="590" spans="1:10" ht="25.5">
      <c r="A590" s="3019" t="s">
        <v>6511</v>
      </c>
      <c r="B590" s="2577" t="s">
        <v>7128</v>
      </c>
      <c r="C590" s="2577" t="s">
        <v>7127</v>
      </c>
      <c r="D590" s="2577" t="s">
        <v>7816</v>
      </c>
      <c r="E590" s="2577" t="s">
        <v>8679</v>
      </c>
      <c r="F590" s="2576" t="s">
        <v>7817</v>
      </c>
      <c r="G590" s="2577" t="s">
        <v>7818</v>
      </c>
      <c r="H590" s="2911" t="str">
        <f>HLOOKUP(Non_UN,'Other Translations'!$A:$L,1+translations!J590,)</f>
        <v>Phát thải do quá trình sản xuất đá ở trên đất liền</v>
      </c>
      <c r="J590" s="2820">
        <v>589</v>
      </c>
    </row>
    <row r="591" spans="1:10" ht="25.5">
      <c r="A591" s="3019" t="s">
        <v>6511</v>
      </c>
      <c r="B591" s="2577" t="s">
        <v>5530</v>
      </c>
      <c r="C591" s="2577" t="s">
        <v>6366</v>
      </c>
      <c r="D591" s="2577" t="s">
        <v>7819</v>
      </c>
      <c r="E591" s="2577" t="s">
        <v>8680</v>
      </c>
      <c r="F591" s="2576" t="s">
        <v>7820</v>
      </c>
      <c r="G591" s="2577" t="s">
        <v>7821</v>
      </c>
      <c r="H591" s="2911" t="str">
        <f>HLOOKUP(Non_UN,'Other Translations'!$A:$L,1+translations!J591,)</f>
        <v>Nuôi trồng (chỉ tính phát thải từ N2O trong quá trình nuôi trồng)</v>
      </c>
      <c r="J591" s="2820">
        <v>590</v>
      </c>
    </row>
    <row r="592" spans="1:10" ht="25.5">
      <c r="A592" s="3019" t="s">
        <v>6511</v>
      </c>
      <c r="B592" s="2750" t="s">
        <v>7129</v>
      </c>
      <c r="C592" s="2750" t="s">
        <v>8902</v>
      </c>
      <c r="D592" s="2577" t="s">
        <v>7822</v>
      </c>
      <c r="E592" s="2577" t="s">
        <v>8681</v>
      </c>
      <c r="F592" s="2576" t="s">
        <v>7823</v>
      </c>
      <c r="G592" s="2577" t="s">
        <v>7824</v>
      </c>
      <c r="H592" s="2911" t="str">
        <f>HLOOKUP(Non_UN,'Other Translations'!$A:$L,1+translations!J592,)</f>
        <v>Tổng đánh bắt với các hệ thống làm lạnh (cá, v v.)</v>
      </c>
      <c r="J592" s="2820">
        <v>591</v>
      </c>
    </row>
    <row r="593" spans="1:10">
      <c r="A593" s="3019" t="s">
        <v>6511</v>
      </c>
      <c r="B593" s="2577" t="s">
        <v>5526</v>
      </c>
      <c r="C593" s="2577" t="s">
        <v>6367</v>
      </c>
      <c r="D593" s="2577" t="s">
        <v>7825</v>
      </c>
      <c r="E593" s="2577" t="s">
        <v>8682</v>
      </c>
      <c r="F593" s="2576" t="s">
        <v>7826</v>
      </c>
      <c r="G593" s="2577" t="s">
        <v>7827</v>
      </c>
      <c r="H593" s="2911" t="str">
        <f>HLOOKUP(Non_UN,'Other Translations'!$A:$L,1+translations!J593,)</f>
        <v>Tổng đánh bắt truyền thống và ven bờ</v>
      </c>
      <c r="J593" s="2820">
        <v>592</v>
      </c>
    </row>
    <row r="594" spans="1:10">
      <c r="A594" s="3019" t="s">
        <v>6511</v>
      </c>
      <c r="B594" s="2577" t="s">
        <v>6497</v>
      </c>
      <c r="C594" s="2577" t="s">
        <v>6498</v>
      </c>
      <c r="D594" s="2577" t="s">
        <v>7828</v>
      </c>
      <c r="E594" s="2577" t="s">
        <v>8683</v>
      </c>
      <c r="F594" s="2576" t="s">
        <v>7829</v>
      </c>
      <c r="G594" s="2577" t="s">
        <v>7830</v>
      </c>
      <c r="H594" s="2911" t="str">
        <f>HLOOKUP(Non_UN,'Other Translations'!$A:$L,1+translations!J594,)</f>
        <v>Tổng từ đánh bắt</v>
      </c>
      <c r="J594" s="2820">
        <v>593</v>
      </c>
    </row>
    <row r="595" spans="1:10" ht="25.5">
      <c r="A595" s="3019" t="s">
        <v>6511</v>
      </c>
      <c r="B595" s="2750" t="s">
        <v>6507</v>
      </c>
      <c r="C595" s="2750" t="s">
        <v>6508</v>
      </c>
      <c r="D595" s="2577" t="s">
        <v>7831</v>
      </c>
      <c r="E595" s="2577" t="s">
        <v>8684</v>
      </c>
      <c r="F595" s="2576" t="s">
        <v>7832</v>
      </c>
      <c r="G595" s="2577" t="s">
        <v>7833</v>
      </c>
      <c r="H595" s="2911" t="str">
        <f>HLOOKUP(Non_UN,'Other Translations'!$A:$L,1+translations!J595,)</f>
        <v>Hàm lượng Nhiên liệu Sử dụng - FUI (l/t đánh bắt)</v>
      </c>
      <c r="J595" s="2820">
        <v>594</v>
      </c>
    </row>
    <row r="596" spans="1:10">
      <c r="A596" s="3019" t="s">
        <v>6511</v>
      </c>
      <c r="B596" s="2577" t="s">
        <v>5516</v>
      </c>
      <c r="C596" s="2577" t="s">
        <v>6368</v>
      </c>
      <c r="D596" s="2577" t="s">
        <v>7766</v>
      </c>
      <c r="E596" s="2577" t="s">
        <v>8160</v>
      </c>
      <c r="F596" s="2576" t="s">
        <v>7767</v>
      </c>
      <c r="G596" s="2577" t="s">
        <v>7834</v>
      </c>
      <c r="H596" s="2911" t="str">
        <f>HLOOKUP(Non_UN,'Other Translations'!$A:$L,1+translations!J596,)</f>
        <v>Hệ số phát thải</v>
      </c>
      <c r="J596" s="2820">
        <v>595</v>
      </c>
    </row>
    <row r="597" spans="1:10">
      <c r="A597" s="3019" t="s">
        <v>6511</v>
      </c>
      <c r="B597" s="2750" t="s">
        <v>6479</v>
      </c>
      <c r="C597" s="2750" t="s">
        <v>6480</v>
      </c>
      <c r="D597" s="2577" t="s">
        <v>7835</v>
      </c>
      <c r="E597" s="2577" t="s">
        <v>8685</v>
      </c>
      <c r="F597" s="2576" t="s">
        <v>7836</v>
      </c>
      <c r="G597" s="2577" t="s">
        <v>7837</v>
      </c>
      <c r="H597" s="2911" t="str">
        <f>HLOOKUP(Non_UN,'Other Translations'!$A:$L,1+translations!J597,)</f>
        <v>(tCO2-eq /t đánh bắt)</v>
      </c>
      <c r="J597" s="2820">
        <v>596</v>
      </c>
    </row>
    <row r="598" spans="1:10">
      <c r="A598" s="3019" t="s">
        <v>6511</v>
      </c>
      <c r="B598" s="2577" t="s">
        <v>5522</v>
      </c>
      <c r="C598" s="2577" t="s">
        <v>6369</v>
      </c>
      <c r="D598" s="2577" t="s">
        <v>7838</v>
      </c>
      <c r="E598" s="2577" t="s">
        <v>8686</v>
      </c>
      <c r="F598" s="2576" t="s">
        <v>7839</v>
      </c>
      <c r="G598" s="2577" t="s">
        <v>7840</v>
      </c>
      <c r="H598" s="2911" t="str">
        <f>HLOOKUP(Non_UN,'Other Translations'!$A:$L,1+translations!J598,)</f>
        <v>Số lượng hao hụt (kg hóa chất làm lạnh)</v>
      </c>
      <c r="J598" s="2820">
        <v>597</v>
      </c>
    </row>
    <row r="599" spans="1:10" ht="25.5">
      <c r="A599" s="3019" t="s">
        <v>6511</v>
      </c>
      <c r="B599" s="2577" t="s">
        <v>5520</v>
      </c>
      <c r="C599" s="2577" t="s">
        <v>6370</v>
      </c>
      <c r="D599" s="2577" t="s">
        <v>7841</v>
      </c>
      <c r="E599" s="2577" t="s">
        <v>8687</v>
      </c>
      <c r="F599" s="2576" t="s">
        <v>7842</v>
      </c>
      <c r="G599" s="2577" t="s">
        <v>7843</v>
      </c>
      <c r="H599" s="2911" t="str">
        <f>HLOOKUP(Non_UN,'Other Translations'!$A:$L,1+translations!J599,)</f>
        <v>GWP của hóa chất làm lạnh</v>
      </c>
      <c r="J599" s="2820">
        <v>598</v>
      </c>
    </row>
    <row r="600" spans="1:10" ht="25.5">
      <c r="A600" s="3019" t="s">
        <v>6511</v>
      </c>
      <c r="B600" s="2577" t="s">
        <v>5521</v>
      </c>
      <c r="C600" s="2577" t="s">
        <v>6371</v>
      </c>
      <c r="D600" s="2577" t="s">
        <v>6457</v>
      </c>
      <c r="E600" s="2577" t="s">
        <v>8688</v>
      </c>
      <c r="F600" s="2576" t="s">
        <v>7844</v>
      </c>
      <c r="G600" s="2577" t="s">
        <v>7845</v>
      </c>
      <c r="H600" s="2911" t="str">
        <f>HLOOKUP(Non_UN,'Other Translations'!$A:$L,1+translations!J600,)</f>
        <v>Hóa chất làm lạnh bị hao hụt tính trên một tấn đánh bắt cập bờ</v>
      </c>
      <c r="J600" s="2820">
        <v>599</v>
      </c>
    </row>
    <row r="601" spans="1:10">
      <c r="A601" s="3019" t="s">
        <v>6511</v>
      </c>
      <c r="B601" s="2577" t="s">
        <v>5527</v>
      </c>
      <c r="C601" s="2577" t="s">
        <v>6372</v>
      </c>
      <c r="D601" s="2577" t="s">
        <v>7846</v>
      </c>
      <c r="E601" s="2577" t="s">
        <v>8689</v>
      </c>
      <c r="F601" s="2576" t="s">
        <v>7847</v>
      </c>
      <c r="G601" s="2577" t="s">
        <v>7848</v>
      </c>
      <c r="H601" s="2911" t="str">
        <f>HLOOKUP(Non_UN,'Other Translations'!$A:$L,1+translations!J601,)</f>
        <v>Số lượng (tấn)</v>
      </c>
      <c r="J601" s="2820">
        <v>600</v>
      </c>
    </row>
    <row r="602" spans="1:10" ht="25.5">
      <c r="A602" s="3019" t="s">
        <v>6511</v>
      </c>
      <c r="B602" s="2577" t="s">
        <v>5528</v>
      </c>
      <c r="C602" s="2028" t="s">
        <v>6373</v>
      </c>
      <c r="D602" s="2577" t="s">
        <v>7849</v>
      </c>
      <c r="E602" s="2577" t="s">
        <v>8690</v>
      </c>
      <c r="F602" s="2576" t="s">
        <v>7850</v>
      </c>
      <c r="G602" s="2577" t="s">
        <v>7851</v>
      </c>
      <c r="H602" s="2911" t="str">
        <f>HLOOKUP(Non_UN,'Other Translations'!$A:$L,1+translations!J602,)</f>
        <v>Số lượng đá (tấn) cho một tấn sản phẩm đánh bắt</v>
      </c>
      <c r="J602" s="2820">
        <v>601</v>
      </c>
    </row>
    <row r="603" spans="1:10" ht="25.5">
      <c r="A603" s="3019" t="s">
        <v>6511</v>
      </c>
      <c r="B603" s="2750" t="s">
        <v>6483</v>
      </c>
      <c r="C603" s="2028" t="s">
        <v>6375</v>
      </c>
      <c r="D603" s="2577" t="s">
        <v>7852</v>
      </c>
      <c r="E603" s="2577" t="s">
        <v>8691</v>
      </c>
      <c r="F603" s="2576" t="s">
        <v>7853</v>
      </c>
      <c r="G603" s="2577" t="s">
        <v>7854</v>
      </c>
      <c r="H603" s="2911" t="str">
        <f>HLOOKUP(Non_UN,'Other Translations'!$A:$L,1+translations!J603,)</f>
        <v xml:space="preserve">Hệ số phát thải (tCO2-eq) tính cho việc sản xuất ra một tấn đá </v>
      </c>
      <c r="J603" s="2820">
        <v>602</v>
      </c>
    </row>
    <row r="604" spans="1:10" ht="38.25">
      <c r="A604" s="3019" t="s">
        <v>6511</v>
      </c>
      <c r="B604" s="2577" t="s">
        <v>5531</v>
      </c>
      <c r="C604" s="2584" t="s">
        <v>6374</v>
      </c>
      <c r="D604" s="2577" t="s">
        <v>7855</v>
      </c>
      <c r="E604" s="2577" t="s">
        <v>8692</v>
      </c>
      <c r="F604" s="2576" t="s">
        <v>7856</v>
      </c>
      <c r="G604" s="2577" t="s">
        <v>7857</v>
      </c>
      <c r="H604" s="2911" t="str">
        <f>HLOOKUP(Non_UN,'Other Translations'!$A:$L,1+translations!J604,)</f>
        <v>Hệ số phát thải đối với phát thải N2O từ nuôi cá (t N-N20 / t cá)</v>
      </c>
      <c r="J604" s="2820">
        <v>603</v>
      </c>
    </row>
    <row r="605" spans="1:10">
      <c r="A605" s="3019" t="s">
        <v>6511</v>
      </c>
      <c r="B605" s="2750" t="s">
        <v>6505</v>
      </c>
      <c r="C605" s="2750" t="s">
        <v>6506</v>
      </c>
      <c r="D605" s="2577" t="s">
        <v>7858</v>
      </c>
      <c r="E605" s="2577" t="s">
        <v>8693</v>
      </c>
      <c r="F605" s="2576" t="s">
        <v>7859</v>
      </c>
      <c r="G605" s="2577" t="s">
        <v>7860</v>
      </c>
      <c r="H605" s="2911" t="str">
        <f>HLOOKUP(Non_UN,'Other Translations'!$A:$L,1+translations!J605,)</f>
        <v>% với hệ thống làm lạnh</v>
      </c>
      <c r="J605" s="2820">
        <v>604</v>
      </c>
    </row>
    <row r="606" spans="1:10">
      <c r="A606" s="3019" t="s">
        <v>6511</v>
      </c>
      <c r="B606" s="2577" t="s">
        <v>6500</v>
      </c>
      <c r="C606" s="2750" t="s">
        <v>6512</v>
      </c>
      <c r="D606" s="2577" t="s">
        <v>7861</v>
      </c>
      <c r="E606" s="2577" t="s">
        <v>8694</v>
      </c>
      <c r="F606" s="2576" t="s">
        <v>7862</v>
      </c>
      <c r="G606" s="2577" t="s">
        <v>7863</v>
      </c>
      <c r="H606" s="2911" t="str">
        <f>HLOOKUP(Non_UN,'Other Translations'!$A:$L,1+translations!J606,)</f>
        <v>Quản lý (sẽ tác động FUI)</v>
      </c>
      <c r="J606" s="2820">
        <v>605</v>
      </c>
    </row>
    <row r="607" spans="1:10">
      <c r="A607" s="3019" t="s">
        <v>6511</v>
      </c>
      <c r="B607" s="2577" t="s">
        <v>6504</v>
      </c>
      <c r="C607" s="2750" t="s">
        <v>6513</v>
      </c>
      <c r="D607" s="2577" t="s">
        <v>7864</v>
      </c>
      <c r="E607" s="2577" t="s">
        <v>8695</v>
      </c>
      <c r="F607" s="2576" t="s">
        <v>7865</v>
      </c>
      <c r="G607" s="2577" t="s">
        <v>7866</v>
      </c>
      <c r="H607" s="2911" t="str">
        <f>HLOOKUP(Non_UN,'Other Translations'!$A:$L,1+translations!J607,)</f>
        <v>100% = FUI công bố xem Tier2)</v>
      </c>
      <c r="J607" s="2820">
        <v>606</v>
      </c>
    </row>
    <row r="608" spans="1:10">
      <c r="A608" s="3019" t="s">
        <v>6511</v>
      </c>
      <c r="B608" s="2750" t="s">
        <v>7177</v>
      </c>
      <c r="C608" s="2750" t="s">
        <v>7177</v>
      </c>
      <c r="D608" s="2577" t="s">
        <v>7867</v>
      </c>
      <c r="E608" s="2577" t="s">
        <v>8696</v>
      </c>
      <c r="F608" s="2576" t="s">
        <v>7868</v>
      </c>
      <c r="G608" s="2577" t="s">
        <v>7869</v>
      </c>
      <c r="H608" s="2911" t="str">
        <f>HLOOKUP(Non_UN,'Other Translations'!$A:$L,1+translations!J608,)</f>
        <v>8.2. Nuôi trồng</v>
      </c>
      <c r="J608" s="2820">
        <v>607</v>
      </c>
    </row>
    <row r="609" spans="1:10">
      <c r="A609" s="3019" t="s">
        <v>6511</v>
      </c>
      <c r="B609" s="2577" t="s">
        <v>6475</v>
      </c>
      <c r="C609" s="2750" t="s">
        <v>6514</v>
      </c>
      <c r="D609" s="2577" t="s">
        <v>7870</v>
      </c>
      <c r="E609" s="2577" t="s">
        <v>8697</v>
      </c>
      <c r="F609" s="2576" t="s">
        <v>7871</v>
      </c>
      <c r="G609" s="2577" t="s">
        <v>7872</v>
      </c>
      <c r="H609" s="2911" t="str">
        <f>HLOOKUP(Non_UN,'Other Translations'!$A:$L,1+translations!J609,)</f>
        <v>Sản lượng hàng năm (tấn /năm)</v>
      </c>
      <c r="J609" s="2820">
        <v>608</v>
      </c>
    </row>
    <row r="610" spans="1:10">
      <c r="A610" s="3019" t="s">
        <v>6511</v>
      </c>
      <c r="B610" s="2577" t="s">
        <v>6469</v>
      </c>
      <c r="C610" s="2750" t="s">
        <v>6515</v>
      </c>
      <c r="D610" s="2577" t="s">
        <v>7873</v>
      </c>
      <c r="E610" s="2577" t="s">
        <v>8698</v>
      </c>
      <c r="F610" s="2576" t="s">
        <v>7874</v>
      </c>
      <c r="G610" s="2577" t="s">
        <v>7875</v>
      </c>
      <c r="H610" s="2911" t="str">
        <f>HLOOKUP(Non_UN,'Other Translations'!$A:$L,1+translations!J610,)</f>
        <v>Phát thải từ thức ăn</v>
      </c>
      <c r="J610" s="2820">
        <v>609</v>
      </c>
    </row>
    <row r="611" spans="1:10">
      <c r="A611" s="3019" t="s">
        <v>6511</v>
      </c>
      <c r="B611" s="2577" t="s">
        <v>6476</v>
      </c>
      <c r="C611" s="2750" t="s">
        <v>6516</v>
      </c>
      <c r="D611" s="2577" t="s">
        <v>7876</v>
      </c>
      <c r="E611" s="2577" t="s">
        <v>8699</v>
      </c>
      <c r="F611" s="2576" t="s">
        <v>7877</v>
      </c>
      <c r="G611" s="2577" t="s">
        <v>7878</v>
      </c>
      <c r="H611" s="2911" t="str">
        <f>HLOOKUP(Non_UN,'Other Translations'!$A:$L,1+translations!J611,)</f>
        <v>Số lượng thức ăn hàng năm (tấn /năm)</v>
      </c>
      <c r="J611" s="2820">
        <v>610</v>
      </c>
    </row>
    <row r="612" spans="1:10">
      <c r="A612" s="3019" t="s">
        <v>6511</v>
      </c>
      <c r="B612" s="2577" t="s">
        <v>6477</v>
      </c>
      <c r="C612" s="2750" t="s">
        <v>6517</v>
      </c>
      <c r="D612" s="2577" t="s">
        <v>7879</v>
      </c>
      <c r="E612" s="2577" t="s">
        <v>8700</v>
      </c>
      <c r="F612" s="2576" t="s">
        <v>7880</v>
      </c>
      <c r="G612" s="2577" t="s">
        <v>7881</v>
      </c>
      <c r="H612" s="2911" t="str">
        <f>HLOOKUP(Non_UN,'Other Translations'!$A:$L,1+translations!J612,)</f>
        <v>Tổng nuôi trồng</v>
      </c>
      <c r="J612" s="2820">
        <v>611</v>
      </c>
    </row>
    <row r="613" spans="1:10" ht="25.5">
      <c r="A613" s="3019" t="s">
        <v>6511</v>
      </c>
      <c r="B613" s="2577" t="s">
        <v>6478</v>
      </c>
      <c r="C613" s="2750" t="s">
        <v>6518</v>
      </c>
      <c r="D613" s="2577" t="s">
        <v>7882</v>
      </c>
      <c r="E613" s="2577" t="s">
        <v>8701</v>
      </c>
      <c r="F613" s="2576" t="s">
        <v>7883</v>
      </c>
      <c r="G613" s="2577" t="s">
        <v>7884</v>
      </c>
      <c r="H613" s="2911" t="str">
        <f>HLOOKUP(Non_UN,'Other Translations'!$A:$L,1+translations!J613,)</f>
        <v>Hệ số phát thải đối với thức ăn (t CO2-eq / t thức ăn)</v>
      </c>
      <c r="J613" s="2820">
        <v>612</v>
      </c>
    </row>
    <row r="614" spans="1:10">
      <c r="A614" s="3019" t="s">
        <v>6511</v>
      </c>
      <c r="B614" s="2577" t="s">
        <v>6510</v>
      </c>
      <c r="C614" s="2750" t="s">
        <v>6519</v>
      </c>
      <c r="D614" s="2577" t="s">
        <v>7885</v>
      </c>
      <c r="E614" s="2577" t="s">
        <v>8702</v>
      </c>
      <c r="F614" s="2576" t="s">
        <v>7886</v>
      </c>
      <c r="G614" s="2577" t="s">
        <v>7887</v>
      </c>
      <c r="H614" s="2911" t="str">
        <f>HLOOKUP(Non_UN,'Other Translations'!$A:$L,1+translations!J614,)</f>
        <v>Tổng năng lượng sử dụng (m3/năm)</v>
      </c>
      <c r="J614" s="2820">
        <v>613</v>
      </c>
    </row>
    <row r="615" spans="1:10" ht="25.5">
      <c r="A615" s="3019" t="s">
        <v>6511</v>
      </c>
      <c r="B615" s="2577" t="s">
        <v>7137</v>
      </c>
      <c r="C615" s="2577" t="s">
        <v>7151</v>
      </c>
      <c r="D615" s="2577" t="s">
        <v>7888</v>
      </c>
      <c r="E615" s="2577" t="s">
        <v>8703</v>
      </c>
      <c r="F615" s="2576" t="s">
        <v>7889</v>
      </c>
      <c r="G615" s="2577" t="s">
        <v>7890</v>
      </c>
      <c r="H615" s="2911" t="str">
        <f>HLOOKUP(Non_UN,'Other Translations'!$A:$L,1+translations!J615,)</f>
        <v>% tổng lượng đánh bắt liên quan đến sản xuất đá</v>
      </c>
      <c r="J615" s="2820">
        <v>614</v>
      </c>
    </row>
    <row r="616" spans="1:10">
      <c r="A616" s="3019" t="s">
        <v>6511</v>
      </c>
      <c r="B616" s="2577" t="s">
        <v>6496</v>
      </c>
      <c r="C616" s="2577" t="s">
        <v>7152</v>
      </c>
      <c r="D616" s="2577" t="s">
        <v>7891</v>
      </c>
      <c r="E616" s="2577" t="s">
        <v>8704</v>
      </c>
      <c r="F616" s="2576" t="s">
        <v>7892</v>
      </c>
      <c r="G616" s="2577" t="s">
        <v>7893</v>
      </c>
      <c r="H616" s="2911" t="str">
        <f>HLOOKUP(Non_UN,'Other Translations'!$A:$L,1+translations!J616,)</f>
        <v>Điện năng tiêu thụ cho 1 tấn đá</v>
      </c>
      <c r="J616" s="2820">
        <v>615</v>
      </c>
    </row>
    <row r="617" spans="1:10">
      <c r="A617" s="3019" t="s">
        <v>6511</v>
      </c>
      <c r="B617" s="2750" t="s">
        <v>7191</v>
      </c>
      <c r="C617" s="1880" t="s">
        <v>7202</v>
      </c>
      <c r="D617" s="2577" t="s">
        <v>7894</v>
      </c>
      <c r="E617" s="2577" t="s">
        <v>8705</v>
      </c>
      <c r="F617" s="2576" t="s">
        <v>7895</v>
      </c>
      <c r="G617" s="2577" t="s">
        <v>7896</v>
      </c>
      <c r="H617" s="2911" t="str">
        <f>HLOOKUP(Non_UN,'Other Translations'!$A:$L,1+translations!J617,)</f>
        <v>Dụng cụ (đánh bắt)</v>
      </c>
      <c r="J617" s="2820">
        <v>616</v>
      </c>
    </row>
    <row r="618" spans="1:10">
      <c r="A618" s="3019" t="s">
        <v>6511</v>
      </c>
      <c r="B618" s="2750" t="s">
        <v>7199</v>
      </c>
      <c r="C618" s="3268" t="s">
        <v>7216</v>
      </c>
      <c r="D618" s="2577" t="s">
        <v>7897</v>
      </c>
      <c r="E618" s="2577" t="s">
        <v>8706</v>
      </c>
      <c r="F618" s="2576" t="s">
        <v>7898</v>
      </c>
      <c r="G618" s="2577" t="s">
        <v>7899</v>
      </c>
      <c r="H618" s="2911" t="str">
        <f>HLOOKUP(Non_UN,'Other Translations'!$A:$L,1+translations!J618,)</f>
        <v>Dụng cụ cụ thể</v>
      </c>
      <c r="J618" s="2820">
        <v>617</v>
      </c>
    </row>
    <row r="619" spans="1:10">
      <c r="A619" s="3019" t="s">
        <v>6511</v>
      </c>
      <c r="B619" s="2750" t="s">
        <v>7215</v>
      </c>
      <c r="C619" s="3268" t="s">
        <v>7203</v>
      </c>
      <c r="D619" s="2577" t="s">
        <v>7900</v>
      </c>
      <c r="E619" s="2577" t="s">
        <v>8707</v>
      </c>
      <c r="F619" s="2576" t="s">
        <v>7901</v>
      </c>
      <c r="G619" s="2577" t="s">
        <v>7902</v>
      </c>
      <c r="H619" s="2911" t="str">
        <f>HLOOKUP(Non_UN,'Other Translations'!$A:$L,1+translations!J619,)</f>
        <v>Không cụ thể</v>
      </c>
      <c r="J619" s="2820">
        <v>618</v>
      </c>
    </row>
    <row r="620" spans="1:10">
      <c r="A620" s="3019" t="s">
        <v>6511</v>
      </c>
      <c r="B620" s="2577" t="s">
        <v>1550</v>
      </c>
      <c r="C620" s="2577" t="s">
        <v>2044</v>
      </c>
      <c r="D620" s="2577" t="s">
        <v>4186</v>
      </c>
      <c r="E620" s="2577" t="s">
        <v>8161</v>
      </c>
      <c r="F620" s="2576" t="s">
        <v>7903</v>
      </c>
      <c r="G620" s="2577" t="s">
        <v>3422</v>
      </c>
      <c r="H620" s="2911" t="str">
        <f>HLOOKUP(Non_UN,'Other Translations'!$A:$L,1+translations!J620,)</f>
        <v>Đơn vị</v>
      </c>
      <c r="J620" s="2820">
        <v>619</v>
      </c>
    </row>
    <row r="621" spans="1:10">
      <c r="A621" s="3019" t="s">
        <v>6511</v>
      </c>
      <c r="B621" s="2577" t="s">
        <v>7217</v>
      </c>
      <c r="C621" s="2577" t="s">
        <v>7217</v>
      </c>
      <c r="D621" s="2577" t="s">
        <v>7218</v>
      </c>
      <c r="E621" s="2577" t="s">
        <v>8708</v>
      </c>
      <c r="F621" s="2576" t="s">
        <v>7904</v>
      </c>
      <c r="G621" s="2577" t="s">
        <v>7905</v>
      </c>
      <c r="H621" s="2911" t="str">
        <f>HLOOKUP(Non_UN,'Other Translations'!$A:$L,1+translations!J621,)</f>
        <v>l/tấn</v>
      </c>
      <c r="J621" s="2820">
        <v>620</v>
      </c>
    </row>
    <row r="622" spans="1:10">
      <c r="A622" s="3019" t="s">
        <v>6511</v>
      </c>
      <c r="B622" s="2577" t="s">
        <v>8908</v>
      </c>
      <c r="C622" s="2577" t="str">
        <f>B622</f>
        <v>Aquaculture</v>
      </c>
      <c r="D622" s="2577" t="s">
        <v>8909</v>
      </c>
      <c r="E622" s="2577" t="s">
        <v>8910</v>
      </c>
      <c r="F622" s="2576" t="s">
        <v>8911</v>
      </c>
      <c r="G622" s="2577" t="s">
        <v>8912</v>
      </c>
      <c r="H622" s="2911" t="str">
        <f>HLOOKUP(Non_UN,'Other Translations'!$A:$L,1+translations!J622,)</f>
        <v>Nuôi trồng</v>
      </c>
      <c r="J622" s="2820">
        <v>621</v>
      </c>
    </row>
    <row r="623" spans="1:10">
      <c r="A623" s="3019" t="s">
        <v>6511</v>
      </c>
      <c r="J623" s="2820">
        <v>622</v>
      </c>
    </row>
    <row r="624" spans="1:10" s="2028" customFormat="1" ht="15">
      <c r="A624" s="2581" t="s">
        <v>1638</v>
      </c>
      <c r="B624" s="2580" t="s">
        <v>1617</v>
      </c>
      <c r="C624" s="2580" t="s">
        <v>1618</v>
      </c>
      <c r="D624" s="2580" t="s">
        <v>1619</v>
      </c>
      <c r="E624" s="2752" t="str">
        <f>E1</f>
        <v>中文</v>
      </c>
      <c r="F624" s="2781" t="s">
        <v>2518</v>
      </c>
      <c r="G624" s="2581" t="s">
        <v>3166</v>
      </c>
      <c r="H624" s="2581" t="str">
        <f>Non_UN</f>
        <v>Tiếng Việt</v>
      </c>
      <c r="I624" s="2581"/>
      <c r="J624" s="2820">
        <v>623</v>
      </c>
    </row>
    <row r="625" spans="1:10">
      <c r="A625" s="3448" t="s">
        <v>1087</v>
      </c>
      <c r="B625" s="2749" t="s">
        <v>7248</v>
      </c>
      <c r="C625" s="2911" t="s">
        <v>7906</v>
      </c>
      <c r="D625" s="2911" t="s">
        <v>7907</v>
      </c>
      <c r="E625" s="2911" t="s">
        <v>8709</v>
      </c>
      <c r="F625" s="3448" t="s">
        <v>7908</v>
      </c>
      <c r="G625" s="2911" t="s">
        <v>7909</v>
      </c>
      <c r="H625" s="2911" t="str">
        <f>HLOOKUP(Non_UN,'Other Translations'!$A:$L,625,)</f>
        <v>Quản lý chất thừa thải</v>
      </c>
      <c r="I625" s="3448"/>
      <c r="J625" s="2820">
        <v>624</v>
      </c>
    </row>
    <row r="626" spans="1:10">
      <c r="A626" s="3448" t="s">
        <v>1087</v>
      </c>
      <c r="B626" s="2749" t="s">
        <v>7255</v>
      </c>
      <c r="C626" s="2911" t="s">
        <v>7910</v>
      </c>
      <c r="D626" s="2911" t="s">
        <v>7911</v>
      </c>
      <c r="E626" s="2911" t="s">
        <v>8710</v>
      </c>
      <c r="F626" s="3448" t="s">
        <v>7912</v>
      </c>
      <c r="G626" s="2911" t="s">
        <v>7913</v>
      </c>
      <c r="H626" s="2911" t="str">
        <f>HLOOKUP(Non_UN,'Other Translations'!$A:$L,626,)</f>
        <v>Vụ trồng trọt chính</v>
      </c>
      <c r="I626" s="3448"/>
      <c r="J626" s="2820">
        <v>625</v>
      </c>
    </row>
    <row r="627" spans="1:10">
      <c r="A627" s="3448" t="s">
        <v>1087</v>
      </c>
      <c r="B627" s="2749" t="s">
        <v>7256</v>
      </c>
      <c r="C627" s="2911" t="s">
        <v>7914</v>
      </c>
      <c r="D627" s="2911" t="s">
        <v>7915</v>
      </c>
      <c r="E627" s="2911" t="s">
        <v>8711</v>
      </c>
      <c r="F627" s="3448" t="s">
        <v>7916</v>
      </c>
      <c r="G627" s="2911" t="s">
        <v>7917</v>
      </c>
      <c r="H627" s="2911" t="str">
        <f>HLOOKUP(Non_UN,'Other Translations'!$A:$L,627,)</f>
        <v>Vụ trồng trọt phụ/xen canh</v>
      </c>
      <c r="I627" s="3448"/>
      <c r="J627" s="2820">
        <v>626</v>
      </c>
    </row>
    <row r="628" spans="1:10">
      <c r="A628" s="3448" t="s">
        <v>1087</v>
      </c>
      <c r="B628" s="2749" t="s">
        <v>7253</v>
      </c>
      <c r="C628" s="2911" t="s">
        <v>7918</v>
      </c>
      <c r="D628" s="2911" t="s">
        <v>7919</v>
      </c>
      <c r="E628" s="2911" t="s">
        <v>8712</v>
      </c>
      <c r="F628" s="3448" t="s">
        <v>7920</v>
      </c>
      <c r="G628" s="2911" t="s">
        <v>7921</v>
      </c>
      <c r="H628" s="2911" t="str">
        <f>HLOOKUP(Non_UN,'Other Translations'!$A:$L,628,)</f>
        <v>Loại cây trồng</v>
      </c>
      <c r="I628" s="3448"/>
      <c r="J628" s="2820">
        <v>627</v>
      </c>
    </row>
    <row r="629" spans="1:10" ht="25.5">
      <c r="A629" s="2576" t="s">
        <v>1639</v>
      </c>
      <c r="B629" s="2750" t="s">
        <v>7922</v>
      </c>
      <c r="C629" s="2577" t="s">
        <v>7923</v>
      </c>
      <c r="D629" s="2577" t="s">
        <v>7924</v>
      </c>
      <c r="E629" s="2577" t="s">
        <v>8713</v>
      </c>
      <c r="F629" s="2576" t="s">
        <v>7925</v>
      </c>
      <c r="G629" s="2577" t="s">
        <v>7926</v>
      </c>
      <c r="H629" s="2911" t="str">
        <f>IF(ISBLANK(HLOOKUP(Non_UN,'Other Translations'!$A:$L,629,)),"",HLOOKUP(Non_UN,'Other Translations'!$A:$L,629,))</f>
        <v>Tổ chức Nông nghiệp và Lương thực của Liên Hiệp Quốc</v>
      </c>
      <c r="J629" s="2820">
        <v>628</v>
      </c>
    </row>
    <row r="630" spans="1:10" ht="25.5">
      <c r="A630" s="2576" t="s">
        <v>1639</v>
      </c>
      <c r="B630" s="2577" t="s">
        <v>1037</v>
      </c>
      <c r="C630" s="2577" t="s">
        <v>7927</v>
      </c>
      <c r="D630" s="2750" t="s">
        <v>7936</v>
      </c>
      <c r="E630" s="2577" t="s">
        <v>8714</v>
      </c>
      <c r="F630" s="2576" t="s">
        <v>7928</v>
      </c>
      <c r="G630" s="2577" t="s">
        <v>7929</v>
      </c>
      <c r="H630" s="2911" t="str">
        <f>IF(ISBLANK(HLOOKUP(Non_UN,'Other Translations'!$A:$L,630,)),"",HLOOKUP(Non_UN,'Other Translations'!$A:$L,630,))</f>
        <v xml:space="preserve">Nguồn tài liệu trực tuyến cho hoạch định chính sách </v>
      </c>
      <c r="J630" s="2820">
        <v>629</v>
      </c>
    </row>
    <row r="631" spans="1:10">
      <c r="A631" s="3019" t="s">
        <v>7158</v>
      </c>
      <c r="B631" s="2577" t="s">
        <v>7180</v>
      </c>
      <c r="C631" s="2577" t="s">
        <v>7930</v>
      </c>
      <c r="D631" s="2750" t="s">
        <v>7937</v>
      </c>
      <c r="E631" s="2577" t="s">
        <v>8715</v>
      </c>
      <c r="F631" s="2576" t="s">
        <v>7931</v>
      </c>
      <c r="G631" s="2577" t="s">
        <v>7932</v>
      </c>
      <c r="H631" s="2911" t="str">
        <f>HLOOKUP(Non_UN,'Other Translations'!$A:$L,631,)</f>
        <v>% cày xới</v>
      </c>
      <c r="J631" s="2820">
        <v>630</v>
      </c>
    </row>
    <row r="632" spans="1:10">
      <c r="A632" s="3019" t="s">
        <v>7158</v>
      </c>
      <c r="B632" s="2577" t="s">
        <v>7181</v>
      </c>
      <c r="C632" s="2577" t="s">
        <v>7933</v>
      </c>
      <c r="D632" s="2750" t="s">
        <v>7938</v>
      </c>
      <c r="E632" s="2577" t="s">
        <v>8716</v>
      </c>
      <c r="F632" s="2576" t="s">
        <v>7934</v>
      </c>
      <c r="G632" s="2577" t="s">
        <v>7935</v>
      </c>
      <c r="H632" s="2911" t="str">
        <f>HLOOKUP(Non_UN,'Other Translations'!$A:$L,632,)</f>
        <v>% thoát nước</v>
      </c>
      <c r="J632" s="2820">
        <v>631</v>
      </c>
    </row>
    <row r="633" spans="1:10">
      <c r="A633" s="3448" t="s">
        <v>1087</v>
      </c>
      <c r="B633" s="2028" t="s">
        <v>339</v>
      </c>
      <c r="C633" s="2577" t="s">
        <v>1764</v>
      </c>
      <c r="D633" s="2750" t="s">
        <v>4013</v>
      </c>
      <c r="E633" s="2577" t="s">
        <v>3796</v>
      </c>
      <c r="F633" s="2576" t="s">
        <v>8865</v>
      </c>
      <c r="G633" s="2577" t="s">
        <v>8870</v>
      </c>
      <c r="H633" s="3448" t="str">
        <f>HLOOKUP(Non_UN,'Other Translations'!$A:$L,633,)</f>
        <v>Mặc định</v>
      </c>
      <c r="J633" s="2820">
        <v>632</v>
      </c>
    </row>
    <row r="634" spans="1:10">
      <c r="A634" s="3448" t="s">
        <v>1087</v>
      </c>
      <c r="B634" s="2028" t="s">
        <v>7227</v>
      </c>
      <c r="C634" s="2577" t="s">
        <v>8853</v>
      </c>
      <c r="D634" s="2750" t="s">
        <v>8857</v>
      </c>
      <c r="E634" s="2577" t="s">
        <v>8861</v>
      </c>
      <c r="F634" s="2576" t="s">
        <v>8866</v>
      </c>
      <c r="G634" s="2577" t="s">
        <v>8871</v>
      </c>
      <c r="H634" s="3448" t="str">
        <f>HLOOKUP(Non_UN,'Other Translations'!$A:$L,634,)</f>
        <v>Đậu các loại</v>
      </c>
      <c r="J634" s="2820">
        <v>633</v>
      </c>
    </row>
    <row r="635" spans="1:10">
      <c r="A635" s="3448" t="s">
        <v>1087</v>
      </c>
      <c r="B635" s="2028" t="s">
        <v>7230</v>
      </c>
      <c r="C635" s="2577" t="s">
        <v>8854</v>
      </c>
      <c r="D635" s="2750" t="s">
        <v>8858</v>
      </c>
      <c r="E635" s="2577" t="s">
        <v>8862</v>
      </c>
      <c r="F635" s="2576" t="s">
        <v>8867</v>
      </c>
      <c r="G635" s="2577" t="s">
        <v>8872</v>
      </c>
      <c r="H635" s="3448" t="str">
        <f>HLOOKUP(Non_UN,'Other Translations'!$A:$L,635,)</f>
        <v>Ngũ cốc</v>
      </c>
      <c r="J635" s="2820">
        <v>634</v>
      </c>
    </row>
    <row r="636" spans="1:10">
      <c r="A636" s="3448" t="s">
        <v>1087</v>
      </c>
      <c r="B636" s="2028" t="s">
        <v>7233</v>
      </c>
      <c r="C636" s="2577" t="s">
        <v>8855</v>
      </c>
      <c r="D636" s="2750" t="s">
        <v>8859</v>
      </c>
      <c r="E636" s="2577" t="s">
        <v>8863</v>
      </c>
      <c r="F636" s="2576" t="s">
        <v>8868</v>
      </c>
      <c r="G636" s="2577" t="s">
        <v>8873</v>
      </c>
      <c r="H636" s="3448" t="str">
        <f>HLOOKUP(Non_UN,'Other Translations'!$A:$L,636,)</f>
        <v>Cây có củ</v>
      </c>
      <c r="J636" s="2820">
        <v>635</v>
      </c>
    </row>
    <row r="637" spans="1:10">
      <c r="A637" s="3448" t="s">
        <v>1087</v>
      </c>
      <c r="B637" s="2028" t="s">
        <v>7236</v>
      </c>
      <c r="C637" s="2577" t="s">
        <v>8856</v>
      </c>
      <c r="D637" s="2750" t="s">
        <v>8860</v>
      </c>
      <c r="E637" s="2577" t="s">
        <v>8864</v>
      </c>
      <c r="F637" s="2576" t="s">
        <v>8869</v>
      </c>
      <c r="G637" s="2577" t="s">
        <v>8874</v>
      </c>
      <c r="H637" s="3448" t="str">
        <f>HLOOKUP(Non_UN,'Other Translations'!$A:$L,637,)</f>
        <v>Cây lương thực chính</v>
      </c>
      <c r="J637" s="2820">
        <v>636</v>
      </c>
    </row>
    <row r="638" spans="1:10">
      <c r="A638" s="3448" t="s">
        <v>1087</v>
      </c>
      <c r="B638" s="2028" t="s">
        <v>1337</v>
      </c>
      <c r="C638" s="2577" t="str">
        <f>VLOOKUP($B638,'Name translation'!$A$1:$H$275,3,FALSE)</f>
        <v>Orge</v>
      </c>
      <c r="D638" s="2750" t="str">
        <f>VLOOKUP($B638,'Name translation'!$A$1:$H$275,4,FALSE)</f>
        <v>Cebada</v>
      </c>
      <c r="E638" s="2577" t="str">
        <f>VLOOKUP($B638,'Name translation'!$A$1:$H$275,5,FALSE)</f>
        <v>大麦</v>
      </c>
      <c r="F638" s="2576" t="str">
        <f>VLOOKUP($B638,'Name translation'!$A$1:$H$275,6,FALSE)</f>
        <v>Ячмень</v>
      </c>
      <c r="G638" s="2577" t="str">
        <f>VLOOKUP($B638,'Name translation'!$A$1:$H$275,7,FALSE)</f>
        <v>شعير</v>
      </c>
      <c r="H638" s="3448" t="str">
        <f>HLOOKUP(Non_UN,'Other Translations'!$A:$L,638,)</f>
        <v>Lúa mạch</v>
      </c>
      <c r="J638" s="2820">
        <v>637</v>
      </c>
    </row>
    <row r="639" spans="1:10">
      <c r="A639" s="3448" t="s">
        <v>1087</v>
      </c>
      <c r="B639" s="2028" t="s">
        <v>1356</v>
      </c>
      <c r="C639" s="2577" t="str">
        <f>VLOOKUP($B639,'Name translation'!$A$1:$H$275,3,FALSE)</f>
        <v>Maïs</v>
      </c>
      <c r="D639" s="2750" t="str">
        <f>VLOOKUP($B639,'Name translation'!$A$1:$H$275,4,FALSE)</f>
        <v>Maiz</v>
      </c>
      <c r="E639" s="2577" t="str">
        <f>VLOOKUP($B639,'Name translation'!$A$1:$H$275,5,FALSE)</f>
        <v>玉米</v>
      </c>
      <c r="F639" s="2576" t="str">
        <f>VLOOKUP($B639,'Name translation'!$A$1:$H$275,6,FALSE)</f>
        <v>Кукуруза</v>
      </c>
      <c r="G639" s="2577" t="str">
        <f>VLOOKUP($B639,'Name translation'!$A$1:$H$275,7,FALSE)</f>
        <v>ذرة صفراء</v>
      </c>
      <c r="H639" s="3448" t="str">
        <f>HLOOKUP(Non_UN,'Other Translations'!$A:$L,639,)</f>
        <v>Ngô</v>
      </c>
      <c r="J639" s="2820">
        <v>638</v>
      </c>
    </row>
    <row r="640" spans="1:10">
      <c r="A640" s="3448" t="s">
        <v>1087</v>
      </c>
      <c r="B640" s="2028" t="s">
        <v>1323</v>
      </c>
      <c r="C640" s="2577" t="str">
        <f>VLOOKUP($B640,'Name translation'!$A$1:$H$275,3,FALSE)</f>
        <v>Avoine</v>
      </c>
      <c r="D640" s="2750" t="str">
        <f>VLOOKUP($B640,'Name translation'!$A$1:$H$275,4,FALSE)</f>
        <v>Avena</v>
      </c>
      <c r="E640" s="2577" t="str">
        <f>VLOOKUP($B640,'Name translation'!$A$1:$H$275,5,FALSE)</f>
        <v>燕麦</v>
      </c>
      <c r="F640" s="2576" t="str">
        <f>VLOOKUP($B640,'Name translation'!$A$1:$H$275,6,FALSE)</f>
        <v>Овес</v>
      </c>
      <c r="G640" s="2577" t="str">
        <f>VLOOKUP($B640,'Name translation'!$A$1:$H$275,7,FALSE)</f>
        <v>شوفان</v>
      </c>
      <c r="H640" s="3448" t="str">
        <f>HLOOKUP(Non_UN,'Other Translations'!$A:$L,640,)</f>
        <v>Yến mạch</v>
      </c>
      <c r="J640" s="2820">
        <v>639</v>
      </c>
    </row>
    <row r="641" spans="1:10">
      <c r="A641" s="3448" t="s">
        <v>1087</v>
      </c>
      <c r="B641" s="2028" t="s">
        <v>1368</v>
      </c>
      <c r="C641" s="2577" t="str">
        <f>VLOOKUP($B641,'Name translation'!$A$1:$H$275,3,FALSE)</f>
        <v>Pommes de terre</v>
      </c>
      <c r="D641" s="2750" t="str">
        <f>VLOOKUP($B641,'Name translation'!$A$1:$H$275,4,FALSE)</f>
        <v>Patatas</v>
      </c>
      <c r="E641" s="2577" t="str">
        <f>VLOOKUP($B641,'Name translation'!$A$1:$H$275,5,FALSE)</f>
        <v>马铃薯</v>
      </c>
      <c r="F641" s="2576" t="str">
        <f>VLOOKUP($B641,'Name translation'!$A$1:$H$275,6,FALSE)</f>
        <v>Картофель</v>
      </c>
      <c r="G641" s="2577" t="str">
        <f>VLOOKUP($B641,'Name translation'!$A$1:$H$275,7,FALSE)</f>
        <v>بطاطس</v>
      </c>
      <c r="H641" s="3448" t="str">
        <f>HLOOKUP(Non_UN,'Other Translations'!$A:$L,641,)</f>
        <v>Khoai tây</v>
      </c>
      <c r="J641" s="2820">
        <v>640</v>
      </c>
    </row>
    <row r="642" spans="1:10">
      <c r="A642" s="3448" t="s">
        <v>1087</v>
      </c>
      <c r="B642" s="2028" t="s">
        <v>1333</v>
      </c>
      <c r="C642" s="2577" t="str">
        <f>VLOOKUP($B642,'Name translation'!$A$1:$H$275,3,FALSE)</f>
        <v>Soja</v>
      </c>
      <c r="D642" s="2750" t="str">
        <f>VLOOKUP($B642,'Name translation'!$A$1:$H$275,4,FALSE)</f>
        <v>Soja</v>
      </c>
      <c r="E642" s="2577" t="str">
        <f>VLOOKUP($B642,'Name translation'!$A$1:$H$275,5,FALSE)</f>
        <v>大豆</v>
      </c>
      <c r="F642" s="2576" t="str">
        <f>VLOOKUP($B642,'Name translation'!$A$1:$H$275,6,FALSE)</f>
        <v>Соевые бобы</v>
      </c>
      <c r="G642" s="2577" t="str">
        <f>VLOOKUP($B642,'Name translation'!$A$1:$H$275,7,FALSE)</f>
        <v>فول صويا</v>
      </c>
      <c r="H642" s="3448" t="str">
        <f>HLOOKUP(Non_UN,'Other Translations'!$A:$L,642,)</f>
        <v>Đậu nành</v>
      </c>
      <c r="J642" s="2820">
        <v>641</v>
      </c>
    </row>
    <row r="643" spans="1:10">
      <c r="A643" s="3448" t="s">
        <v>1087</v>
      </c>
      <c r="B643" s="2028" t="s">
        <v>1383</v>
      </c>
      <c r="C643" s="2577" t="str">
        <f>VLOOKUP($B643,'Name translation'!$A$1:$H$275,3,FALSE)</f>
        <v>Blé</v>
      </c>
      <c r="D643" s="2750" t="str">
        <f>VLOOKUP($B643,'Name translation'!$A$1:$H$275,4,FALSE)</f>
        <v>Trigo</v>
      </c>
      <c r="E643" s="2577" t="str">
        <f>VLOOKUP($B643,'Name translation'!$A$1:$H$275,5,FALSE)</f>
        <v>小麦</v>
      </c>
      <c r="F643" s="2576" t="str">
        <f>VLOOKUP($B643,'Name translation'!$A$1:$H$275,6,FALSE)</f>
        <v>Пшеница</v>
      </c>
      <c r="G643" s="2577" t="str">
        <f>VLOOKUP($B643,'Name translation'!$A$1:$H$275,7,FALSE)</f>
        <v>قمح</v>
      </c>
      <c r="H643" s="3448" t="str">
        <f>HLOOKUP(Non_UN,'Other Translations'!$A:$L,643,)</f>
        <v>Lùa mì</v>
      </c>
      <c r="J643" s="2820">
        <v>642</v>
      </c>
    </row>
    <row r="644" spans="1:10">
      <c r="A644" s="3448" t="s">
        <v>1087</v>
      </c>
      <c r="B644" s="2028" t="s">
        <v>4</v>
      </c>
      <c r="C644" s="2577" t="str">
        <f>VLOOKUP($B644,'Name translation'!$A$1:$H$275,3,FALSE)</f>
        <v>Merci de choisir</v>
      </c>
      <c r="D644" s="2750" t="str">
        <f>VLOOKUP($B644,'Name translation'!$A$1:$H$275,4,FALSE)</f>
        <v>Por favor seleccione</v>
      </c>
      <c r="E644" s="2577" t="str">
        <f>VLOOKUP($B644,'Name translation'!$A$1:$H$275,5,FALSE)</f>
        <v>请选择</v>
      </c>
      <c r="F644" s="2576" t="str">
        <f>VLOOKUP($B644,'Name translation'!$A$1:$H$275,6,FALSE)</f>
        <v>Выберите</v>
      </c>
      <c r="G644" s="2577" t="str">
        <f>VLOOKUP($B644,'Name translation'!$A$1:$H$275,7,FALSE)</f>
        <v>يرجى اختيار</v>
      </c>
      <c r="H644" s="3448" t="str">
        <f>HLOOKUP(Non_UN,'Other Translations'!$A:$L,644,)</f>
        <v>Hãy chọn</v>
      </c>
      <c r="J644" s="2820">
        <v>643</v>
      </c>
    </row>
    <row r="645" spans="1:10">
      <c r="A645" s="3448" t="s">
        <v>1087</v>
      </c>
      <c r="B645" s="2028" t="s">
        <v>7250</v>
      </c>
      <c r="C645" s="2577" t="s">
        <v>8875</v>
      </c>
      <c r="D645" s="2750" t="s">
        <v>8879</v>
      </c>
      <c r="E645" s="2577" t="s">
        <v>8883</v>
      </c>
      <c r="F645" s="2576" t="s">
        <v>8886</v>
      </c>
      <c r="G645" s="2577" t="s">
        <v>8890</v>
      </c>
      <c r="H645" s="3448" t="str">
        <f>HLOOKUP(Non_UN,'Other Translations'!$A:$L,645,)</f>
        <v>Đốt</v>
      </c>
      <c r="J645" s="2820">
        <v>644</v>
      </c>
    </row>
    <row r="646" spans="1:10">
      <c r="A646" s="3448" t="s">
        <v>1087</v>
      </c>
      <c r="B646" s="2028" t="s">
        <v>7251</v>
      </c>
      <c r="C646" s="2577" t="s">
        <v>8876</v>
      </c>
      <c r="D646" s="2750" t="s">
        <v>8880</v>
      </c>
      <c r="E646" s="2577" t="s">
        <v>8884</v>
      </c>
      <c r="F646" s="2576" t="s">
        <v>8887</v>
      </c>
      <c r="G646" s="2577" t="s">
        <v>8891</v>
      </c>
      <c r="H646" s="3448" t="str">
        <f>HLOOKUP(Non_UN,'Other Translations'!$A:$L,646,)</f>
        <v>Giữ lại</v>
      </c>
      <c r="J646" s="2820">
        <v>645</v>
      </c>
    </row>
    <row r="647" spans="1:10">
      <c r="A647" s="3448" t="s">
        <v>1087</v>
      </c>
      <c r="B647" s="2028" t="s">
        <v>7252</v>
      </c>
      <c r="C647" s="2577" t="s">
        <v>8877</v>
      </c>
      <c r="D647" s="2750" t="s">
        <v>8881</v>
      </c>
      <c r="E647" s="2577" t="s">
        <v>8885</v>
      </c>
      <c r="F647" s="2576" t="s">
        <v>8888</v>
      </c>
      <c r="G647" s="2577" t="s">
        <v>8892</v>
      </c>
      <c r="H647" s="3448" t="str">
        <f>HLOOKUP(Non_UN,'Other Translations'!$A:$L,647,)</f>
        <v>Xuất khẩu</v>
      </c>
      <c r="J647" s="2820">
        <v>646</v>
      </c>
    </row>
    <row r="648" spans="1:10">
      <c r="A648" s="3019" t="s">
        <v>1087</v>
      </c>
      <c r="B648" s="3617" t="s">
        <v>562</v>
      </c>
      <c r="C648" s="2577" t="s">
        <v>8878</v>
      </c>
      <c r="D648" s="2750" t="s">
        <v>8882</v>
      </c>
      <c r="E648" s="2577" t="s">
        <v>8040</v>
      </c>
      <c r="F648" s="2576" t="s">
        <v>8889</v>
      </c>
      <c r="G648" s="2577" t="s">
        <v>8893</v>
      </c>
      <c r="H648" s="3448" t="str">
        <f>HLOOKUP(Non_UN,'Other Translations'!$A:$L,648,)</f>
        <v>khống</v>
      </c>
      <c r="J648" s="2820">
        <v>647</v>
      </c>
    </row>
    <row r="649" spans="1:10" ht="102">
      <c r="A649" s="3448" t="s">
        <v>1639</v>
      </c>
      <c r="B649" s="3617" t="s">
        <v>8894</v>
      </c>
      <c r="C649" s="3626" t="s">
        <v>8894</v>
      </c>
      <c r="D649" s="3626" t="s">
        <v>8894</v>
      </c>
      <c r="E649" s="3626" t="s">
        <v>8894</v>
      </c>
      <c r="F649" s="3626" t="s">
        <v>8894</v>
      </c>
      <c r="G649" s="3626" t="s">
        <v>8894</v>
      </c>
      <c r="H649" s="3617" t="str">
        <f>HLOOKUP(Non_UN,'Other Translations'!$A:$L,649,)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row>
  </sheetData>
  <pageMargins left="0.7" right="0.7" top="0.75" bottom="0.75"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FF00"/>
  </sheetPr>
  <dimension ref="A1:J275"/>
  <sheetViews>
    <sheetView workbookViewId="0">
      <pane xSplit="1" ySplit="1" topLeftCell="B250" activePane="bottomRight" state="frozen"/>
      <selection activeCell="C637" sqref="C637"/>
      <selection pane="topRight" activeCell="C637" sqref="C637"/>
      <selection pane="bottomLeft" activeCell="C637" sqref="C637"/>
      <selection pane="bottomRight" activeCell="A260" sqref="A260:XFD267"/>
    </sheetView>
  </sheetViews>
  <sheetFormatPr defaultColWidth="11.5703125" defaultRowHeight="12.75"/>
  <cols>
    <col min="1" max="1" width="36.28515625" style="2584" customWidth="1"/>
    <col min="2" max="2" width="3.5703125" style="2584" customWidth="1"/>
    <col min="3" max="3" width="34.42578125" style="2813" customWidth="1"/>
    <col min="4" max="4" width="40.7109375" style="2813" customWidth="1"/>
    <col min="5" max="5" width="43.28515625" style="2028" customWidth="1"/>
    <col min="6" max="6" width="41" style="2028" customWidth="1"/>
    <col min="7" max="7" width="48.140625" style="2028" customWidth="1"/>
    <col min="8" max="8" width="11.5703125" style="2028"/>
    <col min="9" max="9" width="18.85546875" style="2028" customWidth="1"/>
    <col min="10" max="16384" width="11.5703125" style="2028"/>
  </cols>
  <sheetData>
    <row r="1" spans="1:10">
      <c r="A1" s="2580" t="s">
        <v>1617</v>
      </c>
      <c r="B1" s="2580"/>
      <c r="C1" s="2580" t="s">
        <v>1618</v>
      </c>
      <c r="D1" s="2812" t="s">
        <v>1619</v>
      </c>
      <c r="E1" s="2581" t="str">
        <f>translations!E1</f>
        <v>中文</v>
      </c>
      <c r="F1" s="2581" t="s">
        <v>2518</v>
      </c>
      <c r="G1" s="2581" t="s">
        <v>3166</v>
      </c>
      <c r="H1" s="2028" t="str">
        <f>Non_UN</f>
        <v>Tiếng Việt</v>
      </c>
      <c r="J1" s="2581" t="s">
        <v>2195</v>
      </c>
    </row>
    <row r="2" spans="1:10" s="2596" customFormat="1">
      <c r="A2" s="2811" t="s">
        <v>4</v>
      </c>
      <c r="B2" s="2811"/>
      <c r="C2" s="2814" t="s">
        <v>1688</v>
      </c>
      <c r="D2" s="2814" t="s">
        <v>4318</v>
      </c>
      <c r="E2" s="2596" t="s">
        <v>7942</v>
      </c>
      <c r="F2" s="3592" t="s">
        <v>2881</v>
      </c>
      <c r="G2" s="3593" t="s">
        <v>3581</v>
      </c>
      <c r="H2" s="2596" t="str">
        <f>HLOOKUP(Non_UN,'Other translations2'!$A:$L,1+J2,)</f>
        <v>Vui lòng chọn</v>
      </c>
      <c r="J2" s="2596">
        <v>1</v>
      </c>
    </row>
    <row r="3" spans="1:10" s="2596" customFormat="1">
      <c r="A3" s="2811" t="s">
        <v>297</v>
      </c>
      <c r="B3" s="2811"/>
      <c r="C3" s="2814" t="s">
        <v>1689</v>
      </c>
      <c r="D3" s="2814" t="s">
        <v>297</v>
      </c>
      <c r="E3" s="2596" t="s">
        <v>7943</v>
      </c>
      <c r="F3" s="3592" t="s">
        <v>2882</v>
      </c>
      <c r="G3" s="3593" t="s">
        <v>3582</v>
      </c>
      <c r="H3" s="2596" t="str">
        <f>HLOOKUP(Non_UN,'Other translations2'!$A:$L,1+J3,)</f>
        <v>Châu Phi</v>
      </c>
      <c r="J3" s="2596">
        <v>2</v>
      </c>
    </row>
    <row r="4" spans="1:10" s="2596" customFormat="1">
      <c r="A4" s="2811" t="s">
        <v>298</v>
      </c>
      <c r="B4" s="2811"/>
      <c r="C4" s="2814" t="s">
        <v>1690</v>
      </c>
      <c r="D4" s="2814" t="s">
        <v>298</v>
      </c>
      <c r="E4" s="2596" t="s">
        <v>7944</v>
      </c>
      <c r="F4" s="3592" t="s">
        <v>2883</v>
      </c>
      <c r="G4" s="3593" t="s">
        <v>3583</v>
      </c>
      <c r="H4" s="2596" t="str">
        <f>HLOOKUP(Non_UN,'Other translations2'!$A:$L,1+J4,)</f>
        <v>Châu Á (lục địa)</v>
      </c>
      <c r="J4" s="2596">
        <v>3</v>
      </c>
    </row>
    <row r="5" spans="1:10" s="2596" customFormat="1">
      <c r="A5" s="2811" t="s">
        <v>296</v>
      </c>
      <c r="B5" s="2811"/>
      <c r="C5" s="2814" t="s">
        <v>1691</v>
      </c>
      <c r="D5" s="2814" t="s">
        <v>4319</v>
      </c>
      <c r="E5" s="2596" t="s">
        <v>7945</v>
      </c>
      <c r="F5" s="3592" t="s">
        <v>2884</v>
      </c>
      <c r="G5" s="3593" t="s">
        <v>3584</v>
      </c>
      <c r="H5" s="2596" t="str">
        <f>HLOOKUP(Non_UN,'Other translations2'!$A:$L,1+J5,)</f>
        <v>Châu Á (tiểu lục địa Ấn Độ)</v>
      </c>
      <c r="J5" s="2596">
        <v>4</v>
      </c>
    </row>
    <row r="6" spans="1:10" s="2596" customFormat="1">
      <c r="A6" s="2811" t="s">
        <v>299</v>
      </c>
      <c r="B6" s="2811"/>
      <c r="C6" s="2814" t="s">
        <v>1692</v>
      </c>
      <c r="D6" s="2814" t="s">
        <v>299</v>
      </c>
      <c r="E6" s="2596" t="s">
        <v>7946</v>
      </c>
      <c r="F6" s="3592" t="s">
        <v>2885</v>
      </c>
      <c r="G6" s="3593" t="s">
        <v>3585</v>
      </c>
      <c r="H6" s="2596" t="str">
        <f>HLOOKUP(Non_UN,'Other translations2'!$A:$L,1+J6,)</f>
        <v>Châu Á (phần các đảo)</v>
      </c>
      <c r="J6" s="2596">
        <v>5</v>
      </c>
    </row>
    <row r="7" spans="1:10" s="2596" customFormat="1">
      <c r="A7" s="2811" t="s">
        <v>300</v>
      </c>
      <c r="B7" s="2811"/>
      <c r="C7" s="2814" t="s">
        <v>1693</v>
      </c>
      <c r="D7" s="2814" t="s">
        <v>4320</v>
      </c>
      <c r="E7" s="2596" t="s">
        <v>7947</v>
      </c>
      <c r="F7" s="3592" t="s">
        <v>2886</v>
      </c>
      <c r="G7" s="3593" t="s">
        <v>3586</v>
      </c>
      <c r="H7" s="2596" t="str">
        <f>HLOOKUP(Non_UN,'Other translations2'!$A:$L,1+J7,)</f>
        <v>Trung Đông</v>
      </c>
      <c r="J7" s="2596">
        <v>6</v>
      </c>
    </row>
    <row r="8" spans="1:10" s="2596" customFormat="1">
      <c r="A8" s="2811" t="s">
        <v>301</v>
      </c>
      <c r="B8" s="2811"/>
      <c r="C8" s="2814" t="s">
        <v>1694</v>
      </c>
      <c r="D8" s="2814" t="s">
        <v>4321</v>
      </c>
      <c r="E8" s="2596" t="s">
        <v>7948</v>
      </c>
      <c r="F8" s="3592" t="s">
        <v>2887</v>
      </c>
      <c r="G8" s="3593" t="s">
        <v>3587</v>
      </c>
      <c r="H8" s="2596" t="str">
        <f>HLOOKUP(Non_UN,'Other translations2'!$A:$L,1+J8,)</f>
        <v>Tây Âu</v>
      </c>
      <c r="J8" s="2596">
        <v>7</v>
      </c>
    </row>
    <row r="9" spans="1:10" s="2596" customFormat="1">
      <c r="A9" s="2811" t="s">
        <v>302</v>
      </c>
      <c r="B9" s="2811"/>
      <c r="C9" s="2814" t="s">
        <v>1695</v>
      </c>
      <c r="D9" s="2814" t="s">
        <v>4322</v>
      </c>
      <c r="E9" s="2596" t="s">
        <v>7949</v>
      </c>
      <c r="F9" s="3592" t="s">
        <v>2888</v>
      </c>
      <c r="G9" s="3593" t="s">
        <v>3588</v>
      </c>
      <c r="H9" s="2596" t="str">
        <f>HLOOKUP(Non_UN,'Other translations2'!$A:$L,1+J9,)</f>
        <v>Đông Âu</v>
      </c>
      <c r="J9" s="2596">
        <v>8</v>
      </c>
    </row>
    <row r="10" spans="1:10" s="2596" customFormat="1">
      <c r="A10" s="2811" t="s">
        <v>303</v>
      </c>
      <c r="B10" s="2811"/>
      <c r="C10" s="2814" t="s">
        <v>1696</v>
      </c>
      <c r="D10" s="2814" t="s">
        <v>303</v>
      </c>
      <c r="E10" s="2596" t="s">
        <v>7950</v>
      </c>
      <c r="F10" s="3592" t="s">
        <v>2889</v>
      </c>
      <c r="G10" s="3593" t="s">
        <v>3589</v>
      </c>
      <c r="H10" s="2596" t="str">
        <f>HLOOKUP(Non_UN,'Other translations2'!$A:$L,1+J10,)</f>
        <v>Châu Đại dương</v>
      </c>
      <c r="J10" s="2596">
        <v>9</v>
      </c>
    </row>
    <row r="11" spans="1:10" s="2596" customFormat="1">
      <c r="A11" s="2811" t="s">
        <v>304</v>
      </c>
      <c r="B11" s="2811"/>
      <c r="C11" s="2814" t="s">
        <v>1697</v>
      </c>
      <c r="D11" s="2814" t="s">
        <v>4323</v>
      </c>
      <c r="E11" s="2596" t="s">
        <v>7951</v>
      </c>
      <c r="F11" s="3592" t="s">
        <v>2890</v>
      </c>
      <c r="G11" s="3593" t="s">
        <v>3590</v>
      </c>
      <c r="H11" s="2596" t="str">
        <f>HLOOKUP(Non_UN,'Other translations2'!$A:$L,1+J11,)</f>
        <v>Bắc Mỹ</v>
      </c>
      <c r="J11" s="2596">
        <v>10</v>
      </c>
    </row>
    <row r="12" spans="1:10" s="2596" customFormat="1">
      <c r="A12" s="2811" t="s">
        <v>305</v>
      </c>
      <c r="B12" s="2811"/>
      <c r="C12" s="2814" t="s">
        <v>1698</v>
      </c>
      <c r="D12" s="2814" t="s">
        <v>4324</v>
      </c>
      <c r="E12" s="2596" t="s">
        <v>7952</v>
      </c>
      <c r="F12" s="3592" t="s">
        <v>2891</v>
      </c>
      <c r="G12" s="3593" t="s">
        <v>3591</v>
      </c>
      <c r="H12" s="2596" t="str">
        <f>HLOOKUP(Non_UN,'Other translations2'!$A:$L,1+J12,)</f>
        <v>Trung Mỹ</v>
      </c>
      <c r="J12" s="2596">
        <v>11</v>
      </c>
    </row>
    <row r="13" spans="1:10" s="2596" customFormat="1">
      <c r="A13" s="2811" t="s">
        <v>306</v>
      </c>
      <c r="B13" s="2811"/>
      <c r="C13" s="2814" t="s">
        <v>1699</v>
      </c>
      <c r="D13" s="2814" t="s">
        <v>4325</v>
      </c>
      <c r="E13" s="2596" t="s">
        <v>7953</v>
      </c>
      <c r="F13" s="3592" t="s">
        <v>2892</v>
      </c>
      <c r="G13" s="3593" t="s">
        <v>3592</v>
      </c>
      <c r="H13" s="2596" t="str">
        <f>HLOOKUP(Non_UN,'Other translations2'!$A:$L,1+J13,)</f>
        <v>Nam Mỹ</v>
      </c>
      <c r="J13" s="2596">
        <v>12</v>
      </c>
    </row>
    <row r="14" spans="1:10" s="2596" customFormat="1">
      <c r="A14" s="2811" t="str">
        <f>A2</f>
        <v>Please select</v>
      </c>
      <c r="B14" s="2811"/>
      <c r="C14" s="2814" t="str">
        <f>C2</f>
        <v>Merci de choisir</v>
      </c>
      <c r="D14" s="2814" t="s">
        <v>4318</v>
      </c>
      <c r="E14" s="2596" t="s">
        <v>7942</v>
      </c>
      <c r="F14" s="3592" t="s">
        <v>2881</v>
      </c>
      <c r="G14" s="3593" t="s">
        <v>3581</v>
      </c>
      <c r="H14" s="2596" t="str">
        <f>HLOOKUP(Non_UN,'Other translations2'!$A:$L,1+J14,)</f>
        <v>Vui lòng chọn</v>
      </c>
      <c r="J14" s="2596">
        <v>13</v>
      </c>
    </row>
    <row r="15" spans="1:10" s="2596" customFormat="1">
      <c r="A15" s="2811" t="s">
        <v>391</v>
      </c>
      <c r="B15" s="2811"/>
      <c r="C15" s="2814" t="s">
        <v>1703</v>
      </c>
      <c r="D15" s="2814" t="s">
        <v>391</v>
      </c>
      <c r="E15" s="2596" t="s">
        <v>3808</v>
      </c>
      <c r="F15" s="3592" t="s">
        <v>2852</v>
      </c>
      <c r="G15" s="3593" t="s">
        <v>3550</v>
      </c>
      <c r="H15" s="2596" t="str">
        <f>HLOOKUP(Non_UN,'Other translations2'!$A:$L,1+J15,)</f>
        <v>Phương Bắc</v>
      </c>
      <c r="J15" s="2596">
        <v>14</v>
      </c>
    </row>
    <row r="16" spans="1:10" s="2596" customFormat="1">
      <c r="A16" s="2811" t="s">
        <v>285</v>
      </c>
      <c r="B16" s="3594"/>
      <c r="C16" s="2816" t="s">
        <v>1704</v>
      </c>
      <c r="D16" s="2814" t="s">
        <v>4326</v>
      </c>
      <c r="E16" s="2596" t="s">
        <v>3808</v>
      </c>
      <c r="F16" s="3592" t="s">
        <v>2893</v>
      </c>
      <c r="G16" s="3593" t="s">
        <v>3593</v>
      </c>
      <c r="H16" s="2596" t="str">
        <f>HLOOKUP(Non_UN,'Other translations2'!$A:$L,1+J16,)</f>
        <v>Vùng ôn đới mát mẻ</v>
      </c>
      <c r="J16" s="2596">
        <v>15</v>
      </c>
    </row>
    <row r="17" spans="1:10" s="2596" customFormat="1">
      <c r="A17" s="2811" t="s">
        <v>287</v>
      </c>
      <c r="B17" s="3594"/>
      <c r="C17" s="2816" t="s">
        <v>1705</v>
      </c>
      <c r="D17" s="2814" t="s">
        <v>4327</v>
      </c>
      <c r="E17" s="2596" t="s">
        <v>7954</v>
      </c>
      <c r="F17" s="3592" t="s">
        <v>2894</v>
      </c>
      <c r="G17" s="3593" t="s">
        <v>3594</v>
      </c>
      <c r="H17" s="2596" t="str">
        <f>HLOOKUP(Non_UN,'Other translations2'!$A:$L,1+J17,)</f>
        <v xml:space="preserve">Vùng ôn đới ấm </v>
      </c>
      <c r="J17" s="2596">
        <v>16</v>
      </c>
    </row>
    <row r="18" spans="1:10" s="2596" customFormat="1">
      <c r="A18" s="2811" t="s">
        <v>289</v>
      </c>
      <c r="B18" s="3594"/>
      <c r="C18" s="2816" t="s">
        <v>289</v>
      </c>
      <c r="D18" s="2814" t="s">
        <v>289</v>
      </c>
      <c r="E18" s="2596" t="s">
        <v>7955</v>
      </c>
      <c r="F18" s="3592" t="s">
        <v>2895</v>
      </c>
      <c r="G18" s="3593" t="s">
        <v>3595</v>
      </c>
      <c r="H18" s="2596" t="str">
        <f>HLOOKUP(Non_UN,'Other translations2'!$A:$L,1+J18,)</f>
        <v>Nhiệt đới</v>
      </c>
      <c r="J18" s="2596">
        <v>17</v>
      </c>
    </row>
    <row r="19" spans="1:10" s="2596" customFormat="1">
      <c r="A19" s="2811" t="s">
        <v>6501</v>
      </c>
      <c r="B19" s="3594"/>
      <c r="C19" s="2816" t="s">
        <v>1706</v>
      </c>
      <c r="D19" s="2814" t="s">
        <v>4328</v>
      </c>
      <c r="E19" s="2596" t="s">
        <v>7956</v>
      </c>
      <c r="F19" s="3592" t="s">
        <v>2896</v>
      </c>
      <c r="G19" s="3593" t="s">
        <v>3596</v>
      </c>
      <c r="H19" s="2596" t="str">
        <f>HLOOKUP(Non_UN,'Other translations2'!$A:$L,1+J19,)</f>
        <v>Vùng nhiệt đới miền núi</v>
      </c>
      <c r="J19" s="2596">
        <v>18</v>
      </c>
    </row>
    <row r="20" spans="1:10" s="2596" customFormat="1">
      <c r="A20" s="2811" t="s">
        <v>284</v>
      </c>
      <c r="B20" s="2811"/>
      <c r="C20" s="2816" t="s">
        <v>1707</v>
      </c>
      <c r="D20" s="2814" t="s">
        <v>2408</v>
      </c>
      <c r="E20" s="2596" t="s">
        <v>7957</v>
      </c>
      <c r="F20" s="3592" t="s">
        <v>2897</v>
      </c>
      <c r="G20" s="3593" t="s">
        <v>3597</v>
      </c>
      <c r="H20" s="2596" t="str">
        <f>HLOOKUP(Non_UN,'Other translations2'!$A:$L,1+J20,)</f>
        <v>Khô</v>
      </c>
      <c r="J20" s="2596">
        <v>19</v>
      </c>
    </row>
    <row r="21" spans="1:10" s="2596" customFormat="1">
      <c r="A21" s="2811" t="s">
        <v>286</v>
      </c>
      <c r="B21" s="2811"/>
      <c r="C21" s="2816" t="s">
        <v>1708</v>
      </c>
      <c r="D21" s="2814" t="s">
        <v>4329</v>
      </c>
      <c r="E21" s="2596" t="s">
        <v>7958</v>
      </c>
      <c r="F21" s="3592" t="s">
        <v>2898</v>
      </c>
      <c r="G21" s="3593" t="s">
        <v>3598</v>
      </c>
      <c r="H21" s="2596" t="str">
        <f>HLOOKUP(Non_UN,'Other translations2'!$A:$L,1+J21,)</f>
        <v xml:space="preserve">Ẩm </v>
      </c>
      <c r="J21" s="2596">
        <v>20</v>
      </c>
    </row>
    <row r="22" spans="1:10" s="2596" customFormat="1">
      <c r="A22" s="2811" t="s">
        <v>288</v>
      </c>
      <c r="B22" s="2811"/>
      <c r="C22" s="2816" t="s">
        <v>1709</v>
      </c>
      <c r="D22" s="2814" t="s">
        <v>4330</v>
      </c>
      <c r="E22" s="2596" t="s">
        <v>7959</v>
      </c>
      <c r="F22" s="3592" t="s">
        <v>2899</v>
      </c>
      <c r="G22" s="3593" t="s">
        <v>3599</v>
      </c>
      <c r="H22" s="2596" t="str">
        <f>HLOOKUP(Non_UN,'Other translations2'!$A:$L,1+J22,)</f>
        <v>Ướt</v>
      </c>
      <c r="J22" s="2596">
        <v>21</v>
      </c>
    </row>
    <row r="23" spans="1:10" s="2596" customFormat="1">
      <c r="A23" s="2811" t="s">
        <v>462</v>
      </c>
      <c r="B23" s="2811"/>
      <c r="C23" s="2816" t="s">
        <v>1710</v>
      </c>
      <c r="D23" s="2814" t="s">
        <v>4331</v>
      </c>
      <c r="E23" s="2596" t="s">
        <v>7960</v>
      </c>
      <c r="F23" s="3592" t="s">
        <v>3151</v>
      </c>
      <c r="G23" s="3593" t="s">
        <v>3600</v>
      </c>
      <c r="H23" s="2596" t="str">
        <f>HLOOKUP(Non_UN,'Other translations2'!$A:$L,1+J23,)</f>
        <v>Đất HAC</v>
      </c>
      <c r="J23" s="2596">
        <v>22</v>
      </c>
    </row>
    <row r="24" spans="1:10" s="2596" customFormat="1">
      <c r="A24" s="2811" t="s">
        <v>463</v>
      </c>
      <c r="B24" s="2811"/>
      <c r="C24" s="2816" t="s">
        <v>1711</v>
      </c>
      <c r="D24" s="2814" t="s">
        <v>4332</v>
      </c>
      <c r="E24" s="2596" t="s">
        <v>7961</v>
      </c>
      <c r="F24" s="3592" t="s">
        <v>3152</v>
      </c>
      <c r="G24" s="3593" t="s">
        <v>3601</v>
      </c>
      <c r="H24" s="2596" t="str">
        <f>HLOOKUP(Non_UN,'Other translations2'!$A:$L,1+J24,)</f>
        <v>Đất LAC</v>
      </c>
      <c r="J24" s="2596">
        <v>23</v>
      </c>
    </row>
    <row r="25" spans="1:10" s="2596" customFormat="1">
      <c r="A25" s="2811" t="s">
        <v>464</v>
      </c>
      <c r="B25" s="2811"/>
      <c r="C25" s="2816" t="s">
        <v>1712</v>
      </c>
      <c r="D25" s="2814" t="s">
        <v>4333</v>
      </c>
      <c r="E25" s="2596" t="s">
        <v>7962</v>
      </c>
      <c r="F25" s="3592" t="s">
        <v>2900</v>
      </c>
      <c r="G25" s="3593" t="s">
        <v>3602</v>
      </c>
      <c r="H25" s="2596" t="str">
        <f>HLOOKUP(Non_UN,'Other translations2'!$A:$L,1+J25,)</f>
        <v>Đất cát</v>
      </c>
      <c r="J25" s="2596">
        <v>24</v>
      </c>
    </row>
    <row r="26" spans="1:10" s="2596" customFormat="1" ht="15">
      <c r="A26" s="2811" t="s">
        <v>465</v>
      </c>
      <c r="B26" s="2811"/>
      <c r="C26" s="2816" t="s">
        <v>1713</v>
      </c>
      <c r="D26" s="2814" t="s">
        <v>4334</v>
      </c>
      <c r="E26" s="3595" t="s">
        <v>7963</v>
      </c>
      <c r="F26" s="3592" t="s">
        <v>2901</v>
      </c>
      <c r="G26" s="3593" t="s">
        <v>3603</v>
      </c>
      <c r="H26" s="2596" t="str">
        <f>HLOOKUP(Non_UN,'Other translations2'!$A:$L,1+J26,)</f>
        <v>Đất khoáng</v>
      </c>
      <c r="J26" s="2596">
        <v>25</v>
      </c>
    </row>
    <row r="27" spans="1:10" s="2596" customFormat="1">
      <c r="A27" s="2811" t="s">
        <v>504</v>
      </c>
      <c r="B27" s="2811"/>
      <c r="C27" s="2816" t="s">
        <v>1714</v>
      </c>
      <c r="D27" s="2814" t="s">
        <v>4335</v>
      </c>
      <c r="E27" s="2596" t="s">
        <v>7964</v>
      </c>
      <c r="F27" s="3592" t="s">
        <v>2902</v>
      </c>
      <c r="G27" s="3593" t="s">
        <v>3604</v>
      </c>
      <c r="H27" s="2596" t="str">
        <f>HLOOKUP(Non_UN,'Other translations2'!$A:$L,1+J27,)</f>
        <v>Đất núi lửa</v>
      </c>
      <c r="J27" s="2596">
        <v>26</v>
      </c>
    </row>
    <row r="28" spans="1:10" s="2596" customFormat="1">
      <c r="A28" s="2811" t="s">
        <v>505</v>
      </c>
      <c r="B28" s="2811"/>
      <c r="C28" s="2816" t="s">
        <v>1715</v>
      </c>
      <c r="D28" s="2814" t="s">
        <v>4336</v>
      </c>
      <c r="E28" s="2596" t="s">
        <v>7965</v>
      </c>
      <c r="F28" s="3592" t="s">
        <v>2903</v>
      </c>
      <c r="G28" s="3593" t="s">
        <v>3605</v>
      </c>
      <c r="H28" s="2596" t="str">
        <f>HLOOKUP(Non_UN,'Other translations2'!$A:$L,1+J28,)</f>
        <v>Đất ngập nước/ đầm lầy</v>
      </c>
      <c r="J28" s="2596">
        <v>27</v>
      </c>
    </row>
    <row r="29" spans="1:10" s="2596" customFormat="1">
      <c r="A29" s="2811" t="s">
        <v>268</v>
      </c>
      <c r="B29" s="2811"/>
      <c r="C29" s="2816" t="s">
        <v>1716</v>
      </c>
      <c r="D29" s="2814" t="s">
        <v>4337</v>
      </c>
      <c r="E29" s="2596" t="s">
        <v>7966</v>
      </c>
      <c r="F29" s="3592" t="s">
        <v>2904</v>
      </c>
      <c r="G29" s="3593" t="s">
        <v>3606</v>
      </c>
      <c r="H29" s="2596" t="str">
        <f>HLOOKUP(Non_UN,'Other translations2'!$A:$L,1+J29,)</f>
        <v>Loại đất khác</v>
      </c>
      <c r="J29" s="2596">
        <v>28</v>
      </c>
    </row>
    <row r="30" spans="1:10" s="2596" customFormat="1" ht="25.5">
      <c r="A30" s="2811" t="str">
        <f>' IPCC'!G8</f>
        <v>Please specify the climate</v>
      </c>
      <c r="B30" s="2811"/>
      <c r="C30" s="2814" t="s">
        <v>1718</v>
      </c>
      <c r="D30" s="2814" t="s">
        <v>4338</v>
      </c>
      <c r="E30" s="2596" t="s">
        <v>7967</v>
      </c>
      <c r="F30" s="3592" t="s">
        <v>2905</v>
      </c>
      <c r="G30" s="3593" t="s">
        <v>3607</v>
      </c>
      <c r="H30" s="2596" t="str">
        <f>HLOOKUP(Non_UN,'Other translations2'!$A:$L,1+J30,)</f>
        <v>Vui lòng chỉ rõ đặc điểm khí hậu</v>
      </c>
      <c r="J30" s="2596">
        <v>29</v>
      </c>
    </row>
    <row r="31" spans="1:10" s="2596" customFormat="1">
      <c r="A31" s="2811" t="s">
        <v>392</v>
      </c>
      <c r="B31" s="2811"/>
      <c r="C31" s="2814" t="s">
        <v>1654</v>
      </c>
      <c r="D31" s="2814" t="s">
        <v>4339</v>
      </c>
      <c r="E31" s="2596" t="s">
        <v>7968</v>
      </c>
      <c r="F31" s="3592" t="s">
        <v>2906</v>
      </c>
      <c r="G31" s="3593" t="s">
        <v>3608</v>
      </c>
      <c r="H31" s="2596" t="str">
        <f>HLOOKUP(Non_UN,'Other translations2'!$A:$L,1+J31,)</f>
        <v>Rừng mưa nhiệt đới</v>
      </c>
      <c r="J31" s="2596">
        <v>30</v>
      </c>
    </row>
    <row r="32" spans="1:10" s="2596" customFormat="1">
      <c r="A32" s="2811" t="s">
        <v>397</v>
      </c>
      <c r="B32" s="2811"/>
      <c r="C32" s="2814" t="s">
        <v>1659</v>
      </c>
      <c r="D32" s="2814" t="s">
        <v>4340</v>
      </c>
      <c r="E32" s="2596" t="s">
        <v>7969</v>
      </c>
      <c r="F32" s="3592" t="s">
        <v>2907</v>
      </c>
      <c r="G32" s="3593" t="s">
        <v>3609</v>
      </c>
      <c r="H32" s="2596" t="str">
        <f>HLOOKUP(Non_UN,'Other translations2'!$A:$L,1+J32,)</f>
        <v>Rừng nhiệt đới ẩm lá rụng</v>
      </c>
      <c r="J32" s="2596">
        <v>31</v>
      </c>
    </row>
    <row r="33" spans="1:10" s="2596" customFormat="1">
      <c r="A33" s="2811" t="s">
        <v>401</v>
      </c>
      <c r="B33" s="2811"/>
      <c r="C33" s="2814" t="s">
        <v>1662</v>
      </c>
      <c r="D33" s="2814" t="s">
        <v>4341</v>
      </c>
      <c r="E33" s="2596" t="s">
        <v>7970</v>
      </c>
      <c r="F33" s="3592" t="s">
        <v>2908</v>
      </c>
      <c r="G33" s="3593" t="s">
        <v>3610</v>
      </c>
      <c r="H33" s="2596" t="str">
        <f>HLOOKUP(Non_UN,'Other translations2'!$A:$L,1+J33,)</f>
        <v>Rừng nhiệt đới khô</v>
      </c>
      <c r="J33" s="2596">
        <v>32</v>
      </c>
    </row>
    <row r="34" spans="1:10" s="2596" customFormat="1" ht="25.5">
      <c r="A34" s="2811" t="s">
        <v>405</v>
      </c>
      <c r="B34" s="2811"/>
      <c r="C34" s="2814" t="s">
        <v>1665</v>
      </c>
      <c r="D34" s="2814" t="s">
        <v>4342</v>
      </c>
      <c r="E34" s="2596" t="s">
        <v>7971</v>
      </c>
      <c r="F34" s="3592" t="s">
        <v>2909</v>
      </c>
      <c r="G34" s="3593" t="s">
        <v>3611</v>
      </c>
      <c r="H34" s="2596" t="str">
        <f>HLOOKUP(Non_UN,'Other translations2'!$A:$L,1+J34,)</f>
        <v>Vùng cây bụi nhiệt đới</v>
      </c>
      <c r="J34" s="2596">
        <v>33</v>
      </c>
    </row>
    <row r="35" spans="1:10" s="2596" customFormat="1">
      <c r="A35" s="2811" t="s">
        <v>393</v>
      </c>
      <c r="B35" s="2811"/>
      <c r="C35" s="2814" t="s">
        <v>1655</v>
      </c>
      <c r="D35" s="2814" t="s">
        <v>4343</v>
      </c>
      <c r="E35" s="2596" t="s">
        <v>7972</v>
      </c>
      <c r="F35" s="3592" t="s">
        <v>2910</v>
      </c>
      <c r="G35" s="3593" t="s">
        <v>3612</v>
      </c>
      <c r="H35" s="2596" t="str">
        <f>HLOOKUP(Non_UN,'Other translations2'!$A:$L,1+J35,)</f>
        <v>Rừng cận nhiệt đới ẩm ướt</v>
      </c>
      <c r="J35" s="2596">
        <v>34</v>
      </c>
    </row>
    <row r="36" spans="1:10" s="2596" customFormat="1">
      <c r="A36" s="2811" t="s">
        <v>398</v>
      </c>
      <c r="B36" s="2811"/>
      <c r="C36" s="2814" t="s">
        <v>1660</v>
      </c>
      <c r="D36" s="2814" t="s">
        <v>4344</v>
      </c>
      <c r="E36" s="2596" t="s">
        <v>7973</v>
      </c>
      <c r="F36" s="3592" t="s">
        <v>2911</v>
      </c>
      <c r="G36" s="3593" t="s">
        <v>3613</v>
      </c>
      <c r="H36" s="2596" t="str">
        <f>HLOOKUP(Non_UN,'Other translations2'!$A:$L,1+J36,)</f>
        <v>Rừng cận nhiệt đới khô</v>
      </c>
      <c r="J36" s="2596">
        <v>35</v>
      </c>
    </row>
    <row r="37" spans="1:10" s="2596" customFormat="1">
      <c r="A37" s="2811" t="s">
        <v>402</v>
      </c>
      <c r="B37" s="2811"/>
      <c r="C37" s="2814" t="s">
        <v>1663</v>
      </c>
      <c r="D37" s="2814" t="s">
        <v>4345</v>
      </c>
      <c r="E37" s="2596" t="s">
        <v>7974</v>
      </c>
      <c r="F37" s="3592" t="s">
        <v>2912</v>
      </c>
      <c r="G37" s="3593" t="s">
        <v>3614</v>
      </c>
      <c r="H37" s="2596" t="str">
        <f>HLOOKUP(Non_UN,'Other translations2'!$A:$L,1+J37,)</f>
        <v>Vùng cận nhiệt đới thảo nguyên</v>
      </c>
      <c r="J37" s="2596">
        <v>36</v>
      </c>
    </row>
    <row r="38" spans="1:10" s="2596" customFormat="1">
      <c r="A38" s="2811" t="s">
        <v>406</v>
      </c>
      <c r="B38" s="2811"/>
      <c r="C38" s="2814" t="s">
        <v>1666</v>
      </c>
      <c r="D38" s="2814" t="s">
        <v>4512</v>
      </c>
      <c r="E38" s="2596" t="s">
        <v>7975</v>
      </c>
      <c r="F38" s="3592" t="s">
        <v>2913</v>
      </c>
      <c r="G38" s="3593" t="s">
        <v>3615</v>
      </c>
      <c r="H38" s="2596" t="str">
        <f>HLOOKUP(Non_UN,'Other translations2'!$A:$L,1+J38,)</f>
        <v>Các hệ thống núi cận nhiệt đới</v>
      </c>
      <c r="J38" s="2596">
        <v>37</v>
      </c>
    </row>
    <row r="39" spans="1:10" s="2596" customFormat="1">
      <c r="A39" s="2811" t="s">
        <v>394</v>
      </c>
      <c r="B39" s="2811"/>
      <c r="C39" s="2814" t="s">
        <v>1656</v>
      </c>
      <c r="D39" s="2814" t="s">
        <v>4346</v>
      </c>
      <c r="E39" s="2596" t="s">
        <v>7976</v>
      </c>
      <c r="F39" s="3592" t="s">
        <v>2914</v>
      </c>
      <c r="G39" s="3593" t="s">
        <v>3616</v>
      </c>
      <c r="H39" s="2596" t="str">
        <f>HLOOKUP(Non_UN,'Other translations2'!$A:$L,1+J39,)</f>
        <v>Rừng ôn đới đại dương</v>
      </c>
      <c r="J39" s="2596">
        <v>38</v>
      </c>
    </row>
    <row r="40" spans="1:10" s="2596" customFormat="1">
      <c r="A40" s="2811" t="s">
        <v>399</v>
      </c>
      <c r="B40" s="2811"/>
      <c r="C40" s="2814" t="s">
        <v>1661</v>
      </c>
      <c r="D40" s="2814" t="s">
        <v>4347</v>
      </c>
      <c r="E40" s="2596" t="s">
        <v>7977</v>
      </c>
      <c r="F40" s="3592" t="s">
        <v>2915</v>
      </c>
      <c r="G40" s="3593" t="s">
        <v>3617</v>
      </c>
      <c r="H40" s="2596" t="str">
        <f>HLOOKUP(Non_UN,'Other translations2'!$A:$L,1+J40,)</f>
        <v>Rừng ôn đới lục địa</v>
      </c>
      <c r="J40" s="2596">
        <v>39</v>
      </c>
    </row>
    <row r="41" spans="1:10" s="2596" customFormat="1">
      <c r="A41" s="2811" t="s">
        <v>403</v>
      </c>
      <c r="B41" s="2811"/>
      <c r="C41" s="2814" t="s">
        <v>1664</v>
      </c>
      <c r="D41" s="2814" t="s">
        <v>4348</v>
      </c>
      <c r="E41" s="2596" t="s">
        <v>7978</v>
      </c>
      <c r="F41" s="3592" t="s">
        <v>2916</v>
      </c>
      <c r="G41" s="3593" t="s">
        <v>3618</v>
      </c>
      <c r="H41" s="2596" t="str">
        <f>HLOOKUP(Non_UN,'Other translations2'!$A:$L,1+J41,)</f>
        <v>Hệ thống núi ôn đới</v>
      </c>
      <c r="J41" s="2596">
        <v>40</v>
      </c>
    </row>
    <row r="42" spans="1:10" s="2596" customFormat="1">
      <c r="A42" s="2811" t="s">
        <v>395</v>
      </c>
      <c r="B42" s="2811"/>
      <c r="C42" s="2814" t="s">
        <v>1657</v>
      </c>
      <c r="D42" s="2814" t="s">
        <v>4349</v>
      </c>
      <c r="E42" s="2596" t="s">
        <v>3810</v>
      </c>
      <c r="F42" s="3592" t="s">
        <v>2917</v>
      </c>
      <c r="G42" s="3593" t="s">
        <v>3619</v>
      </c>
      <c r="H42" s="2596" t="str">
        <f>HLOOKUP(Non_UN,'Other translations2'!$A:$L,1+J42,)</f>
        <v>Rừng tùng bách phương Bắc</v>
      </c>
      <c r="J42" s="2596">
        <v>41</v>
      </c>
    </row>
    <row r="43" spans="1:10" s="2596" customFormat="1">
      <c r="A43" s="2811" t="s">
        <v>400</v>
      </c>
      <c r="B43" s="2811"/>
      <c r="C43" s="2814" t="s">
        <v>1667</v>
      </c>
      <c r="D43" s="2814" t="s">
        <v>4350</v>
      </c>
      <c r="E43" s="2596" t="s">
        <v>3811</v>
      </c>
      <c r="F43" s="3592" t="s">
        <v>2918</v>
      </c>
      <c r="G43" s="3593" t="s">
        <v>3620</v>
      </c>
      <c r="H43" s="2596" t="str">
        <f>HLOOKUP(Non_UN,'Other translations2'!$A:$L,1+J43,)</f>
        <v>Vùng rừng lãnh nguyên phương Bắc</v>
      </c>
      <c r="J43" s="2596">
        <v>42</v>
      </c>
    </row>
    <row r="44" spans="1:10" s="2596" customFormat="1">
      <c r="A44" s="2811" t="s">
        <v>404</v>
      </c>
      <c r="B44" s="2811"/>
      <c r="C44" s="2814" t="s">
        <v>1668</v>
      </c>
      <c r="D44" s="2814" t="s">
        <v>4351</v>
      </c>
      <c r="E44" s="2596" t="s">
        <v>3812</v>
      </c>
      <c r="F44" s="3592" t="s">
        <v>2919</v>
      </c>
      <c r="G44" s="3593" t="s">
        <v>3621</v>
      </c>
      <c r="H44" s="2596" t="str">
        <f>HLOOKUP(Non_UN,'Other translations2'!$A:$L,1+J44,)</f>
        <v>Hệ thống núi phương Bắc</v>
      </c>
      <c r="J44" s="2596">
        <v>43</v>
      </c>
    </row>
    <row r="45" spans="1:10" s="2596" customFormat="1">
      <c r="A45" s="2811" t="s">
        <v>396</v>
      </c>
      <c r="B45" s="2811"/>
      <c r="C45" s="2814" t="s">
        <v>1658</v>
      </c>
      <c r="D45" s="2814" t="s">
        <v>4352</v>
      </c>
      <c r="E45" s="2596" t="s">
        <v>7979</v>
      </c>
      <c r="F45" s="3592" t="s">
        <v>2920</v>
      </c>
      <c r="G45" s="3593" t="s">
        <v>3622</v>
      </c>
      <c r="H45" s="2596" t="str">
        <f>HLOOKUP(Non_UN,'Other translations2'!$A:$L,1+J45,)</f>
        <v>Hệ thống núi nhiệt đới</v>
      </c>
      <c r="J45" s="2596">
        <v>44</v>
      </c>
    </row>
    <row r="46" spans="1:10" s="2596" customFormat="1">
      <c r="A46" s="2663" t="s">
        <v>1281</v>
      </c>
      <c r="B46" s="2811"/>
      <c r="C46" s="2749" t="s">
        <v>1722</v>
      </c>
      <c r="D46" s="2814" t="s">
        <v>4353</v>
      </c>
      <c r="E46" s="2596" t="s">
        <v>7980</v>
      </c>
      <c r="F46" s="3592" t="s">
        <v>2921</v>
      </c>
      <c r="G46" s="3593" t="s">
        <v>3623</v>
      </c>
      <c r="H46" s="2596" t="str">
        <f>HLOOKUP(Non_UN,'Other translations2'!$A:$L,1+J46,)</f>
        <v>Vùng rừng 1</v>
      </c>
      <c r="J46" s="2596">
        <v>45</v>
      </c>
    </row>
    <row r="47" spans="1:10" s="2596" customFormat="1">
      <c r="A47" s="2663" t="s">
        <v>1282</v>
      </c>
      <c r="B47" s="2811"/>
      <c r="C47" s="2749" t="s">
        <v>1723</v>
      </c>
      <c r="D47" s="2814" t="s">
        <v>4354</v>
      </c>
      <c r="E47" s="2596" t="s">
        <v>7981</v>
      </c>
      <c r="F47" s="3592" t="s">
        <v>2922</v>
      </c>
      <c r="G47" s="3593" t="s">
        <v>3624</v>
      </c>
      <c r="H47" s="2596" t="str">
        <f>HLOOKUP(Non_UN,'Other translations2'!$A:$L,1+J47,)</f>
        <v>Vùng rừng 2</v>
      </c>
      <c r="J47" s="2596">
        <v>46</v>
      </c>
    </row>
    <row r="48" spans="1:10" s="2596" customFormat="1">
      <c r="A48" s="2663" t="s">
        <v>1283</v>
      </c>
      <c r="B48" s="2811"/>
      <c r="C48" s="2749" t="s">
        <v>1724</v>
      </c>
      <c r="D48" s="2814" t="s">
        <v>4355</v>
      </c>
      <c r="E48" s="2596" t="s">
        <v>7982</v>
      </c>
      <c r="F48" s="3592" t="s">
        <v>2923</v>
      </c>
      <c r="G48" s="3593" t="s">
        <v>3625</v>
      </c>
      <c r="H48" s="2596" t="str">
        <f>HLOOKUP(Non_UN,'Other translations2'!$A:$L,1+J48,)</f>
        <v>Vùng rừng 3</v>
      </c>
      <c r="J48" s="2596">
        <v>47</v>
      </c>
    </row>
    <row r="49" spans="1:10" s="2596" customFormat="1">
      <c r="A49" s="2663" t="s">
        <v>1284</v>
      </c>
      <c r="B49" s="2811"/>
      <c r="C49" s="2749" t="s">
        <v>1725</v>
      </c>
      <c r="D49" s="2814" t="s">
        <v>4356</v>
      </c>
      <c r="E49" s="2596" t="s">
        <v>7983</v>
      </c>
      <c r="F49" s="3592" t="s">
        <v>2924</v>
      </c>
      <c r="G49" s="3593" t="s">
        <v>3626</v>
      </c>
      <c r="H49" s="2596" t="str">
        <f>HLOOKUP(Non_UN,'Other translations2'!$A:$L,1+J49,)</f>
        <v>Vùng rừng 4</v>
      </c>
      <c r="J49" s="2596">
        <v>48</v>
      </c>
    </row>
    <row r="50" spans="1:10" s="2596" customFormat="1">
      <c r="A50" s="2663" t="s">
        <v>1285</v>
      </c>
      <c r="B50" s="2811"/>
      <c r="C50" s="2749" t="s">
        <v>1726</v>
      </c>
      <c r="D50" s="2814" t="s">
        <v>4357</v>
      </c>
      <c r="E50" s="2596" t="s">
        <v>7984</v>
      </c>
      <c r="F50" s="3592" t="s">
        <v>2925</v>
      </c>
      <c r="G50" s="3593" t="s">
        <v>3627</v>
      </c>
      <c r="H50" s="2596" t="str">
        <f>HLOOKUP(Non_UN,'Other translations2'!$A:$L,1+J50,)</f>
        <v>Khu đất trồng 1</v>
      </c>
      <c r="J50" s="2596">
        <v>49</v>
      </c>
    </row>
    <row r="51" spans="1:10" s="2596" customFormat="1">
      <c r="A51" s="2663" t="s">
        <v>1286</v>
      </c>
      <c r="B51" s="2811"/>
      <c r="C51" s="2749" t="s">
        <v>1727</v>
      </c>
      <c r="D51" s="2814" t="s">
        <v>4358</v>
      </c>
      <c r="E51" s="2596" t="s">
        <v>7985</v>
      </c>
      <c r="F51" s="3592" t="s">
        <v>2926</v>
      </c>
      <c r="G51" s="3593" t="s">
        <v>3628</v>
      </c>
      <c r="H51" s="2596" t="str">
        <f>HLOOKUP(Non_UN,'Other translations2'!$A:$L,1+J51,)</f>
        <v>Khu đất trồng 2</v>
      </c>
      <c r="J51" s="2596">
        <v>50</v>
      </c>
    </row>
    <row r="52" spans="1:10" s="2596" customFormat="1">
      <c r="A52" s="2663" t="s">
        <v>1287</v>
      </c>
      <c r="B52" s="2811"/>
      <c r="C52" s="2749" t="s">
        <v>1728</v>
      </c>
      <c r="D52" s="2814" t="s">
        <v>4359</v>
      </c>
      <c r="E52" s="2596" t="s">
        <v>7986</v>
      </c>
      <c r="F52" s="3592" t="s">
        <v>2927</v>
      </c>
      <c r="G52" s="3593" t="s">
        <v>3629</v>
      </c>
      <c r="H52" s="2596" t="str">
        <f>HLOOKUP(Non_UN,'Other translations2'!$A:$L,1+J52,)</f>
        <v>Khu đất trồng 3</v>
      </c>
      <c r="J52" s="2596">
        <v>51</v>
      </c>
    </row>
    <row r="53" spans="1:10" s="2596" customFormat="1">
      <c r="A53" s="2663" t="s">
        <v>1288</v>
      </c>
      <c r="B53" s="2811"/>
      <c r="C53" s="2749" t="s">
        <v>1729</v>
      </c>
      <c r="D53" s="2814" t="s">
        <v>4360</v>
      </c>
      <c r="E53" s="2596" t="s">
        <v>7987</v>
      </c>
      <c r="F53" s="3592" t="s">
        <v>2928</v>
      </c>
      <c r="G53" s="3593" t="s">
        <v>3630</v>
      </c>
      <c r="H53" s="2596" t="str">
        <f>HLOOKUP(Non_UN,'Other translations2'!$A:$L,1+J53,)</f>
        <v>Khu đất trồng 4</v>
      </c>
      <c r="J53" s="2596">
        <v>52</v>
      </c>
    </row>
    <row r="54" spans="1:10" s="2596" customFormat="1">
      <c r="A54" s="2663" t="s">
        <v>5652</v>
      </c>
      <c r="B54" s="2811"/>
      <c r="C54" s="2749" t="s">
        <v>5652</v>
      </c>
      <c r="D54" s="2817" t="s">
        <v>5717</v>
      </c>
      <c r="E54" s="2596" t="s">
        <v>5718</v>
      </c>
      <c r="F54" s="3584" t="s">
        <v>5719</v>
      </c>
      <c r="G54" s="3593" t="s">
        <v>5720</v>
      </c>
      <c r="H54" s="2596" t="str">
        <f>HLOOKUP(Non_UN,'Other translations2'!$A:$L,1+J54,)</f>
        <v>Rừng ngập mặn</v>
      </c>
      <c r="J54" s="2596">
        <v>53</v>
      </c>
    </row>
    <row r="55" spans="1:10" s="2596" customFormat="1">
      <c r="A55" s="2663" t="s">
        <v>1490</v>
      </c>
      <c r="B55" s="2811"/>
      <c r="C55" s="2749" t="s">
        <v>1730</v>
      </c>
      <c r="D55" s="2814" t="s">
        <v>4361</v>
      </c>
      <c r="E55" s="2596" t="s">
        <v>7988</v>
      </c>
      <c r="F55" s="3592" t="s">
        <v>2929</v>
      </c>
      <c r="G55" s="3593" t="s">
        <v>3631</v>
      </c>
      <c r="H55" s="2596" t="str">
        <f>HLOOKUP(Non_UN,'Other translations2'!$A:$L,1+J55,)</f>
        <v xml:space="preserve">Vui lòng chọn thảm thực vật </v>
      </c>
      <c r="J55" s="2596">
        <v>54</v>
      </c>
    </row>
    <row r="56" spans="1:10" s="2596" customFormat="1">
      <c r="A56" s="2663" t="s">
        <v>354</v>
      </c>
      <c r="B56" s="2811"/>
      <c r="C56" s="2749" t="s">
        <v>1732</v>
      </c>
      <c r="D56" s="2814" t="s">
        <v>354</v>
      </c>
      <c r="E56" s="2596" t="s">
        <v>7989</v>
      </c>
      <c r="F56" s="3592" t="s">
        <v>2930</v>
      </c>
      <c r="G56" s="3593" t="s">
        <v>3632</v>
      </c>
      <c r="H56" s="2596" t="str">
        <f>HLOOKUP(Non_UN,'Other translations2'!$A:$L,1+J56,)</f>
        <v>Không chọn</v>
      </c>
      <c r="J56" s="2596">
        <v>55</v>
      </c>
    </row>
    <row r="57" spans="1:10" s="2596" customFormat="1">
      <c r="A57" s="2663" t="s">
        <v>18</v>
      </c>
      <c r="B57" s="2811"/>
      <c r="C57" s="2749" t="s">
        <v>1733</v>
      </c>
      <c r="D57" s="2814" t="s">
        <v>4362</v>
      </c>
      <c r="E57" s="2596" t="s">
        <v>7990</v>
      </c>
      <c r="F57" s="3592" t="s">
        <v>2931</v>
      </c>
      <c r="G57" s="3593" t="s">
        <v>3633</v>
      </c>
      <c r="H57" s="2596" t="str">
        <f>HLOOKUP(Non_UN,'Other translations2'!$A:$L,1+J57,)</f>
        <v>Chọn</v>
      </c>
      <c r="J57" s="2596">
        <v>56</v>
      </c>
    </row>
    <row r="58" spans="1:10" s="2596" customFormat="1" ht="25.5">
      <c r="A58" s="2811" t="s">
        <v>12</v>
      </c>
      <c r="B58" s="2811"/>
      <c r="C58" s="2814" t="s">
        <v>1742</v>
      </c>
      <c r="D58" s="2814" t="s">
        <v>4363</v>
      </c>
      <c r="E58" s="2596" t="s">
        <v>7991</v>
      </c>
      <c r="F58" s="3592" t="s">
        <v>2932</v>
      </c>
      <c r="G58" s="3593" t="s">
        <v>3634</v>
      </c>
      <c r="H58" s="2596" t="str">
        <f>HLOOKUP(Non_UN,'Other translations2'!$A:$L,1+J58,)</f>
        <v>Chọn loại hình sử dụng sau suy thoái rừng</v>
      </c>
      <c r="J58" s="2596">
        <v>57</v>
      </c>
    </row>
    <row r="59" spans="1:10" s="2596" customFormat="1">
      <c r="A59" s="2811" t="s">
        <v>661</v>
      </c>
      <c r="B59" s="2811"/>
      <c r="C59" s="2814" t="s">
        <v>1738</v>
      </c>
      <c r="D59" s="2814" t="s">
        <v>4364</v>
      </c>
      <c r="E59" s="2596" t="s">
        <v>7992</v>
      </c>
      <c r="F59" s="3592" t="s">
        <v>2933</v>
      </c>
      <c r="G59" s="3593" t="s">
        <v>3635</v>
      </c>
      <c r="H59" s="2596" t="str">
        <f>HLOOKUP(Non_UN,'Other translations2'!$A:$L,1+J59,)</f>
        <v>Cây trồng hàng năm</v>
      </c>
      <c r="J59" s="2596">
        <v>58</v>
      </c>
    </row>
    <row r="60" spans="1:10" s="2596" customFormat="1">
      <c r="A60" s="2811" t="s">
        <v>658</v>
      </c>
      <c r="B60" s="2811"/>
      <c r="C60" s="2814" t="s">
        <v>1739</v>
      </c>
      <c r="D60" s="2814" t="s">
        <v>4365</v>
      </c>
      <c r="E60" s="2596" t="s">
        <v>7993</v>
      </c>
      <c r="F60" s="3592" t="s">
        <v>2934</v>
      </c>
      <c r="G60" s="3593" t="s">
        <v>3636</v>
      </c>
      <c r="H60" s="2596" t="str">
        <f>HLOOKUP(Non_UN,'Other translations2'!$A:$L,1+J60,)</f>
        <v>Cây trồng lâu năm/Cây</v>
      </c>
      <c r="J60" s="2596">
        <v>59</v>
      </c>
    </row>
    <row r="61" spans="1:10" s="2596" customFormat="1">
      <c r="A61" s="2811" t="s">
        <v>1608</v>
      </c>
      <c r="B61" s="2811"/>
      <c r="C61" s="2814" t="s">
        <v>1740</v>
      </c>
      <c r="D61" s="2814" t="s">
        <v>4513</v>
      </c>
      <c r="E61" s="2596" t="s">
        <v>7994</v>
      </c>
      <c r="F61" s="3592" t="s">
        <v>2935</v>
      </c>
      <c r="G61" s="3593" t="s">
        <v>3637</v>
      </c>
      <c r="H61" s="2596" t="str">
        <f>HLOOKUP(Non_UN,'Other translations2'!$A:$L,1+J61,)</f>
        <v>Lúa ngập nước</v>
      </c>
      <c r="J61" s="2596">
        <v>60</v>
      </c>
    </row>
    <row r="62" spans="1:10" s="2596" customFormat="1">
      <c r="A62" s="2811" t="s">
        <v>660</v>
      </c>
      <c r="B62" s="2811"/>
      <c r="C62" s="2814" t="s">
        <v>1734</v>
      </c>
      <c r="D62" s="2814" t="s">
        <v>4366</v>
      </c>
      <c r="E62" s="2596" t="s">
        <v>7995</v>
      </c>
      <c r="F62" s="3592" t="s">
        <v>2936</v>
      </c>
      <c r="G62" s="3593" t="s">
        <v>3638</v>
      </c>
      <c r="H62" s="2596" t="str">
        <f>HLOOKUP(Non_UN,'Other translations2'!$A:$L,1+J62,)</f>
        <v>Để qua một bên</v>
      </c>
      <c r="J62" s="2596">
        <v>61</v>
      </c>
    </row>
    <row r="63" spans="1:10" s="2596" customFormat="1">
      <c r="A63" s="2811" t="s">
        <v>329</v>
      </c>
      <c r="B63" s="2811"/>
      <c r="C63" s="2814" t="s">
        <v>1741</v>
      </c>
      <c r="D63" s="2814" t="s">
        <v>4131</v>
      </c>
      <c r="E63" s="2596" t="s">
        <v>7996</v>
      </c>
      <c r="F63" s="3592" t="s">
        <v>2937</v>
      </c>
      <c r="G63" s="3593" t="s">
        <v>3360</v>
      </c>
      <c r="H63" s="2596" t="str">
        <f>HLOOKUP(Non_UN,'Other translations2'!$A:$L,1+J63,)</f>
        <v>Đồng cỏ</v>
      </c>
      <c r="J63" s="2596">
        <v>62</v>
      </c>
    </row>
    <row r="64" spans="1:10" s="2596" customFormat="1" ht="15">
      <c r="A64" s="2811" t="s">
        <v>1187</v>
      </c>
      <c r="B64" s="2811"/>
      <c r="C64" s="2814" t="s">
        <v>1735</v>
      </c>
      <c r="D64" s="2814" t="s">
        <v>4367</v>
      </c>
      <c r="E64" s="2596" t="s">
        <v>7997</v>
      </c>
      <c r="F64" s="3596" t="s">
        <v>2800</v>
      </c>
      <c r="G64" s="3593" t="s">
        <v>3477</v>
      </c>
      <c r="H64" s="2596" t="str">
        <f>HLOOKUP(Non_UN,'Other translations2'!$A:$L,1+J64,)</f>
        <v>Suy thoái</v>
      </c>
      <c r="J64" s="2596">
        <v>63</v>
      </c>
    </row>
    <row r="65" spans="1:10" s="2596" customFormat="1">
      <c r="A65" s="2811" t="s">
        <v>127</v>
      </c>
      <c r="B65" s="2811"/>
      <c r="C65" s="2814" t="s">
        <v>1736</v>
      </c>
      <c r="D65" s="2814" t="s">
        <v>4368</v>
      </c>
      <c r="E65" s="2596" t="s">
        <v>7998</v>
      </c>
      <c r="F65" s="3592" t="s">
        <v>2938</v>
      </c>
      <c r="G65" s="3593" t="s">
        <v>3639</v>
      </c>
      <c r="H65" s="2596" t="str">
        <f>HLOOKUP(Non_UN,'Other translations2'!$A:$L,1+J65,)</f>
        <v>Khác (trên danh nghĩa)</v>
      </c>
      <c r="J65" s="2596">
        <v>64</v>
      </c>
    </row>
    <row r="66" spans="1:10" s="2596" customFormat="1">
      <c r="A66" s="2811" t="s">
        <v>128</v>
      </c>
      <c r="B66" s="2811"/>
      <c r="C66" s="2814" t="s">
        <v>1737</v>
      </c>
      <c r="D66" s="2814" t="s">
        <v>4369</v>
      </c>
      <c r="E66" s="2596" t="s">
        <v>7999</v>
      </c>
      <c r="F66" s="3592" t="s">
        <v>2939</v>
      </c>
      <c r="G66" s="3593" t="s">
        <v>3640</v>
      </c>
      <c r="H66" s="2596" t="str">
        <f>HLOOKUP(Non_UN,'Other translations2'!$A:$L,1+J66,)</f>
        <v>Khác (suy thoái)</v>
      </c>
      <c r="J66" s="2596">
        <v>65</v>
      </c>
    </row>
    <row r="67" spans="1:10" s="2596" customFormat="1">
      <c r="A67" s="2811" t="s">
        <v>13</v>
      </c>
      <c r="B67" s="2811"/>
      <c r="C67" s="2814" t="s">
        <v>1746</v>
      </c>
      <c r="D67" s="2814" t="s">
        <v>4370</v>
      </c>
      <c r="E67" s="2596" t="s">
        <v>8000</v>
      </c>
      <c r="F67" s="3592" t="s">
        <v>2940</v>
      </c>
      <c r="G67" s="3593" t="s">
        <v>3641</v>
      </c>
      <c r="H67" s="2596" t="str">
        <f>HLOOKUP(Non_UN,'Other translations2'!$A:$L,1+J67,)</f>
        <v>Vui lòng chọn loại hình sử dụng trước đây</v>
      </c>
      <c r="J67" s="2596">
        <v>66</v>
      </c>
    </row>
    <row r="68" spans="1:10" s="2596" customFormat="1">
      <c r="A68" s="2811" t="s">
        <v>661</v>
      </c>
      <c r="B68" s="2811"/>
      <c r="C68" s="2817" t="s">
        <v>1738</v>
      </c>
      <c r="D68" s="2814" t="s">
        <v>4364</v>
      </c>
      <c r="E68" s="2596" t="s">
        <v>7992</v>
      </c>
      <c r="F68" s="3592" t="s">
        <v>2933</v>
      </c>
      <c r="G68" s="3593" t="s">
        <v>3635</v>
      </c>
      <c r="H68" s="2596" t="str">
        <f>HLOOKUP(Non_UN,'Other translations2'!$A:$L,1+J68,)</f>
        <v>Cây trồng hàng năm</v>
      </c>
      <c r="J68" s="2596">
        <v>67</v>
      </c>
    </row>
    <row r="69" spans="1:10" s="2596" customFormat="1">
      <c r="A69" s="2811" t="s">
        <v>985</v>
      </c>
      <c r="B69" s="2811"/>
      <c r="C69" s="2817" t="s">
        <v>1747</v>
      </c>
      <c r="D69" s="2814" t="s">
        <v>4371</v>
      </c>
      <c r="E69" s="2596" t="s">
        <v>8001</v>
      </c>
      <c r="F69" s="3592" t="s">
        <v>2941</v>
      </c>
      <c r="G69" s="3593" t="s">
        <v>3642</v>
      </c>
      <c r="H69" s="2596" t="str">
        <f>HLOOKUP(Non_UN,'Other translations2'!$A:$L,1+J69,)</f>
        <v>Cây trồng lâu năm (&lt; 5 năm)</v>
      </c>
      <c r="J69" s="2596">
        <v>68</v>
      </c>
    </row>
    <row r="70" spans="1:10" s="2596" customFormat="1" ht="25.5">
      <c r="A70" s="2811" t="s">
        <v>987</v>
      </c>
      <c r="B70" s="2811"/>
      <c r="C70" s="2817" t="s">
        <v>1748</v>
      </c>
      <c r="D70" s="2814" t="s">
        <v>4372</v>
      </c>
      <c r="E70" s="2596" t="s">
        <v>8002</v>
      </c>
      <c r="F70" s="3592" t="s">
        <v>2942</v>
      </c>
      <c r="G70" s="3593" t="s">
        <v>3643</v>
      </c>
      <c r="H70" s="2596" t="str">
        <f>HLOOKUP(Non_UN,'Other translations2'!$A:$L,1+J70,)</f>
        <v>Cây trồng lâu năm (6-10 năm)</v>
      </c>
      <c r="J70" s="2596">
        <v>69</v>
      </c>
    </row>
    <row r="71" spans="1:10" s="2596" customFormat="1" ht="25.5">
      <c r="A71" s="2811" t="s">
        <v>988</v>
      </c>
      <c r="B71" s="2811"/>
      <c r="C71" s="2817" t="s">
        <v>1749</v>
      </c>
      <c r="D71" s="2814" t="s">
        <v>4373</v>
      </c>
      <c r="E71" s="2596" t="s">
        <v>8003</v>
      </c>
      <c r="F71" s="3592" t="s">
        <v>2943</v>
      </c>
      <c r="G71" s="3593" t="s">
        <v>3644</v>
      </c>
      <c r="H71" s="2596" t="str">
        <f>HLOOKUP(Non_UN,'Other translations2'!$A:$L,1+J71,)</f>
        <v>Cây trồng lâu năm (&gt;10 năm)</v>
      </c>
      <c r="J71" s="2596">
        <v>70</v>
      </c>
    </row>
    <row r="72" spans="1:10" s="2596" customFormat="1">
      <c r="A72" s="2811" t="s">
        <v>1608</v>
      </c>
      <c r="B72" s="2811"/>
      <c r="C72" s="2814" t="str">
        <f>C61</f>
        <v>Riz "Paddy" ou riz irrigué</v>
      </c>
      <c r="D72" s="2814" t="s">
        <v>4513</v>
      </c>
      <c r="E72" s="2596" t="s">
        <v>7994</v>
      </c>
      <c r="F72" s="3592" t="s">
        <v>2935</v>
      </c>
      <c r="G72" s="3593" t="s">
        <v>3637</v>
      </c>
      <c r="H72" s="2596" t="str">
        <f>HLOOKUP(Non_UN,'Other translations2'!$A:$L,1+J72,)</f>
        <v>Lúa ngập nước</v>
      </c>
      <c r="J72" s="2596">
        <v>71</v>
      </c>
    </row>
    <row r="73" spans="1:10" s="2596" customFormat="1">
      <c r="A73" s="2811" t="s">
        <v>659</v>
      </c>
      <c r="B73" s="2811"/>
      <c r="C73" s="2814" t="s">
        <v>1734</v>
      </c>
      <c r="D73" s="2814" t="s">
        <v>4366</v>
      </c>
      <c r="E73" s="2596" t="s">
        <v>7995</v>
      </c>
      <c r="F73" s="3592" t="s">
        <v>2936</v>
      </c>
      <c r="G73" s="3593" t="s">
        <v>3638</v>
      </c>
      <c r="H73" s="2596" t="str">
        <f>HLOOKUP(Non_UN,'Other translations2'!$A:$L,1+J73,)</f>
        <v>Để qua một bên</v>
      </c>
      <c r="J73" s="2596">
        <v>72</v>
      </c>
    </row>
    <row r="74" spans="1:10" s="2596" customFormat="1">
      <c r="A74" s="2811" t="s">
        <v>329</v>
      </c>
      <c r="B74" s="2811"/>
      <c r="C74" s="2814" t="str">
        <f>C63</f>
        <v>Prairies ou Paturages</v>
      </c>
      <c r="D74" s="2814" t="s">
        <v>4131</v>
      </c>
      <c r="E74" s="2596" t="s">
        <v>7996</v>
      </c>
      <c r="F74" s="3592" t="s">
        <v>2937</v>
      </c>
      <c r="G74" s="3593" t="s">
        <v>3360</v>
      </c>
      <c r="H74" s="2596" t="str">
        <f>HLOOKUP(Non_UN,'Other translations2'!$A:$L,1+J74,)</f>
        <v>Đồng cỏ</v>
      </c>
      <c r="J74" s="2596">
        <v>73</v>
      </c>
    </row>
    <row r="75" spans="1:10" s="2596" customFormat="1">
      <c r="A75" s="2811" t="s">
        <v>982</v>
      </c>
      <c r="B75" s="2811"/>
      <c r="C75" s="2814" t="s">
        <v>1735</v>
      </c>
      <c r="D75" s="2814" t="s">
        <v>4367</v>
      </c>
      <c r="E75" s="2596" t="s">
        <v>8004</v>
      </c>
      <c r="F75" s="3592" t="s">
        <v>2944</v>
      </c>
      <c r="G75" s="3593" t="s">
        <v>3645</v>
      </c>
      <c r="H75" s="2596" t="str">
        <f>HLOOKUP(Non_UN,'Other translations2'!$A:$L,1+J75,)</f>
        <v>Đất bị thoái hóa</v>
      </c>
      <c r="J75" s="2596">
        <v>74</v>
      </c>
    </row>
    <row r="76" spans="1:10" s="2596" customFormat="1">
      <c r="A76" s="2811" t="s">
        <v>14</v>
      </c>
      <c r="B76" s="2811"/>
      <c r="C76" s="2814" t="s">
        <v>1772</v>
      </c>
      <c r="D76" s="2814" t="s">
        <v>4374</v>
      </c>
      <c r="E76" s="2596" t="s">
        <v>8005</v>
      </c>
      <c r="F76" s="3592" t="s">
        <v>2945</v>
      </c>
      <c r="G76" s="3593" t="s">
        <v>3646</v>
      </c>
      <c r="H76" s="2596" t="str">
        <f>HLOOKUP(Non_UN,'Other translations2'!$A:$L,1+J76,)</f>
        <v>Vui lòng chọn loại hình sử dụng đất ban đầu</v>
      </c>
      <c r="J76" s="2596">
        <v>75</v>
      </c>
    </row>
    <row r="77" spans="1:10" s="2596" customFormat="1">
      <c r="A77" s="2811" t="s">
        <v>661</v>
      </c>
      <c r="B77" s="2811"/>
      <c r="C77" s="2814" t="s">
        <v>1773</v>
      </c>
      <c r="D77" s="2814" t="s">
        <v>4364</v>
      </c>
      <c r="E77" s="2596" t="s">
        <v>7992</v>
      </c>
      <c r="F77" s="3592" t="s">
        <v>2933</v>
      </c>
      <c r="G77" s="3593" t="s">
        <v>3635</v>
      </c>
      <c r="H77" s="2596" t="str">
        <f>HLOOKUP(Non_UN,'Other translations2'!$A:$L,1+J77,)</f>
        <v>Cây trồng hàng năm</v>
      </c>
      <c r="J77" s="2596">
        <v>76</v>
      </c>
    </row>
    <row r="78" spans="1:10" s="2596" customFormat="1">
      <c r="A78" s="2811" t="s">
        <v>985</v>
      </c>
      <c r="B78" s="2811"/>
      <c r="C78" s="2814" t="s">
        <v>1774</v>
      </c>
      <c r="D78" s="2814" t="s">
        <v>4371</v>
      </c>
      <c r="E78" s="2596" t="s">
        <v>8001</v>
      </c>
      <c r="F78" s="3592" t="s">
        <v>2941</v>
      </c>
      <c r="G78" s="3593" t="s">
        <v>3642</v>
      </c>
      <c r="H78" s="2596" t="str">
        <f>HLOOKUP(Non_UN,'Other translations2'!$A:$L,1+J78,)</f>
        <v>Cây trồng lâu năm (&lt; 5 năm)</v>
      </c>
      <c r="J78" s="2596">
        <v>77</v>
      </c>
    </row>
    <row r="79" spans="1:10" s="2596" customFormat="1" ht="25.5">
      <c r="A79" s="2811" t="s">
        <v>987</v>
      </c>
      <c r="B79" s="2811"/>
      <c r="C79" s="2814" t="s">
        <v>1775</v>
      </c>
      <c r="D79" s="2814" t="s">
        <v>4372</v>
      </c>
      <c r="E79" s="2596" t="s">
        <v>8002</v>
      </c>
      <c r="F79" s="3592" t="s">
        <v>2942</v>
      </c>
      <c r="G79" s="3593" t="s">
        <v>3643</v>
      </c>
      <c r="H79" s="2596" t="str">
        <f>HLOOKUP(Non_UN,'Other translations2'!$A:$L,1+J79,)</f>
        <v>Cây trồng lâu năm (6-10 năm)</v>
      </c>
      <c r="J79" s="2596">
        <v>78</v>
      </c>
    </row>
    <row r="80" spans="1:10" s="2596" customFormat="1">
      <c r="A80" s="2811" t="s">
        <v>988</v>
      </c>
      <c r="B80" s="2811"/>
      <c r="C80" s="2814" t="s">
        <v>1776</v>
      </c>
      <c r="D80" s="2814" t="s">
        <v>4373</v>
      </c>
      <c r="E80" s="2596" t="s">
        <v>8003</v>
      </c>
      <c r="F80" s="3592" t="s">
        <v>2943</v>
      </c>
      <c r="G80" s="3593" t="s">
        <v>3644</v>
      </c>
      <c r="H80" s="2596" t="str">
        <f>HLOOKUP(Non_UN,'Other translations2'!$A:$L,1+J80,)</f>
        <v>Cây trồng lâu năm (&gt;10 năm)</v>
      </c>
      <c r="J80" s="2596">
        <v>79</v>
      </c>
    </row>
    <row r="81" spans="1:10" s="2596" customFormat="1">
      <c r="A81" s="2811" t="s">
        <v>1608</v>
      </c>
      <c r="B81" s="2811"/>
      <c r="C81" s="2814" t="s">
        <v>1777</v>
      </c>
      <c r="D81" s="2814" t="s">
        <v>4513</v>
      </c>
      <c r="E81" s="2596" t="s">
        <v>7994</v>
      </c>
      <c r="F81" s="3592" t="s">
        <v>2935</v>
      </c>
      <c r="G81" s="3593" t="s">
        <v>3637</v>
      </c>
      <c r="H81" s="2596" t="str">
        <f>HLOOKUP(Non_UN,'Other translations2'!$A:$L,1+J81,)</f>
        <v>Lúa ngập nước</v>
      </c>
      <c r="J81" s="2596">
        <v>80</v>
      </c>
    </row>
    <row r="82" spans="1:10" s="2596" customFormat="1">
      <c r="A82" s="2811" t="s">
        <v>659</v>
      </c>
      <c r="B82" s="2811"/>
      <c r="C82" s="2814" t="s">
        <v>1734</v>
      </c>
      <c r="D82" s="2814" t="s">
        <v>4366</v>
      </c>
      <c r="E82" s="2596" t="s">
        <v>7995</v>
      </c>
      <c r="F82" s="3592" t="s">
        <v>2936</v>
      </c>
      <c r="G82" s="3593" t="s">
        <v>3638</v>
      </c>
      <c r="H82" s="2596" t="str">
        <f>HLOOKUP(Non_UN,'Other translations2'!$A:$L,1+J82,)</f>
        <v>Để qua một bên</v>
      </c>
      <c r="J82" s="2596">
        <v>81</v>
      </c>
    </row>
    <row r="83" spans="1:10" s="2596" customFormat="1">
      <c r="A83" s="2811" t="s">
        <v>329</v>
      </c>
      <c r="B83" s="2811"/>
      <c r="C83" s="2814" t="s">
        <v>1778</v>
      </c>
      <c r="D83" s="2814" t="s">
        <v>4131</v>
      </c>
      <c r="E83" s="2596" t="s">
        <v>7996</v>
      </c>
      <c r="F83" s="3592" t="s">
        <v>2937</v>
      </c>
      <c r="G83" s="3593" t="s">
        <v>3360</v>
      </c>
      <c r="H83" s="2596" t="str">
        <f>HLOOKUP(Non_UN,'Other translations2'!$A:$L,1+J83,)</f>
        <v>Đồng cỏ</v>
      </c>
      <c r="J83" s="2596">
        <v>82</v>
      </c>
    </row>
    <row r="84" spans="1:10" s="2596" customFormat="1">
      <c r="A84" s="2811" t="s">
        <v>982</v>
      </c>
      <c r="B84" s="2811"/>
      <c r="C84" s="2814" t="s">
        <v>1735</v>
      </c>
      <c r="D84" s="2814" t="s">
        <v>4367</v>
      </c>
      <c r="E84" s="2596" t="s">
        <v>8004</v>
      </c>
      <c r="F84" s="3592" t="s">
        <v>2944</v>
      </c>
      <c r="G84" s="3593" t="s">
        <v>3645</v>
      </c>
      <c r="H84" s="2596" t="str">
        <f>HLOOKUP(Non_UN,'Other translations2'!$A:$L,1+J84,)</f>
        <v>Đất bị thoái hóa</v>
      </c>
      <c r="J84" s="2596">
        <v>83</v>
      </c>
    </row>
    <row r="85" spans="1:10" s="2596" customFormat="1">
      <c r="A85" s="2811" t="s">
        <v>1088</v>
      </c>
      <c r="B85" s="2811"/>
      <c r="C85" s="2814" t="s">
        <v>1779</v>
      </c>
      <c r="D85" s="2814" t="s">
        <v>4375</v>
      </c>
      <c r="E85" s="2596" t="s">
        <v>8006</v>
      </c>
      <c r="F85" s="3592" t="s">
        <v>2946</v>
      </c>
      <c r="G85" s="3593" t="s">
        <v>3476</v>
      </c>
      <c r="H85" s="2596" t="str">
        <f>HLOOKUP(Non_UN,'Other translations2'!$A:$L,1+J85,)</f>
        <v>Loại đất khác</v>
      </c>
      <c r="J85" s="2596">
        <v>84</v>
      </c>
    </row>
    <row r="86" spans="1:10" s="2596" customFormat="1">
      <c r="A86" s="2811" t="s">
        <v>16</v>
      </c>
      <c r="B86" s="2811"/>
      <c r="C86" s="2814" t="s">
        <v>1780</v>
      </c>
      <c r="D86" s="2814" t="s">
        <v>4376</v>
      </c>
      <c r="E86" s="2596" t="s">
        <v>8007</v>
      </c>
      <c r="F86" s="3592" t="s">
        <v>2947</v>
      </c>
      <c r="G86" s="3593" t="s">
        <v>3646</v>
      </c>
      <c r="H86" s="2596" t="str">
        <f>HLOOKUP(Non_UN,'Other translations2'!$A:$L,1+J86,)</f>
        <v>Vui lòng chọn loại hình sử dụng đất sau cùng</v>
      </c>
      <c r="J86" s="2596">
        <v>85</v>
      </c>
    </row>
    <row r="87" spans="1:10" s="2596" customFormat="1">
      <c r="A87" s="2811" t="s">
        <v>661</v>
      </c>
      <c r="B87" s="2811"/>
      <c r="C87" s="2814" t="s">
        <v>1773</v>
      </c>
      <c r="D87" s="2814" t="s">
        <v>4364</v>
      </c>
      <c r="E87" s="2596" t="s">
        <v>7992</v>
      </c>
      <c r="F87" s="3592" t="s">
        <v>2933</v>
      </c>
      <c r="G87" s="3593" t="s">
        <v>3635</v>
      </c>
      <c r="H87" s="2596" t="str">
        <f>HLOOKUP(Non_UN,'Other translations2'!$A:$L,1+J87,)</f>
        <v>Cây trồng hàng năm</v>
      </c>
      <c r="J87" s="2596">
        <v>86</v>
      </c>
    </row>
    <row r="88" spans="1:10" s="2596" customFormat="1">
      <c r="A88" s="2811" t="s">
        <v>658</v>
      </c>
      <c r="B88" s="2811"/>
      <c r="C88" s="2814" t="s">
        <v>1781</v>
      </c>
      <c r="D88" s="2814" t="s">
        <v>4365</v>
      </c>
      <c r="E88" s="2596" t="s">
        <v>7993</v>
      </c>
      <c r="F88" s="3592" t="s">
        <v>2934</v>
      </c>
      <c r="G88" s="3593" t="s">
        <v>3636</v>
      </c>
      <c r="H88" s="2596" t="str">
        <f>HLOOKUP(Non_UN,'Other translations2'!$A:$L,1+J88,)</f>
        <v>Cây trồng lâu năm</v>
      </c>
      <c r="J88" s="2596">
        <v>87</v>
      </c>
    </row>
    <row r="89" spans="1:10" s="2596" customFormat="1">
      <c r="A89" s="2811" t="s">
        <v>1608</v>
      </c>
      <c r="B89" s="2811"/>
      <c r="C89" s="2814" t="s">
        <v>1777</v>
      </c>
      <c r="D89" s="2814" t="s">
        <v>4513</v>
      </c>
      <c r="E89" s="2596" t="s">
        <v>7994</v>
      </c>
      <c r="F89" s="3592" t="s">
        <v>2935</v>
      </c>
      <c r="G89" s="3593" t="s">
        <v>3637</v>
      </c>
      <c r="H89" s="2596" t="str">
        <f>HLOOKUP(Non_UN,'Other translations2'!$A:$L,1+J89,)</f>
        <v>Lúa ngập nước</v>
      </c>
      <c r="J89" s="2596">
        <v>88</v>
      </c>
    </row>
    <row r="90" spans="1:10" s="2596" customFormat="1">
      <c r="A90" s="2811" t="s">
        <v>660</v>
      </c>
      <c r="B90" s="2811"/>
      <c r="C90" s="2814" t="s">
        <v>1734</v>
      </c>
      <c r="D90" s="2814" t="s">
        <v>4366</v>
      </c>
      <c r="E90" s="2596" t="s">
        <v>7995</v>
      </c>
      <c r="F90" s="3592" t="s">
        <v>2936</v>
      </c>
      <c r="G90" s="3593" t="s">
        <v>3638</v>
      </c>
      <c r="H90" s="2596" t="str">
        <f>HLOOKUP(Non_UN,'Other translations2'!$A:$L,1+J90,)</f>
        <v>Để qua một bên</v>
      </c>
      <c r="J90" s="2596">
        <v>89</v>
      </c>
    </row>
    <row r="91" spans="1:10" s="2596" customFormat="1" ht="15">
      <c r="A91" s="2811" t="s">
        <v>329</v>
      </c>
      <c r="B91" s="2811"/>
      <c r="C91" s="2814" t="s">
        <v>1778</v>
      </c>
      <c r="D91" s="2814" t="s">
        <v>4131</v>
      </c>
      <c r="E91" s="2596" t="s">
        <v>7996</v>
      </c>
      <c r="F91" s="3597" t="s">
        <v>2937</v>
      </c>
      <c r="G91" s="3593" t="s">
        <v>3360</v>
      </c>
      <c r="H91" s="2596" t="str">
        <f>HLOOKUP(Non_UN,'Other translations2'!$A:$L,1+J91,)</f>
        <v>Đồng cỏ</v>
      </c>
      <c r="J91" s="2596">
        <v>90</v>
      </c>
    </row>
    <row r="92" spans="1:10" s="2596" customFormat="1" ht="15">
      <c r="A92" s="2811" t="s">
        <v>1187</v>
      </c>
      <c r="B92" s="2811"/>
      <c r="C92" s="2814" t="s">
        <v>1735</v>
      </c>
      <c r="D92" s="2814" t="s">
        <v>4367</v>
      </c>
      <c r="E92" s="2596" t="s">
        <v>7997</v>
      </c>
      <c r="F92" s="3597" t="s">
        <v>2948</v>
      </c>
      <c r="G92" s="3593" t="s">
        <v>3477</v>
      </c>
      <c r="H92" s="2596" t="str">
        <f>HLOOKUP(Non_UN,'Other translations2'!$A:$L,1+J92,)</f>
        <v>Suy thoái</v>
      </c>
      <c r="J92" s="2596">
        <v>91</v>
      </c>
    </row>
    <row r="93" spans="1:10" s="2596" customFormat="1">
      <c r="A93" s="2811" t="s">
        <v>127</v>
      </c>
      <c r="B93" s="2811"/>
      <c r="C93" s="2814" t="s">
        <v>1736</v>
      </c>
      <c r="D93" s="2814" t="s">
        <v>4368</v>
      </c>
      <c r="E93" s="2596" t="s">
        <v>7998</v>
      </c>
      <c r="F93" s="3592" t="s">
        <v>2938</v>
      </c>
      <c r="G93" s="3593" t="s">
        <v>3639</v>
      </c>
      <c r="H93" s="2596" t="str">
        <f>HLOOKUP(Non_UN,'Other translations2'!$A:$L,1+J93,)</f>
        <v>Khác (trên danh nghĩa)</v>
      </c>
      <c r="J93" s="2596">
        <v>92</v>
      </c>
    </row>
    <row r="94" spans="1:10" s="2596" customFormat="1">
      <c r="A94" s="2811" t="s">
        <v>128</v>
      </c>
      <c r="B94" s="2811"/>
      <c r="C94" s="2814" t="s">
        <v>1737</v>
      </c>
      <c r="D94" s="2814" t="s">
        <v>4369</v>
      </c>
      <c r="E94" s="2596" t="s">
        <v>7999</v>
      </c>
      <c r="F94" s="3592" t="s">
        <v>2939</v>
      </c>
      <c r="G94" s="3593" t="s">
        <v>3640</v>
      </c>
      <c r="H94" s="2596" t="str">
        <f>HLOOKUP(Non_UN,'Other translations2'!$A:$L,1+J94,)</f>
        <v>Khác (suy thoái)</v>
      </c>
      <c r="J94" s="2596">
        <v>93</v>
      </c>
    </row>
    <row r="95" spans="1:10" s="2596" customFormat="1">
      <c r="A95" s="2811" t="s">
        <v>1605</v>
      </c>
      <c r="B95" s="2811"/>
      <c r="C95" s="2814" t="s">
        <v>1782</v>
      </c>
      <c r="D95" s="2814" t="s">
        <v>4377</v>
      </c>
      <c r="E95" s="2596" t="s">
        <v>8008</v>
      </c>
      <c r="F95" s="3592" t="s">
        <v>2949</v>
      </c>
      <c r="G95" s="3593" t="s">
        <v>3647</v>
      </c>
      <c r="H95" s="2596" t="str">
        <f>HLOOKUP(Non_UN,'Other translations2'!$A:$L,1+J95,)</f>
        <v>Điền loại hình sử dụng đất ban đầu</v>
      </c>
      <c r="J95" s="2596">
        <v>94</v>
      </c>
    </row>
    <row r="96" spans="1:10" s="2596" customFormat="1">
      <c r="A96" s="2811" t="s">
        <v>1606</v>
      </c>
      <c r="B96" s="2811"/>
      <c r="C96" s="2814" t="s">
        <v>1783</v>
      </c>
      <c r="D96" s="2814" t="s">
        <v>4378</v>
      </c>
      <c r="E96" s="2596" t="s">
        <v>8009</v>
      </c>
      <c r="F96" s="3592" t="s">
        <v>2950</v>
      </c>
      <c r="G96" s="3593" t="s">
        <v>3648</v>
      </c>
      <c r="H96" s="2596" t="str">
        <f>HLOOKUP(Non_UN,'Other translations2'!$A:$L,1+J96,)</f>
        <v>Điển loại hình sử dụng đất cuối cùng</v>
      </c>
      <c r="J96" s="2596">
        <v>95</v>
      </c>
    </row>
    <row r="97" spans="1:10" s="2596" customFormat="1" ht="15">
      <c r="A97" s="2811" t="s">
        <v>1607</v>
      </c>
      <c r="B97" s="2811"/>
      <c r="C97" s="2814" t="s">
        <v>8169</v>
      </c>
      <c r="D97" s="2814" t="s">
        <v>8170</v>
      </c>
      <c r="E97" s="3595" t="s">
        <v>8171</v>
      </c>
      <c r="F97" s="3592" t="s">
        <v>8172</v>
      </c>
      <c r="G97" s="3593" t="s">
        <v>8173</v>
      </c>
      <c r="H97" s="2596" t="str">
        <f>HLOOKUP(Non_UN,'Other translations2'!$A:$L,1+J97,)</f>
        <v>Sau cùng = Ban đầu: Kiểm tra!</v>
      </c>
      <c r="J97" s="2596">
        <v>96</v>
      </c>
    </row>
    <row r="98" spans="1:10" s="2596" customFormat="1">
      <c r="A98" s="2811" t="s">
        <v>74</v>
      </c>
      <c r="B98" s="2811"/>
      <c r="C98" s="2814" t="s">
        <v>1849</v>
      </c>
      <c r="D98" s="2814" t="s">
        <v>4379</v>
      </c>
      <c r="E98" s="2596" t="s">
        <v>8010</v>
      </c>
      <c r="F98" s="3592" t="s">
        <v>2951</v>
      </c>
      <c r="G98" s="3593" t="s">
        <v>3649</v>
      </c>
      <c r="H98" s="2596" t="str">
        <f>HLOOKUP(Non_UN,'Other translations2'!$A:$L,1+J98,)</f>
        <v>Vui lòng chọn chế độ nước</v>
      </c>
      <c r="J98" s="2596">
        <v>97</v>
      </c>
    </row>
    <row r="99" spans="1:10" s="2596" customFormat="1">
      <c r="A99" s="2811" t="s">
        <v>618</v>
      </c>
      <c r="B99" s="2811"/>
      <c r="C99" s="2814" t="s">
        <v>1850</v>
      </c>
      <c r="D99" s="2814" t="s">
        <v>4380</v>
      </c>
      <c r="E99" s="2596" t="s">
        <v>8011</v>
      </c>
      <c r="F99" s="3592" t="s">
        <v>2952</v>
      </c>
      <c r="G99" s="3593" t="s">
        <v>3650</v>
      </c>
      <c r="H99" s="2596" t="str">
        <f>HLOOKUP(Non_UN,'Other translations2'!$A:$L,1+J99,)</f>
        <v>Vùng có tưới-Ngập liên tục</v>
      </c>
      <c r="J99" s="2596">
        <v>98</v>
      </c>
    </row>
    <row r="100" spans="1:10" s="2596" customFormat="1">
      <c r="A100" s="2811" t="s">
        <v>619</v>
      </c>
      <c r="B100" s="2811"/>
      <c r="C100" s="2814" t="s">
        <v>1851</v>
      </c>
      <c r="D100" s="2814" t="s">
        <v>4381</v>
      </c>
      <c r="E100" s="2596" t="s">
        <v>8012</v>
      </c>
      <c r="F100" s="3592" t="s">
        <v>2953</v>
      </c>
      <c r="G100" s="3593" t="s">
        <v>3651</v>
      </c>
      <c r="H100" s="2596" t="str">
        <f>HLOOKUP(Non_UN,'Other translations2'!$A:$L,1+J100,)</f>
        <v>Vùng có tưới-ngập không liên tục</v>
      </c>
      <c r="J100" s="2596">
        <v>99</v>
      </c>
    </row>
    <row r="101" spans="1:10" s="2596" customFormat="1" ht="25.5">
      <c r="A101" s="2811" t="s">
        <v>620</v>
      </c>
      <c r="B101" s="2811"/>
      <c r="C101" s="2814" t="s">
        <v>1852</v>
      </c>
      <c r="D101" s="2814" t="s">
        <v>4382</v>
      </c>
      <c r="E101" s="2596" t="s">
        <v>8013</v>
      </c>
      <c r="F101" s="3592" t="s">
        <v>2954</v>
      </c>
      <c r="G101" s="3593" t="s">
        <v>3652</v>
      </c>
      <c r="H101" s="2596" t="str">
        <f>HLOOKUP(Non_UN,'Other translations2'!$A:$L,1+J101,)</f>
        <v>Vùng nước trời và nước sâu</v>
      </c>
      <c r="J101" s="2596">
        <v>100</v>
      </c>
    </row>
    <row r="102" spans="1:10" s="2596" customFormat="1" ht="25.5">
      <c r="A102" s="2811" t="s">
        <v>73</v>
      </c>
      <c r="B102" s="2811"/>
      <c r="C102" s="2814" t="s">
        <v>1853</v>
      </c>
      <c r="D102" s="2814" t="s">
        <v>4383</v>
      </c>
      <c r="E102" s="2596" t="s">
        <v>8014</v>
      </c>
      <c r="F102" s="3592" t="s">
        <v>2955</v>
      </c>
      <c r="G102" s="3593" t="s">
        <v>3653</v>
      </c>
      <c r="H102" s="2596" t="str">
        <f>HLOOKUP(Non_UN,'Other translations2'!$A:$L,1+J102,)</f>
        <v>Vui lòng chọn chế độ nước trước khi vào vụ</v>
      </c>
      <c r="J102" s="2596">
        <v>101</v>
      </c>
    </row>
    <row r="103" spans="1:10" s="2596" customFormat="1">
      <c r="A103" s="2811" t="s">
        <v>629</v>
      </c>
      <c r="B103" s="2811"/>
      <c r="C103" s="2814" t="s">
        <v>1854</v>
      </c>
      <c r="D103" s="2814" t="s">
        <v>4384</v>
      </c>
      <c r="E103" s="2596" t="s">
        <v>8015</v>
      </c>
      <c r="F103" s="3592" t="s">
        <v>2956</v>
      </c>
      <c r="G103" s="3593" t="s">
        <v>3654</v>
      </c>
      <c r="H103" s="2596" t="str">
        <f>HLOOKUP(Non_UN,'Other translations2'!$A:$L,1+J103,)</f>
        <v>Không ngập trước thời vụ  &lt; 180 ngày</v>
      </c>
      <c r="J103" s="2596">
        <v>102</v>
      </c>
    </row>
    <row r="104" spans="1:10" s="2596" customFormat="1">
      <c r="A104" s="2811" t="s">
        <v>630</v>
      </c>
      <c r="B104" s="2811"/>
      <c r="C104" s="2814" t="s">
        <v>1855</v>
      </c>
      <c r="D104" s="2814" t="s">
        <v>4385</v>
      </c>
      <c r="E104" s="2596" t="s">
        <v>8016</v>
      </c>
      <c r="F104" s="3592" t="s">
        <v>2957</v>
      </c>
      <c r="G104" s="3593" t="s">
        <v>3655</v>
      </c>
      <c r="H104" s="2596" t="str">
        <f>HLOOKUP(Non_UN,'Other translations2'!$A:$L,1+J104,)</f>
        <v>Không ngập trước thời vụ  &gt; 180 ngày</v>
      </c>
      <c r="J104" s="2596">
        <v>103</v>
      </c>
    </row>
    <row r="105" spans="1:10" s="2596" customFormat="1">
      <c r="A105" s="2811" t="s">
        <v>631</v>
      </c>
      <c r="B105" s="2811"/>
      <c r="C105" s="2814" t="s">
        <v>1856</v>
      </c>
      <c r="D105" s="2814" t="s">
        <v>4061</v>
      </c>
      <c r="E105" s="2596" t="s">
        <v>8017</v>
      </c>
      <c r="F105" s="3592" t="s">
        <v>2958</v>
      </c>
      <c r="G105" s="3593" t="s">
        <v>3656</v>
      </c>
      <c r="H105" s="2596" t="str">
        <f>HLOOKUP(Non_UN,'Other translations2'!$A:$L,1+J105,)</f>
        <v>Ngập nước trước vụ &gt; 30 ngày</v>
      </c>
      <c r="J105" s="2596">
        <v>104</v>
      </c>
    </row>
    <row r="106" spans="1:10" s="2596" customFormat="1" ht="25.5">
      <c r="A106" s="2811" t="s">
        <v>72</v>
      </c>
      <c r="B106" s="2811"/>
      <c r="C106" s="2814" t="s">
        <v>1857</v>
      </c>
      <c r="D106" s="2814" t="s">
        <v>4386</v>
      </c>
      <c r="E106" s="2596" t="s">
        <v>8018</v>
      </c>
      <c r="F106" s="3592" t="s">
        <v>2959</v>
      </c>
      <c r="G106" s="3593" t="s">
        <v>3657</v>
      </c>
      <c r="H106" s="2596" t="str">
        <f>HLOOKUP(Non_UN,'Other translations2'!$A:$L,1+J106,)</f>
        <v>Vui lòng chọn loại chất độn hữu cơ</v>
      </c>
      <c r="J106" s="2596">
        <v>105</v>
      </c>
    </row>
    <row r="107" spans="1:10" s="2596" customFormat="1">
      <c r="A107" s="2811" t="s">
        <v>1152</v>
      </c>
      <c r="B107" s="2811"/>
      <c r="C107" s="2814" t="s">
        <v>1858</v>
      </c>
      <c r="D107" s="2814" t="s">
        <v>4387</v>
      </c>
      <c r="E107" s="2596" t="s">
        <v>8019</v>
      </c>
      <c r="F107" s="3592" t="s">
        <v>2960</v>
      </c>
      <c r="G107" s="3593" t="s">
        <v>3658</v>
      </c>
      <c r="H107" s="2596" t="str">
        <f>HLOOKUP(Non_UN,'Other translations2'!$A:$L,1+J107,)</f>
        <v>Đốt rơm rạ</v>
      </c>
      <c r="J107" s="2596">
        <v>106</v>
      </c>
    </row>
    <row r="108" spans="1:10" s="2596" customFormat="1">
      <c r="A108" s="2811" t="s">
        <v>1154</v>
      </c>
      <c r="B108" s="2811"/>
      <c r="C108" s="2814" t="s">
        <v>1859</v>
      </c>
      <c r="D108" s="2814" t="s">
        <v>4388</v>
      </c>
      <c r="E108" s="2596" t="s">
        <v>8020</v>
      </c>
      <c r="F108" s="3592" t="s">
        <v>3153</v>
      </c>
      <c r="G108" s="3593" t="s">
        <v>3659</v>
      </c>
      <c r="H108" s="2596" t="str">
        <f>HLOOKUP(Non_UN,'Other translations2'!$A:$L,1+J108,)</f>
        <v>Thu gom rơm rạ</v>
      </c>
      <c r="J108" s="2596">
        <v>107</v>
      </c>
    </row>
    <row r="109" spans="1:10" s="2596" customFormat="1" ht="25.5">
      <c r="A109" s="3577" t="s">
        <v>4483</v>
      </c>
      <c r="B109" s="2811"/>
      <c r="C109" s="2814" t="s">
        <v>1860</v>
      </c>
      <c r="D109" s="2814" t="s">
        <v>4389</v>
      </c>
      <c r="E109" s="2596" t="s">
        <v>8021</v>
      </c>
      <c r="F109" s="3592" t="s">
        <v>2961</v>
      </c>
      <c r="G109" s="3593" t="s">
        <v>3660</v>
      </c>
      <c r="H109" s="2596" t="str">
        <f>HLOOKUP(Non_UN,'Other translations2'!$A:$L,1+J109,)</f>
        <v>Rơm được ủ nhanh (&lt; 30 ngày) trước vụ trồng</v>
      </c>
      <c r="J109" s="2596">
        <v>108</v>
      </c>
    </row>
    <row r="110" spans="1:10" s="2596" customFormat="1" ht="25.5">
      <c r="A110" s="3577" t="s">
        <v>4484</v>
      </c>
      <c r="B110" s="2811"/>
      <c r="C110" s="2814" t="s">
        <v>1861</v>
      </c>
      <c r="D110" s="2814" t="s">
        <v>4390</v>
      </c>
      <c r="E110" s="2596" t="s">
        <v>8022</v>
      </c>
      <c r="F110" s="3592" t="s">
        <v>2962</v>
      </c>
      <c r="G110" s="3593" t="s">
        <v>3661</v>
      </c>
      <c r="H110" s="2596" t="str">
        <f>HLOOKUP(Non_UN,'Other translations2'!$A:$L,1+J110,)</f>
        <v>Rơm được ủ lâu (&gt; 30 ngày) trước vụ trồng</v>
      </c>
      <c r="J110" s="2596">
        <v>109</v>
      </c>
    </row>
    <row r="111" spans="1:10" s="2596" customFormat="1">
      <c r="A111" s="2811" t="s">
        <v>376</v>
      </c>
      <c r="B111" s="2811"/>
      <c r="C111" s="2814" t="s">
        <v>376</v>
      </c>
      <c r="D111" s="2814" t="s">
        <v>376</v>
      </c>
      <c r="E111" s="2596" t="s">
        <v>8023</v>
      </c>
      <c r="F111" s="3592" t="s">
        <v>2963</v>
      </c>
      <c r="G111" s="3593" t="s">
        <v>3662</v>
      </c>
      <c r="H111" s="2596" t="str">
        <f>HLOOKUP(Non_UN,'Other translations2'!$A:$L,1+J111,)</f>
        <v>Phân compost</v>
      </c>
      <c r="J111" s="2596">
        <v>110</v>
      </c>
    </row>
    <row r="112" spans="1:10" s="2596" customFormat="1">
      <c r="A112" s="2811" t="s">
        <v>1153</v>
      </c>
      <c r="B112" s="2811"/>
      <c r="C112" s="2814" t="s">
        <v>1862</v>
      </c>
      <c r="D112" s="2814" t="s">
        <v>4391</v>
      </c>
      <c r="E112" s="2596" t="s">
        <v>8024</v>
      </c>
      <c r="F112" s="3592" t="s">
        <v>2964</v>
      </c>
      <c r="G112" s="3593" t="s">
        <v>3663</v>
      </c>
      <c r="H112" s="2596" t="str">
        <f>HLOOKUP(Non_UN,'Other translations2'!$A:$L,1+J112,)</f>
        <v>Phân chuồng</v>
      </c>
      <c r="J112" s="2596">
        <v>111</v>
      </c>
    </row>
    <row r="113" spans="1:10" s="2596" customFormat="1">
      <c r="A113" s="2811" t="s">
        <v>636</v>
      </c>
      <c r="B113" s="2811"/>
      <c r="C113" s="2814" t="s">
        <v>1863</v>
      </c>
      <c r="D113" s="2814" t="s">
        <v>4392</v>
      </c>
      <c r="E113" s="2596" t="s">
        <v>8025</v>
      </c>
      <c r="F113" s="3592" t="s">
        <v>2965</v>
      </c>
      <c r="G113" s="3593" t="s">
        <v>3664</v>
      </c>
      <c r="H113" s="2596" t="str">
        <f>HLOOKUP(Non_UN,'Other translations2'!$A:$L,1+J113,)</f>
        <v>Phân xanh</v>
      </c>
      <c r="J113" s="2596">
        <v>112</v>
      </c>
    </row>
    <row r="114" spans="1:10" s="2596" customFormat="1">
      <c r="A114" s="2811" t="s">
        <v>4</v>
      </c>
      <c r="B114" s="2811"/>
      <c r="C114" s="2814" t="s">
        <v>1901</v>
      </c>
      <c r="D114" s="2814" t="s">
        <v>4318</v>
      </c>
      <c r="E114" s="2596" t="s">
        <v>7942</v>
      </c>
      <c r="F114" s="3592" t="s">
        <v>2881</v>
      </c>
      <c r="G114" s="3593" t="s">
        <v>3665</v>
      </c>
      <c r="H114" s="2596" t="str">
        <f>HLOOKUP(Non_UN,'Other translations2'!$A:$L,1+J114,)</f>
        <v>Vui lòng chọn</v>
      </c>
      <c r="J114" s="2596">
        <v>113</v>
      </c>
    </row>
    <row r="115" spans="1:10" s="2596" customFormat="1">
      <c r="A115" s="2811" t="s">
        <v>413</v>
      </c>
      <c r="B115" s="2811"/>
      <c r="C115" s="2814" t="s">
        <v>1902</v>
      </c>
      <c r="D115" s="2814" t="s">
        <v>4393</v>
      </c>
      <c r="E115" s="2596" t="s">
        <v>8026</v>
      </c>
      <c r="F115" s="3592" t="s">
        <v>2966</v>
      </c>
      <c r="G115" s="3593" t="s">
        <v>3666</v>
      </c>
      <c r="H115" s="2596" t="str">
        <f>HLOOKUP(Non_UN,'Other translations2'!$A:$L,1+J115,)</f>
        <v>Dê</v>
      </c>
      <c r="J115" s="2596">
        <v>114</v>
      </c>
    </row>
    <row r="116" spans="1:10" s="2596" customFormat="1">
      <c r="A116" s="2811" t="s">
        <v>414</v>
      </c>
      <c r="B116" s="2811"/>
      <c r="C116" s="2814" t="s">
        <v>1903</v>
      </c>
      <c r="D116" s="2814" t="s">
        <v>4394</v>
      </c>
      <c r="E116" s="2596" t="s">
        <v>8027</v>
      </c>
      <c r="F116" s="3592" t="s">
        <v>2967</v>
      </c>
      <c r="G116" s="3593" t="s">
        <v>3667</v>
      </c>
      <c r="H116" s="2596" t="str">
        <f>HLOOKUP(Non_UN,'Other translations2'!$A:$L,1+J116,)</f>
        <v>Lạc đà</v>
      </c>
      <c r="J116" s="2596">
        <v>115</v>
      </c>
    </row>
    <row r="117" spans="1:10" s="2596" customFormat="1">
      <c r="A117" s="2811" t="s">
        <v>415</v>
      </c>
      <c r="B117" s="2811"/>
      <c r="C117" s="2814" t="s">
        <v>1904</v>
      </c>
      <c r="D117" s="2814" t="s">
        <v>4395</v>
      </c>
      <c r="E117" s="2596" t="s">
        <v>8028</v>
      </c>
      <c r="F117" s="3592" t="s">
        <v>2968</v>
      </c>
      <c r="G117" s="3593" t="s">
        <v>3668</v>
      </c>
      <c r="H117" s="2596" t="str">
        <f>HLOOKUP(Non_UN,'Other translations2'!$A:$L,1+J117,)</f>
        <v>Ngựa</v>
      </c>
      <c r="J117" s="2596">
        <v>116</v>
      </c>
    </row>
    <row r="118" spans="1:10" s="2596" customFormat="1">
      <c r="A118" s="2811" t="s">
        <v>360</v>
      </c>
      <c r="B118" s="2811"/>
      <c r="C118" s="2814" t="s">
        <v>1905</v>
      </c>
      <c r="D118" s="2814" t="s">
        <v>4396</v>
      </c>
      <c r="E118" s="2596" t="s">
        <v>8029</v>
      </c>
      <c r="F118" s="3592" t="s">
        <v>2969</v>
      </c>
      <c r="G118" s="3593" t="s">
        <v>3669</v>
      </c>
      <c r="H118" s="2596" t="str">
        <f>HLOOKUP(Non_UN,'Other translations2'!$A:$L,1+J118,)</f>
        <v>La và Lừa</v>
      </c>
      <c r="J118" s="2596">
        <v>117</v>
      </c>
    </row>
    <row r="119" spans="1:10" s="2596" customFormat="1">
      <c r="A119" s="2811" t="s">
        <v>1159</v>
      </c>
      <c r="B119" s="2811"/>
      <c r="C119" s="2814" t="s">
        <v>1906</v>
      </c>
      <c r="D119" s="2814" t="s">
        <v>4397</v>
      </c>
      <c r="E119" s="2596" t="s">
        <v>8030</v>
      </c>
      <c r="F119" s="3592" t="s">
        <v>2970</v>
      </c>
      <c r="G119" s="3593" t="s">
        <v>3670</v>
      </c>
      <c r="H119" s="2596" t="str">
        <f>HLOOKUP(Non_UN,'Other translations2'!$A:$L,1+J119,)</f>
        <v xml:space="preserve">Gia cầm </v>
      </c>
      <c r="J119" s="2596">
        <v>118</v>
      </c>
    </row>
    <row r="120" spans="1:10" s="2596" customFormat="1">
      <c r="A120" s="2811" t="s">
        <v>416</v>
      </c>
      <c r="B120" s="2811"/>
      <c r="C120" s="2814" t="s">
        <v>1907</v>
      </c>
      <c r="D120" s="2814" t="s">
        <v>4398</v>
      </c>
      <c r="E120" s="2596" t="s">
        <v>8031</v>
      </c>
      <c r="F120" s="3592" t="s">
        <v>2971</v>
      </c>
      <c r="G120" s="3593" t="s">
        <v>3671</v>
      </c>
      <c r="H120" s="2596" t="str">
        <f>HLOOKUP(Non_UN,'Other translations2'!$A:$L,1+J120,)</f>
        <v>Hươu, nai</v>
      </c>
      <c r="J120" s="2596">
        <v>119</v>
      </c>
    </row>
    <row r="121" spans="1:10" s="2596" customFormat="1">
      <c r="A121" s="2811" t="s">
        <v>417</v>
      </c>
      <c r="B121" s="2811"/>
      <c r="C121" s="2814" t="s">
        <v>417</v>
      </c>
      <c r="D121" s="2814" t="s">
        <v>417</v>
      </c>
      <c r="E121" s="2596" t="s">
        <v>8032</v>
      </c>
      <c r="F121" s="3592" t="s">
        <v>2972</v>
      </c>
      <c r="G121" s="3593" t="s">
        <v>3672</v>
      </c>
      <c r="H121" s="2596" t="str">
        <f>HLOOKUP(Non_UN,'Other translations2'!$A:$L,1+J121,)</f>
        <v>Lạc đà nhà Nam Mỹ</v>
      </c>
      <c r="J121" s="2596">
        <v>120</v>
      </c>
    </row>
    <row r="122" spans="1:10" s="2596" customFormat="1">
      <c r="A122" s="2661" t="s">
        <v>876</v>
      </c>
      <c r="B122" s="2811"/>
      <c r="C122" s="2814" t="s">
        <v>1910</v>
      </c>
      <c r="D122" s="2814" t="s">
        <v>4102</v>
      </c>
      <c r="E122" s="2596" t="s">
        <v>8033</v>
      </c>
      <c r="F122" s="3592" t="s">
        <v>2973</v>
      </c>
      <c r="G122" s="3593" t="s">
        <v>3324</v>
      </c>
      <c r="H122" s="2596" t="str">
        <f>HLOOKUP(Non_UN,'Other translations2'!$A:$L,1+J122,)</f>
        <v>Không bị suy thoái</v>
      </c>
      <c r="J122" s="2596">
        <v>121</v>
      </c>
    </row>
    <row r="123" spans="1:10" s="2596" customFormat="1">
      <c r="A123" s="2661" t="s">
        <v>877</v>
      </c>
      <c r="B123" s="2811"/>
      <c r="C123" s="2814" t="s">
        <v>1912</v>
      </c>
      <c r="D123" s="2814" t="s">
        <v>4103</v>
      </c>
      <c r="E123" s="2596" t="s">
        <v>8034</v>
      </c>
      <c r="F123" s="3592" t="s">
        <v>2974</v>
      </c>
      <c r="G123" s="3593" t="s">
        <v>3325</v>
      </c>
      <c r="H123" s="2596" t="str">
        <f>HLOOKUP(Non_UN,'Other translations2'!$A:$L,1+J123,)</f>
        <v>Bị suy thoái trầm trọng</v>
      </c>
      <c r="J123" s="2596">
        <v>122</v>
      </c>
    </row>
    <row r="124" spans="1:10" s="2596" customFormat="1">
      <c r="A124" s="2661" t="s">
        <v>878</v>
      </c>
      <c r="B124" s="2811"/>
      <c r="C124" s="2814" t="s">
        <v>1911</v>
      </c>
      <c r="D124" s="2814" t="s">
        <v>2488</v>
      </c>
      <c r="E124" s="2596" t="s">
        <v>8035</v>
      </c>
      <c r="F124" s="3592" t="s">
        <v>2975</v>
      </c>
      <c r="G124" s="3593" t="s">
        <v>3326</v>
      </c>
      <c r="H124" s="2596" t="str">
        <f>HLOOKUP(Non_UN,'Other translations2'!$A:$L,1+J124,)</f>
        <v>Bị suy thoái trung bình</v>
      </c>
      <c r="J124" s="2596">
        <v>123</v>
      </c>
    </row>
    <row r="125" spans="1:10" s="2596" customFormat="1">
      <c r="A125" s="2663" t="s">
        <v>879</v>
      </c>
      <c r="B125" s="2811"/>
      <c r="C125" s="2817" t="s">
        <v>1940</v>
      </c>
      <c r="D125" s="2814" t="s">
        <v>4104</v>
      </c>
      <c r="E125" s="2596" t="s">
        <v>8036</v>
      </c>
      <c r="F125" s="3592" t="s">
        <v>2976</v>
      </c>
      <c r="G125" s="3593" t="s">
        <v>3327</v>
      </c>
      <c r="H125" s="2596" t="str">
        <f>HLOOKUP(Non_UN,'Other translations2'!$A:$L,1+J125,)</f>
        <v>Được cải thiện khi không quản lý đầu vào</v>
      </c>
      <c r="J125" s="2596">
        <v>124</v>
      </c>
    </row>
    <row r="126" spans="1:10" s="2596" customFormat="1">
      <c r="A126" s="2661" t="s">
        <v>881</v>
      </c>
      <c r="B126" s="2811"/>
      <c r="C126" s="2817" t="s">
        <v>1941</v>
      </c>
      <c r="D126" s="2814" t="s">
        <v>4105</v>
      </c>
      <c r="E126" s="2596" t="s">
        <v>8037</v>
      </c>
      <c r="F126" s="3592" t="s">
        <v>2977</v>
      </c>
      <c r="G126" s="3593" t="s">
        <v>3328</v>
      </c>
      <c r="H126" s="2596" t="str">
        <f>HLOOKUP(Non_UN,'Other translations2'!$A:$L,1+J126,)</f>
        <v>Cải thiện khi có cải thiện đầu vào</v>
      </c>
      <c r="J126" s="2596">
        <v>125</v>
      </c>
    </row>
    <row r="127" spans="1:10" s="2596" customFormat="1">
      <c r="A127" s="2662" t="s">
        <v>77</v>
      </c>
      <c r="B127" s="2811"/>
      <c r="C127" s="2817" t="s">
        <v>1939</v>
      </c>
      <c r="D127" s="2814" t="s">
        <v>4399</v>
      </c>
      <c r="E127" s="2596" t="s">
        <v>8038</v>
      </c>
      <c r="F127" s="3592" t="s">
        <v>2978</v>
      </c>
      <c r="G127" s="3593" t="s">
        <v>3673</v>
      </c>
      <c r="H127" s="2596" t="str">
        <f>HLOOKUP(Non_UN,'Other translations2'!$A:$L,1+J127,)</f>
        <v>Chọn trạng thái</v>
      </c>
      <c r="J127" s="2596">
        <v>126</v>
      </c>
    </row>
    <row r="128" spans="1:10" s="2596" customFormat="1">
      <c r="A128" s="2811" t="s">
        <v>209</v>
      </c>
      <c r="B128" s="2811"/>
      <c r="C128" s="2817" t="s">
        <v>1942</v>
      </c>
      <c r="D128" s="2814" t="s">
        <v>4400</v>
      </c>
      <c r="E128" s="2596" t="s">
        <v>8039</v>
      </c>
      <c r="F128" s="3592" t="s">
        <v>2979</v>
      </c>
      <c r="G128" s="3593" t="s">
        <v>3674</v>
      </c>
      <c r="H128" s="2596" t="str">
        <f>HLOOKUP(Non_UN,'Other translations2'!$A:$L,1+J128,)</f>
        <v>Chọn cấp độ</v>
      </c>
      <c r="J128" s="2596">
        <v>127</v>
      </c>
    </row>
    <row r="129" spans="1:10" s="2596" customFormat="1">
      <c r="A129" s="2811" t="s">
        <v>562</v>
      </c>
      <c r="B129" s="2811"/>
      <c r="C129" s="2817" t="s">
        <v>1943</v>
      </c>
      <c r="D129" s="2814" t="s">
        <v>4401</v>
      </c>
      <c r="E129" s="2596" t="s">
        <v>8040</v>
      </c>
      <c r="F129" s="3592" t="s">
        <v>2980</v>
      </c>
      <c r="G129" s="3593" t="s">
        <v>3675</v>
      </c>
      <c r="H129" s="2596" t="str">
        <f>HLOOKUP(Non_UN,'Other translations2'!$A:$L,1+J129,)</f>
        <v>Không có</v>
      </c>
      <c r="J129" s="2596">
        <v>128</v>
      </c>
    </row>
    <row r="130" spans="1:10" s="2596" customFormat="1">
      <c r="A130" s="2811" t="s">
        <v>166</v>
      </c>
      <c r="B130" s="2811"/>
      <c r="C130" s="2817" t="s">
        <v>1948</v>
      </c>
      <c r="D130" s="2814" t="s">
        <v>4402</v>
      </c>
      <c r="E130" s="2596" t="s">
        <v>8041</v>
      </c>
      <c r="F130" s="3592" t="s">
        <v>2981</v>
      </c>
      <c r="G130" s="3593" t="s">
        <v>3676</v>
      </c>
      <c r="H130" s="2596" t="str">
        <f>HLOOKUP(Non_UN,'Other translations2'!$A:$L,1+J130,)</f>
        <v>Rất thấp</v>
      </c>
      <c r="J130" s="2596">
        <v>129</v>
      </c>
    </row>
    <row r="131" spans="1:10" s="2596" customFormat="1">
      <c r="A131" s="2811" t="s">
        <v>551</v>
      </c>
      <c r="B131" s="2811"/>
      <c r="C131" s="2817" t="s">
        <v>1944</v>
      </c>
      <c r="D131" s="2814" t="s">
        <v>4403</v>
      </c>
      <c r="E131" s="2596" t="s">
        <v>8042</v>
      </c>
      <c r="F131" s="3592" t="s">
        <v>2982</v>
      </c>
      <c r="G131" s="3593" t="s">
        <v>3676</v>
      </c>
      <c r="H131" s="2596" t="str">
        <f>HLOOKUP(Non_UN,'Other translations2'!$A:$L,1+J131,)</f>
        <v>Thấp</v>
      </c>
      <c r="J131" s="2596">
        <v>130</v>
      </c>
    </row>
    <row r="132" spans="1:10" s="2596" customFormat="1">
      <c r="A132" s="2811" t="s">
        <v>161</v>
      </c>
      <c r="B132" s="2811"/>
      <c r="C132" s="2817" t="s">
        <v>1945</v>
      </c>
      <c r="D132" s="2814" t="s">
        <v>2494</v>
      </c>
      <c r="E132" s="2596" t="s">
        <v>8043</v>
      </c>
      <c r="F132" s="3592" t="s">
        <v>2983</v>
      </c>
      <c r="G132" s="3593" t="s">
        <v>3577</v>
      </c>
      <c r="H132" s="2596" t="str">
        <f>HLOOKUP(Non_UN,'Other translations2'!$A:$L,1+J132,)</f>
        <v>Vừa phải</v>
      </c>
      <c r="J132" s="2596">
        <v>131</v>
      </c>
    </row>
    <row r="133" spans="1:10" s="2596" customFormat="1">
      <c r="A133" s="2811" t="s">
        <v>162</v>
      </c>
      <c r="B133" s="2811"/>
      <c r="C133" s="2817" t="s">
        <v>1946</v>
      </c>
      <c r="D133" s="2814" t="s">
        <v>4404</v>
      </c>
      <c r="E133" s="2596" t="s">
        <v>8044</v>
      </c>
      <c r="F133" s="3592" t="s">
        <v>2984</v>
      </c>
      <c r="G133" s="3593" t="s">
        <v>3677</v>
      </c>
      <c r="H133" s="2596" t="str">
        <f>HLOOKUP(Non_UN,'Other translations2'!$A:$L,1+J133,)</f>
        <v>Lớn</v>
      </c>
      <c r="J133" s="2596">
        <v>132</v>
      </c>
    </row>
    <row r="134" spans="1:10" s="2596" customFormat="1">
      <c r="A134" s="2811" t="s">
        <v>163</v>
      </c>
      <c r="B134" s="2811"/>
      <c r="C134" s="2817" t="s">
        <v>1947</v>
      </c>
      <c r="D134" s="2814" t="s">
        <v>2495</v>
      </c>
      <c r="E134" s="2596" t="s">
        <v>8045</v>
      </c>
      <c r="F134" s="3592" t="s">
        <v>2985</v>
      </c>
      <c r="G134" s="3593" t="s">
        <v>3678</v>
      </c>
      <c r="H134" s="2596" t="str">
        <f>HLOOKUP(Non_UN,'Other translations2'!$A:$L,1+J134,)</f>
        <v>Rất lớn</v>
      </c>
      <c r="J134" s="2596">
        <v>133</v>
      </c>
    </row>
    <row r="135" spans="1:10" s="2596" customFormat="1">
      <c r="A135" s="2811" t="s">
        <v>4</v>
      </c>
      <c r="B135" s="2811"/>
      <c r="C135" s="2817" t="s">
        <v>1901</v>
      </c>
      <c r="D135" s="2814" t="s">
        <v>4318</v>
      </c>
      <c r="E135" s="2596" t="s">
        <v>7942</v>
      </c>
      <c r="F135" s="3592" t="s">
        <v>2881</v>
      </c>
      <c r="G135" s="3593" t="s">
        <v>3581</v>
      </c>
      <c r="H135" s="2596" t="str">
        <f>HLOOKUP(Non_UN,'Other translations2'!$A:$L,1+J135,)</f>
        <v>Vui lòng chọn</v>
      </c>
      <c r="J135" s="2596">
        <v>134</v>
      </c>
    </row>
    <row r="136" spans="1:10" s="2596" customFormat="1">
      <c r="A136" s="2811" t="s">
        <v>3088</v>
      </c>
      <c r="B136" s="2811"/>
      <c r="C136" s="2814" t="s">
        <v>2020</v>
      </c>
      <c r="D136" s="2814" t="s">
        <v>4405</v>
      </c>
      <c r="E136" s="2596" t="s">
        <v>8046</v>
      </c>
      <c r="F136" s="3592" t="s">
        <v>3090</v>
      </c>
      <c r="G136" s="3593" t="s">
        <v>3679</v>
      </c>
      <c r="H136" s="2596" t="str">
        <f>HLOOKUP(Non_UN,'Other translations2'!$A:$L,1+J136,)</f>
        <v>Bề mặt không có IRRS</v>
      </c>
      <c r="J136" s="2596">
        <v>135</v>
      </c>
    </row>
    <row r="137" spans="1:10" s="2596" customFormat="1">
      <c r="A137" s="2811" t="s">
        <v>3089</v>
      </c>
      <c r="B137" s="2811"/>
      <c r="C137" s="2814" t="s">
        <v>2021</v>
      </c>
      <c r="D137" s="2814" t="s">
        <v>4406</v>
      </c>
      <c r="E137" s="2596" t="s">
        <v>8047</v>
      </c>
      <c r="F137" s="3592" t="s">
        <v>3091</v>
      </c>
      <c r="G137" s="3593" t="s">
        <v>3680</v>
      </c>
      <c r="H137" s="2596" t="str">
        <f>HLOOKUP(Non_UN,'Other translations2'!$A:$L,1+J137,)</f>
        <v>Bề mặt có IRRS</v>
      </c>
      <c r="J137" s="2596">
        <v>136</v>
      </c>
    </row>
    <row r="138" spans="1:10" s="2596" customFormat="1" ht="25.5">
      <c r="A138" s="2811" t="s">
        <v>936</v>
      </c>
      <c r="B138" s="2811"/>
      <c r="C138" s="2814" t="s">
        <v>2022</v>
      </c>
      <c r="D138" s="2814" t="s">
        <v>4514</v>
      </c>
      <c r="E138" s="2596" t="s">
        <v>8048</v>
      </c>
      <c r="F138" s="3592" t="s">
        <v>2986</v>
      </c>
      <c r="G138" s="3593" t="s">
        <v>3681</v>
      </c>
      <c r="H138" s="2596" t="str">
        <f>HLOOKUP(Non_UN,'Other translations2'!$A:$L,1+J138,)</f>
        <v>Bón các đầu vào dạng rắn</v>
      </c>
      <c r="J138" s="2596">
        <v>137</v>
      </c>
    </row>
    <row r="139" spans="1:10" s="2596" customFormat="1" ht="25.5">
      <c r="A139" s="2811" t="s">
        <v>937</v>
      </c>
      <c r="B139" s="2811"/>
      <c r="C139" s="2814" t="s">
        <v>2023</v>
      </c>
      <c r="D139" s="2814" t="s">
        <v>4515</v>
      </c>
      <c r="E139" s="2596" t="s">
        <v>8049</v>
      </c>
      <c r="F139" s="3592" t="s">
        <v>2987</v>
      </c>
      <c r="G139" s="3593" t="s">
        <v>3682</v>
      </c>
      <c r="H139" s="2596" t="str">
        <f>HLOOKUP(Non_UN,'Other translations2'!$A:$L,1+J139,)</f>
        <v>Rải ổn định</v>
      </c>
      <c r="J139" s="2596">
        <v>138</v>
      </c>
    </row>
    <row r="140" spans="1:10" s="2596" customFormat="1" ht="25.5">
      <c r="A140" s="2811" t="s">
        <v>938</v>
      </c>
      <c r="B140" s="2811"/>
      <c r="C140" s="2814" t="s">
        <v>2024</v>
      </c>
      <c r="D140" s="2814" t="s">
        <v>4516</v>
      </c>
      <c r="E140" s="2596" t="s">
        <v>8050</v>
      </c>
      <c r="F140" s="3592" t="s">
        <v>3154</v>
      </c>
      <c r="G140" s="3593" t="s">
        <v>3683</v>
      </c>
      <c r="H140" s="2596" t="str">
        <f>HLOOKUP(Non_UN,'Other translations2'!$A:$L,1+J140,)</f>
        <v>Rải bằng tay</v>
      </c>
      <c r="J140" s="2596">
        <v>139</v>
      </c>
    </row>
    <row r="141" spans="1:10" s="2596" customFormat="1">
      <c r="A141" s="2811" t="s">
        <v>939</v>
      </c>
      <c r="B141" s="2811"/>
      <c r="C141" s="2814" t="s">
        <v>2025</v>
      </c>
      <c r="D141" s="2814" t="s">
        <v>4517</v>
      </c>
      <c r="E141" s="2596" t="s">
        <v>8051</v>
      </c>
      <c r="F141" s="3592" t="s">
        <v>3155</v>
      </c>
      <c r="G141" s="3593" t="s">
        <v>3684</v>
      </c>
      <c r="H141" s="2596" t="str">
        <f>HLOOKUP(Non_UN,'Other translations2'!$A:$L,1+J141,)</f>
        <v>Rải cuộn rắn</v>
      </c>
      <c r="J141" s="2596">
        <v>140</v>
      </c>
    </row>
    <row r="142" spans="1:10" s="2596" customFormat="1" ht="25.5">
      <c r="A142" s="2811" t="s">
        <v>940</v>
      </c>
      <c r="B142" s="2811"/>
      <c r="C142" s="2814" t="s">
        <v>2026</v>
      </c>
      <c r="D142" s="2814" t="s">
        <v>4518</v>
      </c>
      <c r="E142" s="2596" t="s">
        <v>8052</v>
      </c>
      <c r="F142" s="3592" t="s">
        <v>2988</v>
      </c>
      <c r="G142" s="3593" t="s">
        <v>3685</v>
      </c>
      <c r="H142" s="2596" t="str">
        <f>HLOOKUP(Non_UN,'Other translations2'!$A:$L,1+J142,)</f>
        <v>Rải rạng đứng</v>
      </c>
      <c r="J142" s="2596">
        <v>141</v>
      </c>
    </row>
    <row r="143" spans="1:10" s="2596" customFormat="1">
      <c r="A143" s="2811" t="s">
        <v>941</v>
      </c>
      <c r="B143" s="2811"/>
      <c r="C143" s="2814" t="s">
        <v>2027</v>
      </c>
      <c r="D143" s="2814" t="s">
        <v>4519</v>
      </c>
      <c r="E143" s="2596" t="s">
        <v>8053</v>
      </c>
      <c r="F143" s="3592" t="s">
        <v>3156</v>
      </c>
      <c r="G143" s="3593" t="s">
        <v>3686</v>
      </c>
      <c r="H143" s="2596" t="str">
        <f>HLOOKUP(Non_UN,'Other translations2'!$A:$L,1+J143,)</f>
        <v>Rải phân tán lòng vòng</v>
      </c>
      <c r="J143" s="2596">
        <v>142</v>
      </c>
    </row>
    <row r="144" spans="1:10" s="2596" customFormat="1">
      <c r="A144" s="2811" t="s">
        <v>942</v>
      </c>
      <c r="B144" s="2811"/>
      <c r="C144" s="2814" t="s">
        <v>2028</v>
      </c>
      <c r="D144" s="2814" t="s">
        <v>4520</v>
      </c>
      <c r="E144" s="2596" t="s">
        <v>8054</v>
      </c>
      <c r="F144" s="3592" t="s">
        <v>2989</v>
      </c>
      <c r="G144" s="3593" t="s">
        <v>3687</v>
      </c>
      <c r="H144" s="2596" t="str">
        <f>HLOOKUP(Non_UN,'Other translations2'!$A:$L,1+J144,)</f>
        <v>Rải tia nước</v>
      </c>
      <c r="J144" s="2596">
        <v>143</v>
      </c>
    </row>
    <row r="145" spans="1:10" s="2596" customFormat="1">
      <c r="A145" s="2811" t="s">
        <v>4</v>
      </c>
      <c r="B145" s="2811"/>
      <c r="C145" s="2817" t="s">
        <v>1901</v>
      </c>
      <c r="D145" s="2814" t="s">
        <v>4318</v>
      </c>
      <c r="E145" s="2596" t="s">
        <v>7942</v>
      </c>
      <c r="F145" s="3592" t="s">
        <v>2881</v>
      </c>
      <c r="G145" s="3593" t="s">
        <v>3581</v>
      </c>
      <c r="H145" s="2596" t="str">
        <f>HLOOKUP(Non_UN,'Other translations2'!$A:$L,1+J145,)</f>
        <v>Vui lòng chọn</v>
      </c>
      <c r="J145" s="2596">
        <v>144</v>
      </c>
    </row>
    <row r="146" spans="1:10" s="2596" customFormat="1">
      <c r="A146" s="2811" t="s">
        <v>952</v>
      </c>
      <c r="B146" s="2811"/>
      <c r="C146" s="2814" t="s">
        <v>2029</v>
      </c>
      <c r="D146" s="2814" t="s">
        <v>4407</v>
      </c>
      <c r="E146" s="2596" t="s">
        <v>8055</v>
      </c>
      <c r="F146" s="3592" t="s">
        <v>2990</v>
      </c>
      <c r="G146" s="3593" t="s">
        <v>3688</v>
      </c>
      <c r="H146" s="2596" t="str">
        <f>HLOOKUP(Non_UN,'Other translations2'!$A:$L,1+J146,)</f>
        <v>Nhà ở (bê-tông)</v>
      </c>
      <c r="J146" s="2596">
        <v>145</v>
      </c>
    </row>
    <row r="147" spans="1:10" s="2596" customFormat="1">
      <c r="A147" s="2811" t="s">
        <v>953</v>
      </c>
      <c r="B147" s="2811"/>
      <c r="C147" s="2814" t="s">
        <v>2030</v>
      </c>
      <c r="D147" s="2814" t="s">
        <v>4521</v>
      </c>
      <c r="E147" s="2596" t="s">
        <v>8056</v>
      </c>
      <c r="F147" s="3592" t="s">
        <v>2991</v>
      </c>
      <c r="G147" s="3593" t="s">
        <v>3689</v>
      </c>
      <c r="H147" s="2596" t="str">
        <f>HLOOKUP(Non_UN,'Other translations2'!$A:$L,1+J147,)</f>
        <v>Công trình nông nghiệp (bên tông)</v>
      </c>
      <c r="J147" s="2596">
        <v>146</v>
      </c>
    </row>
    <row r="148" spans="1:10" s="2596" customFormat="1">
      <c r="A148" s="2811" t="s">
        <v>954</v>
      </c>
      <c r="B148" s="2811"/>
      <c r="C148" s="2814" t="s">
        <v>2031</v>
      </c>
      <c r="D148" s="2814" t="s">
        <v>4522</v>
      </c>
      <c r="E148" s="2596" t="s">
        <v>8057</v>
      </c>
      <c r="F148" s="3592" t="s">
        <v>2992</v>
      </c>
      <c r="G148" s="3593" t="s">
        <v>3690</v>
      </c>
      <c r="H148" s="2596" t="str">
        <f>HLOOKUP(Non_UN,'Other translations2'!$A:$L,1+J148,)</f>
        <v>Công trình nông nghiệp (kim loại)</v>
      </c>
      <c r="J148" s="2596">
        <v>147</v>
      </c>
    </row>
    <row r="149" spans="1:10" s="2596" customFormat="1">
      <c r="A149" s="2811" t="s">
        <v>955</v>
      </c>
      <c r="B149" s="2811"/>
      <c r="C149" s="2814" t="s">
        <v>2032</v>
      </c>
      <c r="D149" s="2814" t="s">
        <v>4408</v>
      </c>
      <c r="E149" s="2596" t="s">
        <v>8058</v>
      </c>
      <c r="F149" s="3592" t="s">
        <v>2993</v>
      </c>
      <c r="G149" s="3593" t="s">
        <v>3691</v>
      </c>
      <c r="H149" s="2596" t="str">
        <f>HLOOKUP(Non_UN,'Other translations2'!$A:$L,1+J149,)</f>
        <v>Công trình công nghiệp (bê tông)</v>
      </c>
      <c r="J149" s="2596">
        <v>148</v>
      </c>
    </row>
    <row r="150" spans="1:10" s="2596" customFormat="1">
      <c r="A150" s="2811" t="s">
        <v>956</v>
      </c>
      <c r="B150" s="2811"/>
      <c r="C150" s="2814" t="s">
        <v>2033</v>
      </c>
      <c r="D150" s="2814" t="s">
        <v>4409</v>
      </c>
      <c r="E150" s="2596" t="s">
        <v>8059</v>
      </c>
      <c r="F150" s="3592" t="s">
        <v>2994</v>
      </c>
      <c r="G150" s="3593" t="s">
        <v>3692</v>
      </c>
      <c r="H150" s="2596" t="str">
        <f>HLOOKUP(Non_UN,'Other translations2'!$A:$L,1+J150,)</f>
        <v>Công trình công nghiệp (kim loại)</v>
      </c>
      <c r="J150" s="2596">
        <v>149</v>
      </c>
    </row>
    <row r="151" spans="1:10" s="2596" customFormat="1">
      <c r="A151" s="2811" t="s">
        <v>957</v>
      </c>
      <c r="B151" s="2811"/>
      <c r="C151" s="2814" t="s">
        <v>2034</v>
      </c>
      <c r="D151" s="2814" t="s">
        <v>4523</v>
      </c>
      <c r="E151" s="2596" t="s">
        <v>8060</v>
      </c>
      <c r="F151" s="3592" t="s">
        <v>2995</v>
      </c>
      <c r="G151" s="3593" t="s">
        <v>3693</v>
      </c>
      <c r="H151" s="2596" t="str">
        <f>HLOOKUP(Non_UN,'Other translations2'!$A:$L,1+J151,)</f>
        <v>Nhà để xe (bê tông)</v>
      </c>
      <c r="J151" s="2596">
        <v>150</v>
      </c>
    </row>
    <row r="152" spans="1:10" s="2596" customFormat="1">
      <c r="A152" s="2811" t="s">
        <v>958</v>
      </c>
      <c r="B152" s="2811"/>
      <c r="C152" s="2814" t="s">
        <v>2035</v>
      </c>
      <c r="D152" s="2814" t="s">
        <v>958</v>
      </c>
      <c r="E152" s="2596" t="s">
        <v>8061</v>
      </c>
      <c r="F152" s="3592" t="s">
        <v>2996</v>
      </c>
      <c r="G152" s="3593" t="s">
        <v>3694</v>
      </c>
      <c r="H152" s="2596" t="str">
        <f>HLOOKUP(Non_UN,'Other translations2'!$A:$L,1+J152,)</f>
        <v>Nhà để xe (kim loại)</v>
      </c>
      <c r="J152" s="2596">
        <v>151</v>
      </c>
    </row>
    <row r="153" spans="1:10" s="2596" customFormat="1">
      <c r="A153" s="2811" t="s">
        <v>959</v>
      </c>
      <c r="B153" s="2811"/>
      <c r="C153" s="2814" t="s">
        <v>2036</v>
      </c>
      <c r="D153" s="2814" t="s">
        <v>4410</v>
      </c>
      <c r="E153" s="2596" t="s">
        <v>8062</v>
      </c>
      <c r="F153" s="3592" t="s">
        <v>2997</v>
      </c>
      <c r="G153" s="3593" t="s">
        <v>3695</v>
      </c>
      <c r="H153" s="2596" t="str">
        <f>HLOOKUP(Non_UN,'Other translations2'!$A:$L,1+J153,)</f>
        <v>Văn phòng (bê tông)</v>
      </c>
      <c r="J153" s="2596">
        <v>152</v>
      </c>
    </row>
    <row r="154" spans="1:10" s="2596" customFormat="1">
      <c r="A154" s="2811" t="s">
        <v>960</v>
      </c>
      <c r="B154" s="2811"/>
      <c r="C154" s="2814" t="s">
        <v>2037</v>
      </c>
      <c r="D154" s="2814" t="s">
        <v>4411</v>
      </c>
      <c r="E154" s="2596" t="s">
        <v>8063</v>
      </c>
      <c r="F154" s="3592" t="s">
        <v>2998</v>
      </c>
      <c r="G154" s="3593" t="s">
        <v>3696</v>
      </c>
      <c r="H154" s="2596" t="str">
        <f>HLOOKUP(Non_UN,'Other translations2'!$A:$L,1+J154,)</f>
        <v>Văn phòng (kim loại)</v>
      </c>
      <c r="J154" s="2596">
        <v>153</v>
      </c>
    </row>
    <row r="155" spans="1:10" s="2596" customFormat="1">
      <c r="A155" s="2811" t="s">
        <v>961</v>
      </c>
      <c r="B155" s="2811"/>
      <c r="C155" s="2814" t="s">
        <v>2038</v>
      </c>
      <c r="D155" s="2814" t="s">
        <v>4412</v>
      </c>
      <c r="E155" s="2596" t="s">
        <v>8064</v>
      </c>
      <c r="F155" s="3592" t="s">
        <v>2999</v>
      </c>
      <c r="G155" s="3593" t="s">
        <v>3697</v>
      </c>
      <c r="H155" s="2596" t="str">
        <f>HLOOKUP(Non_UN,'Other translations2'!$A:$L,1+J155,)</f>
        <v>Khác (bê tông)</v>
      </c>
      <c r="J155" s="2596">
        <v>154</v>
      </c>
    </row>
    <row r="156" spans="1:10" s="2596" customFormat="1">
      <c r="A156" s="2811" t="s">
        <v>962</v>
      </c>
      <c r="B156" s="2811"/>
      <c r="C156" s="2814" t="s">
        <v>2039</v>
      </c>
      <c r="D156" s="2814" t="s">
        <v>4413</v>
      </c>
      <c r="E156" s="2596" t="s">
        <v>8065</v>
      </c>
      <c r="F156" s="3592" t="s">
        <v>3000</v>
      </c>
      <c r="G156" s="3593" t="s">
        <v>3698</v>
      </c>
      <c r="H156" s="2596" t="str">
        <f>HLOOKUP(Non_UN,'Other translations2'!$A:$L,1+J156,)</f>
        <v>Khác (kim loại)</v>
      </c>
      <c r="J156" s="2596">
        <v>155</v>
      </c>
    </row>
    <row r="157" spans="1:10" s="2596" customFormat="1">
      <c r="A157" s="2811" t="s">
        <v>8895</v>
      </c>
      <c r="B157" s="2811"/>
      <c r="C157" s="2814" t="s">
        <v>8897</v>
      </c>
      <c r="D157" s="2814" t="s">
        <v>4414</v>
      </c>
      <c r="E157" s="2596" t="s">
        <v>8066</v>
      </c>
      <c r="F157" s="3592" t="s">
        <v>3001</v>
      </c>
      <c r="G157" s="3593" t="s">
        <v>3699</v>
      </c>
      <c r="H157" s="2596" t="str">
        <f>HLOOKUP(Non_UN,'Other translations2'!$A:$L,1+J157,)</f>
        <v>Đường cho mật độ giao thông trung bình (bê tông)</v>
      </c>
      <c r="J157" s="2596">
        <v>156</v>
      </c>
    </row>
    <row r="158" spans="1:10" s="2596" customFormat="1">
      <c r="A158" s="2811" t="s">
        <v>8896</v>
      </c>
      <c r="B158" s="2811"/>
      <c r="C158" s="2814" t="s">
        <v>8898</v>
      </c>
      <c r="D158" s="2814" t="s">
        <v>4415</v>
      </c>
      <c r="E158" s="2596" t="s">
        <v>8067</v>
      </c>
      <c r="F158" s="3592" t="s">
        <v>3002</v>
      </c>
      <c r="G158" s="3593" t="s">
        <v>3700</v>
      </c>
      <c r="H158" s="2596" t="str">
        <f>HLOOKUP(Non_UN,'Other translations2'!$A:$L,1+J158,)</f>
        <v>Đường cho mật độ giao thông trung bình (nhựa đường)</v>
      </c>
      <c r="J158" s="2596">
        <v>157</v>
      </c>
    </row>
    <row r="159" spans="1:10" s="2596" customFormat="1">
      <c r="A159" s="2811" t="s">
        <v>125</v>
      </c>
      <c r="B159" s="2811"/>
      <c r="C159" s="2814" t="s">
        <v>8899</v>
      </c>
      <c r="D159" s="2814" t="s">
        <v>4416</v>
      </c>
      <c r="E159" s="2596" t="s">
        <v>8068</v>
      </c>
      <c r="F159" s="3592" t="s">
        <v>3003</v>
      </c>
      <c r="G159" s="3593" t="s">
        <v>3701</v>
      </c>
      <c r="H159" s="2596" t="str">
        <f>HLOOKUP(Non_UN,'Other translations2'!$A:$L,1+J159,)</f>
        <v>Đường cho mật độ giao thông cao (bê tông)</v>
      </c>
      <c r="J159" s="2596">
        <v>158</v>
      </c>
    </row>
    <row r="160" spans="1:10" s="2596" customFormat="1" ht="25.5">
      <c r="A160" s="2811" t="s">
        <v>126</v>
      </c>
      <c r="B160" s="2811"/>
      <c r="C160" s="2814" t="s">
        <v>8900</v>
      </c>
      <c r="D160" s="2814" t="s">
        <v>4417</v>
      </c>
      <c r="E160" s="2596" t="s">
        <v>8069</v>
      </c>
      <c r="F160" s="3592" t="s">
        <v>3004</v>
      </c>
      <c r="G160" s="3593" t="s">
        <v>3702</v>
      </c>
      <c r="H160" s="2596" t="str">
        <f>HLOOKUP(Non_UN,'Other translations2'!$A:$L,1+J160,)</f>
        <v>Đường cho mật độ giao thông cao (nhựa đường)</v>
      </c>
      <c r="J160" s="2596">
        <v>159</v>
      </c>
    </row>
    <row r="161" spans="1:10" s="2596" customFormat="1" ht="25.5">
      <c r="A161" s="2811" t="s">
        <v>1614</v>
      </c>
      <c r="B161" s="2811"/>
      <c r="C161" s="2817" t="s">
        <v>2192</v>
      </c>
      <c r="D161" s="2814" t="s">
        <v>4418</v>
      </c>
      <c r="E161" s="2596" t="s">
        <v>8070</v>
      </c>
      <c r="F161" s="3592" t="s">
        <v>3005</v>
      </c>
      <c r="G161" s="3593" t="s">
        <v>3703</v>
      </c>
      <c r="H161" s="2596" t="str">
        <f>HLOOKUP(Non_UN,'Other translations2'!$A:$L,1+J161,)</f>
        <v>Chính thức (Giai đoạn 1: 2008-2012)</v>
      </c>
      <c r="J161" s="2596">
        <v>160</v>
      </c>
    </row>
    <row r="162" spans="1:10" s="2596" customFormat="1" ht="25.5">
      <c r="A162" s="2811" t="s">
        <v>1615</v>
      </c>
      <c r="B162" s="2811"/>
      <c r="C162" s="2817" t="s">
        <v>2193</v>
      </c>
      <c r="D162" s="2814" t="s">
        <v>4419</v>
      </c>
      <c r="E162" s="2596" t="s">
        <v>8071</v>
      </c>
      <c r="F162" s="3592" t="s">
        <v>3006</v>
      </c>
      <c r="G162" s="3593" t="s">
        <v>3704</v>
      </c>
      <c r="H162" s="2596" t="str">
        <f>HLOOKUP(Non_UN,'Other translations2'!$A:$L,1+J162,)</f>
        <v>Chính thức (Giai đoạn 2: 2013-2020)</v>
      </c>
      <c r="J162" s="2596">
        <v>161</v>
      </c>
    </row>
    <row r="163" spans="1:10" s="2596" customFormat="1" ht="25.5">
      <c r="A163" s="2811" t="s">
        <v>1616</v>
      </c>
      <c r="B163" s="2811"/>
      <c r="C163" s="2817" t="s">
        <v>2194</v>
      </c>
      <c r="D163" s="2814" t="s">
        <v>4420</v>
      </c>
      <c r="E163" s="2596" t="s">
        <v>8072</v>
      </c>
      <c r="F163" s="3592" t="s">
        <v>3157</v>
      </c>
      <c r="G163" s="3593" t="s">
        <v>3705</v>
      </c>
      <c r="H163" s="2596" t="str">
        <f>HLOOKUP(Non_UN,'Other translations2'!$A:$L,1+J163,)</f>
        <v>Cập nhật mới nhất cho GWP100 (IPCC-2013)</v>
      </c>
      <c r="J163" s="2596">
        <v>162</v>
      </c>
    </row>
    <row r="164" spans="1:10" s="2596" customFormat="1">
      <c r="A164" s="3577" t="s">
        <v>4845</v>
      </c>
      <c r="B164" s="2811"/>
      <c r="C164" s="2817" t="s">
        <v>2198</v>
      </c>
      <c r="D164" s="2814" t="s">
        <v>2197</v>
      </c>
      <c r="E164" s="2596" t="s">
        <v>8073</v>
      </c>
      <c r="F164" s="3592" t="s">
        <v>3007</v>
      </c>
      <c r="G164" s="3593" t="s">
        <v>3706</v>
      </c>
      <c r="H164" s="2596" t="str">
        <f>HLOOKUP(Non_UN,'Other translations2'!$A:$L,1+J164,)</f>
        <v>Không chiếm ưu thế</v>
      </c>
      <c r="J164" s="2596">
        <v>163</v>
      </c>
    </row>
    <row r="165" spans="1:10" s="2596" customFormat="1">
      <c r="A165" s="3577" t="s">
        <v>2199</v>
      </c>
      <c r="B165" s="2811"/>
      <c r="C165" s="2817" t="s">
        <v>2200</v>
      </c>
      <c r="D165" s="2814" t="s">
        <v>4524</v>
      </c>
      <c r="E165" s="2596" t="s">
        <v>8074</v>
      </c>
      <c r="F165" s="3592" t="s">
        <v>3008</v>
      </c>
      <c r="G165" s="3593" t="s">
        <v>3707</v>
      </c>
      <c r="H165" s="2596" t="str">
        <f>HLOOKUP(Non_UN,'Other translations2'!$A:$L,1+J165,)</f>
        <v>Không đất</v>
      </c>
      <c r="J165" s="2596">
        <v>164</v>
      </c>
    </row>
    <row r="166" spans="1:10" s="2596" customFormat="1">
      <c r="A166" s="3551" t="s">
        <v>5</v>
      </c>
      <c r="B166" s="2811"/>
      <c r="C166" s="2749" t="s">
        <v>5</v>
      </c>
      <c r="D166" s="2814" t="s">
        <v>5</v>
      </c>
      <c r="E166" s="2596" t="s">
        <v>8075</v>
      </c>
      <c r="F166" s="3592" t="s">
        <v>5</v>
      </c>
      <c r="G166" s="3593" t="s">
        <v>3708</v>
      </c>
      <c r="H166" s="2596" t="str">
        <f>HLOOKUP(Non_UN,'Other translations2'!$A:$L,1+J166,)</f>
        <v>?</v>
      </c>
      <c r="J166" s="2596">
        <v>165</v>
      </c>
    </row>
    <row r="167" spans="1:10" s="2596" customFormat="1">
      <c r="A167" s="3552" t="s">
        <v>297</v>
      </c>
      <c r="B167" s="2811"/>
      <c r="C167" s="2749" t="s">
        <v>1689</v>
      </c>
      <c r="D167" s="2814" t="s">
        <v>297</v>
      </c>
      <c r="E167" s="2596" t="s">
        <v>7943</v>
      </c>
      <c r="F167" s="3592" t="s">
        <v>2882</v>
      </c>
      <c r="G167" s="3593" t="s">
        <v>3582</v>
      </c>
      <c r="H167" s="2596" t="str">
        <f>HLOOKUP(Non_UN,'Other translations2'!$A:$L,1+J167,)</f>
        <v>Châu Phi</v>
      </c>
      <c r="J167" s="2596">
        <v>166</v>
      </c>
    </row>
    <row r="168" spans="1:10" s="2596" customFormat="1">
      <c r="A168" s="3552" t="s">
        <v>1384</v>
      </c>
      <c r="B168" s="2811"/>
      <c r="C168" s="2749" t="s">
        <v>2269</v>
      </c>
      <c r="D168" s="2814" t="s">
        <v>1384</v>
      </c>
      <c r="E168" s="2596" t="s">
        <v>8076</v>
      </c>
      <c r="F168" s="3592" t="s">
        <v>3009</v>
      </c>
      <c r="G168" s="3593" t="s">
        <v>3709</v>
      </c>
      <c r="H168" s="2596" t="str">
        <f>HLOOKUP(Non_UN,'Other translations2'!$A:$L,1+J168,)</f>
        <v>Châu Mỹ</v>
      </c>
      <c r="J168" s="2596">
        <v>167</v>
      </c>
    </row>
    <row r="169" spans="1:10" s="2596" customFormat="1">
      <c r="A169" s="3552" t="s">
        <v>424</v>
      </c>
      <c r="B169" s="2811"/>
      <c r="C169" s="2749" t="s">
        <v>2270</v>
      </c>
      <c r="D169" s="2814" t="s">
        <v>424</v>
      </c>
      <c r="E169" s="2596" t="s">
        <v>8077</v>
      </c>
      <c r="F169" s="3592" t="s">
        <v>3010</v>
      </c>
      <c r="G169" s="3593" t="s">
        <v>3710</v>
      </c>
      <c r="H169" s="2596" t="str">
        <f>HLOOKUP(Non_UN,'Other translations2'!$A:$L,1+J169,)</f>
        <v>Châu Á</v>
      </c>
      <c r="J169" s="2596">
        <v>168</v>
      </c>
    </row>
    <row r="170" spans="1:10" s="2596" customFormat="1">
      <c r="A170" s="3552" t="s">
        <v>1331</v>
      </c>
      <c r="B170" s="2811"/>
      <c r="C170" s="2749" t="s">
        <v>2271</v>
      </c>
      <c r="D170" s="2814" t="s">
        <v>4421</v>
      </c>
      <c r="E170" s="2596" t="s">
        <v>8078</v>
      </c>
      <c r="F170" s="3592" t="s">
        <v>3011</v>
      </c>
      <c r="G170" s="3593" t="s">
        <v>3711</v>
      </c>
      <c r="H170" s="2596" t="str">
        <f>HLOOKUP(Non_UN,'Other translations2'!$A:$L,1+J170,)</f>
        <v>Úc &amp; Niu Di-lân</v>
      </c>
      <c r="J170" s="2596">
        <v>169</v>
      </c>
    </row>
    <row r="171" spans="1:10" s="2596" customFormat="1">
      <c r="A171" s="3552" t="s">
        <v>1388</v>
      </c>
      <c r="B171" s="2811"/>
      <c r="C171" s="2749" t="s">
        <v>2272</v>
      </c>
      <c r="D171" s="2814" t="s">
        <v>4422</v>
      </c>
      <c r="E171" s="2596" t="s">
        <v>8079</v>
      </c>
      <c r="F171" s="3592" t="s">
        <v>3012</v>
      </c>
      <c r="G171" s="3593" t="s">
        <v>3712</v>
      </c>
      <c r="H171" s="2596" t="str">
        <f>HLOOKUP(Non_UN,'Other translations2'!$A:$L,1+J171,)</f>
        <v>Vùng Caribe</v>
      </c>
      <c r="J171" s="2596">
        <v>170</v>
      </c>
    </row>
    <row r="172" spans="1:10" s="2596" customFormat="1">
      <c r="A172" s="3552" t="s">
        <v>305</v>
      </c>
      <c r="B172" s="2811"/>
      <c r="C172" s="2749" t="s">
        <v>1698</v>
      </c>
      <c r="D172" s="2814" t="s">
        <v>4324</v>
      </c>
      <c r="E172" s="2596" t="s">
        <v>7952</v>
      </c>
      <c r="F172" s="3592" t="s">
        <v>2891</v>
      </c>
      <c r="G172" s="3593" t="s">
        <v>3591</v>
      </c>
      <c r="H172" s="2596" t="str">
        <f>HLOOKUP(Non_UN,'Other translations2'!$A:$L,1+J172,)</f>
        <v>Trung Mỹ</v>
      </c>
      <c r="J172" s="2596">
        <v>171</v>
      </c>
    </row>
    <row r="173" spans="1:10" s="2596" customFormat="1">
      <c r="A173" s="3552" t="s">
        <v>1334</v>
      </c>
      <c r="B173" s="2811"/>
      <c r="C173" s="2749" t="s">
        <v>2273</v>
      </c>
      <c r="D173" s="2814" t="s">
        <v>4423</v>
      </c>
      <c r="E173" s="2596" t="s">
        <v>8080</v>
      </c>
      <c r="F173" s="3592" t="s">
        <v>3013</v>
      </c>
      <c r="G173" s="3593" t="s">
        <v>3713</v>
      </c>
      <c r="H173" s="2596" t="str">
        <f>HLOOKUP(Non_UN,'Other translations2'!$A:$L,1+J173,)</f>
        <v>Trung Á</v>
      </c>
      <c r="J173" s="2596">
        <v>172</v>
      </c>
    </row>
    <row r="174" spans="1:10" s="2596" customFormat="1">
      <c r="A174" s="3551" t="s">
        <v>1389</v>
      </c>
      <c r="B174" s="2811"/>
      <c r="C174" s="2749" t="s">
        <v>2274</v>
      </c>
      <c r="D174" s="2814" t="s">
        <v>4424</v>
      </c>
      <c r="E174" s="2596" t="s">
        <v>8081</v>
      </c>
      <c r="F174" s="3592" t="s">
        <v>3014</v>
      </c>
      <c r="G174" s="3593" t="s">
        <v>3714</v>
      </c>
      <c r="H174" s="2596" t="str">
        <f>HLOOKUP(Non_UN,'Other translations2'!$A:$L,1+J174,)</f>
        <v>Đông Phi</v>
      </c>
      <c r="J174" s="2596">
        <v>173</v>
      </c>
    </row>
    <row r="175" spans="1:10" s="2596" customFormat="1">
      <c r="A175" s="3552" t="s">
        <v>1328</v>
      </c>
      <c r="B175" s="2811"/>
      <c r="C175" s="2749" t="s">
        <v>2275</v>
      </c>
      <c r="D175" s="2814" t="s">
        <v>4425</v>
      </c>
      <c r="E175" s="2596" t="s">
        <v>8082</v>
      </c>
      <c r="F175" s="3592" t="s">
        <v>3015</v>
      </c>
      <c r="G175" s="3593" t="s">
        <v>3715</v>
      </c>
      <c r="H175" s="2596" t="str">
        <f>HLOOKUP(Non_UN,'Other translations2'!$A:$L,1+J175,)</f>
        <v>Đông Á</v>
      </c>
      <c r="J175" s="2596">
        <v>174</v>
      </c>
    </row>
    <row r="176" spans="1:10" s="2596" customFormat="1">
      <c r="A176" s="3552" t="s">
        <v>302</v>
      </c>
      <c r="B176" s="2811"/>
      <c r="C176" s="2749" t="s">
        <v>1695</v>
      </c>
      <c r="D176" s="2814" t="s">
        <v>4322</v>
      </c>
      <c r="E176" s="2596" t="s">
        <v>7949</v>
      </c>
      <c r="F176" s="3592" t="s">
        <v>2888</v>
      </c>
      <c r="G176" s="3593" t="s">
        <v>3588</v>
      </c>
      <c r="H176" s="2596" t="str">
        <f>HLOOKUP(Non_UN,'Other translations2'!$A:$L,1+J176,)</f>
        <v>Đông Âu</v>
      </c>
      <c r="J176" s="2596">
        <v>175</v>
      </c>
    </row>
    <row r="177" spans="1:10" s="2596" customFormat="1">
      <c r="A177" s="3552" t="s">
        <v>1386</v>
      </c>
      <c r="B177" s="2811"/>
      <c r="C177" s="2749" t="s">
        <v>1386</v>
      </c>
      <c r="D177" s="2814" t="s">
        <v>4426</v>
      </c>
      <c r="E177" s="2596" t="s">
        <v>8083</v>
      </c>
      <c r="F177" s="3592" t="s">
        <v>3016</v>
      </c>
      <c r="G177" s="3593" t="s">
        <v>3716</v>
      </c>
      <c r="H177" s="2596" t="str">
        <f>HLOOKUP(Non_UN,'Other translations2'!$A:$L,1+J177,)</f>
        <v>Châu Âu</v>
      </c>
      <c r="J177" s="2596">
        <v>176</v>
      </c>
    </row>
    <row r="178" spans="1:10" s="2596" customFormat="1">
      <c r="A178" s="3552" t="s">
        <v>1390</v>
      </c>
      <c r="B178" s="2811"/>
      <c r="C178" s="2749" t="s">
        <v>2276</v>
      </c>
      <c r="D178" s="2814" t="s">
        <v>4525</v>
      </c>
      <c r="E178" s="2596" t="s">
        <v>8084</v>
      </c>
      <c r="F178" s="3592" t="s">
        <v>3017</v>
      </c>
      <c r="G178" s="3593" t="s">
        <v>3717</v>
      </c>
      <c r="H178" s="2596" t="str">
        <f>HLOOKUP(Non_UN,'Other translations2'!$A:$L,1+J178,)</f>
        <v>Liên minh châu Âu</v>
      </c>
      <c r="J178" s="2596">
        <v>177</v>
      </c>
    </row>
    <row r="179" spans="1:10" s="2596" customFormat="1">
      <c r="A179" s="3552" t="s">
        <v>1391</v>
      </c>
      <c r="B179" s="2811"/>
      <c r="C179" s="2749" t="s">
        <v>2277</v>
      </c>
      <c r="D179" s="2814" t="s">
        <v>1391</v>
      </c>
      <c r="E179" s="2596" t="s">
        <v>8085</v>
      </c>
      <c r="F179" s="3592" t="s">
        <v>3158</v>
      </c>
      <c r="G179" s="3593" t="s">
        <v>3718</v>
      </c>
      <c r="H179" s="2596" t="str">
        <f>HLOOKUP(Non_UN,'Other translations2'!$A:$L,1+J179,)</f>
        <v>Tiểu vùng Melanesia của châu Đại Dương</v>
      </c>
      <c r="J179" s="2596">
        <v>178</v>
      </c>
    </row>
    <row r="180" spans="1:10" s="2596" customFormat="1">
      <c r="A180" s="3552" t="s">
        <v>1324</v>
      </c>
      <c r="B180" s="2811"/>
      <c r="C180" s="2749" t="s">
        <v>2278</v>
      </c>
      <c r="D180" s="2814" t="s">
        <v>1324</v>
      </c>
      <c r="E180" s="2596" t="s">
        <v>8086</v>
      </c>
      <c r="F180" s="3592" t="s">
        <v>3018</v>
      </c>
      <c r="G180" s="3593" t="s">
        <v>3719</v>
      </c>
      <c r="H180" s="2596" t="str">
        <f>HLOOKUP(Non_UN,'Other translations2'!$A:$L,1+J180,)</f>
        <v>Liên bang Micronesia</v>
      </c>
      <c r="J180" s="2596">
        <v>179</v>
      </c>
    </row>
    <row r="181" spans="1:10" s="2596" customFormat="1">
      <c r="A181" s="3552" t="s">
        <v>1322</v>
      </c>
      <c r="B181" s="2811"/>
      <c r="C181" s="2749" t="s">
        <v>2279</v>
      </c>
      <c r="D181" s="2814" t="s">
        <v>4526</v>
      </c>
      <c r="E181" s="2596" t="s">
        <v>8087</v>
      </c>
      <c r="F181" s="3592" t="s">
        <v>3019</v>
      </c>
      <c r="G181" s="3593" t="s">
        <v>3720</v>
      </c>
      <c r="H181" s="2596" t="str">
        <f>HLOOKUP(Non_UN,'Other translations2'!$A:$L,1+J181,)</f>
        <v>Trung Phi</v>
      </c>
      <c r="J181" s="2596">
        <v>180</v>
      </c>
    </row>
    <row r="182" spans="1:10" s="2596" customFormat="1">
      <c r="A182" s="3552" t="s">
        <v>1392</v>
      </c>
      <c r="B182" s="2811"/>
      <c r="C182" s="2749" t="s">
        <v>2280</v>
      </c>
      <c r="D182" s="2814" t="s">
        <v>4427</v>
      </c>
      <c r="E182" s="2596" t="s">
        <v>8088</v>
      </c>
      <c r="F182" s="3592" t="s">
        <v>3020</v>
      </c>
      <c r="G182" s="3593" t="s">
        <v>3721</v>
      </c>
      <c r="H182" s="2596" t="str">
        <f>HLOOKUP(Non_UN,'Other translations2'!$A:$L,1+J182,)</f>
        <v>Bắc Phi</v>
      </c>
      <c r="J182" s="2596">
        <v>181</v>
      </c>
    </row>
    <row r="183" spans="1:10" s="2596" customFormat="1">
      <c r="A183" s="3552" t="s">
        <v>1318</v>
      </c>
      <c r="B183" s="2811"/>
      <c r="C183" s="2749" t="s">
        <v>1697</v>
      </c>
      <c r="D183" s="2814" t="s">
        <v>4323</v>
      </c>
      <c r="E183" s="2596" t="s">
        <v>7951</v>
      </c>
      <c r="F183" s="3592" t="s">
        <v>2890</v>
      </c>
      <c r="G183" s="3593" t="s">
        <v>3590</v>
      </c>
      <c r="H183" s="2596" t="str">
        <f>HLOOKUP(Non_UN,'Other translations2'!$A:$L,1+J183,)</f>
        <v>Bắc Mỹ</v>
      </c>
      <c r="J183" s="2596">
        <v>182</v>
      </c>
    </row>
    <row r="184" spans="1:10" s="2596" customFormat="1">
      <c r="A184" s="3552" t="s">
        <v>1320</v>
      </c>
      <c r="B184" s="2811"/>
      <c r="C184" s="2749" t="s">
        <v>2281</v>
      </c>
      <c r="D184" s="2814" t="s">
        <v>4428</v>
      </c>
      <c r="E184" s="2596" t="s">
        <v>8089</v>
      </c>
      <c r="F184" s="3592" t="s">
        <v>3021</v>
      </c>
      <c r="G184" s="3593" t="s">
        <v>3722</v>
      </c>
      <c r="H184" s="2596" t="str">
        <f>HLOOKUP(Non_UN,'Other translations2'!$A:$L,1+J184,)</f>
        <v>Bắc Âu</v>
      </c>
      <c r="J184" s="2596">
        <v>183</v>
      </c>
    </row>
    <row r="185" spans="1:10" s="2596" customFormat="1">
      <c r="A185" s="3552" t="s">
        <v>303</v>
      </c>
      <c r="B185" s="2811"/>
      <c r="C185" s="2749" t="s">
        <v>1696</v>
      </c>
      <c r="D185" s="2814" t="s">
        <v>303</v>
      </c>
      <c r="E185" s="2596" t="s">
        <v>7950</v>
      </c>
      <c r="F185" s="3592" t="s">
        <v>2889</v>
      </c>
      <c r="G185" s="3593" t="s">
        <v>3589</v>
      </c>
      <c r="H185" s="2596" t="str">
        <f>HLOOKUP(Non_UN,'Other translations2'!$A:$L,1+J185,)</f>
        <v>Châu Đại dương</v>
      </c>
      <c r="J185" s="2596">
        <v>184</v>
      </c>
    </row>
    <row r="186" spans="1:10" s="2596" customFormat="1">
      <c r="A186" s="3552" t="s">
        <v>1393</v>
      </c>
      <c r="B186" s="2811"/>
      <c r="C186" s="2749" t="s">
        <v>2282</v>
      </c>
      <c r="D186" s="2814" t="s">
        <v>4429</v>
      </c>
      <c r="E186" s="2596" t="s">
        <v>8090</v>
      </c>
      <c r="F186" s="3592" t="s">
        <v>3022</v>
      </c>
      <c r="G186" s="3593" t="s">
        <v>3723</v>
      </c>
      <c r="H186" s="2596" t="str">
        <f>HLOOKUP(Non_UN,'Other translations2'!$A:$L,1+J186,)</f>
        <v xml:space="preserve">Vùng Polynesia (phân vùng của châu Đại Dương) </v>
      </c>
      <c r="J186" s="2596">
        <v>185</v>
      </c>
    </row>
    <row r="187" spans="1:10" s="2596" customFormat="1">
      <c r="A187" s="3552" t="s">
        <v>306</v>
      </c>
      <c r="B187" s="2811"/>
      <c r="C187" s="2814" t="s">
        <v>1699</v>
      </c>
      <c r="D187" s="2814" t="s">
        <v>4325</v>
      </c>
      <c r="E187" s="2596" t="s">
        <v>7953</v>
      </c>
      <c r="F187" s="3592" t="s">
        <v>2892</v>
      </c>
      <c r="G187" s="3593" t="s">
        <v>3592</v>
      </c>
      <c r="H187" s="2596" t="str">
        <f>HLOOKUP(Non_UN,'Other translations2'!$A:$L,1+J187,)</f>
        <v>Nam Mỹ</v>
      </c>
      <c r="J187" s="2596">
        <v>186</v>
      </c>
    </row>
    <row r="188" spans="1:10" s="2596" customFormat="1">
      <c r="A188" s="3552" t="s">
        <v>1394</v>
      </c>
      <c r="B188" s="2811"/>
      <c r="C188" s="2814" t="s">
        <v>2283</v>
      </c>
      <c r="D188" s="2814" t="s">
        <v>4430</v>
      </c>
      <c r="E188" s="2596" t="s">
        <v>8091</v>
      </c>
      <c r="F188" s="3592" t="s">
        <v>3023</v>
      </c>
      <c r="G188" s="3593" t="s">
        <v>3724</v>
      </c>
      <c r="H188" s="2596" t="str">
        <f>HLOOKUP(Non_UN,'Other translations2'!$A:$L,1+J188,)</f>
        <v>Đông Nam Á</v>
      </c>
      <c r="J188" s="2596">
        <v>187</v>
      </c>
    </row>
    <row r="189" spans="1:10" s="2596" customFormat="1">
      <c r="A189" s="3552" t="s">
        <v>1395</v>
      </c>
      <c r="B189" s="2811"/>
      <c r="C189" s="2814" t="s">
        <v>2284</v>
      </c>
      <c r="D189" s="2814" t="s">
        <v>4431</v>
      </c>
      <c r="E189" s="2596" t="s">
        <v>8092</v>
      </c>
      <c r="F189" s="3592" t="s">
        <v>3024</v>
      </c>
      <c r="G189" s="3593" t="s">
        <v>3725</v>
      </c>
      <c r="H189" s="2596" t="str">
        <f>HLOOKUP(Non_UN,'Other translations2'!$A:$L,1+J189,)</f>
        <v>Nam châu Phi</v>
      </c>
      <c r="J189" s="2596">
        <v>188</v>
      </c>
    </row>
    <row r="190" spans="1:10" s="2596" customFormat="1">
      <c r="A190" s="3552" t="s">
        <v>1326</v>
      </c>
      <c r="B190" s="2811"/>
      <c r="C190" s="2814" t="s">
        <v>2285</v>
      </c>
      <c r="D190" s="2814" t="s">
        <v>4432</v>
      </c>
      <c r="E190" s="2596" t="s">
        <v>8093</v>
      </c>
      <c r="F190" s="3592" t="s">
        <v>3025</v>
      </c>
      <c r="G190" s="3593" t="s">
        <v>3726</v>
      </c>
      <c r="H190" s="2596" t="str">
        <f>HLOOKUP(Non_UN,'Other translations2'!$A:$L,1+J190,)</f>
        <v>Nam Châu Á</v>
      </c>
      <c r="J190" s="2596">
        <v>189</v>
      </c>
    </row>
    <row r="191" spans="1:10" s="2596" customFormat="1">
      <c r="A191" s="3552" t="s">
        <v>1396</v>
      </c>
      <c r="B191" s="2811"/>
      <c r="C191" s="2814" t="s">
        <v>2286</v>
      </c>
      <c r="D191" s="2814" t="s">
        <v>4433</v>
      </c>
      <c r="E191" s="2596" t="s">
        <v>8094</v>
      </c>
      <c r="F191" s="3592" t="s">
        <v>3026</v>
      </c>
      <c r="G191" s="3593" t="s">
        <v>3727</v>
      </c>
      <c r="H191" s="2596" t="str">
        <f>HLOOKUP(Non_UN,'Other translations2'!$A:$L,1+J191,)</f>
        <v>Nam Âu</v>
      </c>
      <c r="J191" s="2596">
        <v>190</v>
      </c>
    </row>
    <row r="192" spans="1:10" s="2596" customFormat="1">
      <c r="A192" s="3552" t="s">
        <v>1397</v>
      </c>
      <c r="B192" s="2811"/>
      <c r="C192" s="2814" t="s">
        <v>2287</v>
      </c>
      <c r="D192" s="2814" t="s">
        <v>4434</v>
      </c>
      <c r="E192" s="2596" t="s">
        <v>8095</v>
      </c>
      <c r="F192" s="3592" t="s">
        <v>3027</v>
      </c>
      <c r="G192" s="3593" t="s">
        <v>3728</v>
      </c>
      <c r="H192" s="2596" t="str">
        <f>HLOOKUP(Non_UN,'Other translations2'!$A:$L,1+J192,)</f>
        <v>Tây Phi</v>
      </c>
      <c r="J192" s="2596">
        <v>191</v>
      </c>
    </row>
    <row r="193" spans="1:10" s="2596" customFormat="1">
      <c r="A193" s="3552" t="s">
        <v>1398</v>
      </c>
      <c r="B193" s="2811"/>
      <c r="C193" s="2814" t="s">
        <v>2288</v>
      </c>
      <c r="D193" s="2814" t="s">
        <v>4435</v>
      </c>
      <c r="E193" s="2596" t="s">
        <v>8096</v>
      </c>
      <c r="F193" s="3592" t="s">
        <v>3028</v>
      </c>
      <c r="G193" s="3593" t="s">
        <v>3729</v>
      </c>
      <c r="H193" s="2596" t="str">
        <f>HLOOKUP(Non_UN,'Other translations2'!$A:$L,1+J193,)</f>
        <v>Tây Á</v>
      </c>
      <c r="J193" s="2596">
        <v>192</v>
      </c>
    </row>
    <row r="194" spans="1:10" s="2596" customFormat="1">
      <c r="A194" s="3552" t="s">
        <v>301</v>
      </c>
      <c r="B194" s="2811"/>
      <c r="C194" s="2814" t="s">
        <v>1694</v>
      </c>
      <c r="D194" s="2814" t="s">
        <v>4436</v>
      </c>
      <c r="E194" s="2596" t="s">
        <v>7948</v>
      </c>
      <c r="F194" s="3592" t="s">
        <v>2887</v>
      </c>
      <c r="G194" s="3593" t="s">
        <v>3587</v>
      </c>
      <c r="H194" s="2596" t="str">
        <f>HLOOKUP(Non_UN,'Other translations2'!$A:$L,1+J194,)</f>
        <v>Tây Âu</v>
      </c>
      <c r="J194" s="2596">
        <v>193</v>
      </c>
    </row>
    <row r="195" spans="1:10" s="2596" customFormat="1">
      <c r="A195" s="3552" t="s">
        <v>1387</v>
      </c>
      <c r="B195" s="2811"/>
      <c r="C195" s="2817" t="s">
        <v>2289</v>
      </c>
      <c r="D195" s="2814" t="s">
        <v>4437</v>
      </c>
      <c r="E195" s="2596" t="s">
        <v>8097</v>
      </c>
      <c r="F195" s="3592" t="s">
        <v>3029</v>
      </c>
      <c r="G195" s="3593" t="s">
        <v>3730</v>
      </c>
      <c r="H195" s="2596" t="str">
        <f>HLOOKUP(Non_UN,'Other translations2'!$A:$L,1+J195,)</f>
        <v>Thế giới</v>
      </c>
      <c r="J195" s="2596">
        <v>194</v>
      </c>
    </row>
    <row r="196" spans="1:10" s="2596" customFormat="1">
      <c r="A196" s="3551" t="s">
        <v>5</v>
      </c>
      <c r="B196" s="2811"/>
      <c r="C196" s="2817" t="s">
        <v>5</v>
      </c>
      <c r="D196" s="2814" t="s">
        <v>5</v>
      </c>
      <c r="E196" s="2596" t="s">
        <v>5</v>
      </c>
      <c r="F196" s="3592" t="s">
        <v>5</v>
      </c>
      <c r="G196" s="3593" t="s">
        <v>3708</v>
      </c>
      <c r="H196" s="2596" t="str">
        <f>HLOOKUP(Non_UN,'Other translations2'!$A:$L,1+J196,)</f>
        <v>?</v>
      </c>
      <c r="J196" s="2596">
        <v>195</v>
      </c>
    </row>
    <row r="197" spans="1:10" s="2596" customFormat="1">
      <c r="A197" s="3552" t="s">
        <v>1336</v>
      </c>
      <c r="B197" s="2811"/>
      <c r="C197" s="2817" t="s">
        <v>2296</v>
      </c>
      <c r="D197" s="2814" t="s">
        <v>1336</v>
      </c>
      <c r="E197" s="2596" t="s">
        <v>8098</v>
      </c>
      <c r="F197" s="3592" t="s">
        <v>3030</v>
      </c>
      <c r="G197" s="3593" t="s">
        <v>3731</v>
      </c>
      <c r="H197" s="2596" t="str">
        <f>HLOOKUP(Non_UN,'Other translations2'!$A:$L,1+J197,)</f>
        <v>Chuối</v>
      </c>
      <c r="J197" s="2596">
        <v>196</v>
      </c>
    </row>
    <row r="198" spans="1:10" s="2596" customFormat="1">
      <c r="A198" s="3552" t="s">
        <v>1337</v>
      </c>
      <c r="B198" s="2811"/>
      <c r="C198" s="2817" t="s">
        <v>2295</v>
      </c>
      <c r="D198" s="2814" t="s">
        <v>4438</v>
      </c>
      <c r="E198" s="2596" t="s">
        <v>8099</v>
      </c>
      <c r="F198" s="3592" t="s">
        <v>3031</v>
      </c>
      <c r="G198" s="3593" t="s">
        <v>3732</v>
      </c>
      <c r="H198" s="2596" t="str">
        <f>HLOOKUP(Non_UN,'Other translations2'!$A:$L,1+J198,)</f>
        <v>Lúa mạch</v>
      </c>
      <c r="J198" s="2596">
        <v>197</v>
      </c>
    </row>
    <row r="199" spans="1:10" s="2596" customFormat="1">
      <c r="A199" s="3552" t="s">
        <v>1338</v>
      </c>
      <c r="B199" s="2811"/>
      <c r="C199" s="2814" t="s">
        <v>2290</v>
      </c>
      <c r="D199" s="2814" t="s">
        <v>4439</v>
      </c>
      <c r="E199" s="2596" t="s">
        <v>8100</v>
      </c>
      <c r="F199" s="3592" t="s">
        <v>3159</v>
      </c>
      <c r="G199" s="3593" t="s">
        <v>3733</v>
      </c>
      <c r="H199" s="2596" t="str">
        <f>HLOOKUP(Non_UN,'Other translations2'!$A:$L,1+J199,)</f>
        <v>Đậu (khô)</v>
      </c>
      <c r="J199" s="2596">
        <v>198</v>
      </c>
    </row>
    <row r="200" spans="1:10" s="2596" customFormat="1">
      <c r="A200" s="3552" t="s">
        <v>1339</v>
      </c>
      <c r="B200" s="2811"/>
      <c r="C200" s="2814" t="s">
        <v>2291</v>
      </c>
      <c r="D200" s="2814" t="s">
        <v>4440</v>
      </c>
      <c r="E200" s="2596" t="s">
        <v>8101</v>
      </c>
      <c r="F200" s="3592" t="s">
        <v>3032</v>
      </c>
      <c r="G200" s="3593" t="s">
        <v>3734</v>
      </c>
      <c r="H200" s="2596" t="str">
        <f>HLOOKUP(Non_UN,'Other translations2'!$A:$L,1+J200,)</f>
        <v>Đậu (còn tươi)</v>
      </c>
      <c r="J200" s="2596">
        <v>199</v>
      </c>
    </row>
    <row r="201" spans="1:10" s="2596" customFormat="1">
      <c r="A201" s="3552" t="s">
        <v>1340</v>
      </c>
      <c r="B201" s="2811"/>
      <c r="C201" s="2814" t="s">
        <v>2292</v>
      </c>
      <c r="D201" s="2814" t="s">
        <v>4527</v>
      </c>
      <c r="E201" s="2596" t="s">
        <v>8102</v>
      </c>
      <c r="F201" s="3592" t="s">
        <v>3033</v>
      </c>
      <c r="G201" s="3593" t="s">
        <v>3735</v>
      </c>
      <c r="H201" s="2596" t="str">
        <f>HLOOKUP(Non_UN,'Other translations2'!$A:$L,1+J201,)</f>
        <v>Cà rốt và củ cải</v>
      </c>
      <c r="J201" s="2596">
        <v>200</v>
      </c>
    </row>
    <row r="202" spans="1:10" s="2596" customFormat="1">
      <c r="A202" s="3552" t="s">
        <v>1341</v>
      </c>
      <c r="B202" s="2811"/>
      <c r="C202" s="2814" t="s">
        <v>2293</v>
      </c>
      <c r="D202" s="2814" t="s">
        <v>4441</v>
      </c>
      <c r="E202" s="2596" t="s">
        <v>8103</v>
      </c>
      <c r="F202" s="3592" t="s">
        <v>3034</v>
      </c>
      <c r="G202" s="3593" t="s">
        <v>3736</v>
      </c>
      <c r="H202" s="2596" t="str">
        <f>HLOOKUP(Non_UN,'Other translations2'!$A:$L,1+J202,)</f>
        <v>Hạt điều (chưa tách vỏ)</v>
      </c>
      <c r="J202" s="2596">
        <v>201</v>
      </c>
    </row>
    <row r="203" spans="1:10" s="2596" customFormat="1">
      <c r="A203" s="3552" t="s">
        <v>1342</v>
      </c>
      <c r="B203" s="2811"/>
      <c r="C203" s="2817" t="s">
        <v>2297</v>
      </c>
      <c r="D203" s="2814" t="s">
        <v>4442</v>
      </c>
      <c r="E203" s="2596" t="s">
        <v>8104</v>
      </c>
      <c r="F203" s="3592" t="s">
        <v>3035</v>
      </c>
      <c r="G203" s="3593" t="s">
        <v>3737</v>
      </c>
      <c r="H203" s="2596" t="str">
        <f>HLOOKUP(Non_UN,'Other translations2'!$A:$L,1+J203,)</f>
        <v>Sắn</v>
      </c>
      <c r="J203" s="2596">
        <v>202</v>
      </c>
    </row>
    <row r="204" spans="1:10" s="2596" customFormat="1">
      <c r="A204" s="3552" t="s">
        <v>1343</v>
      </c>
      <c r="B204" s="2811"/>
      <c r="C204" s="2814" t="s">
        <v>2294</v>
      </c>
      <c r="D204" s="2814" t="s">
        <v>4443</v>
      </c>
      <c r="E204" s="2596" t="s">
        <v>8105</v>
      </c>
      <c r="F204" s="3592" t="s">
        <v>3036</v>
      </c>
      <c r="G204" s="3593" t="s">
        <v>3738</v>
      </c>
      <c r="H204" s="2596" t="str">
        <f>HLOOKUP(Non_UN,'Other translations2'!$A:$L,1+J204,)</f>
        <v>Xúp lơ và bông cải xanh</v>
      </c>
      <c r="J204" s="2596">
        <v>203</v>
      </c>
    </row>
    <row r="205" spans="1:10" s="2596" customFormat="1" ht="25.5">
      <c r="A205" s="3551" t="s">
        <v>4753</v>
      </c>
      <c r="B205" s="2811"/>
      <c r="C205" s="2817" t="s">
        <v>2298</v>
      </c>
      <c r="D205" s="2814" t="s">
        <v>4444</v>
      </c>
      <c r="E205" s="2596" t="s">
        <v>8106</v>
      </c>
      <c r="F205" s="3592" t="s">
        <v>3037</v>
      </c>
      <c r="G205" s="3593" t="s">
        <v>3739</v>
      </c>
      <c r="H205" s="2596" t="str">
        <f>HLOOKUP(Non_UN,'Other translations2'!$A:$L,1+J205,)</f>
        <v>Ngũ cốc (quy gạo)</v>
      </c>
      <c r="J205" s="2596">
        <v>204</v>
      </c>
    </row>
    <row r="206" spans="1:10" s="2596" customFormat="1">
      <c r="A206" s="3552" t="s">
        <v>1344</v>
      </c>
      <c r="B206" s="2811"/>
      <c r="C206" s="2814" t="s">
        <v>2299</v>
      </c>
      <c r="D206" s="2817" t="s">
        <v>4528</v>
      </c>
      <c r="E206" s="2596" t="s">
        <v>8107</v>
      </c>
      <c r="F206" s="3592" t="s">
        <v>3038</v>
      </c>
      <c r="G206" s="3593" t="s">
        <v>3740</v>
      </c>
      <c r="H206" s="2596" t="str">
        <f>HLOOKUP(Non_UN,'Other translations2'!$A:$L,1+J206,)</f>
        <v xml:space="preserve">Ngũ cốc </v>
      </c>
      <c r="J206" s="2596">
        <v>205</v>
      </c>
    </row>
    <row r="207" spans="1:10" s="2596" customFormat="1">
      <c r="A207" s="3552" t="s">
        <v>1345</v>
      </c>
      <c r="B207" s="2811"/>
      <c r="C207" s="2817" t="s">
        <v>2307</v>
      </c>
      <c r="D207" s="2814" t="s">
        <v>4445</v>
      </c>
      <c r="E207" s="2596" t="s">
        <v>8108</v>
      </c>
      <c r="F207" s="3592" t="s">
        <v>3039</v>
      </c>
      <c r="G207" s="3593" t="s">
        <v>3741</v>
      </c>
      <c r="H207" s="2596" t="str">
        <f>HLOOKUP(Non_UN,'Other translations2'!$A:$L,1+J207,)</f>
        <v>Hạt dẻ</v>
      </c>
      <c r="J207" s="2596">
        <v>206</v>
      </c>
    </row>
    <row r="208" spans="1:10" s="2596" customFormat="1">
      <c r="A208" s="3552" t="s">
        <v>1346</v>
      </c>
      <c r="B208" s="2811"/>
      <c r="C208" s="2814" t="s">
        <v>2300</v>
      </c>
      <c r="D208" s="2814" t="s">
        <v>4529</v>
      </c>
      <c r="E208" s="2596" t="s">
        <v>8109</v>
      </c>
      <c r="F208" s="3592" t="s">
        <v>3040</v>
      </c>
      <c r="G208" s="3593" t="s">
        <v>3742</v>
      </c>
      <c r="H208" s="2596" t="str">
        <f>HLOOKUP(Non_UN,'Other translations2'!$A:$L,1+J208,)</f>
        <v>Cam, quýt</v>
      </c>
      <c r="J208" s="2596">
        <v>207</v>
      </c>
    </row>
    <row r="209" spans="1:10" s="2596" customFormat="1">
      <c r="A209" s="3552" t="s">
        <v>1347</v>
      </c>
      <c r="B209" s="2811"/>
      <c r="C209" s="2814" t="s">
        <v>2301</v>
      </c>
      <c r="D209" s="2814" t="s">
        <v>4446</v>
      </c>
      <c r="E209" s="2596" t="s">
        <v>8110</v>
      </c>
      <c r="F209" s="3592" t="s">
        <v>3041</v>
      </c>
      <c r="G209" s="3593" t="s">
        <v>3743</v>
      </c>
      <c r="H209" s="2596" t="str">
        <f>HLOOKUP(Non_UN,'Other translations2'!$A:$L,1+J209,)</f>
        <v>Cà phê, tươi</v>
      </c>
      <c r="J209" s="2596">
        <v>208</v>
      </c>
    </row>
    <row r="210" spans="1:10" s="2596" customFormat="1" ht="25.5">
      <c r="A210" s="3552" t="s">
        <v>1329</v>
      </c>
      <c r="B210" s="2811"/>
      <c r="C210" s="2814" t="s">
        <v>2302</v>
      </c>
      <c r="D210" s="2814" t="s">
        <v>4447</v>
      </c>
      <c r="E210" s="2596" t="s">
        <v>8111</v>
      </c>
      <c r="F210" s="3592" t="s">
        <v>3042</v>
      </c>
      <c r="G210" s="3593" t="s">
        <v>3744</v>
      </c>
      <c r="H210" s="2596" t="str">
        <f>HLOOKUP(Non_UN,'Other translations2'!$A:$L,1+J210,)</f>
        <v>Đậu đũa, khô</v>
      </c>
      <c r="J210" s="2596">
        <v>209</v>
      </c>
    </row>
    <row r="211" spans="1:10" s="2596" customFormat="1">
      <c r="A211" s="3552" t="s">
        <v>1348</v>
      </c>
      <c r="B211" s="2811"/>
      <c r="C211" s="2817" t="s">
        <v>1348</v>
      </c>
      <c r="D211" s="2814" t="s">
        <v>4448</v>
      </c>
      <c r="E211" s="2596" t="s">
        <v>8112</v>
      </c>
      <c r="F211" s="3592" t="s">
        <v>3043</v>
      </c>
      <c r="G211" s="3593" t="s">
        <v>3745</v>
      </c>
      <c r="H211" s="2596" t="str">
        <f>HLOOKUP(Non_UN,'Other translations2'!$A:$L,1+J211,)</f>
        <v>Ngày tháng</v>
      </c>
      <c r="J211" s="2596">
        <v>210</v>
      </c>
    </row>
    <row r="212" spans="1:10" s="2596" customFormat="1">
      <c r="A212" s="3552" t="s">
        <v>1349</v>
      </c>
      <c r="B212" s="2811"/>
      <c r="C212" s="2814" t="s">
        <v>2303</v>
      </c>
      <c r="D212" s="2814" t="s">
        <v>4449</v>
      </c>
      <c r="E212" s="2596" t="s">
        <v>8113</v>
      </c>
      <c r="F212" s="3592" t="s">
        <v>3044</v>
      </c>
      <c r="G212" s="3593" t="s">
        <v>3746</v>
      </c>
      <c r="H212" s="2596" t="str">
        <f>HLOOKUP(Non_UN,'Other translations2'!$A:$L,1+J212,)</f>
        <v>Cà (cà các loại)</v>
      </c>
      <c r="J212" s="2596">
        <v>211</v>
      </c>
    </row>
    <row r="213" spans="1:10" s="2596" customFormat="1" ht="25.5">
      <c r="A213" s="3552" t="s">
        <v>1350</v>
      </c>
      <c r="B213" s="2811"/>
      <c r="C213" s="2817" t="s">
        <v>2308</v>
      </c>
      <c r="D213" s="2814" t="s">
        <v>4530</v>
      </c>
      <c r="E213" s="2596" t="s">
        <v>8114</v>
      </c>
      <c r="F213" s="3592" t="s">
        <v>3045</v>
      </c>
      <c r="G213" s="3593" t="s">
        <v>3747</v>
      </c>
      <c r="H213" s="2596" t="str">
        <f>HLOOKUP(Non_UN,'Other translations2'!$A:$L,1+J213,)</f>
        <v>Cây lấy sợi</v>
      </c>
      <c r="J213" s="2596">
        <v>212</v>
      </c>
    </row>
    <row r="214" spans="1:10" s="2596" customFormat="1">
      <c r="A214" s="3552" t="s">
        <v>1351</v>
      </c>
      <c r="B214" s="2811"/>
      <c r="C214" s="2817" t="s">
        <v>2309</v>
      </c>
      <c r="D214" s="2814" t="s">
        <v>4531</v>
      </c>
      <c r="E214" s="2596" t="s">
        <v>8115</v>
      </c>
      <c r="F214" s="3592" t="s">
        <v>3046</v>
      </c>
      <c r="G214" s="3593" t="s">
        <v>3748</v>
      </c>
      <c r="H214" s="2596" t="str">
        <f>HLOOKUP(Non_UN,'Other translations2'!$A:$L,1+J214,)</f>
        <v>Bưởi các loại</v>
      </c>
      <c r="J214" s="2596">
        <v>213</v>
      </c>
    </row>
    <row r="215" spans="1:10" s="2596" customFormat="1">
      <c r="A215" s="3552" t="s">
        <v>1352</v>
      </c>
      <c r="B215" s="2811"/>
      <c r="C215" s="2817" t="s">
        <v>2310</v>
      </c>
      <c r="D215" s="2814" t="s">
        <v>4450</v>
      </c>
      <c r="E215" s="2596" t="s">
        <v>8116</v>
      </c>
      <c r="F215" s="3592" t="s">
        <v>3047</v>
      </c>
      <c r="G215" s="3593" t="s">
        <v>3749</v>
      </c>
      <c r="H215" s="2596" t="str">
        <f>HLOOKUP(Non_UN,'Other translations2'!$A:$L,1+J215,)</f>
        <v>Nho</v>
      </c>
      <c r="J215" s="2596">
        <v>214</v>
      </c>
    </row>
    <row r="216" spans="1:10" s="2596" customFormat="1">
      <c r="A216" s="3552" t="s">
        <v>1353</v>
      </c>
      <c r="B216" s="2811"/>
      <c r="C216" s="2814" t="s">
        <v>2304</v>
      </c>
      <c r="D216" s="2814" t="s">
        <v>4451</v>
      </c>
      <c r="E216" s="2596" t="s">
        <v>8117</v>
      </c>
      <c r="F216" s="3592" t="s">
        <v>3048</v>
      </c>
      <c r="G216" s="3593" t="s">
        <v>3750</v>
      </c>
      <c r="H216" s="2596" t="str">
        <f>HLOOKUP(Non_UN,'Other translations2'!$A:$L,1+J216,)</f>
        <v>Lạc (chưa bóc vỏ)</v>
      </c>
      <c r="J216" s="2596">
        <v>215</v>
      </c>
    </row>
    <row r="217" spans="1:10" s="2596" customFormat="1">
      <c r="A217" s="3552" t="s">
        <v>1354</v>
      </c>
      <c r="B217" s="2811"/>
      <c r="C217" s="2814" t="s">
        <v>2305</v>
      </c>
      <c r="D217" s="2814" t="s">
        <v>4532</v>
      </c>
      <c r="E217" s="2596" t="s">
        <v>8118</v>
      </c>
      <c r="F217" s="3592" t="s">
        <v>3049</v>
      </c>
      <c r="G217" s="3593" t="s">
        <v>3751</v>
      </c>
      <c r="H217" s="2596" t="str">
        <f>HLOOKUP(Non_UN,'Other translations2'!$A:$L,1+J217,)</f>
        <v>Đậu các loại, rau các loại</v>
      </c>
      <c r="J217" s="2596">
        <v>216</v>
      </c>
    </row>
    <row r="218" spans="1:10" s="2596" customFormat="1">
      <c r="A218" s="3552" t="s">
        <v>1355</v>
      </c>
      <c r="B218" s="2811"/>
      <c r="C218" s="2817" t="s">
        <v>2311</v>
      </c>
      <c r="D218" s="2814" t="s">
        <v>4452</v>
      </c>
      <c r="E218" s="2596" t="s">
        <v>8119</v>
      </c>
      <c r="F218" s="3592" t="s">
        <v>3050</v>
      </c>
      <c r="G218" s="3593" t="s">
        <v>3752</v>
      </c>
      <c r="H218" s="2596" t="str">
        <f>HLOOKUP(Non_UN,'Other translations2'!$A:$L,1+J218,)</f>
        <v>Cây gai, lanh</v>
      </c>
      <c r="J218" s="2596">
        <v>217</v>
      </c>
    </row>
    <row r="219" spans="1:10" s="2596" customFormat="1">
      <c r="A219" s="3552" t="s">
        <v>1356</v>
      </c>
      <c r="B219" s="2811"/>
      <c r="C219" s="2817" t="s">
        <v>2312</v>
      </c>
      <c r="D219" s="2814" t="s">
        <v>4453</v>
      </c>
      <c r="E219" s="2596" t="s">
        <v>8120</v>
      </c>
      <c r="F219" s="3592" t="s">
        <v>3051</v>
      </c>
      <c r="G219" s="3593" t="s">
        <v>3753</v>
      </c>
      <c r="H219" s="2596" t="str">
        <f>HLOOKUP(Non_UN,'Other translations2'!$A:$L,1+J219,)</f>
        <v>Ngô</v>
      </c>
      <c r="J219" s="2596">
        <v>218</v>
      </c>
    </row>
    <row r="220" spans="1:10" s="2596" customFormat="1">
      <c r="A220" s="3552" t="s">
        <v>1357</v>
      </c>
      <c r="B220" s="2811"/>
      <c r="C220" s="2814" t="s">
        <v>2306</v>
      </c>
      <c r="D220" s="2814" t="s">
        <v>4454</v>
      </c>
      <c r="E220" s="2596" t="s">
        <v>8121</v>
      </c>
      <c r="F220" s="3592" t="s">
        <v>3052</v>
      </c>
      <c r="G220" s="3593" t="s">
        <v>3754</v>
      </c>
      <c r="H220" s="2596" t="str">
        <f>HLOOKUP(Non_UN,'Other translations2'!$A:$L,1+J220,)</f>
        <v>Ngô, tươi</v>
      </c>
      <c r="J220" s="2596">
        <v>219</v>
      </c>
    </row>
    <row r="221" spans="1:10" s="2596" customFormat="1">
      <c r="A221" s="3551" t="s">
        <v>1358</v>
      </c>
      <c r="B221" s="2811"/>
      <c r="C221" s="2814" t="s">
        <v>2313</v>
      </c>
      <c r="D221" s="2814" t="s">
        <v>4455</v>
      </c>
      <c r="E221" s="2596" t="s">
        <v>8122</v>
      </c>
      <c r="F221" s="3592" t="s">
        <v>3053</v>
      </c>
      <c r="G221" s="3593" t="s">
        <v>3755</v>
      </c>
      <c r="H221" s="2596" t="str">
        <f>HLOOKUP(Non_UN,'Other translations2'!$A:$L,1+J221,)</f>
        <v>Xoài, măng cụt, ổi</v>
      </c>
      <c r="J221" s="2596">
        <v>220</v>
      </c>
    </row>
    <row r="222" spans="1:10" s="2596" customFormat="1">
      <c r="A222" s="3551" t="s">
        <v>2268</v>
      </c>
      <c r="B222" s="2811"/>
      <c r="C222" s="2817" t="s">
        <v>2268</v>
      </c>
      <c r="D222" s="2814" t="s">
        <v>4456</v>
      </c>
      <c r="E222" s="2596" t="s">
        <v>8123</v>
      </c>
      <c r="F222" s="3592" t="s">
        <v>3160</v>
      </c>
      <c r="G222" s="3593" t="s">
        <v>3756</v>
      </c>
      <c r="H222" s="2596" t="str">
        <f>HLOOKUP(Non_UN,'Other translations2'!$A:$L,1+J222,)</f>
        <v>Cây chè Pa-ra-goai.</v>
      </c>
      <c r="J222" s="2596">
        <v>221</v>
      </c>
    </row>
    <row r="223" spans="1:10" s="2596" customFormat="1">
      <c r="A223" s="3552" t="s">
        <v>1359</v>
      </c>
      <c r="B223" s="2811"/>
      <c r="C223" s="2817" t="s">
        <v>1359</v>
      </c>
      <c r="D223" s="2814" t="s">
        <v>4457</v>
      </c>
      <c r="E223" s="2596" t="s">
        <v>8124</v>
      </c>
      <c r="F223" s="3592" t="s">
        <v>3054</v>
      </c>
      <c r="G223" s="3593" t="s">
        <v>3757</v>
      </c>
      <c r="H223" s="2596" t="str">
        <f>HLOOKUP(Non_UN,'Other translations2'!$A:$L,1+J223,)</f>
        <v>Kê</v>
      </c>
      <c r="J223" s="2596">
        <v>222</v>
      </c>
    </row>
    <row r="224" spans="1:10" s="2596" customFormat="1">
      <c r="A224" s="3552" t="s">
        <v>1323</v>
      </c>
      <c r="B224" s="2811"/>
      <c r="C224" s="2817" t="s">
        <v>2324</v>
      </c>
      <c r="D224" s="2814" t="s">
        <v>4458</v>
      </c>
      <c r="E224" s="2596" t="s">
        <v>8125</v>
      </c>
      <c r="F224" s="3592" t="s">
        <v>3055</v>
      </c>
      <c r="G224" s="3593" t="s">
        <v>3758</v>
      </c>
      <c r="H224" s="2596" t="str">
        <f>HLOOKUP(Non_UN,'Other translations2'!$A:$L,1+J224,)</f>
        <v>Yến mạch</v>
      </c>
      <c r="J224" s="2596">
        <v>223</v>
      </c>
    </row>
    <row r="225" spans="1:10" s="2596" customFormat="1">
      <c r="A225" s="3552" t="s">
        <v>1360</v>
      </c>
      <c r="B225" s="2811"/>
      <c r="C225" s="2817" t="s">
        <v>2325</v>
      </c>
      <c r="D225" s="2814" t="s">
        <v>4459</v>
      </c>
      <c r="E225" s="2596" t="s">
        <v>8126</v>
      </c>
      <c r="F225" s="3592" t="s">
        <v>3161</v>
      </c>
      <c r="G225" s="3593" t="s">
        <v>3759</v>
      </c>
      <c r="H225" s="2596" t="str">
        <f>HLOOKUP(Non_UN,'Other translations2'!$A:$L,1+J225,)</f>
        <v>Cây loài cọ cho dầu</v>
      </c>
      <c r="J225" s="2596">
        <v>224</v>
      </c>
    </row>
    <row r="226" spans="1:10" s="2596" customFormat="1">
      <c r="A226" s="3552" t="s">
        <v>1361</v>
      </c>
      <c r="B226" s="2811"/>
      <c r="C226" s="2817" t="s">
        <v>1361</v>
      </c>
      <c r="D226" s="2814" t="s">
        <v>4460</v>
      </c>
      <c r="E226" s="2596" t="s">
        <v>8127</v>
      </c>
      <c r="F226" s="3592" t="s">
        <v>3056</v>
      </c>
      <c r="G226" s="3593" t="s">
        <v>3760</v>
      </c>
      <c r="H226" s="2596" t="str">
        <f>HLOOKUP(Non_UN,'Other translations2'!$A:$L,1+J226,)</f>
        <v>Ô liu</v>
      </c>
      <c r="J226" s="2596">
        <v>225</v>
      </c>
    </row>
    <row r="227" spans="1:10" s="2596" customFormat="1">
      <c r="A227" s="3552" t="s">
        <v>1362</v>
      </c>
      <c r="B227" s="2811"/>
      <c r="C227" s="2814" t="s">
        <v>2314</v>
      </c>
      <c r="D227" s="2814" t="s">
        <v>4461</v>
      </c>
      <c r="E227" s="2596" t="s">
        <v>8128</v>
      </c>
      <c r="F227" s="3592" t="s">
        <v>3057</v>
      </c>
      <c r="G227" s="3593" t="s">
        <v>3761</v>
      </c>
      <c r="H227" s="2596" t="str">
        <f>HLOOKUP(Non_UN,'Other translations2'!$A:$L,1+J227,)</f>
        <v>Hành các loại, khô</v>
      </c>
      <c r="J227" s="2596">
        <v>226</v>
      </c>
    </row>
    <row r="228" spans="1:10" s="2596" customFormat="1">
      <c r="A228" s="3552" t="s">
        <v>1363</v>
      </c>
      <c r="B228" s="2811"/>
      <c r="C228" s="2817" t="s">
        <v>1363</v>
      </c>
      <c r="D228" s="2814" t="s">
        <v>4462</v>
      </c>
      <c r="E228" s="2596" t="s">
        <v>8129</v>
      </c>
      <c r="F228" s="3592" t="s">
        <v>3058</v>
      </c>
      <c r="G228" s="3593" t="s">
        <v>3762</v>
      </c>
      <c r="H228" s="2596" t="str">
        <f>HLOOKUP(Non_UN,'Other translations2'!$A:$L,1+J228,)</f>
        <v>Cam</v>
      </c>
      <c r="J228" s="2596">
        <v>227</v>
      </c>
    </row>
    <row r="229" spans="1:10" s="2596" customFormat="1">
      <c r="A229" s="3552" t="s">
        <v>1364</v>
      </c>
      <c r="B229" s="2811"/>
      <c r="C229" s="2814" t="s">
        <v>2315</v>
      </c>
      <c r="D229" s="2814" t="s">
        <v>4463</v>
      </c>
      <c r="E229" s="2596" t="s">
        <v>8130</v>
      </c>
      <c r="F229" s="3592" t="s">
        <v>3059</v>
      </c>
      <c r="G229" s="3593" t="s">
        <v>3763</v>
      </c>
      <c r="H229" s="2596" t="str">
        <f>HLOOKUP(Non_UN,'Other translations2'!$A:$L,1+J229,)</f>
        <v>Đào và xuân đào</v>
      </c>
      <c r="J229" s="2596">
        <v>228</v>
      </c>
    </row>
    <row r="230" spans="1:10" s="2596" customFormat="1">
      <c r="A230" s="3552" t="s">
        <v>1365</v>
      </c>
      <c r="B230" s="2811"/>
      <c r="C230" s="2814" t="s">
        <v>2316</v>
      </c>
      <c r="D230" s="2814" t="s">
        <v>4464</v>
      </c>
      <c r="E230" s="2596" t="s">
        <v>8131</v>
      </c>
      <c r="F230" s="3592" t="s">
        <v>3060</v>
      </c>
      <c r="G230" s="3593" t="s">
        <v>3764</v>
      </c>
      <c r="H230" s="2596" t="str">
        <f>HLOOKUP(Non_UN,'Other translations2'!$A:$L,1+J230,)</f>
        <v>Đậu các loại, khô</v>
      </c>
      <c r="J230" s="2596">
        <v>229</v>
      </c>
    </row>
    <row r="231" spans="1:10" s="2596" customFormat="1">
      <c r="A231" s="3552" t="s">
        <v>1366</v>
      </c>
      <c r="B231" s="2811"/>
      <c r="C231" s="2814" t="s">
        <v>2317</v>
      </c>
      <c r="D231" s="2814" t="s">
        <v>4465</v>
      </c>
      <c r="E231" s="2596" t="s">
        <v>8132</v>
      </c>
      <c r="F231" s="3592" t="s">
        <v>3061</v>
      </c>
      <c r="G231" s="3593" t="s">
        <v>3765</v>
      </c>
      <c r="H231" s="2596" t="str">
        <f>HLOOKUP(Non_UN,'Other translations2'!$A:$L,1+J231,)</f>
        <v>Đậu các loại, tươi</v>
      </c>
      <c r="J231" s="2596">
        <v>230</v>
      </c>
    </row>
    <row r="232" spans="1:10" s="2596" customFormat="1">
      <c r="A232" s="3552" t="s">
        <v>1325</v>
      </c>
      <c r="B232" s="2811"/>
      <c r="C232" s="2817" t="s">
        <v>2326</v>
      </c>
      <c r="D232" s="2814" t="s">
        <v>4533</v>
      </c>
      <c r="E232" s="2596" t="s">
        <v>8133</v>
      </c>
      <c r="F232" s="3592" t="s">
        <v>3062</v>
      </c>
      <c r="G232" s="3593" t="s">
        <v>3766</v>
      </c>
      <c r="H232" s="2596" t="str">
        <f>HLOOKUP(Non_UN,'Other translations2'!$A:$L,1+J232,)</f>
        <v>Dứa</v>
      </c>
      <c r="J232" s="2596">
        <v>231</v>
      </c>
    </row>
    <row r="233" spans="1:10" s="2596" customFormat="1">
      <c r="A233" s="3552" t="s">
        <v>1367</v>
      </c>
      <c r="B233" s="2811"/>
      <c r="C233" s="2817" t="s">
        <v>1367</v>
      </c>
      <c r="D233" s="2814" t="s">
        <v>4466</v>
      </c>
      <c r="E233" s="2596" t="s">
        <v>8134</v>
      </c>
      <c r="F233" s="3592" t="s">
        <v>3063</v>
      </c>
      <c r="G233" s="3593" t="s">
        <v>3767</v>
      </c>
      <c r="H233" s="2596" t="str">
        <f>HLOOKUP(Non_UN,'Other translations2'!$A:$L,1+J233,)</f>
        <v>Chuối mễ</v>
      </c>
      <c r="J233" s="2596">
        <v>232</v>
      </c>
    </row>
    <row r="234" spans="1:10" s="2596" customFormat="1">
      <c r="A234" s="3552" t="s">
        <v>1368</v>
      </c>
      <c r="B234" s="2811"/>
      <c r="C234" s="2817" t="s">
        <v>2327</v>
      </c>
      <c r="D234" s="2814" t="s">
        <v>4467</v>
      </c>
      <c r="E234" s="2596" t="s">
        <v>8135</v>
      </c>
      <c r="F234" s="3592" t="s">
        <v>3064</v>
      </c>
      <c r="G234" s="3593" t="s">
        <v>3768</v>
      </c>
      <c r="H234" s="2596" t="str">
        <f>HLOOKUP(Non_UN,'Other translations2'!$A:$L,1+J234,)</f>
        <v>Khoai tây</v>
      </c>
      <c r="J234" s="2596">
        <v>233</v>
      </c>
    </row>
    <row r="235" spans="1:10" s="2596" customFormat="1">
      <c r="A235" s="3552" t="s">
        <v>1369</v>
      </c>
      <c r="B235" s="2811"/>
      <c r="C235" s="2814" t="s">
        <v>2318</v>
      </c>
      <c r="D235" s="2814" t="s">
        <v>4534</v>
      </c>
      <c r="E235" s="2596" t="s">
        <v>8136</v>
      </c>
      <c r="F235" s="3592" t="s">
        <v>3065</v>
      </c>
      <c r="G235" s="3593" t="s">
        <v>3769</v>
      </c>
      <c r="H235" s="2596" t="str">
        <f>HLOOKUP(Non_UN,'Other translations2'!$A:$L,1+J235,)</f>
        <v>Đậu lăng</v>
      </c>
      <c r="J235" s="2596">
        <v>234</v>
      </c>
    </row>
    <row r="236" spans="1:10" s="2596" customFormat="1">
      <c r="A236" s="3552" t="s">
        <v>1385</v>
      </c>
      <c r="B236" s="2811"/>
      <c r="C236" s="2817" t="s">
        <v>1385</v>
      </c>
      <c r="D236" s="2814" t="s">
        <v>1385</v>
      </c>
      <c r="E236" s="2596" t="s">
        <v>8137</v>
      </c>
      <c r="F236" s="3592" t="s">
        <v>3066</v>
      </c>
      <c r="G236" s="3593" t="s">
        <v>3770</v>
      </c>
      <c r="H236" s="2596" t="str">
        <f>HLOOKUP(Non_UN,'Other translations2'!$A:$L,1+J236,)</f>
        <v>Cây quinoa</v>
      </c>
      <c r="J236" s="2596">
        <v>235</v>
      </c>
    </row>
    <row r="237" spans="1:10" s="2596" customFormat="1">
      <c r="A237" s="3552" t="s">
        <v>1370</v>
      </c>
      <c r="B237" s="2811"/>
      <c r="C237" s="2814" t="s">
        <v>2319</v>
      </c>
      <c r="D237" s="2814" t="s">
        <v>4468</v>
      </c>
      <c r="E237" s="2596" t="s">
        <v>8138</v>
      </c>
      <c r="F237" s="3592" t="s">
        <v>3067</v>
      </c>
      <c r="G237" s="3593" t="s">
        <v>3771</v>
      </c>
      <c r="H237" s="2596" t="str">
        <f>HLOOKUP(Non_UN,'Other translations2'!$A:$L,1+J237,)</f>
        <v>Lúa, gạo</v>
      </c>
      <c r="J237" s="2596">
        <v>236</v>
      </c>
    </row>
    <row r="238" spans="1:10" s="2596" customFormat="1">
      <c r="A238" s="3552" t="s">
        <v>1330</v>
      </c>
      <c r="B238" s="2811"/>
      <c r="C238" s="2814" t="s">
        <v>2320</v>
      </c>
      <c r="D238" s="2814" t="s">
        <v>4535</v>
      </c>
      <c r="E238" s="2596" t="s">
        <v>8139</v>
      </c>
      <c r="F238" s="3592" t="s">
        <v>3068</v>
      </c>
      <c r="G238" s="3593" t="s">
        <v>3772</v>
      </c>
      <c r="H238" s="2596" t="str">
        <f>HLOOKUP(Non_UN,'Other translations2'!$A:$L,1+J238,)</f>
        <v>Cây có củ</v>
      </c>
      <c r="J238" s="2596">
        <v>237</v>
      </c>
    </row>
    <row r="239" spans="1:10" s="2596" customFormat="1">
      <c r="A239" s="3552" t="s">
        <v>1327</v>
      </c>
      <c r="B239" s="2811"/>
      <c r="C239" s="2814" t="s">
        <v>2321</v>
      </c>
      <c r="D239" s="2814" t="s">
        <v>4469</v>
      </c>
      <c r="E239" s="2596" t="s">
        <v>8140</v>
      </c>
      <c r="F239" s="3592" t="s">
        <v>3069</v>
      </c>
      <c r="G239" s="3593" t="s">
        <v>3773</v>
      </c>
      <c r="H239" s="2596" t="str">
        <f>HLOOKUP(Non_UN,'Other translations2'!$A:$L,1+J239,)</f>
        <v>Lúa mạch đen</v>
      </c>
      <c r="J239" s="2596">
        <v>238</v>
      </c>
    </row>
    <row r="240" spans="1:10" s="2596" customFormat="1">
      <c r="A240" s="3552" t="s">
        <v>1371</v>
      </c>
      <c r="B240" s="2811"/>
      <c r="C240" s="2814" t="s">
        <v>2322</v>
      </c>
      <c r="D240" s="2814" t="s">
        <v>4470</v>
      </c>
      <c r="E240" s="2596" t="s">
        <v>8141</v>
      </c>
      <c r="F240" s="3592" t="s">
        <v>3070</v>
      </c>
      <c r="G240" s="3593" t="s">
        <v>3774</v>
      </c>
      <c r="H240" s="2596" t="str">
        <f>HLOOKUP(Non_UN,'Other translations2'!$A:$L,1+J240,)</f>
        <v>Bông hạt</v>
      </c>
      <c r="J240" s="2596">
        <v>239</v>
      </c>
    </row>
    <row r="241" spans="1:10" s="2596" customFormat="1">
      <c r="A241" s="3552" t="s">
        <v>1319</v>
      </c>
      <c r="B241" s="2811"/>
      <c r="C241" s="2814" t="s">
        <v>2323</v>
      </c>
      <c r="D241" s="2814" t="s">
        <v>4471</v>
      </c>
      <c r="E241" s="2596" t="s">
        <v>8142</v>
      </c>
      <c r="F241" s="3592" t="s">
        <v>3071</v>
      </c>
      <c r="G241" s="3593" t="s">
        <v>3775</v>
      </c>
      <c r="H241" s="2596" t="str">
        <f>HLOOKUP(Non_UN,'Other translations2'!$A:$L,1+J241,)</f>
        <v>Hạt vừng</v>
      </c>
      <c r="J241" s="2596">
        <v>240</v>
      </c>
    </row>
    <row r="242" spans="1:10" s="2596" customFormat="1">
      <c r="A242" s="3552" t="s">
        <v>1372</v>
      </c>
      <c r="B242" s="2811"/>
      <c r="C242" s="2817" t="s">
        <v>1372</v>
      </c>
      <c r="D242" s="2814" t="s">
        <v>1372</v>
      </c>
      <c r="E242" s="2596" t="s">
        <v>8143</v>
      </c>
      <c r="F242" s="3592" t="s">
        <v>3072</v>
      </c>
      <c r="G242" s="3593" t="s">
        <v>3776</v>
      </c>
      <c r="H242" s="2596" t="str">
        <f>HLOOKUP(Non_UN,'Other translations2'!$A:$L,1+J242,)</f>
        <v>Cây xidan</v>
      </c>
      <c r="J242" s="2596">
        <v>241</v>
      </c>
    </row>
    <row r="243" spans="1:10" s="2596" customFormat="1">
      <c r="A243" s="3552" t="s">
        <v>1373</v>
      </c>
      <c r="B243" s="2811"/>
      <c r="C243" s="2817" t="s">
        <v>2335</v>
      </c>
      <c r="D243" s="2814" t="s">
        <v>4472</v>
      </c>
      <c r="E243" s="2596" t="s">
        <v>8144</v>
      </c>
      <c r="F243" s="3592" t="s">
        <v>3073</v>
      </c>
      <c r="G243" s="3593" t="s">
        <v>3777</v>
      </c>
      <c r="H243" s="2596" t="str">
        <f>HLOOKUP(Non_UN,'Other translations2'!$A:$L,1+J243,)</f>
        <v>Cao lương</v>
      </c>
      <c r="J243" s="2596">
        <v>242</v>
      </c>
    </row>
    <row r="244" spans="1:10" s="2596" customFormat="1">
      <c r="A244" s="3552" t="s">
        <v>1333</v>
      </c>
      <c r="B244" s="2811"/>
      <c r="C244" s="2817" t="s">
        <v>2336</v>
      </c>
      <c r="D244" s="2814" t="s">
        <v>2336</v>
      </c>
      <c r="E244" s="2596" t="s">
        <v>8145</v>
      </c>
      <c r="F244" s="3592" t="s">
        <v>3074</v>
      </c>
      <c r="G244" s="3593" t="s">
        <v>3778</v>
      </c>
      <c r="H244" s="2596" t="str">
        <f>HLOOKUP(Non_UN,'Other translations2'!$A:$L,1+J244,)</f>
        <v>Đậu nành</v>
      </c>
      <c r="J244" s="2596">
        <v>243</v>
      </c>
    </row>
    <row r="245" spans="1:10" s="2596" customFormat="1">
      <c r="A245" s="3552" t="s">
        <v>1374</v>
      </c>
      <c r="B245" s="2811"/>
      <c r="C245" s="2817" t="s">
        <v>2337</v>
      </c>
      <c r="D245" s="2814" t="s">
        <v>4473</v>
      </c>
      <c r="E245" s="2596" t="s">
        <v>8146</v>
      </c>
      <c r="F245" s="3592" t="s">
        <v>3075</v>
      </c>
      <c r="G245" s="3593" t="s">
        <v>3779</v>
      </c>
      <c r="H245" s="2596" t="str">
        <f>HLOOKUP(Non_UN,'Other translations2'!$A:$L,1+J245,)</f>
        <v>Dâu tây</v>
      </c>
      <c r="J245" s="2596">
        <v>244</v>
      </c>
    </row>
    <row r="246" spans="1:10" s="2596" customFormat="1">
      <c r="A246" s="3552" t="s">
        <v>1332</v>
      </c>
      <c r="B246" s="2811"/>
      <c r="C246" s="2814" t="s">
        <v>2328</v>
      </c>
      <c r="D246" s="2814" t="s">
        <v>4474</v>
      </c>
      <c r="E246" s="2596" t="s">
        <v>8147</v>
      </c>
      <c r="F246" s="3592" t="s">
        <v>3076</v>
      </c>
      <c r="G246" s="3593" t="s">
        <v>3780</v>
      </c>
      <c r="H246" s="2596" t="str">
        <f>HLOOKUP(Non_UN,'Other translations2'!$A:$L,1+J246,)</f>
        <v>Củ cải đường</v>
      </c>
      <c r="J246" s="2596">
        <v>245</v>
      </c>
    </row>
    <row r="247" spans="1:10" s="2596" customFormat="1">
      <c r="A247" s="3552" t="s">
        <v>1375</v>
      </c>
      <c r="B247" s="2811"/>
      <c r="C247" s="2814" t="s">
        <v>2329</v>
      </c>
      <c r="D247" s="2814" t="s">
        <v>4475</v>
      </c>
      <c r="E247" s="2596" t="s">
        <v>8148</v>
      </c>
      <c r="F247" s="3592" t="s">
        <v>3077</v>
      </c>
      <c r="G247" s="3593" t="s">
        <v>3781</v>
      </c>
      <c r="H247" s="2596" t="str">
        <f>HLOOKUP(Non_UN,'Other translations2'!$A:$L,1+J247,)</f>
        <v>Cây mía</v>
      </c>
      <c r="J247" s="2596">
        <v>246</v>
      </c>
    </row>
    <row r="248" spans="1:10" s="2596" customFormat="1">
      <c r="A248" s="3552" t="s">
        <v>1376</v>
      </c>
      <c r="B248" s="2811"/>
      <c r="C248" s="2814" t="s">
        <v>2330</v>
      </c>
      <c r="D248" s="2814" t="s">
        <v>4476</v>
      </c>
      <c r="E248" s="2596" t="s">
        <v>8149</v>
      </c>
      <c r="F248" s="3592" t="s">
        <v>3078</v>
      </c>
      <c r="G248" s="3593" t="s">
        <v>3782</v>
      </c>
      <c r="H248" s="2596" t="str">
        <f>HLOOKUP(Non_UN,'Other translations2'!$A:$L,1+J248,)</f>
        <v>Hạt hướng dương</v>
      </c>
      <c r="J248" s="2596">
        <v>247</v>
      </c>
    </row>
    <row r="249" spans="1:10" s="2596" customFormat="1">
      <c r="A249" s="3552" t="s">
        <v>1377</v>
      </c>
      <c r="B249" s="2811"/>
      <c r="C249" s="2814" t="s">
        <v>2331</v>
      </c>
      <c r="D249" s="2814" t="s">
        <v>4477</v>
      </c>
      <c r="E249" s="2596" t="s">
        <v>8150</v>
      </c>
      <c r="F249" s="3592" t="s">
        <v>3079</v>
      </c>
      <c r="G249" s="3593" t="s">
        <v>3783</v>
      </c>
      <c r="H249" s="2596" t="str">
        <f>HLOOKUP(Non_UN,'Other translations2'!$A:$L,1+J249,)</f>
        <v>Khoai lang</v>
      </c>
      <c r="J249" s="2596">
        <v>248</v>
      </c>
    </row>
    <row r="250" spans="1:10" s="2596" customFormat="1">
      <c r="A250" s="3552" t="s">
        <v>1378</v>
      </c>
      <c r="B250" s="2811"/>
      <c r="C250" s="2814" t="s">
        <v>2332</v>
      </c>
      <c r="D250" s="2814" t="s">
        <v>4478</v>
      </c>
      <c r="E250" s="2596" t="s">
        <v>8151</v>
      </c>
      <c r="F250" s="3592" t="s">
        <v>3080</v>
      </c>
      <c r="G250" s="3593" t="s">
        <v>3784</v>
      </c>
      <c r="H250" s="2596" t="str">
        <f>HLOOKUP(Non_UN,'Other translations2'!$A:$L,1+J250,)</f>
        <v>Quýt</v>
      </c>
      <c r="J250" s="2596">
        <v>249</v>
      </c>
    </row>
    <row r="251" spans="1:10" s="2596" customFormat="1">
      <c r="A251" s="3552" t="s">
        <v>1379</v>
      </c>
      <c r="B251" s="2811"/>
      <c r="C251" s="2817" t="s">
        <v>2338</v>
      </c>
      <c r="D251" s="2814" t="s">
        <v>4479</v>
      </c>
      <c r="E251" s="2596" t="s">
        <v>8152</v>
      </c>
      <c r="F251" s="3592" t="s">
        <v>3081</v>
      </c>
      <c r="G251" s="3593" t="s">
        <v>3785</v>
      </c>
      <c r="H251" s="2596" t="str">
        <f>HLOOKUP(Non_UN,'Other translations2'!$A:$L,1+J251,)</f>
        <v>Chè</v>
      </c>
      <c r="J251" s="2596">
        <v>250</v>
      </c>
    </row>
    <row r="252" spans="1:10" s="2596" customFormat="1">
      <c r="A252" s="3552" t="s">
        <v>1321</v>
      </c>
      <c r="B252" s="2811"/>
      <c r="C252" s="2814" t="s">
        <v>2333</v>
      </c>
      <c r="D252" s="2814" t="s">
        <v>4480</v>
      </c>
      <c r="E252" s="2596" t="s">
        <v>8153</v>
      </c>
      <c r="F252" s="3592" t="s">
        <v>3082</v>
      </c>
      <c r="G252" s="3593" t="s">
        <v>3786</v>
      </c>
      <c r="H252" s="2596" t="str">
        <f>HLOOKUP(Non_UN,'Other translations2'!$A:$L,1+J252,)</f>
        <v>Thuốc lá (chưa chế biến)</v>
      </c>
      <c r="J252" s="2596">
        <v>251</v>
      </c>
    </row>
    <row r="253" spans="1:10" s="2596" customFormat="1">
      <c r="A253" s="3552" t="s">
        <v>1380</v>
      </c>
      <c r="B253" s="2811"/>
      <c r="C253" s="2817" t="s">
        <v>2339</v>
      </c>
      <c r="D253" s="2814" t="s">
        <v>2339</v>
      </c>
      <c r="E253" s="2596" t="s">
        <v>8154</v>
      </c>
      <c r="F253" s="3592" t="s">
        <v>3083</v>
      </c>
      <c r="G253" s="3593" t="s">
        <v>3787</v>
      </c>
      <c r="H253" s="2596" t="str">
        <f>HLOOKUP(Non_UN,'Other translations2'!$A:$L,1+J253,)</f>
        <v>Cà chua</v>
      </c>
      <c r="J253" s="2596">
        <v>252</v>
      </c>
    </row>
    <row r="254" spans="1:10" s="2596" customFormat="1">
      <c r="A254" s="3552" t="s">
        <v>1335</v>
      </c>
      <c r="B254" s="2811"/>
      <c r="C254" s="2817" t="s">
        <v>1335</v>
      </c>
      <c r="D254" s="2814" t="s">
        <v>1335</v>
      </c>
      <c r="E254" s="2596" t="s">
        <v>8155</v>
      </c>
      <c r="F254" s="3592" t="s">
        <v>3084</v>
      </c>
      <c r="G254" s="3593" t="s">
        <v>3788</v>
      </c>
      <c r="H254" s="2596" t="str">
        <f>HLOOKUP(Non_UN,'Other translations2'!$A:$L,1+J254,)</f>
        <v>Lúa mạch đen</v>
      </c>
      <c r="J254" s="2596">
        <v>253</v>
      </c>
    </row>
    <row r="255" spans="1:10" s="2596" customFormat="1">
      <c r="A255" s="3552" t="s">
        <v>1381</v>
      </c>
      <c r="B255" s="2811"/>
      <c r="C255" s="2814" t="s">
        <v>2334</v>
      </c>
      <c r="D255" s="2814" t="s">
        <v>4536</v>
      </c>
      <c r="E255" s="2596" t="s">
        <v>8156</v>
      </c>
      <c r="F255" s="3592" t="s">
        <v>3085</v>
      </c>
      <c r="G255" s="3593" t="s">
        <v>3789</v>
      </c>
      <c r="H255" s="2596" t="str">
        <f>HLOOKUP(Non_UN,'Other translations2'!$A:$L,1+J255,)</f>
        <v>Rau quả tươi</v>
      </c>
      <c r="J255" s="2596">
        <v>254</v>
      </c>
    </row>
    <row r="256" spans="1:10" s="2596" customFormat="1">
      <c r="A256" s="3552" t="s">
        <v>1382</v>
      </c>
      <c r="B256" s="2811"/>
      <c r="C256" s="2817" t="s">
        <v>2340</v>
      </c>
      <c r="D256" s="2814" t="s">
        <v>4481</v>
      </c>
      <c r="E256" s="2596" t="s">
        <v>8157</v>
      </c>
      <c r="F256" s="3592" t="s">
        <v>3086</v>
      </c>
      <c r="G256" s="3593" t="s">
        <v>3790</v>
      </c>
      <c r="H256" s="2596" t="str">
        <f>HLOOKUP(Non_UN,'Other translations2'!$A:$L,1+J256,)</f>
        <v>Đậu răng ngựa</v>
      </c>
      <c r="J256" s="2596">
        <v>255</v>
      </c>
    </row>
    <row r="257" spans="1:10" s="2596" customFormat="1">
      <c r="A257" s="3552" t="s">
        <v>1383</v>
      </c>
      <c r="B257" s="2811"/>
      <c r="C257" s="2817" t="s">
        <v>2341</v>
      </c>
      <c r="D257" s="2814" t="s">
        <v>4482</v>
      </c>
      <c r="E257" s="2596" t="s">
        <v>8158</v>
      </c>
      <c r="F257" s="3592" t="s">
        <v>3087</v>
      </c>
      <c r="G257" s="3593" t="s">
        <v>3791</v>
      </c>
      <c r="H257" s="2596" t="str">
        <f>HLOOKUP(Non_UN,'Other translations2'!$A:$L,1+J257,)</f>
        <v>Lùa mì</v>
      </c>
      <c r="J257" s="2596">
        <v>256</v>
      </c>
    </row>
    <row r="258" spans="1:10" s="2596" customFormat="1">
      <c r="A258" s="2811" t="s">
        <v>5556</v>
      </c>
      <c r="B258" s="2811"/>
      <c r="C258" s="2814" t="s">
        <v>6360</v>
      </c>
      <c r="D258" s="2814" t="s">
        <v>7541</v>
      </c>
      <c r="E258" s="2596" t="s">
        <v>8717</v>
      </c>
      <c r="F258" s="2596" t="s">
        <v>7542</v>
      </c>
      <c r="G258" s="3593" t="s">
        <v>7543</v>
      </c>
      <c r="H258" s="2596" t="str">
        <f>HLOOKUP(Non_UN,'Other translations2'!$A:$L,1+J258,)</f>
        <v>Giàu dinh dưỡng</v>
      </c>
      <c r="J258" s="2596">
        <v>257</v>
      </c>
    </row>
    <row r="259" spans="1:10" s="2596" customFormat="1">
      <c r="A259" s="2811" t="s">
        <v>5557</v>
      </c>
      <c r="B259" s="2811"/>
      <c r="C259" s="2814" t="s">
        <v>6361</v>
      </c>
      <c r="D259" s="2814" t="s">
        <v>6385</v>
      </c>
      <c r="E259" s="2596" t="s">
        <v>8718</v>
      </c>
      <c r="F259" s="2596" t="s">
        <v>7544</v>
      </c>
      <c r="G259" s="3593" t="s">
        <v>7545</v>
      </c>
      <c r="H259" s="2596" t="str">
        <f>HLOOKUP(Non_UN,'Other translations2'!$A:$L,1+J259,)</f>
        <v>Nghèo dinh dưỡng</v>
      </c>
      <c r="J259" s="2596">
        <v>258</v>
      </c>
    </row>
    <row r="260" spans="1:10" s="3187" customFormat="1">
      <c r="A260" s="3636" t="s">
        <v>5493</v>
      </c>
      <c r="B260" s="3636"/>
      <c r="C260" s="3637" t="s">
        <v>6377</v>
      </c>
      <c r="D260" s="3637" t="s">
        <v>6387</v>
      </c>
      <c r="E260" s="3187" t="s">
        <v>8719</v>
      </c>
      <c r="F260" s="3187" t="s">
        <v>7546</v>
      </c>
      <c r="G260" s="3631" t="s">
        <v>7547</v>
      </c>
      <c r="H260" s="3187" t="str">
        <f>HLOOKUP(Non_UN,'Other translations2'!$A:$L,1+J260,)</f>
        <v>Động vật giáp xác</v>
      </c>
      <c r="J260" s="3187">
        <v>259</v>
      </c>
    </row>
    <row r="261" spans="1:10" s="3187" customFormat="1">
      <c r="A261" s="3636" t="s">
        <v>5495</v>
      </c>
      <c r="B261" s="3636"/>
      <c r="C261" s="3637" t="s">
        <v>6383</v>
      </c>
      <c r="D261" s="3637" t="s">
        <v>7548</v>
      </c>
      <c r="E261" s="3187" t="s">
        <v>8720</v>
      </c>
      <c r="F261" s="3187" t="s">
        <v>7549</v>
      </c>
      <c r="G261" s="3631" t="s">
        <v>7550</v>
      </c>
      <c r="H261" s="3187" t="str">
        <f>HLOOKUP(Non_UN,'Other translations2'!$A:$L,1+J261,)</f>
        <v>Cá vây</v>
      </c>
      <c r="J261" s="3187">
        <v>260</v>
      </c>
    </row>
    <row r="262" spans="1:10" s="3187" customFormat="1">
      <c r="A262" s="3636" t="s">
        <v>5496</v>
      </c>
      <c r="B262" s="3636"/>
      <c r="C262" s="3637" t="s">
        <v>6382</v>
      </c>
      <c r="D262" s="3637" t="s">
        <v>7551</v>
      </c>
      <c r="E262" s="3187" t="s">
        <v>8721</v>
      </c>
      <c r="F262" s="3187" t="s">
        <v>7552</v>
      </c>
      <c r="G262" s="3631" t="s">
        <v>7553</v>
      </c>
      <c r="H262" s="3187" t="str">
        <f>HLOOKUP(Non_UN,'Other translations2'!$A:$L,1+J262,)</f>
        <v>Cá bơn</v>
      </c>
      <c r="J262" s="3187">
        <v>261</v>
      </c>
    </row>
    <row r="263" spans="1:10" s="3187" customFormat="1">
      <c r="A263" s="3636" t="s">
        <v>5497</v>
      </c>
      <c r="B263" s="3636"/>
      <c r="C263" s="3637" t="s">
        <v>6378</v>
      </c>
      <c r="D263" s="3637" t="s">
        <v>6389</v>
      </c>
      <c r="E263" s="3187" t="s">
        <v>8722</v>
      </c>
      <c r="F263" s="3187" t="s">
        <v>7554</v>
      </c>
      <c r="G263" s="3631" t="s">
        <v>7555</v>
      </c>
      <c r="H263" s="3187" t="str">
        <f>HLOOKUP(Non_UN,'Other translations2'!$A:$L,1+J263,)</f>
        <v>Cá nổi lớn</v>
      </c>
      <c r="J263" s="3187">
        <v>262</v>
      </c>
    </row>
    <row r="264" spans="1:10" s="3187" customFormat="1">
      <c r="A264" s="3636" t="s">
        <v>5498</v>
      </c>
      <c r="B264" s="3636"/>
      <c r="C264" s="3637" t="s">
        <v>6379</v>
      </c>
      <c r="D264" s="3637" t="s">
        <v>6390</v>
      </c>
      <c r="E264" s="3187" t="s">
        <v>8723</v>
      </c>
      <c r="F264" s="3187" t="s">
        <v>7556</v>
      </c>
      <c r="G264" s="3631" t="s">
        <v>7557</v>
      </c>
      <c r="H264" s="3187" t="str">
        <f>HLOOKUP(Non_UN,'Other translations2'!$A:$L,1+J264,)</f>
        <v>Nhuyễn thể</v>
      </c>
      <c r="J264" s="3187">
        <v>263</v>
      </c>
    </row>
    <row r="265" spans="1:10" s="3187" customFormat="1">
      <c r="A265" s="3636" t="s">
        <v>5499</v>
      </c>
      <c r="B265" s="3636"/>
      <c r="C265" s="3637" t="s">
        <v>6380</v>
      </c>
      <c r="D265" s="3637" t="s">
        <v>7558</v>
      </c>
      <c r="E265" s="3187" t="s">
        <v>8724</v>
      </c>
      <c r="F265" s="3187" t="s">
        <v>7559</v>
      </c>
      <c r="G265" s="3631" t="s">
        <v>7560</v>
      </c>
      <c r="H265" s="3187" t="str">
        <f>HLOOKUP(Non_UN,'Other translations2'!$A:$L,1+J265,)</f>
        <v>Cá hồi</v>
      </c>
      <c r="J265" s="3187">
        <v>264</v>
      </c>
    </row>
    <row r="266" spans="1:10" s="3187" customFormat="1">
      <c r="A266" s="3636" t="s">
        <v>5500</v>
      </c>
      <c r="B266" s="3636"/>
      <c r="C266" s="3637" t="s">
        <v>6381</v>
      </c>
      <c r="D266" s="3637" t="s">
        <v>7561</v>
      </c>
      <c r="E266" s="3187" t="s">
        <v>8725</v>
      </c>
      <c r="F266" s="3187" t="s">
        <v>7562</v>
      </c>
      <c r="G266" s="3631" t="s">
        <v>7563</v>
      </c>
      <c r="H266" s="3187" t="str">
        <f>HLOOKUP(Non_UN,'Other translations2'!$A:$L,1+J266,)</f>
        <v>Cá nổi nhỏ</v>
      </c>
      <c r="J266" s="3187">
        <v>265</v>
      </c>
    </row>
    <row r="267" spans="1:10" s="3187" customFormat="1">
      <c r="A267" s="3636" t="s">
        <v>5501</v>
      </c>
      <c r="B267" s="3636"/>
      <c r="C267" s="3637" t="s">
        <v>6376</v>
      </c>
      <c r="D267" s="3637" t="s">
        <v>7564</v>
      </c>
      <c r="E267" s="3187" t="s">
        <v>8707</v>
      </c>
      <c r="F267" s="3187" t="s">
        <v>7565</v>
      </c>
      <c r="G267" s="3631" t="s">
        <v>7566</v>
      </c>
      <c r="H267" s="3187" t="str">
        <f>HLOOKUP(Non_UN,'Other translations2'!$A:$L,1+J267,)</f>
        <v>Không cụ thể</v>
      </c>
      <c r="J267" s="3187">
        <v>266</v>
      </c>
    </row>
    <row r="268" spans="1:10" s="2596" customFormat="1">
      <c r="A268" s="2811" t="str">
        <f>List!A20</f>
        <v>Please select</v>
      </c>
      <c r="B268" s="2811"/>
      <c r="C268" s="2814" t="s">
        <v>7155</v>
      </c>
      <c r="D268" s="2814" t="s">
        <v>7156</v>
      </c>
      <c r="E268" s="2596" t="s">
        <v>8726</v>
      </c>
      <c r="F268" s="2596" t="s">
        <v>7567</v>
      </c>
      <c r="G268" s="3593" t="s">
        <v>7568</v>
      </c>
      <c r="H268" s="2596" t="str">
        <f>HLOOKUP(Non_UN,'Other translations2'!$A:$L,1+J268,)</f>
        <v>Lựa chọn nếu thích hợp</v>
      </c>
      <c r="J268" s="2596">
        <v>267</v>
      </c>
    </row>
    <row r="269" spans="1:10" s="2596" customFormat="1">
      <c r="A269" s="3590" t="s">
        <v>7193</v>
      </c>
      <c r="B269" s="2811"/>
      <c r="C269" s="2814" t="s">
        <v>7211</v>
      </c>
      <c r="D269" s="2814" t="s">
        <v>7569</v>
      </c>
      <c r="E269" s="2596" t="s">
        <v>8727</v>
      </c>
      <c r="F269" s="2596" t="s">
        <v>7570</v>
      </c>
      <c r="G269" s="3593" t="s">
        <v>7571</v>
      </c>
      <c r="H269" s="2596" t="str">
        <f>HLOOKUP(Non_UN,'Other translations2'!$A:$L,1+J269,)</f>
        <v>Lưới kéo đáy</v>
      </c>
      <c r="J269" s="2596">
        <v>268</v>
      </c>
    </row>
    <row r="270" spans="1:10" s="2596" customFormat="1">
      <c r="A270" s="3598" t="s">
        <v>7194</v>
      </c>
      <c r="B270" s="2811"/>
      <c r="C270" s="2814" t="s">
        <v>7210</v>
      </c>
      <c r="D270" s="2814" t="s">
        <v>7572</v>
      </c>
      <c r="E270" s="2596" t="s">
        <v>8728</v>
      </c>
      <c r="F270" s="2596" t="s">
        <v>7573</v>
      </c>
      <c r="G270" s="3593" t="s">
        <v>7574</v>
      </c>
      <c r="H270" s="2596" t="str">
        <f>HLOOKUP(Non_UN,'Other translations2'!$A:$L,1+J270,)</f>
        <v>Lưới rê</v>
      </c>
      <c r="J270" s="2596">
        <v>269</v>
      </c>
    </row>
    <row r="271" spans="1:10" s="2596" customFormat="1">
      <c r="A271" s="3590" t="s">
        <v>7205</v>
      </c>
      <c r="B271" s="2811"/>
      <c r="C271" s="2814" t="s">
        <v>7204</v>
      </c>
      <c r="D271" s="2814" t="s">
        <v>7575</v>
      </c>
      <c r="E271" s="2596" t="s">
        <v>8729</v>
      </c>
      <c r="F271" s="2596" t="s">
        <v>7576</v>
      </c>
      <c r="G271" s="3593" t="s">
        <v>7577</v>
      </c>
      <c r="H271" s="2596" t="str">
        <f>HLOOKUP(Non_UN,'Other translations2'!$A:$L,1+J271,)</f>
        <v>Móc và dây</v>
      </c>
      <c r="J271" s="2596">
        <v>270</v>
      </c>
    </row>
    <row r="272" spans="1:10" s="2596" customFormat="1">
      <c r="A272" s="3590" t="s">
        <v>7195</v>
      </c>
      <c r="B272" s="2811"/>
      <c r="C272" s="2814" t="s">
        <v>7209</v>
      </c>
      <c r="D272" s="2814" t="s">
        <v>7578</v>
      </c>
      <c r="E272" s="2596" t="s">
        <v>8730</v>
      </c>
      <c r="F272" s="2596" t="s">
        <v>7579</v>
      </c>
      <c r="G272" s="3593" t="s">
        <v>7580</v>
      </c>
      <c r="H272" s="2596" t="str">
        <f>HLOOKUP(Non_UN,'Other translations2'!$A:$L,1+J272,)</f>
        <v>Lưới kéo tầng nổi</v>
      </c>
      <c r="J272" s="2596">
        <v>271</v>
      </c>
    </row>
    <row r="273" spans="1:10" s="2596" customFormat="1">
      <c r="A273" s="3590" t="s">
        <v>7196</v>
      </c>
      <c r="B273" s="2811"/>
      <c r="C273" s="2814" t="s">
        <v>7207</v>
      </c>
      <c r="D273" s="2814" t="s">
        <v>7581</v>
      </c>
      <c r="E273" s="2596" t="s">
        <v>8731</v>
      </c>
      <c r="F273" s="2596" t="s">
        <v>7582</v>
      </c>
      <c r="G273" s="3593" t="s">
        <v>7583</v>
      </c>
      <c r="H273" s="2596" t="str">
        <f>HLOOKUP(Non_UN,'Other translations2'!$A:$L,1+J273,)</f>
        <v>Lờ, Bẫy</v>
      </c>
      <c r="J273" s="2596">
        <v>272</v>
      </c>
    </row>
    <row r="274" spans="1:10" s="2596" customFormat="1">
      <c r="A274" s="3590" t="s">
        <v>7197</v>
      </c>
      <c r="B274" s="2811"/>
      <c r="C274" s="2814" t="s">
        <v>7208</v>
      </c>
      <c r="D274" s="2814" t="s">
        <v>7584</v>
      </c>
      <c r="E274" s="2596" t="s">
        <v>8732</v>
      </c>
      <c r="F274" s="2596" t="s">
        <v>7585</v>
      </c>
      <c r="G274" s="3593" t="s">
        <v>7586</v>
      </c>
      <c r="H274" s="2596" t="str">
        <f>HLOOKUP(Non_UN,'Other translations2'!$A:$L,1+J274,)</f>
        <v>Lưới quây</v>
      </c>
      <c r="J274" s="2596">
        <v>273</v>
      </c>
    </row>
    <row r="275" spans="1:10" s="2596" customFormat="1">
      <c r="A275" s="3590" t="s">
        <v>7198</v>
      </c>
      <c r="B275" s="2811"/>
      <c r="C275" s="2814" t="s">
        <v>7206</v>
      </c>
      <c r="D275" s="2814" t="s">
        <v>7587</v>
      </c>
      <c r="E275" s="2596" t="s">
        <v>8733</v>
      </c>
      <c r="F275" s="2596" t="s">
        <v>7588</v>
      </c>
      <c r="G275" s="3593" t="s">
        <v>7589</v>
      </c>
      <c r="H275" s="2596" t="str">
        <f>HLOOKUP(Non_UN,'Other translations2'!$A:$L,1+J275,)</f>
        <v>Lưới vét</v>
      </c>
      <c r="J275" s="2596">
        <v>274</v>
      </c>
    </row>
  </sheetData>
  <pageMargins left="0.7" right="0.7" top="0.75" bottom="0.75"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L649"/>
  <sheetViews>
    <sheetView workbookViewId="0">
      <pane xSplit="1" ySplit="1" topLeftCell="B601" activePane="bottomRight" state="frozen"/>
      <selection activeCell="C637" sqref="C637"/>
      <selection pane="topRight" activeCell="C637" sqref="C637"/>
      <selection pane="bottomLeft" activeCell="C637" sqref="C637"/>
      <selection pane="bottomRight" activeCell="D622" sqref="D622"/>
    </sheetView>
  </sheetViews>
  <sheetFormatPr defaultColWidth="11.5703125" defaultRowHeight="12.75"/>
  <cols>
    <col min="1" max="1" width="40.7109375" style="2577" customWidth="1"/>
    <col min="2" max="2" width="40.140625" style="2577" customWidth="1"/>
    <col min="3" max="3" width="40.28515625" style="2813" customWidth="1"/>
    <col min="4" max="4" width="47.7109375" style="2584" customWidth="1"/>
    <col min="5" max="5" width="36" style="2584" customWidth="1"/>
    <col min="6" max="16384" width="11.5703125" style="2584"/>
  </cols>
  <sheetData>
    <row r="1" spans="1:12" s="2709" customFormat="1">
      <c r="A1" s="2752"/>
      <c r="B1" s="2580" t="s">
        <v>1620</v>
      </c>
      <c r="C1" s="2812" t="s">
        <v>5057</v>
      </c>
      <c r="D1" s="2821" t="s">
        <v>5723</v>
      </c>
      <c r="E1" s="2812" t="s">
        <v>6520</v>
      </c>
      <c r="F1" s="2709" t="s">
        <v>1621</v>
      </c>
      <c r="G1" s="2709" t="s">
        <v>1622</v>
      </c>
      <c r="H1" s="2709" t="s">
        <v>1623</v>
      </c>
      <c r="I1" s="2709" t="s">
        <v>1624</v>
      </c>
      <c r="J1" s="2709" t="s">
        <v>1625</v>
      </c>
      <c r="K1" s="2709" t="s">
        <v>1626</v>
      </c>
      <c r="L1" s="2709" t="s">
        <v>1627</v>
      </c>
    </row>
    <row r="2" spans="1:12" s="2811" customFormat="1">
      <c r="A2" s="2911" t="str">
        <f>translations!B2</f>
        <v>Disclaimer</v>
      </c>
      <c r="B2" s="2911" t="s">
        <v>1848</v>
      </c>
      <c r="C2" s="2814" t="s">
        <v>5058</v>
      </c>
      <c r="D2" s="2749" t="s">
        <v>5724</v>
      </c>
      <c r="E2" s="2814" t="s">
        <v>7430</v>
      </c>
    </row>
    <row r="3" spans="1:12" s="2811" customFormat="1" ht="165.75">
      <c r="A3" s="2911" t="str">
        <f>translations!B3</f>
        <v>FAO declines all responsibility for errors or deficiencies in the database or software or in the documentation accompanying it, for program maintenance and upgrading as well as for any damage that may arise from them. FAO also declines any responsibility for updating the data and assumes no responsibility for errors and omissions in the data provided. Users are, however, kindly asked to report any errors or deficiencies in this product to FAO.</v>
      </c>
      <c r="B3" s="2749" t="s">
        <v>2346</v>
      </c>
      <c r="C3" s="2814" t="s">
        <v>5059</v>
      </c>
      <c r="D3" s="2749" t="s">
        <v>5725</v>
      </c>
      <c r="E3" s="2814" t="s">
        <v>7431</v>
      </c>
    </row>
    <row r="4" spans="1:12" s="2811" customFormat="1" ht="76.5">
      <c r="A4" s="2911" t="str">
        <f>translations!B4</f>
        <v>The choices of calculation made in this tool are those of the author(s) and do not necessarily reflect the views  and choices of the Food and Agriculture Organization of the United Nations.</v>
      </c>
      <c r="B4" s="2749" t="s">
        <v>2347</v>
      </c>
      <c r="C4" s="2814" t="s">
        <v>5060</v>
      </c>
      <c r="D4" s="2749" t="s">
        <v>5726</v>
      </c>
      <c r="E4" s="2814" t="s">
        <v>6521</v>
      </c>
    </row>
    <row r="5" spans="1:12" s="2811" customFormat="1">
      <c r="A5" s="2911" t="str">
        <f>translations!B5</f>
        <v>Version 7 - Multilingual Edition</v>
      </c>
      <c r="B5" s="2749" t="s">
        <v>8847</v>
      </c>
      <c r="C5" s="2817" t="s">
        <v>8848</v>
      </c>
      <c r="D5" s="2749" t="s">
        <v>8849</v>
      </c>
      <c r="E5" s="2817" t="s">
        <v>8850</v>
      </c>
    </row>
    <row r="6" spans="1:12" s="2811" customFormat="1" ht="255">
      <c r="A6" s="2911" t="str">
        <f>translations!B6</f>
        <v xml:space="preserve">© FAO (2013)
FAO encourages the use, reproduction and dissemination of material in this product. Except where otherwise indicated, material may be copied, downloaded and printed for private study, research and teaching purposes, or for use in non-commercial products or services, provided that appropriate acknowledgement of FAO as the source and copyright holder is given and that FAO’s endorsement of users’ views, products or services is not implied in any way. 
All requests for translation and adaptation rights, and for resale and other commercial use rights should be made via www.fao.org/contact-us/licence-request or addressed to copyright@fao.org. 
</v>
      </c>
      <c r="B6" s="2749" t="s">
        <v>2350</v>
      </c>
      <c r="C6" s="2814" t="s">
        <v>5061</v>
      </c>
      <c r="D6" s="2749" t="s">
        <v>5727</v>
      </c>
      <c r="E6" s="2814" t="s">
        <v>6522</v>
      </c>
    </row>
    <row r="7" spans="1:12" s="2709" customFormat="1">
      <c r="A7" s="2580" t="str">
        <f>translations!B7</f>
        <v>English</v>
      </c>
      <c r="B7" s="2752" t="str">
        <f>B1</f>
        <v>Português</v>
      </c>
      <c r="C7" s="2890" t="s">
        <v>5057</v>
      </c>
      <c r="D7" s="3267" t="s">
        <v>5723</v>
      </c>
      <c r="E7" s="2890" t="s">
        <v>6523</v>
      </c>
      <c r="F7" s="2710" t="str">
        <f t="shared" ref="F7:L7" si="0">F1</f>
        <v>Lang004</v>
      </c>
      <c r="G7" s="2710" t="str">
        <f t="shared" si="0"/>
        <v>Lang005</v>
      </c>
      <c r="H7" s="2710" t="str">
        <f t="shared" si="0"/>
        <v>Lang006</v>
      </c>
      <c r="I7" s="2710" t="str">
        <f t="shared" si="0"/>
        <v>Lang007</v>
      </c>
      <c r="J7" s="2710" t="str">
        <f t="shared" si="0"/>
        <v>Lang008</v>
      </c>
      <c r="K7" s="2710" t="str">
        <f t="shared" si="0"/>
        <v>Lang009</v>
      </c>
      <c r="L7" s="2710" t="str">
        <f t="shared" si="0"/>
        <v>Lang010</v>
      </c>
    </row>
    <row r="8" spans="1:12" s="2811" customFormat="1">
      <c r="A8" s="2911" t="str">
        <f>translations!B8</f>
        <v>Project Name</v>
      </c>
      <c r="B8" s="2749" t="s">
        <v>2351</v>
      </c>
      <c r="C8" s="2814" t="s">
        <v>5062</v>
      </c>
      <c r="D8" s="2749" t="s">
        <v>5728</v>
      </c>
      <c r="E8" s="2814" t="s">
        <v>6524</v>
      </c>
    </row>
    <row r="9" spans="1:12" s="2811" customFormat="1">
      <c r="A9" s="2911" t="str">
        <f>translations!B9</f>
        <v>Continent</v>
      </c>
      <c r="B9" s="2749" t="s">
        <v>2352</v>
      </c>
      <c r="C9" s="2814" t="s">
        <v>5063</v>
      </c>
      <c r="D9" s="2749" t="s">
        <v>5729</v>
      </c>
      <c r="E9" s="2814" t="s">
        <v>6525</v>
      </c>
    </row>
    <row r="10" spans="1:12" s="2811" customFormat="1">
      <c r="A10" s="2911" t="str">
        <f>translations!B10</f>
        <v>Climate</v>
      </c>
      <c r="B10" s="2749" t="s">
        <v>2353</v>
      </c>
      <c r="C10" s="2814" t="s">
        <v>5064</v>
      </c>
      <c r="D10" s="2749" t="s">
        <v>5730</v>
      </c>
      <c r="E10" s="2814" t="s">
        <v>6526</v>
      </c>
    </row>
    <row r="11" spans="1:12" s="2811" customFormat="1">
      <c r="A11" s="2911" t="str">
        <f>translations!B11</f>
        <v>Moisture regime</v>
      </c>
      <c r="B11" s="2749" t="s">
        <v>2354</v>
      </c>
      <c r="C11" s="2814" t="s">
        <v>5065</v>
      </c>
      <c r="D11" s="2749" t="s">
        <v>5731</v>
      </c>
      <c r="E11" s="2814" t="s">
        <v>6527</v>
      </c>
    </row>
    <row r="12" spans="1:12" s="2811" customFormat="1">
      <c r="A12" s="2911" t="str">
        <f>translations!B12</f>
        <v>Dominant Regional Soil Type</v>
      </c>
      <c r="B12" s="2749" t="s">
        <v>2355</v>
      </c>
      <c r="C12" s="2814" t="s">
        <v>5399</v>
      </c>
      <c r="D12" s="2749" t="s">
        <v>5732</v>
      </c>
      <c r="E12" s="2814" t="s">
        <v>6528</v>
      </c>
    </row>
    <row r="13" spans="1:12" s="2811" customFormat="1">
      <c r="A13" s="2911" t="str">
        <f>translations!B13</f>
        <v>Duration of the Project (Years)</v>
      </c>
      <c r="B13" s="2749" t="s">
        <v>2356</v>
      </c>
      <c r="C13" s="2814" t="s">
        <v>5066</v>
      </c>
      <c r="D13" s="2749" t="s">
        <v>5733</v>
      </c>
      <c r="E13" s="2814" t="s">
        <v>6529</v>
      </c>
    </row>
    <row r="14" spans="1:12" s="2811" customFormat="1">
      <c r="A14" s="2911" t="str">
        <f>translations!B14</f>
        <v>Implementation phase</v>
      </c>
      <c r="B14" s="2749" t="s">
        <v>2357</v>
      </c>
      <c r="C14" s="2814" t="s">
        <v>5067</v>
      </c>
      <c r="D14" s="2749" t="s">
        <v>5734</v>
      </c>
      <c r="E14" s="2814" t="s">
        <v>6530</v>
      </c>
    </row>
    <row r="15" spans="1:12" s="2811" customFormat="1">
      <c r="A15" s="2911" t="str">
        <f>translations!B15</f>
        <v>Capitalisation phase</v>
      </c>
      <c r="B15" s="2749" t="s">
        <v>2358</v>
      </c>
      <c r="C15" s="2814" t="s">
        <v>5068</v>
      </c>
      <c r="D15" s="2749" t="s">
        <v>5735</v>
      </c>
      <c r="E15" s="2814" t="s">
        <v>7432</v>
      </c>
    </row>
    <row r="16" spans="1:12" s="2811" customFormat="1">
      <c r="A16" s="2911" t="str">
        <f>translations!B16</f>
        <v>Duration of accounting</v>
      </c>
      <c r="B16" s="2749" t="s">
        <v>2359</v>
      </c>
      <c r="C16" s="2814" t="s">
        <v>5069</v>
      </c>
      <c r="D16" s="2749" t="s">
        <v>5736</v>
      </c>
      <c r="E16" s="2814" t="s">
        <v>6531</v>
      </c>
    </row>
    <row r="17" spans="1:12" s="2811" customFormat="1">
      <c r="A17" s="2911" t="str">
        <f>translations!B17</f>
        <v>Climate ?</v>
      </c>
      <c r="B17" s="2749" t="s">
        <v>2360</v>
      </c>
      <c r="C17" s="2814" t="s">
        <v>5070</v>
      </c>
      <c r="D17" s="2749" t="s">
        <v>5737</v>
      </c>
      <c r="E17" s="2814" t="s">
        <v>6526</v>
      </c>
    </row>
    <row r="18" spans="1:12" s="2811" customFormat="1">
      <c r="A18" s="2911" t="str">
        <f>translations!B18</f>
        <v>Soil ?</v>
      </c>
      <c r="B18" s="2749" t="s">
        <v>2361</v>
      </c>
      <c r="C18" s="2814" t="s">
        <v>5071</v>
      </c>
      <c r="D18" s="2749" t="s">
        <v>5738</v>
      </c>
      <c r="E18" s="2814" t="s">
        <v>6532</v>
      </c>
    </row>
    <row r="19" spans="1:12" s="2811" customFormat="1">
      <c r="A19" s="2911" t="str">
        <f>translations!B19</f>
        <v xml:space="preserve"> </v>
      </c>
      <c r="B19" s="2749" t="s">
        <v>2497</v>
      </c>
      <c r="C19" s="2817" t="s">
        <v>5456</v>
      </c>
      <c r="D19" s="2749" t="s">
        <v>1731</v>
      </c>
      <c r="E19" s="2814" t="s">
        <v>7433</v>
      </c>
    </row>
    <row r="20" spans="1:12" s="2709" customFormat="1">
      <c r="A20" s="2580" t="str">
        <f>translations!B20</f>
        <v>English</v>
      </c>
      <c r="B20" s="2752" t="str">
        <f>B7</f>
        <v>Português</v>
      </c>
      <c r="C20" s="2890" t="s">
        <v>5057</v>
      </c>
      <c r="D20" s="3267" t="s">
        <v>5723</v>
      </c>
      <c r="E20" s="2890" t="s">
        <v>6520</v>
      </c>
      <c r="F20" s="2710" t="str">
        <f t="shared" ref="F20:L20" si="1">F7</f>
        <v>Lang004</v>
      </c>
      <c r="G20" s="2710" t="str">
        <f t="shared" si="1"/>
        <v>Lang005</v>
      </c>
      <c r="H20" s="2710" t="str">
        <f t="shared" si="1"/>
        <v>Lang006</v>
      </c>
      <c r="I20" s="2710" t="str">
        <f t="shared" si="1"/>
        <v>Lang007</v>
      </c>
      <c r="J20" s="2710" t="str">
        <f t="shared" si="1"/>
        <v>Lang008</v>
      </c>
      <c r="K20" s="2710" t="str">
        <f t="shared" si="1"/>
        <v>Lang009</v>
      </c>
      <c r="L20" s="2710" t="str">
        <f t="shared" si="1"/>
        <v>Lang010</v>
      </c>
    </row>
    <row r="21" spans="1:12" s="2811" customFormat="1">
      <c r="A21" s="2911" t="str">
        <f>translations!B21</f>
        <v>2.1. Deforestation</v>
      </c>
      <c r="B21" s="2749" t="s">
        <v>2362</v>
      </c>
      <c r="C21" s="2814" t="s">
        <v>5072</v>
      </c>
      <c r="D21" s="2749" t="s">
        <v>5739</v>
      </c>
      <c r="E21" s="2814" t="s">
        <v>6533</v>
      </c>
    </row>
    <row r="22" spans="1:12" s="2811" customFormat="1">
      <c r="A22" s="2911" t="str">
        <f>translations!B22</f>
        <v>AEZ map</v>
      </c>
      <c r="B22" s="2749" t="s">
        <v>2364</v>
      </c>
      <c r="C22" s="2814" t="s">
        <v>5073</v>
      </c>
      <c r="D22" s="2749" t="s">
        <v>5740</v>
      </c>
      <c r="E22" s="2814" t="s">
        <v>6534</v>
      </c>
    </row>
    <row r="23" spans="1:12" s="2811" customFormat="1">
      <c r="A23" s="2911" t="str">
        <f>translations!B23</f>
        <v>Type of vegetation</v>
      </c>
      <c r="B23" s="2749" t="s">
        <v>2363</v>
      </c>
      <c r="C23" s="2814" t="s">
        <v>5074</v>
      </c>
      <c r="D23" s="2749" t="s">
        <v>5741</v>
      </c>
      <c r="E23" s="2814" t="s">
        <v>6535</v>
      </c>
    </row>
    <row r="24" spans="1:12" s="2811" customFormat="1">
      <c r="A24" s="2911" t="str">
        <f>translations!B24</f>
        <v>that will be deforested</v>
      </c>
      <c r="B24" s="2749" t="s">
        <v>2365</v>
      </c>
      <c r="C24" s="2814" t="s">
        <v>5075</v>
      </c>
      <c r="D24" s="2749" t="s">
        <v>5742</v>
      </c>
      <c r="E24" s="2814" t="s">
        <v>6536</v>
      </c>
    </row>
    <row r="25" spans="1:12" s="2811" customFormat="1">
      <c r="A25" s="2911" t="str">
        <f>translations!B25</f>
        <v>HWP#</v>
      </c>
      <c r="B25" s="2749" t="s">
        <v>2367</v>
      </c>
      <c r="C25" s="2814" t="s">
        <v>5389</v>
      </c>
      <c r="D25" s="2749" t="s">
        <v>5389</v>
      </c>
      <c r="E25" s="2814" t="s">
        <v>5389</v>
      </c>
    </row>
    <row r="26" spans="1:12" s="2811" customFormat="1">
      <c r="A26" s="2911" t="str">
        <f>translations!B26</f>
        <v>Fire Use?</v>
      </c>
      <c r="B26" s="2749" t="s">
        <v>2394</v>
      </c>
      <c r="C26" s="2814" t="s">
        <v>5390</v>
      </c>
      <c r="D26" s="2749" t="s">
        <v>5743</v>
      </c>
      <c r="E26" s="2814" t="s">
        <v>6537</v>
      </c>
    </row>
    <row r="27" spans="1:12" s="2811" customFormat="1">
      <c r="A27" s="2911" t="str">
        <f>translations!B27</f>
        <v>Final use after deforestation</v>
      </c>
      <c r="B27" s="2749" t="s">
        <v>2368</v>
      </c>
      <c r="C27" s="2814" t="s">
        <v>5076</v>
      </c>
      <c r="D27" s="2749" t="s">
        <v>5744</v>
      </c>
      <c r="E27" s="2814" t="s">
        <v>6538</v>
      </c>
    </row>
    <row r="28" spans="1:12" s="2811" customFormat="1">
      <c r="A28" s="2911" t="str">
        <f>translations!B28</f>
        <v>Forested area (ha)</v>
      </c>
      <c r="B28" s="2749" t="s">
        <v>2370</v>
      </c>
      <c r="C28" s="2814" t="s">
        <v>5077</v>
      </c>
      <c r="D28" s="2749" t="s">
        <v>5745</v>
      </c>
      <c r="E28" s="2814" t="s">
        <v>6539</v>
      </c>
    </row>
    <row r="29" spans="1:12" s="2811" customFormat="1">
      <c r="A29" s="2911" t="str">
        <f>translations!B29</f>
        <v>Deforested area (ha)</v>
      </c>
      <c r="B29" s="2749" t="s">
        <v>2369</v>
      </c>
      <c r="C29" s="2814" t="s">
        <v>5078</v>
      </c>
      <c r="D29" s="2749" t="s">
        <v>5746</v>
      </c>
      <c r="E29" s="2814" t="s">
        <v>6540</v>
      </c>
    </row>
    <row r="30" spans="1:12" s="2811" customFormat="1">
      <c r="A30" s="2911" t="str">
        <f>translations!B30</f>
        <v>Total Emissions (tCO2-eq)</v>
      </c>
      <c r="B30" s="2749" t="s">
        <v>2371</v>
      </c>
      <c r="C30" s="2814" t="s">
        <v>5388</v>
      </c>
      <c r="D30" s="2749" t="s">
        <v>5747</v>
      </c>
      <c r="E30" s="2814" t="s">
        <v>6541</v>
      </c>
    </row>
    <row r="31" spans="1:12" s="2811" customFormat="1">
      <c r="A31" s="2911" t="str">
        <f>translations!B31</f>
        <v>Balance</v>
      </c>
      <c r="B31" s="2749" t="s">
        <v>2372</v>
      </c>
      <c r="C31" s="2814" t="s">
        <v>5079</v>
      </c>
      <c r="D31" s="2749" t="s">
        <v>1294</v>
      </c>
      <c r="E31" s="2814" t="s">
        <v>6542</v>
      </c>
    </row>
    <row r="32" spans="1:12" s="2811" customFormat="1">
      <c r="A32" s="2911" t="str">
        <f>translations!B32</f>
        <v xml:space="preserve"> (tDM/ha)</v>
      </c>
      <c r="B32" s="2749" t="s">
        <v>1677</v>
      </c>
      <c r="C32" s="2814" t="s">
        <v>5080</v>
      </c>
      <c r="D32" s="2749" t="s">
        <v>1292</v>
      </c>
      <c r="E32" s="2814" t="s">
        <v>1292</v>
      </c>
    </row>
    <row r="33" spans="1:5" s="2811" customFormat="1">
      <c r="A33" s="2911" t="str">
        <f>translations!B33</f>
        <v>(y/n)</v>
      </c>
      <c r="B33" s="2749" t="s">
        <v>8174</v>
      </c>
      <c r="C33" s="2814" t="s">
        <v>1293</v>
      </c>
      <c r="D33" s="2749" t="s">
        <v>1293</v>
      </c>
      <c r="E33" s="2814" t="s">
        <v>1293</v>
      </c>
    </row>
    <row r="34" spans="1:5" s="2811" customFormat="1">
      <c r="A34" s="2911" t="str">
        <f>translations!B34</f>
        <v>#Harvested Wood Products</v>
      </c>
      <c r="B34" s="2749" t="s">
        <v>2366</v>
      </c>
      <c r="C34" s="2814" t="s">
        <v>5081</v>
      </c>
      <c r="D34" s="2749" t="s">
        <v>5748</v>
      </c>
      <c r="E34" s="2814" t="s">
        <v>6543</v>
      </c>
    </row>
    <row r="35" spans="1:5" s="2811" customFormat="1" ht="76.5">
      <c r="A35" s="2911" t="str">
        <f>translations!B35</f>
        <v>* Note concerning dynamics of change : "D" corresponds to default/linear, "I" to immediate and "E" to exponential (Please refer to the guidelines)</v>
      </c>
      <c r="B35" s="2749" t="s">
        <v>2374</v>
      </c>
      <c r="C35" s="2817" t="s">
        <v>5402</v>
      </c>
      <c r="D35" s="2749" t="s">
        <v>5749</v>
      </c>
      <c r="E35" s="2814" t="s">
        <v>6544</v>
      </c>
    </row>
    <row r="36" spans="1:5" s="2811" customFormat="1">
      <c r="A36" s="2911" t="str">
        <f>translations!B36</f>
        <v>Total Deforestation</v>
      </c>
      <c r="B36" s="2749" t="s">
        <v>2375</v>
      </c>
      <c r="C36" s="2814" t="s">
        <v>5082</v>
      </c>
      <c r="D36" s="2749" t="s">
        <v>5750</v>
      </c>
      <c r="E36" s="2814" t="s">
        <v>6545</v>
      </c>
    </row>
    <row r="37" spans="1:5" s="2811" customFormat="1">
      <c r="A37" s="2911" t="str">
        <f>translations!B37</f>
        <v>Start</v>
      </c>
      <c r="B37" s="2749" t="s">
        <v>2376</v>
      </c>
      <c r="C37" s="2814" t="s">
        <v>340</v>
      </c>
      <c r="D37" s="2749" t="s">
        <v>5751</v>
      </c>
      <c r="E37" s="2814" t="s">
        <v>6546</v>
      </c>
    </row>
    <row r="38" spans="1:5" s="2811" customFormat="1">
      <c r="A38" s="2911" t="str">
        <f>translations!B38</f>
        <v>Without</v>
      </c>
      <c r="B38" s="2749" t="s">
        <v>2377</v>
      </c>
      <c r="C38" s="2814" t="s">
        <v>5083</v>
      </c>
      <c r="D38" s="2749" t="s">
        <v>5752</v>
      </c>
      <c r="E38" s="2814" t="s">
        <v>6547</v>
      </c>
    </row>
    <row r="39" spans="1:5" s="2811" customFormat="1">
      <c r="A39" s="2911" t="str">
        <f>translations!B39</f>
        <v>With</v>
      </c>
      <c r="B39" s="2749" t="s">
        <v>2378</v>
      </c>
      <c r="C39" s="2814" t="s">
        <v>5084</v>
      </c>
      <c r="D39" s="2749" t="s">
        <v>5753</v>
      </c>
      <c r="E39" s="2814" t="s">
        <v>6548</v>
      </c>
    </row>
    <row r="40" spans="1:5" s="2811" customFormat="1">
      <c r="A40" s="2911" t="str">
        <f>translations!B40</f>
        <v xml:space="preserve">Zone 1 = </v>
      </c>
      <c r="B40" s="2749" t="s">
        <v>2379</v>
      </c>
      <c r="C40" s="2814" t="s">
        <v>1719</v>
      </c>
      <c r="D40" s="2749" t="s">
        <v>8175</v>
      </c>
      <c r="E40" s="2814" t="s">
        <v>8176</v>
      </c>
    </row>
    <row r="41" spans="1:5" s="2811" customFormat="1">
      <c r="A41" s="2911" t="str">
        <f>translations!B41</f>
        <v xml:space="preserve">Zone 2 = </v>
      </c>
      <c r="B41" s="2749" t="s">
        <v>2380</v>
      </c>
      <c r="C41" s="2814" t="s">
        <v>1717</v>
      </c>
      <c r="D41" s="2749" t="s">
        <v>8177</v>
      </c>
      <c r="E41" s="2814" t="s">
        <v>8178</v>
      </c>
    </row>
    <row r="42" spans="1:5" s="2811" customFormat="1">
      <c r="A42" s="2911" t="str">
        <f>translations!B42</f>
        <v xml:space="preserve">Zone 3 = </v>
      </c>
      <c r="B42" s="2749" t="s">
        <v>2381</v>
      </c>
      <c r="C42" s="2814" t="s">
        <v>1720</v>
      </c>
      <c r="D42" s="2749" t="s">
        <v>8179</v>
      </c>
      <c r="E42" s="2814" t="s">
        <v>8180</v>
      </c>
    </row>
    <row r="43" spans="1:5" s="2811" customFormat="1">
      <c r="A43" s="2911" t="str">
        <f>translations!B43</f>
        <v xml:space="preserve">Zone 4 = </v>
      </c>
      <c r="B43" s="2749" t="s">
        <v>2382</v>
      </c>
      <c r="C43" s="2814" t="s">
        <v>1721</v>
      </c>
      <c r="D43" s="2749" t="s">
        <v>8181</v>
      </c>
      <c r="E43" s="2814" t="s">
        <v>8182</v>
      </c>
    </row>
    <row r="44" spans="1:5" s="2811" customFormat="1">
      <c r="A44" s="2911" t="str">
        <f>translations!B44</f>
        <v>2.2. Afforestation and Reforestation</v>
      </c>
      <c r="B44" s="2749" t="s">
        <v>2385</v>
      </c>
      <c r="C44" s="2814" t="s">
        <v>5085</v>
      </c>
      <c r="D44" s="2749" t="s">
        <v>5754</v>
      </c>
      <c r="E44" s="2814" t="s">
        <v>6549</v>
      </c>
    </row>
    <row r="45" spans="1:5" s="2811" customFormat="1">
      <c r="A45" s="2911" t="str">
        <f>translations!B45</f>
        <v>Previous land use</v>
      </c>
      <c r="B45" s="2749" t="s">
        <v>2383</v>
      </c>
      <c r="C45" s="2814" t="s">
        <v>5086</v>
      </c>
      <c r="D45" s="2749" t="s">
        <v>5755</v>
      </c>
      <c r="E45" s="2814" t="s">
        <v>6550</v>
      </c>
    </row>
    <row r="46" spans="1:5" s="2811" customFormat="1">
      <c r="A46" s="2911" t="str">
        <f>translations!B46</f>
        <v>Area that will be afforested/reforested</v>
      </c>
      <c r="B46" s="2749" t="s">
        <v>2384</v>
      </c>
      <c r="C46" s="2814" t="s">
        <v>5387</v>
      </c>
      <c r="D46" s="2749" t="s">
        <v>5756</v>
      </c>
      <c r="E46" s="2814" t="s">
        <v>6551</v>
      </c>
    </row>
    <row r="47" spans="1:5" s="2811" customFormat="1">
      <c r="A47" s="2911" t="str">
        <f>translations!B47</f>
        <v>Total Af-/Reforestation</v>
      </c>
      <c r="B47" s="2749" t="s">
        <v>2386</v>
      </c>
      <c r="C47" s="2814" t="s">
        <v>5386</v>
      </c>
      <c r="D47" s="2749" t="s">
        <v>5757</v>
      </c>
      <c r="E47" s="2814" t="s">
        <v>6552</v>
      </c>
    </row>
    <row r="48" spans="1:5" s="2811" customFormat="1">
      <c r="A48" s="2911" t="str">
        <f>translations!B48</f>
        <v xml:space="preserve">2.3. Other Land Use Changes </v>
      </c>
      <c r="B48" s="2749" t="s">
        <v>2393</v>
      </c>
      <c r="C48" s="2814" t="s">
        <v>5391</v>
      </c>
      <c r="D48" s="2749" t="s">
        <v>5758</v>
      </c>
      <c r="E48" s="2814" t="s">
        <v>6553</v>
      </c>
    </row>
    <row r="49" spans="1:5" s="2811" customFormat="1">
      <c r="A49" s="2911" t="str">
        <f>translations!B49</f>
        <v>Fill with your description</v>
      </c>
      <c r="B49" s="2749" t="s">
        <v>2387</v>
      </c>
      <c r="C49" s="2814" t="s">
        <v>5101</v>
      </c>
      <c r="D49" s="2749" t="s">
        <v>5759</v>
      </c>
      <c r="E49" s="2814" t="s">
        <v>6554</v>
      </c>
    </row>
    <row r="50" spans="1:5" s="2811" customFormat="1">
      <c r="A50" s="2911" t="str">
        <f>translations!B50</f>
        <v>Initial land use</v>
      </c>
      <c r="B50" s="2749" t="s">
        <v>2388</v>
      </c>
      <c r="C50" s="2814" t="s">
        <v>4915</v>
      </c>
      <c r="D50" s="2749" t="s">
        <v>5760</v>
      </c>
      <c r="E50" s="2814" t="s">
        <v>6555</v>
      </c>
    </row>
    <row r="51" spans="1:5" s="2811" customFormat="1">
      <c r="A51" s="2911" t="str">
        <f>translations!B51</f>
        <v>Final land use</v>
      </c>
      <c r="B51" s="2749" t="s">
        <v>2389</v>
      </c>
      <c r="C51" s="2814" t="s">
        <v>4916</v>
      </c>
      <c r="D51" s="2749" t="s">
        <v>5761</v>
      </c>
      <c r="E51" s="2814" t="s">
        <v>6556</v>
      </c>
    </row>
    <row r="52" spans="1:5" s="2811" customFormat="1">
      <c r="A52" s="2911" t="str">
        <f>translations!B52</f>
        <v>Message</v>
      </c>
      <c r="B52" s="2749" t="s">
        <v>2390</v>
      </c>
      <c r="C52" s="2814" t="s">
        <v>5087</v>
      </c>
      <c r="D52" s="2749" t="s">
        <v>5762</v>
      </c>
      <c r="E52" s="2814" t="s">
        <v>6557</v>
      </c>
    </row>
    <row r="53" spans="1:5" s="2811" customFormat="1">
      <c r="A53" s="2911" t="str">
        <f>translations!B53</f>
        <v>Area transformed (ha)</v>
      </c>
      <c r="B53" s="2749" t="s">
        <v>2391</v>
      </c>
      <c r="C53" s="2814" t="s">
        <v>5385</v>
      </c>
      <c r="D53" s="2749" t="s">
        <v>5763</v>
      </c>
      <c r="E53" s="2814" t="s">
        <v>6558</v>
      </c>
    </row>
    <row r="54" spans="1:5" s="2811" customFormat="1">
      <c r="A54" s="2911" t="str">
        <f>translations!B54</f>
        <v>Total Other LUC</v>
      </c>
      <c r="B54" s="2749" t="s">
        <v>2392</v>
      </c>
      <c r="C54" s="2814" t="s">
        <v>5384</v>
      </c>
      <c r="D54" s="2749" t="s">
        <v>5764</v>
      </c>
      <c r="E54" s="2814" t="s">
        <v>6559</v>
      </c>
    </row>
    <row r="55" spans="1:5" s="2811" customFormat="1" ht="25.5">
      <c r="A55" s="2911" t="str">
        <f>translations!B55</f>
        <v>You have indicated that you are using the following types of vegetation:</v>
      </c>
      <c r="B55" s="2749" t="s">
        <v>2499</v>
      </c>
      <c r="C55" s="2814" t="s">
        <v>5088</v>
      </c>
      <c r="D55" s="2749" t="s">
        <v>5765</v>
      </c>
      <c r="E55" s="2814" t="s">
        <v>6560</v>
      </c>
    </row>
    <row r="56" spans="1:5" s="2811" customFormat="1" ht="38.25">
      <c r="A56" s="2911" t="str">
        <f>translations!B56</f>
        <v>Use this part only if you want to refine the analysis with Tier 2 coefficients.</v>
      </c>
      <c r="B56" s="2749" t="s">
        <v>2500</v>
      </c>
      <c r="C56" s="2814" t="s">
        <v>5089</v>
      </c>
      <c r="D56" s="2749" t="s">
        <v>5766</v>
      </c>
      <c r="E56" s="2814" t="s">
        <v>6561</v>
      </c>
    </row>
    <row r="57" spans="1:5" s="2811" customFormat="1" ht="51">
      <c r="A57" s="2911" t="str">
        <f>translations!B57</f>
        <v>(default values are provided for your information only, while EX-ACT will use Tier 2 values automatically wherever specified)</v>
      </c>
      <c r="B57" s="2749" t="s">
        <v>2501</v>
      </c>
      <c r="C57" s="2814" t="s">
        <v>5392</v>
      </c>
      <c r="D57" s="2749" t="s">
        <v>5767</v>
      </c>
      <c r="E57" s="2814" t="s">
        <v>6562</v>
      </c>
    </row>
    <row r="58" spans="1:5" s="2811" customFormat="1" ht="25.5">
      <c r="A58" s="2911" t="str">
        <f>translations!B58</f>
        <v>All values are in t of carbon per ha (tC/ha)</v>
      </c>
      <c r="B58" s="2749" t="s">
        <v>2502</v>
      </c>
      <c r="C58" s="2814" t="s">
        <v>5090</v>
      </c>
      <c r="D58" s="2749" t="s">
        <v>5768</v>
      </c>
      <c r="E58" s="2814" t="s">
        <v>6563</v>
      </c>
    </row>
    <row r="59" spans="1:5" s="2811" customFormat="1">
      <c r="A59" s="2911" t="str">
        <f>translations!B59</f>
        <v>Above-ground</v>
      </c>
      <c r="B59" s="2749" t="s">
        <v>2507</v>
      </c>
      <c r="C59" s="2814" t="s">
        <v>5091</v>
      </c>
      <c r="D59" s="2749" t="s">
        <v>5769</v>
      </c>
      <c r="E59" s="2814" t="s">
        <v>6564</v>
      </c>
    </row>
    <row r="60" spans="1:5" s="2811" customFormat="1">
      <c r="A60" s="2911" t="str">
        <f>translations!B60</f>
        <v>Below-ground</v>
      </c>
      <c r="B60" s="2749" t="s">
        <v>2508</v>
      </c>
      <c r="C60" s="2814" t="s">
        <v>5092</v>
      </c>
      <c r="D60" s="2749" t="s">
        <v>5770</v>
      </c>
      <c r="E60" s="2814" t="s">
        <v>6565</v>
      </c>
    </row>
    <row r="61" spans="1:5" s="2811" customFormat="1">
      <c r="A61" s="2911" t="str">
        <f>translations!B61</f>
        <v>Litter</v>
      </c>
      <c r="B61" s="2749" t="s">
        <v>2506</v>
      </c>
      <c r="C61" s="2814" t="s">
        <v>5093</v>
      </c>
      <c r="D61" s="2749" t="s">
        <v>5771</v>
      </c>
      <c r="E61" s="2814" t="s">
        <v>6566</v>
      </c>
    </row>
    <row r="62" spans="1:5" s="2811" customFormat="1">
      <c r="A62" s="2911" t="str">
        <f>translations!B62</f>
        <v>Dead wood</v>
      </c>
      <c r="B62" s="2749" t="s">
        <v>2505</v>
      </c>
      <c r="C62" s="2814" t="s">
        <v>5094</v>
      </c>
      <c r="D62" s="2749" t="s">
        <v>5772</v>
      </c>
      <c r="E62" s="2814" t="s">
        <v>7434</v>
      </c>
    </row>
    <row r="63" spans="1:5" s="2811" customFormat="1">
      <c r="A63" s="2911" t="str">
        <f>translations!B63</f>
        <v>Soil carbon</v>
      </c>
      <c r="B63" s="2749" t="s">
        <v>2503</v>
      </c>
      <c r="C63" s="2814" t="s">
        <v>5095</v>
      </c>
      <c r="D63" s="2749" t="s">
        <v>5773</v>
      </c>
      <c r="E63" s="2814" t="s">
        <v>6567</v>
      </c>
    </row>
    <row r="64" spans="1:5" s="2811" customFormat="1">
      <c r="A64" s="2911" t="str">
        <f>translations!B64</f>
        <v>Default</v>
      </c>
      <c r="B64" s="2749" t="s">
        <v>2504</v>
      </c>
      <c r="C64" s="2814" t="s">
        <v>339</v>
      </c>
      <c r="D64" s="2749" t="s">
        <v>339</v>
      </c>
      <c r="E64" s="2814" t="s">
        <v>6568</v>
      </c>
    </row>
    <row r="65" spans="1:12" s="2811" customFormat="1">
      <c r="A65" s="2911" t="str">
        <f>translations!B65</f>
        <v>Tier 2</v>
      </c>
      <c r="B65" s="2749" t="s">
        <v>2509</v>
      </c>
      <c r="C65" s="2814" t="s">
        <v>1502</v>
      </c>
      <c r="D65" s="2749" t="s">
        <v>1502</v>
      </c>
      <c r="E65" s="2814" t="s">
        <v>1502</v>
      </c>
    </row>
    <row r="66" spans="1:12" s="2811" customFormat="1">
      <c r="A66" s="2911" t="str">
        <f>translations!B66</f>
        <v>that will be planted</v>
      </c>
      <c r="B66" s="2749" t="s">
        <v>2510</v>
      </c>
      <c r="C66" s="2814" t="s">
        <v>5096</v>
      </c>
      <c r="D66" s="2749" t="s">
        <v>5774</v>
      </c>
      <c r="E66" s="2814" t="s">
        <v>6569</v>
      </c>
    </row>
    <row r="67" spans="1:12" s="2811" customFormat="1" ht="25.5">
      <c r="A67" s="2911" t="str">
        <f>translations!B67</f>
        <v>Growth rates for systems up to 20-yr old</v>
      </c>
      <c r="B67" s="2749" t="s">
        <v>2511</v>
      </c>
      <c r="C67" s="2814" t="s">
        <v>5097</v>
      </c>
      <c r="D67" s="2749" t="s">
        <v>5775</v>
      </c>
      <c r="E67" s="2814" t="s">
        <v>6570</v>
      </c>
    </row>
    <row r="68" spans="1:12" s="2811" customFormat="1" ht="25.5">
      <c r="A68" s="2911" t="str">
        <f>translations!B68</f>
        <v>Growth rates for systems after 20-yr old</v>
      </c>
      <c r="B68" s="2749" t="s">
        <v>2512</v>
      </c>
      <c r="C68" s="2814" t="s">
        <v>5098</v>
      </c>
      <c r="D68" s="2749" t="s">
        <v>5776</v>
      </c>
      <c r="E68" s="2814" t="s">
        <v>6571</v>
      </c>
    </row>
    <row r="69" spans="1:12" s="2811" customFormat="1">
      <c r="A69" s="2911" t="str">
        <f>translations!B69</f>
        <v>Biomass (1st year)</v>
      </c>
      <c r="B69" s="2749" t="s">
        <v>8755</v>
      </c>
      <c r="C69" s="3580" t="str">
        <f>A69</f>
        <v>Biomass (1st year)</v>
      </c>
      <c r="D69" s="3601" t="str">
        <f>A69</f>
        <v>Biomass (1st year)</v>
      </c>
      <c r="E69" s="3612" t="s">
        <v>8798</v>
      </c>
    </row>
    <row r="70" spans="1:12" s="2811" customFormat="1">
      <c r="A70" s="2911">
        <f>translations!B70</f>
        <v>0</v>
      </c>
      <c r="B70" s="2749"/>
      <c r="C70" s="2814"/>
      <c r="D70" s="2749"/>
      <c r="E70" s="2814"/>
    </row>
    <row r="71" spans="1:12" s="2811" customFormat="1">
      <c r="A71" s="2911">
        <f>translations!B71</f>
        <v>0</v>
      </c>
      <c r="B71" s="2749"/>
      <c r="C71" s="2814"/>
      <c r="D71" s="2749"/>
      <c r="E71" s="2814"/>
    </row>
    <row r="72" spans="1:12" s="2811" customFormat="1">
      <c r="A72" s="2911">
        <f>translations!B72</f>
        <v>0</v>
      </c>
      <c r="B72" s="2749"/>
      <c r="C72" s="2814"/>
      <c r="D72" s="2749"/>
      <c r="E72" s="2814"/>
    </row>
    <row r="73" spans="1:12" s="2811" customFormat="1">
      <c r="A73" s="2911">
        <f>translations!B73</f>
        <v>0</v>
      </c>
      <c r="B73" s="2749"/>
      <c r="C73" s="2814"/>
      <c r="D73" s="2749"/>
      <c r="E73" s="2814"/>
    </row>
    <row r="74" spans="1:12" s="2811" customFormat="1">
      <c r="A74" s="2911">
        <f>translations!B74</f>
        <v>0</v>
      </c>
      <c r="B74" s="2749"/>
      <c r="C74" s="2814"/>
      <c r="D74" s="2749"/>
      <c r="E74" s="2814"/>
    </row>
    <row r="75" spans="1:12" s="2811" customFormat="1">
      <c r="A75" s="2911">
        <f>translations!B75</f>
        <v>0</v>
      </c>
      <c r="B75" s="2749"/>
      <c r="C75" s="2814"/>
      <c r="D75" s="2749"/>
      <c r="E75" s="2814"/>
    </row>
    <row r="76" spans="1:12" s="2709" customFormat="1">
      <c r="A76" s="2752" t="str">
        <f>translations!B76</f>
        <v>English</v>
      </c>
      <c r="B76" s="2580" t="str">
        <f>B1</f>
        <v>Português</v>
      </c>
      <c r="C76" s="2812" t="str">
        <f>C1</f>
        <v>Deutsch</v>
      </c>
      <c r="D76" s="2821" t="s">
        <v>5723</v>
      </c>
      <c r="E76" s="2812" t="s">
        <v>6520</v>
      </c>
      <c r="F76" s="2709" t="str">
        <f t="shared" ref="F76:L76" si="2">F1</f>
        <v>Lang004</v>
      </c>
      <c r="G76" s="2709" t="str">
        <f t="shared" si="2"/>
        <v>Lang005</v>
      </c>
      <c r="H76" s="2709" t="str">
        <f t="shared" si="2"/>
        <v>Lang006</v>
      </c>
      <c r="I76" s="2709" t="str">
        <f t="shared" si="2"/>
        <v>Lang007</v>
      </c>
      <c r="J76" s="2709" t="str">
        <f t="shared" si="2"/>
        <v>Lang008</v>
      </c>
      <c r="K76" s="2709" t="str">
        <f t="shared" si="2"/>
        <v>Lang009</v>
      </c>
      <c r="L76" s="2709" t="str">
        <f t="shared" si="2"/>
        <v>Lang010</v>
      </c>
    </row>
    <row r="77" spans="1:12" s="2811" customFormat="1" ht="51">
      <c r="A77" s="2911" t="str">
        <f>translations!B77</f>
        <v>3.1. Annual systems (to be used also for  pluri-annual systems such as  cotton or sugarcane)</v>
      </c>
      <c r="B77" s="2749" t="s">
        <v>2513</v>
      </c>
      <c r="C77" s="2814" t="s">
        <v>5099</v>
      </c>
      <c r="D77" s="2749" t="s">
        <v>5777</v>
      </c>
      <c r="E77" s="2814" t="s">
        <v>7435</v>
      </c>
    </row>
    <row r="78" spans="1:12" s="2811" customFormat="1" ht="63.75">
      <c r="A78" s="2911" t="str">
        <f>translations!B78</f>
        <v>3.1.1. Annual systems from other LU or converted to other LU (please fill step 2.LUC previously)</v>
      </c>
      <c r="B78" s="2749" t="s">
        <v>3832</v>
      </c>
      <c r="C78" s="2817" t="s">
        <v>5428</v>
      </c>
      <c r="D78" s="2749" t="s">
        <v>5778</v>
      </c>
      <c r="E78" s="2814" t="s">
        <v>6572</v>
      </c>
    </row>
    <row r="79" spans="1:12" s="2811" customFormat="1">
      <c r="A79" s="2911" t="str">
        <f>translations!B79</f>
        <v>Yield?</v>
      </c>
      <c r="B79" s="2749" t="s">
        <v>2514</v>
      </c>
      <c r="C79" s="2814" t="s">
        <v>5100</v>
      </c>
      <c r="D79" s="2749" t="s">
        <v>5779</v>
      </c>
      <c r="E79" s="2814" t="s">
        <v>6573</v>
      </c>
    </row>
    <row r="80" spans="1:12" s="2811" customFormat="1">
      <c r="A80" s="2911" t="str">
        <f>translations!B80</f>
        <v>Description</v>
      </c>
      <c r="B80" s="2749" t="s">
        <v>3813</v>
      </c>
      <c r="C80" s="2814" t="s">
        <v>5101</v>
      </c>
      <c r="D80" s="2749" t="s">
        <v>5780</v>
      </c>
      <c r="E80" s="2814" t="s">
        <v>6574</v>
      </c>
    </row>
    <row r="81" spans="1:5" s="2811" customFormat="1">
      <c r="A81" s="2911" t="str">
        <f>translations!B81</f>
        <v>Improved agronomic practices</v>
      </c>
      <c r="B81" s="2749" t="s">
        <v>3814</v>
      </c>
      <c r="C81" s="2814" t="s">
        <v>5102</v>
      </c>
      <c r="D81" s="2749" t="s">
        <v>5781</v>
      </c>
      <c r="E81" s="2814" t="s">
        <v>6575</v>
      </c>
    </row>
    <row r="82" spans="1:5" s="2811" customFormat="1">
      <c r="A82" s="2911" t="str">
        <f>translations!B82</f>
        <v>Nutrient management</v>
      </c>
      <c r="B82" s="2749" t="s">
        <v>3815</v>
      </c>
      <c r="C82" s="2814" t="s">
        <v>5103</v>
      </c>
      <c r="D82" s="2749" t="s">
        <v>5782</v>
      </c>
      <c r="E82" s="2814" t="s">
        <v>6576</v>
      </c>
    </row>
    <row r="83" spans="1:5" s="2811" customFormat="1" ht="25.5">
      <c r="A83" s="2911" t="str">
        <f>translations!B83</f>
        <v>No till &amp; residue retention</v>
      </c>
      <c r="B83" s="2749" t="s">
        <v>8201</v>
      </c>
      <c r="C83" s="2814" t="s">
        <v>8199</v>
      </c>
      <c r="D83" s="2749" t="s">
        <v>8200</v>
      </c>
      <c r="E83" s="2814" t="s">
        <v>6577</v>
      </c>
    </row>
    <row r="84" spans="1:5" s="2811" customFormat="1">
      <c r="A84" s="2911" t="str">
        <f>translations!B84</f>
        <v>Water  management</v>
      </c>
      <c r="B84" s="2749" t="s">
        <v>3816</v>
      </c>
      <c r="C84" s="2814" t="s">
        <v>5104</v>
      </c>
      <c r="D84" s="2749" t="s">
        <v>5783</v>
      </c>
      <c r="E84" s="2814" t="s">
        <v>6578</v>
      </c>
    </row>
    <row r="85" spans="1:5" s="2811" customFormat="1">
      <c r="A85" s="2911" t="str">
        <f>translations!B85</f>
        <v>Manure application</v>
      </c>
      <c r="B85" s="2749" t="s">
        <v>3817</v>
      </c>
      <c r="C85" s="2814" t="s">
        <v>5105</v>
      </c>
      <c r="D85" s="2749" t="s">
        <v>5784</v>
      </c>
      <c r="E85" s="2814" t="s">
        <v>6579</v>
      </c>
    </row>
    <row r="86" spans="1:5" s="2811" customFormat="1">
      <c r="A86" s="2911" t="str">
        <f>translations!B86</f>
        <v>Yield</v>
      </c>
      <c r="B86" s="2749" t="s">
        <v>2514</v>
      </c>
      <c r="C86" s="2814" t="s">
        <v>5106</v>
      </c>
      <c r="D86" s="2749" t="s">
        <v>5785</v>
      </c>
      <c r="E86" s="2814" t="s">
        <v>6580</v>
      </c>
    </row>
    <row r="87" spans="1:5" s="2811" customFormat="1">
      <c r="A87" s="2911" t="str">
        <f>translations!B87</f>
        <v>Definitions?</v>
      </c>
      <c r="B87" s="2749" t="s">
        <v>3818</v>
      </c>
      <c r="C87" s="2814" t="s">
        <v>5107</v>
      </c>
      <c r="D87" s="2749" t="s">
        <v>5786</v>
      </c>
      <c r="E87" s="2814" t="s">
        <v>6581</v>
      </c>
    </row>
    <row r="88" spans="1:5" s="2811" customFormat="1">
      <c r="A88" s="2911" t="str">
        <f>translations!B88</f>
        <v>Area (ha)</v>
      </c>
      <c r="B88" s="2749" t="s">
        <v>3819</v>
      </c>
      <c r="C88" s="2814" t="s">
        <v>5108</v>
      </c>
      <c r="D88" s="2749" t="s">
        <v>1310</v>
      </c>
      <c r="E88" s="2814" t="s">
        <v>6582</v>
      </c>
    </row>
    <row r="89" spans="1:5" s="2811" customFormat="1">
      <c r="A89" s="2911" t="str">
        <f>translations!B89</f>
        <v>Residue/ biomass burning</v>
      </c>
      <c r="B89" s="2749" t="s">
        <v>3820</v>
      </c>
      <c r="C89" s="2814" t="s">
        <v>5393</v>
      </c>
      <c r="D89" s="2749" t="s">
        <v>5787</v>
      </c>
      <c r="E89" s="2814" t="s">
        <v>6583</v>
      </c>
    </row>
    <row r="90" spans="1:5" s="2811" customFormat="1">
      <c r="A90" s="2911" t="str">
        <f>translations!B90</f>
        <v>Annual after Deforestation</v>
      </c>
      <c r="B90" s="2749" t="s">
        <v>3821</v>
      </c>
      <c r="C90" s="2817" t="s">
        <v>5433</v>
      </c>
      <c r="D90" s="2749" t="s">
        <v>5788</v>
      </c>
      <c r="E90" s="2814" t="s">
        <v>6584</v>
      </c>
    </row>
    <row r="91" spans="1:5" s="2811" customFormat="1">
      <c r="A91" s="2911" t="str">
        <f>translations!B91</f>
        <v>Converted to A/R</v>
      </c>
      <c r="B91" s="2749" t="s">
        <v>3822</v>
      </c>
      <c r="C91" s="2817" t="s">
        <v>5443</v>
      </c>
      <c r="D91" s="2749" t="s">
        <v>5789</v>
      </c>
      <c r="E91" s="2814" t="s">
        <v>6585</v>
      </c>
    </row>
    <row r="92" spans="1:5" s="2811" customFormat="1">
      <c r="A92" s="2911" t="str">
        <f>translations!B92</f>
        <v>Annual after non-forest LU</v>
      </c>
      <c r="B92" s="2749" t="s">
        <v>3823</v>
      </c>
      <c r="C92" s="2817" t="s">
        <v>5435</v>
      </c>
      <c r="D92" s="2749" t="s">
        <v>5790</v>
      </c>
      <c r="E92" s="2814" t="s">
        <v>6586</v>
      </c>
    </row>
    <row r="93" spans="1:5" s="2811" customFormat="1" ht="25.5">
      <c r="A93" s="2911" t="str">
        <f>translations!B93</f>
        <v>Converted to OLUC</v>
      </c>
      <c r="B93" s="2749" t="s">
        <v>3822</v>
      </c>
      <c r="C93" s="2817" t="s">
        <v>5434</v>
      </c>
      <c r="D93" s="2749" t="s">
        <v>5791</v>
      </c>
      <c r="E93" s="2814" t="s">
        <v>6587</v>
      </c>
    </row>
    <row r="94" spans="1:5" s="2811" customFormat="1" ht="38.25">
      <c r="A94" s="2911" t="str">
        <f>translations!B94</f>
        <v>3.1.2. Annual systems remaining annual systems (total area must remain constant)</v>
      </c>
      <c r="B94" s="2749" t="s">
        <v>7939</v>
      </c>
      <c r="C94" s="2814" t="s">
        <v>5109</v>
      </c>
      <c r="D94" s="2749" t="s">
        <v>5792</v>
      </c>
      <c r="E94" s="2814" t="s">
        <v>6588</v>
      </c>
    </row>
    <row r="95" spans="1:5" s="2811" customFormat="1">
      <c r="A95" s="2911" t="str">
        <f>translations!B95</f>
        <v>Total (ha)</v>
      </c>
      <c r="B95" s="2749" t="s">
        <v>1787</v>
      </c>
      <c r="C95" s="2814" t="s">
        <v>5110</v>
      </c>
      <c r="D95" s="2749" t="s">
        <v>1787</v>
      </c>
      <c r="E95" s="2814" t="s">
        <v>6589</v>
      </c>
    </row>
    <row r="96" spans="1:5" s="2811" customFormat="1">
      <c r="A96" s="2911" t="str">
        <f>translations!B96</f>
        <v>Total Annual Systems</v>
      </c>
      <c r="B96" s="2749" t="s">
        <v>3824</v>
      </c>
      <c r="C96" s="2814" t="s">
        <v>5111</v>
      </c>
      <c r="D96" s="2749" t="s">
        <v>5793</v>
      </c>
      <c r="E96" s="2814" t="s">
        <v>6590</v>
      </c>
    </row>
    <row r="97" spans="1:5" s="2811" customFormat="1" ht="25.5">
      <c r="A97" s="2911" t="str">
        <f>translations!B97</f>
        <v>3.2. Perennial systems (agroforestry, orchards, tree crops…)</v>
      </c>
      <c r="B97" s="2749" t="s">
        <v>3825</v>
      </c>
      <c r="C97" s="2814" t="s">
        <v>5112</v>
      </c>
      <c r="D97" s="2749" t="s">
        <v>5794</v>
      </c>
      <c r="E97" s="2814" t="s">
        <v>6591</v>
      </c>
    </row>
    <row r="98" spans="1:5" s="2811" customFormat="1" ht="51">
      <c r="A98" s="2911" t="str">
        <f>translations!B98</f>
        <v>3.2.1. Perennial systems from other LU or converted to other LU (please fill step 2.LUC previously)</v>
      </c>
      <c r="B98" s="2749" t="s">
        <v>3831</v>
      </c>
      <c r="C98" s="2817" t="s">
        <v>5429</v>
      </c>
      <c r="D98" s="2749" t="s">
        <v>5795</v>
      </c>
      <c r="E98" s="2814" t="s">
        <v>6592</v>
      </c>
    </row>
    <row r="99" spans="1:5" s="2811" customFormat="1" ht="25.5">
      <c r="A99" s="2911" t="str">
        <f>translations!B99</f>
        <v>Perennial after Deforestation</v>
      </c>
      <c r="B99" s="2749" t="s">
        <v>3826</v>
      </c>
      <c r="C99" s="2814" t="s">
        <v>5113</v>
      </c>
      <c r="D99" s="2749" t="s">
        <v>5796</v>
      </c>
      <c r="E99" s="2814" t="s">
        <v>6593</v>
      </c>
    </row>
    <row r="100" spans="1:5" s="2811" customFormat="1" ht="25.5">
      <c r="A100" s="2911" t="str">
        <f>translations!B100</f>
        <v>Converted to A/R</v>
      </c>
      <c r="B100" s="2749" t="s">
        <v>3827</v>
      </c>
      <c r="C100" s="2817" t="s">
        <v>5442</v>
      </c>
      <c r="D100" s="2749" t="s">
        <v>5789</v>
      </c>
      <c r="E100" s="2814" t="s">
        <v>6585</v>
      </c>
    </row>
    <row r="101" spans="1:5" s="2811" customFormat="1" ht="25.5">
      <c r="A101" s="2911" t="str">
        <f>translations!B101</f>
        <v>Perennial after non-forest LU</v>
      </c>
      <c r="B101" s="2749" t="s">
        <v>3828</v>
      </c>
      <c r="C101" s="2817" t="s">
        <v>5436</v>
      </c>
      <c r="D101" s="2749" t="s">
        <v>5797</v>
      </c>
      <c r="E101" s="2814" t="s">
        <v>6594</v>
      </c>
    </row>
    <row r="102" spans="1:5" s="2811" customFormat="1" ht="25.5">
      <c r="A102" s="2911" t="str">
        <f>translations!B102</f>
        <v>Converted to OLUC</v>
      </c>
      <c r="B102" s="2749" t="s">
        <v>3827</v>
      </c>
      <c r="C102" s="2817" t="s">
        <v>5437</v>
      </c>
      <c r="D102" s="2749" t="s">
        <v>5791</v>
      </c>
      <c r="E102" s="2814" t="s">
        <v>6587</v>
      </c>
    </row>
    <row r="103" spans="1:5" s="2811" customFormat="1">
      <c r="A103" s="2911" t="str">
        <f>translations!B103</f>
        <v>Total Perennial Systems</v>
      </c>
      <c r="B103" s="2749" t="s">
        <v>3829</v>
      </c>
      <c r="C103" s="2814" t="s">
        <v>5114</v>
      </c>
      <c r="D103" s="2749" t="s">
        <v>5798</v>
      </c>
      <c r="E103" s="2814" t="s">
        <v>6595</v>
      </c>
    </row>
    <row r="104" spans="1:5" s="2811" customFormat="1" ht="38.25">
      <c r="A104" s="2911" t="str">
        <f>translations!B104</f>
        <v>3.2.2. Perennial systems remaining perrenial systems (total area must remain constant)</v>
      </c>
      <c r="B104" s="2749" t="s">
        <v>7940</v>
      </c>
      <c r="C104" s="2814" t="s">
        <v>5115</v>
      </c>
      <c r="D104" s="2749" t="s">
        <v>5799</v>
      </c>
      <c r="E104" s="2814" t="s">
        <v>6596</v>
      </c>
    </row>
    <row r="105" spans="1:5" s="2811" customFormat="1">
      <c r="A105" s="2911" t="str">
        <f>translations!B105</f>
        <v>3.3. Flooded rice systems</v>
      </c>
      <c r="B105" s="2749" t="s">
        <v>3830</v>
      </c>
      <c r="C105" s="2814" t="s">
        <v>5116</v>
      </c>
      <c r="D105" s="2749" t="s">
        <v>5800</v>
      </c>
      <c r="E105" s="2814" t="s">
        <v>6597</v>
      </c>
    </row>
    <row r="106" spans="1:5" s="2811" customFormat="1" ht="63.75">
      <c r="A106" s="2911" t="str">
        <f>translations!B106</f>
        <v>3.3.1. Flooded rice systems from other LU or converted to other LU (please fill step 2.LUC previously)</v>
      </c>
      <c r="B106" s="2749" t="s">
        <v>3837</v>
      </c>
      <c r="C106" s="2817" t="s">
        <v>5430</v>
      </c>
      <c r="D106" s="2749" t="s">
        <v>5801</v>
      </c>
      <c r="E106" s="2814" t="s">
        <v>6598</v>
      </c>
    </row>
    <row r="107" spans="1:5" s="2811" customFormat="1">
      <c r="A107" s="2911" t="str">
        <f>translations!B107</f>
        <v>Cultivation period (days)</v>
      </c>
      <c r="B107" s="2749" t="s">
        <v>3833</v>
      </c>
      <c r="C107" s="2814" t="s">
        <v>5117</v>
      </c>
      <c r="D107" s="2749" t="s">
        <v>5802</v>
      </c>
      <c r="E107" s="2814" t="s">
        <v>6599</v>
      </c>
    </row>
    <row r="108" spans="1:5" s="2811" customFormat="1">
      <c r="A108" s="2911" t="str">
        <f>translations!B108</f>
        <v>Water regime</v>
      </c>
      <c r="B108" s="2749" t="s">
        <v>2354</v>
      </c>
      <c r="C108" s="2814" t="s">
        <v>5118</v>
      </c>
      <c r="D108" s="2749" t="s">
        <v>5803</v>
      </c>
      <c r="E108" s="2814" t="s">
        <v>6600</v>
      </c>
    </row>
    <row r="109" spans="1:5" s="2811" customFormat="1">
      <c r="A109" s="2911" t="str">
        <f>translations!B109</f>
        <v>During the cultivation period</v>
      </c>
      <c r="B109" s="2749" t="s">
        <v>3834</v>
      </c>
      <c r="C109" s="2814" t="s">
        <v>5119</v>
      </c>
      <c r="D109" s="2749" t="s">
        <v>5804</v>
      </c>
      <c r="E109" s="2814" t="s">
        <v>6601</v>
      </c>
    </row>
    <row r="110" spans="1:5" s="2811" customFormat="1">
      <c r="A110" s="2911" t="str">
        <f>translations!B110</f>
        <v>Before the cultivation period</v>
      </c>
      <c r="B110" s="2749" t="s">
        <v>3835</v>
      </c>
      <c r="C110" s="2814" t="s">
        <v>5120</v>
      </c>
      <c r="D110" s="2749" t="s">
        <v>5805</v>
      </c>
      <c r="E110" s="2814" t="s">
        <v>6602</v>
      </c>
    </row>
    <row r="111" spans="1:5" s="2811" customFormat="1" ht="25.5">
      <c r="A111" s="2911" t="str">
        <f>translations!B111</f>
        <v>Organic amendment type (straw or other)</v>
      </c>
      <c r="B111" s="2749" t="s">
        <v>3836</v>
      </c>
      <c r="C111" s="2814" t="s">
        <v>5121</v>
      </c>
      <c r="D111" s="2749" t="s">
        <v>5806</v>
      </c>
      <c r="E111" s="2814" t="s">
        <v>6603</v>
      </c>
    </row>
    <row r="112" spans="1:5" s="2811" customFormat="1" ht="38.25">
      <c r="A112" s="2911" t="str">
        <f>translations!B112</f>
        <v>3.3.2. Flooded rice systems remaining flooded rice systems (total area must remain constant)</v>
      </c>
      <c r="B112" s="2749" t="s">
        <v>7941</v>
      </c>
      <c r="C112" s="2814" t="s">
        <v>5122</v>
      </c>
      <c r="D112" s="2749" t="s">
        <v>5807</v>
      </c>
      <c r="E112" s="2814" t="s">
        <v>6604</v>
      </c>
    </row>
    <row r="113" spans="1:5" s="2811" customFormat="1">
      <c r="A113" s="2911" t="str">
        <f>translations!B113</f>
        <v>Total Flooded Rice Systems</v>
      </c>
      <c r="B113" s="2749" t="s">
        <v>4804</v>
      </c>
      <c r="C113" s="2814" t="s">
        <v>5123</v>
      </c>
      <c r="D113" s="2749" t="s">
        <v>5808</v>
      </c>
      <c r="E113" s="2814" t="s">
        <v>6605</v>
      </c>
    </row>
    <row r="114" spans="1:5" s="2811" customFormat="1">
      <c r="A114" s="2911" t="str">
        <f>translations!B114</f>
        <v>Rice after Deforestation</v>
      </c>
      <c r="B114" s="2749" t="s">
        <v>3880</v>
      </c>
      <c r="C114" s="2817" t="s">
        <v>5438</v>
      </c>
      <c r="D114" s="2749" t="s">
        <v>5809</v>
      </c>
      <c r="E114" s="2814" t="s">
        <v>6606</v>
      </c>
    </row>
    <row r="115" spans="1:5" s="2811" customFormat="1" ht="25.5">
      <c r="A115" s="2911" t="str">
        <f>translations!B115</f>
        <v>Converted to A/R</v>
      </c>
      <c r="B115" s="2749" t="s">
        <v>3838</v>
      </c>
      <c r="C115" s="2817" t="s">
        <v>5441</v>
      </c>
      <c r="D115" s="2749" t="s">
        <v>5789</v>
      </c>
      <c r="E115" s="2814" t="s">
        <v>6607</v>
      </c>
    </row>
    <row r="116" spans="1:5" s="2811" customFormat="1">
      <c r="A116" s="2911" t="str">
        <f>translations!B116</f>
        <v>Rice after non-forest LU</v>
      </c>
      <c r="B116" s="2749" t="s">
        <v>3883</v>
      </c>
      <c r="C116" s="2817" t="s">
        <v>5439</v>
      </c>
      <c r="D116" s="2749" t="s">
        <v>5810</v>
      </c>
      <c r="E116" s="2814" t="s">
        <v>6608</v>
      </c>
    </row>
    <row r="117" spans="1:5" s="2811" customFormat="1" ht="25.5">
      <c r="A117" s="2911" t="str">
        <f>translations!B117</f>
        <v>Converted to OLUC</v>
      </c>
      <c r="B117" s="2749" t="s">
        <v>3838</v>
      </c>
      <c r="C117" s="2817" t="s">
        <v>5440</v>
      </c>
      <c r="D117" s="2749" t="s">
        <v>5791</v>
      </c>
      <c r="E117" s="2814" t="s">
        <v>6587</v>
      </c>
    </row>
    <row r="118" spans="1:5" s="2811" customFormat="1">
      <c r="A118" s="2911" t="str">
        <f>translations!B118</f>
        <v>Systems</v>
      </c>
      <c r="B118" s="2749" t="s">
        <v>3839</v>
      </c>
      <c r="C118" s="2814" t="s">
        <v>5124</v>
      </c>
      <c r="D118" s="2749" t="s">
        <v>5811</v>
      </c>
      <c r="E118" s="2814" t="s">
        <v>6609</v>
      </c>
    </row>
    <row r="119" spans="1:5" s="2811" customFormat="1">
      <c r="A119" s="2911" t="str">
        <f>translations!B119</f>
        <v>Rates of soil C sequestration</v>
      </c>
      <c r="B119" s="2749" t="s">
        <v>3840</v>
      </c>
      <c r="C119" s="2814" t="s">
        <v>5125</v>
      </c>
      <c r="D119" s="2749" t="s">
        <v>5812</v>
      </c>
      <c r="E119" s="2814" t="s">
        <v>6610</v>
      </c>
    </row>
    <row r="120" spans="1:5" s="2811" customFormat="1" ht="25.5">
      <c r="A120" s="2911" t="str">
        <f>translations!B120</f>
        <v>Residues/Biomass available for burning</v>
      </c>
      <c r="B120" s="2749" t="s">
        <v>3841</v>
      </c>
      <c r="C120" s="2814" t="s">
        <v>7436</v>
      </c>
      <c r="D120" s="2749" t="s">
        <v>5813</v>
      </c>
      <c r="E120" s="2814" t="s">
        <v>7437</v>
      </c>
    </row>
    <row r="121" spans="1:5" s="2811" customFormat="1">
      <c r="A121" s="2911" t="str">
        <f>translations!B121</f>
        <v xml:space="preserve"> (t CO2/ha/yr)</v>
      </c>
      <c r="B121" s="2749" t="s">
        <v>3842</v>
      </c>
      <c r="C121" s="2817" t="s">
        <v>5444</v>
      </c>
      <c r="D121" s="2749" t="s">
        <v>5814</v>
      </c>
      <c r="E121" s="2814" t="s">
        <v>6611</v>
      </c>
    </row>
    <row r="122" spans="1:5" s="2811" customFormat="1">
      <c r="A122" s="2911" t="str">
        <f>translations!B122</f>
        <v>(t Dry Matter per ha)</v>
      </c>
      <c r="B122" s="2749" t="s">
        <v>3843</v>
      </c>
      <c r="C122" s="2814" t="s">
        <v>5126</v>
      </c>
      <c r="D122" s="2749" t="s">
        <v>5815</v>
      </c>
      <c r="E122" s="2814" t="s">
        <v>6612</v>
      </c>
    </row>
    <row r="123" spans="1:5" s="2811" customFormat="1" ht="25.5">
      <c r="A123" s="2911" t="str">
        <f>translations!B123</f>
        <v>Annual systems from (or to) other LU</v>
      </c>
      <c r="B123" s="2749" t="s">
        <v>3844</v>
      </c>
      <c r="C123" s="2814" t="s">
        <v>5127</v>
      </c>
      <c r="D123" s="2749" t="s">
        <v>5816</v>
      </c>
      <c r="E123" s="2814" t="s">
        <v>6613</v>
      </c>
    </row>
    <row r="124" spans="1:5" s="2811" customFormat="1" ht="25.5">
      <c r="A124" s="2911" t="str">
        <f>translations!B124</f>
        <v xml:space="preserve">Annual systems remaining annual systems </v>
      </c>
      <c r="B124" s="2749" t="s">
        <v>3851</v>
      </c>
      <c r="C124" s="2814" t="s">
        <v>5128</v>
      </c>
      <c r="D124" s="2749" t="s">
        <v>5817</v>
      </c>
      <c r="E124" s="2814" t="s">
        <v>6614</v>
      </c>
    </row>
    <row r="125" spans="1:5" s="2811" customFormat="1">
      <c r="A125" s="2911" t="str">
        <f>translations!B125</f>
        <v>Growth rate (t C/ha/yr)</v>
      </c>
      <c r="B125" s="2749" t="s">
        <v>3852</v>
      </c>
      <c r="C125" s="2817" t="s">
        <v>5445</v>
      </c>
      <c r="D125" s="2749" t="s">
        <v>5818</v>
      </c>
      <c r="E125" s="2814" t="s">
        <v>6615</v>
      </c>
    </row>
    <row r="126" spans="1:5" s="2811" customFormat="1" ht="25.5">
      <c r="A126" s="2911" t="str">
        <f>translations!B126</f>
        <v>Burning (quantity of residues and periodicity)</v>
      </c>
      <c r="B126" s="2749" t="s">
        <v>3853</v>
      </c>
      <c r="C126" s="2814" t="s">
        <v>5129</v>
      </c>
      <c r="D126" s="2749" t="s">
        <v>5819</v>
      </c>
      <c r="E126" s="2814" t="s">
        <v>6616</v>
      </c>
    </row>
    <row r="127" spans="1:5" s="2811" customFormat="1">
      <c r="A127" s="2911" t="str">
        <f>translations!B127</f>
        <v>Periodicity (yr)</v>
      </c>
      <c r="B127" s="2749" t="s">
        <v>3854</v>
      </c>
      <c r="C127" s="2814" t="s">
        <v>5130</v>
      </c>
      <c r="D127" s="2749" t="s">
        <v>5820</v>
      </c>
      <c r="E127" s="2814" t="s">
        <v>6617</v>
      </c>
    </row>
    <row r="128" spans="1:5" s="2811" customFormat="1" ht="25.5">
      <c r="A128" s="2911" t="str">
        <f>translations!B128</f>
        <v>Perennial systems from (or to) other LU</v>
      </c>
      <c r="B128" s="2749" t="s">
        <v>3855</v>
      </c>
      <c r="C128" s="2814" t="s">
        <v>5131</v>
      </c>
      <c r="D128" s="2749" t="s">
        <v>5821</v>
      </c>
      <c r="E128" s="2814" t="s">
        <v>6618</v>
      </c>
    </row>
    <row r="129" spans="1:5" s="2811" customFormat="1" ht="25.5">
      <c r="A129" s="2911" t="str">
        <f>translations!B129</f>
        <v>Perennial syst. remaining perennial syst.</v>
      </c>
      <c r="B129" s="2749" t="s">
        <v>3856</v>
      </c>
      <c r="C129" s="2814" t="s">
        <v>5132</v>
      </c>
      <c r="D129" s="2749" t="s">
        <v>5822</v>
      </c>
      <c r="E129" s="2814" t="s">
        <v>6619</v>
      </c>
    </row>
    <row r="130" spans="1:5" s="2811" customFormat="1">
      <c r="A130" s="2911" t="str">
        <f>translations!B130</f>
        <v>Amount of Straw burned</v>
      </c>
      <c r="B130" s="2749" t="s">
        <v>3857</v>
      </c>
      <c r="C130" s="2814" t="s">
        <v>5133</v>
      </c>
      <c r="D130" s="2749" t="s">
        <v>5823</v>
      </c>
      <c r="E130" s="2814" t="s">
        <v>6620</v>
      </c>
    </row>
    <row r="131" spans="1:5" s="2811" customFormat="1" ht="25.5">
      <c r="A131" s="2911" t="str">
        <f>translations!B131</f>
        <v>Rice systems from (or to) other LU</v>
      </c>
      <c r="B131" s="2749" t="s">
        <v>3859</v>
      </c>
      <c r="C131" s="2814" t="s">
        <v>5134</v>
      </c>
      <c r="D131" s="2749" t="s">
        <v>5824</v>
      </c>
      <c r="E131" s="2814" t="s">
        <v>6621</v>
      </c>
    </row>
    <row r="132" spans="1:5" s="2811" customFormat="1" ht="25.5">
      <c r="A132" s="2911" t="str">
        <f>translations!B132</f>
        <v>Rice syst. remaining rice syst.</v>
      </c>
      <c r="B132" s="2749" t="s">
        <v>3858</v>
      </c>
      <c r="C132" s="2814" t="s">
        <v>5135</v>
      </c>
      <c r="D132" s="2749" t="s">
        <v>5825</v>
      </c>
      <c r="E132" s="2814" t="s">
        <v>6622</v>
      </c>
    </row>
    <row r="133" spans="1:5" s="2811" customFormat="1" ht="38.25">
      <c r="A133" s="2911" t="str">
        <f>translations!B133</f>
        <v>Water regime prior to rice cultivation (schematic presentation showing flooded periods as shaded)</v>
      </c>
      <c r="B133" s="2749" t="s">
        <v>3860</v>
      </c>
      <c r="C133" s="2814" t="s">
        <v>5136</v>
      </c>
      <c r="D133" s="2749" t="s">
        <v>5826</v>
      </c>
      <c r="E133" s="2814" t="s">
        <v>6623</v>
      </c>
    </row>
    <row r="134" spans="1:5" s="2811" customFormat="1">
      <c r="A134" s="2911" t="str">
        <f>translations!B134</f>
        <v>Non flooded preseason &lt;180 d</v>
      </c>
      <c r="B134" s="2749" t="s">
        <v>2466</v>
      </c>
      <c r="C134" s="2814" t="s">
        <v>5137</v>
      </c>
      <c r="D134" s="2749" t="s">
        <v>5827</v>
      </c>
      <c r="E134" s="2814" t="s">
        <v>6624</v>
      </c>
    </row>
    <row r="135" spans="1:5" s="2811" customFormat="1">
      <c r="A135" s="2911" t="str">
        <f>translations!B135</f>
        <v>Non flooded preseason &gt;180 d</v>
      </c>
      <c r="B135" s="2749" t="s">
        <v>2467</v>
      </c>
      <c r="C135" s="2814" t="s">
        <v>5138</v>
      </c>
      <c r="D135" s="2749" t="s">
        <v>5828</v>
      </c>
      <c r="E135" s="2814" t="s">
        <v>6625</v>
      </c>
    </row>
    <row r="136" spans="1:5" s="2811" customFormat="1">
      <c r="A136" s="2911" t="str">
        <f>translations!B136</f>
        <v>Flooded preseason (&gt;30 d)</v>
      </c>
      <c r="B136" s="2749" t="s">
        <v>2468</v>
      </c>
      <c r="C136" s="2814" t="s">
        <v>5139</v>
      </c>
      <c r="D136" s="2749" t="s">
        <v>5829</v>
      </c>
      <c r="E136" s="2814" t="s">
        <v>6626</v>
      </c>
    </row>
    <row r="137" spans="1:5" s="2811" customFormat="1">
      <c r="A137" s="2911" t="str">
        <f>translations!B137</f>
        <v>Management options</v>
      </c>
      <c r="B137" s="2749" t="s">
        <v>3861</v>
      </c>
      <c r="C137" s="2814" t="s">
        <v>5140</v>
      </c>
      <c r="D137" s="3578" t="s">
        <v>5830</v>
      </c>
      <c r="E137" s="2814" t="s">
        <v>6627</v>
      </c>
    </row>
    <row r="138" spans="1:5" s="2811" customFormat="1">
      <c r="A138" s="2911" t="str">
        <f>translations!B138</f>
        <v>(t/ha/yr)</v>
      </c>
      <c r="B138" s="2749" t="s">
        <v>3862</v>
      </c>
      <c r="C138" s="2817" t="s">
        <v>5446</v>
      </c>
      <c r="D138" s="2749" t="s">
        <v>5831</v>
      </c>
      <c r="E138" s="2814" t="s">
        <v>6628</v>
      </c>
    </row>
    <row r="139" spans="1:5" s="2811" customFormat="1" ht="25.5">
      <c r="A139" s="2911" t="str">
        <f>translations!B139</f>
        <v>Definitions of land management options</v>
      </c>
      <c r="B139" s="2749" t="s">
        <v>3863</v>
      </c>
      <c r="C139" s="2814" t="s">
        <v>5141</v>
      </c>
      <c r="D139" s="2749" t="s">
        <v>5832</v>
      </c>
      <c r="E139" s="2814" t="s">
        <v>6629</v>
      </c>
    </row>
    <row r="140" spans="1:5" s="2811" customFormat="1" ht="38.25">
      <c r="A140" s="2911" t="str">
        <f>translations!B140</f>
        <v>Using improved varieties, extending crop rotation, increasing crop residues.</v>
      </c>
      <c r="B140" s="2749" t="s">
        <v>3864</v>
      </c>
      <c r="C140" s="2814" t="s">
        <v>5142</v>
      </c>
      <c r="D140" s="2749" t="s">
        <v>5833</v>
      </c>
      <c r="E140" s="2814" t="s">
        <v>7438</v>
      </c>
    </row>
    <row r="141" spans="1:5" s="2811" customFormat="1" ht="51">
      <c r="A141" s="2911" t="str">
        <f>translations!B141</f>
        <v>Improve N use efficiency &amp; decrease N losses: Microdosing, adjusted application rate, timing &amp; location…</v>
      </c>
      <c r="B141" s="2749" t="s">
        <v>3865</v>
      </c>
      <c r="C141" s="2814" t="s">
        <v>5143</v>
      </c>
      <c r="D141" s="2749" t="s">
        <v>5834</v>
      </c>
      <c r="E141" s="2814" t="s">
        <v>6630</v>
      </c>
    </row>
    <row r="142" spans="1:5" s="2811" customFormat="1" ht="63.75">
      <c r="A142" s="2911" t="str">
        <f>translations!B142</f>
        <v>Adoption of reduced, minimum or zero tillage, with or without mulching, including Conservation Agriculture.</v>
      </c>
      <c r="B142" s="2749" t="s">
        <v>3866</v>
      </c>
      <c r="C142" s="2814" t="s">
        <v>5144</v>
      </c>
      <c r="D142" s="2749" t="s">
        <v>5835</v>
      </c>
      <c r="E142" s="2814" t="s">
        <v>6631</v>
      </c>
    </row>
    <row r="143" spans="1:5" s="2811" customFormat="1" ht="25.5">
      <c r="A143" s="2911" t="str">
        <f>translations!B143</f>
        <v>Effective irrigation measure.</v>
      </c>
      <c r="B143" s="2749" t="s">
        <v>3867</v>
      </c>
      <c r="C143" s="2814" t="s">
        <v>5145</v>
      </c>
      <c r="D143" s="2749" t="s">
        <v>5836</v>
      </c>
      <c r="E143" s="2814" t="s">
        <v>6632</v>
      </c>
    </row>
    <row r="144" spans="1:5" s="2811" customFormat="1" ht="38.25">
      <c r="A144" s="2911" t="str">
        <f>translations!B144</f>
        <v>Manure or Biosolids application to the field as input.</v>
      </c>
      <c r="B144" s="2749" t="s">
        <v>3868</v>
      </c>
      <c r="C144" s="2814" t="s">
        <v>5146</v>
      </c>
      <c r="D144" s="2749" t="s">
        <v>5837</v>
      </c>
      <c r="E144" s="2814" t="s">
        <v>7439</v>
      </c>
    </row>
    <row r="145" spans="1:5" s="2709" customFormat="1">
      <c r="A145" s="2752" t="str">
        <f>translations!B145</f>
        <v>English</v>
      </c>
      <c r="B145" s="2580" t="str">
        <f>B1</f>
        <v>Português</v>
      </c>
      <c r="C145" s="2812" t="s">
        <v>5057</v>
      </c>
      <c r="D145" s="3267" t="s">
        <v>5723</v>
      </c>
      <c r="E145" s="2812" t="s">
        <v>6520</v>
      </c>
    </row>
    <row r="146" spans="1:5" s="2811" customFormat="1">
      <c r="A146" s="2911" t="str">
        <f>translations!B146</f>
        <v>4.1. Grassland systems</v>
      </c>
      <c r="B146" s="2749" t="s">
        <v>3869</v>
      </c>
      <c r="C146" s="2814" t="s">
        <v>4902</v>
      </c>
      <c r="D146" s="2749" t="s">
        <v>5838</v>
      </c>
      <c r="E146" s="2814" t="s">
        <v>6633</v>
      </c>
    </row>
    <row r="147" spans="1:5" s="2811" customFormat="1" ht="51">
      <c r="A147" s="2911" t="str">
        <f>translations!B147</f>
        <v>4.1.1. Grassland systems from other LU or converted to other LU (please fill step 2.LUC previously)</v>
      </c>
      <c r="B147" s="2749" t="s">
        <v>3870</v>
      </c>
      <c r="C147" s="2814" t="s">
        <v>5147</v>
      </c>
      <c r="D147" s="2749" t="s">
        <v>5839</v>
      </c>
      <c r="E147" s="2814" t="s">
        <v>6634</v>
      </c>
    </row>
    <row r="148" spans="1:5" s="2811" customFormat="1" ht="38.25">
      <c r="A148" s="2911" t="str">
        <f>translations!B148</f>
        <v>4.1.2. Grassland systems remaining grassland systems (total area must remain contant)</v>
      </c>
      <c r="B148" s="2749" t="s">
        <v>3871</v>
      </c>
      <c r="C148" s="2814" t="s">
        <v>5148</v>
      </c>
      <c r="D148" s="2749" t="s">
        <v>5840</v>
      </c>
      <c r="E148" s="2814" t="s">
        <v>6635</v>
      </c>
    </row>
    <row r="149" spans="1:5" s="2811" customFormat="1">
      <c r="A149" s="2911" t="str">
        <f>translations!B149</f>
        <v>Initial State</v>
      </c>
      <c r="B149" s="2749" t="s">
        <v>3872</v>
      </c>
      <c r="C149" s="2817" t="s">
        <v>5457</v>
      </c>
      <c r="D149" s="2749" t="s">
        <v>5841</v>
      </c>
      <c r="E149" s="2814" t="s">
        <v>6636</v>
      </c>
    </row>
    <row r="150" spans="1:5" s="2811" customFormat="1">
      <c r="A150" s="2911" t="str">
        <f>translations!B150</f>
        <v>Fire use to manage?</v>
      </c>
      <c r="B150" s="2749" t="s">
        <v>3873</v>
      </c>
      <c r="C150" s="2814" t="s">
        <v>5149</v>
      </c>
      <c r="D150" s="2749" t="s">
        <v>5842</v>
      </c>
      <c r="E150" s="2814" t="s">
        <v>7440</v>
      </c>
    </row>
    <row r="151" spans="1:5" s="2811" customFormat="1">
      <c r="A151" s="2911" t="str">
        <f>translations!B151</f>
        <v>Total Emissions</v>
      </c>
      <c r="B151" s="2749" t="s">
        <v>3874</v>
      </c>
      <c r="C151" s="2814" t="s">
        <v>5150</v>
      </c>
      <c r="D151" s="2749" t="s">
        <v>5843</v>
      </c>
      <c r="E151" s="2814" t="s">
        <v>6637</v>
      </c>
    </row>
    <row r="152" spans="1:5" s="2811" customFormat="1">
      <c r="A152" s="2911" t="str">
        <f>translations!B152</f>
        <v>(year)</v>
      </c>
      <c r="B152" s="2749" t="s">
        <v>3875</v>
      </c>
      <c r="C152" s="2814" t="s">
        <v>5151</v>
      </c>
      <c r="D152" s="2749" t="s">
        <v>5844</v>
      </c>
      <c r="E152" s="2814" t="s">
        <v>6638</v>
      </c>
    </row>
    <row r="153" spans="1:5" s="2811" customFormat="1">
      <c r="A153" s="2911" t="str">
        <f>translations!B153</f>
        <v>Periodicity</v>
      </c>
      <c r="B153" s="2749" t="s">
        <v>3876</v>
      </c>
      <c r="C153" s="2814" t="s">
        <v>5152</v>
      </c>
      <c r="D153" s="2749" t="s">
        <v>5845</v>
      </c>
      <c r="E153" s="2814" t="s">
        <v>6639</v>
      </c>
    </row>
    <row r="154" spans="1:5" s="2811" customFormat="1">
      <c r="A154" s="2911" t="str">
        <f>translations!B154</f>
        <v>Without project</v>
      </c>
      <c r="B154" s="2749" t="s">
        <v>3877</v>
      </c>
      <c r="C154" s="2814" t="s">
        <v>5153</v>
      </c>
      <c r="D154" s="2749" t="s">
        <v>5846</v>
      </c>
      <c r="E154" s="2814" t="s">
        <v>6547</v>
      </c>
    </row>
    <row r="155" spans="1:5" s="2811" customFormat="1">
      <c r="A155" s="2911" t="str">
        <f>translations!B155</f>
        <v>With project</v>
      </c>
      <c r="B155" s="2749" t="s">
        <v>3878</v>
      </c>
      <c r="C155" s="2814" t="s">
        <v>5154</v>
      </c>
      <c r="D155" s="2749" t="s">
        <v>5847</v>
      </c>
      <c r="E155" s="2814" t="s">
        <v>6548</v>
      </c>
    </row>
    <row r="156" spans="1:5" s="2811" customFormat="1">
      <c r="A156" s="2911" t="str">
        <f>translations!B156</f>
        <v>Grassland after Deforestation</v>
      </c>
      <c r="B156" s="2749" t="s">
        <v>3879</v>
      </c>
      <c r="C156" s="2817" t="s">
        <v>5452</v>
      </c>
      <c r="D156" s="2749" t="s">
        <v>5848</v>
      </c>
      <c r="E156" s="2814" t="s">
        <v>6640</v>
      </c>
    </row>
    <row r="157" spans="1:5" s="2811" customFormat="1">
      <c r="A157" s="2911" t="str">
        <f>translations!B157</f>
        <v>Converted to A/R</v>
      </c>
      <c r="B157" s="2749" t="s">
        <v>3881</v>
      </c>
      <c r="C157" s="2817" t="s">
        <v>5453</v>
      </c>
      <c r="D157" s="2749" t="s">
        <v>5789</v>
      </c>
      <c r="E157" s="2814" t="s">
        <v>6585</v>
      </c>
    </row>
    <row r="158" spans="1:5" s="2811" customFormat="1">
      <c r="A158" s="2911" t="str">
        <f>translations!B158</f>
        <v>Grassland after non-forest LU</v>
      </c>
      <c r="B158" s="2749" t="s">
        <v>3882</v>
      </c>
      <c r="C158" s="2817" t="s">
        <v>5454</v>
      </c>
      <c r="D158" s="2749" t="s">
        <v>5849</v>
      </c>
      <c r="E158" s="2814" t="s">
        <v>6641</v>
      </c>
    </row>
    <row r="159" spans="1:5" s="2811" customFormat="1" ht="25.5">
      <c r="A159" s="2911" t="str">
        <f>translations!B159</f>
        <v>Converted to OLUC</v>
      </c>
      <c r="B159" s="2749" t="s">
        <v>3881</v>
      </c>
      <c r="C159" s="2817" t="s">
        <v>5455</v>
      </c>
      <c r="D159" s="2749" t="s">
        <v>5791</v>
      </c>
      <c r="E159" s="2814" t="s">
        <v>6587</v>
      </c>
    </row>
    <row r="160" spans="1:5" s="2811" customFormat="1">
      <c r="A160" s="2911" t="str">
        <f>translations!B160</f>
        <v>Final state of the grassland</v>
      </c>
      <c r="B160" s="2749" t="s">
        <v>3884</v>
      </c>
      <c r="C160" s="2814" t="s">
        <v>5155</v>
      </c>
      <c r="D160" s="2749" t="s">
        <v>5850</v>
      </c>
      <c r="E160" s="2814" t="s">
        <v>7441</v>
      </c>
    </row>
    <row r="161" spans="1:5" s="2811" customFormat="1">
      <c r="A161" s="2911" t="str">
        <f>translations!B161</f>
        <v>(tCO2-eq)</v>
      </c>
      <c r="B161" s="2749" t="s">
        <v>1878</v>
      </c>
      <c r="C161" s="2814" t="s">
        <v>1878</v>
      </c>
      <c r="D161" s="2749" t="s">
        <v>1878</v>
      </c>
      <c r="E161" s="2814" t="s">
        <v>6642</v>
      </c>
    </row>
    <row r="162" spans="1:5" s="2811" customFormat="1">
      <c r="A162" s="2911" t="str">
        <f>translations!B162</f>
        <v>Total Grassland Systems</v>
      </c>
      <c r="B162" s="2749" t="s">
        <v>3885</v>
      </c>
      <c r="C162" s="2814" t="s">
        <v>5156</v>
      </c>
      <c r="D162" s="2749" t="s">
        <v>5851</v>
      </c>
      <c r="E162" s="2814" t="s">
        <v>6643</v>
      </c>
    </row>
    <row r="163" spans="1:5" s="2811" customFormat="1">
      <c r="A163" s="2911" t="str">
        <f>translations!B163</f>
        <v>4.2. Livestock (and manure management)</v>
      </c>
      <c r="B163" s="2749" t="s">
        <v>3907</v>
      </c>
      <c r="C163" s="2814" t="s">
        <v>5157</v>
      </c>
      <c r="D163" s="2749" t="s">
        <v>5852</v>
      </c>
      <c r="E163" s="2814" t="s">
        <v>6644</v>
      </c>
    </row>
    <row r="164" spans="1:5" s="2811" customFormat="1">
      <c r="A164" s="2911" t="str">
        <f>translations!B164</f>
        <v>Livestock categories</v>
      </c>
      <c r="B164" s="2749" t="s">
        <v>3886</v>
      </c>
      <c r="C164" s="2814" t="s">
        <v>5158</v>
      </c>
      <c r="D164" s="2749" t="s">
        <v>5853</v>
      </c>
      <c r="E164" s="2814" t="s">
        <v>6645</v>
      </c>
    </row>
    <row r="165" spans="1:5" s="2811" customFormat="1">
      <c r="A165" s="2911" t="str">
        <f>translations!B165</f>
        <v>Head number (mean per year)</v>
      </c>
      <c r="B165" s="2749" t="s">
        <v>3887</v>
      </c>
      <c r="C165" s="2814" t="s">
        <v>5159</v>
      </c>
      <c r="D165" s="2749" t="s">
        <v>5854</v>
      </c>
      <c r="E165" s="2814" t="s">
        <v>6646</v>
      </c>
    </row>
    <row r="166" spans="1:5" s="2811" customFormat="1">
      <c r="A166" s="2911" t="str">
        <f>translations!B166</f>
        <v>Technical mitigation option (%)</v>
      </c>
      <c r="B166" s="2749" t="s">
        <v>3888</v>
      </c>
      <c r="C166" s="2814" t="s">
        <v>5160</v>
      </c>
      <c r="D166" s="2749" t="s">
        <v>5855</v>
      </c>
      <c r="E166" s="2814" t="s">
        <v>6647</v>
      </c>
    </row>
    <row r="167" spans="1:5" s="2811" customFormat="1">
      <c r="A167" s="2911" t="str">
        <f>translations!B167</f>
        <v xml:space="preserve">Production  (meat, milk, etc) </v>
      </c>
      <c r="B167" s="2749" t="s">
        <v>3889</v>
      </c>
      <c r="C167" s="2814" t="s">
        <v>5161</v>
      </c>
      <c r="D167" s="2749" t="s">
        <v>5856</v>
      </c>
      <c r="E167" s="2814" t="s">
        <v>6648</v>
      </c>
    </row>
    <row r="168" spans="1:5" s="2811" customFormat="1">
      <c r="A168" s="2911" t="str">
        <f>translations!B168</f>
        <v>Feeding practices*</v>
      </c>
      <c r="B168" s="2749" t="s">
        <v>3890</v>
      </c>
      <c r="C168" s="2814" t="s">
        <v>5162</v>
      </c>
      <c r="D168" s="2749" t="s">
        <v>5857</v>
      </c>
      <c r="E168" s="2814" t="s">
        <v>6649</v>
      </c>
    </row>
    <row r="169" spans="1:5" s="2811" customFormat="1">
      <c r="A169" s="2911" t="str">
        <f>translations!B169</f>
        <v>Specific Agents*</v>
      </c>
      <c r="B169" s="2749" t="s">
        <v>3891</v>
      </c>
      <c r="C169" s="2814" t="s">
        <v>5163</v>
      </c>
      <c r="D169" s="2749" t="s">
        <v>5858</v>
      </c>
      <c r="E169" s="2814" t="s">
        <v>6650</v>
      </c>
    </row>
    <row r="170" spans="1:5" s="2811" customFormat="1">
      <c r="A170" s="2911" t="str">
        <f>translations!B170</f>
        <v>Breeding*</v>
      </c>
      <c r="B170" s="2749" t="s">
        <v>3892</v>
      </c>
      <c r="C170" s="2814" t="s">
        <v>5164</v>
      </c>
      <c r="D170" s="2749" t="s">
        <v>5859</v>
      </c>
      <c r="E170" s="2814" t="s">
        <v>6651</v>
      </c>
    </row>
    <row r="171" spans="1:5" s="2811" customFormat="1">
      <c r="A171" s="2911" t="str">
        <f>translations!B171</f>
        <v>in tonnes of product per year</v>
      </c>
      <c r="B171" s="2749" t="s">
        <v>3893</v>
      </c>
      <c r="C171" s="2814" t="s">
        <v>5165</v>
      </c>
      <c r="D171" s="2749" t="s">
        <v>5860</v>
      </c>
      <c r="E171" s="2814" t="s">
        <v>6652</v>
      </c>
    </row>
    <row r="172" spans="1:5" s="2811" customFormat="1">
      <c r="A172" s="2911" t="str">
        <f>translations!B172</f>
        <v>Dairy cattle</v>
      </c>
      <c r="B172" s="2749" t="s">
        <v>3895</v>
      </c>
      <c r="C172" s="2814" t="s">
        <v>5166</v>
      </c>
      <c r="D172" s="2749" t="s">
        <v>5861</v>
      </c>
      <c r="E172" s="2814" t="s">
        <v>6653</v>
      </c>
    </row>
    <row r="173" spans="1:5" s="2811" customFormat="1">
      <c r="A173" s="2911" t="str">
        <f>translations!B173</f>
        <v>Other cattle</v>
      </c>
      <c r="B173" s="2749" t="s">
        <v>3894</v>
      </c>
      <c r="C173" s="2814" t="s">
        <v>5167</v>
      </c>
      <c r="D173" s="2749" t="s">
        <v>5862</v>
      </c>
      <c r="E173" s="2814" t="s">
        <v>6654</v>
      </c>
    </row>
    <row r="174" spans="1:5" s="2811" customFormat="1">
      <c r="A174" s="2911" t="str">
        <f>translations!B174</f>
        <v>Buffalo</v>
      </c>
      <c r="B174" s="2749" t="s">
        <v>3896</v>
      </c>
      <c r="C174" s="2814" t="s">
        <v>5168</v>
      </c>
      <c r="D174" s="2749" t="s">
        <v>5863</v>
      </c>
      <c r="E174" s="2814" t="s">
        <v>6655</v>
      </c>
    </row>
    <row r="175" spans="1:5" s="2811" customFormat="1">
      <c r="A175" s="2911" t="str">
        <f>translations!B175</f>
        <v>Sheep</v>
      </c>
      <c r="B175" s="2749" t="s">
        <v>3897</v>
      </c>
      <c r="C175" s="2814" t="s">
        <v>5169</v>
      </c>
      <c r="D175" s="2749" t="s">
        <v>5864</v>
      </c>
      <c r="E175" s="2814" t="s">
        <v>6656</v>
      </c>
    </row>
    <row r="176" spans="1:5" s="2811" customFormat="1">
      <c r="A176" s="2911" t="str">
        <f>translations!B176</f>
        <v>Swine (Market)</v>
      </c>
      <c r="B176" s="2749" t="s">
        <v>3898</v>
      </c>
      <c r="C176" s="2814" t="s">
        <v>5170</v>
      </c>
      <c r="D176" s="2749" t="s">
        <v>5865</v>
      </c>
      <c r="E176" s="2814" t="s">
        <v>7442</v>
      </c>
    </row>
    <row r="177" spans="1:5" s="2811" customFormat="1">
      <c r="A177" s="2911" t="str">
        <f>translations!B177</f>
        <v>Swine (Breeding)</v>
      </c>
      <c r="B177" s="2749" t="s">
        <v>3899</v>
      </c>
      <c r="C177" s="2814" t="s">
        <v>5171</v>
      </c>
      <c r="D177" s="2749" t="s">
        <v>5866</v>
      </c>
      <c r="E177" s="2814" t="s">
        <v>7443</v>
      </c>
    </row>
    <row r="178" spans="1:5" s="2811" customFormat="1" ht="51">
      <c r="A178" s="2911" t="str">
        <f>translations!B178</f>
        <v>Feeding practices: e.g. more concentrates, adding certain oils or oilseeds to the diet, improving pasture quality,…</v>
      </c>
      <c r="B178" s="2749" t="s">
        <v>3900</v>
      </c>
      <c r="C178" s="2814" t="s">
        <v>5172</v>
      </c>
      <c r="D178" s="2749" t="s">
        <v>5867</v>
      </c>
      <c r="E178" s="2814" t="s">
        <v>6657</v>
      </c>
    </row>
    <row r="179" spans="1:5" s="2811" customFormat="1" ht="63.75">
      <c r="A179" s="2911" t="str">
        <f>translations!B179</f>
        <v>Specific agents: specific agents and dietary additives to reduces CH4 emisisons (Ionophores, vaccines, bST…)</v>
      </c>
      <c r="B179" s="2749" t="s">
        <v>3901</v>
      </c>
      <c r="C179" s="2814" t="s">
        <v>5173</v>
      </c>
      <c r="D179" s="2749" t="s">
        <v>5868</v>
      </c>
      <c r="E179" s="2814" t="s">
        <v>6658</v>
      </c>
    </row>
    <row r="180" spans="1:5" s="2811" customFormat="1" ht="51">
      <c r="A180" s="2911" t="str">
        <f>translations!B180</f>
        <v>Breeding: increasing productivity through breeding and better management practices (reduction in the number of replacement heifers)</v>
      </c>
      <c r="B180" s="2749" t="s">
        <v>3902</v>
      </c>
      <c r="C180" s="2814" t="s">
        <v>5174</v>
      </c>
      <c r="D180" s="2749" t="s">
        <v>5869</v>
      </c>
      <c r="E180" s="2814" t="s">
        <v>6659</v>
      </c>
    </row>
    <row r="181" spans="1:5" s="2811" customFormat="1">
      <c r="A181" s="2911" t="str">
        <f>translations!B181</f>
        <v>Total Livestock</v>
      </c>
      <c r="B181" s="2749" t="s">
        <v>3903</v>
      </c>
      <c r="C181" s="2814" t="s">
        <v>5175</v>
      </c>
      <c r="D181" s="2749" t="s">
        <v>5870</v>
      </c>
      <c r="E181" s="2814" t="s">
        <v>6660</v>
      </c>
    </row>
    <row r="182" spans="1:5" s="2811" customFormat="1">
      <c r="A182" s="2911" t="str">
        <f>translations!B182</f>
        <v>Corresponding soil C stocks</v>
      </c>
      <c r="B182" s="2749" t="s">
        <v>3904</v>
      </c>
      <c r="C182" s="2814" t="s">
        <v>5176</v>
      </c>
      <c r="D182" s="2749" t="s">
        <v>5871</v>
      </c>
      <c r="E182" s="2814" t="s">
        <v>6661</v>
      </c>
    </row>
    <row r="183" spans="1:5" s="2811" customFormat="1">
      <c r="A183" s="2911" t="str">
        <f>translations!B183</f>
        <v>Non degraded</v>
      </c>
      <c r="B183" s="2749" t="s">
        <v>2486</v>
      </c>
      <c r="C183" s="2814" t="s">
        <v>4940</v>
      </c>
      <c r="D183" s="2749" t="s">
        <v>5872</v>
      </c>
      <c r="E183" s="2814" t="s">
        <v>6662</v>
      </c>
    </row>
    <row r="184" spans="1:5" s="2811" customFormat="1">
      <c r="A184" s="2911" t="str">
        <f>translations!B184</f>
        <v>Severely Degraded</v>
      </c>
      <c r="B184" s="2749" t="s">
        <v>2487</v>
      </c>
      <c r="C184" s="2814" t="s">
        <v>4941</v>
      </c>
      <c r="D184" s="2749" t="s">
        <v>5873</v>
      </c>
      <c r="E184" s="2814" t="s">
        <v>6663</v>
      </c>
    </row>
    <row r="185" spans="1:5" s="2811" customFormat="1">
      <c r="A185" s="2911" t="str">
        <f>translations!B185</f>
        <v>Moderately Degraded</v>
      </c>
      <c r="B185" s="2749" t="s">
        <v>2488</v>
      </c>
      <c r="C185" s="2814" t="s">
        <v>5177</v>
      </c>
      <c r="D185" s="2749" t="s">
        <v>5874</v>
      </c>
      <c r="E185" s="2814" t="s">
        <v>6664</v>
      </c>
    </row>
    <row r="186" spans="1:5" s="2811" customFormat="1">
      <c r="A186" s="2911" t="str">
        <f>translations!B186</f>
        <v>Improved without inputs management</v>
      </c>
      <c r="B186" s="2749" t="s">
        <v>2485</v>
      </c>
      <c r="C186" s="2814" t="s">
        <v>4943</v>
      </c>
      <c r="D186" s="2749" t="s">
        <v>5875</v>
      </c>
      <c r="E186" s="2814" t="s">
        <v>6665</v>
      </c>
    </row>
    <row r="187" spans="1:5" s="2811" customFormat="1">
      <c r="A187" s="2911" t="str">
        <f>translations!B187</f>
        <v>Improved with inputs improvement</v>
      </c>
      <c r="B187" s="2749" t="s">
        <v>2489</v>
      </c>
      <c r="C187" s="2814" t="s">
        <v>4944</v>
      </c>
      <c r="D187" s="2749" t="s">
        <v>5876</v>
      </c>
      <c r="E187" s="2814" t="s">
        <v>6666</v>
      </c>
    </row>
    <row r="188" spans="1:5" s="2811" customFormat="1">
      <c r="A188" s="2911" t="str">
        <f>translations!B188</f>
        <v>Combustion</v>
      </c>
      <c r="B188" s="2749" t="s">
        <v>3905</v>
      </c>
      <c r="C188" s="2814" t="s">
        <v>5178</v>
      </c>
      <c r="D188" s="2749" t="s">
        <v>5877</v>
      </c>
      <c r="E188" s="2814" t="s">
        <v>6667</v>
      </c>
    </row>
    <row r="189" spans="1:5" s="2811" customFormat="1">
      <c r="A189" s="2911" t="str">
        <f>translations!B189</f>
        <v>(tC/ha)</v>
      </c>
      <c r="B189" s="2749" t="s">
        <v>1909</v>
      </c>
      <c r="C189" s="2814" t="s">
        <v>1909</v>
      </c>
      <c r="D189" s="2749" t="s">
        <v>1909</v>
      </c>
      <c r="E189" s="2814" t="s">
        <v>1909</v>
      </c>
    </row>
    <row r="190" spans="1:5" s="2811" customFormat="1" ht="25.5">
      <c r="A190" s="2911" t="str">
        <f>translations!B190</f>
        <v>% of pre-fire drymatter released</v>
      </c>
      <c r="B190" s="2749" t="s">
        <v>3906</v>
      </c>
      <c r="C190" s="2814" t="s">
        <v>5179</v>
      </c>
      <c r="D190" s="2749" t="s">
        <v>5878</v>
      </c>
      <c r="E190" s="2814" t="s">
        <v>6668</v>
      </c>
    </row>
    <row r="191" spans="1:5" s="2811" customFormat="1" ht="25.5">
      <c r="A191" s="2911" t="str">
        <f>translations!B191</f>
        <v>Mean annual temperature (MAT) of the region (in °C)</v>
      </c>
      <c r="B191" s="2749" t="s">
        <v>4675</v>
      </c>
      <c r="C191" s="2814" t="s">
        <v>5180</v>
      </c>
      <c r="D191" s="2749" t="s">
        <v>5879</v>
      </c>
      <c r="E191" s="2814" t="s">
        <v>6669</v>
      </c>
    </row>
    <row r="192" spans="1:5" s="2811" customFormat="1" ht="25.5">
      <c r="A192" s="2911" t="str">
        <f>translations!B192</f>
        <v>(temperature affect emissions from manure management)</v>
      </c>
      <c r="B192" s="2749" t="s">
        <v>4674</v>
      </c>
      <c r="C192" s="2814" t="s">
        <v>5181</v>
      </c>
      <c r="D192" s="2749" t="s">
        <v>5880</v>
      </c>
      <c r="E192" s="2814" t="s">
        <v>6670</v>
      </c>
    </row>
    <row r="193" spans="1:5" s="2811" customFormat="1">
      <c r="A193" s="2911" t="str">
        <f>translations!B193</f>
        <v>Region "type"</v>
      </c>
      <c r="B193" s="2749" t="s">
        <v>3908</v>
      </c>
      <c r="C193" s="2814" t="s">
        <v>5182</v>
      </c>
      <c r="D193" s="2749" t="s">
        <v>5881</v>
      </c>
      <c r="E193" s="2814" t="s">
        <v>6671</v>
      </c>
    </row>
    <row r="194" spans="1:5" s="2811" customFormat="1">
      <c r="A194" s="2911" t="str">
        <f>translations!B194</f>
        <v>(please select if possible)</v>
      </c>
      <c r="B194" s="2749" t="s">
        <v>3909</v>
      </c>
      <c r="C194" s="2814" t="s">
        <v>5183</v>
      </c>
      <c r="D194" s="2749" t="s">
        <v>5882</v>
      </c>
      <c r="E194" s="2814" t="s">
        <v>6672</v>
      </c>
    </row>
    <row r="195" spans="1:5" s="2811" customFormat="1" ht="25.5">
      <c r="A195" s="2911" t="str">
        <f>translations!B195</f>
        <v>Emission factors for N2O from manure</v>
      </c>
      <c r="B195" s="2749" t="s">
        <v>3910</v>
      </c>
      <c r="C195" s="2814" t="s">
        <v>5184</v>
      </c>
      <c r="D195" s="2749" t="s">
        <v>5883</v>
      </c>
      <c r="E195" s="2814" t="s">
        <v>6673</v>
      </c>
    </row>
    <row r="196" spans="1:5" s="2811" customFormat="1">
      <c r="A196" s="2911" t="str">
        <f>translations!B196</f>
        <v>(kg N-N2O/kg N)</v>
      </c>
      <c r="B196" s="2749" t="s">
        <v>1918</v>
      </c>
      <c r="C196" s="2814" t="s">
        <v>1918</v>
      </c>
      <c r="D196" s="2749" t="s">
        <v>1918</v>
      </c>
      <c r="E196" s="2814" t="s">
        <v>1918</v>
      </c>
    </row>
    <row r="197" spans="1:5" s="2811" customFormat="1">
      <c r="A197" s="2911" t="str">
        <f>translations!B197</f>
        <v>Pasture, range and paddock</v>
      </c>
      <c r="B197" s="2911" t="s">
        <v>3911</v>
      </c>
      <c r="C197" s="2814" t="s">
        <v>5185</v>
      </c>
      <c r="D197" s="2749" t="s">
        <v>5884</v>
      </c>
      <c r="E197" s="2814" t="s">
        <v>6674</v>
      </c>
    </row>
    <row r="198" spans="1:5" s="2811" customFormat="1">
      <c r="A198" s="2911" t="str">
        <f>translations!B198</f>
        <v>Other</v>
      </c>
      <c r="B198" s="2749" t="s">
        <v>3912</v>
      </c>
      <c r="C198" s="2814" t="s">
        <v>5186</v>
      </c>
      <c r="D198" s="2749" t="s">
        <v>5885</v>
      </c>
      <c r="E198" s="2814" t="s">
        <v>6675</v>
      </c>
    </row>
    <row r="199" spans="1:5" s="2811" customFormat="1">
      <c r="A199" s="2911" t="str">
        <f>translations!B199</f>
        <v>Enteric fermentation</v>
      </c>
      <c r="B199" s="2749" t="s">
        <v>3913</v>
      </c>
      <c r="C199" s="2814" t="s">
        <v>5187</v>
      </c>
      <c r="D199" s="2749" t="s">
        <v>5886</v>
      </c>
      <c r="E199" s="2814" t="s">
        <v>6676</v>
      </c>
    </row>
    <row r="200" spans="1:5" s="2811" customFormat="1">
      <c r="A200" s="2911" t="str">
        <f>translations!B200</f>
        <v>(kg CH4 per head/yr)</v>
      </c>
      <c r="B200" s="2749" t="s">
        <v>3914</v>
      </c>
      <c r="C200" s="2817" t="s">
        <v>5447</v>
      </c>
      <c r="D200" s="2749" t="s">
        <v>5887</v>
      </c>
      <c r="E200" s="2814" t="s">
        <v>6677</v>
      </c>
    </row>
    <row r="201" spans="1:5" s="2811" customFormat="1" ht="25.5">
      <c r="A201" s="2911" t="str">
        <f>translations!B201</f>
        <v xml:space="preserve">% correspondings to pasture, range and paddock systems </v>
      </c>
      <c r="B201" s="2749" t="s">
        <v>3915</v>
      </c>
      <c r="C201" s="2814" t="s">
        <v>5188</v>
      </c>
      <c r="D201" s="2749" t="s">
        <v>5888</v>
      </c>
      <c r="E201" s="2814" t="s">
        <v>6678</v>
      </c>
    </row>
    <row r="202" spans="1:5" s="2811" customFormat="1">
      <c r="A202" s="2911" t="str">
        <f>translations!B202</f>
        <v>Methane from manure management</v>
      </c>
      <c r="B202" s="2749" t="s">
        <v>3916</v>
      </c>
      <c r="C202" s="2814" t="s">
        <v>5189</v>
      </c>
      <c r="D202" s="2749" t="s">
        <v>5889</v>
      </c>
      <c r="E202" s="2814" t="s">
        <v>6679</v>
      </c>
    </row>
    <row r="203" spans="1:5" s="2811" customFormat="1">
      <c r="A203" s="2911">
        <f>translations!B203</f>
        <v>0</v>
      </c>
      <c r="B203" s="2749"/>
      <c r="C203" s="2814"/>
      <c r="D203" s="2749"/>
      <c r="E203" s="2814"/>
    </row>
    <row r="204" spans="1:5" s="2811" customFormat="1">
      <c r="A204" s="2911">
        <f>translations!B204</f>
        <v>0</v>
      </c>
      <c r="B204" s="2749"/>
      <c r="C204" s="2814"/>
      <c r="D204" s="2749"/>
      <c r="E204" s="2814"/>
    </row>
    <row r="205" spans="1:5" s="2811" customFormat="1">
      <c r="A205" s="2911">
        <f>translations!B205</f>
        <v>0</v>
      </c>
      <c r="B205" s="2749"/>
      <c r="C205" s="2814"/>
      <c r="D205" s="2749"/>
      <c r="E205" s="2814"/>
    </row>
    <row r="206" spans="1:5" s="2811" customFormat="1">
      <c r="A206" s="2911">
        <f>translations!B206</f>
        <v>0</v>
      </c>
      <c r="B206" s="2749"/>
      <c r="C206" s="2814"/>
      <c r="D206" s="2749"/>
      <c r="E206" s="2814"/>
    </row>
    <row r="207" spans="1:5" s="2811" customFormat="1">
      <c r="A207" s="2911">
        <f>translations!B207</f>
        <v>0</v>
      </c>
      <c r="B207" s="2749"/>
      <c r="C207" s="2814"/>
      <c r="D207" s="2749"/>
      <c r="E207" s="2814"/>
    </row>
    <row r="208" spans="1:5" s="2811" customFormat="1">
      <c r="A208" s="2911">
        <f>translations!B208</f>
        <v>0</v>
      </c>
      <c r="B208" s="2749"/>
      <c r="C208" s="2814"/>
      <c r="D208" s="2749"/>
      <c r="E208" s="2814"/>
    </row>
    <row r="209" spans="1:12" s="2709" customFormat="1">
      <c r="A209" s="2580" t="str">
        <f>translations!B209</f>
        <v>English</v>
      </c>
      <c r="B209" s="2752" t="str">
        <f>B1</f>
        <v>Português</v>
      </c>
      <c r="C209" s="2890" t="s">
        <v>5057</v>
      </c>
      <c r="D209" s="3267" t="s">
        <v>5723</v>
      </c>
      <c r="E209" s="2890" t="s">
        <v>6520</v>
      </c>
      <c r="F209" s="2710" t="str">
        <f t="shared" ref="F209:L209" si="3">F1</f>
        <v>Lang004</v>
      </c>
      <c r="G209" s="2710" t="str">
        <f t="shared" si="3"/>
        <v>Lang005</v>
      </c>
      <c r="H209" s="2710" t="str">
        <f t="shared" si="3"/>
        <v>Lang006</v>
      </c>
      <c r="I209" s="2710" t="str">
        <f t="shared" si="3"/>
        <v>Lang007</v>
      </c>
      <c r="J209" s="2710" t="str">
        <f t="shared" si="3"/>
        <v>Lang008</v>
      </c>
      <c r="K209" s="2710" t="str">
        <f t="shared" si="3"/>
        <v>Lang009</v>
      </c>
      <c r="L209" s="2710" t="str">
        <f t="shared" si="3"/>
        <v>Lang010</v>
      </c>
    </row>
    <row r="210" spans="1:12" s="2811" customFormat="1">
      <c r="A210" s="2911" t="str">
        <f>translations!B210</f>
        <v>5.1. Forest degradation and management</v>
      </c>
      <c r="B210" s="2749" t="s">
        <v>3920</v>
      </c>
      <c r="C210" s="2814" t="s">
        <v>5190</v>
      </c>
      <c r="D210" s="2749" t="s">
        <v>5890</v>
      </c>
      <c r="E210" s="2814" t="s">
        <v>6680</v>
      </c>
    </row>
    <row r="211" spans="1:12" s="2811" customFormat="1">
      <c r="A211" s="2911" t="str">
        <f>translations!B211</f>
        <v>Degradation level of the vegetation</v>
      </c>
      <c r="B211" s="2749" t="s">
        <v>3917</v>
      </c>
      <c r="C211" s="2814" t="s">
        <v>5191</v>
      </c>
      <c r="D211" s="2749" t="s">
        <v>5891</v>
      </c>
      <c r="E211" s="2814" t="s">
        <v>6681</v>
      </c>
    </row>
    <row r="212" spans="1:12" s="2811" customFormat="1">
      <c r="A212" s="2911" t="str">
        <f>translations!B212</f>
        <v>At the end</v>
      </c>
      <c r="B212" s="2749" t="s">
        <v>3918</v>
      </c>
      <c r="C212" s="2814" t="s">
        <v>5192</v>
      </c>
      <c r="D212" s="2749" t="s">
        <v>5892</v>
      </c>
      <c r="E212" s="2814" t="s">
        <v>6682</v>
      </c>
    </row>
    <row r="213" spans="1:12" s="2811" customFormat="1">
      <c r="A213" s="2911" t="str">
        <f>translations!B213</f>
        <v>that will be degraded</v>
      </c>
      <c r="B213" s="2749" t="s">
        <v>3921</v>
      </c>
      <c r="C213" s="2814" t="s">
        <v>5193</v>
      </c>
      <c r="D213" s="2749" t="s">
        <v>5893</v>
      </c>
      <c r="E213" s="2814" t="s">
        <v>6683</v>
      </c>
    </row>
    <row r="214" spans="1:12" s="2811" customFormat="1">
      <c r="A214" s="2911" t="str">
        <f>translations!B214</f>
        <v>Fire occurrence and severity</v>
      </c>
      <c r="B214" s="2749" t="s">
        <v>3919</v>
      </c>
      <c r="C214" s="2814" t="s">
        <v>5194</v>
      </c>
      <c r="D214" s="2749" t="s">
        <v>5894</v>
      </c>
      <c r="E214" s="2814" t="s">
        <v>6684</v>
      </c>
    </row>
    <row r="215" spans="1:12" s="2811" customFormat="1">
      <c r="A215" s="2911" t="str">
        <f>translations!B215</f>
        <v>Total Forest Degradation and Management</v>
      </c>
      <c r="B215" s="2749" t="s">
        <v>3922</v>
      </c>
      <c r="C215" s="2814" t="s">
        <v>5195</v>
      </c>
      <c r="D215" s="2749" t="s">
        <v>5895</v>
      </c>
      <c r="E215" s="2814" t="s">
        <v>6685</v>
      </c>
    </row>
    <row r="216" spans="1:12" s="2811" customFormat="1">
      <c r="A216" s="2911" t="str">
        <f>translations!B216</f>
        <v>(% burnt)</v>
      </c>
      <c r="B216" s="2749" t="s">
        <v>3927</v>
      </c>
      <c r="C216" s="2814" t="s">
        <v>5196</v>
      </c>
      <c r="D216" s="2749" t="s">
        <v>5896</v>
      </c>
      <c r="E216" s="2814" t="s">
        <v>6686</v>
      </c>
    </row>
    <row r="217" spans="1:12" s="2811" customFormat="1">
      <c r="A217" s="2911" t="str">
        <f>translations!B217</f>
        <v>Periodicity</v>
      </c>
      <c r="B217" s="2749" t="s">
        <v>3925</v>
      </c>
      <c r="C217" s="2814" t="s">
        <v>5152</v>
      </c>
      <c r="D217" s="2749" t="s">
        <v>5845</v>
      </c>
      <c r="E217" s="2814" t="s">
        <v>6639</v>
      </c>
    </row>
    <row r="218" spans="1:12" s="2811" customFormat="1">
      <c r="A218" s="2911" t="str">
        <f>translations!B218</f>
        <v>Impact</v>
      </c>
      <c r="B218" s="2749" t="s">
        <v>3926</v>
      </c>
      <c r="C218" s="2814" t="s">
        <v>5197</v>
      </c>
      <c r="D218" s="2749" t="s">
        <v>5897</v>
      </c>
      <c r="E218" s="2814" t="s">
        <v>6687</v>
      </c>
    </row>
    <row r="219" spans="1:12" s="2811" customFormat="1" ht="25.5">
      <c r="A219" s="2911" t="str">
        <f>translations!B219</f>
        <v>5.2. Degradation of organic soils (peatlands)</v>
      </c>
      <c r="B219" s="2749" t="s">
        <v>3923</v>
      </c>
      <c r="C219" s="2814" t="s">
        <v>5198</v>
      </c>
      <c r="D219" s="2749" t="s">
        <v>5898</v>
      </c>
      <c r="E219" s="2814" t="s">
        <v>6688</v>
      </c>
    </row>
    <row r="220" spans="1:12" s="2811" customFormat="1" ht="25.5">
      <c r="A220" s="2911" t="str">
        <f>translations!B220</f>
        <v>5.2.1. Drainage of organic soils (peatlands)</v>
      </c>
      <c r="B220" s="2749" t="s">
        <v>3924</v>
      </c>
      <c r="C220" s="2814" t="s">
        <v>5199</v>
      </c>
      <c r="D220" s="2749" t="s">
        <v>5899</v>
      </c>
      <c r="E220" s="2814" t="s">
        <v>6689</v>
      </c>
    </row>
    <row r="221" spans="1:12" s="2811" customFormat="1">
      <c r="A221" s="2911" t="str">
        <f>translations!B221</f>
        <v>concerned by drainage</v>
      </c>
      <c r="B221" s="2749" t="s">
        <v>3928</v>
      </c>
      <c r="C221" s="2814" t="s">
        <v>5200</v>
      </c>
      <c r="D221" s="2749" t="s">
        <v>5900</v>
      </c>
      <c r="E221" s="2814" t="s">
        <v>6690</v>
      </c>
    </row>
    <row r="222" spans="1:12" s="2811" customFormat="1" ht="25.5">
      <c r="A222" s="2911" t="str">
        <f>translations!B222</f>
        <v>Surfaces of drained organic soils (ha)</v>
      </c>
      <c r="B222" s="2596" t="s">
        <v>3933</v>
      </c>
      <c r="C222" s="2814" t="s">
        <v>5201</v>
      </c>
      <c r="D222" s="2749" t="s">
        <v>5901</v>
      </c>
      <c r="E222" s="2814" t="s">
        <v>6691</v>
      </c>
    </row>
    <row r="223" spans="1:12" s="2811" customFormat="1">
      <c r="A223" s="2911" t="str">
        <f>translations!B223</f>
        <v>Managed Forest</v>
      </c>
      <c r="B223" s="2749" t="s">
        <v>3932</v>
      </c>
      <c r="C223" s="2814" t="s">
        <v>5202</v>
      </c>
      <c r="D223" s="2749" t="s">
        <v>5902</v>
      </c>
      <c r="E223" s="2814" t="s">
        <v>6692</v>
      </c>
    </row>
    <row r="224" spans="1:12" s="2811" customFormat="1">
      <c r="A224" s="2911" t="str">
        <f>translations!B224</f>
        <v>Annual</v>
      </c>
      <c r="B224" s="2749" t="s">
        <v>3929</v>
      </c>
      <c r="C224" s="2814" t="s">
        <v>5203</v>
      </c>
      <c r="D224" s="2749" t="s">
        <v>5903</v>
      </c>
      <c r="E224" s="2814" t="s">
        <v>6693</v>
      </c>
    </row>
    <row r="225" spans="1:5" s="2811" customFormat="1">
      <c r="A225" s="2911" t="str">
        <f>translations!B225</f>
        <v>Perennial</v>
      </c>
      <c r="B225" s="2749" t="s">
        <v>3930</v>
      </c>
      <c r="C225" s="2814" t="s">
        <v>5204</v>
      </c>
      <c r="D225" s="2749" t="s">
        <v>5904</v>
      </c>
      <c r="E225" s="2814" t="s">
        <v>6694</v>
      </c>
    </row>
    <row r="226" spans="1:5" s="2811" customFormat="1">
      <c r="A226" s="2911" t="str">
        <f>translations!B226</f>
        <v>Grassland</v>
      </c>
      <c r="B226" s="2749" t="s">
        <v>2449</v>
      </c>
      <c r="C226" s="2814" t="s">
        <v>4902</v>
      </c>
      <c r="D226" s="2749" t="s">
        <v>5905</v>
      </c>
      <c r="E226" s="2814" t="s">
        <v>6695</v>
      </c>
    </row>
    <row r="227" spans="1:5" s="2811" customFormat="1">
      <c r="A227" s="2911" t="str">
        <f>translations!B227</f>
        <v>Total for Drainage</v>
      </c>
      <c r="B227" s="2749" t="s">
        <v>3931</v>
      </c>
      <c r="C227" s="2814" t="s">
        <v>5205</v>
      </c>
      <c r="D227" s="2749" t="s">
        <v>5906</v>
      </c>
      <c r="E227" s="2814" t="s">
        <v>7444</v>
      </c>
    </row>
    <row r="228" spans="1:5" s="2811" customFormat="1">
      <c r="A228" s="2911" t="str">
        <f>translations!B228</f>
        <v>5.2.2. Active peat extraction</v>
      </c>
      <c r="B228" s="2749" t="s">
        <v>3938</v>
      </c>
      <c r="C228" s="2814" t="s">
        <v>5206</v>
      </c>
      <c r="D228" s="2749" t="s">
        <v>5907</v>
      </c>
      <c r="E228" s="2814" t="s">
        <v>6696</v>
      </c>
    </row>
    <row r="229" spans="1:5" s="2811" customFormat="1">
      <c r="A229" s="2911" t="str">
        <f>translations!B229</f>
        <v>Type of peat</v>
      </c>
      <c r="B229" s="2749" t="s">
        <v>3934</v>
      </c>
      <c r="C229" s="2814" t="s">
        <v>5207</v>
      </c>
      <c r="D229" s="2749" t="s">
        <v>5908</v>
      </c>
      <c r="E229" s="2814" t="s">
        <v>6697</v>
      </c>
    </row>
    <row r="230" spans="1:5" s="2811" customFormat="1">
      <c r="A230" s="2911" t="str">
        <f>translations!B230</f>
        <v>Nutrient-poor peat</v>
      </c>
      <c r="B230" s="2749" t="s">
        <v>3939</v>
      </c>
      <c r="C230" s="2814" t="s">
        <v>5208</v>
      </c>
      <c r="D230" s="2749" t="s">
        <v>5909</v>
      </c>
      <c r="E230" s="2814" t="s">
        <v>6698</v>
      </c>
    </row>
    <row r="231" spans="1:5" s="2811" customFormat="1">
      <c r="A231" s="2911" t="str">
        <f>translations!B231</f>
        <v>Nutrient Rich</v>
      </c>
      <c r="B231" s="2749" t="s">
        <v>3940</v>
      </c>
      <c r="C231" s="2814" t="s">
        <v>5209</v>
      </c>
      <c r="D231" s="2749" t="s">
        <v>5910</v>
      </c>
      <c r="E231" s="2814" t="s">
        <v>6699</v>
      </c>
    </row>
    <row r="232" spans="1:5" s="2811" customFormat="1">
      <c r="A232" s="2911" t="str">
        <f>translations!B232</f>
        <v>Total for Extraction</v>
      </c>
      <c r="B232" s="2749" t="s">
        <v>3941</v>
      </c>
      <c r="C232" s="2814" t="s">
        <v>5210</v>
      </c>
      <c r="D232" s="2749" t="s">
        <v>5911</v>
      </c>
      <c r="E232" s="2814" t="s">
        <v>6700</v>
      </c>
    </row>
    <row r="233" spans="1:5" s="2811" customFormat="1" ht="25.5">
      <c r="A233" s="2911" t="str">
        <f>translations!B233</f>
        <v>Degradation level (% of biomass lost)</v>
      </c>
      <c r="B233" s="2749" t="s">
        <v>3935</v>
      </c>
      <c r="C233" s="2814" t="s">
        <v>5211</v>
      </c>
      <c r="D233" s="2749" t="s">
        <v>5912</v>
      </c>
      <c r="E233" s="2814" t="s">
        <v>6701</v>
      </c>
    </row>
    <row r="234" spans="1:5" s="2811" customFormat="1" ht="25.5">
      <c r="A234" s="2911" t="str">
        <f>translations!B234</f>
        <v>Emissions from loss of C associated with drainage of organic soils</v>
      </c>
      <c r="B234" s="2749" t="s">
        <v>3942</v>
      </c>
      <c r="C234" s="2814" t="s">
        <v>5212</v>
      </c>
      <c r="D234" s="2749" t="s">
        <v>5913</v>
      </c>
      <c r="E234" s="2814" t="s">
        <v>6702</v>
      </c>
    </row>
    <row r="235" spans="1:5" s="2811" customFormat="1">
      <c r="A235" s="2911" t="str">
        <f>translations!B235</f>
        <v>Emission factor (t C/ha/yr)</v>
      </c>
      <c r="B235" s="2749" t="s">
        <v>3936</v>
      </c>
      <c r="C235" s="2817" t="s">
        <v>5448</v>
      </c>
      <c r="D235" s="2749" t="s">
        <v>5914</v>
      </c>
      <c r="E235" s="2814" t="s">
        <v>6703</v>
      </c>
    </row>
    <row r="236" spans="1:5" s="2811" customFormat="1" ht="25.5">
      <c r="A236" s="2911" t="str">
        <f>translations!B236</f>
        <v>On-site Emissions from active peat extraction</v>
      </c>
      <c r="B236" s="2749" t="s">
        <v>3943</v>
      </c>
      <c r="C236" s="2814" t="s">
        <v>5213</v>
      </c>
      <c r="D236" s="2749" t="s">
        <v>5915</v>
      </c>
      <c r="E236" s="2814" t="s">
        <v>6704</v>
      </c>
    </row>
    <row r="237" spans="1:5" s="2811" customFormat="1">
      <c r="A237" s="2911" t="str">
        <f>translations!B237</f>
        <v>CO2 Emission factor (t C/ha/yr)</v>
      </c>
      <c r="B237" s="2749" t="s">
        <v>3937</v>
      </c>
      <c r="C237" s="2817" t="s">
        <v>5449</v>
      </c>
      <c r="D237" s="2749" t="s">
        <v>5916</v>
      </c>
      <c r="E237" s="2814" t="s">
        <v>6705</v>
      </c>
    </row>
    <row r="238" spans="1:5" s="2811" customFormat="1" ht="25.5">
      <c r="A238" s="2911" t="str">
        <f>translations!B238</f>
        <v>N2O Emission factor (kg N2O-N/ha/yr)</v>
      </c>
      <c r="B238" s="2749" t="s">
        <v>3944</v>
      </c>
      <c r="C238" s="2817" t="s">
        <v>5450</v>
      </c>
      <c r="D238" s="2749" t="s">
        <v>5917</v>
      </c>
      <c r="E238" s="2814" t="s">
        <v>6706</v>
      </c>
    </row>
    <row r="239" spans="1:5" ht="38.25">
      <c r="A239" s="2577" t="str">
        <f>translations!B577</f>
        <v>(this corresponds to deforestation of mangroves and should be accounted only here)</v>
      </c>
      <c r="B239" s="2750" t="s">
        <v>7148</v>
      </c>
      <c r="C239" s="3575" t="str">
        <f>A239</f>
        <v>(this corresponds to deforestation of mangroves and should be accounted only here)</v>
      </c>
      <c r="D239" s="3576" t="str">
        <f>A239</f>
        <v>(this corresponds to deforestation of mangroves and should be accounted only here)</v>
      </c>
      <c r="E239" s="2813" t="s">
        <v>7445</v>
      </c>
    </row>
    <row r="240" spans="1:5" s="2811" customFormat="1">
      <c r="A240" s="2911">
        <f>translations!B240</f>
        <v>0</v>
      </c>
      <c r="B240" s="2749"/>
      <c r="C240" s="2814"/>
      <c r="D240" s="2749"/>
      <c r="E240" s="2814"/>
    </row>
    <row r="241" spans="1:12" s="2811" customFormat="1">
      <c r="A241" s="2911">
        <f>translations!B241</f>
        <v>0</v>
      </c>
      <c r="B241" s="2749"/>
      <c r="C241" s="2814"/>
      <c r="D241" s="2749"/>
      <c r="E241" s="2814"/>
    </row>
    <row r="242" spans="1:12" s="2811" customFormat="1">
      <c r="A242" s="2911">
        <f>translations!B242</f>
        <v>0</v>
      </c>
      <c r="B242" s="2749"/>
      <c r="C242" s="2814"/>
      <c r="D242" s="2749"/>
      <c r="E242" s="2814"/>
    </row>
    <row r="243" spans="1:12" s="2811" customFormat="1">
      <c r="A243" s="2911">
        <f>translations!B243</f>
        <v>0</v>
      </c>
      <c r="B243" s="2749"/>
      <c r="C243" s="2814"/>
      <c r="D243" s="2749"/>
      <c r="E243" s="2814"/>
    </row>
    <row r="244" spans="1:12" s="2811" customFormat="1">
      <c r="A244" s="2911">
        <f>translations!B244</f>
        <v>0</v>
      </c>
      <c r="B244" s="2749"/>
      <c r="C244" s="2814"/>
      <c r="D244" s="2749"/>
      <c r="E244" s="2814"/>
    </row>
    <row r="245" spans="1:12" s="2811" customFormat="1">
      <c r="A245" s="2911">
        <f>translations!B245</f>
        <v>0</v>
      </c>
      <c r="B245" s="2749"/>
      <c r="C245" s="2814"/>
      <c r="D245" s="2749"/>
      <c r="E245" s="2814"/>
    </row>
    <row r="246" spans="1:12" s="2811" customFormat="1">
      <c r="A246" s="2911">
        <f>translations!B246</f>
        <v>0</v>
      </c>
      <c r="B246" s="2749"/>
      <c r="C246" s="2814"/>
      <c r="D246" s="2749"/>
      <c r="E246" s="2814"/>
    </row>
    <row r="247" spans="1:12" s="2811" customFormat="1">
      <c r="A247" s="2911">
        <f>translations!B247</f>
        <v>0</v>
      </c>
      <c r="B247" s="2749"/>
      <c r="C247" s="2814"/>
      <c r="D247" s="2749"/>
      <c r="E247" s="2814"/>
    </row>
    <row r="248" spans="1:12" s="2811" customFormat="1">
      <c r="A248" s="2911">
        <f>translations!B248</f>
        <v>0</v>
      </c>
      <c r="B248" s="2749"/>
      <c r="C248" s="2814"/>
      <c r="D248" s="2749"/>
      <c r="E248" s="2814"/>
    </row>
    <row r="249" spans="1:12" s="2811" customFormat="1">
      <c r="A249" s="2911">
        <f>translations!B249</f>
        <v>0</v>
      </c>
      <c r="B249" s="2749"/>
      <c r="C249" s="2814"/>
      <c r="D249" s="2749"/>
      <c r="E249" s="2814"/>
    </row>
    <row r="250" spans="1:12" s="2811" customFormat="1">
      <c r="A250" s="2911">
        <f>translations!B250</f>
        <v>0</v>
      </c>
      <c r="B250" s="2749"/>
      <c r="C250" s="2814"/>
      <c r="D250" s="2749"/>
      <c r="E250" s="2814"/>
    </row>
    <row r="251" spans="1:12" s="2709" customFormat="1">
      <c r="A251" s="2580" t="str">
        <f>translations!B251</f>
        <v>English</v>
      </c>
      <c r="B251" s="2752" t="str">
        <f>B1</f>
        <v>Português</v>
      </c>
      <c r="C251" s="2890" t="s">
        <v>5057</v>
      </c>
      <c r="D251" s="3267" t="s">
        <v>5723</v>
      </c>
      <c r="E251" s="2890" t="s">
        <v>6520</v>
      </c>
      <c r="F251" s="2710" t="str">
        <f t="shared" ref="F251:L251" si="4">F1</f>
        <v>Lang004</v>
      </c>
      <c r="G251" s="2710" t="str">
        <f t="shared" si="4"/>
        <v>Lang005</v>
      </c>
      <c r="H251" s="2710" t="str">
        <f t="shared" si="4"/>
        <v>Lang006</v>
      </c>
      <c r="I251" s="2710" t="str">
        <f t="shared" si="4"/>
        <v>Lang007</v>
      </c>
      <c r="J251" s="2710" t="str">
        <f t="shared" si="4"/>
        <v>Lang008</v>
      </c>
      <c r="K251" s="2710" t="str">
        <f t="shared" si="4"/>
        <v>Lang009</v>
      </c>
      <c r="L251" s="2710" t="str">
        <f t="shared" si="4"/>
        <v>Lang010</v>
      </c>
    </row>
    <row r="252" spans="1:12" s="2811" customFormat="1" ht="25.5">
      <c r="A252" s="2911" t="str">
        <f>translations!B252</f>
        <v>6.1. Inputs (liming, fertilizers, pesticides, herbicides,…)</v>
      </c>
      <c r="B252" s="2749" t="s">
        <v>3945</v>
      </c>
      <c r="C252" s="2814" t="s">
        <v>5214</v>
      </c>
      <c r="D252" s="2749" t="s">
        <v>5918</v>
      </c>
      <c r="E252" s="2814" t="s">
        <v>7446</v>
      </c>
    </row>
    <row r="253" spans="1:12" s="2811" customFormat="1">
      <c r="A253" s="2911" t="str">
        <f>translations!B253</f>
        <v>Description and unit to report</v>
      </c>
      <c r="B253" s="2749" t="s">
        <v>3946</v>
      </c>
      <c r="C253" s="2814" t="s">
        <v>5215</v>
      </c>
      <c r="D253" s="2749" t="s">
        <v>5919</v>
      </c>
      <c r="E253" s="2814" t="s">
        <v>6707</v>
      </c>
    </row>
    <row r="254" spans="1:12" s="2811" customFormat="1">
      <c r="A254" s="2911" t="str">
        <f>translations!B254</f>
        <v>Amount applied per year</v>
      </c>
      <c r="B254" s="2749" t="s">
        <v>3947</v>
      </c>
      <c r="C254" s="2814" t="s">
        <v>5216</v>
      </c>
      <c r="D254" s="2749" t="s">
        <v>5920</v>
      </c>
      <c r="E254" s="2814" t="s">
        <v>6708</v>
      </c>
    </row>
    <row r="255" spans="1:12" s="2811" customFormat="1">
      <c r="A255" s="2911" t="str">
        <f>translations!B255</f>
        <v>Total emissions at field level (tCO2-eq)</v>
      </c>
      <c r="B255" s="2749" t="s">
        <v>3948</v>
      </c>
      <c r="C255" s="2814" t="s">
        <v>5217</v>
      </c>
      <c r="D255" s="2749" t="s">
        <v>5921</v>
      </c>
      <c r="E255" s="2814" t="s">
        <v>6709</v>
      </c>
    </row>
    <row r="256" spans="1:12" s="2811" customFormat="1" ht="38.25">
      <c r="A256" s="2911" t="str">
        <f>translations!B256</f>
        <v>Emissions from production, transportation, storage and transfer (tCO2-eq)</v>
      </c>
      <c r="B256" s="2749" t="s">
        <v>3949</v>
      </c>
      <c r="C256" s="2814" t="s">
        <v>5218</v>
      </c>
      <c r="D256" s="2749" t="s">
        <v>5922</v>
      </c>
      <c r="E256" s="2814" t="s">
        <v>6710</v>
      </c>
    </row>
    <row r="257" spans="1:5" s="2811" customFormat="1">
      <c r="A257" s="2911" t="str">
        <f>translations!B257</f>
        <v>Lime application</v>
      </c>
      <c r="B257" s="2749" t="s">
        <v>3950</v>
      </c>
      <c r="C257" s="2814" t="s">
        <v>5219</v>
      </c>
      <c r="D257" s="2749" t="s">
        <v>5923</v>
      </c>
      <c r="E257" s="2814" t="s">
        <v>6711</v>
      </c>
    </row>
    <row r="258" spans="1:5" s="2811" customFormat="1">
      <c r="A258" s="2911" t="str">
        <f>translations!B258</f>
        <v>Limestone (tonnes per year)</v>
      </c>
      <c r="B258" s="2749" t="s">
        <v>3951</v>
      </c>
      <c r="C258" s="2814" t="s">
        <v>5220</v>
      </c>
      <c r="D258" s="2749" t="s">
        <v>5924</v>
      </c>
      <c r="E258" s="2814" t="s">
        <v>6712</v>
      </c>
    </row>
    <row r="259" spans="1:5" s="2811" customFormat="1">
      <c r="A259" s="2911" t="str">
        <f>translations!B259</f>
        <v>Dolomite tonnes per year)</v>
      </c>
      <c r="B259" s="2749" t="s">
        <v>3952</v>
      </c>
      <c r="C259" s="2814" t="s">
        <v>5221</v>
      </c>
      <c r="D259" s="2749" t="s">
        <v>5925</v>
      </c>
      <c r="E259" s="2814" t="s">
        <v>7447</v>
      </c>
    </row>
    <row r="260" spans="1:5" s="2811" customFormat="1">
      <c r="A260" s="2911" t="str">
        <f>translations!B260</f>
        <v>not-specified (tonnes per year)</v>
      </c>
      <c r="B260" s="2749" t="s">
        <v>3953</v>
      </c>
      <c r="C260" s="2814" t="s">
        <v>5222</v>
      </c>
      <c r="D260" s="2749" t="s">
        <v>5926</v>
      </c>
      <c r="E260" s="2814" t="s">
        <v>6713</v>
      </c>
    </row>
    <row r="261" spans="1:5" s="2811" customFormat="1">
      <c r="A261" s="2911" t="str">
        <f>translations!B261</f>
        <v>Fertilizers</v>
      </c>
      <c r="B261" s="2749" t="s">
        <v>3954</v>
      </c>
      <c r="C261" s="2814" t="s">
        <v>5223</v>
      </c>
      <c r="D261" s="2749" t="s">
        <v>5927</v>
      </c>
      <c r="E261" s="2814" t="s">
        <v>6714</v>
      </c>
    </row>
    <row r="262" spans="1:5" s="2811" customFormat="1" ht="25.5">
      <c r="A262" s="2911" t="str">
        <f>translations!B262</f>
        <v>Urea (tonnes of N per year - Urea has 46.7% of N)</v>
      </c>
      <c r="B262" s="2749" t="s">
        <v>3955</v>
      </c>
      <c r="C262" s="2814" t="s">
        <v>5394</v>
      </c>
      <c r="D262" s="2749" t="s">
        <v>5928</v>
      </c>
      <c r="E262" s="2814" t="s">
        <v>6715</v>
      </c>
    </row>
    <row r="263" spans="1:5" s="2811" customFormat="1" ht="25.5">
      <c r="A263" s="2911" t="str">
        <f>translations!B263</f>
        <v>Other N-fertilizers (tonnes of N per year)</v>
      </c>
      <c r="B263" s="2749" t="s">
        <v>3956</v>
      </c>
      <c r="C263" s="2814" t="s">
        <v>5395</v>
      </c>
      <c r="D263" s="2749" t="s">
        <v>5929</v>
      </c>
      <c r="E263" s="2814" t="s">
        <v>6716</v>
      </c>
    </row>
    <row r="264" spans="1:5" s="2811" customFormat="1" ht="25.5">
      <c r="A264" s="2911" t="str">
        <f>translations!B264</f>
        <v>N-fertilizer in irrigated rice (tonnes of N per year)</v>
      </c>
      <c r="B264" s="2749" t="s">
        <v>3957</v>
      </c>
      <c r="C264" s="2814" t="s">
        <v>5396</v>
      </c>
      <c r="D264" s="2749" t="s">
        <v>5930</v>
      </c>
      <c r="E264" s="2814" t="s">
        <v>6717</v>
      </c>
    </row>
    <row r="265" spans="1:5" s="2811" customFormat="1">
      <c r="A265" s="2911" t="str">
        <f>translations!B265</f>
        <v>Sewage (tonnes of N per year)</v>
      </c>
      <c r="B265" s="2749" t="s">
        <v>3958</v>
      </c>
      <c r="C265" s="2814" t="s">
        <v>5397</v>
      </c>
      <c r="D265" s="2749" t="s">
        <v>5931</v>
      </c>
      <c r="E265" s="2814" t="s">
        <v>6718</v>
      </c>
    </row>
    <row r="266" spans="1:5" s="2811" customFormat="1">
      <c r="A266" s="2911" t="str">
        <f>translations!B266</f>
        <v>Compost (tonnes of N per year)</v>
      </c>
      <c r="B266" s="2749" t="s">
        <v>3959</v>
      </c>
      <c r="C266" s="2814" t="s">
        <v>5398</v>
      </c>
      <c r="D266" s="2749" t="s">
        <v>5932</v>
      </c>
      <c r="E266" s="2814" t="s">
        <v>7448</v>
      </c>
    </row>
    <row r="267" spans="1:5" s="2811" customFormat="1">
      <c r="A267" s="2911" t="str">
        <f>translations!B267</f>
        <v>Phosphorus (tonnes of P2O5 per year)</v>
      </c>
      <c r="B267" s="2749" t="s">
        <v>3960</v>
      </c>
      <c r="C267" s="2814" t="s">
        <v>5224</v>
      </c>
      <c r="D267" s="2749" t="s">
        <v>5933</v>
      </c>
      <c r="E267" s="2814" t="s">
        <v>7449</v>
      </c>
    </row>
    <row r="268" spans="1:5" s="2811" customFormat="1">
      <c r="A268" s="2911" t="str">
        <f>translations!B268</f>
        <v>Potassium  (tonnes of K2O per year)</v>
      </c>
      <c r="B268" s="2749" t="s">
        <v>3961</v>
      </c>
      <c r="C268" s="2814" t="s">
        <v>5225</v>
      </c>
      <c r="D268" s="2749" t="s">
        <v>5934</v>
      </c>
      <c r="E268" s="2814" t="s">
        <v>6719</v>
      </c>
    </row>
    <row r="269" spans="1:5" s="2811" customFormat="1">
      <c r="A269" s="2911" t="str">
        <f>translations!B269</f>
        <v>Pesticides</v>
      </c>
      <c r="B269" s="2749" t="s">
        <v>4158</v>
      </c>
      <c r="C269" s="2814" t="s">
        <v>5226</v>
      </c>
      <c r="D269" s="2749" t="s">
        <v>5935</v>
      </c>
      <c r="E269" s="2814" t="s">
        <v>6720</v>
      </c>
    </row>
    <row r="270" spans="1:5" s="2811" customFormat="1" ht="25.5">
      <c r="A270" s="2911" t="str">
        <f>translations!B270</f>
        <v>Herbicides (tonnes of active ingredient per year)</v>
      </c>
      <c r="B270" s="2749" t="s">
        <v>4537</v>
      </c>
      <c r="C270" s="2814" t="s">
        <v>5227</v>
      </c>
      <c r="D270" s="2749" t="s">
        <v>5936</v>
      </c>
      <c r="E270" s="2814" t="s">
        <v>6721</v>
      </c>
    </row>
    <row r="271" spans="1:5" s="2811" customFormat="1" ht="25.5">
      <c r="A271" s="2911" t="str">
        <f>translations!B271</f>
        <v>Insecticides (tonnes of active ingredient per year)</v>
      </c>
      <c r="B271" s="2749" t="s">
        <v>4538</v>
      </c>
      <c r="C271" s="2814" t="s">
        <v>5228</v>
      </c>
      <c r="D271" s="2749" t="s">
        <v>5937</v>
      </c>
      <c r="E271" s="2814" t="s">
        <v>6722</v>
      </c>
    </row>
    <row r="272" spans="1:5" s="2811" customFormat="1" ht="25.5">
      <c r="A272" s="2911" t="str">
        <f>translations!B272</f>
        <v>Fungicides (tonnes of active ingredient per year)</v>
      </c>
      <c r="B272" s="2749" t="s">
        <v>4539</v>
      </c>
      <c r="C272" s="2814" t="s">
        <v>5229</v>
      </c>
      <c r="D272" s="2749" t="s">
        <v>5938</v>
      </c>
      <c r="E272" s="2814" t="s">
        <v>6723</v>
      </c>
    </row>
    <row r="273" spans="1:5" s="2811" customFormat="1">
      <c r="A273" s="2911" t="str">
        <f>translations!B273</f>
        <v>Total Inputs</v>
      </c>
      <c r="B273" s="2749" t="s">
        <v>4540</v>
      </c>
      <c r="C273" s="2814" t="s">
        <v>5230</v>
      </c>
      <c r="D273" s="2749" t="s">
        <v>5939</v>
      </c>
      <c r="E273" s="2814" t="s">
        <v>6724</v>
      </c>
    </row>
    <row r="274" spans="1:5" s="2811" customFormat="1">
      <c r="A274" s="2911" t="str">
        <f>translations!B274</f>
        <v>CO2 emissions</v>
      </c>
      <c r="B274" s="2749" t="s">
        <v>4541</v>
      </c>
      <c r="C274" s="2814" t="s">
        <v>5231</v>
      </c>
      <c r="D274" s="2749" t="s">
        <v>5940</v>
      </c>
      <c r="E274" s="2814" t="s">
        <v>6725</v>
      </c>
    </row>
    <row r="275" spans="1:5" s="2811" customFormat="1">
      <c r="A275" s="2911" t="str">
        <f>translations!B275</f>
        <v>N2O emissions</v>
      </c>
      <c r="B275" s="2749" t="s">
        <v>4542</v>
      </c>
      <c r="C275" s="2814" t="s">
        <v>5232</v>
      </c>
      <c r="D275" s="2749" t="s">
        <v>5941</v>
      </c>
      <c r="E275" s="2814" t="s">
        <v>6726</v>
      </c>
    </row>
    <row r="276" spans="1:5" s="2811" customFormat="1" ht="25.5">
      <c r="A276" s="2911" t="str">
        <f>translations!B276</f>
        <v>6.2. Energy consumption (electricity, fuel,…)</v>
      </c>
      <c r="B276" s="2749" t="s">
        <v>4543</v>
      </c>
      <c r="C276" s="2814" t="s">
        <v>5233</v>
      </c>
      <c r="D276" s="2749" t="s">
        <v>5942</v>
      </c>
      <c r="E276" s="2814" t="s">
        <v>6727</v>
      </c>
    </row>
    <row r="277" spans="1:5" s="2811" customFormat="1">
      <c r="A277" s="2911" t="str">
        <f>translations!B277</f>
        <v>Quantity consumed per year</v>
      </c>
      <c r="B277" s="2749" t="s">
        <v>4544</v>
      </c>
      <c r="C277" s="2814" t="s">
        <v>5234</v>
      </c>
      <c r="D277" s="2749" t="s">
        <v>5943</v>
      </c>
      <c r="E277" s="2814" t="s">
        <v>6728</v>
      </c>
    </row>
    <row r="278" spans="1:5" s="2811" customFormat="1">
      <c r="A278" s="2911" t="str">
        <f>translations!B278</f>
        <v>Electricity (MWh per year)</v>
      </c>
      <c r="B278" s="2749" t="s">
        <v>4545</v>
      </c>
      <c r="C278" s="2814" t="s">
        <v>5235</v>
      </c>
      <c r="D278" s="2749" t="s">
        <v>5944</v>
      </c>
      <c r="E278" s="2814" t="s">
        <v>6729</v>
      </c>
    </row>
    <row r="279" spans="1:5" s="2811" customFormat="1">
      <c r="A279" s="2911" t="str">
        <f>translations!B279</f>
        <v>(please select the country of origin)</v>
      </c>
      <c r="B279" s="2749" t="s">
        <v>4546</v>
      </c>
      <c r="C279" s="2814" t="s">
        <v>5236</v>
      </c>
      <c r="D279" s="2749" t="s">
        <v>5945</v>
      </c>
      <c r="E279" s="2814" t="s">
        <v>6730</v>
      </c>
    </row>
    <row r="280" spans="1:5" s="2811" customFormat="1" ht="25.5">
      <c r="A280" s="2911" t="str">
        <f>translations!B280</f>
        <v>Liquide or gaseous (in m3 per year)</v>
      </c>
      <c r="B280" s="2749" t="s">
        <v>4550</v>
      </c>
      <c r="C280" s="2814" t="s">
        <v>5237</v>
      </c>
      <c r="D280" s="2749" t="s">
        <v>5946</v>
      </c>
      <c r="E280" s="2814" t="s">
        <v>7450</v>
      </c>
    </row>
    <row r="281" spans="1:5" s="2811" customFormat="1">
      <c r="A281" s="2911" t="str">
        <f>translations!B281</f>
        <v>Gasoil/Diesel</v>
      </c>
      <c r="B281" s="2749" t="s">
        <v>4547</v>
      </c>
      <c r="C281" s="2814" t="s">
        <v>5238</v>
      </c>
      <c r="D281" s="2749" t="s">
        <v>923</v>
      </c>
      <c r="E281" s="2814" t="s">
        <v>6731</v>
      </c>
    </row>
    <row r="282" spans="1:5" s="2811" customFormat="1">
      <c r="A282" s="2911" t="str">
        <f>translations!B282</f>
        <v>Gasoline</v>
      </c>
      <c r="B282" s="2749" t="s">
        <v>4169</v>
      </c>
      <c r="C282" s="2814" t="s">
        <v>5239</v>
      </c>
      <c r="D282" s="2749" t="s">
        <v>5947</v>
      </c>
      <c r="E282" s="2814" t="s">
        <v>6732</v>
      </c>
    </row>
    <row r="283" spans="1:5" s="2811" customFormat="1">
      <c r="A283" s="2911" t="str">
        <f>translations!B283</f>
        <v>Gas (LPG/ natural)</v>
      </c>
      <c r="B283" s="2749" t="s">
        <v>4548</v>
      </c>
      <c r="C283" s="2814" t="s">
        <v>5240</v>
      </c>
      <c r="D283" s="2749" t="s">
        <v>5948</v>
      </c>
      <c r="E283" s="2814" t="s">
        <v>6733</v>
      </c>
    </row>
    <row r="284" spans="1:5" s="2811" customFormat="1">
      <c r="A284" s="2911" t="str">
        <f>translations!B284</f>
        <v>Butane</v>
      </c>
      <c r="B284" s="2749" t="s">
        <v>4551</v>
      </c>
      <c r="C284" s="2814" t="s">
        <v>5241</v>
      </c>
      <c r="D284" s="2749" t="s">
        <v>5949</v>
      </c>
      <c r="E284" s="2814" t="s">
        <v>112</v>
      </c>
    </row>
    <row r="285" spans="1:5" s="2811" customFormat="1">
      <c r="A285" s="2911" t="str">
        <f>translations!B285</f>
        <v>Propane</v>
      </c>
      <c r="B285" s="2749" t="s">
        <v>4552</v>
      </c>
      <c r="C285" s="2814" t="s">
        <v>5242</v>
      </c>
      <c r="D285" s="2749" t="s">
        <v>5950</v>
      </c>
      <c r="E285" s="2814" t="s">
        <v>113</v>
      </c>
    </row>
    <row r="286" spans="1:5" s="2811" customFormat="1">
      <c r="A286" s="2911" t="str">
        <f>translations!B286</f>
        <v>Ethanol</v>
      </c>
      <c r="B286" s="2749" t="s">
        <v>4173</v>
      </c>
      <c r="C286" s="2814" t="s">
        <v>220</v>
      </c>
      <c r="D286" s="2749" t="s">
        <v>220</v>
      </c>
      <c r="E286" s="2814" t="s">
        <v>6734</v>
      </c>
    </row>
    <row r="287" spans="1:5" s="2811" customFormat="1">
      <c r="A287" s="2911" t="str">
        <f>translations!B287</f>
        <v>User defined (Tier 2):</v>
      </c>
      <c r="B287" s="2749" t="s">
        <v>4549</v>
      </c>
      <c r="C287" s="2817" t="s">
        <v>5458</v>
      </c>
      <c r="D287" s="2749" t="s">
        <v>5951</v>
      </c>
      <c r="E287" s="2814" t="s">
        <v>6735</v>
      </c>
    </row>
    <row r="288" spans="1:5" s="2811" customFormat="1" ht="25.5">
      <c r="A288" s="2911" t="str">
        <f>translations!B288</f>
        <v>Solid (in tonnes of dry matter per year)</v>
      </c>
      <c r="B288" s="2749" t="s">
        <v>4553</v>
      </c>
      <c r="C288" s="2814" t="s">
        <v>5243</v>
      </c>
      <c r="D288" s="2749" t="s">
        <v>5952</v>
      </c>
      <c r="E288" s="2814" t="s">
        <v>6736</v>
      </c>
    </row>
    <row r="289" spans="1:5" s="2811" customFormat="1">
      <c r="A289" s="2911" t="str">
        <f>translations!B289</f>
        <v>Wood</v>
      </c>
      <c r="B289" s="2749" t="s">
        <v>4557</v>
      </c>
      <c r="C289" s="2814" t="s">
        <v>5244</v>
      </c>
      <c r="D289" s="2749" t="s">
        <v>5953</v>
      </c>
      <c r="E289" s="2814" t="s">
        <v>6737</v>
      </c>
    </row>
    <row r="290" spans="1:5" s="2811" customFormat="1">
      <c r="A290" s="2911" t="str">
        <f>translations!B290</f>
        <v>Peat</v>
      </c>
      <c r="B290" s="2749" t="s">
        <v>4558</v>
      </c>
      <c r="C290" s="2814" t="s">
        <v>5245</v>
      </c>
      <c r="D290" s="2749" t="s">
        <v>5954</v>
      </c>
      <c r="E290" s="2814" t="s">
        <v>6738</v>
      </c>
    </row>
    <row r="291" spans="1:5" s="2811" customFormat="1">
      <c r="A291" s="2911" t="str">
        <f>translations!B291</f>
        <v>Total Energy</v>
      </c>
      <c r="B291" s="2749" t="s">
        <v>4559</v>
      </c>
      <c r="C291" s="2814" t="s">
        <v>5246</v>
      </c>
      <c r="D291" s="2749" t="s">
        <v>5955</v>
      </c>
      <c r="E291" s="2814" t="s">
        <v>6739</v>
      </c>
    </row>
    <row r="292" spans="1:5" s="2811" customFormat="1" ht="38.25">
      <c r="A292" s="2911" t="str">
        <f>translations!B292</f>
        <v>6.3. Construction of new infrastructure (irrigation systems, buildings, roads)</v>
      </c>
      <c r="B292" s="2749" t="s">
        <v>4554</v>
      </c>
      <c r="C292" s="2814" t="s">
        <v>5247</v>
      </c>
      <c r="D292" s="2749" t="s">
        <v>5956</v>
      </c>
      <c r="E292" s="2814" t="s">
        <v>6740</v>
      </c>
    </row>
    <row r="293" spans="1:5" s="2811" customFormat="1">
      <c r="A293" s="2911" t="str">
        <f>translations!B293</f>
        <v>Surfaces</v>
      </c>
      <c r="B293" s="2749" t="s">
        <v>4560</v>
      </c>
      <c r="C293" s="2814" t="s">
        <v>5248</v>
      </c>
      <c r="D293" s="2749" t="s">
        <v>5957</v>
      </c>
      <c r="E293" s="2814" t="s">
        <v>6741</v>
      </c>
    </row>
    <row r="294" spans="1:5" s="2811" customFormat="1">
      <c r="A294" s="2911" t="str">
        <f>translations!B294</f>
        <v>Irrigation systems (in ha)</v>
      </c>
      <c r="B294" s="2749" t="s">
        <v>4555</v>
      </c>
      <c r="C294" s="2814" t="s">
        <v>5249</v>
      </c>
      <c r="D294" s="2749" t="s">
        <v>5958</v>
      </c>
      <c r="E294" s="2814" t="s">
        <v>6742</v>
      </c>
    </row>
    <row r="295" spans="1:5" s="2811" customFormat="1">
      <c r="A295" s="2911" t="str">
        <f>translations!B295</f>
        <v>Buildings and roads (in m2)</v>
      </c>
      <c r="B295" s="2749" t="s">
        <v>4556</v>
      </c>
      <c r="C295" s="2814" t="s">
        <v>5250</v>
      </c>
      <c r="D295" s="2749" t="s">
        <v>5959</v>
      </c>
      <c r="E295" s="2814" t="s">
        <v>6743</v>
      </c>
    </row>
    <row r="296" spans="1:5" s="2811" customFormat="1" ht="25.5">
      <c r="A296" s="2911" t="str">
        <f>translations!B296</f>
        <v>*IRRS = Irrigation Runoff Return System</v>
      </c>
      <c r="B296" s="2749" t="s">
        <v>8183</v>
      </c>
      <c r="C296" s="2814" t="s">
        <v>8184</v>
      </c>
      <c r="D296" s="2749" t="s">
        <v>2880</v>
      </c>
      <c r="E296" s="2814" t="s">
        <v>6744</v>
      </c>
    </row>
    <row r="297" spans="1:5" s="2811" customFormat="1">
      <c r="A297" s="2911" t="str">
        <f>translations!B297</f>
        <v>Total Construction</v>
      </c>
      <c r="B297" s="2749" t="s">
        <v>4570</v>
      </c>
      <c r="C297" s="2814" t="s">
        <v>5251</v>
      </c>
      <c r="D297" s="2749" t="s">
        <v>5960</v>
      </c>
      <c r="E297" s="2814" t="s">
        <v>6745</v>
      </c>
    </row>
    <row r="298" spans="1:5" s="2811" customFormat="1">
      <c r="A298" s="2911" t="str">
        <f>translations!B298</f>
        <v>Emission factors</v>
      </c>
      <c r="B298" s="2749" t="s">
        <v>4571</v>
      </c>
      <c r="C298" s="2814" t="s">
        <v>5252</v>
      </c>
      <c r="D298" s="2749" t="s">
        <v>5961</v>
      </c>
      <c r="E298" s="2814" t="s">
        <v>6746</v>
      </c>
    </row>
    <row r="299" spans="1:5" s="2811" customFormat="1">
      <c r="A299" s="2911" t="str">
        <f>translations!B299</f>
        <v>CO2 emissions</v>
      </c>
      <c r="B299" s="2749" t="s">
        <v>4541</v>
      </c>
      <c r="C299" s="2814" t="s">
        <v>5253</v>
      </c>
      <c r="D299" s="2749" t="s">
        <v>5940</v>
      </c>
      <c r="E299" s="2814" t="s">
        <v>6725</v>
      </c>
    </row>
    <row r="300" spans="1:5" s="2811" customFormat="1">
      <c r="A300" s="2911" t="str">
        <f>translations!B300</f>
        <v>N2O emissions</v>
      </c>
      <c r="B300" s="2749" t="s">
        <v>4542</v>
      </c>
      <c r="C300" s="2814" t="s">
        <v>5232</v>
      </c>
      <c r="D300" s="2749" t="s">
        <v>5941</v>
      </c>
      <c r="E300" s="2814" t="s">
        <v>6726</v>
      </c>
    </row>
    <row r="301" spans="1:5" s="2811" customFormat="1">
      <c r="A301" s="2911" t="str">
        <f>translations!B301</f>
        <v xml:space="preserve">Emissions at field level </v>
      </c>
      <c r="B301" s="2749" t="s">
        <v>4572</v>
      </c>
      <c r="C301" s="2814" t="s">
        <v>5254</v>
      </c>
      <c r="D301" s="2749" t="s">
        <v>5962</v>
      </c>
      <c r="E301" s="2814" t="s">
        <v>6747</v>
      </c>
    </row>
    <row r="302" spans="1:5" s="2811" customFormat="1" ht="25.5">
      <c r="A302" s="2911" t="str">
        <f>translations!B302</f>
        <v>Emissions from production, transportation, storage and transfer</v>
      </c>
      <c r="B302" s="2749" t="s">
        <v>4581</v>
      </c>
      <c r="C302" s="2814" t="s">
        <v>5255</v>
      </c>
      <c r="D302" s="2749" t="s">
        <v>5963</v>
      </c>
      <c r="E302" s="2814" t="s">
        <v>6748</v>
      </c>
    </row>
    <row r="303" spans="1:5" s="2811" customFormat="1">
      <c r="A303" s="2911" t="str">
        <f>translations!B303</f>
        <v>Unit</v>
      </c>
      <c r="B303" s="2749" t="s">
        <v>4582</v>
      </c>
      <c r="C303" s="2814" t="s">
        <v>5256</v>
      </c>
      <c r="D303" s="2749" t="s">
        <v>1550</v>
      </c>
      <c r="E303" s="2814" t="s">
        <v>6749</v>
      </c>
    </row>
    <row r="304" spans="1:5" s="2811" customFormat="1">
      <c r="A304" s="2911" t="str">
        <f>translations!B304</f>
        <v>tC/t lime</v>
      </c>
      <c r="B304" s="2749" t="s">
        <v>4573</v>
      </c>
      <c r="C304" s="2814" t="s">
        <v>5257</v>
      </c>
      <c r="D304" s="3579" t="s">
        <v>5964</v>
      </c>
      <c r="E304" s="2814" t="s">
        <v>6750</v>
      </c>
    </row>
    <row r="305" spans="1:5" s="2811" customFormat="1">
      <c r="A305" s="2911" t="str">
        <f>translations!B305</f>
        <v>tCO2/t CaCO3</v>
      </c>
      <c r="B305" s="2749" t="s">
        <v>4574</v>
      </c>
      <c r="C305" s="2814" t="s">
        <v>2046</v>
      </c>
      <c r="D305" s="2749" t="s">
        <v>2046</v>
      </c>
      <c r="E305" s="2814" t="s">
        <v>2046</v>
      </c>
    </row>
    <row r="306" spans="1:5" s="2811" customFormat="1">
      <c r="A306" s="2911" t="str">
        <f>translations!B306</f>
        <v>tC/t Urea</v>
      </c>
      <c r="B306" s="2749" t="s">
        <v>4575</v>
      </c>
      <c r="C306" s="2814" t="s">
        <v>1552</v>
      </c>
      <c r="D306" s="2749" t="s">
        <v>1552</v>
      </c>
      <c r="E306" s="2814" t="s">
        <v>1552</v>
      </c>
    </row>
    <row r="307" spans="1:5" s="2811" customFormat="1">
      <c r="A307" s="2911" t="str">
        <f>translations!B307</f>
        <v>kg N-N2O/kg N</v>
      </c>
      <c r="B307" s="2749" t="s">
        <v>4576</v>
      </c>
      <c r="C307" s="2814" t="s">
        <v>2049</v>
      </c>
      <c r="D307" s="2749" t="s">
        <v>2049</v>
      </c>
      <c r="E307" s="2814" t="s">
        <v>2049</v>
      </c>
    </row>
    <row r="308" spans="1:5" s="2811" customFormat="1">
      <c r="A308" s="2911" t="str">
        <f>translations!B308</f>
        <v>tCO2/t N</v>
      </c>
      <c r="B308" s="2749" t="s">
        <v>4577</v>
      </c>
      <c r="C308" s="2814" t="s">
        <v>2050</v>
      </c>
      <c r="D308" s="2749" t="s">
        <v>2050</v>
      </c>
      <c r="E308" s="2814" t="s">
        <v>2050</v>
      </c>
    </row>
    <row r="309" spans="1:5" s="2811" customFormat="1">
      <c r="A309" s="2911" t="str">
        <f>translations!B309</f>
        <v>tCO2/t P2O5</v>
      </c>
      <c r="B309" s="2749" t="s">
        <v>4578</v>
      </c>
      <c r="C309" s="2814" t="s">
        <v>2051</v>
      </c>
      <c r="D309" s="2749" t="s">
        <v>2051</v>
      </c>
      <c r="E309" s="2814" t="s">
        <v>2051</v>
      </c>
    </row>
    <row r="310" spans="1:5" s="2811" customFormat="1">
      <c r="A310" s="2911" t="str">
        <f>translations!B310</f>
        <v>tCO2/t K2O</v>
      </c>
      <c r="B310" s="2749" t="s">
        <v>4579</v>
      </c>
      <c r="C310" s="2814" t="s">
        <v>2052</v>
      </c>
      <c r="D310" s="2749" t="s">
        <v>2052</v>
      </c>
      <c r="E310" s="2814" t="s">
        <v>2052</v>
      </c>
    </row>
    <row r="311" spans="1:5" s="2811" customFormat="1">
      <c r="A311" s="2911" t="str">
        <f>translations!B311</f>
        <v>tCO2/t active ingredient</v>
      </c>
      <c r="B311" s="2749" t="s">
        <v>4580</v>
      </c>
      <c r="C311" s="2814" t="s">
        <v>5258</v>
      </c>
      <c r="D311" s="2749" t="s">
        <v>5965</v>
      </c>
      <c r="E311" s="2814" t="s">
        <v>6751</v>
      </c>
    </row>
    <row r="312" spans="1:5" s="2811" customFormat="1" ht="63.75">
      <c r="A312" s="2911" t="str">
        <f>translations!B312</f>
        <v>CO2 removal from the atmosphere during urea manufacturing is estimated in the Industrial Processes and Product Use Sector by the country where urea was produced.</v>
      </c>
      <c r="B312" s="2749" t="s">
        <v>4592</v>
      </c>
      <c r="C312" s="2814" t="s">
        <v>5259</v>
      </c>
      <c r="D312" s="2749" t="s">
        <v>5966</v>
      </c>
      <c r="E312" s="2814" t="s">
        <v>6752</v>
      </c>
    </row>
    <row r="313" spans="1:5" s="2811" customFormat="1" ht="63.75">
      <c r="A313" s="2911" t="str">
        <f>translations!B313</f>
        <v>By default EX-ACT considers that urea is imported and do not account for this sink, but you can force the calculation to do so:</v>
      </c>
      <c r="B313" s="2749" t="s">
        <v>4589</v>
      </c>
      <c r="C313" s="2814" t="s">
        <v>5260</v>
      </c>
      <c r="D313" s="2749" t="s">
        <v>5967</v>
      </c>
      <c r="E313" s="2814" t="s">
        <v>6753</v>
      </c>
    </row>
    <row r="314" spans="1:5" s="2811" customFormat="1" ht="25.5">
      <c r="A314" s="2911" t="str">
        <f>translations!B314</f>
        <v>Account the manufacturing sink?</v>
      </c>
      <c r="B314" s="2749" t="s">
        <v>4590</v>
      </c>
      <c r="C314" s="2814" t="s">
        <v>5261</v>
      </c>
      <c r="D314" s="2749" t="s">
        <v>5968</v>
      </c>
      <c r="E314" s="2814" t="s">
        <v>6754</v>
      </c>
    </row>
    <row r="315" spans="1:5" s="2811" customFormat="1">
      <c r="A315" s="2911" t="str">
        <f>translations!B315</f>
        <v>Urea</v>
      </c>
      <c r="B315" s="2749" t="s">
        <v>4591</v>
      </c>
      <c r="C315" s="2814" t="s">
        <v>5262</v>
      </c>
      <c r="D315" s="2749" t="s">
        <v>373</v>
      </c>
      <c r="E315" s="2814" t="s">
        <v>373</v>
      </c>
    </row>
    <row r="316" spans="1:5" s="2811" customFormat="1" ht="25.5">
      <c r="A316" s="2911" t="str">
        <f>translations!B316</f>
        <v>Emission factor for the selected country</v>
      </c>
      <c r="B316" s="2749" t="s">
        <v>4593</v>
      </c>
      <c r="C316" s="2814" t="s">
        <v>5263</v>
      </c>
      <c r="D316" s="2749" t="s">
        <v>5969</v>
      </c>
      <c r="E316" s="2814" t="s">
        <v>6755</v>
      </c>
    </row>
    <row r="317" spans="1:5" s="2811" customFormat="1" ht="25.5">
      <c r="A317" s="2911" t="str">
        <f>translations!B317</f>
        <v>Losses of electricity during transportation</v>
      </c>
      <c r="B317" s="2749" t="s">
        <v>4583</v>
      </c>
      <c r="C317" s="2814" t="s">
        <v>5264</v>
      </c>
      <c r="D317" s="2749" t="s">
        <v>5970</v>
      </c>
      <c r="E317" s="2814" t="s">
        <v>7451</v>
      </c>
    </row>
    <row r="318" spans="1:5" s="2811" customFormat="1">
      <c r="A318" s="2911" t="str">
        <f>translations!B318</f>
        <v>tCO2/MWh/yr</v>
      </c>
      <c r="B318" s="2749" t="s">
        <v>4810</v>
      </c>
      <c r="C318" s="2817" t="s">
        <v>5451</v>
      </c>
      <c r="D318" s="3578" t="s">
        <v>5971</v>
      </c>
      <c r="E318" s="2814" t="s">
        <v>6893</v>
      </c>
    </row>
    <row r="319" spans="1:5" s="2811" customFormat="1">
      <c r="A319" s="2911" t="str">
        <f>translations!B319</f>
        <v>%</v>
      </c>
      <c r="B319" s="2749" t="s">
        <v>93</v>
      </c>
      <c r="C319" s="2814" t="s">
        <v>93</v>
      </c>
      <c r="D319" s="3578" t="s">
        <v>93</v>
      </c>
      <c r="E319" s="2814" t="s">
        <v>93</v>
      </c>
    </row>
    <row r="320" spans="1:5" s="2811" customFormat="1">
      <c r="A320" s="2911" t="str">
        <f>translations!B320</f>
        <v>t CO2 /m3</v>
      </c>
      <c r="B320" s="2749" t="s">
        <v>4584</v>
      </c>
      <c r="C320" s="2814" t="s">
        <v>927</v>
      </c>
      <c r="D320" s="2749" t="s">
        <v>927</v>
      </c>
      <c r="E320" s="2814" t="s">
        <v>927</v>
      </c>
    </row>
    <row r="321" spans="1:5" s="2811" customFormat="1">
      <c r="A321" s="2911" t="str">
        <f>translations!B321</f>
        <v>Please precise the name</v>
      </c>
      <c r="B321" s="2749" t="s">
        <v>4594</v>
      </c>
      <c r="C321" s="2814" t="s">
        <v>5265</v>
      </c>
      <c r="D321" s="2749" t="s">
        <v>5972</v>
      </c>
      <c r="E321" s="2814" t="s">
        <v>6756</v>
      </c>
    </row>
    <row r="322" spans="1:5" s="2811" customFormat="1">
      <c r="A322" s="2911" t="str">
        <f>translations!B322</f>
        <v>Unit used</v>
      </c>
      <c r="B322" s="2749" t="s">
        <v>4595</v>
      </c>
      <c r="C322" s="2814" t="s">
        <v>5256</v>
      </c>
      <c r="D322" s="2749" t="s">
        <v>5973</v>
      </c>
      <c r="E322" s="2814" t="s">
        <v>6757</v>
      </c>
    </row>
    <row r="323" spans="1:5" s="2811" customFormat="1">
      <c r="A323" s="2911" t="str">
        <f>translations!B323</f>
        <v>t CO2/t dry matter</v>
      </c>
      <c r="B323" s="2749" t="s">
        <v>4585</v>
      </c>
      <c r="C323" s="2814" t="s">
        <v>5266</v>
      </c>
      <c r="D323" s="2749" t="s">
        <v>5974</v>
      </c>
      <c r="E323" s="2814" t="s">
        <v>6758</v>
      </c>
    </row>
    <row r="324" spans="1:5" s="2811" customFormat="1">
      <c r="A324" s="2911" t="str">
        <f>translations!B324</f>
        <v>Irrigation systems</v>
      </c>
      <c r="B324" s="2749" t="s">
        <v>4596</v>
      </c>
      <c r="C324" s="2814" t="s">
        <v>5267</v>
      </c>
      <c r="D324" s="2749" t="s">
        <v>5975</v>
      </c>
      <c r="E324" s="2814" t="s">
        <v>6759</v>
      </c>
    </row>
    <row r="325" spans="1:5" s="2811" customFormat="1">
      <c r="A325" s="2911" t="str">
        <f>translations!B325</f>
        <v>Buildings and roads</v>
      </c>
      <c r="B325" s="2749" t="s">
        <v>4586</v>
      </c>
      <c r="C325" s="2814" t="s">
        <v>5268</v>
      </c>
      <c r="D325" s="2749" t="s">
        <v>5976</v>
      </c>
      <c r="E325" s="2814" t="s">
        <v>6760</v>
      </c>
    </row>
    <row r="326" spans="1:5" s="2811" customFormat="1">
      <c r="A326" s="2911" t="str">
        <f>translations!B326</f>
        <v>kgCO2/ha</v>
      </c>
      <c r="B326" s="2749" t="s">
        <v>4587</v>
      </c>
      <c r="C326" s="2814" t="s">
        <v>946</v>
      </c>
      <c r="D326" s="2749" t="s">
        <v>946</v>
      </c>
      <c r="E326" s="2814" t="s">
        <v>946</v>
      </c>
    </row>
    <row r="327" spans="1:5" s="2811" customFormat="1">
      <c r="A327" s="2911" t="str">
        <f>translations!B327</f>
        <v>t CO2/m2</v>
      </c>
      <c r="B327" s="2749" t="s">
        <v>4588</v>
      </c>
      <c r="C327" s="2814" t="s">
        <v>2058</v>
      </c>
      <c r="D327" s="2749" t="s">
        <v>2058</v>
      </c>
      <c r="E327" s="2814" t="s">
        <v>6761</v>
      </c>
    </row>
    <row r="328" spans="1:5" s="2811" customFormat="1">
      <c r="A328" s="2911">
        <f>translations!B328</f>
        <v>0</v>
      </c>
      <c r="B328" s="2749"/>
      <c r="C328" s="2814"/>
      <c r="D328" s="2749"/>
      <c r="E328" s="2814"/>
    </row>
    <row r="329" spans="1:5" s="2811" customFormat="1">
      <c r="A329" s="2911">
        <f>translations!B329</f>
        <v>0</v>
      </c>
      <c r="B329" s="2749"/>
      <c r="C329" s="2814"/>
      <c r="D329" s="2749"/>
      <c r="E329" s="2814"/>
    </row>
    <row r="330" spans="1:5" s="2811" customFormat="1">
      <c r="A330" s="2911">
        <f>translations!B330</f>
        <v>0</v>
      </c>
      <c r="B330" s="2749"/>
      <c r="C330" s="2814"/>
      <c r="D330" s="2749"/>
      <c r="E330" s="2814"/>
    </row>
    <row r="331" spans="1:5" s="2811" customFormat="1">
      <c r="A331" s="2911">
        <f>translations!B331</f>
        <v>0</v>
      </c>
      <c r="B331" s="2749"/>
      <c r="C331" s="2814"/>
      <c r="D331" s="2749"/>
      <c r="E331" s="2814"/>
    </row>
    <row r="332" spans="1:5" s="2811" customFormat="1">
      <c r="A332" s="2911">
        <f>translations!B332</f>
        <v>0</v>
      </c>
      <c r="B332" s="2749"/>
      <c r="C332" s="2814"/>
      <c r="D332" s="2749"/>
      <c r="E332" s="2814"/>
    </row>
    <row r="333" spans="1:5" s="2811" customFormat="1">
      <c r="A333" s="2911">
        <f>translations!B333</f>
        <v>0</v>
      </c>
      <c r="B333" s="2749"/>
      <c r="C333" s="2814"/>
      <c r="D333" s="2749"/>
      <c r="E333" s="2814"/>
    </row>
    <row r="334" spans="1:5" s="2811" customFormat="1">
      <c r="A334" s="2911">
        <f>translations!B334</f>
        <v>0</v>
      </c>
      <c r="B334" s="2749"/>
      <c r="C334" s="2814"/>
      <c r="D334" s="2749"/>
      <c r="E334" s="2814"/>
    </row>
    <row r="335" spans="1:5" s="2811" customFormat="1">
      <c r="A335" s="2911">
        <f>translations!B335</f>
        <v>0</v>
      </c>
      <c r="B335" s="2749"/>
      <c r="C335" s="2814"/>
      <c r="D335" s="2749"/>
      <c r="E335" s="2814"/>
    </row>
    <row r="336" spans="1:5" s="2811" customFormat="1">
      <c r="A336" s="2911">
        <f>translations!B336</f>
        <v>0</v>
      </c>
      <c r="B336" s="2749"/>
      <c r="C336" s="2814"/>
      <c r="D336" s="2749"/>
      <c r="E336" s="2814"/>
    </row>
    <row r="337" spans="1:12" s="2811" customFormat="1">
      <c r="A337" s="2911">
        <f>translations!B337</f>
        <v>0</v>
      </c>
      <c r="B337" s="2749"/>
      <c r="C337" s="2814"/>
      <c r="D337" s="2749"/>
      <c r="E337" s="2814"/>
    </row>
    <row r="338" spans="1:12" s="2811" customFormat="1">
      <c r="A338" s="2911">
        <f>translations!B338</f>
        <v>0</v>
      </c>
      <c r="B338" s="2749"/>
      <c r="C338" s="2814"/>
      <c r="D338" s="2749"/>
      <c r="E338" s="2814"/>
    </row>
    <row r="339" spans="1:12" s="2811" customFormat="1">
      <c r="A339" s="2911">
        <f>translations!B339</f>
        <v>0</v>
      </c>
      <c r="B339" s="2749"/>
      <c r="C339" s="2814"/>
      <c r="D339" s="2749"/>
      <c r="E339" s="2814"/>
    </row>
    <row r="340" spans="1:12" s="2811" customFormat="1">
      <c r="A340" s="2911">
        <f>translations!B340</f>
        <v>0</v>
      </c>
      <c r="B340" s="2749"/>
      <c r="C340" s="2814"/>
      <c r="D340" s="2749"/>
      <c r="E340" s="2814"/>
    </row>
    <row r="341" spans="1:12" s="2709" customFormat="1">
      <c r="A341" s="2580" t="str">
        <f>translations!B341</f>
        <v>English</v>
      </c>
      <c r="B341" s="2752" t="str">
        <f>B1</f>
        <v>Português</v>
      </c>
      <c r="C341" s="2890" t="s">
        <v>5057</v>
      </c>
      <c r="D341" s="3267" t="s">
        <v>5723</v>
      </c>
      <c r="E341" s="2890" t="s">
        <v>6520</v>
      </c>
      <c r="F341" s="2710" t="str">
        <f t="shared" ref="F341:L341" si="5">F1</f>
        <v>Lang004</v>
      </c>
      <c r="G341" s="2710" t="str">
        <f t="shared" si="5"/>
        <v>Lang005</v>
      </c>
      <c r="H341" s="2710" t="str">
        <f t="shared" si="5"/>
        <v>Lang006</v>
      </c>
      <c r="I341" s="2710" t="str">
        <f t="shared" si="5"/>
        <v>Lang007</v>
      </c>
      <c r="J341" s="2710" t="str">
        <f t="shared" si="5"/>
        <v>Lang008</v>
      </c>
      <c r="K341" s="2710" t="str">
        <f t="shared" si="5"/>
        <v>Lang009</v>
      </c>
      <c r="L341" s="2710" t="str">
        <f t="shared" si="5"/>
        <v>Lang010</v>
      </c>
    </row>
    <row r="342" spans="1:12" s="2811" customFormat="1">
      <c r="A342" s="2911" t="str">
        <f>translations!B342</f>
        <v>Total area (ha)</v>
      </c>
      <c r="B342" s="2749" t="s">
        <v>4201</v>
      </c>
      <c r="C342" s="2814" t="s">
        <v>5269</v>
      </c>
      <c r="D342" s="2749" t="s">
        <v>1474</v>
      </c>
      <c r="E342" s="2814" t="s">
        <v>6762</v>
      </c>
    </row>
    <row r="343" spans="1:12" s="2811" customFormat="1">
      <c r="A343" s="2911" t="str">
        <f>translations!B343</f>
        <v>Components of the project</v>
      </c>
      <c r="B343" s="2749" t="s">
        <v>4597</v>
      </c>
      <c r="C343" s="2814" t="s">
        <v>5270</v>
      </c>
      <c r="D343" s="2749" t="s">
        <v>5977</v>
      </c>
      <c r="E343" s="2814" t="s">
        <v>6763</v>
      </c>
    </row>
    <row r="344" spans="1:12" s="2811" customFormat="1">
      <c r="A344" s="2911" t="str">
        <f>translations!B344</f>
        <v>Gross fluxes</v>
      </c>
      <c r="B344" s="2749" t="s">
        <v>4602</v>
      </c>
      <c r="C344" s="2814" t="s">
        <v>5271</v>
      </c>
      <c r="D344" s="2749" t="s">
        <v>5978</v>
      </c>
      <c r="E344" s="2814" t="s">
        <v>6764</v>
      </c>
    </row>
    <row r="345" spans="1:12" s="2811" customFormat="1">
      <c r="A345" s="2911" t="str">
        <f>translations!B345</f>
        <v>All GHG in tCO2eq</v>
      </c>
      <c r="B345" s="2749" t="s">
        <v>4603</v>
      </c>
      <c r="C345" s="2814" t="s">
        <v>5272</v>
      </c>
      <c r="D345" s="2749" t="s">
        <v>5979</v>
      </c>
      <c r="E345" s="2814" t="s">
        <v>6765</v>
      </c>
    </row>
    <row r="346" spans="1:12" s="2811" customFormat="1" ht="25.5">
      <c r="A346" s="2911" t="str">
        <f>translations!B346</f>
        <v>Positive = source / negative = sink</v>
      </c>
      <c r="B346" s="2749" t="s">
        <v>8185</v>
      </c>
      <c r="C346" s="2814" t="s">
        <v>8186</v>
      </c>
      <c r="D346" s="2749" t="s">
        <v>8187</v>
      </c>
      <c r="E346" s="2814" t="s">
        <v>8188</v>
      </c>
    </row>
    <row r="347" spans="1:12" s="2811" customFormat="1" ht="25.5">
      <c r="A347" s="2911" t="str">
        <f>translations!B347</f>
        <v>Share per GHG of the Balance</v>
      </c>
      <c r="B347" s="2749" t="s">
        <v>4604</v>
      </c>
      <c r="C347" s="2814" t="s">
        <v>5273</v>
      </c>
      <c r="D347" s="2749" t="s">
        <v>5980</v>
      </c>
      <c r="E347" s="2814" t="s">
        <v>6766</v>
      </c>
    </row>
    <row r="348" spans="1:12" s="2811" customFormat="1">
      <c r="A348" s="2911" t="str">
        <f>translations!B348</f>
        <v>Biomass</v>
      </c>
      <c r="B348" s="2749" t="s">
        <v>4605</v>
      </c>
      <c r="C348" s="2814" t="s">
        <v>2074</v>
      </c>
      <c r="D348" s="2749" t="s">
        <v>4605</v>
      </c>
      <c r="E348" s="2814" t="s">
        <v>6767</v>
      </c>
    </row>
    <row r="349" spans="1:12" s="2811" customFormat="1">
      <c r="A349" s="2911" t="str">
        <f>translations!B349</f>
        <v>Soil</v>
      </c>
      <c r="B349" s="2749" t="s">
        <v>4606</v>
      </c>
      <c r="C349" s="2814" t="s">
        <v>5274</v>
      </c>
      <c r="D349" s="2749" t="s">
        <v>5981</v>
      </c>
      <c r="E349" s="2814" t="s">
        <v>6532</v>
      </c>
    </row>
    <row r="350" spans="1:12" s="2811" customFormat="1">
      <c r="A350" s="2911" t="str">
        <f>translations!B350</f>
        <v>Other</v>
      </c>
      <c r="B350" s="2749" t="s">
        <v>3912</v>
      </c>
      <c r="C350" s="2814" t="s">
        <v>5186</v>
      </c>
      <c r="D350" s="2749" t="s">
        <v>5885</v>
      </c>
      <c r="E350" s="2814" t="s">
        <v>6675</v>
      </c>
    </row>
    <row r="351" spans="1:12" s="2811" customFormat="1">
      <c r="A351" s="2911" t="str">
        <f>translations!B351</f>
        <v>Result per year</v>
      </c>
      <c r="B351" s="2749" t="s">
        <v>4598</v>
      </c>
      <c r="C351" s="2814" t="s">
        <v>5275</v>
      </c>
      <c r="D351" s="2749" t="s">
        <v>5982</v>
      </c>
      <c r="E351" s="2814" t="s">
        <v>6768</v>
      </c>
    </row>
    <row r="352" spans="1:12" s="2811" customFormat="1">
      <c r="A352" s="2911" t="str">
        <f>translations!B352</f>
        <v>Land use changes</v>
      </c>
      <c r="B352" s="2749" t="s">
        <v>4599</v>
      </c>
      <c r="C352" s="2814" t="s">
        <v>5276</v>
      </c>
      <c r="D352" s="2749" t="s">
        <v>5983</v>
      </c>
      <c r="E352" s="2814" t="s">
        <v>6769</v>
      </c>
    </row>
    <row r="353" spans="1:5" s="2811" customFormat="1">
      <c r="A353" s="2911" t="str">
        <f>translations!B353</f>
        <v>Deforestation</v>
      </c>
      <c r="B353" s="2749" t="s">
        <v>4607</v>
      </c>
      <c r="C353" s="2814" t="s">
        <v>5277</v>
      </c>
      <c r="D353" s="2749" t="s">
        <v>5984</v>
      </c>
      <c r="E353" s="2814" t="s">
        <v>6533</v>
      </c>
    </row>
    <row r="354" spans="1:5" s="2811" customFormat="1">
      <c r="A354" s="2911" t="str">
        <f>translations!B354</f>
        <v>Afforestation</v>
      </c>
      <c r="B354" s="2749" t="s">
        <v>4608</v>
      </c>
      <c r="C354" s="2817" t="s">
        <v>5459</v>
      </c>
      <c r="D354" s="2749" t="s">
        <v>5985</v>
      </c>
      <c r="E354" s="2814" t="s">
        <v>6770</v>
      </c>
    </row>
    <row r="355" spans="1:5" s="2811" customFormat="1">
      <c r="A355" s="2911" t="str">
        <f>translations!B355</f>
        <v>Other LUC</v>
      </c>
      <c r="B355" s="2749" t="s">
        <v>4609</v>
      </c>
      <c r="C355" s="2817" t="s">
        <v>5460</v>
      </c>
      <c r="D355" s="2749" t="s">
        <v>5986</v>
      </c>
      <c r="E355" s="2814" t="s">
        <v>6771</v>
      </c>
    </row>
    <row r="356" spans="1:5" s="2811" customFormat="1">
      <c r="A356" s="2911" t="str">
        <f>translations!B356</f>
        <v>Agriculture</v>
      </c>
      <c r="B356" s="2749" t="s">
        <v>4213</v>
      </c>
      <c r="C356" s="2814" t="s">
        <v>5278</v>
      </c>
      <c r="D356" s="2749" t="s">
        <v>5987</v>
      </c>
      <c r="E356" s="2814" t="s">
        <v>6772</v>
      </c>
    </row>
    <row r="357" spans="1:5" s="2811" customFormat="1">
      <c r="A357" s="2911" t="str">
        <f>translations!B357</f>
        <v>Annual</v>
      </c>
      <c r="B357" s="2749" t="s">
        <v>3929</v>
      </c>
      <c r="C357" s="2814" t="s">
        <v>5203</v>
      </c>
      <c r="D357" s="2749" t="s">
        <v>5903</v>
      </c>
      <c r="E357" s="2814" t="s">
        <v>6693</v>
      </c>
    </row>
    <row r="358" spans="1:5" s="2811" customFormat="1">
      <c r="A358" s="2911" t="str">
        <f>translations!B358</f>
        <v>Perennial</v>
      </c>
      <c r="B358" s="2749" t="s">
        <v>3930</v>
      </c>
      <c r="C358" s="2814" t="s">
        <v>5204</v>
      </c>
      <c r="D358" s="2749" t="s">
        <v>5904</v>
      </c>
      <c r="E358" s="2814" t="s">
        <v>6694</v>
      </c>
    </row>
    <row r="359" spans="1:5" s="2811" customFormat="1">
      <c r="A359" s="2911" t="str">
        <f>translations!B359</f>
        <v>Rice</v>
      </c>
      <c r="B359" s="2749" t="s">
        <v>4216</v>
      </c>
      <c r="C359" s="2817" t="s">
        <v>4900</v>
      </c>
      <c r="D359" s="2749" t="s">
        <v>5988</v>
      </c>
      <c r="E359" s="2814" t="s">
        <v>6773</v>
      </c>
    </row>
    <row r="360" spans="1:5" s="2811" customFormat="1">
      <c r="A360" s="2911" t="str">
        <f>translations!B360</f>
        <v>Grassland &amp; Livestocks</v>
      </c>
      <c r="B360" s="2749" t="s">
        <v>4610</v>
      </c>
      <c r="C360" s="2817" t="s">
        <v>5462</v>
      </c>
      <c r="D360" s="2749" t="s">
        <v>5989</v>
      </c>
      <c r="E360" s="2814" t="s">
        <v>6774</v>
      </c>
    </row>
    <row r="361" spans="1:5" s="2811" customFormat="1">
      <c r="A361" s="2911" t="str">
        <f>translations!B361</f>
        <v>Grassland</v>
      </c>
      <c r="B361" s="2749" t="s">
        <v>2449</v>
      </c>
      <c r="C361" s="2814" t="s">
        <v>4902</v>
      </c>
      <c r="D361" s="2749" t="s">
        <v>5905</v>
      </c>
      <c r="E361" s="2814" t="s">
        <v>6695</v>
      </c>
    </row>
    <row r="362" spans="1:5" s="2811" customFormat="1">
      <c r="A362" s="2911" t="str">
        <f>translations!B362</f>
        <v>Livestocks</v>
      </c>
      <c r="B362" s="2749" t="s">
        <v>4611</v>
      </c>
      <c r="C362" s="2814" t="s">
        <v>5279</v>
      </c>
      <c r="D362" s="2749" t="s">
        <v>5990</v>
      </c>
      <c r="E362" s="2814" t="s">
        <v>6775</v>
      </c>
    </row>
    <row r="363" spans="1:5" s="2811" customFormat="1">
      <c r="A363" s="2911" t="str">
        <f>translations!B363</f>
        <v>Degradation &amp; Management</v>
      </c>
      <c r="B363" s="2749" t="s">
        <v>4612</v>
      </c>
      <c r="C363" s="2817" t="s">
        <v>5461</v>
      </c>
      <c r="D363" s="2749" t="s">
        <v>5991</v>
      </c>
      <c r="E363" s="2814" t="s">
        <v>6776</v>
      </c>
    </row>
    <row r="364" spans="1:5" s="2811" customFormat="1">
      <c r="A364" s="2911" t="str">
        <f>translations!B364</f>
        <v>Inputs &amp; Investments</v>
      </c>
      <c r="B364" s="2749" t="s">
        <v>4613</v>
      </c>
      <c r="C364" s="2814" t="s">
        <v>5280</v>
      </c>
      <c r="D364" s="2749" t="s">
        <v>5992</v>
      </c>
      <c r="E364" s="2814" t="s">
        <v>6777</v>
      </c>
    </row>
    <row r="365" spans="1:5" s="2811" customFormat="1">
      <c r="A365" s="2911" t="str">
        <f>translations!B365</f>
        <v>Total</v>
      </c>
      <c r="B365" s="2749" t="s">
        <v>516</v>
      </c>
      <c r="C365" s="2814" t="s">
        <v>5281</v>
      </c>
      <c r="D365" s="2749" t="s">
        <v>516</v>
      </c>
      <c r="E365" s="2814" t="s">
        <v>6778</v>
      </c>
    </row>
    <row r="366" spans="1:5" s="2811" customFormat="1">
      <c r="A366" s="2911" t="str">
        <f>translations!B366</f>
        <v>Per hectare</v>
      </c>
      <c r="B366" s="2749" t="s">
        <v>4614</v>
      </c>
      <c r="C366" s="2814" t="s">
        <v>5282</v>
      </c>
      <c r="D366" s="2749" t="s">
        <v>5993</v>
      </c>
      <c r="E366" s="2814" t="s">
        <v>6779</v>
      </c>
    </row>
    <row r="367" spans="1:5" s="2811" customFormat="1">
      <c r="A367" s="2911" t="str">
        <f>translations!B367</f>
        <v>Per hectare per year</v>
      </c>
      <c r="B367" s="2749" t="s">
        <v>4600</v>
      </c>
      <c r="C367" s="2814" t="s">
        <v>5283</v>
      </c>
      <c r="D367" s="2749" t="s">
        <v>5994</v>
      </c>
      <c r="E367" s="2814" t="s">
        <v>6780</v>
      </c>
    </row>
    <row r="368" spans="1:5" s="2811" customFormat="1">
      <c r="A368" s="2911" t="str">
        <f>translations!B368</f>
        <v>CO2-Biomass</v>
      </c>
      <c r="B368" s="2749" t="s">
        <v>4601</v>
      </c>
      <c r="C368" s="2814" t="s">
        <v>2106</v>
      </c>
      <c r="D368" s="2749" t="s">
        <v>4601</v>
      </c>
      <c r="E368" s="2814" t="s">
        <v>6781</v>
      </c>
    </row>
    <row r="369" spans="1:5" s="2811" customFormat="1">
      <c r="A369" s="2911" t="str">
        <f>translations!B369</f>
        <v>CO2-Soil</v>
      </c>
      <c r="B369" s="2749" t="s">
        <v>4615</v>
      </c>
      <c r="C369" s="2814" t="s">
        <v>5284</v>
      </c>
      <c r="D369" s="2749" t="s">
        <v>5995</v>
      </c>
      <c r="E369" s="2814" t="s">
        <v>6782</v>
      </c>
    </row>
    <row r="370" spans="1:5" s="2811" customFormat="1">
      <c r="A370" s="2911" t="str">
        <f>translations!B370</f>
        <v>CO2-Other</v>
      </c>
      <c r="B370" s="2749" t="s">
        <v>4616</v>
      </c>
      <c r="C370" s="2814" t="s">
        <v>5285</v>
      </c>
      <c r="D370" s="2749" t="s">
        <v>5996</v>
      </c>
      <c r="E370" s="2814" t="s">
        <v>6783</v>
      </c>
    </row>
    <row r="371" spans="1:5" s="2811" customFormat="1" ht="25.5">
      <c r="A371" s="2911" t="str">
        <f>translations!B371</f>
        <v>Use in a Simple Value Chain Assessment</v>
      </c>
      <c r="B371" s="2749" t="s">
        <v>4617</v>
      </c>
      <c r="C371" s="2814" t="s">
        <v>5400</v>
      </c>
      <c r="D371" s="2749" t="s">
        <v>5997</v>
      </c>
      <c r="E371" s="2814" t="s">
        <v>6784</v>
      </c>
    </row>
    <row r="372" spans="1:5" s="2811" customFormat="1">
      <c r="A372" s="2911" t="str">
        <f>translations!B372</f>
        <v>Fluxes per component</v>
      </c>
      <c r="B372" s="2749" t="s">
        <v>4618</v>
      </c>
      <c r="C372" s="2814" t="s">
        <v>5286</v>
      </c>
      <c r="D372" s="2749" t="s">
        <v>5998</v>
      </c>
      <c r="E372" s="2814" t="s">
        <v>6785</v>
      </c>
    </row>
    <row r="373" spans="1:5" s="2811" customFormat="1">
      <c r="A373" s="2911" t="str">
        <f>translations!B373</f>
        <v>Balance per component</v>
      </c>
      <c r="B373" s="2749" t="s">
        <v>4619</v>
      </c>
      <c r="C373" s="2814" t="s">
        <v>5287</v>
      </c>
      <c r="D373" s="2749" t="s">
        <v>5999</v>
      </c>
      <c r="E373" s="2814" t="s">
        <v>6786</v>
      </c>
    </row>
    <row r="374" spans="1:5" s="2811" customFormat="1" ht="25.5">
      <c r="A374" s="2911" t="str">
        <f>translations!B374</f>
        <v>Total without and with project and balance</v>
      </c>
      <c r="B374" s="2749" t="s">
        <v>4620</v>
      </c>
      <c r="C374" s="2814" t="s">
        <v>5288</v>
      </c>
      <c r="D374" s="2749" t="s">
        <v>6000</v>
      </c>
      <c r="E374" s="2814" t="s">
        <v>6787</v>
      </c>
    </row>
    <row r="375" spans="1:5" s="2811" customFormat="1" ht="25.5">
      <c r="A375" s="2911" t="str">
        <f>translations!B375</f>
        <v>Share of the balance per GHG (plus origin for CO2)</v>
      </c>
      <c r="B375" s="2749" t="s">
        <v>4621</v>
      </c>
      <c r="C375" s="2814" t="s">
        <v>5289</v>
      </c>
      <c r="D375" s="2749" t="s">
        <v>6001</v>
      </c>
      <c r="E375" s="2814" t="s">
        <v>6788</v>
      </c>
    </row>
    <row r="376" spans="1:5" s="2811" customFormat="1" ht="25.5">
      <c r="A376" s="2911" t="str">
        <f>translations!B376</f>
        <v>Evolutions of land use / category (hectares - ha)</v>
      </c>
      <c r="B376" s="2749" t="s">
        <v>4843</v>
      </c>
      <c r="C376" s="2814" t="s">
        <v>5290</v>
      </c>
      <c r="D376" s="2749" t="s">
        <v>6002</v>
      </c>
      <c r="E376" s="2814" t="s">
        <v>6789</v>
      </c>
    </row>
    <row r="377" spans="1:5" s="2811" customFormat="1">
      <c r="A377" s="2911" t="str">
        <f>translations!B377</f>
        <v>Forest/Plantation</v>
      </c>
      <c r="B377" s="2749" t="s">
        <v>4622</v>
      </c>
      <c r="C377" s="2814" t="s">
        <v>5291</v>
      </c>
      <c r="D377" s="2749" t="s">
        <v>6003</v>
      </c>
      <c r="E377" s="2814" t="s">
        <v>6790</v>
      </c>
    </row>
    <row r="378" spans="1:5" s="2811" customFormat="1">
      <c r="A378" s="2911" t="str">
        <f>translations!B378</f>
        <v>Other lands</v>
      </c>
      <c r="B378" s="2749" t="s">
        <v>4623</v>
      </c>
      <c r="C378" s="2814" t="s">
        <v>4912</v>
      </c>
      <c r="D378" s="2749" t="s">
        <v>6004</v>
      </c>
      <c r="E378" s="2814" t="s">
        <v>6791</v>
      </c>
    </row>
    <row r="379" spans="1:5" s="2811" customFormat="1">
      <c r="A379" s="2911" t="str">
        <f>translations!B379</f>
        <v>Degraded</v>
      </c>
      <c r="B379" s="2749" t="s">
        <v>4624</v>
      </c>
      <c r="C379" s="2814" t="s">
        <v>4903</v>
      </c>
      <c r="D379" s="2749" t="s">
        <v>6005</v>
      </c>
      <c r="E379" s="2814" t="s">
        <v>6792</v>
      </c>
    </row>
    <row r="380" spans="1:5" s="2811" customFormat="1">
      <c r="A380" s="2911" t="str">
        <f>translations!B380</f>
        <v>Other</v>
      </c>
      <c r="B380" s="2749" t="s">
        <v>3912</v>
      </c>
      <c r="C380" s="2814" t="s">
        <v>5186</v>
      </c>
      <c r="D380" s="2749" t="s">
        <v>5885</v>
      </c>
      <c r="E380" s="2814" t="s">
        <v>6675</v>
      </c>
    </row>
    <row r="381" spans="1:5" s="2811" customFormat="1">
      <c r="A381" s="2911" t="str">
        <f>translations!B381</f>
        <v>Wetlands</v>
      </c>
      <c r="B381" s="2749" t="s">
        <v>4625</v>
      </c>
      <c r="C381" s="2814" t="s">
        <v>4869</v>
      </c>
      <c r="D381" s="2749" t="s">
        <v>6006</v>
      </c>
      <c r="E381" s="2814" t="s">
        <v>6793</v>
      </c>
    </row>
    <row r="382" spans="1:5" s="2811" customFormat="1">
      <c r="A382" s="2911" t="str">
        <f>translations!B382</f>
        <v>Uncertainty level</v>
      </c>
      <c r="B382" s="2749" t="s">
        <v>4626</v>
      </c>
      <c r="C382" s="2814" t="s">
        <v>5292</v>
      </c>
      <c r="D382" s="2749" t="s">
        <v>6007</v>
      </c>
      <c r="E382" s="2814" t="s">
        <v>6794</v>
      </c>
    </row>
    <row r="383" spans="1:5" s="2811" customFormat="1">
      <c r="A383" s="2911" t="str">
        <f>translations!B383</f>
        <v>Net balance</v>
      </c>
      <c r="B383" s="2749" t="s">
        <v>4627</v>
      </c>
      <c r="C383" s="2814" t="s">
        <v>5293</v>
      </c>
      <c r="D383" s="2749" t="s">
        <v>6008</v>
      </c>
      <c r="E383" s="2814" t="s">
        <v>6795</v>
      </c>
    </row>
    <row r="384" spans="1:5" s="2811" customFormat="1">
      <c r="A384" s="2911" t="str">
        <f>translations!B384</f>
        <v>Total uncert.</v>
      </c>
      <c r="B384" s="2749" t="s">
        <v>4628</v>
      </c>
      <c r="C384" s="2814" t="s">
        <v>5294</v>
      </c>
      <c r="D384" s="2749" t="s">
        <v>6009</v>
      </c>
      <c r="E384" s="2814" t="s">
        <v>6796</v>
      </c>
    </row>
    <row r="385" spans="1:5" s="2811" customFormat="1">
      <c r="A385" s="2911" t="str">
        <f>translations!B385</f>
        <v>% of uncertainty</v>
      </c>
      <c r="B385" s="2749" t="s">
        <v>4629</v>
      </c>
      <c r="C385" s="2814" t="s">
        <v>5295</v>
      </c>
      <c r="D385" s="2749" t="s">
        <v>6010</v>
      </c>
      <c r="E385" s="2814" t="s">
        <v>6797</v>
      </c>
    </row>
    <row r="386" spans="1:5" s="2811" customFormat="1">
      <c r="A386" s="2911" t="str">
        <f>translations!B386</f>
        <v>Detailed matrices of changes</v>
      </c>
      <c r="B386" s="2749" t="s">
        <v>4630</v>
      </c>
      <c r="C386" s="2814" t="s">
        <v>5296</v>
      </c>
      <c r="D386" s="2749" t="s">
        <v>6011</v>
      </c>
      <c r="E386" s="2814" t="s">
        <v>6798</v>
      </c>
    </row>
    <row r="387" spans="1:5" s="2811" customFormat="1" ht="38.25">
      <c r="A387" s="2911" t="str">
        <f>translations!B387</f>
        <v>Total area must be equal in all situations: Please check carrefully all components</v>
      </c>
      <c r="B387" s="2749" t="s">
        <v>4637</v>
      </c>
      <c r="C387" s="2814" t="s">
        <v>5297</v>
      </c>
      <c r="D387" s="2749" t="s">
        <v>6012</v>
      </c>
      <c r="E387" s="2814" t="s">
        <v>6799</v>
      </c>
    </row>
    <row r="388" spans="1:5" s="2811" customFormat="1">
      <c r="A388" s="2911" t="str">
        <f>translations!B388</f>
        <v>Other indicators</v>
      </c>
      <c r="B388" s="2749" t="s">
        <v>4638</v>
      </c>
      <c r="C388" s="2814" t="s">
        <v>5298</v>
      </c>
      <c r="D388" s="2749" t="s">
        <v>6013</v>
      </c>
      <c r="E388" s="2814" t="s">
        <v>6800</v>
      </c>
    </row>
    <row r="389" spans="1:5" s="2811" customFormat="1">
      <c r="A389" s="2911" t="str">
        <f>translations!B389</f>
        <v>Area Irrigated - ha</v>
      </c>
      <c r="B389" s="2749" t="s">
        <v>4631</v>
      </c>
      <c r="C389" s="2814" t="s">
        <v>5299</v>
      </c>
      <c r="D389" s="2749" t="s">
        <v>6014</v>
      </c>
      <c r="E389" s="2814" t="s">
        <v>6801</v>
      </c>
    </row>
    <row r="390" spans="1:5" s="2811" customFormat="1">
      <c r="A390" s="2911" t="str">
        <f>translations!B390</f>
        <v>Irrigated rice</v>
      </c>
      <c r="B390" s="2749" t="s">
        <v>2447</v>
      </c>
      <c r="C390" s="2814" t="s">
        <v>4900</v>
      </c>
      <c r="D390" s="2749" t="s">
        <v>6015</v>
      </c>
      <c r="E390" s="2814" t="s">
        <v>6802</v>
      </c>
    </row>
    <row r="391" spans="1:5" s="2811" customFormat="1">
      <c r="A391" s="2911" t="str">
        <f>translations!B391</f>
        <v>Annual Crops</v>
      </c>
      <c r="B391" s="2749" t="s">
        <v>4639</v>
      </c>
      <c r="C391" s="2814" t="s">
        <v>5203</v>
      </c>
      <c r="D391" s="2749" t="s">
        <v>6016</v>
      </c>
      <c r="E391" s="2814" t="s">
        <v>6803</v>
      </c>
    </row>
    <row r="392" spans="1:5" s="2811" customFormat="1">
      <c r="A392" s="2911" t="str">
        <f>translations!B392</f>
        <v>Cumulated areas burnt - ha</v>
      </c>
      <c r="B392" s="2749" t="s">
        <v>4640</v>
      </c>
      <c r="C392" s="2814" t="s">
        <v>5300</v>
      </c>
      <c r="D392" s="2749" t="s">
        <v>6017</v>
      </c>
      <c r="E392" s="2814" t="s">
        <v>6804</v>
      </c>
    </row>
    <row r="393" spans="1:5" s="2811" customFormat="1">
      <c r="A393" s="2911" t="str">
        <f>translations!B393</f>
        <v>From deforestation</v>
      </c>
      <c r="B393" s="2749" t="s">
        <v>4641</v>
      </c>
      <c r="C393" s="2814" t="s">
        <v>5301</v>
      </c>
      <c r="D393" s="2749" t="s">
        <v>6018</v>
      </c>
      <c r="E393" s="2814" t="s">
        <v>6805</v>
      </c>
    </row>
    <row r="394" spans="1:5" s="2811" customFormat="1">
      <c r="A394" s="2911" t="str">
        <f>translations!B394</f>
        <v>From degradation</v>
      </c>
      <c r="B394" s="2749" t="s">
        <v>4642</v>
      </c>
      <c r="C394" s="2814" t="s">
        <v>5302</v>
      </c>
      <c r="D394" s="2749" t="s">
        <v>6019</v>
      </c>
      <c r="E394" s="2814" t="s">
        <v>6806</v>
      </c>
    </row>
    <row r="395" spans="1:5" s="2811" customFormat="1">
      <c r="A395" s="2911" t="str">
        <f>translations!B395</f>
        <v>Back to main results</v>
      </c>
      <c r="B395" s="2749" t="s">
        <v>4632</v>
      </c>
      <c r="C395" s="2814" t="s">
        <v>5303</v>
      </c>
      <c r="D395" s="2749" t="s">
        <v>6020</v>
      </c>
      <c r="E395" s="2814" t="s">
        <v>6807</v>
      </c>
    </row>
    <row r="396" spans="1:5" s="2811" customFormat="1">
      <c r="A396" s="2911" t="str">
        <f>translations!B396</f>
        <v>Production</v>
      </c>
      <c r="B396" s="2749" t="s">
        <v>4643</v>
      </c>
      <c r="C396" s="2814" t="s">
        <v>5304</v>
      </c>
      <c r="D396" s="2749" t="s">
        <v>6021</v>
      </c>
      <c r="E396" s="2814" t="s">
        <v>6808</v>
      </c>
    </row>
    <row r="397" spans="1:5" s="2811" customFormat="1">
      <c r="A397" s="2911" t="str">
        <f>translations!B397</f>
        <v>t of product</v>
      </c>
      <c r="B397" s="2749" t="s">
        <v>4633</v>
      </c>
      <c r="C397" s="2814" t="s">
        <v>5305</v>
      </c>
      <c r="D397" s="2749" t="s">
        <v>6022</v>
      </c>
      <c r="E397" s="2814" t="s">
        <v>6809</v>
      </c>
    </row>
    <row r="398" spans="1:5" s="2811" customFormat="1">
      <c r="A398" s="2911" t="str">
        <f>translations!B398</f>
        <v>Gross emission intensity</v>
      </c>
      <c r="B398" s="2749" t="s">
        <v>4644</v>
      </c>
      <c r="C398" s="2814" t="s">
        <v>5306</v>
      </c>
      <c r="D398" s="2749" t="s">
        <v>6023</v>
      </c>
      <c r="E398" s="2814" t="s">
        <v>6810</v>
      </c>
    </row>
    <row r="399" spans="1:5" s="2811" customFormat="1">
      <c r="A399" s="2911" t="str">
        <f>translations!B399</f>
        <v>tCO2eq per t of product</v>
      </c>
      <c r="B399" s="2749" t="s">
        <v>4634</v>
      </c>
      <c r="C399" s="2814" t="s">
        <v>5307</v>
      </c>
      <c r="D399" s="2749" t="s">
        <v>6024</v>
      </c>
      <c r="E399" s="2814" t="s">
        <v>6811</v>
      </c>
    </row>
    <row r="400" spans="1:5" s="2811" customFormat="1">
      <c r="A400" s="2911" t="str">
        <f>translations!B400</f>
        <v>Percentage of human use</v>
      </c>
      <c r="B400" s="2749" t="s">
        <v>4635</v>
      </c>
      <c r="C400" s="2814" t="s">
        <v>5308</v>
      </c>
      <c r="D400" s="2749" t="s">
        <v>6025</v>
      </c>
      <c r="E400" s="2814" t="s">
        <v>6812</v>
      </c>
    </row>
    <row r="401" spans="1:5" s="2811" customFormat="1">
      <c r="A401" s="2911" t="str">
        <f>translations!B401</f>
        <v>Corresponding quantity used</v>
      </c>
      <c r="B401" s="2749" t="s">
        <v>4645</v>
      </c>
      <c r="C401" s="2814" t="s">
        <v>5309</v>
      </c>
      <c r="D401" s="2749" t="s">
        <v>6026</v>
      </c>
      <c r="E401" s="2814" t="s">
        <v>6813</v>
      </c>
    </row>
    <row r="402" spans="1:5" s="2811" customFormat="1">
      <c r="A402" s="2911" t="str">
        <f>translations!B402</f>
        <v>All Land Use Changes</v>
      </c>
      <c r="B402" s="2749" t="s">
        <v>4646</v>
      </c>
      <c r="C402" s="2814" t="s">
        <v>5310</v>
      </c>
      <c r="D402" s="2749" t="s">
        <v>6027</v>
      </c>
      <c r="E402" s="2814" t="s">
        <v>6814</v>
      </c>
    </row>
    <row r="403" spans="1:5" s="2811" customFormat="1" ht="38.25">
      <c r="A403" s="2911" t="str">
        <f>translations!B403</f>
        <v>Detailled Emissions in t CO2-eq for the different phases of the Value Chain</v>
      </c>
      <c r="B403" s="2749" t="s">
        <v>4647</v>
      </c>
      <c r="C403" s="2814" t="s">
        <v>5311</v>
      </c>
      <c r="D403" s="2749" t="s">
        <v>6028</v>
      </c>
      <c r="E403" s="2814" t="s">
        <v>6815</v>
      </c>
    </row>
    <row r="404" spans="1:5" s="2811" customFormat="1">
      <c r="A404" s="2911" t="str">
        <f>translations!B404</f>
        <v>Emissions (tCO2/t product)</v>
      </c>
      <c r="B404" s="2749" t="s">
        <v>4636</v>
      </c>
      <c r="C404" s="2814" t="s">
        <v>5312</v>
      </c>
      <c r="D404" s="2749" t="s">
        <v>6029</v>
      </c>
      <c r="E404" s="2814" t="s">
        <v>6816</v>
      </c>
    </row>
    <row r="405" spans="1:5" s="2811" customFormat="1" ht="38.25">
      <c r="A405" s="2911" t="str">
        <f>translations!B405</f>
        <v>PRODUCTION Level (corresponding emissions calculated as a percentage of total quantity used)</v>
      </c>
      <c r="B405" s="2749" t="s">
        <v>4648</v>
      </c>
      <c r="C405" s="2814" t="s">
        <v>5313</v>
      </c>
      <c r="D405" s="2749" t="s">
        <v>6030</v>
      </c>
      <c r="E405" s="2814" t="s">
        <v>6817</v>
      </c>
    </row>
    <row r="406" spans="1:5" s="2811" customFormat="1" ht="38.25">
      <c r="A406" s="2911" t="str">
        <f>translations!B406</f>
        <v>Direct and indirect (induced LUC, degradation, Inputs &amp; Investments) emissions</v>
      </c>
      <c r="B406" s="2749" t="s">
        <v>4649</v>
      </c>
      <c r="C406" s="2814" t="s">
        <v>5314</v>
      </c>
      <c r="D406" s="2749" t="s">
        <v>6031</v>
      </c>
      <c r="E406" s="2814" t="s">
        <v>6818</v>
      </c>
    </row>
    <row r="407" spans="1:5" s="2811" customFormat="1" ht="25.5">
      <c r="A407" s="2911" t="str">
        <f>translations!B407</f>
        <v>PROCESSING Level (list inputs or processes necessary)</v>
      </c>
      <c r="B407" s="2749" t="s">
        <v>4650</v>
      </c>
      <c r="C407" s="2814" t="s">
        <v>5315</v>
      </c>
      <c r="D407" s="2749" t="s">
        <v>6032</v>
      </c>
      <c r="E407" s="2814" t="s">
        <v>6819</v>
      </c>
    </row>
    <row r="408" spans="1:5" s="2811" customFormat="1">
      <c r="A408" s="2911" t="str">
        <f>translations!B408</f>
        <v>Name of input/process</v>
      </c>
      <c r="B408" s="2749" t="s">
        <v>4651</v>
      </c>
      <c r="C408" s="2814" t="s">
        <v>5316</v>
      </c>
      <c r="D408" s="2749" t="s">
        <v>6033</v>
      </c>
      <c r="E408" s="2814" t="s">
        <v>6820</v>
      </c>
    </row>
    <row r="409" spans="1:5" s="2811" customFormat="1">
      <c r="A409" s="2911" t="str">
        <f>translations!B409</f>
        <v>Emission per input</v>
      </c>
      <c r="B409" s="2749" t="s">
        <v>4652</v>
      </c>
      <c r="C409" s="2814" t="s">
        <v>5317</v>
      </c>
      <c r="D409" s="2749" t="s">
        <v>6034</v>
      </c>
      <c r="E409" s="2814" t="s">
        <v>6821</v>
      </c>
    </row>
    <row r="410" spans="1:5" s="2811" customFormat="1">
      <c r="A410" s="2911" t="str">
        <f>translations!B410</f>
        <v>Input per t product</v>
      </c>
      <c r="B410" s="2749" t="s">
        <v>4653</v>
      </c>
      <c r="C410" s="2814" t="s">
        <v>5318</v>
      </c>
      <c r="D410" s="3578" t="s">
        <v>6035</v>
      </c>
      <c r="E410" s="2814" t="s">
        <v>6822</v>
      </c>
    </row>
    <row r="411" spans="1:5" s="2811" customFormat="1">
      <c r="A411" s="2911" t="str">
        <f>translations!B411</f>
        <v>Total for PROCESSING</v>
      </c>
      <c r="B411" s="2749" t="s">
        <v>4663</v>
      </c>
      <c r="C411" s="2814" t="s">
        <v>5319</v>
      </c>
      <c r="D411" s="2749" t="s">
        <v>6036</v>
      </c>
      <c r="E411" s="2814" t="s">
        <v>6823</v>
      </c>
    </row>
    <row r="412" spans="1:5" s="2811" customFormat="1" ht="38.25">
      <c r="A412" s="2911" t="str">
        <f>translations!B412</f>
        <v>TRANSPORT level (list the differents inputs or processes necessary)</v>
      </c>
      <c r="B412" s="2749" t="s">
        <v>4659</v>
      </c>
      <c r="C412" s="2814" t="s">
        <v>5320</v>
      </c>
      <c r="D412" s="2749" t="s">
        <v>6037</v>
      </c>
      <c r="E412" s="2814" t="s">
        <v>6824</v>
      </c>
    </row>
    <row r="413" spans="1:5" s="2811" customFormat="1">
      <c r="A413" s="2911" t="str">
        <f>translations!B413</f>
        <v>Total TRANSPORT</v>
      </c>
      <c r="B413" s="2749" t="s">
        <v>4654</v>
      </c>
      <c r="C413" s="2814" t="s">
        <v>5321</v>
      </c>
      <c r="D413" s="2749" t="s">
        <v>6038</v>
      </c>
      <c r="E413" s="2814" t="s">
        <v>6825</v>
      </c>
    </row>
    <row r="414" spans="1:5" s="2811" customFormat="1">
      <c r="A414" s="2911" t="str">
        <f>translations!B414</f>
        <v>Insert name below</v>
      </c>
      <c r="B414" s="2749" t="s">
        <v>4655</v>
      </c>
      <c r="C414" s="2814" t="s">
        <v>5322</v>
      </c>
      <c r="D414" s="2749" t="s">
        <v>6039</v>
      </c>
      <c r="E414" s="2814" t="s">
        <v>6826</v>
      </c>
    </row>
    <row r="415" spans="1:5" s="2811" customFormat="1" ht="25.5">
      <c r="A415" s="2911" t="str">
        <f>translations!B415</f>
        <v>USE level (list the differents inputs or steps necessary)</v>
      </c>
      <c r="B415" s="2749" t="s">
        <v>4660</v>
      </c>
      <c r="C415" s="2814" t="s">
        <v>5323</v>
      </c>
      <c r="D415" s="2749" t="s">
        <v>6040</v>
      </c>
      <c r="E415" s="2814" t="s">
        <v>6827</v>
      </c>
    </row>
    <row r="416" spans="1:5" s="2811" customFormat="1">
      <c r="A416" s="2911" t="str">
        <f>translations!B416</f>
        <v>Total for USE</v>
      </c>
      <c r="B416" s="2749" t="s">
        <v>4662</v>
      </c>
      <c r="C416" s="2814" t="s">
        <v>5324</v>
      </c>
      <c r="D416" s="3578" t="s">
        <v>6041</v>
      </c>
      <c r="E416" s="2814" t="s">
        <v>6828</v>
      </c>
    </row>
    <row r="417" spans="1:5" s="2811" customFormat="1" ht="38.25">
      <c r="A417" s="2911" t="str">
        <f>translations!B417</f>
        <v>WASTE level (list the differents inputs or steps necessary)</v>
      </c>
      <c r="B417" s="2749" t="s">
        <v>4661</v>
      </c>
      <c r="C417" s="2814" t="s">
        <v>5325</v>
      </c>
      <c r="D417" s="2749" t="s">
        <v>6042</v>
      </c>
      <c r="E417" s="2814" t="s">
        <v>6829</v>
      </c>
    </row>
    <row r="418" spans="1:5" s="2811" customFormat="1">
      <c r="A418" s="2911" t="str">
        <f>translations!B418</f>
        <v>Total for WASTE</v>
      </c>
      <c r="B418" s="2596" t="s">
        <v>4664</v>
      </c>
      <c r="C418" s="2814" t="s">
        <v>5326</v>
      </c>
      <c r="D418" s="2749" t="s">
        <v>6043</v>
      </c>
      <c r="E418" s="2814" t="s">
        <v>6830</v>
      </c>
    </row>
    <row r="419" spans="1:5" s="2811" customFormat="1" ht="38.25">
      <c r="A419" s="2911" t="str">
        <f>translations!B419</f>
        <v>Total Emissions in t CO2-eq for the different phases of the Value Chain</v>
      </c>
      <c r="B419" s="2749" t="s">
        <v>4665</v>
      </c>
      <c r="C419" s="2814" t="s">
        <v>5327</v>
      </c>
      <c r="D419" s="2749" t="s">
        <v>6044</v>
      </c>
      <c r="E419" s="2814" t="s">
        <v>6831</v>
      </c>
    </row>
    <row r="420" spans="1:5" s="2811" customFormat="1">
      <c r="A420" s="2911" t="str">
        <f>translations!B420</f>
        <v>PRODUCTION</v>
      </c>
      <c r="B420" s="2749" t="s">
        <v>4656</v>
      </c>
      <c r="C420" s="2814" t="s">
        <v>5328</v>
      </c>
      <c r="D420" s="2749" t="s">
        <v>6045</v>
      </c>
      <c r="E420" s="2814" t="s">
        <v>6832</v>
      </c>
    </row>
    <row r="421" spans="1:5" s="2811" customFormat="1">
      <c r="A421" s="2911" t="str">
        <f>translations!B421</f>
        <v>PROCESSING</v>
      </c>
      <c r="B421" s="2749" t="s">
        <v>4657</v>
      </c>
      <c r="C421" s="2814" t="s">
        <v>5329</v>
      </c>
      <c r="D421" s="2749" t="s">
        <v>6046</v>
      </c>
      <c r="E421" s="2814" t="s">
        <v>6833</v>
      </c>
    </row>
    <row r="422" spans="1:5" s="2811" customFormat="1">
      <c r="A422" s="2911" t="str">
        <f>translations!B422</f>
        <v>TRANSPORT</v>
      </c>
      <c r="B422" s="2749" t="s">
        <v>4273</v>
      </c>
      <c r="C422" s="2814" t="s">
        <v>5330</v>
      </c>
      <c r="D422" s="2749" t="s">
        <v>6047</v>
      </c>
      <c r="E422" s="2814" t="s">
        <v>6834</v>
      </c>
    </row>
    <row r="423" spans="1:5" s="2811" customFormat="1">
      <c r="A423" s="2911" t="str">
        <f>translations!B423</f>
        <v>USE</v>
      </c>
      <c r="B423" s="2749" t="s">
        <v>4274</v>
      </c>
      <c r="C423" s="2814" t="s">
        <v>5331</v>
      </c>
      <c r="D423" s="2749" t="s">
        <v>6048</v>
      </c>
      <c r="E423" s="2814" t="s">
        <v>6835</v>
      </c>
    </row>
    <row r="424" spans="1:5" s="2811" customFormat="1">
      <c r="A424" s="2911" t="str">
        <f>translations!B424</f>
        <v>WASTE</v>
      </c>
      <c r="B424" s="2749" t="s">
        <v>4658</v>
      </c>
      <c r="C424" s="2814" t="s">
        <v>5332</v>
      </c>
      <c r="D424" s="2749" t="s">
        <v>6049</v>
      </c>
      <c r="E424" s="2814" t="s">
        <v>6836</v>
      </c>
    </row>
    <row r="425" spans="1:5" s="2811" customFormat="1">
      <c r="A425" s="2911" t="str">
        <f>translations!B425</f>
        <v>Matrix of changes</v>
      </c>
      <c r="B425" s="2749" t="s">
        <v>4667</v>
      </c>
      <c r="C425" s="2814" t="s">
        <v>5333</v>
      </c>
      <c r="D425" s="2749" t="s">
        <v>6050</v>
      </c>
      <c r="E425" s="2814" t="s">
        <v>6837</v>
      </c>
    </row>
    <row r="426" spans="1:5" s="2811" customFormat="1">
      <c r="A426" s="2911" t="str">
        <f>translations!B426</f>
        <v>Mineral soils (ha)</v>
      </c>
      <c r="B426" s="2749" t="s">
        <v>4666</v>
      </c>
      <c r="C426" s="2814" t="s">
        <v>5334</v>
      </c>
      <c r="D426" s="2749" t="s">
        <v>6051</v>
      </c>
      <c r="E426" s="2814" t="s">
        <v>6838</v>
      </c>
    </row>
    <row r="427" spans="1:5" s="2811" customFormat="1">
      <c r="A427" s="2911" t="str">
        <f>translations!B427</f>
        <v>Organic Soils (ha)</v>
      </c>
      <c r="B427" s="2749" t="s">
        <v>4668</v>
      </c>
      <c r="C427" s="2814" t="s">
        <v>5335</v>
      </c>
      <c r="D427" s="2749" t="s">
        <v>6052</v>
      </c>
      <c r="E427" s="2814" t="s">
        <v>6839</v>
      </c>
    </row>
    <row r="428" spans="1:5" s="2811" customFormat="1">
      <c r="A428" s="2911" t="str">
        <f>translations!B428</f>
        <v>INITIAL</v>
      </c>
      <c r="B428" s="2749" t="s">
        <v>4279</v>
      </c>
      <c r="C428" s="2814" t="s">
        <v>340</v>
      </c>
      <c r="D428" s="2749" t="s">
        <v>6053</v>
      </c>
      <c r="E428" s="2814" t="s">
        <v>6840</v>
      </c>
    </row>
    <row r="429" spans="1:5" s="2811" customFormat="1">
      <c r="A429" s="2911" t="str">
        <f>translations!B429</f>
        <v>FINAL</v>
      </c>
      <c r="B429" s="2749" t="s">
        <v>1086</v>
      </c>
      <c r="C429" s="2814" t="s">
        <v>5336</v>
      </c>
      <c r="D429" s="2749" t="s">
        <v>6054</v>
      </c>
      <c r="E429" s="2814" t="s">
        <v>6841</v>
      </c>
    </row>
    <row r="430" spans="1:5" s="2811" customFormat="1">
      <c r="A430" s="2911" t="str">
        <f>translations!B430</f>
        <v>Total Initial</v>
      </c>
      <c r="B430" s="2749" t="s">
        <v>4280</v>
      </c>
      <c r="C430" s="2814" t="s">
        <v>5337</v>
      </c>
      <c r="D430" s="2749" t="s">
        <v>6055</v>
      </c>
      <c r="E430" s="2814" t="s">
        <v>6842</v>
      </c>
    </row>
    <row r="431" spans="1:5" s="2811" customFormat="1">
      <c r="A431" s="2911" t="str">
        <f>translations!B431</f>
        <v>Total Final</v>
      </c>
      <c r="B431" s="2749" t="s">
        <v>4281</v>
      </c>
      <c r="C431" s="2814" t="s">
        <v>5338</v>
      </c>
      <c r="D431" s="2749" t="s">
        <v>6056</v>
      </c>
      <c r="E431" s="2814" t="s">
        <v>6843</v>
      </c>
    </row>
    <row r="432" spans="1:5" s="2811" customFormat="1" ht="25.5">
      <c r="A432" s="2911" t="str">
        <f>translations!B432</f>
        <v>Select GWP for calculation</v>
      </c>
      <c r="B432" s="2749" t="s">
        <v>4669</v>
      </c>
      <c r="C432" s="2814" t="s">
        <v>5339</v>
      </c>
      <c r="D432" s="2749" t="s">
        <v>6057</v>
      </c>
      <c r="E432" s="2814" t="s">
        <v>6844</v>
      </c>
    </row>
    <row r="433" spans="1:12" s="2811" customFormat="1">
      <c r="A433" s="2911" t="str">
        <f>translations!B433</f>
        <v>Coastal Wetlands</v>
      </c>
      <c r="B433" s="2749" t="s">
        <v>8737</v>
      </c>
      <c r="C433" s="2814"/>
      <c r="D433" s="2749"/>
      <c r="E433" s="3613" t="s">
        <v>8799</v>
      </c>
    </row>
    <row r="434" spans="1:12" s="2811" customFormat="1">
      <c r="A434" s="2911" t="str">
        <f>translations!B434</f>
        <v>Fisheries and Aquaculture</v>
      </c>
      <c r="B434" s="2749" t="s">
        <v>8738</v>
      </c>
      <c r="C434" s="2814"/>
      <c r="D434" s="2749"/>
      <c r="E434" s="3613" t="s">
        <v>8800</v>
      </c>
    </row>
    <row r="435" spans="1:12" s="2811" customFormat="1">
      <c r="A435" s="2911">
        <f>translations!B435</f>
        <v>0</v>
      </c>
      <c r="B435" s="2749"/>
      <c r="C435" s="2814"/>
      <c r="D435" s="2749"/>
      <c r="E435" s="2814"/>
    </row>
    <row r="436" spans="1:12" s="2709" customFormat="1">
      <c r="A436" s="2580" t="str">
        <f>translations!B436</f>
        <v>English</v>
      </c>
      <c r="B436" s="2752" t="str">
        <f>B1</f>
        <v>Português</v>
      </c>
      <c r="C436" s="2890" t="s">
        <v>5057</v>
      </c>
      <c r="D436" s="3267" t="s">
        <v>5723</v>
      </c>
      <c r="E436" s="2890" t="s">
        <v>6520</v>
      </c>
      <c r="F436" s="2710" t="str">
        <f t="shared" ref="F436:L436" si="6">F1</f>
        <v>Lang004</v>
      </c>
      <c r="G436" s="2710" t="str">
        <f t="shared" si="6"/>
        <v>Lang005</v>
      </c>
      <c r="H436" s="2710" t="str">
        <f t="shared" si="6"/>
        <v>Lang006</v>
      </c>
      <c r="I436" s="2710" t="str">
        <f t="shared" si="6"/>
        <v>Lang007</v>
      </c>
      <c r="J436" s="2710" t="str">
        <f t="shared" si="6"/>
        <v>Lang008</v>
      </c>
      <c r="K436" s="2710" t="str">
        <f t="shared" si="6"/>
        <v>Lang009</v>
      </c>
      <c r="L436" s="2710" t="str">
        <f t="shared" si="6"/>
        <v>Lang010</v>
      </c>
    </row>
    <row r="437" spans="1:12" ht="76.5">
      <c r="A437" s="2577" t="str">
        <f>translations!B437</f>
        <v xml:space="preserve"> </v>
      </c>
      <c r="B437" s="2749" t="s">
        <v>5432</v>
      </c>
      <c r="C437" s="2815" t="s">
        <v>5431</v>
      </c>
      <c r="D437" s="2682" t="s">
        <v>1731</v>
      </c>
      <c r="E437" s="3613" t="s">
        <v>8801</v>
      </c>
    </row>
    <row r="438" spans="1:12" s="2811" customFormat="1">
      <c r="A438" s="2911">
        <f>translations!B438</f>
        <v>0</v>
      </c>
      <c r="B438" s="2749"/>
      <c r="C438" s="2814"/>
      <c r="D438" s="2749"/>
      <c r="E438" s="2814"/>
    </row>
    <row r="439" spans="1:12" s="2811" customFormat="1">
      <c r="A439" s="2911">
        <f>translations!B439</f>
        <v>0</v>
      </c>
      <c r="B439" s="2749"/>
      <c r="C439" s="2814"/>
      <c r="D439" s="2749"/>
      <c r="E439" s="2814"/>
    </row>
    <row r="440" spans="1:12" s="2811" customFormat="1">
      <c r="A440" s="2911">
        <f>translations!B440</f>
        <v>0</v>
      </c>
      <c r="B440" s="2749"/>
      <c r="C440" s="2814"/>
      <c r="D440" s="2749"/>
      <c r="E440" s="2814"/>
    </row>
    <row r="441" spans="1:12" s="2811" customFormat="1">
      <c r="A441" s="2911">
        <f>translations!B441</f>
        <v>0</v>
      </c>
      <c r="B441" s="2749"/>
      <c r="C441" s="2814"/>
      <c r="D441" s="2749"/>
      <c r="E441" s="2814"/>
    </row>
    <row r="442" spans="1:12" s="2811" customFormat="1">
      <c r="A442" s="2911">
        <f>translations!B442</f>
        <v>0</v>
      </c>
      <c r="B442" s="2749"/>
      <c r="C442" s="2814"/>
      <c r="D442" s="2749"/>
      <c r="E442" s="2814"/>
    </row>
    <row r="443" spans="1:12" s="2811" customFormat="1">
      <c r="A443" s="2911">
        <f>translations!B443</f>
        <v>0</v>
      </c>
      <c r="B443" s="2749"/>
      <c r="C443" s="2814"/>
      <c r="D443" s="2749"/>
      <c r="E443" s="2814"/>
    </row>
    <row r="444" spans="1:12" s="2811" customFormat="1">
      <c r="A444" s="2911">
        <f>translations!B444</f>
        <v>0</v>
      </c>
      <c r="B444" s="2749"/>
      <c r="C444" s="2814"/>
      <c r="D444" s="2749"/>
      <c r="E444" s="2814"/>
    </row>
    <row r="445" spans="1:12" s="3316" customFormat="1">
      <c r="A445" s="3313" t="str">
        <f>translations!B445</f>
        <v>English</v>
      </c>
      <c r="B445" s="3314" t="s">
        <v>4670</v>
      </c>
      <c r="C445" s="3315" t="s">
        <v>5057</v>
      </c>
      <c r="D445" s="3314" t="s">
        <v>5723</v>
      </c>
      <c r="E445" s="3315" t="s">
        <v>6520</v>
      </c>
    </row>
    <row r="446" spans="1:12" s="2811" customFormat="1">
      <c r="A446" s="2911" t="str">
        <f>translations!B446</f>
        <v>Soil</v>
      </c>
      <c r="B446" s="2749" t="s">
        <v>4606</v>
      </c>
      <c r="C446" s="2814" t="s">
        <v>5274</v>
      </c>
      <c r="D446" s="2749" t="s">
        <v>5981</v>
      </c>
      <c r="E446" s="2814" t="s">
        <v>6532</v>
      </c>
    </row>
    <row r="447" spans="1:12" s="2811" customFormat="1">
      <c r="A447" s="2911" t="str">
        <f>translations!B447</f>
        <v>Soil classifications</v>
      </c>
      <c r="B447" s="2749" t="s">
        <v>4671</v>
      </c>
      <c r="C447" s="2814" t="s">
        <v>5340</v>
      </c>
      <c r="D447" s="2749" t="s">
        <v>6058</v>
      </c>
      <c r="E447" s="2814" t="s">
        <v>6845</v>
      </c>
    </row>
    <row r="448" spans="1:12" s="2811" customFormat="1">
      <c r="A448" s="2911" t="str">
        <f>translations!B448</f>
        <v>WRB-2006</v>
      </c>
      <c r="B448" s="2749" t="s">
        <v>1051</v>
      </c>
      <c r="C448" s="2814" t="s">
        <v>1051</v>
      </c>
      <c r="D448" s="2749" t="s">
        <v>1051</v>
      </c>
      <c r="E448" s="2814" t="s">
        <v>1051</v>
      </c>
    </row>
    <row r="449" spans="1:5" s="2811" customFormat="1">
      <c r="A449" s="2911" t="str">
        <f>translations!B449</f>
        <v>IPCC</v>
      </c>
      <c r="B449" s="2749" t="s">
        <v>337</v>
      </c>
      <c r="C449" s="2814" t="s">
        <v>337</v>
      </c>
      <c r="D449" s="2749" t="s">
        <v>337</v>
      </c>
      <c r="E449" s="2814" t="s">
        <v>337</v>
      </c>
    </row>
    <row r="450" spans="1:5" s="2811" customFormat="1">
      <c r="A450" s="2911" t="str">
        <f>translations!B450</f>
        <v>Climate</v>
      </c>
      <c r="B450" s="2749" t="s">
        <v>3969</v>
      </c>
      <c r="C450" s="2814" t="s">
        <v>5341</v>
      </c>
      <c r="D450" s="2749" t="s">
        <v>5730</v>
      </c>
      <c r="E450" s="2814" t="s">
        <v>6526</v>
      </c>
    </row>
    <row r="451" spans="1:5" s="2811" customFormat="1" ht="25.5">
      <c r="A451" s="2911" t="str">
        <f>translations!B451</f>
        <v>Climate Helper : Help  to determine the Climate category with MAT and MAP</v>
      </c>
      <c r="B451" s="2749" t="s">
        <v>4672</v>
      </c>
      <c r="C451" s="2814" t="s">
        <v>5342</v>
      </c>
      <c r="D451" s="2749" t="s">
        <v>6059</v>
      </c>
      <c r="E451" s="2814" t="s">
        <v>6846</v>
      </c>
    </row>
    <row r="452" spans="1:5" s="2811" customFormat="1">
      <c r="A452" s="2911" t="str">
        <f>translations!B452</f>
        <v>MAT</v>
      </c>
      <c r="B452" s="2749" t="s">
        <v>2211</v>
      </c>
      <c r="C452" s="2814" t="s">
        <v>5343</v>
      </c>
      <c r="D452" s="2749" t="s">
        <v>294</v>
      </c>
      <c r="E452" s="2814" t="s">
        <v>294</v>
      </c>
    </row>
    <row r="453" spans="1:5" s="2811" customFormat="1">
      <c r="A453" s="2911" t="str">
        <f>translations!B453</f>
        <v>MAP</v>
      </c>
      <c r="B453" s="2749" t="s">
        <v>4673</v>
      </c>
      <c r="C453" s="2814" t="s">
        <v>5344</v>
      </c>
      <c r="D453" s="2749" t="s">
        <v>295</v>
      </c>
      <c r="E453" s="2814" t="s">
        <v>295</v>
      </c>
    </row>
    <row r="454" spans="1:5" s="2811" customFormat="1">
      <c r="A454" s="2911" t="str">
        <f>translations!B454</f>
        <v>Mean Annual temperature in °C</v>
      </c>
      <c r="B454" s="2749" t="s">
        <v>4676</v>
      </c>
      <c r="C454" s="2814" t="s">
        <v>5345</v>
      </c>
      <c r="D454" s="2749" t="s">
        <v>6060</v>
      </c>
      <c r="E454" s="2814" t="s">
        <v>6847</v>
      </c>
    </row>
    <row r="455" spans="1:5" s="2811" customFormat="1">
      <c r="A455" s="2911" t="str">
        <f>translations!B455</f>
        <v>Mean Annual Precipitation in mm</v>
      </c>
      <c r="B455" s="2749" t="s">
        <v>4677</v>
      </c>
      <c r="C455" s="2814" t="s">
        <v>5346</v>
      </c>
      <c r="D455" s="2749" t="s">
        <v>6061</v>
      </c>
      <c r="E455" s="2814" t="s">
        <v>6848</v>
      </c>
    </row>
    <row r="456" spans="1:5" s="2811" customFormat="1" ht="25.5">
      <c r="A456" s="2911" t="str">
        <f>translations!B456</f>
        <v>Moist if MAP&gt;PET and Dry if PET&gt;MAP</v>
      </c>
      <c r="B456" s="2749" t="s">
        <v>4678</v>
      </c>
      <c r="C456" s="2814" t="s">
        <v>5347</v>
      </c>
      <c r="D456" s="2749" t="s">
        <v>6062</v>
      </c>
      <c r="E456" s="2814" t="s">
        <v>6849</v>
      </c>
    </row>
    <row r="457" spans="1:5" s="2811" customFormat="1">
      <c r="A457" s="2911" t="str">
        <f>translations!B457</f>
        <v>PET=Potential EvapoTranspiration</v>
      </c>
      <c r="B457" s="2749" t="s">
        <v>8189</v>
      </c>
      <c r="C457" s="2814" t="s">
        <v>2215</v>
      </c>
      <c r="D457" s="2749" t="s">
        <v>8190</v>
      </c>
      <c r="E457" s="2814" t="s">
        <v>8191</v>
      </c>
    </row>
    <row r="458" spans="1:5" s="2811" customFormat="1">
      <c r="A458" s="2911" t="str">
        <f>translations!B458</f>
        <v>MAT and Climate Category</v>
      </c>
      <c r="B458" s="2749" t="s">
        <v>4679</v>
      </c>
      <c r="C458" s="2814" t="s">
        <v>5348</v>
      </c>
      <c r="D458" s="2749" t="s">
        <v>6063</v>
      </c>
      <c r="E458" s="2814" t="s">
        <v>6850</v>
      </c>
    </row>
    <row r="459" spans="1:5" s="2811" customFormat="1">
      <c r="A459" s="2911" t="str">
        <f>translations!B459</f>
        <v>MAT &gt; 18</v>
      </c>
      <c r="B459" s="2749" t="s">
        <v>2218</v>
      </c>
      <c r="C459" s="2814" t="s">
        <v>321</v>
      </c>
      <c r="D459" s="2749" t="s">
        <v>321</v>
      </c>
      <c r="E459" s="2814" t="s">
        <v>321</v>
      </c>
    </row>
    <row r="460" spans="1:5" s="2811" customFormat="1">
      <c r="A460" s="2911" t="str">
        <f>translations!B460</f>
        <v>10 &gt; MAT &gt; 18</v>
      </c>
      <c r="B460" s="2749" t="s">
        <v>2219</v>
      </c>
      <c r="C460" s="2814" t="s">
        <v>2220</v>
      </c>
      <c r="D460" s="2749" t="s">
        <v>2220</v>
      </c>
      <c r="E460" s="2814" t="s">
        <v>2220</v>
      </c>
    </row>
    <row r="461" spans="1:5" s="2811" customFormat="1">
      <c r="A461" s="2911" t="str">
        <f>translations!B461</f>
        <v>0 &gt; MAT &gt; 10</v>
      </c>
      <c r="B461" s="2749" t="s">
        <v>2221</v>
      </c>
      <c r="C461" s="2814" t="s">
        <v>2222</v>
      </c>
      <c r="D461" s="2749" t="s">
        <v>2222</v>
      </c>
      <c r="E461" s="2814" t="s">
        <v>2222</v>
      </c>
    </row>
    <row r="462" spans="1:5" s="2811" customFormat="1">
      <c r="A462" s="2911" t="str">
        <f>translations!B462</f>
        <v>MAT &lt; 0</v>
      </c>
      <c r="B462" s="2749" t="s">
        <v>2223</v>
      </c>
      <c r="C462" s="2814" t="s">
        <v>78</v>
      </c>
      <c r="D462" s="2749" t="s">
        <v>78</v>
      </c>
      <c r="E462" s="2814" t="s">
        <v>78</v>
      </c>
    </row>
    <row r="463" spans="1:5" s="2811" customFormat="1" ht="25.5">
      <c r="A463" s="2911" t="str">
        <f>translations!B463</f>
        <v>Note: Tropical Montane is usually Dry</v>
      </c>
      <c r="B463" s="2749" t="s">
        <v>4682</v>
      </c>
      <c r="C463" s="2814" t="s">
        <v>5349</v>
      </c>
      <c r="D463" s="2749" t="s">
        <v>6064</v>
      </c>
      <c r="E463" s="2814" t="s">
        <v>6851</v>
      </c>
    </row>
    <row r="464" spans="1:5" s="2811" customFormat="1">
      <c r="A464" s="2911" t="str">
        <f>translations!B464</f>
        <v>IPCC Climate Zones</v>
      </c>
      <c r="B464" s="2749" t="s">
        <v>4683</v>
      </c>
      <c r="C464" s="2814" t="s">
        <v>5350</v>
      </c>
      <c r="D464" s="2749" t="s">
        <v>6065</v>
      </c>
      <c r="E464" s="2814" t="s">
        <v>6852</v>
      </c>
    </row>
    <row r="465" spans="1:5" s="2811" customFormat="1">
      <c r="A465" s="2911" t="str">
        <f>translations!B465</f>
        <v>No Data</v>
      </c>
      <c r="B465" s="2749" t="s">
        <v>2228</v>
      </c>
      <c r="C465" s="2814" t="s">
        <v>5351</v>
      </c>
      <c r="D465" s="2749" t="s">
        <v>6066</v>
      </c>
      <c r="E465" s="2814" t="s">
        <v>6853</v>
      </c>
    </row>
    <row r="466" spans="1:5" s="2811" customFormat="1">
      <c r="A466" s="2911" t="str">
        <f>translations!B466</f>
        <v>Default MAT</v>
      </c>
      <c r="B466" s="2749" t="s">
        <v>4684</v>
      </c>
      <c r="C466" s="2814" t="s">
        <v>5352</v>
      </c>
      <c r="D466" s="2749" t="s">
        <v>6067</v>
      </c>
      <c r="E466" s="2814" t="s">
        <v>6854</v>
      </c>
    </row>
    <row r="467" spans="1:5" s="2811" customFormat="1">
      <c r="A467" s="2911" t="str">
        <f>translations!B467</f>
        <v>Simplified IPCC Climate Zones</v>
      </c>
      <c r="B467" s="2749" t="s">
        <v>4685</v>
      </c>
      <c r="C467" s="2814" t="s">
        <v>5353</v>
      </c>
      <c r="D467" s="2749" t="s">
        <v>6068</v>
      </c>
      <c r="E467" s="2814" t="s">
        <v>6855</v>
      </c>
    </row>
    <row r="468" spans="1:5" s="2811" customFormat="1">
      <c r="A468" s="2911" t="str">
        <f>translations!B468</f>
        <v>Cool</v>
      </c>
      <c r="B468" s="2749" t="s">
        <v>4686</v>
      </c>
      <c r="C468" s="2814" t="s">
        <v>5354</v>
      </c>
      <c r="D468" s="2749" t="s">
        <v>6069</v>
      </c>
      <c r="E468" s="2814" t="s">
        <v>6856</v>
      </c>
    </row>
    <row r="469" spans="1:5" s="2811" customFormat="1">
      <c r="A469" s="2911" t="str">
        <f>translations!B469</f>
        <v>Warm</v>
      </c>
      <c r="B469" s="2749" t="s">
        <v>4687</v>
      </c>
      <c r="C469" s="2814" t="s">
        <v>2234</v>
      </c>
      <c r="D469" s="2749" t="s">
        <v>6070</v>
      </c>
      <c r="E469" s="2814" t="s">
        <v>6857</v>
      </c>
    </row>
    <row r="470" spans="1:5" s="2811" customFormat="1">
      <c r="A470" s="2911" t="str">
        <f>translations!B470</f>
        <v>Boreal</v>
      </c>
      <c r="B470" s="2749" t="s">
        <v>391</v>
      </c>
      <c r="C470" s="2814" t="s">
        <v>391</v>
      </c>
      <c r="D470" s="2749" t="s">
        <v>391</v>
      </c>
      <c r="E470" s="2814" t="s">
        <v>6858</v>
      </c>
    </row>
    <row r="471" spans="1:5" s="2811" customFormat="1">
      <c r="A471" s="2911" t="str">
        <f>translations!B471</f>
        <v>(or Polar)</v>
      </c>
      <c r="B471" s="2749" t="s">
        <v>4680</v>
      </c>
      <c r="C471" s="2814" t="s">
        <v>5355</v>
      </c>
      <c r="D471" s="2749" t="s">
        <v>6071</v>
      </c>
      <c r="E471" s="2814" t="s">
        <v>6859</v>
      </c>
    </row>
    <row r="472" spans="1:5" s="2811" customFormat="1">
      <c r="A472" s="2911" t="str">
        <f>translations!B472</f>
        <v>FAO ressources:</v>
      </c>
      <c r="B472" s="2749" t="s">
        <v>4688</v>
      </c>
      <c r="C472" s="2814" t="s">
        <v>5356</v>
      </c>
      <c r="D472" s="2749" t="s">
        <v>6072</v>
      </c>
      <c r="E472" s="2814" t="s">
        <v>6860</v>
      </c>
    </row>
    <row r="473" spans="1:5" s="2811" customFormat="1">
      <c r="A473" s="2911" t="str">
        <f>translations!B473</f>
        <v>MAP and MAT Maps</v>
      </c>
      <c r="B473" s="2749" t="s">
        <v>4689</v>
      </c>
      <c r="C473" s="2814" t="s">
        <v>5357</v>
      </c>
      <c r="D473" s="2749" t="s">
        <v>6073</v>
      </c>
      <c r="E473" s="2814" t="s">
        <v>6861</v>
      </c>
    </row>
    <row r="474" spans="1:5" s="2811" customFormat="1" ht="25.5">
      <c r="A474" s="2911" t="str">
        <f>translations!B474</f>
        <v>See the Global Climate map at FAO</v>
      </c>
      <c r="B474" s="2749" t="s">
        <v>4681</v>
      </c>
      <c r="C474" s="2814" t="s">
        <v>5358</v>
      </c>
      <c r="D474" s="2749" t="s">
        <v>6074</v>
      </c>
      <c r="E474" s="2814" t="s">
        <v>6862</v>
      </c>
    </row>
    <row r="475" spans="1:5" s="2811" customFormat="1" ht="25.5">
      <c r="A475" s="2911" t="str">
        <f>translations!B475</f>
        <v>Annual average rainfall total</v>
      </c>
      <c r="B475" s="2749" t="s">
        <v>4690</v>
      </c>
      <c r="C475" s="2814" t="s">
        <v>5359</v>
      </c>
      <c r="D475" s="2749" t="s">
        <v>6075</v>
      </c>
      <c r="E475" s="2814" t="s">
        <v>6863</v>
      </c>
    </row>
    <row r="476" spans="1:5" s="2811" customFormat="1">
      <c r="A476" s="2911" t="str">
        <f>translations!B476</f>
        <v>Annual average temperature</v>
      </c>
      <c r="B476" s="2749" t="s">
        <v>4691</v>
      </c>
      <c r="C476" s="2814" t="s">
        <v>5360</v>
      </c>
      <c r="D476" s="2749" t="s">
        <v>6076</v>
      </c>
      <c r="E476" s="2814" t="s">
        <v>6864</v>
      </c>
    </row>
    <row r="477" spans="1:5" s="2811" customFormat="1">
      <c r="A477" s="2911" t="str">
        <f>translations!B477</f>
        <v>LocClim</v>
      </c>
      <c r="B477" s="2749" t="s">
        <v>1042</v>
      </c>
      <c r="C477" s="2814" t="s">
        <v>1042</v>
      </c>
      <c r="D477" s="2749" t="s">
        <v>1042</v>
      </c>
      <c r="E477" s="2814" t="s">
        <v>6865</v>
      </c>
    </row>
    <row r="478" spans="1:5" s="2811" customFormat="1">
      <c r="A478" s="2911" t="str">
        <f>translations!B478</f>
        <v>Web Loc Clim</v>
      </c>
      <c r="B478" s="2749" t="s">
        <v>1043</v>
      </c>
      <c r="C478" s="2814" t="s">
        <v>2857</v>
      </c>
      <c r="D478" s="2749" t="s">
        <v>1043</v>
      </c>
      <c r="E478" s="2814" t="s">
        <v>6866</v>
      </c>
    </row>
    <row r="479" spans="1:5" s="2811" customFormat="1" ht="89.25">
      <c r="A479" s="2911" t="str">
        <f>translations!B479</f>
        <v xml:space="preserve">LocClim was developed to provide an estimate of climatic conditions at locations for which no observations are available. To achieve this, the programme uses the 28800 stations of FAOCLIM 2.0 </v>
      </c>
      <c r="B479" s="2749" t="s">
        <v>4692</v>
      </c>
      <c r="C479" s="2814" t="s">
        <v>5361</v>
      </c>
      <c r="D479" s="2749" t="s">
        <v>6077</v>
      </c>
      <c r="E479" s="2814" t="s">
        <v>6867</v>
      </c>
    </row>
    <row r="480" spans="1:5" s="2811" customFormat="1" ht="25.5">
      <c r="A480" s="2911" t="str">
        <f>translations!B480</f>
        <v>Click here to go to the application</v>
      </c>
      <c r="B480" s="2749" t="s">
        <v>4693</v>
      </c>
      <c r="C480" s="2814" t="s">
        <v>5362</v>
      </c>
      <c r="D480" s="2749" t="s">
        <v>6078</v>
      </c>
      <c r="E480" s="2814" t="s">
        <v>6868</v>
      </c>
    </row>
    <row r="481" spans="1:12" s="2811" customFormat="1" ht="51">
      <c r="A481" s="2911" t="str">
        <f>translations!B481</f>
        <v>For on-line climate data using localisation see also Web LocClim the  local monthly climate estimator</v>
      </c>
      <c r="B481" s="2749" t="s">
        <v>4696</v>
      </c>
      <c r="C481" s="2814" t="s">
        <v>5363</v>
      </c>
      <c r="D481" s="2749" t="s">
        <v>6079</v>
      </c>
      <c r="E481" s="2814" t="s">
        <v>6869</v>
      </c>
    </row>
    <row r="482" spans="1:12" s="2811" customFormat="1">
      <c r="A482" s="2911" t="str">
        <f>translations!B482</f>
        <v>Go to Web LocClim</v>
      </c>
      <c r="B482" s="2749" t="s">
        <v>4694</v>
      </c>
      <c r="C482" s="2814" t="s">
        <v>5364</v>
      </c>
      <c r="D482" s="2749" t="s">
        <v>6080</v>
      </c>
      <c r="E482" s="2814" t="s">
        <v>6870</v>
      </c>
    </row>
    <row r="483" spans="1:12" s="2811" customFormat="1">
      <c r="A483" s="2911" t="str">
        <f>translations!B483</f>
        <v>Global Ecological Zones</v>
      </c>
      <c r="B483" s="2749" t="s">
        <v>4697</v>
      </c>
      <c r="C483" s="2814" t="s">
        <v>5365</v>
      </c>
      <c r="D483" s="2749" t="s">
        <v>6081</v>
      </c>
      <c r="E483" s="2814" t="s">
        <v>6871</v>
      </c>
    </row>
    <row r="484" spans="1:12" s="2811" customFormat="1" ht="63.75">
      <c r="A484" s="2911" t="str">
        <f>translations!B484</f>
        <v>Global ecological zones, based on observed climate and vegetation patterns (FAO, 2001). Data for geographic information systems available at http://www.fao.org.</v>
      </c>
      <c r="B484" s="2749" t="s">
        <v>4695</v>
      </c>
      <c r="C484" s="2814" t="s">
        <v>5366</v>
      </c>
      <c r="D484" s="2749" t="s">
        <v>6082</v>
      </c>
      <c r="E484" s="2814" t="s">
        <v>6872</v>
      </c>
    </row>
    <row r="485" spans="1:12" s="2811" customFormat="1">
      <c r="A485" s="2911" t="str">
        <f>translations!B485</f>
        <v>Tropical desert</v>
      </c>
      <c r="B485" s="2749" t="s">
        <v>4700</v>
      </c>
      <c r="C485" s="2814" t="s">
        <v>5367</v>
      </c>
      <c r="D485" s="2749" t="s">
        <v>6083</v>
      </c>
      <c r="E485" s="2814" t="s">
        <v>6873</v>
      </c>
    </row>
    <row r="486" spans="1:12" s="2811" customFormat="1">
      <c r="A486" s="2911" t="str">
        <f>translations!B486</f>
        <v>Subtropical desert</v>
      </c>
      <c r="B486" s="2749" t="s">
        <v>4701</v>
      </c>
      <c r="C486" s="2814" t="s">
        <v>5368</v>
      </c>
      <c r="D486" s="2749" t="s">
        <v>6084</v>
      </c>
      <c r="E486" s="2814" t="s">
        <v>6874</v>
      </c>
    </row>
    <row r="487" spans="1:12" s="2811" customFormat="1">
      <c r="A487" s="2911" t="str">
        <f>translations!B487</f>
        <v>Temperate steppe</v>
      </c>
      <c r="B487" s="2749" t="s">
        <v>4699</v>
      </c>
      <c r="C487" s="2814" t="s">
        <v>5369</v>
      </c>
      <c r="D487" s="2749" t="s">
        <v>6085</v>
      </c>
      <c r="E487" s="2814" t="s">
        <v>6875</v>
      </c>
    </row>
    <row r="488" spans="1:12" s="2811" customFormat="1">
      <c r="A488" s="2911" t="str">
        <f>translations!B488</f>
        <v>Temperate desert</v>
      </c>
      <c r="B488" s="2749" t="s">
        <v>4702</v>
      </c>
      <c r="C488" s="2814" t="s">
        <v>5370</v>
      </c>
      <c r="D488" s="2749" t="s">
        <v>6086</v>
      </c>
      <c r="E488" s="2814" t="s">
        <v>6876</v>
      </c>
    </row>
    <row r="489" spans="1:12" s="2811" customFormat="1">
      <c r="A489" s="2911" t="str">
        <f>translations!B489</f>
        <v>Polar</v>
      </c>
      <c r="B489" s="2749" t="s">
        <v>2258</v>
      </c>
      <c r="C489" s="2814" t="s">
        <v>2258</v>
      </c>
      <c r="D489" s="2749" t="s">
        <v>2258</v>
      </c>
      <c r="E489" s="2814" t="s">
        <v>6877</v>
      </c>
    </row>
    <row r="490" spans="1:12" s="2811" customFormat="1">
      <c r="A490" s="2911">
        <f>translations!B490</f>
        <v>0</v>
      </c>
      <c r="B490" s="2749"/>
      <c r="C490" s="2814"/>
      <c r="D490" s="2749"/>
      <c r="E490" s="2814"/>
    </row>
    <row r="491" spans="1:12" s="2709" customFormat="1">
      <c r="A491" s="2580" t="str">
        <f>translations!B491</f>
        <v>English</v>
      </c>
      <c r="B491" s="2580" t="str">
        <f>B1</f>
        <v>Português</v>
      </c>
      <c r="C491" s="2812" t="s">
        <v>5057</v>
      </c>
      <c r="D491" s="3267" t="s">
        <v>5723</v>
      </c>
      <c r="E491" s="2812" t="s">
        <v>6520</v>
      </c>
      <c r="F491" s="2709" t="str">
        <f t="shared" ref="F491:L491" si="7">F1</f>
        <v>Lang004</v>
      </c>
      <c r="G491" s="2709" t="str">
        <f t="shared" si="7"/>
        <v>Lang005</v>
      </c>
      <c r="H491" s="2709" t="str">
        <f t="shared" si="7"/>
        <v>Lang006</v>
      </c>
      <c r="I491" s="2709" t="str">
        <f t="shared" si="7"/>
        <v>Lang007</v>
      </c>
      <c r="J491" s="2709" t="str">
        <f t="shared" si="7"/>
        <v>Lang008</v>
      </c>
      <c r="K491" s="2709" t="str">
        <f t="shared" si="7"/>
        <v>Lang009</v>
      </c>
      <c r="L491" s="2709" t="str">
        <f t="shared" si="7"/>
        <v>Lang010</v>
      </c>
    </row>
    <row r="492" spans="1:12" s="2811" customFormat="1">
      <c r="A492" s="2911" t="str">
        <f>translations!B492</f>
        <v>Yield</v>
      </c>
      <c r="B492" s="2749" t="s">
        <v>4705</v>
      </c>
      <c r="C492" s="2814" t="s">
        <v>5371</v>
      </c>
      <c r="D492" s="2749" t="s">
        <v>5785</v>
      </c>
      <c r="E492" s="2814" t="s">
        <v>6580</v>
      </c>
    </row>
    <row r="493" spans="1:12" s="2811" customFormat="1">
      <c r="A493" s="2911" t="str">
        <f>translations!B493</f>
        <v>Region</v>
      </c>
      <c r="B493" s="2749" t="s">
        <v>4706</v>
      </c>
      <c r="C493" s="2814" t="s">
        <v>330</v>
      </c>
      <c r="D493" s="2749" t="s">
        <v>6087</v>
      </c>
      <c r="E493" s="2814" t="s">
        <v>6878</v>
      </c>
    </row>
    <row r="494" spans="1:12" s="2811" customFormat="1">
      <c r="A494" s="2911" t="str">
        <f>translations!B494</f>
        <v>Item</v>
      </c>
      <c r="B494" s="2749" t="s">
        <v>1313</v>
      </c>
      <c r="C494" s="2814" t="s">
        <v>5372</v>
      </c>
      <c r="D494" s="2749" t="s">
        <v>1313</v>
      </c>
      <c r="E494" s="2814" t="s">
        <v>6879</v>
      </c>
    </row>
    <row r="495" spans="1:12" s="2811" customFormat="1">
      <c r="A495" s="2911" t="str">
        <f>translations!B495</f>
        <v>(see Map below)</v>
      </c>
      <c r="B495" s="2749" t="s">
        <v>4703</v>
      </c>
      <c r="C495" s="2814" t="s">
        <v>5373</v>
      </c>
      <c r="D495" s="2749" t="s">
        <v>6088</v>
      </c>
      <c r="E495" s="2814" t="s">
        <v>6880</v>
      </c>
    </row>
    <row r="496" spans="1:12" s="2811" customFormat="1">
      <c r="A496" s="2911" t="str">
        <f>translations!B496</f>
        <v>Year</v>
      </c>
      <c r="B496" s="2749" t="s">
        <v>4707</v>
      </c>
      <c r="C496" s="2814" t="s">
        <v>5374</v>
      </c>
      <c r="D496" s="2749" t="s">
        <v>6089</v>
      </c>
      <c r="E496" s="2814" t="s">
        <v>6881</v>
      </c>
    </row>
    <row r="497" spans="1:12" s="2811" customFormat="1">
      <c r="A497" s="2911" t="str">
        <f>translations!B497</f>
        <v>Yield (t/ha)</v>
      </c>
      <c r="B497" s="2749" t="s">
        <v>4708</v>
      </c>
      <c r="C497" s="2814" t="s">
        <v>5375</v>
      </c>
      <c r="D497" s="2749" t="s">
        <v>6090</v>
      </c>
      <c r="E497" s="2814" t="s">
        <v>6882</v>
      </c>
    </row>
    <row r="498" spans="1:12" s="2811" customFormat="1">
      <c r="A498" s="2911" t="str">
        <f>translations!B498</f>
        <v>Periods</v>
      </c>
      <c r="B498" s="2749" t="s">
        <v>4709</v>
      </c>
      <c r="C498" s="2814" t="s">
        <v>5376</v>
      </c>
      <c r="D498" s="3578" t="s">
        <v>5845</v>
      </c>
      <c r="E498" s="2814" t="s">
        <v>6883</v>
      </c>
    </row>
    <row r="499" spans="1:12" s="2811" customFormat="1">
      <c r="A499" s="2911" t="str">
        <f>translations!B499</f>
        <v>Average</v>
      </c>
      <c r="B499" s="2749" t="s">
        <v>4710</v>
      </c>
      <c r="C499" s="2814" t="s">
        <v>5377</v>
      </c>
      <c r="D499" s="3578" t="s">
        <v>6091</v>
      </c>
      <c r="E499" s="2814" t="s">
        <v>6884</v>
      </c>
    </row>
    <row r="500" spans="1:12" s="2811" customFormat="1">
      <c r="A500" s="2911" t="str">
        <f>translations!B500</f>
        <v>Rate (%)</v>
      </c>
      <c r="B500" s="2749" t="s">
        <v>4704</v>
      </c>
      <c r="C500" s="2814" t="s">
        <v>5378</v>
      </c>
      <c r="D500" s="3578" t="s">
        <v>6092</v>
      </c>
      <c r="E500" s="2814" t="s">
        <v>6885</v>
      </c>
    </row>
    <row r="501" spans="1:12" s="2811" customFormat="1">
      <c r="A501" s="2911" t="str">
        <f>translations!B501</f>
        <v>Projections</v>
      </c>
      <c r="B501" s="2749" t="s">
        <v>4711</v>
      </c>
      <c r="C501" s="2814" t="s">
        <v>5379</v>
      </c>
      <c r="D501" s="3578" t="s">
        <v>6093</v>
      </c>
      <c r="E501" s="2814" t="s">
        <v>6886</v>
      </c>
    </row>
    <row r="502" spans="1:12" s="2811" customFormat="1">
      <c r="A502" s="2911" t="str">
        <f>translations!B502</f>
        <v>Last 5 yr (2009-2013)</v>
      </c>
      <c r="B502" s="2749" t="s">
        <v>8786</v>
      </c>
      <c r="C502" s="2814" t="s">
        <v>8787</v>
      </c>
      <c r="D502" s="3578" t="s">
        <v>8788</v>
      </c>
      <c r="E502" s="2814" t="s">
        <v>8789</v>
      </c>
    </row>
    <row r="503" spans="1:12" s="2811" customFormat="1">
      <c r="A503" s="2911" t="str">
        <f>translations!B503</f>
        <v>Last 10 yr (2004-2013)</v>
      </c>
      <c r="B503" s="2749" t="s">
        <v>8790</v>
      </c>
      <c r="C503" s="2814" t="s">
        <v>8791</v>
      </c>
      <c r="D503" s="3578" t="s">
        <v>8792</v>
      </c>
      <c r="E503" s="2814" t="s">
        <v>8793</v>
      </c>
    </row>
    <row r="504" spans="1:12" s="2811" customFormat="1">
      <c r="A504" s="2911" t="str">
        <f>translations!B504</f>
        <v>Last 20 yr (1994-2013)</v>
      </c>
      <c r="B504" s="2749" t="s">
        <v>8794</v>
      </c>
      <c r="C504" s="2814" t="s">
        <v>8795</v>
      </c>
      <c r="D504" s="3578" t="s">
        <v>8796</v>
      </c>
      <c r="E504" s="2814" t="s">
        <v>8797</v>
      </c>
    </row>
    <row r="505" spans="1:12" s="2811" customFormat="1">
      <c r="A505" s="2911" t="str">
        <f>translations!B505</f>
        <v>Last 25yr (1989-2013)</v>
      </c>
      <c r="B505" s="2749" t="s">
        <v>8782</v>
      </c>
      <c r="C505" s="2814" t="s">
        <v>8783</v>
      </c>
      <c r="D505" s="3578" t="s">
        <v>8784</v>
      </c>
      <c r="E505" s="2814" t="s">
        <v>8785</v>
      </c>
    </row>
    <row r="506" spans="1:12" s="2811" customFormat="1" ht="51">
      <c r="A506" s="2911" t="str">
        <f>translations!B506</f>
        <v>These data are from FAOSTAT, if you need more detailed information (e.g. by country) please visit the FAO website</v>
      </c>
      <c r="B506" s="2749" t="s">
        <v>4712</v>
      </c>
      <c r="C506" s="2814" t="s">
        <v>5380</v>
      </c>
      <c r="D506" s="2749" t="s">
        <v>6094</v>
      </c>
      <c r="E506" s="2814" t="s">
        <v>6887</v>
      </c>
    </row>
    <row r="507" spans="1:12" s="2811" customFormat="1">
      <c r="A507" s="2911">
        <f>translations!B507</f>
        <v>0</v>
      </c>
      <c r="B507" s="2749"/>
      <c r="C507" s="2814"/>
      <c r="D507" s="3578"/>
      <c r="E507" s="2814"/>
    </row>
    <row r="508" spans="1:12" s="2811" customFormat="1">
      <c r="A508" s="2911">
        <f>translations!B508</f>
        <v>0</v>
      </c>
      <c r="B508" s="2749"/>
      <c r="C508" s="2814"/>
      <c r="D508" s="3578"/>
      <c r="E508" s="2814"/>
    </row>
    <row r="509" spans="1:12" s="2811" customFormat="1">
      <c r="A509" s="2911">
        <f>translations!B509</f>
        <v>0</v>
      </c>
      <c r="B509" s="2749"/>
      <c r="C509" s="2814"/>
      <c r="D509" s="3578"/>
      <c r="E509" s="2814"/>
    </row>
    <row r="510" spans="1:12" s="2811" customFormat="1">
      <c r="A510" s="2911">
        <f>translations!B510</f>
        <v>0</v>
      </c>
      <c r="B510" s="2749"/>
      <c r="C510" s="2814"/>
      <c r="D510" s="3578"/>
      <c r="E510" s="2814"/>
    </row>
    <row r="511" spans="1:12" s="2709" customFormat="1">
      <c r="A511" s="2580" t="str">
        <f>translations!B511</f>
        <v>English</v>
      </c>
      <c r="B511" s="2752" t="str">
        <f>B1</f>
        <v>Português</v>
      </c>
      <c r="C511" s="2812" t="str">
        <f>C1</f>
        <v>Deutsch</v>
      </c>
      <c r="D511" s="3267" t="s">
        <v>5723</v>
      </c>
      <c r="E511" s="2890" t="s">
        <v>6520</v>
      </c>
      <c r="F511" s="2709" t="str">
        <f t="shared" ref="F511:L511" si="8">F491</f>
        <v>Lang004</v>
      </c>
      <c r="G511" s="2709" t="str">
        <f t="shared" si="8"/>
        <v>Lang005</v>
      </c>
      <c r="H511" s="2709" t="str">
        <f t="shared" si="8"/>
        <v>Lang006</v>
      </c>
      <c r="I511" s="2709" t="str">
        <f t="shared" si="8"/>
        <v>Lang007</v>
      </c>
      <c r="J511" s="2709" t="str">
        <f t="shared" si="8"/>
        <v>Lang008</v>
      </c>
      <c r="K511" s="2709" t="str">
        <f t="shared" si="8"/>
        <v>Lang009</v>
      </c>
      <c r="L511" s="2709" t="str">
        <f t="shared" si="8"/>
        <v>Lang010</v>
      </c>
    </row>
    <row r="512" spans="1:12" ht="51">
      <c r="A512" s="2577" t="str">
        <f>translations!B512</f>
        <v>Daily emission factor for Rice  (EF) = EF-Basis × EF-Before × EF-During × EF-Org. Amendment</v>
      </c>
      <c r="B512" s="2750" t="s">
        <v>8192</v>
      </c>
      <c r="C512" s="2913" t="s">
        <v>8193</v>
      </c>
      <c r="D512" s="2750" t="s">
        <v>8194</v>
      </c>
      <c r="E512" s="2813" t="s">
        <v>8195</v>
      </c>
    </row>
    <row r="513" spans="1:12" ht="25.5">
      <c r="A513" s="2577" t="str">
        <f>translations!B513</f>
        <v>(EF are in kg CH4 per ha per day)</v>
      </c>
      <c r="B513" s="2750" t="s">
        <v>5489</v>
      </c>
      <c r="C513" s="2913" t="s">
        <v>5484</v>
      </c>
      <c r="D513" s="2750" t="s">
        <v>6095</v>
      </c>
      <c r="E513" s="2813" t="s">
        <v>6888</v>
      </c>
    </row>
    <row r="514" spans="1:12">
      <c r="A514" s="2577" t="str">
        <f>translations!B514</f>
        <v>EF-Basis</v>
      </c>
      <c r="B514" s="2750" t="s">
        <v>5470</v>
      </c>
      <c r="C514" s="2914" t="s">
        <v>5485</v>
      </c>
      <c r="D514" s="2750" t="s">
        <v>6096</v>
      </c>
      <c r="E514" s="2813" t="s">
        <v>6889</v>
      </c>
    </row>
    <row r="515" spans="1:12">
      <c r="A515" s="2577" t="str">
        <f>translations!B515</f>
        <v>EF-Before</v>
      </c>
      <c r="B515" s="2750" t="s">
        <v>5479</v>
      </c>
      <c r="C515" s="2913" t="s">
        <v>5486</v>
      </c>
      <c r="D515" s="2750" t="s">
        <v>6097</v>
      </c>
      <c r="E515" s="2813" t="s">
        <v>6890</v>
      </c>
    </row>
    <row r="516" spans="1:12">
      <c r="A516" s="2577" t="str">
        <f>translations!B516</f>
        <v>EF-During</v>
      </c>
      <c r="B516" s="2750" t="s">
        <v>5475</v>
      </c>
      <c r="C516" s="2913" t="s">
        <v>5487</v>
      </c>
      <c r="D516" s="2750" t="s">
        <v>6098</v>
      </c>
      <c r="E516" s="2813" t="s">
        <v>6891</v>
      </c>
    </row>
    <row r="517" spans="1:12">
      <c r="A517" s="2577" t="str">
        <f>translations!B517</f>
        <v>EF-Org. Amendement</v>
      </c>
      <c r="B517" s="2750" t="s">
        <v>5478</v>
      </c>
      <c r="C517" s="2913" t="s">
        <v>5488</v>
      </c>
      <c r="D517" s="2750" t="s">
        <v>6099</v>
      </c>
      <c r="E517" s="2813" t="s">
        <v>6892</v>
      </c>
    </row>
    <row r="518" spans="1:12">
      <c r="A518" s="2577" t="str">
        <f>translations!B518</f>
        <v>EF</v>
      </c>
      <c r="B518" s="2750" t="s">
        <v>5471</v>
      </c>
      <c r="C518" s="2913" t="s">
        <v>5464</v>
      </c>
      <c r="D518" s="2750" t="s">
        <v>6100</v>
      </c>
      <c r="E518" s="2813" t="s">
        <v>5464</v>
      </c>
    </row>
    <row r="519" spans="1:12">
      <c r="A519" s="2577">
        <f>translations!B519</f>
        <v>0</v>
      </c>
      <c r="B519" s="2750"/>
    </row>
    <row r="520" spans="1:12">
      <c r="A520" s="2577">
        <f>translations!B520</f>
        <v>0</v>
      </c>
      <c r="B520" s="2750"/>
    </row>
    <row r="521" spans="1:12" s="3276" customFormat="1">
      <c r="A521" s="3274" t="str">
        <f>translations!B521</f>
        <v>English</v>
      </c>
      <c r="B521" s="3274" t="str">
        <f>B511</f>
        <v>Português</v>
      </c>
      <c r="C521" s="3274" t="str">
        <f>C511</f>
        <v>Deutsch</v>
      </c>
      <c r="D521" s="3274" t="str">
        <f>D511</f>
        <v>Bahasa Indonesia</v>
      </c>
      <c r="E521" s="3274" t="s">
        <v>6520</v>
      </c>
      <c r="F521" s="3274" t="str">
        <f t="shared" ref="F521:L521" si="9">F511</f>
        <v>Lang004</v>
      </c>
      <c r="G521" s="3274" t="str">
        <f t="shared" si="9"/>
        <v>Lang005</v>
      </c>
      <c r="H521" s="3274" t="str">
        <f t="shared" si="9"/>
        <v>Lang006</v>
      </c>
      <c r="I521" s="3274" t="str">
        <f t="shared" si="9"/>
        <v>Lang007</v>
      </c>
      <c r="J521" s="3274" t="str">
        <f t="shared" si="9"/>
        <v>Lang008</v>
      </c>
      <c r="K521" s="3274" t="str">
        <f t="shared" si="9"/>
        <v>Lang009</v>
      </c>
      <c r="L521" s="3274" t="str">
        <f t="shared" si="9"/>
        <v>Lang010</v>
      </c>
    </row>
    <row r="522" spans="1:12">
      <c r="A522" s="2577" t="str">
        <f>translations!B522</f>
        <v>Forest</v>
      </c>
      <c r="B522" s="2750" t="s">
        <v>6394</v>
      </c>
      <c r="C522" s="3580" t="str">
        <f>A522</f>
        <v>Forest</v>
      </c>
      <c r="D522" s="3580" t="str">
        <f>A522</f>
        <v>Forest</v>
      </c>
      <c r="E522" s="2584" t="s">
        <v>7452</v>
      </c>
    </row>
    <row r="523" spans="1:12">
      <c r="A523" s="2577" t="str">
        <f>translations!B523</f>
        <v>Plantation</v>
      </c>
      <c r="B523" s="2750" t="s">
        <v>6395</v>
      </c>
      <c r="C523" s="3580" t="str">
        <f t="shared" ref="C523:C586" si="10">A523</f>
        <v>Plantation</v>
      </c>
      <c r="D523" s="3580" t="str">
        <f t="shared" ref="D523:D586" si="11">A523</f>
        <v>Plantation</v>
      </c>
      <c r="E523" s="2584" t="s">
        <v>7453</v>
      </c>
    </row>
    <row r="524" spans="1:12" ht="25.5">
      <c r="A524" s="2577" t="str">
        <f>translations!B524</f>
        <v>5.2. Degradation and management of organic soils (peatlands)</v>
      </c>
      <c r="B524" s="2750" t="s">
        <v>6398</v>
      </c>
      <c r="C524" s="3580" t="str">
        <f t="shared" si="10"/>
        <v>5.2. Degradation and management of organic soils (peatlands)</v>
      </c>
      <c r="D524" s="3580" t="str">
        <f t="shared" si="11"/>
        <v>5.2. Degradation and management of organic soils (peatlands)</v>
      </c>
      <c r="E524" s="2584" t="s">
        <v>7454</v>
      </c>
    </row>
    <row r="525" spans="1:12" ht="25.5">
      <c r="A525" s="2577" t="str">
        <f>translations!B525</f>
        <v>5.2.1. Drainage of organic soils</v>
      </c>
      <c r="B525" s="2750" t="s">
        <v>6396</v>
      </c>
      <c r="C525" s="3580" t="str">
        <f t="shared" si="10"/>
        <v>5.2.1. Drainage of organic soils</v>
      </c>
      <c r="D525" s="3580" t="str">
        <f t="shared" si="11"/>
        <v>5.2.1. Drainage of organic soils</v>
      </c>
      <c r="E525" s="2584" t="s">
        <v>7455</v>
      </c>
    </row>
    <row r="526" spans="1:12">
      <c r="A526" s="2577" t="str">
        <f>translations!B526</f>
        <v>Percentage (area) of ditches</v>
      </c>
      <c r="B526" s="2750" t="s">
        <v>6399</v>
      </c>
      <c r="C526" s="3580" t="str">
        <f t="shared" si="10"/>
        <v>Percentage (area) of ditches</v>
      </c>
      <c r="D526" s="3580" t="str">
        <f t="shared" si="11"/>
        <v>Percentage (area) of ditches</v>
      </c>
      <c r="E526" s="2584" t="s">
        <v>7456</v>
      </c>
    </row>
    <row r="527" spans="1:12">
      <c r="A527" s="2577" t="str">
        <f>translations!B527</f>
        <v>Surfaces where peat is extracted</v>
      </c>
      <c r="B527" s="2750" t="s">
        <v>6400</v>
      </c>
      <c r="C527" s="3580" t="str">
        <f t="shared" si="10"/>
        <v>Surfaces where peat is extracted</v>
      </c>
      <c r="D527" s="3580" t="str">
        <f t="shared" si="11"/>
        <v>Surfaces where peat is extracted</v>
      </c>
      <c r="E527" s="2584" t="s">
        <v>7457</v>
      </c>
    </row>
    <row r="528" spans="1:12">
      <c r="A528" s="2577" t="str">
        <f>translations!B528</f>
        <v>Height of extraction (cm)</v>
      </c>
      <c r="B528" s="2750" t="s">
        <v>6401</v>
      </c>
      <c r="C528" s="3580" t="str">
        <f t="shared" si="10"/>
        <v>Height of extraction (cm)</v>
      </c>
      <c r="D528" s="3580" t="str">
        <f t="shared" si="11"/>
        <v>Height of extraction (cm)</v>
      </c>
      <c r="E528" s="2584" t="s">
        <v>7458</v>
      </c>
    </row>
    <row r="529" spans="1:5">
      <c r="A529" s="2577" t="str">
        <f>translations!B529</f>
        <v>Quantity of peat produced (t/yr)</v>
      </c>
      <c r="B529" s="2750" t="s">
        <v>6397</v>
      </c>
      <c r="C529" s="3580" t="str">
        <f t="shared" si="10"/>
        <v>Quantity of peat produced (t/yr)</v>
      </c>
      <c r="D529" s="3580" t="str">
        <f t="shared" si="11"/>
        <v>Quantity of peat produced (t/yr)</v>
      </c>
      <c r="E529" s="2584" t="s">
        <v>7459</v>
      </c>
    </row>
    <row r="530" spans="1:5" ht="25.5">
      <c r="A530" s="2577" t="str">
        <f>translations!B530</f>
        <v>5.2.3. Rewetting of organic soils (peatlands)</v>
      </c>
      <c r="B530" s="2750" t="s">
        <v>6402</v>
      </c>
      <c r="C530" s="3580" t="str">
        <f t="shared" si="10"/>
        <v>5.2.3. Rewetting of organic soils (peatlands)</v>
      </c>
      <c r="D530" s="3580" t="str">
        <f t="shared" si="11"/>
        <v>5.2.3. Rewetting of organic soils (peatlands)</v>
      </c>
      <c r="E530" s="2584" t="s">
        <v>7460</v>
      </c>
    </row>
    <row r="531" spans="1:5">
      <c r="A531" s="2577" t="str">
        <f>translations!B531</f>
        <v>Fire Type</v>
      </c>
      <c r="B531" s="2750" t="s">
        <v>6403</v>
      </c>
      <c r="C531" s="3580" t="str">
        <f t="shared" si="10"/>
        <v>Fire Type</v>
      </c>
      <c r="D531" s="3580" t="str">
        <f t="shared" si="11"/>
        <v>Fire Type</v>
      </c>
      <c r="E531" s="2584" t="s">
        <v>7461</v>
      </c>
    </row>
    <row r="532" spans="1:5">
      <c r="A532" s="2577" t="str">
        <f>translations!B532</f>
        <v>Area burnt (ha)</v>
      </c>
      <c r="B532" s="2750" t="s">
        <v>6404</v>
      </c>
      <c r="C532" s="3580" t="str">
        <f t="shared" si="10"/>
        <v>Area burnt (ha)</v>
      </c>
      <c r="D532" s="3580" t="str">
        <f t="shared" si="11"/>
        <v>Area burnt (ha)</v>
      </c>
      <c r="E532" s="2584" t="s">
        <v>7462</v>
      </c>
    </row>
    <row r="533" spans="1:5">
      <c r="A533" s="2577" t="str">
        <f>translations!B533</f>
        <v>Wildfire (drained peat)</v>
      </c>
      <c r="B533" s="2750" t="s">
        <v>6405</v>
      </c>
      <c r="C533" s="3580" t="str">
        <f t="shared" si="10"/>
        <v>Wildfire (drained peat)</v>
      </c>
      <c r="D533" s="3580" t="str">
        <f t="shared" si="11"/>
        <v>Wildfire (drained peat)</v>
      </c>
      <c r="E533" s="2584" t="s">
        <v>7463</v>
      </c>
    </row>
    <row r="534" spans="1:5">
      <c r="A534" s="2577" t="str">
        <f>translations!B534</f>
        <v>Wildfire (undrained peat)</v>
      </c>
      <c r="B534" s="2750" t="s">
        <v>6406</v>
      </c>
      <c r="C534" s="3580" t="str">
        <f t="shared" si="10"/>
        <v>Wildfire (undrained peat)</v>
      </c>
      <c r="D534" s="3580" t="str">
        <f t="shared" si="11"/>
        <v>Wildfire (undrained peat)</v>
      </c>
      <c r="E534" s="2584" t="s">
        <v>7464</v>
      </c>
    </row>
    <row r="535" spans="1:5">
      <c r="A535" s="2577" t="str">
        <f>translations!B535</f>
        <v>Prescribed fire</v>
      </c>
      <c r="B535" s="2750" t="s">
        <v>6407</v>
      </c>
      <c r="C535" s="3580" t="str">
        <f t="shared" si="10"/>
        <v>Prescribed fire</v>
      </c>
      <c r="D535" s="3580" t="str">
        <f t="shared" si="11"/>
        <v>Prescribed fire</v>
      </c>
      <c r="E535" s="2584" t="s">
        <v>7465</v>
      </c>
    </row>
    <row r="536" spans="1:5" ht="25.5">
      <c r="A536" s="2577" t="str">
        <f>translations!B536</f>
        <v>Surfaces of rewetted organic soils (ha)</v>
      </c>
      <c r="B536" s="2750" t="s">
        <v>6410</v>
      </c>
      <c r="C536" s="3580" t="str">
        <f t="shared" si="10"/>
        <v>Surfaces of rewetted organic soils (ha)</v>
      </c>
      <c r="D536" s="3580" t="str">
        <f t="shared" si="11"/>
        <v>Surfaces of rewetted organic soils (ha)</v>
      </c>
      <c r="E536" s="2584" t="s">
        <v>7466</v>
      </c>
    </row>
    <row r="537" spans="1:5" ht="25.5">
      <c r="A537" s="2577" t="str">
        <f>translations!B537</f>
        <v>5.2.4. Emissions from fire of organic soils (peatlands)</v>
      </c>
      <c r="B537" s="2750" t="s">
        <v>6411</v>
      </c>
      <c r="C537" s="3580" t="str">
        <f t="shared" si="10"/>
        <v>5.2.4. Emissions from fire of organic soils (peatlands)</v>
      </c>
      <c r="D537" s="3580" t="str">
        <f t="shared" si="11"/>
        <v>5.2.4. Emissions from fire of organic soils (peatlands)</v>
      </c>
      <c r="E537" s="2584" t="s">
        <v>7467</v>
      </c>
    </row>
    <row r="538" spans="1:5">
      <c r="A538" s="2577" t="str">
        <f>translations!B538</f>
        <v>Total for Fire</v>
      </c>
      <c r="B538" s="2750" t="s">
        <v>6408</v>
      </c>
      <c r="C538" s="3580" t="str">
        <f t="shared" si="10"/>
        <v>Total for Fire</v>
      </c>
      <c r="D538" s="3580" t="str">
        <f t="shared" si="11"/>
        <v>Total for Fire</v>
      </c>
      <c r="E538" s="2584" t="s">
        <v>7468</v>
      </c>
    </row>
    <row r="539" spans="1:5">
      <c r="A539" s="2577" t="str">
        <f>translations!B539</f>
        <v>Total for Rewetting</v>
      </c>
      <c r="B539" s="2750" t="s">
        <v>6412</v>
      </c>
      <c r="C539" s="3580" t="str">
        <f t="shared" si="10"/>
        <v>Total for Rewetting</v>
      </c>
      <c r="D539" s="3580" t="str">
        <f t="shared" si="11"/>
        <v>Total for Rewetting</v>
      </c>
      <c r="E539" s="2584" t="s">
        <v>7469</v>
      </c>
    </row>
    <row r="540" spans="1:5" ht="38.25">
      <c r="A540" s="2577" t="str">
        <f>translations!B540</f>
        <v>6.1. Management of coastal wetlands (Mangroves, Tidal marshes and Seagrass meadow)</v>
      </c>
      <c r="B540" s="2750" t="s">
        <v>7163</v>
      </c>
      <c r="C540" s="3580" t="str">
        <f t="shared" si="10"/>
        <v>6.1. Management of coastal wetlands (Mangroves, Tidal marshes and Seagrass meadow)</v>
      </c>
      <c r="D540" s="3580" t="str">
        <f t="shared" si="11"/>
        <v>6.1. Management of coastal wetlands (Mangroves, Tidal marshes and Seagrass meadow)</v>
      </c>
      <c r="E540" s="2584" t="s">
        <v>7470</v>
      </c>
    </row>
    <row r="541" spans="1:5" ht="38.25">
      <c r="A541" s="2577" t="str">
        <f>translations!B541</f>
        <v>6.1.1. Extraction and Excavation (port constuction, construction of aquaculture or salt production ponds,…)</v>
      </c>
      <c r="B541" s="2750" t="s">
        <v>7164</v>
      </c>
      <c r="C541" s="3580" t="str">
        <f t="shared" si="10"/>
        <v>6.1.1. Extraction and Excavation (port constuction, construction of aquaculture or salt production ponds,…)</v>
      </c>
      <c r="D541" s="3580" t="str">
        <f t="shared" si="11"/>
        <v>6.1.1. Extraction and Excavation (port constuction, construction of aquaculture or salt production ponds,…)</v>
      </c>
      <c r="E541" s="2584" t="s">
        <v>7471</v>
      </c>
    </row>
    <row r="542" spans="1:5">
      <c r="A542" s="2577" t="str">
        <f>translations!B542</f>
        <v>Area excavated (ha)</v>
      </c>
      <c r="B542" s="2750" t="s">
        <v>6409</v>
      </c>
      <c r="C542" s="3580" t="str">
        <f t="shared" si="10"/>
        <v>Area excavated (ha)</v>
      </c>
      <c r="D542" s="3580" t="str">
        <f t="shared" si="11"/>
        <v>Area excavated (ha)</v>
      </c>
      <c r="E542" s="2584" t="s">
        <v>7472</v>
      </c>
    </row>
    <row r="543" spans="1:5">
      <c r="A543" s="2577" t="str">
        <f>translations!B543</f>
        <v>Total for extraction and excavation</v>
      </c>
      <c r="B543" s="2750" t="s">
        <v>6413</v>
      </c>
      <c r="C543" s="3580" t="str">
        <f t="shared" si="10"/>
        <v>Total for extraction and excavation</v>
      </c>
      <c r="D543" s="3580" t="str">
        <f t="shared" si="11"/>
        <v>Total for extraction and excavation</v>
      </c>
      <c r="E543" s="2584" t="s">
        <v>7473</v>
      </c>
    </row>
    <row r="544" spans="1:5">
      <c r="A544" s="2577" t="str">
        <f>translations!B544</f>
        <v xml:space="preserve">6.1.2. Drainage </v>
      </c>
      <c r="B544" s="2750" t="s">
        <v>7169</v>
      </c>
      <c r="C544" s="3580" t="str">
        <f t="shared" si="10"/>
        <v xml:space="preserve">6.1.2. Drainage </v>
      </c>
      <c r="D544" s="3580" t="str">
        <f t="shared" si="11"/>
        <v xml:space="preserve">6.1.2. Drainage </v>
      </c>
      <c r="E544" s="2584" t="s">
        <v>7474</v>
      </c>
    </row>
    <row r="545" spans="1:5">
      <c r="A545" s="2577" t="str">
        <f>translations!B545</f>
        <v>Tidal marsh</v>
      </c>
      <c r="B545" s="2750" t="s">
        <v>6414</v>
      </c>
      <c r="C545" s="3580" t="str">
        <f t="shared" si="10"/>
        <v>Tidal marsh</v>
      </c>
      <c r="D545" s="3580" t="str">
        <f t="shared" si="11"/>
        <v>Tidal marsh</v>
      </c>
      <c r="E545" s="2584" t="s">
        <v>7475</v>
      </c>
    </row>
    <row r="546" spans="1:5">
      <c r="A546" s="2577" t="str">
        <f>translations!B546</f>
        <v>Seagrass meadow</v>
      </c>
      <c r="B546" s="2750" t="s">
        <v>6415</v>
      </c>
      <c r="C546" s="3580" t="str">
        <f t="shared" si="10"/>
        <v>Seagrass meadow</v>
      </c>
      <c r="D546" s="3580" t="str">
        <f t="shared" si="11"/>
        <v>Seagrass meadow</v>
      </c>
      <c r="E546" s="2584" t="s">
        <v>7476</v>
      </c>
    </row>
    <row r="547" spans="1:5">
      <c r="A547" s="2577" t="str">
        <f>translations!B547</f>
        <v>Area drained (ha)</v>
      </c>
      <c r="B547" s="2750" t="s">
        <v>6416</v>
      </c>
      <c r="C547" s="3580" t="str">
        <f t="shared" si="10"/>
        <v>Area drained (ha)</v>
      </c>
      <c r="D547" s="3580" t="str">
        <f t="shared" si="11"/>
        <v>Area drained (ha)</v>
      </c>
      <c r="E547" s="2584" t="s">
        <v>7477</v>
      </c>
    </row>
    <row r="548" spans="1:5">
      <c r="A548" s="2577" t="str">
        <f>translations!B548</f>
        <v>Area rewetted (ha)</v>
      </c>
      <c r="B548" s="2750" t="s">
        <v>6417</v>
      </c>
      <c r="C548" s="3580" t="str">
        <f t="shared" si="10"/>
        <v>Area rewetted (ha)</v>
      </c>
      <c r="D548" s="3580" t="str">
        <f t="shared" si="11"/>
        <v>Area rewetted (ha)</v>
      </c>
      <c r="E548" s="2584" t="s">
        <v>7478</v>
      </c>
    </row>
    <row r="549" spans="1:5">
      <c r="A549" s="2577" t="str">
        <f>translations!B549</f>
        <v>6.1.3. Rewetting</v>
      </c>
      <c r="B549" s="2750" t="s">
        <v>7170</v>
      </c>
      <c r="C549" s="3580" t="str">
        <f t="shared" si="10"/>
        <v>6.1.3. Rewetting</v>
      </c>
      <c r="D549" s="3580" t="str">
        <f t="shared" si="11"/>
        <v>6.1.3. Rewetting</v>
      </c>
      <c r="E549" s="2584" t="s">
        <v>7479</v>
      </c>
    </row>
    <row r="550" spans="1:5" ht="38.25">
      <c r="A550" s="2577" t="str">
        <f>translations!B550</f>
        <v>Please indicate the dominant quality of peat, this can influence the emissions factors below</v>
      </c>
      <c r="B550" s="2750" t="s">
        <v>6422</v>
      </c>
      <c r="C550" s="3580" t="str">
        <f t="shared" si="10"/>
        <v>Please indicate the dominant quality of peat, this can influence the emissions factors below</v>
      </c>
      <c r="D550" s="3580" t="str">
        <f t="shared" si="11"/>
        <v>Please indicate the dominant quality of peat, this can influence the emissions factors below</v>
      </c>
      <c r="E550" s="2584" t="s">
        <v>7480</v>
      </c>
    </row>
    <row r="551" spans="1:5" ht="25.5">
      <c r="A551" s="2577" t="str">
        <f>translations!B551</f>
        <v>CH4 emissions associated with drainage</v>
      </c>
      <c r="B551" s="2750" t="s">
        <v>6418</v>
      </c>
      <c r="C551" s="3580" t="str">
        <f t="shared" si="10"/>
        <v>CH4 emissions associated with drainage</v>
      </c>
      <c r="D551" s="3580" t="str">
        <f t="shared" si="11"/>
        <v>CH4 emissions associated with drainage</v>
      </c>
      <c r="E551" s="2584" t="s">
        <v>7481</v>
      </c>
    </row>
    <row r="552" spans="1:5">
      <c r="A552" s="2577" t="str">
        <f>translations!B552</f>
        <v>From drained soils</v>
      </c>
      <c r="B552" s="2750" t="s">
        <v>6423</v>
      </c>
      <c r="C552" s="3580" t="str">
        <f t="shared" si="10"/>
        <v>From drained soils</v>
      </c>
      <c r="D552" s="3580" t="str">
        <f t="shared" si="11"/>
        <v>From drained soils</v>
      </c>
      <c r="E552" s="2584" t="s">
        <v>7482</v>
      </c>
    </row>
    <row r="553" spans="1:5">
      <c r="A553" s="2577" t="str">
        <f>translations!B553</f>
        <v>From ditches</v>
      </c>
      <c r="B553" s="2750" t="s">
        <v>6424</v>
      </c>
      <c r="C553" s="3580" t="str">
        <f t="shared" si="10"/>
        <v>From ditches</v>
      </c>
      <c r="D553" s="3580" t="str">
        <f t="shared" si="11"/>
        <v>From ditches</v>
      </c>
      <c r="E553" s="2584" t="s">
        <v>7483</v>
      </c>
    </row>
    <row r="554" spans="1:5" ht="25.5">
      <c r="A554" s="2577" t="str">
        <f>translations!B554</f>
        <v>N2O emissions associated with drainage</v>
      </c>
      <c r="B554" s="2750" t="s">
        <v>6419</v>
      </c>
      <c r="C554" s="3580" t="str">
        <f t="shared" si="10"/>
        <v>N2O emissions associated with drainage</v>
      </c>
      <c r="D554" s="3580" t="str">
        <f t="shared" si="11"/>
        <v>N2O emissions associated with drainage</v>
      </c>
      <c r="E554" s="2584" t="s">
        <v>7484</v>
      </c>
    </row>
    <row r="555" spans="1:5">
      <c r="A555" s="2577" t="str">
        <f>translations!B555</f>
        <v>Emission factor (kg CH4/ha/yr)</v>
      </c>
      <c r="B555" s="2750" t="s">
        <v>6420</v>
      </c>
      <c r="C555" s="3580" t="str">
        <f t="shared" si="10"/>
        <v>Emission factor (kg CH4/ha/yr)</v>
      </c>
      <c r="D555" s="3580" t="str">
        <f t="shared" si="11"/>
        <v>Emission factor (kg CH4/ha/yr)</v>
      </c>
      <c r="E555" s="2584" t="s">
        <v>7485</v>
      </c>
    </row>
    <row r="556" spans="1:5">
      <c r="A556" s="2577" t="str">
        <f>translations!B556</f>
        <v>Off-site  emissions</v>
      </c>
      <c r="B556" s="2750" t="s">
        <v>6421</v>
      </c>
      <c r="C556" s="3580" t="str">
        <f t="shared" si="10"/>
        <v>Off-site  emissions</v>
      </c>
      <c r="D556" s="3580" t="str">
        <f t="shared" si="11"/>
        <v>Off-site  emissions</v>
      </c>
      <c r="E556" s="2584" t="s">
        <v>7486</v>
      </c>
    </row>
    <row r="557" spans="1:5">
      <c r="A557" s="2577" t="str">
        <f>translations!B557</f>
        <v>via waterborn carbon lossses</v>
      </c>
      <c r="B557" s="2750" t="s">
        <v>6425</v>
      </c>
      <c r="C557" s="3580" t="str">
        <f t="shared" si="10"/>
        <v>via waterborn carbon lossses</v>
      </c>
      <c r="D557" s="3580" t="str">
        <f t="shared" si="11"/>
        <v>via waterborn carbon lossses</v>
      </c>
      <c r="E557" s="2584" t="s">
        <v>7487</v>
      </c>
    </row>
    <row r="558" spans="1:5">
      <c r="A558" s="2577" t="str">
        <f>translations!B558</f>
        <v>CH4 Emission factor (kg CH4/ha/yr)</v>
      </c>
      <c r="B558" s="2750" t="s">
        <v>6426</v>
      </c>
      <c r="C558" s="3580" t="str">
        <f t="shared" si="10"/>
        <v>CH4 Emission factor (kg CH4/ha/yr)</v>
      </c>
      <c r="D558" s="3580" t="str">
        <f t="shared" si="11"/>
        <v>CH4 Emission factor (kg CH4/ha/yr)</v>
      </c>
      <c r="E558" s="2584" t="s">
        <v>7488</v>
      </c>
    </row>
    <row r="559" spans="1:5">
      <c r="A559" s="2577" t="str">
        <f>translations!B559</f>
        <v>CO2 emission from peat use</v>
      </c>
      <c r="B559" s="2750" t="s">
        <v>6427</v>
      </c>
      <c r="C559" s="3580" t="str">
        <f t="shared" si="10"/>
        <v>CO2 emission from peat use</v>
      </c>
      <c r="D559" s="3580" t="str">
        <f t="shared" si="11"/>
        <v>CO2 emission from peat use</v>
      </c>
      <c r="E559" s="2584" t="s">
        <v>7489</v>
      </c>
    </row>
    <row r="560" spans="1:5">
      <c r="A560" s="2577" t="str">
        <f>translations!B560</f>
        <v>Peat density (t/m3)</v>
      </c>
      <c r="B560" s="2750" t="s">
        <v>6428</v>
      </c>
      <c r="C560" s="3580" t="str">
        <f t="shared" si="10"/>
        <v>Peat density (t/m3)</v>
      </c>
      <c r="D560" s="3580" t="str">
        <f t="shared" si="11"/>
        <v>Peat density (t/m3)</v>
      </c>
      <c r="E560" s="2584" t="s">
        <v>7490</v>
      </c>
    </row>
    <row r="561" spans="1:5">
      <c r="A561" s="2577" t="str">
        <f>translations!B561</f>
        <v>Use for Energy?</v>
      </c>
      <c r="B561" s="2750" t="s">
        <v>6429</v>
      </c>
      <c r="C561" s="3580" t="str">
        <f t="shared" si="10"/>
        <v>Use for Energy?</v>
      </c>
      <c r="D561" s="3580" t="str">
        <f t="shared" si="11"/>
        <v>Use for Energy?</v>
      </c>
      <c r="E561" s="2584" t="s">
        <v>7491</v>
      </c>
    </row>
    <row r="562" spans="1:5" ht="25.5">
      <c r="A562" s="2577" t="str">
        <f>translations!B562</f>
        <v>Emissions factors for the rewetting of organic soils</v>
      </c>
      <c r="B562" s="2750" t="s">
        <v>6432</v>
      </c>
      <c r="C562" s="3580" t="str">
        <f t="shared" si="10"/>
        <v>Emissions factors for the rewetting of organic soils</v>
      </c>
      <c r="D562" s="3580" t="str">
        <f t="shared" si="11"/>
        <v>Emissions factors for the rewetting of organic soils</v>
      </c>
      <c r="E562" s="2584" t="s">
        <v>7492</v>
      </c>
    </row>
    <row r="563" spans="1:5" ht="38.25">
      <c r="A563" s="2577" t="str">
        <f>translations!B563</f>
        <v>Emissions factors for organic soil fires for each gas (g per kg dry matter burnt)</v>
      </c>
      <c r="B563" s="2750" t="s">
        <v>6433</v>
      </c>
      <c r="C563" s="3580" t="str">
        <f t="shared" si="10"/>
        <v>Emissions factors for organic soil fires for each gas (g per kg dry matter burnt)</v>
      </c>
      <c r="D563" s="3580" t="str">
        <f t="shared" si="11"/>
        <v>Emissions factors for organic soil fires for each gas (g per kg dry matter burnt)</v>
      </c>
      <c r="E563" s="2584" t="s">
        <v>7493</v>
      </c>
    </row>
    <row r="564" spans="1:5">
      <c r="A564" s="2577" t="str">
        <f>translations!B564</f>
        <v>CO2 Emission Factor</v>
      </c>
      <c r="B564" s="2750" t="s">
        <v>6434</v>
      </c>
      <c r="C564" s="3580" t="str">
        <f t="shared" si="10"/>
        <v>CO2 Emission Factor</v>
      </c>
      <c r="D564" s="3580" t="str">
        <f t="shared" si="11"/>
        <v>CO2 Emission Factor</v>
      </c>
      <c r="E564" s="2584" t="s">
        <v>7494</v>
      </c>
    </row>
    <row r="565" spans="1:5">
      <c r="A565" s="2577" t="str">
        <f>translations!B565</f>
        <v>CO Emission Factor</v>
      </c>
      <c r="B565" s="2750" t="s">
        <v>6435</v>
      </c>
      <c r="C565" s="3580" t="str">
        <f t="shared" si="10"/>
        <v>CO Emission Factor</v>
      </c>
      <c r="D565" s="3580" t="str">
        <f t="shared" si="11"/>
        <v>CO Emission Factor</v>
      </c>
      <c r="E565" s="2584" t="s">
        <v>7495</v>
      </c>
    </row>
    <row r="566" spans="1:5">
      <c r="A566" s="2577" t="str">
        <f>translations!B566</f>
        <v>CH4 Emission Factor</v>
      </c>
      <c r="B566" s="2750" t="s">
        <v>6436</v>
      </c>
      <c r="C566" s="3580" t="str">
        <f t="shared" si="10"/>
        <v>CH4 Emission Factor</v>
      </c>
      <c r="D566" s="3580" t="str">
        <f t="shared" si="11"/>
        <v>CH4 Emission Factor</v>
      </c>
      <c r="E566" s="2584" t="s">
        <v>7496</v>
      </c>
    </row>
    <row r="567" spans="1:5" ht="25.5">
      <c r="A567" s="2577" t="str">
        <f>translations!B567</f>
        <v>Mean Dry Matter (t DM/ha)</v>
      </c>
      <c r="B567" s="2750" t="s">
        <v>6437</v>
      </c>
      <c r="C567" s="3580" t="str">
        <f t="shared" si="10"/>
        <v>Mean Dry Matter (t DM/ha)</v>
      </c>
      <c r="D567" s="3580" t="str">
        <f t="shared" si="11"/>
        <v>Mean Dry Matter (t DM/ha)</v>
      </c>
      <c r="E567" s="2584" t="s">
        <v>7497</v>
      </c>
    </row>
    <row r="568" spans="1:5">
      <c r="A568" s="2577" t="str">
        <f>translations!B568</f>
        <v>Default soil type is "Mineral"</v>
      </c>
      <c r="B568" s="2750" t="s">
        <v>6438</v>
      </c>
      <c r="C568" s="3580" t="str">
        <f t="shared" si="10"/>
        <v>Default soil type is "Mineral"</v>
      </c>
      <c r="D568" s="3580" t="str">
        <f t="shared" si="11"/>
        <v>Default soil type is "Mineral"</v>
      </c>
      <c r="E568" s="2584" t="s">
        <v>7498</v>
      </c>
    </row>
    <row r="569" spans="1:5">
      <c r="A569" s="2577" t="str">
        <f>translations!B569</f>
        <v>(default consider 1 m depth)</v>
      </c>
      <c r="B569" s="2750" t="s">
        <v>6439</v>
      </c>
      <c r="C569" s="3580" t="str">
        <f t="shared" si="10"/>
        <v>(default consider 1 m depth)</v>
      </c>
      <c r="D569" s="3580" t="str">
        <f t="shared" si="11"/>
        <v>(default consider 1 m depth)</v>
      </c>
      <c r="E569" s="2584" t="s">
        <v>7499</v>
      </c>
    </row>
    <row r="570" spans="1:5">
      <c r="A570" s="2577" t="str">
        <f>translations!B570</f>
        <v>% of C lost after excavation</v>
      </c>
      <c r="B570" s="2750" t="s">
        <v>6440</v>
      </c>
      <c r="C570" s="3580" t="str">
        <f t="shared" si="10"/>
        <v>% of C lost after excavation</v>
      </c>
      <c r="D570" s="3580" t="str">
        <f t="shared" si="11"/>
        <v>% of C lost after excavation</v>
      </c>
      <c r="E570" s="2584" t="s">
        <v>7500</v>
      </c>
    </row>
    <row r="571" spans="1:5">
      <c r="A571" s="2577" t="str">
        <f>translations!B571</f>
        <v>Set to "Organic"?</v>
      </c>
      <c r="B571" s="2750" t="s">
        <v>6441</v>
      </c>
      <c r="C571" s="3580" t="str">
        <f t="shared" si="10"/>
        <v>Set to "Organic"?</v>
      </c>
      <c r="D571" s="3580" t="str">
        <f t="shared" si="11"/>
        <v>Set to "Organic"?</v>
      </c>
      <c r="E571" s="2584" t="s">
        <v>7501</v>
      </c>
    </row>
    <row r="572" spans="1:5">
      <c r="A572" s="2577" t="str">
        <f>translations!B572</f>
        <v>Emission factor</v>
      </c>
      <c r="B572" s="2750" t="s">
        <v>6442</v>
      </c>
      <c r="C572" s="3580" t="str">
        <f t="shared" si="10"/>
        <v>Emission factor</v>
      </c>
      <c r="D572" s="3580" t="str">
        <f t="shared" si="11"/>
        <v>Emission factor</v>
      </c>
      <c r="E572" s="2584" t="s">
        <v>7502</v>
      </c>
    </row>
    <row r="573" spans="1:5">
      <c r="A573" s="2577" t="str">
        <f>translations!B573</f>
        <v>(t C /ha/yr)</v>
      </c>
      <c r="B573" s="2750" t="s">
        <v>6430</v>
      </c>
      <c r="C573" s="3580" t="str">
        <f t="shared" si="10"/>
        <v>(t C /ha/yr)</v>
      </c>
      <c r="D573" s="3580" t="str">
        <f t="shared" si="11"/>
        <v>(t C /ha/yr)</v>
      </c>
      <c r="E573" s="2584" t="s">
        <v>7503</v>
      </c>
    </row>
    <row r="574" spans="1:5" ht="25.5">
      <c r="A574" s="2577" t="str">
        <f>translations!B574</f>
        <v>By default water used to rewet is fresh</v>
      </c>
      <c r="B574" s="2750" t="s">
        <v>6443</v>
      </c>
      <c r="C574" s="3580" t="str">
        <f t="shared" si="10"/>
        <v>By default water used to rewet is fresh</v>
      </c>
      <c r="D574" s="3580" t="str">
        <f t="shared" si="11"/>
        <v>By default water used to rewet is fresh</v>
      </c>
      <c r="E574" s="2584" t="s">
        <v>7504</v>
      </c>
    </row>
    <row r="575" spans="1:5">
      <c r="A575" s="2577" t="str">
        <f>translations!B575</f>
        <v>Set to saline?</v>
      </c>
      <c r="B575" s="2750" t="s">
        <v>6444</v>
      </c>
      <c r="C575" s="3580" t="str">
        <f t="shared" si="10"/>
        <v>Set to saline?</v>
      </c>
      <c r="D575" s="3580" t="str">
        <f t="shared" si="11"/>
        <v>Set to saline?</v>
      </c>
      <c r="E575" s="2584" t="s">
        <v>7505</v>
      </c>
    </row>
    <row r="576" spans="1:5">
      <c r="A576" s="2577" t="str">
        <f>translations!B576</f>
        <v>(kg CH4 /ha /yr)</v>
      </c>
      <c r="B576" s="2750" t="s">
        <v>6431</v>
      </c>
      <c r="C576" s="3580" t="str">
        <f t="shared" si="10"/>
        <v>(kg CH4 /ha /yr)</v>
      </c>
      <c r="D576" s="3580" t="str">
        <f t="shared" si="11"/>
        <v>(kg CH4 /ha /yr)</v>
      </c>
      <c r="E576" s="2584" t="s">
        <v>7506</v>
      </c>
    </row>
    <row r="577" spans="1:12" ht="38.25">
      <c r="A577" s="2577" t="str">
        <f>translations!B577</f>
        <v>(this corresponds to deforestation of mangroves and should be accounted only here)</v>
      </c>
      <c r="B577" s="2750" t="s">
        <v>7148</v>
      </c>
      <c r="C577" s="3580" t="str">
        <f t="shared" si="10"/>
        <v>(this corresponds to deforestation of mangroves and should be accounted only here)</v>
      </c>
      <c r="D577" s="3580" t="str">
        <f t="shared" si="11"/>
        <v>(this corresponds to deforestation of mangroves and should be accounted only here)</v>
      </c>
      <c r="E577" s="2584" t="s">
        <v>7507</v>
      </c>
    </row>
    <row r="578" spans="1:12" ht="25.5">
      <c r="A578" s="2577" t="str">
        <f>translations!B578</f>
        <v>Percentage of biomass lost due to drainage</v>
      </c>
      <c r="B578" s="2750" t="s">
        <v>7149</v>
      </c>
      <c r="C578" s="3580" t="str">
        <f t="shared" si="10"/>
        <v>Percentage of biomass lost due to drainage</v>
      </c>
      <c r="D578" s="3580" t="str">
        <f t="shared" si="11"/>
        <v>Percentage of biomass lost due to drainage</v>
      </c>
      <c r="E578" s="2584" t="s">
        <v>7508</v>
      </c>
    </row>
    <row r="579" spans="1:12" ht="25.5">
      <c r="A579" s="2577" t="str">
        <f>translations!B579</f>
        <v>Percentage of nominal biomass restored</v>
      </c>
      <c r="B579" s="2750" t="s">
        <v>7150</v>
      </c>
      <c r="C579" s="3580" t="str">
        <f t="shared" si="10"/>
        <v>Percentage of nominal biomass restored</v>
      </c>
      <c r="D579" s="3580" t="str">
        <f t="shared" si="11"/>
        <v>Percentage of nominal biomass restored</v>
      </c>
      <c r="E579" s="2584" t="s">
        <v>7509</v>
      </c>
    </row>
    <row r="580" spans="1:12">
      <c r="A580" s="2577" t="str">
        <f>translations!B580</f>
        <v>Maximum area available for drainage</v>
      </c>
      <c r="B580" s="2579" t="s">
        <v>8739</v>
      </c>
      <c r="C580" s="3580" t="str">
        <f t="shared" si="10"/>
        <v>Maximum area available for drainage</v>
      </c>
      <c r="D580" s="3580" t="str">
        <f t="shared" si="11"/>
        <v>Maximum area available for drainage</v>
      </c>
      <c r="E580" s="3613" t="s">
        <v>8802</v>
      </c>
    </row>
    <row r="581" spans="1:12" s="3276" customFormat="1">
      <c r="A581" s="2577" t="str">
        <f>translations!B581</f>
        <v>Total for Rewetting</v>
      </c>
      <c r="B581" s="2750" t="s">
        <v>8740</v>
      </c>
      <c r="C581" s="3580" t="str">
        <f t="shared" si="10"/>
        <v>Total for Rewetting</v>
      </c>
      <c r="D581" s="3580" t="str">
        <f t="shared" si="11"/>
        <v>Total for Rewetting</v>
      </c>
      <c r="E581" s="3613" t="s">
        <v>8803</v>
      </c>
      <c r="F581" s="2750"/>
      <c r="G581" s="2750"/>
      <c r="H581" s="2750"/>
      <c r="I581" s="2750"/>
      <c r="J581" s="2750"/>
      <c r="K581" s="2750"/>
      <c r="L581" s="2750"/>
    </row>
    <row r="582" spans="1:12" s="3276" customFormat="1">
      <c r="A582" s="3274" t="str">
        <f>translations!B582</f>
        <v>English</v>
      </c>
      <c r="B582" s="3275" t="str">
        <f>B521</f>
        <v>Português</v>
      </c>
      <c r="C582" s="3580" t="str">
        <f t="shared" si="10"/>
        <v>English</v>
      </c>
      <c r="D582" s="3580" t="str">
        <f t="shared" si="11"/>
        <v>English</v>
      </c>
      <c r="E582" s="3275" t="s">
        <v>6520</v>
      </c>
      <c r="F582" s="3275" t="str">
        <f t="shared" ref="F582:L582" si="12">F521</f>
        <v>Lang004</v>
      </c>
      <c r="G582" s="3275" t="str">
        <f t="shared" si="12"/>
        <v>Lang005</v>
      </c>
      <c r="H582" s="3275" t="str">
        <f t="shared" si="12"/>
        <v>Lang006</v>
      </c>
      <c r="I582" s="3275" t="str">
        <f t="shared" si="12"/>
        <v>Lang007</v>
      </c>
      <c r="J582" s="3275" t="str">
        <f t="shared" si="12"/>
        <v>Lang008</v>
      </c>
      <c r="K582" s="3275" t="str">
        <f t="shared" si="12"/>
        <v>Lang009</v>
      </c>
      <c r="L582" s="3275" t="str">
        <f t="shared" si="12"/>
        <v>Lang010</v>
      </c>
    </row>
    <row r="583" spans="1:12">
      <c r="A583" s="2577" t="str">
        <f>translations!B583</f>
        <v>Peat (from peatlands)</v>
      </c>
      <c r="B583" s="2750" t="s">
        <v>6445</v>
      </c>
      <c r="C583" s="3580" t="str">
        <f t="shared" si="10"/>
        <v>Peat (from peatlands)</v>
      </c>
      <c r="D583" s="3580" t="str">
        <f t="shared" si="11"/>
        <v>Peat (from peatlands)</v>
      </c>
      <c r="E583" s="2584" t="s">
        <v>7510</v>
      </c>
    </row>
    <row r="584" spans="1:12">
      <c r="A584" s="2577" t="str">
        <f>translations!B584</f>
        <v>8.1. Fisheries</v>
      </c>
      <c r="B584" s="2750" t="s">
        <v>7178</v>
      </c>
      <c r="C584" s="3580" t="str">
        <f t="shared" si="10"/>
        <v>8.1. Fisheries</v>
      </c>
      <c r="D584" s="3580" t="str">
        <f t="shared" si="11"/>
        <v>8.1. Fisheries</v>
      </c>
      <c r="E584" s="2584" t="s">
        <v>7511</v>
      </c>
    </row>
    <row r="585" spans="1:12" ht="51">
      <c r="A585" s="2577" t="str">
        <f>translations!B585</f>
        <v>The sections 6.1 (Inputs), 6.2. (Energy) and 6.3. (Construction of new infratructure) can be used to complement this section</v>
      </c>
      <c r="B585" s="2750" t="s">
        <v>6468</v>
      </c>
      <c r="C585" s="3580" t="str">
        <f t="shared" si="10"/>
        <v>The sections 6.1 (Inputs), 6.2. (Energy) and 6.3. (Construction of new infratructure) can be used to complement this section</v>
      </c>
      <c r="D585" s="3580" t="str">
        <f t="shared" si="11"/>
        <v>The sections 6.1 (Inputs), 6.2. (Energy) and 6.3. (Construction of new infratructure) can be used to complement this section</v>
      </c>
      <c r="E585" s="2584" t="s">
        <v>7512</v>
      </c>
    </row>
    <row r="586" spans="1:12">
      <c r="A586" s="2577" t="str">
        <f>translations!B586</f>
        <v>Category</v>
      </c>
      <c r="B586" s="2750" t="s">
        <v>6446</v>
      </c>
      <c r="C586" s="3580" t="str">
        <f t="shared" si="10"/>
        <v>Category</v>
      </c>
      <c r="D586" s="3580" t="str">
        <f t="shared" si="11"/>
        <v>Category</v>
      </c>
      <c r="E586" s="2584" t="s">
        <v>7513</v>
      </c>
    </row>
    <row r="587" spans="1:12">
      <c r="A587" s="2577" t="str">
        <f>translations!B587</f>
        <v>Total catch per year (tonnes per year)</v>
      </c>
      <c r="B587" s="2750" t="s">
        <v>6447</v>
      </c>
      <c r="C587" s="3580" t="str">
        <f t="shared" ref="C587:C621" si="13">A587</f>
        <v>Total catch per year (tonnes per year)</v>
      </c>
      <c r="D587" s="3580" t="str">
        <f t="shared" ref="D587:D621" si="14">A587</f>
        <v>Total catch per year (tonnes per year)</v>
      </c>
      <c r="E587" s="2584" t="s">
        <v>7514</v>
      </c>
    </row>
    <row r="588" spans="1:12" ht="38.25">
      <c r="A588" s="2577" t="str">
        <f>translations!B588</f>
        <v>Fishing operations (based on Fuel Use intensity - FUI -  values)</v>
      </c>
      <c r="B588" s="2750" t="s">
        <v>6451</v>
      </c>
      <c r="C588" s="3580" t="str">
        <f t="shared" si="13"/>
        <v>Fishing operations (based on Fuel Use intensity - FUI -  values)</v>
      </c>
      <c r="D588" s="3580" t="str">
        <f t="shared" si="14"/>
        <v>Fishing operations (based on Fuel Use intensity - FUI -  values)</v>
      </c>
      <c r="E588" s="2584" t="s">
        <v>7515</v>
      </c>
    </row>
    <row r="589" spans="1:12" ht="38.25">
      <c r="A589" s="2577" t="str">
        <f>translations!B589</f>
        <v>On-board leakage from refrigeration systems</v>
      </c>
      <c r="B589" s="2750" t="s">
        <v>6452</v>
      </c>
      <c r="C589" s="3580" t="str">
        <f t="shared" si="13"/>
        <v>On-board leakage from refrigeration systems</v>
      </c>
      <c r="D589" s="3580" t="str">
        <f t="shared" si="14"/>
        <v>On-board leakage from refrigeration systems</v>
      </c>
      <c r="E589" s="2584" t="s">
        <v>7516</v>
      </c>
    </row>
    <row r="590" spans="1:12" ht="25.5">
      <c r="A590" s="2577" t="str">
        <f>translations!B590</f>
        <v>Emissions from production of ice produced ashore</v>
      </c>
      <c r="B590" s="2750" t="s">
        <v>6463</v>
      </c>
      <c r="C590" s="3580" t="str">
        <f t="shared" si="13"/>
        <v>Emissions from production of ice produced ashore</v>
      </c>
      <c r="D590" s="3580" t="str">
        <f t="shared" si="14"/>
        <v>Emissions from production of ice produced ashore</v>
      </c>
      <c r="E590" s="2584" t="s">
        <v>7517</v>
      </c>
    </row>
    <row r="591" spans="1:12" ht="25.5">
      <c r="A591" s="2577" t="str">
        <f>translations!B591</f>
        <v>Aquaculture (only emissions from N2O during  fish production)</v>
      </c>
      <c r="B591" s="2750" t="s">
        <v>6453</v>
      </c>
      <c r="C591" s="3580" t="str">
        <f t="shared" si="13"/>
        <v>Aquaculture (only emissions from N2O during  fish production)</v>
      </c>
      <c r="D591" s="3580" t="str">
        <f t="shared" si="14"/>
        <v>Aquaculture (only emissions from N2O during  fish production)</v>
      </c>
      <c r="E591" s="2584" t="s">
        <v>7518</v>
      </c>
    </row>
    <row r="592" spans="1:12" ht="25.5">
      <c r="A592" s="2577" t="str">
        <f>translations!B592</f>
        <v>Total catch with refrigerant systems (fishes, etc.)</v>
      </c>
      <c r="B592" s="2750" t="s">
        <v>6460</v>
      </c>
      <c r="C592" s="3580" t="str">
        <f t="shared" si="13"/>
        <v>Total catch with refrigerant systems (fishes, etc.)</v>
      </c>
      <c r="D592" s="3580" t="str">
        <f t="shared" si="14"/>
        <v>Total catch with refrigerant systems (fishes, etc.)</v>
      </c>
      <c r="E592" s="2584" t="s">
        <v>7519</v>
      </c>
    </row>
    <row r="593" spans="1:5">
      <c r="A593" s="2577" t="str">
        <f>translations!B593</f>
        <v>Total artisanal and coastal catch</v>
      </c>
      <c r="B593" s="2750" t="s">
        <v>6454</v>
      </c>
      <c r="C593" s="3580" t="str">
        <f t="shared" si="13"/>
        <v>Total artisanal and coastal catch</v>
      </c>
      <c r="D593" s="3580" t="str">
        <f t="shared" si="14"/>
        <v>Total artisanal and coastal catch</v>
      </c>
      <c r="E593" s="2584" t="s">
        <v>7520</v>
      </c>
    </row>
    <row r="594" spans="1:5">
      <c r="A594" s="2577" t="str">
        <f>translations!B594</f>
        <v>Total from catch</v>
      </c>
      <c r="B594" s="2750" t="s">
        <v>6499</v>
      </c>
      <c r="C594" s="3580" t="str">
        <f t="shared" si="13"/>
        <v>Total from catch</v>
      </c>
      <c r="D594" s="3580" t="str">
        <f t="shared" si="14"/>
        <v>Total from catch</v>
      </c>
      <c r="E594" s="2584" t="s">
        <v>7521</v>
      </c>
    </row>
    <row r="595" spans="1:5" ht="25.5">
      <c r="A595" s="2577" t="str">
        <f>translations!B595</f>
        <v>Fuel Use Intensity - FUI (l/t catch)</v>
      </c>
      <c r="B595" s="2750" t="s">
        <v>6455</v>
      </c>
      <c r="C595" s="3580" t="str">
        <f t="shared" si="13"/>
        <v>Fuel Use Intensity - FUI (l/t catch)</v>
      </c>
      <c r="D595" s="3580" t="str">
        <f t="shared" si="14"/>
        <v>Fuel Use Intensity - FUI (l/t catch)</v>
      </c>
      <c r="E595" s="2584" t="s">
        <v>7522</v>
      </c>
    </row>
    <row r="596" spans="1:5">
      <c r="A596" s="2577" t="str">
        <f>translations!B596</f>
        <v>Emission factor</v>
      </c>
      <c r="B596" s="2750" t="s">
        <v>6442</v>
      </c>
      <c r="C596" s="3580" t="str">
        <f t="shared" si="13"/>
        <v>Emission factor</v>
      </c>
      <c r="D596" s="3580" t="str">
        <f t="shared" si="14"/>
        <v>Emission factor</v>
      </c>
      <c r="E596" s="2584" t="s">
        <v>7502</v>
      </c>
    </row>
    <row r="597" spans="1:5">
      <c r="A597" s="2577" t="str">
        <f>translations!B597</f>
        <v>(tCO2-eq / t catch)</v>
      </c>
      <c r="B597" s="2750" t="s">
        <v>6482</v>
      </c>
      <c r="C597" s="3580" t="str">
        <f t="shared" si="13"/>
        <v>(tCO2-eq / t catch)</v>
      </c>
      <c r="D597" s="3580" t="str">
        <f t="shared" si="14"/>
        <v>(tCO2-eq / t catch)</v>
      </c>
      <c r="E597" s="2584" t="s">
        <v>7523</v>
      </c>
    </row>
    <row r="598" spans="1:5">
      <c r="A598" s="2577" t="str">
        <f>translations!B598</f>
        <v>Quantity lost (kg refrigerant)</v>
      </c>
      <c r="B598" s="2577" t="s">
        <v>6456</v>
      </c>
      <c r="C598" s="3580" t="str">
        <f t="shared" si="13"/>
        <v>Quantity lost (kg refrigerant)</v>
      </c>
      <c r="D598" s="3580" t="str">
        <f t="shared" si="14"/>
        <v>Quantity lost (kg refrigerant)</v>
      </c>
      <c r="E598" s="2584" t="s">
        <v>7524</v>
      </c>
    </row>
    <row r="599" spans="1:5">
      <c r="A599" s="2577" t="str">
        <f>translations!B599</f>
        <v>GWP of refrigerant</v>
      </c>
      <c r="B599" s="2577" t="s">
        <v>6448</v>
      </c>
      <c r="C599" s="3580" t="str">
        <f t="shared" si="13"/>
        <v>GWP of refrigerant</v>
      </c>
      <c r="D599" s="3580" t="str">
        <f t="shared" si="14"/>
        <v>GWP of refrigerant</v>
      </c>
      <c r="E599" s="2584" t="s">
        <v>7525</v>
      </c>
    </row>
    <row r="600" spans="1:5" ht="25.5">
      <c r="A600" s="2577" t="str">
        <f>translations!B600</f>
        <v>Refrigerant lost per tonne of landed catch</v>
      </c>
      <c r="B600" s="2577" t="s">
        <v>6457</v>
      </c>
      <c r="C600" s="3580" t="str">
        <f t="shared" si="13"/>
        <v>Refrigerant lost per tonne of landed catch</v>
      </c>
      <c r="D600" s="3580" t="str">
        <f t="shared" si="14"/>
        <v>Refrigerant lost per tonne of landed catch</v>
      </c>
      <c r="E600" s="2584" t="s">
        <v>7526</v>
      </c>
    </row>
    <row r="601" spans="1:5">
      <c r="A601" s="2577" t="str">
        <f>translations!B601</f>
        <v>Quantity (tonnes)</v>
      </c>
      <c r="B601" s="2577" t="s">
        <v>6449</v>
      </c>
      <c r="C601" s="3580" t="str">
        <f t="shared" si="13"/>
        <v>Quantity (tonnes)</v>
      </c>
      <c r="D601" s="3580" t="str">
        <f t="shared" si="14"/>
        <v>Quantity (tonnes)</v>
      </c>
      <c r="E601" s="2584" t="s">
        <v>7527</v>
      </c>
    </row>
    <row r="602" spans="1:5" ht="25.5">
      <c r="A602" s="2577" t="str">
        <f>translations!B602</f>
        <v>Quantity of ice (tonnes) per tonne of catch</v>
      </c>
      <c r="B602" s="2577" t="s">
        <v>6450</v>
      </c>
      <c r="C602" s="3580" t="str">
        <f t="shared" si="13"/>
        <v>Quantity of ice (tonnes) per tonne of catch</v>
      </c>
      <c r="D602" s="3580" t="str">
        <f t="shared" si="14"/>
        <v>Quantity of ice (tonnes) per tonne of catch</v>
      </c>
      <c r="E602" s="2584" t="s">
        <v>7528</v>
      </c>
    </row>
    <row r="603" spans="1:5" ht="25.5">
      <c r="A603" s="2577" t="str">
        <f>translations!B603</f>
        <v>Emission factor (tCO2-eq) per t of ice produced</v>
      </c>
      <c r="B603" s="2750" t="s">
        <v>6481</v>
      </c>
      <c r="C603" s="3580" t="str">
        <f t="shared" si="13"/>
        <v>Emission factor (tCO2-eq) per t of ice produced</v>
      </c>
      <c r="D603" s="3580" t="str">
        <f t="shared" si="14"/>
        <v>Emission factor (tCO2-eq) per t of ice produced</v>
      </c>
      <c r="E603" s="2584" t="s">
        <v>7529</v>
      </c>
    </row>
    <row r="604" spans="1:5" ht="38.25">
      <c r="A604" s="2577" t="str">
        <f>translations!B604</f>
        <v>Emissions factor for N2O emission from fish production (t N-N2O / t fish)</v>
      </c>
      <c r="B604" s="2577" t="s">
        <v>6458</v>
      </c>
      <c r="C604" s="3580" t="str">
        <f t="shared" si="13"/>
        <v>Emissions factor for N2O emission from fish production (t N-N2O / t fish)</v>
      </c>
      <c r="D604" s="3580" t="str">
        <f t="shared" si="14"/>
        <v>Emissions factor for N2O emission from fish production (t N-N2O / t fish)</v>
      </c>
      <c r="E604" s="2584" t="s">
        <v>7530</v>
      </c>
    </row>
    <row r="605" spans="1:5">
      <c r="A605" s="2577" t="str">
        <f>translations!B605</f>
        <v>% with refrigerant syst.</v>
      </c>
      <c r="B605" s="2750" t="s">
        <v>6459</v>
      </c>
      <c r="C605" s="3580" t="str">
        <f t="shared" si="13"/>
        <v>% with refrigerant syst.</v>
      </c>
      <c r="D605" s="3580" t="str">
        <f t="shared" si="14"/>
        <v>% with refrigerant syst.</v>
      </c>
      <c r="E605" s="2584" t="s">
        <v>7531</v>
      </c>
    </row>
    <row r="606" spans="1:5">
      <c r="A606" s="2577" t="str">
        <f>translations!B606</f>
        <v>Management (will impact FUI)</v>
      </c>
      <c r="B606" s="2750" t="s">
        <v>6894</v>
      </c>
      <c r="C606" s="3580" t="str">
        <f t="shared" si="13"/>
        <v>Management (will impact FUI)</v>
      </c>
      <c r="D606" s="3580" t="str">
        <f t="shared" si="14"/>
        <v>Management (will impact FUI)</v>
      </c>
      <c r="E606" s="2584" t="s">
        <v>7532</v>
      </c>
    </row>
    <row r="607" spans="1:5">
      <c r="A607" s="2577" t="str">
        <f>translations!B607</f>
        <v>100% = Nominal FUI (see Tier2)</v>
      </c>
      <c r="B607" s="2750" t="s">
        <v>8196</v>
      </c>
      <c r="C607" s="3580" t="str">
        <f t="shared" si="13"/>
        <v>100% = Nominal FUI (see Tier2)</v>
      </c>
      <c r="D607" s="3580" t="str">
        <f t="shared" si="14"/>
        <v>100% = Nominal FUI (see Tier2)</v>
      </c>
      <c r="E607" s="2584" t="s">
        <v>8197</v>
      </c>
    </row>
    <row r="608" spans="1:5">
      <c r="A608" s="2577" t="str">
        <f>translations!B608</f>
        <v>8.2. Aquaculture</v>
      </c>
      <c r="B608" s="2750" t="s">
        <v>7179</v>
      </c>
      <c r="C608" s="3580" t="str">
        <f t="shared" si="13"/>
        <v>8.2. Aquaculture</v>
      </c>
      <c r="D608" s="3580" t="str">
        <f t="shared" si="14"/>
        <v>8.2. Aquaculture</v>
      </c>
      <c r="E608" s="2584" t="s">
        <v>8914</v>
      </c>
    </row>
    <row r="609" spans="1:12">
      <c r="A609" s="2577" t="str">
        <f>translations!B609</f>
        <v>Annual production (tonnes per year)</v>
      </c>
      <c r="B609" s="2750" t="s">
        <v>6895</v>
      </c>
      <c r="C609" s="3580" t="str">
        <f t="shared" si="13"/>
        <v>Annual production (tonnes per year)</v>
      </c>
      <c r="D609" s="3580" t="str">
        <f t="shared" si="14"/>
        <v>Annual production (tonnes per year)</v>
      </c>
      <c r="E609" s="2584" t="s">
        <v>7533</v>
      </c>
    </row>
    <row r="610" spans="1:12">
      <c r="A610" s="2577" t="str">
        <f>translations!B610</f>
        <v>Emissions from feeds</v>
      </c>
      <c r="B610" s="2750" t="s">
        <v>6896</v>
      </c>
      <c r="C610" s="3580" t="str">
        <f t="shared" si="13"/>
        <v>Emissions from feeds</v>
      </c>
      <c r="D610" s="3580" t="str">
        <f t="shared" si="14"/>
        <v>Emissions from feeds</v>
      </c>
      <c r="E610" s="2584" t="s">
        <v>7534</v>
      </c>
    </row>
    <row r="611" spans="1:12">
      <c r="A611" s="2577" t="str">
        <f>translations!B611</f>
        <v>Annual quantity of feeds (tonnes per year)</v>
      </c>
      <c r="B611" s="2750" t="s">
        <v>6897</v>
      </c>
      <c r="C611" s="3580" t="str">
        <f t="shared" si="13"/>
        <v>Annual quantity of feeds (tonnes per year)</v>
      </c>
      <c r="D611" s="3580" t="str">
        <f t="shared" si="14"/>
        <v>Annual quantity of feeds (tonnes per year)</v>
      </c>
      <c r="E611" s="2584" t="s">
        <v>7535</v>
      </c>
    </row>
    <row r="612" spans="1:12">
      <c r="A612" s="2577" t="str">
        <f>translations!B612</f>
        <v>Total aquaculture</v>
      </c>
      <c r="B612" s="2750" t="s">
        <v>6898</v>
      </c>
      <c r="C612" s="3580" t="str">
        <f t="shared" si="13"/>
        <v>Total aquaculture</v>
      </c>
      <c r="D612" s="3580" t="str">
        <f t="shared" si="14"/>
        <v>Total aquaculture</v>
      </c>
      <c r="E612" s="2584" t="s">
        <v>7536</v>
      </c>
    </row>
    <row r="613" spans="1:12" ht="25.5">
      <c r="A613" s="2577" t="str">
        <f>translations!B613</f>
        <v>Emissions factor for feed (tCO2-eq / t feed)</v>
      </c>
      <c r="B613" s="2750" t="s">
        <v>6899</v>
      </c>
      <c r="C613" s="3580" t="str">
        <f t="shared" si="13"/>
        <v>Emissions factor for feed (tCO2-eq / t feed)</v>
      </c>
      <c r="D613" s="3580" t="str">
        <f t="shared" si="14"/>
        <v>Emissions factor for feed (tCO2-eq / t feed)</v>
      </c>
      <c r="E613" s="2584" t="s">
        <v>7537</v>
      </c>
    </row>
    <row r="614" spans="1:12">
      <c r="A614" s="2577" t="str">
        <f>translations!B614</f>
        <v>Total fuel consumption (m3/yr)</v>
      </c>
      <c r="B614" s="2750" t="s">
        <v>6900</v>
      </c>
      <c r="C614" s="3580" t="str">
        <f t="shared" si="13"/>
        <v>Total fuel consumption (m3/yr)</v>
      </c>
      <c r="D614" s="3580" t="str">
        <f t="shared" si="14"/>
        <v>Total fuel consumption (m3/yr)</v>
      </c>
      <c r="E614" s="2584" t="s">
        <v>7538</v>
      </c>
    </row>
    <row r="615" spans="1:12" ht="25.5">
      <c r="A615" s="2577" t="str">
        <f>translations!B615</f>
        <v>% of total catch concerned by ice production</v>
      </c>
      <c r="B615" s="2813" t="s">
        <v>7153</v>
      </c>
      <c r="C615" s="3580" t="str">
        <f t="shared" si="13"/>
        <v>% of total catch concerned by ice production</v>
      </c>
      <c r="D615" s="3580" t="str">
        <f t="shared" si="14"/>
        <v>% of total catch concerned by ice production</v>
      </c>
      <c r="E615" s="2584" t="s">
        <v>7539</v>
      </c>
    </row>
    <row r="616" spans="1:12">
      <c r="A616" s="2577" t="str">
        <f>translations!B616</f>
        <v>Electricity used per tonne of Ice</v>
      </c>
      <c r="B616" s="2813" t="s">
        <v>7154</v>
      </c>
      <c r="C616" s="3580" t="str">
        <f t="shared" si="13"/>
        <v>Electricity used per tonne of Ice</v>
      </c>
      <c r="D616" s="3580" t="str">
        <f t="shared" si="14"/>
        <v>Electricity used per tonne of Ice</v>
      </c>
      <c r="E616" s="2584" t="s">
        <v>7540</v>
      </c>
    </row>
    <row r="617" spans="1:12">
      <c r="A617" s="2577" t="str">
        <f>translations!B617</f>
        <v>Gear</v>
      </c>
      <c r="B617" s="2577" t="s">
        <v>7212</v>
      </c>
      <c r="C617" s="3580" t="str">
        <f t="shared" si="13"/>
        <v>Gear</v>
      </c>
      <c r="D617" s="3580" t="str">
        <f t="shared" si="14"/>
        <v>Gear</v>
      </c>
      <c r="E617" s="3613" t="s">
        <v>8804</v>
      </c>
    </row>
    <row r="618" spans="1:12">
      <c r="A618" s="2577" t="str">
        <f>translations!B618</f>
        <v>Gear Specific</v>
      </c>
      <c r="B618" s="2577" t="s">
        <v>7213</v>
      </c>
      <c r="C618" s="3580" t="str">
        <f t="shared" si="13"/>
        <v>Gear Specific</v>
      </c>
      <c r="D618" s="3580" t="str">
        <f t="shared" si="14"/>
        <v>Gear Specific</v>
      </c>
      <c r="E618" s="3613" t="s">
        <v>8805</v>
      </c>
    </row>
    <row r="619" spans="1:12">
      <c r="A619" s="2577" t="str">
        <f>translations!B619</f>
        <v>Not Specific</v>
      </c>
      <c r="B619" s="2577" t="s">
        <v>7214</v>
      </c>
      <c r="C619" s="3580" t="str">
        <f t="shared" si="13"/>
        <v>Not Specific</v>
      </c>
      <c r="D619" s="3580" t="str">
        <f t="shared" si="14"/>
        <v>Not Specific</v>
      </c>
      <c r="E619" s="3613" t="s">
        <v>8806</v>
      </c>
    </row>
    <row r="620" spans="1:12">
      <c r="A620" s="2577" t="str">
        <f>translations!B620</f>
        <v>Unit</v>
      </c>
      <c r="B620" s="2577" t="s">
        <v>4582</v>
      </c>
      <c r="C620" s="3580" t="str">
        <f t="shared" si="13"/>
        <v>Unit</v>
      </c>
      <c r="D620" s="3580" t="str">
        <f t="shared" si="14"/>
        <v>Unit</v>
      </c>
      <c r="E620" s="3613" t="s">
        <v>6749</v>
      </c>
    </row>
    <row r="621" spans="1:12">
      <c r="A621" s="2577" t="str">
        <f>translations!B621</f>
        <v>l/tonne</v>
      </c>
      <c r="B621" s="2577" t="s">
        <v>7218</v>
      </c>
      <c r="C621" s="3580" t="str">
        <f t="shared" si="13"/>
        <v>l/tonne</v>
      </c>
      <c r="D621" s="3580" t="str">
        <f t="shared" si="14"/>
        <v>l/tonne</v>
      </c>
      <c r="E621" s="3613" t="s">
        <v>8807</v>
      </c>
    </row>
    <row r="622" spans="1:12">
      <c r="A622" s="2577" t="str">
        <f>translations!B622</f>
        <v>Aquaculture</v>
      </c>
      <c r="B622" s="2577" t="s">
        <v>8913</v>
      </c>
      <c r="C622" s="2813" t="s">
        <v>8908</v>
      </c>
      <c r="D622" s="2584" t="str">
        <f>C622</f>
        <v>Aquaculture</v>
      </c>
      <c r="E622" s="2584" t="s">
        <v>8915</v>
      </c>
    </row>
    <row r="623" spans="1:12">
      <c r="A623" s="2577">
        <f>translations!B623</f>
        <v>0</v>
      </c>
    </row>
    <row r="624" spans="1:12" s="3276" customFormat="1">
      <c r="A624" s="3274" t="str">
        <f>translations!B624</f>
        <v>English</v>
      </c>
      <c r="B624" s="3275" t="s">
        <v>1620</v>
      </c>
      <c r="C624" s="3275" t="s">
        <v>5057</v>
      </c>
      <c r="D624" s="3275" t="s">
        <v>5723</v>
      </c>
      <c r="E624" s="3275" t="s">
        <v>6520</v>
      </c>
      <c r="F624" s="3275" t="s">
        <v>1621</v>
      </c>
      <c r="G624" s="3275" t="s">
        <v>1622</v>
      </c>
      <c r="H624" s="3275" t="s">
        <v>1623</v>
      </c>
      <c r="I624" s="3275" t="s">
        <v>1624</v>
      </c>
      <c r="J624" s="3275" t="s">
        <v>1625</v>
      </c>
      <c r="K624" s="3275" t="s">
        <v>1626</v>
      </c>
      <c r="L624" s="3275" t="s">
        <v>1627</v>
      </c>
    </row>
    <row r="625" spans="1:5">
      <c r="A625" s="2577" t="str">
        <f>translations!B625</f>
        <v>Residue management</v>
      </c>
      <c r="B625" s="2750" t="s">
        <v>8741</v>
      </c>
      <c r="C625" s="3580" t="str">
        <f>A625</f>
        <v>Residue management</v>
      </c>
      <c r="D625" s="3580" t="str">
        <f>A625</f>
        <v>Residue management</v>
      </c>
      <c r="E625" s="3613" t="s">
        <v>8808</v>
      </c>
    </row>
    <row r="626" spans="1:5">
      <c r="A626" s="2577" t="str">
        <f>translations!B626</f>
        <v>Main season crop</v>
      </c>
      <c r="B626" s="2750" t="s">
        <v>8742</v>
      </c>
      <c r="C626" s="3580" t="str">
        <f t="shared" ref="C626:C632" si="15">A626</f>
        <v>Main season crop</v>
      </c>
      <c r="D626" s="3580" t="str">
        <f t="shared" ref="D626:D632" si="16">A626</f>
        <v>Main season crop</v>
      </c>
      <c r="E626" s="3613" t="s">
        <v>8809</v>
      </c>
    </row>
    <row r="627" spans="1:5">
      <c r="A627" s="2577" t="str">
        <f>translations!B627</f>
        <v>Minor season crop/ intercrop</v>
      </c>
      <c r="B627" s="2750" t="s">
        <v>8743</v>
      </c>
      <c r="C627" s="3580" t="str">
        <f t="shared" si="15"/>
        <v>Minor season crop/ intercrop</v>
      </c>
      <c r="D627" s="3580" t="str">
        <f t="shared" si="16"/>
        <v>Minor season crop/ intercrop</v>
      </c>
      <c r="E627" s="3613" t="s">
        <v>8810</v>
      </c>
    </row>
    <row r="628" spans="1:5">
      <c r="A628" s="2577" t="str">
        <f>translations!B628</f>
        <v>Crop type</v>
      </c>
      <c r="B628" s="2750" t="s">
        <v>8744</v>
      </c>
      <c r="C628" s="3580" t="str">
        <f t="shared" si="15"/>
        <v>Crop type</v>
      </c>
      <c r="D628" s="3580" t="str">
        <f t="shared" si="16"/>
        <v>Crop type</v>
      </c>
      <c r="E628" s="3613" t="s">
        <v>8811</v>
      </c>
    </row>
    <row r="629" spans="1:5" ht="25.5">
      <c r="A629" s="2577" t="str">
        <f>translations!B629</f>
        <v>Food and Agriculture Organization of the United Nations</v>
      </c>
      <c r="B629" s="3581" t="str">
        <f>A629</f>
        <v>Food and Agriculture Organization of the United Nations</v>
      </c>
      <c r="C629" s="3582" t="str">
        <f t="shared" si="15"/>
        <v>Food and Agriculture Organization of the United Nations</v>
      </c>
      <c r="D629" s="3583" t="str">
        <f t="shared" si="16"/>
        <v>Food and Agriculture Organization of the United Nations</v>
      </c>
      <c r="E629" s="3613" t="s">
        <v>8812</v>
      </c>
    </row>
    <row r="630" spans="1:5" ht="25.5">
      <c r="A630" s="2577" t="str">
        <f>translations!B630</f>
        <v>Online resource materials for policy-making</v>
      </c>
      <c r="B630" s="2750" t="s">
        <v>8745</v>
      </c>
      <c r="C630" s="3580" t="str">
        <f t="shared" si="15"/>
        <v>Online resource materials for policy-making</v>
      </c>
      <c r="D630" s="3580" t="str">
        <f t="shared" si="16"/>
        <v>Online resource materials for policy-making</v>
      </c>
      <c r="E630" s="3613" t="s">
        <v>8813</v>
      </c>
    </row>
    <row r="631" spans="1:5">
      <c r="A631" s="2577" t="str">
        <f>translations!B631</f>
        <v>% excavated</v>
      </c>
      <c r="B631" s="2750" t="s">
        <v>8746</v>
      </c>
      <c r="C631" s="3580" t="str">
        <f t="shared" si="15"/>
        <v>% excavated</v>
      </c>
      <c r="D631" s="3580" t="str">
        <f t="shared" si="16"/>
        <v>% excavated</v>
      </c>
      <c r="E631" s="3613" t="s">
        <v>8814</v>
      </c>
    </row>
    <row r="632" spans="1:5">
      <c r="A632" s="2577" t="str">
        <f>translations!B632</f>
        <v>% drained</v>
      </c>
      <c r="B632" s="2750" t="s">
        <v>8747</v>
      </c>
      <c r="C632" s="3580" t="str">
        <f t="shared" si="15"/>
        <v>% drained</v>
      </c>
      <c r="D632" s="3580" t="str">
        <f t="shared" si="16"/>
        <v>% drained</v>
      </c>
      <c r="E632" s="3613" t="s">
        <v>8815</v>
      </c>
    </row>
    <row r="633" spans="1:5">
      <c r="A633" s="2028" t="s">
        <v>339</v>
      </c>
      <c r="B633" s="3615" t="s">
        <v>339</v>
      </c>
      <c r="C633" s="3615" t="s">
        <v>339</v>
      </c>
      <c r="D633" s="3615" t="s">
        <v>339</v>
      </c>
      <c r="E633" s="2028" t="s">
        <v>6568</v>
      </c>
    </row>
    <row r="634" spans="1:5">
      <c r="A634" s="2028" t="s">
        <v>7227</v>
      </c>
      <c r="B634" s="3615" t="s">
        <v>7227</v>
      </c>
      <c r="C634" s="3615" t="s">
        <v>7227</v>
      </c>
      <c r="D634" s="3615" t="s">
        <v>7227</v>
      </c>
      <c r="E634" s="2028" t="s">
        <v>8833</v>
      </c>
    </row>
    <row r="635" spans="1:5">
      <c r="A635" s="2028" t="s">
        <v>7230</v>
      </c>
      <c r="B635" s="3615" t="s">
        <v>7230</v>
      </c>
      <c r="C635" s="3615" t="s">
        <v>7230</v>
      </c>
      <c r="D635" s="3615" t="s">
        <v>7230</v>
      </c>
      <c r="E635" s="2028" t="s">
        <v>8834</v>
      </c>
    </row>
    <row r="636" spans="1:5">
      <c r="A636" s="2028" t="s">
        <v>7233</v>
      </c>
      <c r="B636" s="3615" t="s">
        <v>7233</v>
      </c>
      <c r="C636" s="3615" t="s">
        <v>7233</v>
      </c>
      <c r="D636" s="3615" t="s">
        <v>7233</v>
      </c>
      <c r="E636" s="2028" t="s">
        <v>7105</v>
      </c>
    </row>
    <row r="637" spans="1:5">
      <c r="A637" s="2028" t="s">
        <v>7236</v>
      </c>
      <c r="B637" s="3615" t="s">
        <v>7236</v>
      </c>
      <c r="C637" s="3615" t="s">
        <v>7236</v>
      </c>
      <c r="D637" s="3615" t="s">
        <v>7236</v>
      </c>
      <c r="E637" s="2028" t="s">
        <v>8835</v>
      </c>
    </row>
    <row r="638" spans="1:5">
      <c r="A638" s="2579" t="s">
        <v>1337</v>
      </c>
      <c r="B638" s="2911" t="str">
        <f>VLOOKUP('Other Translations'!$A638,'Other translations2'!$A$1:$E$280,2,FALSE)</f>
        <v>Cevada</v>
      </c>
      <c r="C638" s="2911" t="str">
        <f>VLOOKUP('Other Translations'!$A638,'Other translations2'!$A$1:$E$280,3,FALSE)</f>
        <v>Gerste</v>
      </c>
      <c r="D638" s="2911" t="str">
        <f>VLOOKUP('Other Translations'!$A638,'Other translations2'!$A$1:$E$280,4,FALSE)</f>
        <v>Jelai (barley)</v>
      </c>
      <c r="E638" s="2661" t="str">
        <f>VLOOKUP('Other Translations'!$A638,'Other translations2'!$A$1:$E$280,5,FALSE)</f>
        <v>Lúa mạch</v>
      </c>
    </row>
    <row r="639" spans="1:5">
      <c r="A639" s="2579" t="s">
        <v>1356</v>
      </c>
      <c r="B639" s="2911" t="str">
        <f>VLOOKUP('Other Translations'!$A639,'Other translations2'!$A$1:$E$280,2,FALSE)</f>
        <v>Milho</v>
      </c>
      <c r="C639" s="2911" t="str">
        <f>VLOOKUP('Other Translations'!$A639,'Other translations2'!$A$1:$E$280,3,FALSE)</f>
        <v>Mais</v>
      </c>
      <c r="D639" s="2911" t="str">
        <f>VLOOKUP('Other Translations'!$A639,'Other translations2'!$A$1:$E$280,4,FALSE)</f>
        <v>Jagung</v>
      </c>
      <c r="E639" s="2661" t="str">
        <f>VLOOKUP('Other Translations'!$A639,'Other translations2'!$A$1:$E$280,5,FALSE)</f>
        <v>Ngô</v>
      </c>
    </row>
    <row r="640" spans="1:5">
      <c r="A640" s="2028" t="s">
        <v>1323</v>
      </c>
      <c r="B640" s="2911" t="str">
        <f>VLOOKUP('Other Translations'!$A640,'Other translations2'!$A$1:$E$280,2,FALSE)</f>
        <v>Aveia</v>
      </c>
      <c r="C640" s="2911" t="str">
        <f>VLOOKUP('Other Translations'!$A640,'Other translations2'!$A$1:$E$280,3,FALSE)</f>
        <v>Hafer</v>
      </c>
      <c r="D640" s="2911" t="str">
        <f>VLOOKUP('Other Translations'!$A640,'Other translations2'!$A$1:$E$280,4,FALSE)</f>
        <v>Haver (oat)</v>
      </c>
      <c r="E640" s="2661" t="str">
        <f>VLOOKUP('Other Translations'!$A640,'Other translations2'!$A$1:$E$280,5,FALSE)</f>
        <v>Yến mạch</v>
      </c>
    </row>
    <row r="641" spans="1:5">
      <c r="A641" s="2028" t="s">
        <v>1368</v>
      </c>
      <c r="B641" s="2911" t="str">
        <f>VLOOKUP('Other Translations'!$A641,'Other translations2'!$A$1:$E$280,2,FALSE)</f>
        <v>Batatas</v>
      </c>
      <c r="C641" s="2911" t="str">
        <f>VLOOKUP('Other Translations'!$A641,'Other translations2'!$A$1:$E$280,3,FALSE)</f>
        <v>Kartoffeln</v>
      </c>
      <c r="D641" s="2911" t="str">
        <f>VLOOKUP('Other Translations'!$A641,'Other translations2'!$A$1:$E$280,4,FALSE)</f>
        <v>Kentang</v>
      </c>
      <c r="E641" s="2661" t="str">
        <f>VLOOKUP('Other Translations'!$A641,'Other translations2'!$A$1:$E$280,5,FALSE)</f>
        <v>Khoai tây</v>
      </c>
    </row>
    <row r="642" spans="1:5">
      <c r="A642" s="2028" t="s">
        <v>1333</v>
      </c>
      <c r="B642" s="2911" t="str">
        <f>VLOOKUP('Other Translations'!$A642,'Other translations2'!$A$1:$E$280,2,FALSE)</f>
        <v>Soja</v>
      </c>
      <c r="C642" s="2911" t="str">
        <f>VLOOKUP('Other Translations'!$A642,'Other translations2'!$A$1:$E$280,3,FALSE)</f>
        <v>Sojabohnen</v>
      </c>
      <c r="D642" s="2911" t="str">
        <f>VLOOKUP('Other Translations'!$A642,'Other translations2'!$A$1:$E$280,4,FALSE)</f>
        <v>Kacang kedelai</v>
      </c>
      <c r="E642" s="2661" t="str">
        <f>VLOOKUP('Other Translations'!$A642,'Other translations2'!$A$1:$E$280,5,FALSE)</f>
        <v>Đậu nành</v>
      </c>
    </row>
    <row r="643" spans="1:5">
      <c r="A643" s="2028" t="s">
        <v>1383</v>
      </c>
      <c r="B643" s="2911" t="str">
        <f>VLOOKUP('Other Translations'!$A643,'Other translations2'!$A$1:$E$280,2,FALSE)</f>
        <v>Trigo</v>
      </c>
      <c r="C643" s="2911" t="str">
        <f>VLOOKUP('Other Translations'!$A643,'Other translations2'!$A$1:$E$280,3,FALSE)</f>
        <v>Weizen</v>
      </c>
      <c r="D643" s="2911" t="str">
        <f>VLOOKUP('Other Translations'!$A643,'Other translations2'!$A$1:$E$280,4,FALSE)</f>
        <v xml:space="preserve">Gandum  </v>
      </c>
      <c r="E643" s="2661" t="str">
        <f>VLOOKUP('Other Translations'!$A643,'Other translations2'!$A$1:$E$280,5,FALSE)</f>
        <v>Lùa mì</v>
      </c>
    </row>
    <row r="644" spans="1:5">
      <c r="A644" s="2028" t="s">
        <v>4</v>
      </c>
      <c r="B644" s="3615" t="s">
        <v>4</v>
      </c>
      <c r="C644" s="3616" t="s">
        <v>4</v>
      </c>
      <c r="D644" s="3616" t="s">
        <v>4</v>
      </c>
      <c r="E644" s="2028" t="s">
        <v>8836</v>
      </c>
    </row>
    <row r="645" spans="1:5">
      <c r="A645" s="2028" t="s">
        <v>7250</v>
      </c>
      <c r="B645" s="3615" t="s">
        <v>7250</v>
      </c>
      <c r="C645" s="3616" t="s">
        <v>7250</v>
      </c>
      <c r="D645" s="3616" t="s">
        <v>7250</v>
      </c>
      <c r="E645" s="2579" t="s">
        <v>8837</v>
      </c>
    </row>
    <row r="646" spans="1:5">
      <c r="A646" s="2028" t="s">
        <v>7251</v>
      </c>
      <c r="B646" s="3615" t="s">
        <v>7251</v>
      </c>
      <c r="C646" s="3616" t="s">
        <v>7251</v>
      </c>
      <c r="D646" s="3616" t="s">
        <v>7251</v>
      </c>
      <c r="E646" s="2028" t="s">
        <v>8838</v>
      </c>
    </row>
    <row r="647" spans="1:5">
      <c r="A647" s="2028" t="s">
        <v>7252</v>
      </c>
      <c r="B647" s="3615" t="s">
        <v>7252</v>
      </c>
      <c r="C647" s="3616" t="s">
        <v>7252</v>
      </c>
      <c r="D647" s="3616" t="s">
        <v>7252</v>
      </c>
      <c r="E647" s="2028" t="s">
        <v>8839</v>
      </c>
    </row>
    <row r="648" spans="1:5">
      <c r="A648" s="3618" t="str">
        <f>translations!B648</f>
        <v>None</v>
      </c>
      <c r="B648" s="3615" t="s">
        <v>562</v>
      </c>
      <c r="C648" s="3615" t="s">
        <v>562</v>
      </c>
      <c r="D648" s="3615" t="s">
        <v>562</v>
      </c>
      <c r="E648" s="3619" t="s">
        <v>8840</v>
      </c>
    </row>
    <row r="649" spans="1:5" ht="102">
      <c r="A649" s="3618" t="str">
        <f>translations!B649</f>
        <v>Country boundaries are indicated using the information provided by the Global Administrative Unit Layers (GAUL). By presenting these boundaries, FAO is not expressing an opinion concerning the legal status of any area or its authorities or concerning the delimitation of its boundaries.</v>
      </c>
      <c r="B649" s="3615" t="s">
        <v>8894</v>
      </c>
      <c r="C649" s="3615" t="s">
        <v>8894</v>
      </c>
      <c r="D649" s="3615" t="s">
        <v>8894</v>
      </c>
      <c r="E649" s="3615" t="s">
        <v>8894</v>
      </c>
    </row>
  </sheetData>
  <pageMargins left="0.7" right="0.7" top="0.75" bottom="0.75"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pageSetUpPr fitToPage="1"/>
  </sheetPr>
  <dimension ref="A1:AN569"/>
  <sheetViews>
    <sheetView zoomScale="90" zoomScaleNormal="90" workbookViewId="0">
      <pane ySplit="5" topLeftCell="A155" activePane="bottomLeft" state="frozen"/>
      <selection activeCell="O43" sqref="O43"/>
      <selection pane="bottomLeft" activeCell="A6" sqref="A6"/>
    </sheetView>
  </sheetViews>
  <sheetFormatPr defaultColWidth="14.140625" defaultRowHeight="12.75"/>
  <cols>
    <col min="1" max="1" width="4.7109375" style="232" customWidth="1"/>
    <col min="2" max="2" width="29.5703125" style="232" customWidth="1"/>
    <col min="3" max="3" width="13.28515625" style="232" customWidth="1"/>
    <col min="4" max="4" width="1.5703125" style="232" customWidth="1"/>
    <col min="5" max="5" width="11.28515625" style="232" customWidth="1"/>
    <col min="6" max="6" width="11.140625" style="232" customWidth="1"/>
    <col min="7" max="7" width="11" style="232" customWidth="1"/>
    <col min="8" max="8" width="0.7109375" style="232" customWidth="1"/>
    <col min="9" max="10" width="10.42578125" style="232" customWidth="1"/>
    <col min="11" max="11" width="3.28515625" style="232" customWidth="1"/>
    <col min="12" max="13" width="5.28515625" style="232" customWidth="1"/>
    <col min="14" max="14" width="3.28515625" style="232" customWidth="1"/>
    <col min="15" max="15" width="12.85546875" style="244" customWidth="1"/>
    <col min="16" max="16" width="11.5703125" style="232" customWidth="1"/>
    <col min="17" max="17" width="11.5703125" style="244" customWidth="1"/>
    <col min="18" max="18" width="2.28515625" style="244" customWidth="1"/>
    <col min="19" max="19" width="1.7109375" style="232" customWidth="1"/>
    <col min="20" max="20" width="10.28515625" style="232" customWidth="1"/>
    <col min="21" max="21" width="2.5703125" style="232" customWidth="1"/>
    <col min="22" max="22" width="7.85546875" style="244" customWidth="1"/>
    <col min="23" max="24" width="10.28515625" style="244" customWidth="1"/>
    <col min="25" max="25" width="2.5703125" style="244" customWidth="1"/>
    <col min="26" max="26" width="10.28515625" style="244" customWidth="1"/>
    <col min="27" max="27" width="2.7109375" style="232" customWidth="1"/>
    <col min="28" max="29" width="13.28515625" style="232" customWidth="1"/>
    <col min="30" max="30" width="10.7109375" style="232" customWidth="1"/>
    <col min="31" max="16384" width="14.140625" style="232"/>
  </cols>
  <sheetData>
    <row r="1" spans="1:39" s="2233" customFormat="1" ht="22.9" customHeight="1">
      <c r="O1" s="2234"/>
      <c r="Q1" s="2234"/>
      <c r="R1" s="2234"/>
      <c r="V1" s="2234"/>
      <c r="W1" s="2234"/>
      <c r="X1" s="2234"/>
      <c r="Y1" s="2234"/>
      <c r="Z1" s="2234"/>
    </row>
    <row r="2" spans="1:39" s="2233" customFormat="1" ht="22.9" customHeight="1">
      <c r="O2" s="2234"/>
      <c r="Q2" s="2234"/>
      <c r="R2" s="2234"/>
      <c r="V2" s="2234"/>
      <c r="W2" s="2234"/>
      <c r="X2" s="2234"/>
      <c r="Y2" s="2234"/>
      <c r="Z2" s="2234"/>
    </row>
    <row r="3" spans="1:39" s="2233" customFormat="1" ht="22.9" customHeight="1">
      <c r="O3" s="2234"/>
      <c r="Q3" s="2234"/>
      <c r="R3" s="2234"/>
      <c r="V3" s="2234"/>
      <c r="W3" s="2234"/>
      <c r="X3" s="2234"/>
      <c r="Y3" s="2234"/>
      <c r="Z3" s="2234"/>
    </row>
    <row r="4" spans="1:39" s="2233" customFormat="1" ht="22.9" customHeight="1">
      <c r="O4" s="2234"/>
      <c r="Q4" s="2234"/>
      <c r="R4" s="2234"/>
      <c r="V4" s="2234"/>
      <c r="W4" s="2234"/>
      <c r="X4" s="2234"/>
      <c r="Y4" s="2234"/>
      <c r="Z4" s="2234"/>
    </row>
    <row r="5" spans="1:39" s="2235" customFormat="1" ht="22.9" customHeight="1">
      <c r="A5" s="2706" t="str">
        <f>HLOOKUP(select,translations!$B$436:$H$450,2,)</f>
        <v xml:space="preserve"> </v>
      </c>
      <c r="O5" s="2236"/>
      <c r="Q5" s="2236"/>
      <c r="R5" s="2236"/>
      <c r="V5" s="2236"/>
      <c r="W5" s="2236"/>
      <c r="X5" s="2236"/>
      <c r="Y5" s="2236"/>
      <c r="Z5" s="2236"/>
    </row>
    <row r="6" spans="1:39" s="1715" customFormat="1">
      <c r="B6" s="1797"/>
      <c r="C6" s="1797"/>
      <c r="D6" s="1797"/>
      <c r="O6" s="1717"/>
      <c r="V6" s="1717"/>
      <c r="W6" s="1717"/>
      <c r="X6" s="1717"/>
      <c r="Y6" s="1717"/>
      <c r="Z6" s="1717"/>
    </row>
    <row r="7" spans="1:39" s="1715" customFormat="1" ht="15.75">
      <c r="B7" s="2508" t="str">
        <f>HLOOKUP(select,translations!$A$76:$H$144,2,)</f>
        <v>3.1. Annual systems (to be used also for  pluri-annual systems such as  cotton or sugarcane)</v>
      </c>
      <c r="C7" s="2508"/>
      <c r="D7" s="2508"/>
      <c r="E7" s="2509"/>
      <c r="F7" s="2509"/>
      <c r="G7" s="2509"/>
      <c r="H7" s="2509"/>
      <c r="I7" s="2509"/>
      <c r="J7" s="2509"/>
      <c r="K7" s="2509"/>
      <c r="L7" s="2509"/>
      <c r="M7" s="2509"/>
      <c r="N7" s="2509"/>
      <c r="O7" s="2510"/>
      <c r="P7" s="2509"/>
      <c r="Q7" s="2509"/>
      <c r="R7" s="2509"/>
      <c r="S7" s="2509"/>
      <c r="T7" s="2509"/>
      <c r="U7" s="2509"/>
      <c r="V7" s="2509"/>
      <c r="W7" s="2509"/>
      <c r="X7" s="2509"/>
      <c r="Y7" s="2509"/>
      <c r="Z7" s="2510"/>
    </row>
    <row r="8" spans="1:39" s="1715" customFormat="1">
      <c r="B8" s="1719"/>
      <c r="C8" s="1719"/>
      <c r="D8" s="1719"/>
      <c r="O8" s="1717"/>
      <c r="W8" s="1749"/>
      <c r="X8" s="1749"/>
      <c r="Y8" s="1749"/>
      <c r="Z8" s="1749"/>
    </row>
    <row r="9" spans="1:39" s="1715" customFormat="1">
      <c r="B9" s="2171" t="str">
        <f>HLOOKUP(select,translations!$A$76:$H$144,3,)</f>
        <v>3.1.1. Annual systems from other LU or converted to other LU (please fill step 2.LUC previously)</v>
      </c>
      <c r="C9" s="2171"/>
      <c r="D9" s="2171"/>
      <c r="E9" s="1750"/>
      <c r="F9" s="1750"/>
      <c r="G9" s="1750"/>
      <c r="H9" s="1750"/>
      <c r="I9" s="1750"/>
      <c r="J9" s="1750"/>
      <c r="K9" s="1750"/>
      <c r="L9" s="1750"/>
      <c r="M9" s="1750"/>
      <c r="N9" s="1750"/>
      <c r="O9" s="1750"/>
      <c r="P9" s="1750"/>
      <c r="Q9" s="1750"/>
      <c r="R9" s="1750"/>
      <c r="S9" s="1750"/>
      <c r="T9" s="1750"/>
      <c r="U9" s="1750"/>
      <c r="V9" s="1751"/>
      <c r="W9" s="1751"/>
      <c r="X9" s="1751"/>
      <c r="Y9" s="1751"/>
      <c r="Z9" s="1751"/>
      <c r="AC9" s="1706"/>
    </row>
    <row r="10" spans="1:39" s="1715" customFormat="1">
      <c r="B10" s="1778"/>
      <c r="C10" s="1778"/>
      <c r="D10" s="1778"/>
      <c r="E10" s="2609" t="str">
        <f>HLOOKUP(select,translations!$A$76:$H$144,62,)</f>
        <v>Management options</v>
      </c>
      <c r="F10" s="2609"/>
      <c r="G10" s="2609"/>
      <c r="H10" s="2609"/>
      <c r="I10" s="3705" t="str">
        <f>HLOOKUP(select,translations!$A$76:$H$144,12,)</f>
        <v>Definitions?</v>
      </c>
      <c r="J10" s="3705"/>
      <c r="K10" s="1778"/>
      <c r="L10" s="1778"/>
      <c r="M10" s="1778"/>
      <c r="N10" s="1778"/>
      <c r="O10" s="2592" t="str">
        <f>HLOOKUP(select,translations!$A$76:$H$144,4,)</f>
        <v>Yield?</v>
      </c>
      <c r="P10" s="1778"/>
      <c r="Q10" s="1778"/>
      <c r="R10" s="1778"/>
      <c r="S10" s="1778"/>
      <c r="T10" s="1778"/>
      <c r="U10" s="1778"/>
      <c r="V10" s="1778"/>
      <c r="W10" s="1778"/>
      <c r="X10" s="1778"/>
      <c r="Y10" s="1778"/>
      <c r="Z10" s="1778"/>
      <c r="AC10" s="1706"/>
    </row>
    <row r="11" spans="1:39" s="1704" customFormat="1" ht="15.95" customHeight="1">
      <c r="B11" s="1778" t="str">
        <f>HLOOKUP(select,translations!$A$76:$H$144,5,)</f>
        <v>Description</v>
      </c>
      <c r="C11" s="3687" t="str">
        <f>HLOOKUP(select,translations!$A$624:$H$645,3,)</f>
        <v>Main season crop</v>
      </c>
      <c r="D11" s="1778"/>
      <c r="E11" s="3708" t="str">
        <f>HLOOKUP(select,translations!$A$76:$H$144,6,)</f>
        <v>Improved agronomic practices</v>
      </c>
      <c r="F11" s="3708" t="str">
        <f>HLOOKUP(select,translations!$A$76:$H$144,7,)</f>
        <v>Nutrient management</v>
      </c>
      <c r="G11" s="3709" t="str">
        <f>HLOOKUP(select,translations!$A$76:$H$144,8,)</f>
        <v>No till &amp; residue retention</v>
      </c>
      <c r="H11" s="3709"/>
      <c r="I11" s="3708" t="str">
        <f>HLOOKUP(select,translations!$A$76:$H$144,9,)</f>
        <v>Water  management</v>
      </c>
      <c r="J11" s="3708" t="str">
        <f>HLOOKUP(select,translations!$A$76:$H$144,10,)</f>
        <v>Manure application</v>
      </c>
      <c r="K11" s="2081"/>
      <c r="L11" s="3708" t="str">
        <f>HLOOKUP(select,translations!$A$624:$H$645,2,)</f>
        <v>Residue management</v>
      </c>
      <c r="M11" s="3708"/>
      <c r="N11" s="2082"/>
      <c r="O11" s="2077" t="str">
        <f>HLOOKUP(select,translations!$A$76:$H$144,11,)</f>
        <v>Yield</v>
      </c>
      <c r="P11" s="3706" t="str">
        <f>HLOOKUP(select,translations!$A$76:$H$144,13,)</f>
        <v>Area (ha)</v>
      </c>
      <c r="Q11" s="3706"/>
      <c r="R11" s="3706"/>
      <c r="S11" s="3706"/>
      <c r="T11" s="3706"/>
      <c r="U11" s="2124"/>
      <c r="V11" s="3716" t="str">
        <f>'2.LUC'!R10</f>
        <v>Total Emissions (tCO2-eq)</v>
      </c>
      <c r="W11" s="3716"/>
      <c r="X11" s="3716"/>
      <c r="Y11" s="1853"/>
      <c r="Z11" s="2074" t="str">
        <f>'2.LUC'!T10</f>
        <v>Balance</v>
      </c>
      <c r="AB11" s="3541" t="s">
        <v>7412</v>
      </c>
      <c r="AC11" s="1706" t="str">
        <f>'2.LUC'!V46</f>
        <v xml:space="preserve"> </v>
      </c>
      <c r="AD11" s="1715"/>
      <c r="AE11" s="1706"/>
      <c r="AF11" s="1715"/>
      <c r="AG11" s="3504"/>
      <c r="AH11" s="1715"/>
      <c r="AI11" s="1715"/>
      <c r="AJ11" s="1715"/>
      <c r="AK11" s="1715"/>
      <c r="AL11" s="1715"/>
      <c r="AM11" s="1715"/>
    </row>
    <row r="12" spans="1:39" s="1704" customFormat="1" ht="15.95" customHeight="1">
      <c r="B12" s="1778"/>
      <c r="C12" s="3687"/>
      <c r="D12" s="1778"/>
      <c r="E12" s="3708"/>
      <c r="F12" s="3708"/>
      <c r="G12" s="3709"/>
      <c r="H12" s="3709"/>
      <c r="I12" s="3708"/>
      <c r="J12" s="3708"/>
      <c r="K12" s="2081"/>
      <c r="L12" s="3708"/>
      <c r="M12" s="3708"/>
      <c r="N12" s="2082"/>
      <c r="O12" s="2607" t="str">
        <f>HLOOKUP(select,translations!$A$76:$H$144,63,)</f>
        <v>(t/ha/yr)</v>
      </c>
      <c r="P12" s="1783" t="str">
        <f>'2.LUC'!J11</f>
        <v>Start</v>
      </c>
      <c r="Q12" s="3707" t="str">
        <f>'2.LUC'!K11</f>
        <v>Without</v>
      </c>
      <c r="R12" s="3707"/>
      <c r="S12" s="3707"/>
      <c r="T12" s="1746" t="str">
        <f>'2.LUC'!M11</f>
        <v>With</v>
      </c>
      <c r="U12" s="1746"/>
      <c r="V12" s="2076"/>
      <c r="W12" s="1746" t="str">
        <f>Q12</f>
        <v>Without</v>
      </c>
      <c r="X12" s="1746" t="str">
        <f>T12</f>
        <v>With</v>
      </c>
      <c r="Y12" s="2176"/>
      <c r="Z12" s="1745"/>
      <c r="AB12" s="3542"/>
      <c r="AC12" s="1706" t="str">
        <f>IF(Nlang=1,"",C11)</f>
        <v/>
      </c>
      <c r="AD12" s="3503"/>
      <c r="AE12" s="1706" t="str">
        <f>IF(Nlang=1,"",L11)</f>
        <v/>
      </c>
      <c r="AF12" s="1715"/>
      <c r="AG12" s="1715"/>
      <c r="AH12" s="1715"/>
      <c r="AI12" s="1715"/>
      <c r="AJ12" s="1715"/>
      <c r="AK12" s="1715"/>
      <c r="AL12" s="2593"/>
      <c r="AM12" s="1715"/>
    </row>
    <row r="13" spans="1:39" s="1704" customFormat="1">
      <c r="B13" s="1724" t="str">
        <f>HLOOKUP(select,translations!$A$76:$H$144,15,)</f>
        <v>Annual after Deforestation</v>
      </c>
      <c r="C13" s="3611" t="s">
        <v>339</v>
      </c>
      <c r="D13" s="1724"/>
      <c r="E13" s="2075" t="s">
        <v>5</v>
      </c>
      <c r="F13" s="2075" t="s">
        <v>5</v>
      </c>
      <c r="G13" s="2075" t="s">
        <v>5</v>
      </c>
      <c r="H13" s="2075"/>
      <c r="I13" s="2075" t="s">
        <v>5</v>
      </c>
      <c r="J13" s="2075" t="s">
        <v>5</v>
      </c>
      <c r="K13" s="2081"/>
      <c r="L13" s="3693" t="s">
        <v>4</v>
      </c>
      <c r="M13" s="3693"/>
      <c r="N13" s="2082"/>
      <c r="O13" s="2320"/>
      <c r="P13" s="2076">
        <f>Annual!C34</f>
        <v>0</v>
      </c>
      <c r="Q13" s="3691">
        <f>Annual!D34</f>
        <v>0</v>
      </c>
      <c r="R13" s="3691"/>
      <c r="S13" s="3691"/>
      <c r="T13" s="2076">
        <f>Annual!F34</f>
        <v>0</v>
      </c>
      <c r="U13" s="2125"/>
      <c r="V13" s="2076"/>
      <c r="W13" s="1812">
        <f>Annual!L34</f>
        <v>0</v>
      </c>
      <c r="X13" s="1812">
        <f>Annual!M34</f>
        <v>0</v>
      </c>
      <c r="Y13" s="1812"/>
      <c r="Z13" s="1812">
        <f>Annual!N34</f>
        <v>0</v>
      </c>
      <c r="AB13" s="3543" t="str">
        <f>IF(G13="Yes","till_impr",IF(G13="NO","till_conv","till_?"))</f>
        <v>till_?</v>
      </c>
      <c r="AC13" s="2653" t="str">
        <f>IF(Nlang=1,"",VLOOKUP(C13,translations!$B$633:$H$647,Nlang,))</f>
        <v/>
      </c>
      <c r="AD13" s="2653"/>
      <c r="AE13" s="2653" t="str">
        <f>IF(Nlang=1,"",VLOOKUP(L13,translations!$B$633:$H$647,Nlang,))</f>
        <v/>
      </c>
      <c r="AF13" s="2653"/>
      <c r="AG13" s="1715"/>
      <c r="AH13" s="1715"/>
      <c r="AI13" s="1715"/>
      <c r="AJ13" s="1715"/>
      <c r="AK13" s="1715"/>
      <c r="AL13" s="1715"/>
      <c r="AM13" s="1715"/>
    </row>
    <row r="14" spans="1:39" s="1704" customFormat="1">
      <c r="B14" s="1724" t="str">
        <f>HLOOKUP(select,translations!$A$76:$H$144,16,)</f>
        <v>Converted to A/R</v>
      </c>
      <c r="C14" s="3611" t="s">
        <v>339</v>
      </c>
      <c r="D14" s="1724"/>
      <c r="E14" s="2075" t="s">
        <v>5</v>
      </c>
      <c r="F14" s="2075" t="s">
        <v>5</v>
      </c>
      <c r="G14" s="2075" t="s">
        <v>5</v>
      </c>
      <c r="H14" s="2075"/>
      <c r="I14" s="2075" t="s">
        <v>5</v>
      </c>
      <c r="J14" s="2075" t="s">
        <v>5</v>
      </c>
      <c r="K14" s="2081"/>
      <c r="L14" s="3693" t="s">
        <v>4</v>
      </c>
      <c r="M14" s="3693"/>
      <c r="N14" s="2082"/>
      <c r="O14" s="2320"/>
      <c r="P14" s="2076">
        <f>Annual!C35</f>
        <v>0</v>
      </c>
      <c r="Q14" s="3691">
        <f>Annual!D35</f>
        <v>0</v>
      </c>
      <c r="R14" s="3691"/>
      <c r="S14" s="3691"/>
      <c r="T14" s="2076">
        <f>Annual!F35</f>
        <v>0</v>
      </c>
      <c r="U14" s="2125"/>
      <c r="V14" s="2076"/>
      <c r="W14" s="1812">
        <f>Annual!L35</f>
        <v>0</v>
      </c>
      <c r="X14" s="1812">
        <f>Annual!M35</f>
        <v>0</v>
      </c>
      <c r="Y14" s="1812"/>
      <c r="Z14" s="1812">
        <f>Annual!N35</f>
        <v>0</v>
      </c>
      <c r="AB14" s="3543" t="str">
        <f t="shared" ref="AB14:AB16" si="0">IF(G14="Yes","till_impr",IF(G14="NO","till_conv","till_?"))</f>
        <v>till_?</v>
      </c>
      <c r="AC14" s="2653" t="str">
        <f>IF(Nlang=1,"",VLOOKUP(C14,translations!$B$633:$H$647,Nlang,))</f>
        <v/>
      </c>
      <c r="AD14" s="2653"/>
      <c r="AE14" s="2653" t="str">
        <f>IF(Nlang=1,"",VLOOKUP(L14,translations!$B$633:$H$647,Nlang,))</f>
        <v/>
      </c>
      <c r="AF14" s="2653"/>
      <c r="AG14" s="1715"/>
      <c r="AH14" s="1715"/>
      <c r="AI14" s="1715"/>
      <c r="AJ14" s="1715"/>
      <c r="AK14" s="1715"/>
      <c r="AL14" s="2593"/>
      <c r="AM14" s="1715"/>
    </row>
    <row r="15" spans="1:39" s="1704" customFormat="1">
      <c r="B15" s="1724" t="str">
        <f>HLOOKUP(select,translations!$A$76:$H$144,17,)</f>
        <v>Annual after non-forest LU</v>
      </c>
      <c r="C15" s="3611" t="s">
        <v>339</v>
      </c>
      <c r="D15" s="1724"/>
      <c r="E15" s="2075" t="s">
        <v>5</v>
      </c>
      <c r="F15" s="2075" t="s">
        <v>5</v>
      </c>
      <c r="G15" s="2075" t="s">
        <v>5</v>
      </c>
      <c r="H15" s="2075"/>
      <c r="I15" s="2075" t="s">
        <v>5</v>
      </c>
      <c r="J15" s="2075" t="s">
        <v>5</v>
      </c>
      <c r="K15" s="2081"/>
      <c r="L15" s="3693" t="s">
        <v>4</v>
      </c>
      <c r="M15" s="3693"/>
      <c r="N15" s="2082"/>
      <c r="O15" s="2320"/>
      <c r="P15" s="2076">
        <f>Annual!C36</f>
        <v>0</v>
      </c>
      <c r="Q15" s="3691">
        <f>Annual!D36</f>
        <v>0</v>
      </c>
      <c r="R15" s="3691"/>
      <c r="S15" s="3691"/>
      <c r="T15" s="2076">
        <f>Annual!F36</f>
        <v>0</v>
      </c>
      <c r="U15" s="2125"/>
      <c r="V15" s="2076"/>
      <c r="W15" s="1812">
        <f>Annual!L36</f>
        <v>0</v>
      </c>
      <c r="X15" s="1812">
        <f>Annual!M36</f>
        <v>0</v>
      </c>
      <c r="Y15" s="1812"/>
      <c r="Z15" s="1812">
        <f>Annual!N36</f>
        <v>0</v>
      </c>
      <c r="AB15" s="3543" t="str">
        <f t="shared" si="0"/>
        <v>till_?</v>
      </c>
      <c r="AC15" s="2653" t="str">
        <f>IF(Nlang=1,"",VLOOKUP(C15,translations!$B$633:$H$647,Nlang,))</f>
        <v/>
      </c>
      <c r="AD15" s="2653"/>
      <c r="AE15" s="2653" t="str">
        <f>IF(Nlang=1,"",VLOOKUP(L15,translations!$B$633:$H$647,Nlang,))</f>
        <v/>
      </c>
      <c r="AF15" s="2653"/>
      <c r="AG15" s="1715"/>
      <c r="AH15" s="1715"/>
      <c r="AI15" s="1715"/>
      <c r="AJ15" s="1715"/>
      <c r="AK15" s="1715"/>
      <c r="AL15" s="1715"/>
    </row>
    <row r="16" spans="1:39" s="1704" customFormat="1">
      <c r="B16" s="1724" t="str">
        <f>HLOOKUP(select,translations!$A$76:$H$144,18,)</f>
        <v>Converted to OLUC</v>
      </c>
      <c r="C16" s="3611" t="s">
        <v>339</v>
      </c>
      <c r="D16" s="1724"/>
      <c r="E16" s="2615" t="s">
        <v>5</v>
      </c>
      <c r="F16" s="2615" t="s">
        <v>5</v>
      </c>
      <c r="G16" s="2615" t="s">
        <v>5</v>
      </c>
      <c r="H16" s="2615"/>
      <c r="I16" s="2615" t="s">
        <v>5</v>
      </c>
      <c r="J16" s="2615" t="s">
        <v>5</v>
      </c>
      <c r="K16" s="2081"/>
      <c r="L16" s="3693" t="s">
        <v>4</v>
      </c>
      <c r="M16" s="3693"/>
      <c r="N16" s="2082"/>
      <c r="O16" s="2320"/>
      <c r="P16" s="2076">
        <f>Annual!C37</f>
        <v>0</v>
      </c>
      <c r="Q16" s="3691">
        <f>Annual!D37</f>
        <v>0</v>
      </c>
      <c r="R16" s="3691"/>
      <c r="S16" s="3691"/>
      <c r="T16" s="2076">
        <f>Annual!F37</f>
        <v>0</v>
      </c>
      <c r="U16" s="2125"/>
      <c r="V16" s="2076"/>
      <c r="W16" s="1812">
        <f>Annual!L37</f>
        <v>0</v>
      </c>
      <c r="X16" s="1812">
        <f>Annual!M37</f>
        <v>0</v>
      </c>
      <c r="Y16" s="1812"/>
      <c r="Z16" s="1812">
        <f>Annual!N37</f>
        <v>0</v>
      </c>
      <c r="AB16" s="3543" t="str">
        <f t="shared" si="0"/>
        <v>till_?</v>
      </c>
      <c r="AC16" s="2653" t="str">
        <f>IF(Nlang=1,"",VLOOKUP(C16,translations!$B$633:$H$647,Nlang,))</f>
        <v/>
      </c>
      <c r="AD16" s="2653"/>
      <c r="AE16" s="2653" t="str">
        <f>IF(Nlang=1,"",VLOOKUP(L16,translations!$B$633:$H$647,Nlang,))</f>
        <v/>
      </c>
      <c r="AF16" s="2653"/>
      <c r="AI16" s="1715"/>
      <c r="AJ16" s="1715"/>
      <c r="AK16" s="1715"/>
      <c r="AL16" s="1715"/>
    </row>
    <row r="17" spans="2:38" s="1704" customFormat="1">
      <c r="O17" s="1709"/>
      <c r="Q17" s="1709"/>
      <c r="R17" s="1709"/>
      <c r="V17" s="1709"/>
      <c r="W17" s="1709"/>
      <c r="X17" s="1709"/>
      <c r="Y17" s="1709"/>
      <c r="Z17" s="1709"/>
      <c r="AB17" s="3543"/>
      <c r="AI17" s="1715"/>
      <c r="AJ17" s="1715"/>
      <c r="AK17" s="1715"/>
      <c r="AL17" s="1715"/>
    </row>
    <row r="18" spans="2:38" s="1704" customFormat="1">
      <c r="B18" s="2171" t="str">
        <f>HLOOKUP(select,translations!$A$76:$H$144,19,)</f>
        <v>3.1.2. Annual systems remaining annual systems (total area must remain constant)</v>
      </c>
      <c r="C18" s="2171"/>
      <c r="D18" s="2171"/>
      <c r="E18" s="1750"/>
      <c r="F18" s="1750"/>
      <c r="G18" s="1750"/>
      <c r="H18" s="1750"/>
      <c r="I18" s="1750"/>
      <c r="J18" s="1750"/>
      <c r="K18" s="1750"/>
      <c r="L18" s="1750"/>
      <c r="M18" s="1750"/>
      <c r="N18" s="1750"/>
      <c r="O18" s="1750"/>
      <c r="P18" s="1750"/>
      <c r="Q18" s="1750"/>
      <c r="R18" s="1750"/>
      <c r="S18" s="1750"/>
      <c r="T18" s="1750"/>
      <c r="U18" s="1750"/>
      <c r="V18" s="1751"/>
      <c r="W18" s="1751"/>
      <c r="X18" s="1751"/>
      <c r="Y18" s="1751"/>
      <c r="Z18" s="1751"/>
      <c r="AB18" s="3543"/>
      <c r="AC18" s="1937"/>
      <c r="AI18" s="1715"/>
      <c r="AJ18" s="1715"/>
      <c r="AK18" s="1715"/>
      <c r="AL18" s="1715"/>
    </row>
    <row r="19" spans="2:38" s="1704" customFormat="1">
      <c r="B19" s="1778"/>
      <c r="C19" s="1778"/>
      <c r="D19" s="1778"/>
      <c r="E19" s="2609" t="str">
        <f>E10</f>
        <v>Management options</v>
      </c>
      <c r="F19" s="2609"/>
      <c r="G19" s="2609"/>
      <c r="H19" s="2609"/>
      <c r="I19" s="3705" t="str">
        <f>HLOOKUP(select,translations!$A$76:$H$144,12,)</f>
        <v>Definitions?</v>
      </c>
      <c r="J19" s="3705"/>
      <c r="K19" s="1778"/>
      <c r="L19" s="1778"/>
      <c r="M19" s="1778"/>
      <c r="N19" s="1778"/>
      <c r="O19" s="2592" t="str">
        <f>HLOOKUP(select,translations!$A$76:$H$144,4,)</f>
        <v>Yield?</v>
      </c>
      <c r="P19" s="1778"/>
      <c r="Q19" s="1778"/>
      <c r="R19" s="1778"/>
      <c r="S19" s="1778"/>
      <c r="T19" s="1778"/>
      <c r="U19" s="1778"/>
      <c r="V19" s="1778"/>
      <c r="W19" s="1778"/>
      <c r="X19" s="1778"/>
      <c r="Y19" s="1778"/>
      <c r="Z19" s="1778"/>
      <c r="AB19" s="3543"/>
    </row>
    <row r="20" spans="2:38" s="1704" customFormat="1" ht="15.95" customHeight="1">
      <c r="B20" s="2778" t="str">
        <f>'2.LUC'!B47</f>
        <v>Fill with your description</v>
      </c>
      <c r="C20" s="3687" t="str">
        <f>HLOOKUP(select,translations!$A$624:$H$645,3,)</f>
        <v>Main season crop</v>
      </c>
      <c r="D20" s="1778"/>
      <c r="E20" s="3708" t="str">
        <f>E11</f>
        <v>Improved agronomic practices</v>
      </c>
      <c r="F20" s="3708" t="str">
        <f>F11</f>
        <v>Nutrient management</v>
      </c>
      <c r="G20" s="3709" t="str">
        <f>G11</f>
        <v>No till &amp; residue retention</v>
      </c>
      <c r="H20" s="3709"/>
      <c r="I20" s="3708" t="str">
        <f>I11</f>
        <v>Water  management</v>
      </c>
      <c r="J20" s="3708" t="str">
        <f>J11</f>
        <v>Manure application</v>
      </c>
      <c r="K20" s="2081"/>
      <c r="L20" s="3708" t="str">
        <f>L11</f>
        <v>Residue management</v>
      </c>
      <c r="M20" s="3708"/>
      <c r="N20" s="2082"/>
      <c r="O20" s="2077" t="str">
        <f>O11</f>
        <v>Yield</v>
      </c>
      <c r="P20" s="3706" t="str">
        <f>P11</f>
        <v>Area (ha)</v>
      </c>
      <c r="Q20" s="3706"/>
      <c r="R20" s="3706"/>
      <c r="S20" s="3706"/>
      <c r="T20" s="3706"/>
      <c r="U20" s="2124"/>
      <c r="V20" s="3716" t="str">
        <f>V11</f>
        <v>Total Emissions (tCO2-eq)</v>
      </c>
      <c r="W20" s="3716"/>
      <c r="X20" s="3716"/>
      <c r="Y20" s="1853"/>
      <c r="Z20" s="2074" t="str">
        <f>Z11</f>
        <v>Balance</v>
      </c>
      <c r="AB20" s="3541" t="s">
        <v>7412</v>
      </c>
      <c r="AC20" s="1937" t="str">
        <f>'2.LUC'!V46</f>
        <v xml:space="preserve"> </v>
      </c>
      <c r="AF20" s="3502"/>
    </row>
    <row r="21" spans="2:38" s="1704" customFormat="1" ht="15.95" customHeight="1">
      <c r="B21" s="1778"/>
      <c r="C21" s="3687"/>
      <c r="D21" s="1778"/>
      <c r="E21" s="3708"/>
      <c r="F21" s="3708"/>
      <c r="G21" s="3709"/>
      <c r="H21" s="3709"/>
      <c r="I21" s="3708"/>
      <c r="J21" s="3708"/>
      <c r="K21" s="2081"/>
      <c r="L21" s="3708"/>
      <c r="M21" s="3708"/>
      <c r="N21" s="2082"/>
      <c r="O21" s="2385" t="str">
        <f>O12</f>
        <v>(t/ha/yr)</v>
      </c>
      <c r="P21" s="1783" t="str">
        <f>P12</f>
        <v>Start</v>
      </c>
      <c r="Q21" s="2127" t="str">
        <f>Q12</f>
        <v>Without</v>
      </c>
      <c r="R21" s="1746" t="s">
        <v>91</v>
      </c>
      <c r="S21" s="3703" t="str">
        <f>T12</f>
        <v>With</v>
      </c>
      <c r="T21" s="3703"/>
      <c r="U21" s="1746" t="s">
        <v>91</v>
      </c>
      <c r="V21" s="2076"/>
      <c r="W21" s="1746" t="str">
        <f>W12</f>
        <v>Without</v>
      </c>
      <c r="X21" s="1746" t="str">
        <f>X12</f>
        <v>With</v>
      </c>
      <c r="Y21" s="2176"/>
      <c r="Z21" s="1745"/>
      <c r="AB21" s="3542"/>
      <c r="AC21" s="1937" t="str">
        <f>IF(Nlang=1,"",C20)</f>
        <v/>
      </c>
      <c r="AE21" s="1937" t="str">
        <f>IF(Nlang=1,"",L20)</f>
        <v/>
      </c>
    </row>
    <row r="22" spans="2:38" s="1704" customFormat="1">
      <c r="B22" s="2174" t="s">
        <v>1595</v>
      </c>
      <c r="C22" s="3611" t="s">
        <v>339</v>
      </c>
      <c r="D22" s="1778"/>
      <c r="E22" s="2075" t="s">
        <v>5</v>
      </c>
      <c r="F22" s="3297" t="s">
        <v>5</v>
      </c>
      <c r="G22" s="3297" t="s">
        <v>5</v>
      </c>
      <c r="H22" s="3297"/>
      <c r="I22" s="3297" t="s">
        <v>5</v>
      </c>
      <c r="J22" s="3297" t="s">
        <v>5</v>
      </c>
      <c r="K22" s="2081"/>
      <c r="L22" s="3693" t="s">
        <v>4</v>
      </c>
      <c r="M22" s="3693"/>
      <c r="N22" s="2082"/>
      <c r="O22" s="2320"/>
      <c r="P22" s="2084">
        <v>0</v>
      </c>
      <c r="Q22" s="3639">
        <v>0</v>
      </c>
      <c r="R22" s="2113" t="s">
        <v>1498</v>
      </c>
      <c r="S22" s="3700">
        <v>0</v>
      </c>
      <c r="T22" s="3700"/>
      <c r="U22" s="2113" t="s">
        <v>1498</v>
      </c>
      <c r="V22" s="2076"/>
      <c r="W22" s="1812">
        <f>Annual!L38</f>
        <v>0</v>
      </c>
      <c r="X22" s="1812">
        <f>Annual!M38</f>
        <v>0</v>
      </c>
      <c r="Y22" s="1812"/>
      <c r="Z22" s="1812">
        <f>Annual!N38</f>
        <v>0</v>
      </c>
      <c r="AB22" s="3543" t="str">
        <f>IF(G22="Yes","till_impr",IF(G22="NO","till_conv","till_?"))</f>
        <v>till_?</v>
      </c>
      <c r="AC22" s="2653" t="str">
        <f>IF(Nlang=1,"",VLOOKUP(C22,translations!$B$633:$H$647,Nlang,))</f>
        <v/>
      </c>
      <c r="AD22" s="2653"/>
      <c r="AE22" s="2653" t="str">
        <f>IF(Nlang=1,"",VLOOKUP(L22,translations!$B$633:$H$647,Nlang,))</f>
        <v/>
      </c>
      <c r="AF22" s="2653"/>
    </row>
    <row r="23" spans="2:38" s="1704" customFormat="1">
      <c r="B23" s="2174" t="s">
        <v>1596</v>
      </c>
      <c r="C23" s="3611" t="s">
        <v>339</v>
      </c>
      <c r="D23" s="1778"/>
      <c r="E23" s="3297" t="s">
        <v>5</v>
      </c>
      <c r="F23" s="3297" t="s">
        <v>5</v>
      </c>
      <c r="G23" s="3297" t="s">
        <v>5</v>
      </c>
      <c r="H23" s="3297"/>
      <c r="I23" s="3297" t="s">
        <v>5</v>
      </c>
      <c r="J23" s="3297" t="s">
        <v>5</v>
      </c>
      <c r="K23" s="2081"/>
      <c r="L23" s="3693" t="s">
        <v>4</v>
      </c>
      <c r="M23" s="3693"/>
      <c r="N23" s="2082"/>
      <c r="O23" s="2320"/>
      <c r="P23" s="3639">
        <v>0</v>
      </c>
      <c r="Q23" s="3639">
        <v>0</v>
      </c>
      <c r="R23" s="2113" t="s">
        <v>1498</v>
      </c>
      <c r="S23" s="3700">
        <v>0</v>
      </c>
      <c r="T23" s="3700"/>
      <c r="U23" s="2113" t="s">
        <v>1498</v>
      </c>
      <c r="V23" s="2076"/>
      <c r="W23" s="1812">
        <f>Annual!L39</f>
        <v>0</v>
      </c>
      <c r="X23" s="1812">
        <f>Annual!M39</f>
        <v>0</v>
      </c>
      <c r="Y23" s="1812"/>
      <c r="Z23" s="1812">
        <f>Annual!N39</f>
        <v>0</v>
      </c>
      <c r="AB23" s="3543" t="str">
        <f t="shared" ref="AB23:AB31" si="1">IF(G23="Yes","till_impr",IF(G23="NO","till_conv","till_?"))</f>
        <v>till_?</v>
      </c>
      <c r="AC23" s="2653" t="str">
        <f>IF(Nlang=1,"",VLOOKUP(C23,translations!$B$633:$H$647,Nlang,))</f>
        <v/>
      </c>
      <c r="AD23" s="2653"/>
      <c r="AE23" s="2653" t="str">
        <f>IF(Nlang=1,"",VLOOKUP(L23,translations!$B$633:$H$647,Nlang,))</f>
        <v/>
      </c>
      <c r="AF23" s="2653"/>
    </row>
    <row r="24" spans="2:38" s="1704" customFormat="1">
      <c r="B24" s="2174" t="s">
        <v>1597</v>
      </c>
      <c r="C24" s="3611" t="s">
        <v>339</v>
      </c>
      <c r="D24" s="1778"/>
      <c r="E24" s="3297" t="s">
        <v>5</v>
      </c>
      <c r="F24" s="3297" t="s">
        <v>5</v>
      </c>
      <c r="G24" s="3297" t="s">
        <v>5</v>
      </c>
      <c r="H24" s="3297"/>
      <c r="I24" s="3297" t="s">
        <v>5</v>
      </c>
      <c r="J24" s="3297" t="s">
        <v>5</v>
      </c>
      <c r="K24" s="2081"/>
      <c r="L24" s="3693" t="s">
        <v>4</v>
      </c>
      <c r="M24" s="3693"/>
      <c r="N24" s="2082"/>
      <c r="O24" s="2320"/>
      <c r="P24" s="3639">
        <v>0</v>
      </c>
      <c r="Q24" s="3639">
        <v>0</v>
      </c>
      <c r="R24" s="2113" t="s">
        <v>1498</v>
      </c>
      <c r="S24" s="3700">
        <v>0</v>
      </c>
      <c r="T24" s="3700"/>
      <c r="U24" s="2113" t="s">
        <v>1498</v>
      </c>
      <c r="V24" s="2076"/>
      <c r="W24" s="1812">
        <f>Annual!L40</f>
        <v>0</v>
      </c>
      <c r="X24" s="1812">
        <f>Annual!M40</f>
        <v>0</v>
      </c>
      <c r="Y24" s="1812"/>
      <c r="Z24" s="1812">
        <f>Annual!N40</f>
        <v>0</v>
      </c>
      <c r="AB24" s="3543" t="str">
        <f t="shared" si="1"/>
        <v>till_?</v>
      </c>
      <c r="AC24" s="2653" t="str">
        <f>IF(Nlang=1,"",VLOOKUP(C24,translations!$B$633:$H$647,Nlang,))</f>
        <v/>
      </c>
      <c r="AD24" s="2653"/>
      <c r="AE24" s="2653" t="str">
        <f>IF(Nlang=1,"",VLOOKUP(L24,translations!$B$633:$H$647,Nlang,))</f>
        <v/>
      </c>
      <c r="AF24" s="2653"/>
    </row>
    <row r="25" spans="2:38" s="1704" customFormat="1">
      <c r="B25" s="2174" t="s">
        <v>1598</v>
      </c>
      <c r="C25" s="3611" t="s">
        <v>339</v>
      </c>
      <c r="D25" s="1778"/>
      <c r="E25" s="3297" t="s">
        <v>5</v>
      </c>
      <c r="F25" s="3297" t="s">
        <v>5</v>
      </c>
      <c r="G25" s="3297" t="s">
        <v>5</v>
      </c>
      <c r="H25" s="3297"/>
      <c r="I25" s="3297" t="s">
        <v>5</v>
      </c>
      <c r="J25" s="3297" t="s">
        <v>5</v>
      </c>
      <c r="K25" s="2081"/>
      <c r="L25" s="3693" t="s">
        <v>4</v>
      </c>
      <c r="M25" s="3693"/>
      <c r="N25" s="2082"/>
      <c r="O25" s="2320"/>
      <c r="P25" s="3574">
        <v>0</v>
      </c>
      <c r="Q25" s="3574">
        <v>0</v>
      </c>
      <c r="R25" s="2113" t="s">
        <v>1498</v>
      </c>
      <c r="S25" s="3700">
        <v>0</v>
      </c>
      <c r="T25" s="3700"/>
      <c r="U25" s="2113" t="s">
        <v>1498</v>
      </c>
      <c r="V25" s="2076"/>
      <c r="W25" s="1812">
        <f>Annual!L41</f>
        <v>0</v>
      </c>
      <c r="X25" s="1812">
        <f>Annual!M41</f>
        <v>0</v>
      </c>
      <c r="Y25" s="1812"/>
      <c r="Z25" s="1812">
        <f>Annual!N41</f>
        <v>0</v>
      </c>
      <c r="AB25" s="3543" t="str">
        <f t="shared" si="1"/>
        <v>till_?</v>
      </c>
      <c r="AC25" s="2653" t="str">
        <f>IF(Nlang=1,"",VLOOKUP(C25,translations!$B$633:$H$647,Nlang,))</f>
        <v/>
      </c>
      <c r="AD25" s="2653"/>
      <c r="AE25" s="2653" t="str">
        <f>IF(Nlang=1,"",VLOOKUP(L25,translations!$B$633:$H$647,Nlang,))</f>
        <v/>
      </c>
      <c r="AF25" s="2653"/>
    </row>
    <row r="26" spans="2:38" s="1704" customFormat="1">
      <c r="B26" s="2174" t="s">
        <v>1508</v>
      </c>
      <c r="C26" s="3611" t="s">
        <v>339</v>
      </c>
      <c r="D26" s="1778"/>
      <c r="E26" s="3297" t="s">
        <v>5</v>
      </c>
      <c r="F26" s="3297" t="s">
        <v>5</v>
      </c>
      <c r="G26" s="3297" t="s">
        <v>5</v>
      </c>
      <c r="H26" s="3297"/>
      <c r="I26" s="3297" t="s">
        <v>5</v>
      </c>
      <c r="J26" s="3297" t="s">
        <v>5</v>
      </c>
      <c r="K26" s="2081"/>
      <c r="L26" s="3693" t="s">
        <v>4</v>
      </c>
      <c r="M26" s="3693"/>
      <c r="N26" s="2082"/>
      <c r="O26" s="2320"/>
      <c r="P26" s="3574">
        <v>0</v>
      </c>
      <c r="Q26" s="3574">
        <v>0</v>
      </c>
      <c r="R26" s="2113" t="s">
        <v>1498</v>
      </c>
      <c r="S26" s="3700">
        <v>0</v>
      </c>
      <c r="T26" s="3700"/>
      <c r="U26" s="2113" t="s">
        <v>1498</v>
      </c>
      <c r="V26" s="2076"/>
      <c r="W26" s="1812">
        <f>Annual!L42</f>
        <v>0</v>
      </c>
      <c r="X26" s="1812">
        <f>Annual!M42</f>
        <v>0</v>
      </c>
      <c r="Y26" s="1812"/>
      <c r="Z26" s="1812">
        <f>Annual!N42</f>
        <v>0</v>
      </c>
      <c r="AB26" s="3543" t="str">
        <f t="shared" si="1"/>
        <v>till_?</v>
      </c>
      <c r="AC26" s="2653" t="str">
        <f>IF(Nlang=1,"",VLOOKUP(C26,translations!$B$633:$H$647,Nlang,))</f>
        <v/>
      </c>
      <c r="AD26" s="2653"/>
      <c r="AE26" s="2653" t="str">
        <f>IF(Nlang=1,"",VLOOKUP(L26,translations!$B$633:$H$647,Nlang,))</f>
        <v/>
      </c>
      <c r="AF26" s="2653"/>
    </row>
    <row r="27" spans="2:38" s="1704" customFormat="1">
      <c r="B27" s="2174" t="s">
        <v>1509</v>
      </c>
      <c r="C27" s="3611" t="s">
        <v>339</v>
      </c>
      <c r="D27" s="1778"/>
      <c r="E27" s="3297" t="s">
        <v>5</v>
      </c>
      <c r="F27" s="3297" t="s">
        <v>5</v>
      </c>
      <c r="G27" s="3297" t="s">
        <v>5</v>
      </c>
      <c r="H27" s="3297"/>
      <c r="I27" s="3297" t="s">
        <v>5</v>
      </c>
      <c r="J27" s="3297" t="s">
        <v>5</v>
      </c>
      <c r="K27" s="2081"/>
      <c r="L27" s="3693" t="s">
        <v>4</v>
      </c>
      <c r="M27" s="3693"/>
      <c r="N27" s="2082"/>
      <c r="O27" s="2320"/>
      <c r="P27" s="3574">
        <v>0</v>
      </c>
      <c r="Q27" s="3574">
        <v>0</v>
      </c>
      <c r="R27" s="2113" t="s">
        <v>1498</v>
      </c>
      <c r="S27" s="3700">
        <v>0</v>
      </c>
      <c r="T27" s="3700"/>
      <c r="U27" s="2113" t="s">
        <v>1498</v>
      </c>
      <c r="V27" s="2076"/>
      <c r="W27" s="1812">
        <f>Annual!L43</f>
        <v>0</v>
      </c>
      <c r="X27" s="1812">
        <f>Annual!M43</f>
        <v>0</v>
      </c>
      <c r="Y27" s="1812"/>
      <c r="Z27" s="1812">
        <f>Annual!N43</f>
        <v>0</v>
      </c>
      <c r="AB27" s="3543" t="str">
        <f t="shared" si="1"/>
        <v>till_?</v>
      </c>
      <c r="AC27" s="2653" t="str">
        <f>IF(Nlang=1,"",VLOOKUP(C27,translations!$B$633:$H$647,Nlang,))</f>
        <v/>
      </c>
      <c r="AD27" s="2653"/>
      <c r="AE27" s="2653" t="str">
        <f>IF(Nlang=1,"",VLOOKUP(L27,translations!$B$633:$H$647,Nlang,))</f>
        <v/>
      </c>
      <c r="AF27" s="2653"/>
    </row>
    <row r="28" spans="2:38" s="1704" customFormat="1">
      <c r="B28" s="2174" t="s">
        <v>1510</v>
      </c>
      <c r="C28" s="3611" t="s">
        <v>339</v>
      </c>
      <c r="D28" s="1778"/>
      <c r="E28" s="3297" t="s">
        <v>5</v>
      </c>
      <c r="F28" s="3297" t="s">
        <v>5</v>
      </c>
      <c r="G28" s="3297" t="s">
        <v>5</v>
      </c>
      <c r="H28" s="3297"/>
      <c r="I28" s="3297" t="s">
        <v>5</v>
      </c>
      <c r="J28" s="3297" t="s">
        <v>5</v>
      </c>
      <c r="K28" s="2081"/>
      <c r="L28" s="3693" t="s">
        <v>4</v>
      </c>
      <c r="M28" s="3693"/>
      <c r="N28" s="2082"/>
      <c r="O28" s="2320"/>
      <c r="P28" s="3574">
        <v>0</v>
      </c>
      <c r="Q28" s="3574">
        <v>0</v>
      </c>
      <c r="R28" s="2113" t="s">
        <v>1498</v>
      </c>
      <c r="S28" s="3700">
        <v>0</v>
      </c>
      <c r="T28" s="3700"/>
      <c r="U28" s="2113" t="s">
        <v>1498</v>
      </c>
      <c r="V28" s="2076"/>
      <c r="W28" s="1812">
        <f>Annual!L44</f>
        <v>0</v>
      </c>
      <c r="X28" s="1812">
        <f>Annual!M44</f>
        <v>0</v>
      </c>
      <c r="Y28" s="1812"/>
      <c r="Z28" s="1812">
        <f>Annual!N44</f>
        <v>0</v>
      </c>
      <c r="AB28" s="3543" t="str">
        <f t="shared" si="1"/>
        <v>till_?</v>
      </c>
      <c r="AC28" s="2653" t="str">
        <f>IF(Nlang=1,"",VLOOKUP(C28,translations!$B$633:$H$647,Nlang,))</f>
        <v/>
      </c>
      <c r="AD28" s="2653"/>
      <c r="AE28" s="2653" t="str">
        <f>IF(Nlang=1,"",VLOOKUP(L28,translations!$B$633:$H$647,Nlang,))</f>
        <v/>
      </c>
      <c r="AF28" s="2653"/>
    </row>
    <row r="29" spans="2:38" s="1704" customFormat="1">
      <c r="B29" s="2174" t="s">
        <v>1511</v>
      </c>
      <c r="C29" s="3611" t="s">
        <v>339</v>
      </c>
      <c r="D29" s="1778"/>
      <c r="E29" s="2075" t="s">
        <v>5</v>
      </c>
      <c r="F29" s="2075" t="s">
        <v>5</v>
      </c>
      <c r="G29" s="2075" t="s">
        <v>5</v>
      </c>
      <c r="H29" s="3297"/>
      <c r="I29" s="2075" t="s">
        <v>5</v>
      </c>
      <c r="J29" s="2075" t="s">
        <v>5</v>
      </c>
      <c r="K29" s="2081"/>
      <c r="L29" s="3693" t="s">
        <v>4</v>
      </c>
      <c r="M29" s="3693"/>
      <c r="N29" s="2082"/>
      <c r="O29" s="2320"/>
      <c r="P29" s="3574">
        <v>0</v>
      </c>
      <c r="Q29" s="3574">
        <v>0</v>
      </c>
      <c r="R29" s="2113" t="s">
        <v>1498</v>
      </c>
      <c r="S29" s="3700">
        <v>0</v>
      </c>
      <c r="T29" s="3700"/>
      <c r="U29" s="2113" t="s">
        <v>1498</v>
      </c>
      <c r="V29" s="2076"/>
      <c r="W29" s="1812">
        <f>Annual!L45</f>
        <v>0</v>
      </c>
      <c r="X29" s="1812">
        <f>Annual!M45</f>
        <v>0</v>
      </c>
      <c r="Y29" s="1812"/>
      <c r="Z29" s="1812">
        <f>Annual!N45</f>
        <v>0</v>
      </c>
      <c r="AB29" s="3543" t="str">
        <f t="shared" si="1"/>
        <v>till_?</v>
      </c>
      <c r="AC29" s="2653" t="str">
        <f>IF(Nlang=1,"",VLOOKUP(C29,translations!$B$633:$H$647,Nlang,))</f>
        <v/>
      </c>
      <c r="AD29" s="2653"/>
      <c r="AE29" s="2653" t="str">
        <f>IF(Nlang=1,"",VLOOKUP(L29,translations!$B$633:$H$647,Nlang,))</f>
        <v/>
      </c>
      <c r="AF29" s="2653"/>
    </row>
    <row r="30" spans="2:38" s="1704" customFormat="1">
      <c r="B30" s="2174" t="s">
        <v>1512</v>
      </c>
      <c r="C30" s="3611" t="s">
        <v>339</v>
      </c>
      <c r="D30" s="1778"/>
      <c r="E30" s="2075" t="s">
        <v>5</v>
      </c>
      <c r="F30" s="2075" t="s">
        <v>5</v>
      </c>
      <c r="G30" s="2075" t="s">
        <v>5</v>
      </c>
      <c r="H30" s="3297"/>
      <c r="I30" s="2075" t="s">
        <v>5</v>
      </c>
      <c r="J30" s="2075" t="s">
        <v>5</v>
      </c>
      <c r="K30" s="2081"/>
      <c r="L30" s="3693" t="s">
        <v>4</v>
      </c>
      <c r="M30" s="3693"/>
      <c r="N30" s="2082"/>
      <c r="O30" s="2320"/>
      <c r="P30" s="3574">
        <v>0</v>
      </c>
      <c r="Q30" s="3574">
        <v>0</v>
      </c>
      <c r="R30" s="2113" t="s">
        <v>1498</v>
      </c>
      <c r="S30" s="3700">
        <v>0</v>
      </c>
      <c r="T30" s="3700"/>
      <c r="U30" s="2113" t="s">
        <v>1498</v>
      </c>
      <c r="V30" s="2076"/>
      <c r="W30" s="1812">
        <f>Annual!L46</f>
        <v>0</v>
      </c>
      <c r="X30" s="1812">
        <f>Annual!M46</f>
        <v>0</v>
      </c>
      <c r="Y30" s="1812"/>
      <c r="Z30" s="1812">
        <f>Annual!N46</f>
        <v>0</v>
      </c>
      <c r="AB30" s="3543" t="str">
        <f t="shared" si="1"/>
        <v>till_?</v>
      </c>
      <c r="AC30" s="2653" t="str">
        <f>IF(Nlang=1,"",VLOOKUP(C30,translations!$B$633:$H$647,Nlang,))</f>
        <v/>
      </c>
      <c r="AD30" s="2653"/>
      <c r="AE30" s="2653" t="str">
        <f>IF(Nlang=1,"",VLOOKUP(L30,translations!$B$633:$H$647,Nlang,))</f>
        <v/>
      </c>
      <c r="AF30" s="2653"/>
    </row>
    <row r="31" spans="2:38" s="1704" customFormat="1">
      <c r="B31" s="2174" t="s">
        <v>1513</v>
      </c>
      <c r="C31" s="3611" t="s">
        <v>339</v>
      </c>
      <c r="D31" s="1778"/>
      <c r="E31" s="2615" t="s">
        <v>5</v>
      </c>
      <c r="F31" s="2615" t="s">
        <v>5</v>
      </c>
      <c r="G31" s="2615" t="s">
        <v>5</v>
      </c>
      <c r="H31" s="3297"/>
      <c r="I31" s="2615" t="s">
        <v>5</v>
      </c>
      <c r="J31" s="2615" t="s">
        <v>5</v>
      </c>
      <c r="K31" s="2081"/>
      <c r="L31" s="3693" t="s">
        <v>4</v>
      </c>
      <c r="M31" s="3693"/>
      <c r="N31" s="2082"/>
      <c r="O31" s="2320"/>
      <c r="P31" s="3574">
        <v>0</v>
      </c>
      <c r="Q31" s="3574">
        <v>0</v>
      </c>
      <c r="R31" s="2113" t="s">
        <v>1498</v>
      </c>
      <c r="S31" s="3700">
        <v>0</v>
      </c>
      <c r="T31" s="3700"/>
      <c r="U31" s="2113" t="s">
        <v>1498</v>
      </c>
      <c r="V31" s="2076"/>
      <c r="W31" s="1812">
        <f>Annual!L47</f>
        <v>0</v>
      </c>
      <c r="X31" s="1812">
        <f>Annual!M47</f>
        <v>0</v>
      </c>
      <c r="Y31" s="1812"/>
      <c r="Z31" s="1812">
        <f>Annual!N47</f>
        <v>0</v>
      </c>
      <c r="AB31" s="3543" t="str">
        <f t="shared" si="1"/>
        <v>till_?</v>
      </c>
      <c r="AC31" s="2653" t="str">
        <f>IF(Nlang=1,"",VLOOKUP(C31,translations!$B$633:$H$647,Nlang,))</f>
        <v/>
      </c>
      <c r="AD31" s="2653"/>
      <c r="AE31" s="2653" t="str">
        <f>IF(Nlang=1,"",VLOOKUP(L31,translations!$B$633:$H$647,Nlang,))</f>
        <v/>
      </c>
      <c r="AF31" s="2653"/>
    </row>
    <row r="32" spans="2:38" s="1704" customFormat="1">
      <c r="B32" s="1755"/>
      <c r="C32" s="1755"/>
      <c r="D32" s="1755"/>
      <c r="E32" s="1755"/>
      <c r="F32" s="1755"/>
      <c r="G32" s="1755"/>
      <c r="H32" s="1755"/>
      <c r="I32" s="1755"/>
      <c r="J32" s="1755"/>
      <c r="K32" s="1755"/>
      <c r="L32" s="1755"/>
      <c r="M32" s="1755"/>
      <c r="N32" s="1755"/>
      <c r="O32" s="2744" t="str">
        <f>HLOOKUP(select,translations!$A$76:$H$144,20,)</f>
        <v>Total (ha)</v>
      </c>
      <c r="P32" s="2076">
        <f>Annual!C48</f>
        <v>0</v>
      </c>
      <c r="Q32" s="2125">
        <f>Annual!D48</f>
        <v>0</v>
      </c>
      <c r="R32" s="1866"/>
      <c r="S32" s="3691">
        <f>Annual!F48</f>
        <v>0</v>
      </c>
      <c r="T32" s="3691"/>
      <c r="U32" s="2125"/>
      <c r="V32" s="1816" t="str">
        <f>Annual!G48</f>
        <v/>
      </c>
      <c r="W32" s="2076"/>
      <c r="X32" s="2076"/>
      <c r="Y32" s="2157"/>
      <c r="Z32" s="2076"/>
      <c r="AC32" s="1715"/>
    </row>
    <row r="33" spans="2:29" s="1704" customFormat="1">
      <c r="J33" s="2135" t="str">
        <f>'2.LUC'!G20</f>
        <v>* Note concerning dynamics of change : "D" corresponds to default/linear, "I" to immediate and "E" to exponential (Please refer to the guidelines)</v>
      </c>
      <c r="K33" s="2133"/>
      <c r="L33" s="2133"/>
      <c r="M33" s="2133"/>
      <c r="N33" s="2133"/>
      <c r="O33" s="2428"/>
      <c r="P33" s="2133"/>
      <c r="Q33" s="2133"/>
      <c r="R33" s="2133"/>
      <c r="S33" s="2133"/>
      <c r="T33" s="2133"/>
      <c r="U33" s="2134"/>
      <c r="V33" s="2134"/>
      <c r="W33" s="2133"/>
      <c r="X33" s="2170"/>
      <c r="Y33" s="2170"/>
      <c r="Z33" s="2170"/>
      <c r="AC33" s="1715"/>
    </row>
    <row r="34" spans="2:29" s="1704" customFormat="1">
      <c r="O34" s="1709"/>
      <c r="Q34" s="1709"/>
    </row>
    <row r="35" spans="2:29" s="1704" customFormat="1">
      <c r="O35" s="1709"/>
      <c r="Q35" s="1709"/>
      <c r="R35" s="1645" t="str">
        <f>HLOOKUP(select,translations!$A$76:$H$144,21,)</f>
        <v>Total Annual Systems</v>
      </c>
      <c r="S35" s="1695"/>
      <c r="T35" s="1696"/>
      <c r="U35" s="2172"/>
      <c r="V35" s="1696"/>
      <c r="W35" s="2173">
        <f>Annual!L49</f>
        <v>0</v>
      </c>
      <c r="X35" s="2173">
        <f>Annual!M49</f>
        <v>0</v>
      </c>
      <c r="Y35" s="2173"/>
      <c r="Z35" s="2173">
        <f>Annual!N49</f>
        <v>0</v>
      </c>
    </row>
    <row r="36" spans="2:29" s="1704" customFormat="1">
      <c r="O36" s="1709"/>
      <c r="Q36" s="1709"/>
      <c r="R36" s="1709"/>
      <c r="V36" s="1709"/>
      <c r="W36" s="1709"/>
      <c r="X36" s="1709"/>
      <c r="Y36" s="1709"/>
      <c r="Z36" s="1709"/>
    </row>
    <row r="37" spans="2:29" s="1704" customFormat="1">
      <c r="O37" s="1709"/>
      <c r="Q37" s="1709"/>
      <c r="R37" s="1709"/>
      <c r="V37" s="1709"/>
      <c r="W37" s="1709"/>
      <c r="X37" s="1709"/>
      <c r="Y37" s="1709"/>
      <c r="Z37" s="1709"/>
    </row>
    <row r="38" spans="2:29" s="1704" customFormat="1">
      <c r="O38" s="1709"/>
      <c r="Q38" s="1709"/>
      <c r="R38" s="1709"/>
      <c r="V38" s="1709"/>
      <c r="W38" s="1709"/>
      <c r="X38" s="1709"/>
      <c r="Y38" s="1709"/>
      <c r="Z38" s="1709"/>
    </row>
    <row r="39" spans="2:29" s="1715" customFormat="1" ht="15.75">
      <c r="B39" s="2505" t="str">
        <f>HLOOKUP(select,translations!$A$76:$H$144,22,)</f>
        <v>3.2. Perennial systems (agroforestry, orchards, tree crops…)</v>
      </c>
      <c r="C39" s="2505"/>
      <c r="D39" s="2505"/>
      <c r="E39" s="2506"/>
      <c r="F39" s="2506"/>
      <c r="G39" s="2506"/>
      <c r="H39" s="2506"/>
      <c r="I39" s="2506"/>
      <c r="J39" s="2506"/>
      <c r="K39" s="2506"/>
      <c r="L39" s="2506"/>
      <c r="M39" s="2506"/>
      <c r="N39" s="2506"/>
      <c r="O39" s="2507"/>
      <c r="P39" s="2506"/>
      <c r="Q39" s="2506"/>
      <c r="R39" s="2506"/>
      <c r="S39" s="2506"/>
      <c r="T39" s="2506"/>
      <c r="U39" s="2506"/>
      <c r="V39" s="2506"/>
      <c r="W39" s="2506"/>
      <c r="X39" s="2506"/>
      <c r="Y39" s="2506"/>
      <c r="Z39" s="2507"/>
    </row>
    <row r="40" spans="2:29" s="1715" customFormat="1">
      <c r="B40" s="1719"/>
      <c r="C40" s="1719"/>
      <c r="D40" s="1719"/>
      <c r="O40" s="2592" t="str">
        <f>HLOOKUP(select,translations!$A$76:$H$144,4,)</f>
        <v>Yield?</v>
      </c>
      <c r="W40" s="1749"/>
      <c r="X40" s="1749"/>
      <c r="Y40" s="1749"/>
      <c r="Z40" s="1749"/>
    </row>
    <row r="41" spans="2:29" s="1715" customFormat="1">
      <c r="B41" s="1843" t="str">
        <f>HLOOKUP(select,translations!$A$76:$H$144,23,)</f>
        <v>3.2.1. Perennial systems from other LU or converted to other LU (please fill step 2.LUC previously)</v>
      </c>
      <c r="C41" s="1843"/>
      <c r="D41" s="1843"/>
      <c r="E41" s="1844"/>
      <c r="F41" s="1844"/>
      <c r="G41" s="1844"/>
      <c r="H41" s="1844"/>
      <c r="I41" s="1844"/>
      <c r="J41" s="1844"/>
      <c r="K41" s="1844"/>
      <c r="L41" s="1844"/>
      <c r="M41" s="1844"/>
      <c r="N41" s="1844"/>
      <c r="O41" s="1845"/>
      <c r="P41" s="1844"/>
      <c r="Q41" s="1844"/>
      <c r="R41" s="1844"/>
      <c r="S41" s="1844"/>
      <c r="T41" s="1844"/>
      <c r="U41" s="1844"/>
      <c r="V41" s="1845"/>
      <c r="W41" s="1845"/>
      <c r="X41" s="1845"/>
      <c r="Y41" s="1845"/>
      <c r="Z41" s="1845"/>
    </row>
    <row r="42" spans="2:29" s="1704" customFormat="1">
      <c r="B42" s="2305" t="str">
        <f>B11</f>
        <v>Description</v>
      </c>
      <c r="C42" s="2305"/>
      <c r="D42" s="2305"/>
      <c r="E42" s="2275"/>
      <c r="F42" s="2275"/>
      <c r="G42" s="2306"/>
      <c r="H42" s="2306"/>
      <c r="I42" s="2275"/>
      <c r="J42" s="2275"/>
      <c r="K42" s="3695" t="str">
        <f>HLOOKUP(select,translations!$A$76:$H$144,14,)</f>
        <v>Residue/ biomass burning</v>
      </c>
      <c r="L42" s="3695"/>
      <c r="M42" s="3695"/>
      <c r="N42" s="2307"/>
      <c r="O42" s="2601" t="str">
        <f>O20</f>
        <v>Yield</v>
      </c>
      <c r="P42" s="3678" t="str">
        <f>P20</f>
        <v>Area (ha)</v>
      </c>
      <c r="Q42" s="3678"/>
      <c r="R42" s="3678"/>
      <c r="S42" s="3678"/>
      <c r="T42" s="3678"/>
      <c r="U42" s="2141"/>
      <c r="V42" s="3714" t="str">
        <f>V20</f>
        <v>Total Emissions (tCO2-eq)</v>
      </c>
      <c r="W42" s="3714"/>
      <c r="X42" s="3714"/>
      <c r="Y42" s="2308"/>
      <c r="Z42" s="2141" t="str">
        <f>Z20</f>
        <v>Balance</v>
      </c>
    </row>
    <row r="43" spans="2:29" s="1704" customFormat="1" ht="15" customHeight="1">
      <c r="B43" s="2305"/>
      <c r="C43" s="2305"/>
      <c r="D43" s="2305"/>
      <c r="E43" s="2309"/>
      <c r="F43" s="2275"/>
      <c r="G43" s="2275"/>
      <c r="H43" s="2275"/>
      <c r="I43" s="2275"/>
      <c r="J43" s="2275"/>
      <c r="K43" s="3695"/>
      <c r="L43" s="3695"/>
      <c r="M43" s="3695"/>
      <c r="N43" s="2307"/>
      <c r="O43" s="2383" t="str">
        <f>O21</f>
        <v>(t/ha/yr)</v>
      </c>
      <c r="P43" s="2147" t="str">
        <f>P21</f>
        <v>Start</v>
      </c>
      <c r="Q43" s="3704" t="str">
        <f>Q21</f>
        <v>Without</v>
      </c>
      <c r="R43" s="3704"/>
      <c r="S43" s="3704"/>
      <c r="T43" s="2145" t="str">
        <f>S21</f>
        <v>With</v>
      </c>
      <c r="U43" s="2145"/>
      <c r="V43" s="2140"/>
      <c r="W43" s="2145" t="str">
        <f>Q43</f>
        <v>Without</v>
      </c>
      <c r="X43" s="2145" t="str">
        <f>T43</f>
        <v>With</v>
      </c>
      <c r="Y43" s="2145"/>
      <c r="Z43" s="2279"/>
    </row>
    <row r="44" spans="2:29" s="1704" customFormat="1">
      <c r="B44" s="2123" t="str">
        <f>HLOOKUP(select,translations!$A$76:$H$144,24,)</f>
        <v>Perennial after Deforestation</v>
      </c>
      <c r="C44" s="2123"/>
      <c r="D44" s="2123"/>
      <c r="E44" s="2138"/>
      <c r="F44" s="2138"/>
      <c r="G44" s="2138"/>
      <c r="H44" s="2138"/>
      <c r="I44" s="2138"/>
      <c r="J44" s="2138"/>
      <c r="K44" s="3702" t="s">
        <v>354</v>
      </c>
      <c r="L44" s="3702"/>
      <c r="M44" s="3702"/>
      <c r="N44" s="2307"/>
      <c r="O44" s="2320"/>
      <c r="P44" s="2296">
        <f>Perennial!C32</f>
        <v>0</v>
      </c>
      <c r="Q44" s="2296">
        <f>Perennial!D32</f>
        <v>0</v>
      </c>
      <c r="R44" s="2296"/>
      <c r="S44" s="2310"/>
      <c r="T44" s="2296">
        <f>Perennial!F32</f>
        <v>0</v>
      </c>
      <c r="U44" s="2296"/>
      <c r="V44" s="2140"/>
      <c r="W44" s="2296">
        <f>Perennial!N32</f>
        <v>0</v>
      </c>
      <c r="X44" s="2296">
        <f>Perennial!O32</f>
        <v>0</v>
      </c>
      <c r="Y44" s="2296"/>
      <c r="Z44" s="2296">
        <f>Perennial!P32</f>
        <v>0</v>
      </c>
    </row>
    <row r="45" spans="2:29" s="1704" customFormat="1">
      <c r="B45" s="2123" t="str">
        <f>HLOOKUP(select,translations!$A$76:$H$144,25,)</f>
        <v>Converted to A/R</v>
      </c>
      <c r="C45" s="2100"/>
      <c r="D45" s="2100"/>
      <c r="E45" s="2138"/>
      <c r="F45" s="2138"/>
      <c r="G45" s="2138"/>
      <c r="H45" s="2138"/>
      <c r="I45" s="2138"/>
      <c r="J45" s="2138"/>
      <c r="K45" s="3702" t="s">
        <v>354</v>
      </c>
      <c r="L45" s="3702"/>
      <c r="M45" s="3702"/>
      <c r="N45" s="2307"/>
      <c r="O45" s="2320"/>
      <c r="P45" s="2296">
        <f>Perennial!C33</f>
        <v>0</v>
      </c>
      <c r="Q45" s="2296">
        <f>Perennial!D33</f>
        <v>0</v>
      </c>
      <c r="R45" s="2296"/>
      <c r="S45" s="2310"/>
      <c r="T45" s="2296">
        <f>Perennial!F33</f>
        <v>0</v>
      </c>
      <c r="U45" s="2296"/>
      <c r="V45" s="2140"/>
      <c r="W45" s="2296">
        <f>Perennial!N33</f>
        <v>0</v>
      </c>
      <c r="X45" s="2296">
        <f>Perennial!O33</f>
        <v>0</v>
      </c>
      <c r="Y45" s="2296"/>
      <c r="Z45" s="2296">
        <f>Perennial!P33</f>
        <v>0</v>
      </c>
    </row>
    <row r="46" spans="2:29" s="1704" customFormat="1">
      <c r="B46" s="2123" t="str">
        <f>HLOOKUP(select,translations!$A$76:$H$144,26,)</f>
        <v>Perennial after non-forest LU</v>
      </c>
      <c r="C46" s="2123"/>
      <c r="D46" s="2123"/>
      <c r="E46" s="2138"/>
      <c r="F46" s="2138"/>
      <c r="G46" s="2138"/>
      <c r="H46" s="2138"/>
      <c r="I46" s="2138"/>
      <c r="J46" s="2138"/>
      <c r="K46" s="3702" t="s">
        <v>354</v>
      </c>
      <c r="L46" s="3702"/>
      <c r="M46" s="3702"/>
      <c r="N46" s="2307"/>
      <c r="O46" s="2320"/>
      <c r="P46" s="2296">
        <f>Perennial!C34</f>
        <v>0</v>
      </c>
      <c r="Q46" s="2296">
        <f>Perennial!D34</f>
        <v>0</v>
      </c>
      <c r="R46" s="2296"/>
      <c r="S46" s="2310"/>
      <c r="T46" s="2296">
        <f>Perennial!F34</f>
        <v>0</v>
      </c>
      <c r="U46" s="2296"/>
      <c r="V46" s="2140"/>
      <c r="W46" s="2296">
        <f>Perennial!N34</f>
        <v>0</v>
      </c>
      <c r="X46" s="2296">
        <f>Perennial!O34</f>
        <v>0</v>
      </c>
      <c r="Y46" s="2296"/>
      <c r="Z46" s="2296">
        <f>Perennial!P34</f>
        <v>0</v>
      </c>
    </row>
    <row r="47" spans="2:29" s="1704" customFormat="1">
      <c r="B47" s="2123" t="str">
        <f>HLOOKUP(select,translations!$A$76:$H$144,27,)</f>
        <v>Converted to OLUC</v>
      </c>
      <c r="C47" s="2100"/>
      <c r="D47" s="2100"/>
      <c r="E47" s="2138"/>
      <c r="F47" s="2138"/>
      <c r="G47" s="2138"/>
      <c r="H47" s="2138"/>
      <c r="I47" s="2138"/>
      <c r="J47" s="2138"/>
      <c r="K47" s="3702" t="s">
        <v>354</v>
      </c>
      <c r="L47" s="3702"/>
      <c r="M47" s="3702"/>
      <c r="N47" s="2307"/>
      <c r="O47" s="2320"/>
      <c r="P47" s="2296">
        <f>Perennial!C35</f>
        <v>0</v>
      </c>
      <c r="Q47" s="2296">
        <f>Perennial!D35</f>
        <v>0</v>
      </c>
      <c r="R47" s="2296"/>
      <c r="S47" s="2310"/>
      <c r="T47" s="2296">
        <f>Perennial!F35</f>
        <v>0</v>
      </c>
      <c r="U47" s="2296"/>
      <c r="V47" s="2140"/>
      <c r="W47" s="2296">
        <f>Perennial!N35</f>
        <v>0</v>
      </c>
      <c r="X47" s="2296">
        <f>Perennial!O35</f>
        <v>0</v>
      </c>
      <c r="Y47" s="2296"/>
      <c r="Z47" s="2296">
        <f>Perennial!P35</f>
        <v>0</v>
      </c>
    </row>
    <row r="48" spans="2:29" s="1704" customFormat="1">
      <c r="O48" s="1709"/>
      <c r="Q48" s="1709"/>
      <c r="R48" s="1709"/>
      <c r="V48" s="1709"/>
      <c r="W48" s="1709"/>
      <c r="X48" s="1709"/>
      <c r="Y48" s="1709"/>
      <c r="Z48" s="1709"/>
    </row>
    <row r="49" spans="2:26" s="1704" customFormat="1">
      <c r="B49" s="1843" t="str">
        <f>HLOOKUP(select,translations!$A$76:$H$144,29,)</f>
        <v>3.2.2. Perennial systems remaining perrenial systems (total area must remain constant)</v>
      </c>
      <c r="C49" s="1843"/>
      <c r="D49" s="1843"/>
      <c r="E49" s="1844"/>
      <c r="F49" s="1844"/>
      <c r="G49" s="1844"/>
      <c r="H49" s="1844"/>
      <c r="I49" s="1844"/>
      <c r="J49" s="1844"/>
      <c r="K49" s="1844"/>
      <c r="L49" s="1844"/>
      <c r="M49" s="1844"/>
      <c r="N49" s="1844"/>
      <c r="O49" s="2592" t="str">
        <f>HLOOKUP(select,translations!$A$76:$H$144,4,)</f>
        <v>Yield?</v>
      </c>
      <c r="P49" s="1844"/>
      <c r="Q49" s="1844"/>
      <c r="R49" s="1844"/>
      <c r="S49" s="1844"/>
      <c r="T49" s="1844"/>
      <c r="U49" s="1844"/>
      <c r="V49" s="1845"/>
      <c r="W49" s="1845"/>
      <c r="X49" s="1845"/>
      <c r="Y49" s="1845"/>
      <c r="Z49" s="1845"/>
    </row>
    <row r="50" spans="2:26" s="1704" customFormat="1">
      <c r="B50" s="2305" t="str">
        <f>B20</f>
        <v>Fill with your description</v>
      </c>
      <c r="C50" s="2305"/>
      <c r="D50" s="2305"/>
      <c r="E50" s="2275"/>
      <c r="F50" s="2275"/>
      <c r="G50" s="2306"/>
      <c r="H50" s="2306"/>
      <c r="I50" s="2275"/>
      <c r="J50" s="2275"/>
      <c r="K50" s="3695" t="str">
        <f>K42</f>
        <v>Residue/ biomass burning</v>
      </c>
      <c r="L50" s="3695"/>
      <c r="M50" s="3695"/>
      <c r="N50" s="2307"/>
      <c r="O50" s="2602" t="str">
        <f>O20</f>
        <v>Yield</v>
      </c>
      <c r="P50" s="3678" t="str">
        <f>P42</f>
        <v>Area (ha)</v>
      </c>
      <c r="Q50" s="3678"/>
      <c r="R50" s="3678"/>
      <c r="S50" s="3678"/>
      <c r="T50" s="3678"/>
      <c r="U50" s="2141"/>
      <c r="V50" s="3680" t="str">
        <f>V42</f>
        <v>Total Emissions (tCO2-eq)</v>
      </c>
      <c r="W50" s="3680"/>
      <c r="X50" s="3680"/>
      <c r="Y50" s="2308"/>
      <c r="Z50" s="2141" t="str">
        <f>Z42</f>
        <v>Balance</v>
      </c>
    </row>
    <row r="51" spans="2:26" s="1704" customFormat="1" ht="15.6" customHeight="1">
      <c r="B51" s="2305"/>
      <c r="C51" s="2305"/>
      <c r="D51" s="2305"/>
      <c r="E51" s="2309"/>
      <c r="F51" s="2275"/>
      <c r="G51" s="2275"/>
      <c r="H51" s="2275"/>
      <c r="I51" s="2275"/>
      <c r="J51" s="2275"/>
      <c r="K51" s="3695"/>
      <c r="L51" s="3695"/>
      <c r="M51" s="3695"/>
      <c r="N51" s="2307"/>
      <c r="O51" s="2383" t="str">
        <f>O43</f>
        <v>(t/ha/yr)</v>
      </c>
      <c r="P51" s="2147" t="str">
        <f>P43</f>
        <v>Start</v>
      </c>
      <c r="Q51" s="2311" t="str">
        <f>Q43</f>
        <v>Without</v>
      </c>
      <c r="R51" s="2145" t="s">
        <v>91</v>
      </c>
      <c r="S51" s="3701" t="str">
        <f>T43</f>
        <v>With</v>
      </c>
      <c r="T51" s="3701"/>
      <c r="U51" s="2145" t="s">
        <v>91</v>
      </c>
      <c r="V51" s="2140"/>
      <c r="W51" s="2145" t="str">
        <f>W43</f>
        <v>Without</v>
      </c>
      <c r="X51" s="2145" t="str">
        <f>X43</f>
        <v>With</v>
      </c>
      <c r="Y51" s="2145"/>
      <c r="Z51" s="2279"/>
    </row>
    <row r="52" spans="2:26" s="1704" customFormat="1">
      <c r="B52" s="3694" t="s">
        <v>1599</v>
      </c>
      <c r="C52" s="3694"/>
      <c r="D52" s="3694"/>
      <c r="E52" s="3694"/>
      <c r="F52" s="3694"/>
      <c r="G52" s="2138"/>
      <c r="H52" s="2138"/>
      <c r="I52" s="2138"/>
      <c r="J52" s="2138"/>
      <c r="K52" s="3674" t="s">
        <v>354</v>
      </c>
      <c r="L52" s="3702"/>
      <c r="M52" s="3702"/>
      <c r="N52" s="2307"/>
      <c r="O52" s="2320"/>
      <c r="P52" s="2084">
        <v>0</v>
      </c>
      <c r="Q52" s="2126">
        <v>0</v>
      </c>
      <c r="R52" s="2113" t="s">
        <v>1498</v>
      </c>
      <c r="S52" s="3700">
        <v>0</v>
      </c>
      <c r="T52" s="3700"/>
      <c r="U52" s="2113" t="s">
        <v>1498</v>
      </c>
      <c r="V52" s="2140"/>
      <c r="W52" s="2296">
        <f>Perennial!N36</f>
        <v>0</v>
      </c>
      <c r="X52" s="2296">
        <f>Perennial!O36</f>
        <v>0</v>
      </c>
      <c r="Y52" s="2296"/>
      <c r="Z52" s="2296">
        <f>Perennial!P36</f>
        <v>0</v>
      </c>
    </row>
    <row r="53" spans="2:26" s="1704" customFormat="1">
      <c r="B53" s="3694" t="s">
        <v>1600</v>
      </c>
      <c r="C53" s="3694"/>
      <c r="D53" s="3694"/>
      <c r="E53" s="3694"/>
      <c r="F53" s="3694"/>
      <c r="G53" s="2138"/>
      <c r="H53" s="2138"/>
      <c r="I53" s="2138"/>
      <c r="J53" s="2138"/>
      <c r="K53" s="3702" t="s">
        <v>354</v>
      </c>
      <c r="L53" s="3702"/>
      <c r="M53" s="3702"/>
      <c r="N53" s="2307"/>
      <c r="O53" s="2320"/>
      <c r="P53" s="2084">
        <v>0</v>
      </c>
      <c r="Q53" s="2126">
        <v>0</v>
      </c>
      <c r="R53" s="2113" t="s">
        <v>1498</v>
      </c>
      <c r="S53" s="3700">
        <v>0</v>
      </c>
      <c r="T53" s="3700"/>
      <c r="U53" s="2113" t="s">
        <v>1498</v>
      </c>
      <c r="V53" s="2140"/>
      <c r="W53" s="2296">
        <f>Perennial!N37</f>
        <v>0</v>
      </c>
      <c r="X53" s="2296">
        <f>Perennial!O37</f>
        <v>0</v>
      </c>
      <c r="Y53" s="2296"/>
      <c r="Z53" s="2296">
        <f>Perennial!P37</f>
        <v>0</v>
      </c>
    </row>
    <row r="54" spans="2:26" s="1704" customFormat="1">
      <c r="B54" s="3694" t="s">
        <v>1601</v>
      </c>
      <c r="C54" s="3694"/>
      <c r="D54" s="3694"/>
      <c r="E54" s="3694"/>
      <c r="F54" s="3694"/>
      <c r="G54" s="2138"/>
      <c r="H54" s="2138"/>
      <c r="I54" s="2138"/>
      <c r="J54" s="2138"/>
      <c r="K54" s="3702" t="s">
        <v>354</v>
      </c>
      <c r="L54" s="3702"/>
      <c r="M54" s="3702"/>
      <c r="N54" s="2307"/>
      <c r="O54" s="2320"/>
      <c r="P54" s="2084">
        <v>0</v>
      </c>
      <c r="Q54" s="2126">
        <v>0</v>
      </c>
      <c r="R54" s="2113" t="s">
        <v>1498</v>
      </c>
      <c r="S54" s="3700">
        <v>0</v>
      </c>
      <c r="T54" s="3700"/>
      <c r="U54" s="2113" t="s">
        <v>1498</v>
      </c>
      <c r="V54" s="2140"/>
      <c r="W54" s="2296">
        <f>Perennial!N38</f>
        <v>0</v>
      </c>
      <c r="X54" s="2296">
        <f>Perennial!O38</f>
        <v>0</v>
      </c>
      <c r="Y54" s="2296"/>
      <c r="Z54" s="2296">
        <f>Perennial!P38</f>
        <v>0</v>
      </c>
    </row>
    <row r="55" spans="2:26" s="1704" customFormat="1">
      <c r="B55" s="3694" t="s">
        <v>1517</v>
      </c>
      <c r="C55" s="3694"/>
      <c r="D55" s="3694"/>
      <c r="E55" s="3694"/>
      <c r="F55" s="3694"/>
      <c r="G55" s="2138"/>
      <c r="H55" s="2138"/>
      <c r="I55" s="2138"/>
      <c r="J55" s="2138"/>
      <c r="K55" s="3702" t="s">
        <v>354</v>
      </c>
      <c r="L55" s="3702"/>
      <c r="M55" s="3702"/>
      <c r="N55" s="2307"/>
      <c r="O55" s="2854"/>
      <c r="P55" s="2853">
        <v>0</v>
      </c>
      <c r="Q55" s="2853">
        <v>0</v>
      </c>
      <c r="R55" s="2113" t="s">
        <v>1498</v>
      </c>
      <c r="S55" s="3700">
        <v>0</v>
      </c>
      <c r="T55" s="3700"/>
      <c r="U55" s="2113" t="s">
        <v>1498</v>
      </c>
      <c r="V55" s="2857"/>
      <c r="W55" s="2296">
        <f>Perennial!N39</f>
        <v>0</v>
      </c>
      <c r="X55" s="2296">
        <f>Perennial!O39</f>
        <v>0</v>
      </c>
      <c r="Y55" s="2296"/>
      <c r="Z55" s="2296">
        <f>Perennial!P39</f>
        <v>0</v>
      </c>
    </row>
    <row r="56" spans="2:26" s="1704" customFormat="1">
      <c r="B56" s="3694" t="s">
        <v>1518</v>
      </c>
      <c r="C56" s="3694"/>
      <c r="D56" s="3694"/>
      <c r="E56" s="3694"/>
      <c r="F56" s="3694"/>
      <c r="G56" s="2138"/>
      <c r="H56" s="2138"/>
      <c r="I56" s="2138"/>
      <c r="J56" s="2138"/>
      <c r="K56" s="3702" t="s">
        <v>354</v>
      </c>
      <c r="L56" s="3702"/>
      <c r="M56" s="3702"/>
      <c r="N56" s="2307"/>
      <c r="O56" s="2854"/>
      <c r="P56" s="2853">
        <v>0</v>
      </c>
      <c r="Q56" s="2853">
        <v>0</v>
      </c>
      <c r="R56" s="2113" t="s">
        <v>1498</v>
      </c>
      <c r="S56" s="3700">
        <v>0</v>
      </c>
      <c r="T56" s="3700"/>
      <c r="U56" s="2113" t="s">
        <v>1498</v>
      </c>
      <c r="V56" s="2857"/>
      <c r="W56" s="2296">
        <f>Perennial!N40</f>
        <v>0</v>
      </c>
      <c r="X56" s="2296">
        <f>Perennial!O40</f>
        <v>0</v>
      </c>
      <c r="Y56" s="2296"/>
      <c r="Z56" s="2296">
        <f>Perennial!P40</f>
        <v>0</v>
      </c>
    </row>
    <row r="57" spans="2:26" s="1704" customFormat="1">
      <c r="B57" s="3694" t="s">
        <v>4818</v>
      </c>
      <c r="C57" s="3694"/>
      <c r="D57" s="3694"/>
      <c r="E57" s="3694"/>
      <c r="F57" s="3694"/>
      <c r="G57" s="2138"/>
      <c r="H57" s="2138"/>
      <c r="I57" s="2138"/>
      <c r="J57" s="2138"/>
      <c r="K57" s="3702" t="s">
        <v>354</v>
      </c>
      <c r="L57" s="3702"/>
      <c r="M57" s="3702"/>
      <c r="N57" s="2307"/>
      <c r="O57" s="2854"/>
      <c r="P57" s="2853">
        <v>0</v>
      </c>
      <c r="Q57" s="2853">
        <v>0</v>
      </c>
      <c r="R57" s="2113" t="s">
        <v>1498</v>
      </c>
      <c r="S57" s="3700">
        <v>0</v>
      </c>
      <c r="T57" s="3700"/>
      <c r="U57" s="2113" t="s">
        <v>1498</v>
      </c>
      <c r="V57" s="2857"/>
      <c r="W57" s="2296">
        <f>Perennial!N41</f>
        <v>0</v>
      </c>
      <c r="X57" s="2296">
        <f>Perennial!O41</f>
        <v>0</v>
      </c>
      <c r="Y57" s="2296"/>
      <c r="Z57" s="2296">
        <f>Perennial!P41</f>
        <v>0</v>
      </c>
    </row>
    <row r="58" spans="2:26" s="1704" customFormat="1">
      <c r="B58" s="3694" t="s">
        <v>4819</v>
      </c>
      <c r="C58" s="3694"/>
      <c r="D58" s="3694"/>
      <c r="E58" s="3694"/>
      <c r="F58" s="3694"/>
      <c r="G58" s="2138"/>
      <c r="H58" s="2138"/>
      <c r="I58" s="2138"/>
      <c r="J58" s="2138"/>
      <c r="K58" s="3702" t="s">
        <v>354</v>
      </c>
      <c r="L58" s="3702"/>
      <c r="M58" s="3702"/>
      <c r="N58" s="2307"/>
      <c r="O58" s="2854"/>
      <c r="P58" s="2853">
        <v>0</v>
      </c>
      <c r="Q58" s="2853">
        <v>0</v>
      </c>
      <c r="R58" s="2113" t="s">
        <v>1498</v>
      </c>
      <c r="S58" s="3700">
        <v>0</v>
      </c>
      <c r="T58" s="3700"/>
      <c r="U58" s="2113" t="s">
        <v>1498</v>
      </c>
      <c r="V58" s="2857"/>
      <c r="W58" s="2296">
        <f>Perennial!N42</f>
        <v>0</v>
      </c>
      <c r="X58" s="2296">
        <f>Perennial!O42</f>
        <v>0</v>
      </c>
      <c r="Y58" s="2296"/>
      <c r="Z58" s="2296">
        <f>Perennial!P42</f>
        <v>0</v>
      </c>
    </row>
    <row r="59" spans="2:26" s="1704" customFormat="1">
      <c r="B59" s="3694" t="s">
        <v>4820</v>
      </c>
      <c r="C59" s="3694"/>
      <c r="D59" s="3694"/>
      <c r="E59" s="3694"/>
      <c r="F59" s="3694"/>
      <c r="G59" s="2138"/>
      <c r="H59" s="2138"/>
      <c r="I59" s="2138"/>
      <c r="J59" s="2138"/>
      <c r="K59" s="3702" t="s">
        <v>354</v>
      </c>
      <c r="L59" s="3702"/>
      <c r="M59" s="3702"/>
      <c r="N59" s="2307"/>
      <c r="O59" s="2854"/>
      <c r="P59" s="2853">
        <v>0</v>
      </c>
      <c r="Q59" s="2853">
        <v>0</v>
      </c>
      <c r="R59" s="2113" t="s">
        <v>1498</v>
      </c>
      <c r="S59" s="3700">
        <v>0</v>
      </c>
      <c r="T59" s="3700"/>
      <c r="U59" s="2113" t="s">
        <v>1498</v>
      </c>
      <c r="V59" s="2857"/>
      <c r="W59" s="2296">
        <f>Perennial!N43</f>
        <v>0</v>
      </c>
      <c r="X59" s="2296">
        <f>Perennial!O43</f>
        <v>0</v>
      </c>
      <c r="Y59" s="2296"/>
      <c r="Z59" s="2296">
        <f>Perennial!P43</f>
        <v>0</v>
      </c>
    </row>
    <row r="60" spans="2:26" s="1704" customFormat="1">
      <c r="B60" s="3694" t="s">
        <v>4821</v>
      </c>
      <c r="C60" s="3694"/>
      <c r="D60" s="3694"/>
      <c r="E60" s="3694"/>
      <c r="F60" s="3694"/>
      <c r="G60" s="2138"/>
      <c r="H60" s="2138"/>
      <c r="I60" s="2138"/>
      <c r="J60" s="2138"/>
      <c r="K60" s="3702" t="s">
        <v>354</v>
      </c>
      <c r="L60" s="3702"/>
      <c r="M60" s="3702"/>
      <c r="N60" s="2307"/>
      <c r="O60" s="2320"/>
      <c r="P60" s="2084">
        <v>0</v>
      </c>
      <c r="Q60" s="2126">
        <v>0</v>
      </c>
      <c r="R60" s="2113" t="s">
        <v>1498</v>
      </c>
      <c r="S60" s="3700">
        <v>0</v>
      </c>
      <c r="T60" s="3700"/>
      <c r="U60" s="2113" t="s">
        <v>1498</v>
      </c>
      <c r="V60" s="2140"/>
      <c r="W60" s="2296">
        <f>Perennial!N44</f>
        <v>0</v>
      </c>
      <c r="X60" s="2296">
        <f>Perennial!O44</f>
        <v>0</v>
      </c>
      <c r="Y60" s="2296"/>
      <c r="Z60" s="2296">
        <f>Perennial!P44</f>
        <v>0</v>
      </c>
    </row>
    <row r="61" spans="2:26" s="1704" customFormat="1">
      <c r="B61" s="3694" t="s">
        <v>4822</v>
      </c>
      <c r="C61" s="3694"/>
      <c r="D61" s="3694"/>
      <c r="E61" s="3694"/>
      <c r="F61" s="3694"/>
      <c r="G61" s="2138"/>
      <c r="H61" s="2138"/>
      <c r="I61" s="2138"/>
      <c r="J61" s="2138"/>
      <c r="K61" s="3702" t="s">
        <v>354</v>
      </c>
      <c r="L61" s="3702"/>
      <c r="M61" s="3702"/>
      <c r="N61" s="2307"/>
      <c r="O61" s="2320"/>
      <c r="P61" s="2084">
        <v>0</v>
      </c>
      <c r="Q61" s="2126">
        <v>0</v>
      </c>
      <c r="R61" s="2113" t="s">
        <v>1498</v>
      </c>
      <c r="S61" s="3700">
        <v>0</v>
      </c>
      <c r="T61" s="3700"/>
      <c r="U61" s="2113" t="s">
        <v>1498</v>
      </c>
      <c r="V61" s="2140"/>
      <c r="W61" s="2296">
        <f>Perennial!N45</f>
        <v>0</v>
      </c>
      <c r="X61" s="2296">
        <f>Perennial!O45</f>
        <v>0</v>
      </c>
      <c r="Y61" s="2296"/>
      <c r="Z61" s="2296">
        <f>Perennial!P45</f>
        <v>0</v>
      </c>
    </row>
    <row r="62" spans="2:26" s="1704" customFormat="1">
      <c r="B62" s="2138"/>
      <c r="C62" s="2138"/>
      <c r="D62" s="2138"/>
      <c r="E62" s="2138"/>
      <c r="F62" s="2138"/>
      <c r="G62" s="2138"/>
      <c r="H62" s="2138"/>
      <c r="I62" s="2138"/>
      <c r="J62" s="2138"/>
      <c r="K62" s="2138"/>
      <c r="L62" s="2138"/>
      <c r="M62" s="2138"/>
      <c r="N62" s="2138"/>
      <c r="O62" s="2501" t="str">
        <f>O32</f>
        <v>Total (ha)</v>
      </c>
      <c r="P62" s="2140">
        <f>Perennial!C46</f>
        <v>0</v>
      </c>
      <c r="Q62" s="2140">
        <f>Perennial!D46</f>
        <v>0</v>
      </c>
      <c r="R62" s="2140"/>
      <c r="S62" s="3711">
        <f>Perennial!F46</f>
        <v>0</v>
      </c>
      <c r="T62" s="3711"/>
      <c r="U62" s="2140"/>
      <c r="V62" s="2312" t="str">
        <f>Perennial!G46</f>
        <v/>
      </c>
      <c r="W62" s="2140"/>
      <c r="X62" s="2140"/>
      <c r="Y62" s="2140"/>
      <c r="Z62" s="2140"/>
    </row>
    <row r="63" spans="2:26" s="1704" customFormat="1">
      <c r="J63" s="2135" t="str">
        <f>J33</f>
        <v>* Note concerning dynamics of change : "D" corresponds to default/linear, "I" to immediate and "E" to exponential (Please refer to the guidelines)</v>
      </c>
      <c r="K63" s="2133"/>
      <c r="L63" s="2133"/>
      <c r="M63" s="2133"/>
      <c r="N63" s="2133"/>
      <c r="O63" s="2428"/>
      <c r="P63" s="2133"/>
      <c r="Q63" s="2133"/>
      <c r="R63" s="2133"/>
      <c r="S63" s="2133"/>
      <c r="T63" s="2133"/>
      <c r="U63" s="2134"/>
      <c r="V63" s="2134"/>
      <c r="W63" s="2133"/>
      <c r="X63" s="2170"/>
      <c r="Y63" s="2170"/>
      <c r="Z63" s="2170"/>
    </row>
    <row r="64" spans="2:26" s="1704" customFormat="1">
      <c r="O64" s="1709"/>
      <c r="Q64" s="1709"/>
    </row>
    <row r="65" spans="2:40" s="1704" customFormat="1">
      <c r="O65" s="1709"/>
      <c r="Q65" s="1709"/>
      <c r="R65" s="2603" t="str">
        <f>HLOOKUP(select,translations!$A$76:$H$143,28,)</f>
        <v>Total Perennial Systems</v>
      </c>
      <c r="S65" s="1849"/>
      <c r="T65" s="1849"/>
      <c r="U65" s="1849"/>
      <c r="V65" s="1848"/>
      <c r="W65" s="1850">
        <f>Perennial!N47</f>
        <v>0</v>
      </c>
      <c r="X65" s="1850">
        <f>Perennial!O47</f>
        <v>0</v>
      </c>
      <c r="Y65" s="1850"/>
      <c r="Z65" s="1850">
        <f>Perennial!P47</f>
        <v>0</v>
      </c>
    </row>
    <row r="66" spans="2:40" s="1704" customFormat="1">
      <c r="O66" s="1709"/>
      <c r="Q66" s="1709"/>
      <c r="R66" s="1709"/>
      <c r="S66" s="1709"/>
      <c r="T66" s="1709"/>
      <c r="U66" s="1709"/>
      <c r="V66" s="1709"/>
      <c r="W66" s="1709"/>
      <c r="X66" s="1709"/>
      <c r="Y66" s="1709"/>
      <c r="Z66" s="1709"/>
    </row>
    <row r="67" spans="2:40" s="1704" customFormat="1">
      <c r="O67" s="1709"/>
      <c r="Q67" s="1709"/>
      <c r="R67" s="1709"/>
      <c r="S67" s="1709"/>
      <c r="T67" s="1709"/>
      <c r="U67" s="1709"/>
      <c r="V67" s="1709"/>
      <c r="W67" s="1709"/>
      <c r="X67" s="1709"/>
      <c r="Y67" s="1709"/>
      <c r="Z67" s="1709"/>
    </row>
    <row r="68" spans="2:40" s="1704" customFormat="1">
      <c r="O68" s="1709"/>
      <c r="Q68" s="1709"/>
      <c r="R68" s="1709"/>
      <c r="S68" s="1709"/>
      <c r="T68" s="1709"/>
      <c r="U68" s="1709"/>
      <c r="V68" s="1709"/>
      <c r="W68" s="1709"/>
      <c r="X68" s="1709"/>
      <c r="Y68" s="1709"/>
      <c r="Z68" s="1709"/>
    </row>
    <row r="69" spans="2:40" s="1704" customFormat="1">
      <c r="O69" s="1709"/>
      <c r="Q69" s="1709"/>
      <c r="R69" s="1709"/>
      <c r="V69" s="1709"/>
      <c r="W69" s="1709"/>
      <c r="X69" s="1709"/>
      <c r="Y69" s="1709"/>
      <c r="Z69" s="1709"/>
    </row>
    <row r="70" spans="2:40" s="1704" customFormat="1" ht="15.75">
      <c r="B70" s="2511" t="str">
        <f>HLOOKUP(select,translations!$A$76:$H$144,30,)</f>
        <v>3.3. Flooded rice systems</v>
      </c>
      <c r="C70" s="2511"/>
      <c r="D70" s="2511"/>
      <c r="E70" s="2512"/>
      <c r="F70" s="2512"/>
      <c r="G70" s="2512"/>
      <c r="H70" s="2512"/>
      <c r="I70" s="2512"/>
      <c r="J70" s="2512"/>
      <c r="K70" s="2512"/>
      <c r="L70" s="2512"/>
      <c r="M70" s="2512"/>
      <c r="N70" s="2512"/>
      <c r="O70" s="2513"/>
      <c r="P70" s="2512"/>
      <c r="Q70" s="2512"/>
      <c r="R70" s="2512"/>
      <c r="S70" s="2512"/>
      <c r="T70" s="2512"/>
      <c r="U70" s="2512"/>
      <c r="V70" s="2512"/>
      <c r="W70" s="2512"/>
      <c r="X70" s="2512"/>
      <c r="Y70" s="2512"/>
      <c r="Z70" s="2513"/>
      <c r="AA70" s="2513"/>
      <c r="AB70" s="2513"/>
      <c r="AC70" s="2513"/>
      <c r="AD70" s="2513"/>
    </row>
    <row r="71" spans="2:40" s="1704" customFormat="1">
      <c r="O71" s="1709"/>
      <c r="Q71" s="1709"/>
      <c r="R71" s="1709"/>
      <c r="V71" s="1709"/>
      <c r="W71" s="1709"/>
      <c r="X71" s="1709"/>
      <c r="Y71" s="1709"/>
      <c r="Z71" s="1709"/>
      <c r="AA71" s="1709"/>
      <c r="AB71" s="1709"/>
      <c r="AC71" s="1709"/>
      <c r="AD71" s="1709"/>
    </row>
    <row r="72" spans="2:40" s="1704" customFormat="1">
      <c r="B72" s="2183" t="str">
        <f>HLOOKUP(select,translations!$A$76:$H$144,31,)</f>
        <v>3.3.1. Flooded rice systems from other LU or converted to other LU (please fill step 2.LUC previously)</v>
      </c>
      <c r="C72" s="2183"/>
      <c r="D72" s="2183"/>
      <c r="E72" s="2193"/>
      <c r="F72" s="2193"/>
      <c r="G72" s="2193"/>
      <c r="H72" s="2193"/>
      <c r="I72" s="2193"/>
      <c r="J72" s="2193"/>
      <c r="K72" s="2193"/>
      <c r="L72" s="2193"/>
      <c r="M72" s="2193"/>
      <c r="N72" s="2193"/>
      <c r="O72" s="2215"/>
      <c r="P72" s="2193"/>
      <c r="Q72" s="2193"/>
      <c r="R72" s="2193"/>
      <c r="S72" s="2193"/>
      <c r="T72" s="2592" t="str">
        <f>HLOOKUP(select,translations!$A$76:$H$144,4,)</f>
        <v>Yield?</v>
      </c>
      <c r="U72" s="2193"/>
      <c r="V72" s="2215"/>
      <c r="W72" s="2215"/>
      <c r="X72" s="2215"/>
      <c r="Y72" s="2215"/>
      <c r="Z72" s="2215"/>
      <c r="AA72" s="2215"/>
      <c r="AB72" s="2215"/>
      <c r="AC72" s="2215"/>
      <c r="AD72" s="2215"/>
      <c r="AF72" s="1937" t="str">
        <f>'2.LUC'!V46</f>
        <v xml:space="preserve"> </v>
      </c>
    </row>
    <row r="73" spans="2:40" s="1704" customFormat="1">
      <c r="B73" s="2205" t="str">
        <f>B42</f>
        <v>Description</v>
      </c>
      <c r="C73" s="2205"/>
      <c r="D73" s="2205"/>
      <c r="E73" s="3718" t="str">
        <f>HLOOKUP(select,translations!$A$76:$H$144,32,)</f>
        <v>Cultivation period (days)</v>
      </c>
      <c r="F73" s="2207" t="str">
        <f>HLOOKUP(select,translations!$A$76:$H$144,33,)</f>
        <v>Water regime</v>
      </c>
      <c r="G73" s="2207"/>
      <c r="H73" s="2207"/>
      <c r="I73" s="2208"/>
      <c r="J73" s="2208"/>
      <c r="K73" s="2208"/>
      <c r="L73" s="2209"/>
      <c r="M73" s="2209"/>
      <c r="N73" s="2210"/>
      <c r="O73" s="3698" t="str">
        <f>HLOOKUP(select,translations!$A$76:$H$144,36,)</f>
        <v>Organic amendment type (straw or other)</v>
      </c>
      <c r="P73" s="3698"/>
      <c r="Q73" s="3698"/>
      <c r="R73" s="3698"/>
      <c r="S73" s="2210"/>
      <c r="T73" s="2211" t="str">
        <f>O42</f>
        <v>Yield</v>
      </c>
      <c r="U73" s="2211"/>
      <c r="V73" s="2137"/>
      <c r="W73" s="3696" t="str">
        <f>P20</f>
        <v>Area (ha)</v>
      </c>
      <c r="X73" s="3696"/>
      <c r="Y73" s="3696"/>
      <c r="Z73" s="3696"/>
      <c r="AA73" s="2200"/>
      <c r="AB73" s="3697" t="str">
        <f>V20</f>
        <v>Total Emissions (tCO2-eq)</v>
      </c>
      <c r="AC73" s="3697"/>
      <c r="AD73" s="1982" t="str">
        <f>Z20</f>
        <v>Balance</v>
      </c>
      <c r="AF73" s="1937" t="str">
        <f>IF(Nlang=1,"",F73)</f>
        <v/>
      </c>
      <c r="AG73" s="1937"/>
      <c r="AH73" s="1937"/>
      <c r="AI73" s="1937"/>
      <c r="AJ73" s="1937"/>
      <c r="AK73" s="1937" t="str">
        <f>IF(Nlang=1,"",O73)</f>
        <v/>
      </c>
      <c r="AL73" s="1937"/>
      <c r="AM73" s="1937"/>
      <c r="AN73" s="1937"/>
    </row>
    <row r="74" spans="2:40" s="1704" customFormat="1" ht="12.6" customHeight="1">
      <c r="B74" s="2205"/>
      <c r="C74" s="2205"/>
      <c r="D74" s="2205"/>
      <c r="E74" s="3718"/>
      <c r="F74" s="2548" t="str">
        <f>HLOOKUP(select,translations!$A$76:$H$144,34,)</f>
        <v>During the cultivation period</v>
      </c>
      <c r="G74" s="2548"/>
      <c r="H74" s="2548"/>
      <c r="I74" s="2212" t="str">
        <f>HLOOKUP(select,translations!$A$76:$H$144,35,)</f>
        <v>Before the cultivation period</v>
      </c>
      <c r="J74" s="2212"/>
      <c r="K74" s="2212"/>
      <c r="L74" s="2212"/>
      <c r="M74" s="2212"/>
      <c r="N74" s="2210"/>
      <c r="O74" s="3698"/>
      <c r="P74" s="3698"/>
      <c r="Q74" s="3698"/>
      <c r="R74" s="3698"/>
      <c r="S74" s="2210"/>
      <c r="T74" s="2211" t="str">
        <f>O21</f>
        <v>(t/ha/yr)</v>
      </c>
      <c r="U74" s="2211"/>
      <c r="V74" s="2137"/>
      <c r="W74" s="2201" t="str">
        <f>P50</f>
        <v>Area (ha)</v>
      </c>
      <c r="X74" s="2604" t="str">
        <f>Q51</f>
        <v>Without</v>
      </c>
      <c r="Y74" s="2220"/>
      <c r="Z74" s="2202" t="str">
        <f>S51</f>
        <v>With</v>
      </c>
      <c r="AA74" s="2200"/>
      <c r="AB74" s="2202" t="str">
        <f>X74</f>
        <v>Without</v>
      </c>
      <c r="AC74" s="2202" t="str">
        <f>Z74</f>
        <v>With</v>
      </c>
      <c r="AD74" s="2203"/>
      <c r="AF74" s="1937" t="str">
        <f>IF(Nlang=1,"",F74)</f>
        <v/>
      </c>
      <c r="AG74" s="1937"/>
      <c r="AH74" s="1937" t="str">
        <f>IF(Nlang=1,"",I74)</f>
        <v/>
      </c>
      <c r="AI74" s="1937"/>
      <c r="AJ74" s="1937"/>
      <c r="AK74" s="1937"/>
      <c r="AL74" s="1937"/>
      <c r="AM74" s="1937"/>
      <c r="AN74" s="1937"/>
    </row>
    <row r="75" spans="2:40" s="1704" customFormat="1" ht="12.6" customHeight="1">
      <c r="B75" s="2213" t="str">
        <f>HLOOKUP(select,translations!$A$76:$H$144,39,)</f>
        <v>Rice after Deforestation</v>
      </c>
      <c r="C75" s="2213"/>
      <c r="D75" s="2213"/>
      <c r="E75" s="2084">
        <v>150</v>
      </c>
      <c r="F75" s="3693" t="s">
        <v>74</v>
      </c>
      <c r="G75" s="3693"/>
      <c r="H75" s="2206"/>
      <c r="I75" s="3710" t="s">
        <v>73</v>
      </c>
      <c r="J75" s="3710"/>
      <c r="K75" s="3710"/>
      <c r="L75" s="3710"/>
      <c r="M75" s="3710"/>
      <c r="N75" s="2210"/>
      <c r="O75" s="3693" t="s">
        <v>72</v>
      </c>
      <c r="P75" s="3693"/>
      <c r="Q75" s="3693"/>
      <c r="R75" s="3693"/>
      <c r="S75" s="2210"/>
      <c r="T75" s="3692"/>
      <c r="U75" s="3692"/>
      <c r="V75" s="2137"/>
      <c r="W75" s="2200">
        <f>'Irrigated Rice'!C32</f>
        <v>0</v>
      </c>
      <c r="X75" s="2200">
        <f>'Irrigated Rice'!D32</f>
        <v>0</v>
      </c>
      <c r="Y75" s="2200"/>
      <c r="Z75" s="2200">
        <f>'Irrigated Rice'!F32</f>
        <v>0</v>
      </c>
      <c r="AA75" s="2200"/>
      <c r="AB75" s="2204">
        <f>'Irrigated Rice'!N32</f>
        <v>0</v>
      </c>
      <c r="AC75" s="2204">
        <f>'Irrigated Rice'!O32</f>
        <v>0</v>
      </c>
      <c r="AD75" s="2204">
        <f>'Irrigated Rice'!P32</f>
        <v>0</v>
      </c>
      <c r="AF75" s="2653" t="str">
        <f>IF(Nlang=1,"",VLOOKUP(F75,'Name translation'!$A$96:$H$116,Nlang+1,))</f>
        <v/>
      </c>
      <c r="AG75" s="2653"/>
      <c r="AH75" s="2653" t="str">
        <f>IF(Nlang=1,"",VLOOKUP(I75,'Name translation'!$A$96:$H$116,Nlang+1,))</f>
        <v/>
      </c>
      <c r="AI75" s="2653"/>
      <c r="AJ75" s="2653"/>
      <c r="AK75" s="2653" t="str">
        <f>IF(Nlang=1,"",VLOOKUP(O75,'Name translation'!$A$96:$H$116,Nlang+1,))</f>
        <v/>
      </c>
      <c r="AL75" s="2653"/>
      <c r="AM75" s="2653"/>
      <c r="AN75" s="2653"/>
    </row>
    <row r="76" spans="2:40" s="1704" customFormat="1" ht="12.6" customHeight="1">
      <c r="B76" s="2213" t="str">
        <f>HLOOKUP(select,translations!$A$76:$H$144,40,)</f>
        <v>Converted to A/R</v>
      </c>
      <c r="C76" s="2214"/>
      <c r="D76" s="2214"/>
      <c r="E76" s="2084">
        <v>150</v>
      </c>
      <c r="F76" s="3693" t="s">
        <v>74</v>
      </c>
      <c r="G76" s="3693"/>
      <c r="H76" s="2206"/>
      <c r="I76" s="3710" t="s">
        <v>73</v>
      </c>
      <c r="J76" s="3710"/>
      <c r="K76" s="3710"/>
      <c r="L76" s="3710"/>
      <c r="M76" s="3710"/>
      <c r="N76" s="2210"/>
      <c r="O76" s="3693" t="s">
        <v>72</v>
      </c>
      <c r="P76" s="3693"/>
      <c r="Q76" s="3693"/>
      <c r="R76" s="3693"/>
      <c r="S76" s="2210"/>
      <c r="T76" s="3692"/>
      <c r="U76" s="3692"/>
      <c r="V76" s="2137"/>
      <c r="W76" s="2200">
        <f>'Irrigated Rice'!C33</f>
        <v>0</v>
      </c>
      <c r="X76" s="2200">
        <f>'Irrigated Rice'!D33</f>
        <v>0</v>
      </c>
      <c r="Y76" s="2200"/>
      <c r="Z76" s="2200">
        <f>'Irrigated Rice'!F33</f>
        <v>0</v>
      </c>
      <c r="AA76" s="2200"/>
      <c r="AB76" s="2204">
        <f>'Irrigated Rice'!N33</f>
        <v>0</v>
      </c>
      <c r="AC76" s="2204">
        <f>'Irrigated Rice'!O33</f>
        <v>0</v>
      </c>
      <c r="AD76" s="2204">
        <f>'Irrigated Rice'!P33</f>
        <v>0</v>
      </c>
      <c r="AF76" s="2653" t="str">
        <f>IF(Nlang=1,"",VLOOKUP(F76,'Name translation'!$A$96:$H$116,Nlang+1,))</f>
        <v/>
      </c>
      <c r="AG76" s="2653"/>
      <c r="AH76" s="2653" t="str">
        <f>IF(Nlang=1,"",VLOOKUP(I76,'Name translation'!$A$96:$H$116,Nlang+1,))</f>
        <v/>
      </c>
      <c r="AI76" s="2653"/>
      <c r="AJ76" s="2653"/>
      <c r="AK76" s="2653" t="str">
        <f>IF(Nlang=1,"",VLOOKUP(O76,'Name translation'!$A$96:$H$116,Nlang+1,))</f>
        <v/>
      </c>
      <c r="AL76" s="2653"/>
      <c r="AM76" s="2653"/>
      <c r="AN76" s="2653"/>
    </row>
    <row r="77" spans="2:40" s="1704" customFormat="1" ht="12.6" customHeight="1">
      <c r="B77" s="2213" t="str">
        <f>HLOOKUP(select,translations!$A$76:$H$144,41,)</f>
        <v>Rice after non-forest LU</v>
      </c>
      <c r="C77" s="2213"/>
      <c r="D77" s="2213"/>
      <c r="E77" s="2084">
        <v>150</v>
      </c>
      <c r="F77" s="3693" t="s">
        <v>74</v>
      </c>
      <c r="G77" s="3693"/>
      <c r="H77" s="2206"/>
      <c r="I77" s="3710" t="s">
        <v>73</v>
      </c>
      <c r="J77" s="3710"/>
      <c r="K77" s="3710"/>
      <c r="L77" s="3710"/>
      <c r="M77" s="3710"/>
      <c r="N77" s="2210"/>
      <c r="O77" s="3693" t="s">
        <v>72</v>
      </c>
      <c r="P77" s="3693"/>
      <c r="Q77" s="3693"/>
      <c r="R77" s="3693"/>
      <c r="S77" s="2210"/>
      <c r="T77" s="3692"/>
      <c r="U77" s="3692"/>
      <c r="V77" s="2137"/>
      <c r="W77" s="2200">
        <f>'Irrigated Rice'!C34</f>
        <v>0</v>
      </c>
      <c r="X77" s="2200">
        <f>'Irrigated Rice'!D34</f>
        <v>0</v>
      </c>
      <c r="Y77" s="2200"/>
      <c r="Z77" s="2200">
        <f>'Irrigated Rice'!F34</f>
        <v>0</v>
      </c>
      <c r="AA77" s="2200"/>
      <c r="AB77" s="2204">
        <f>'Irrigated Rice'!N34</f>
        <v>0</v>
      </c>
      <c r="AC77" s="2204">
        <f>'Irrigated Rice'!O34</f>
        <v>0</v>
      </c>
      <c r="AD77" s="2204">
        <f>'Irrigated Rice'!P34</f>
        <v>0</v>
      </c>
      <c r="AF77" s="2653" t="str">
        <f>IF(Nlang=1,"",VLOOKUP(F77,'Name translation'!$A$96:$H$116,Nlang+1,))</f>
        <v/>
      </c>
      <c r="AG77" s="2653"/>
      <c r="AH77" s="2653" t="str">
        <f>IF(Nlang=1,"",VLOOKUP(I77,'Name translation'!$A$96:$H$116,Nlang+1,))</f>
        <v/>
      </c>
      <c r="AI77" s="2653"/>
      <c r="AJ77" s="2653"/>
      <c r="AK77" s="2653" t="str">
        <f>IF(Nlang=1,"",VLOOKUP(O77,'Name translation'!$A$96:$H$116,Nlang+1,))</f>
        <v/>
      </c>
      <c r="AL77" s="2653"/>
      <c r="AM77" s="2653"/>
      <c r="AN77" s="2653"/>
    </row>
    <row r="78" spans="2:40" s="1704" customFormat="1" ht="12.6" customHeight="1">
      <c r="B78" s="2213" t="str">
        <f>HLOOKUP(select,translations!$A$76:$H$144,42,)</f>
        <v>Converted to OLUC</v>
      </c>
      <c r="C78" s="2214"/>
      <c r="D78" s="2214"/>
      <c r="E78" s="2084">
        <v>150</v>
      </c>
      <c r="F78" s="3693" t="s">
        <v>74</v>
      </c>
      <c r="G78" s="3693"/>
      <c r="H78" s="2206"/>
      <c r="I78" s="3710" t="s">
        <v>73</v>
      </c>
      <c r="J78" s="3710"/>
      <c r="K78" s="3710"/>
      <c r="L78" s="3710"/>
      <c r="M78" s="3710"/>
      <c r="N78" s="2210"/>
      <c r="O78" s="3693" t="s">
        <v>72</v>
      </c>
      <c r="P78" s="3693"/>
      <c r="Q78" s="3693"/>
      <c r="R78" s="3693"/>
      <c r="S78" s="2210"/>
      <c r="T78" s="3692"/>
      <c r="U78" s="3692"/>
      <c r="V78" s="2137"/>
      <c r="W78" s="2200">
        <f>'Irrigated Rice'!C35</f>
        <v>0</v>
      </c>
      <c r="X78" s="2200">
        <f>'Irrigated Rice'!D35</f>
        <v>0</v>
      </c>
      <c r="Y78" s="2200"/>
      <c r="Z78" s="2200">
        <f>'Irrigated Rice'!F35</f>
        <v>0</v>
      </c>
      <c r="AA78" s="2200"/>
      <c r="AB78" s="2204">
        <f>'Irrigated Rice'!N35</f>
        <v>0</v>
      </c>
      <c r="AC78" s="2204">
        <f>'Irrigated Rice'!O35</f>
        <v>0</v>
      </c>
      <c r="AD78" s="2204">
        <f>'Irrigated Rice'!P35</f>
        <v>0</v>
      </c>
      <c r="AF78" s="2653" t="str">
        <f>IF(Nlang=1,"",VLOOKUP(F78,'Name translation'!$A$96:$H$116,Nlang+1,))</f>
        <v/>
      </c>
      <c r="AG78" s="2653"/>
      <c r="AH78" s="2653" t="str">
        <f>IF(Nlang=1,"",VLOOKUP(I78,'Name translation'!$A$96:$H$116,Nlang+1,))</f>
        <v/>
      </c>
      <c r="AI78" s="2653"/>
      <c r="AJ78" s="2653"/>
      <c r="AK78" s="2653" t="str">
        <f>IF(Nlang=1,"",VLOOKUP(O78,'Name translation'!$A$96:$H$116,Nlang+1,))</f>
        <v/>
      </c>
      <c r="AL78" s="2653"/>
      <c r="AM78" s="2653"/>
      <c r="AN78" s="2653"/>
    </row>
    <row r="79" spans="2:40" s="1704" customFormat="1" ht="12.6" customHeight="1">
      <c r="O79" s="1709"/>
      <c r="Q79" s="1709"/>
      <c r="R79" s="1709"/>
      <c r="V79" s="1709"/>
      <c r="W79" s="1709"/>
      <c r="X79" s="1709"/>
      <c r="Y79" s="1709"/>
      <c r="Z79" s="1709"/>
    </row>
    <row r="80" spans="2:40" s="1704" customFormat="1">
      <c r="B80" s="2183" t="str">
        <f>HLOOKUP(select,translations!$A$76:$H$144,37,)</f>
        <v>3.3.2. Flooded rice systems remaining flooded rice systems (total area must remain constant)</v>
      </c>
      <c r="C80" s="2183"/>
      <c r="D80" s="2183"/>
      <c r="E80" s="2198"/>
      <c r="F80" s="2198"/>
      <c r="G80" s="2198"/>
      <c r="H80" s="2198"/>
      <c r="I80" s="2198"/>
      <c r="J80" s="2198"/>
      <c r="K80" s="2198"/>
      <c r="L80" s="2198"/>
      <c r="M80" s="2198"/>
      <c r="N80" s="2198"/>
      <c r="O80" s="2199"/>
      <c r="P80" s="2198"/>
      <c r="Q80" s="2199"/>
      <c r="R80" s="2199"/>
      <c r="S80" s="2198"/>
      <c r="T80" s="2592" t="str">
        <f>HLOOKUP(select,translations!$A$76:$H$144,4,)</f>
        <v>Yield?</v>
      </c>
      <c r="U80" s="2198"/>
      <c r="V80" s="2199"/>
      <c r="W80" s="2199"/>
      <c r="X80" s="2199"/>
      <c r="Y80" s="2199"/>
      <c r="Z80" s="2199"/>
      <c r="AA80" s="2199"/>
      <c r="AB80" s="2199"/>
      <c r="AC80" s="2199"/>
      <c r="AD80" s="2199"/>
      <c r="AF80" s="1937"/>
    </row>
    <row r="81" spans="2:40" s="1704" customFormat="1">
      <c r="B81" s="2205" t="str">
        <f>B50</f>
        <v>Fill with your description</v>
      </c>
      <c r="C81" s="2205"/>
      <c r="D81" s="2205"/>
      <c r="E81" s="3718" t="str">
        <f>E73</f>
        <v>Cultivation period (days)</v>
      </c>
      <c r="F81" s="2207" t="str">
        <f>F73</f>
        <v>Water regime</v>
      </c>
      <c r="G81" s="2207"/>
      <c r="H81" s="2207"/>
      <c r="I81" s="2208"/>
      <c r="J81" s="2208"/>
      <c r="K81" s="2208"/>
      <c r="L81" s="2209"/>
      <c r="M81" s="2209"/>
      <c r="N81" s="2210"/>
      <c r="O81" s="3699" t="str">
        <f>O73</f>
        <v>Organic amendment type (straw or other)</v>
      </c>
      <c r="P81" s="3699"/>
      <c r="Q81" s="3699"/>
      <c r="R81" s="3699"/>
      <c r="S81" s="2210"/>
      <c r="T81" s="2211" t="str">
        <f>T73</f>
        <v>Yield</v>
      </c>
      <c r="U81" s="2211"/>
      <c r="V81" s="2137"/>
      <c r="W81" s="3696" t="str">
        <f>W73</f>
        <v>Area (ha)</v>
      </c>
      <c r="X81" s="3696"/>
      <c r="Y81" s="3696"/>
      <c r="Z81" s="3696"/>
      <c r="AA81" s="2200"/>
      <c r="AB81" s="3697" t="str">
        <f>AB73</f>
        <v>Total Emissions (tCO2-eq)</v>
      </c>
      <c r="AC81" s="3697"/>
      <c r="AD81" s="1982" t="str">
        <f>AD73</f>
        <v>Balance</v>
      </c>
      <c r="AF81" s="1937" t="str">
        <f>IF(Nlang=1,"",F81)</f>
        <v/>
      </c>
      <c r="AG81" s="1937"/>
      <c r="AH81" s="1937"/>
      <c r="AI81" s="1937"/>
      <c r="AJ81" s="1937"/>
      <c r="AK81" s="1937" t="str">
        <f>IF(Nlang=1,"",O81)</f>
        <v/>
      </c>
      <c r="AL81" s="1937"/>
      <c r="AM81" s="1937"/>
      <c r="AN81" s="1937"/>
    </row>
    <row r="82" spans="2:40" s="1704" customFormat="1">
      <c r="B82" s="2205"/>
      <c r="C82" s="2205"/>
      <c r="D82" s="2205"/>
      <c r="E82" s="3718"/>
      <c r="F82" s="2548" t="str">
        <f>F74</f>
        <v>During the cultivation period</v>
      </c>
      <c r="G82" s="2548"/>
      <c r="H82" s="2548"/>
      <c r="I82" s="2212" t="str">
        <f>I74</f>
        <v>Before the cultivation period</v>
      </c>
      <c r="J82" s="2212"/>
      <c r="K82" s="2212"/>
      <c r="L82" s="2212"/>
      <c r="M82" s="2212"/>
      <c r="N82" s="2210"/>
      <c r="O82" s="3699"/>
      <c r="P82" s="3699"/>
      <c r="Q82" s="3699"/>
      <c r="R82" s="3699"/>
      <c r="S82" s="2210"/>
      <c r="T82" s="2211" t="str">
        <f>T74</f>
        <v>(t/ha/yr)</v>
      </c>
      <c r="U82" s="2211"/>
      <c r="V82" s="2137"/>
      <c r="W82" s="2201" t="str">
        <f>W73</f>
        <v>Area (ha)</v>
      </c>
      <c r="X82" s="2604" t="str">
        <f>X74</f>
        <v>Without</v>
      </c>
      <c r="Y82" s="2202" t="s">
        <v>91</v>
      </c>
      <c r="Z82" s="2202" t="str">
        <f>Z74</f>
        <v>With</v>
      </c>
      <c r="AA82" s="2202" t="s">
        <v>91</v>
      </c>
      <c r="AB82" s="2202" t="str">
        <f>AB74</f>
        <v>Without</v>
      </c>
      <c r="AC82" s="2202" t="str">
        <f>AC74</f>
        <v>With</v>
      </c>
      <c r="AD82" s="2203"/>
      <c r="AF82" s="1937" t="str">
        <f>IF(Nlang=1,"",F82)</f>
        <v/>
      </c>
      <c r="AG82" s="1937"/>
      <c r="AH82" s="1937" t="str">
        <f>IF(Nlang=1,"",I82)</f>
        <v/>
      </c>
      <c r="AI82" s="1937"/>
      <c r="AJ82" s="1937"/>
      <c r="AK82" s="1937"/>
      <c r="AL82" s="1937"/>
      <c r="AM82" s="1937"/>
      <c r="AN82" s="1937"/>
    </row>
    <row r="83" spans="2:40" s="1704" customFormat="1">
      <c r="B83" s="2174" t="s">
        <v>1521</v>
      </c>
      <c r="C83" s="2205"/>
      <c r="D83" s="2205"/>
      <c r="E83" s="2084">
        <v>150</v>
      </c>
      <c r="F83" s="3693" t="s">
        <v>74</v>
      </c>
      <c r="G83" s="3693"/>
      <c r="H83" s="2206"/>
      <c r="I83" s="3710" t="s">
        <v>73</v>
      </c>
      <c r="J83" s="3710"/>
      <c r="K83" s="3710"/>
      <c r="L83" s="3710"/>
      <c r="M83" s="3710"/>
      <c r="N83" s="2210"/>
      <c r="O83" s="3693" t="s">
        <v>72</v>
      </c>
      <c r="P83" s="3693"/>
      <c r="Q83" s="3693"/>
      <c r="R83" s="3693"/>
      <c r="S83" s="2210"/>
      <c r="T83" s="3692"/>
      <c r="U83" s="3692"/>
      <c r="V83" s="2137"/>
      <c r="W83" s="2084">
        <v>0</v>
      </c>
      <c r="X83" s="2084">
        <v>0</v>
      </c>
      <c r="Y83" s="2113" t="s">
        <v>1498</v>
      </c>
      <c r="Z83" s="2084">
        <v>0</v>
      </c>
      <c r="AA83" s="2113" t="s">
        <v>1498</v>
      </c>
      <c r="AB83" s="2204">
        <f>'Irrigated Rice'!N36</f>
        <v>0</v>
      </c>
      <c r="AC83" s="2204">
        <f>'Irrigated Rice'!O36</f>
        <v>0</v>
      </c>
      <c r="AD83" s="2204">
        <f>'Irrigated Rice'!P36</f>
        <v>0</v>
      </c>
      <c r="AF83" s="2653" t="str">
        <f>IF(Nlang=1,"",VLOOKUP(F83,'Name translation'!$A$96:$H$116,Nlang+1,))</f>
        <v/>
      </c>
      <c r="AG83" s="2653"/>
      <c r="AH83" s="2653" t="str">
        <f>IF(Nlang=1,"",VLOOKUP(I83,'Name translation'!$A$96:$H$116,Nlang+1,))</f>
        <v/>
      </c>
      <c r="AI83" s="2653"/>
      <c r="AJ83" s="2653"/>
      <c r="AK83" s="2653" t="str">
        <f>IF(Nlang=1,"",VLOOKUP(O83,'Name translation'!$A$96:$H$116,Nlang+1,))</f>
        <v/>
      </c>
      <c r="AL83" s="2653"/>
      <c r="AM83" s="2653"/>
      <c r="AN83" s="2653"/>
    </row>
    <row r="84" spans="2:40" s="1704" customFormat="1">
      <c r="B84" s="2174" t="s">
        <v>1522</v>
      </c>
      <c r="C84" s="2205"/>
      <c r="D84" s="2205"/>
      <c r="E84" s="2084">
        <v>150</v>
      </c>
      <c r="F84" s="3693" t="s">
        <v>74</v>
      </c>
      <c r="G84" s="3693"/>
      <c r="H84" s="2206"/>
      <c r="I84" s="3710" t="s">
        <v>73</v>
      </c>
      <c r="J84" s="3710"/>
      <c r="K84" s="3710"/>
      <c r="L84" s="3710"/>
      <c r="M84" s="3710"/>
      <c r="N84" s="2210"/>
      <c r="O84" s="3693" t="s">
        <v>72</v>
      </c>
      <c r="P84" s="3693"/>
      <c r="Q84" s="3693"/>
      <c r="R84" s="3693"/>
      <c r="S84" s="2210"/>
      <c r="T84" s="3692"/>
      <c r="U84" s="3692"/>
      <c r="V84" s="2137"/>
      <c r="W84" s="2084">
        <v>0</v>
      </c>
      <c r="X84" s="2084">
        <v>0</v>
      </c>
      <c r="Y84" s="2113" t="s">
        <v>1498</v>
      </c>
      <c r="Z84" s="2084">
        <v>0</v>
      </c>
      <c r="AA84" s="2113" t="s">
        <v>1498</v>
      </c>
      <c r="AB84" s="2204">
        <f>'Irrigated Rice'!N37</f>
        <v>0</v>
      </c>
      <c r="AC84" s="2204">
        <f>'Irrigated Rice'!O37</f>
        <v>0</v>
      </c>
      <c r="AD84" s="2204">
        <f>'Irrigated Rice'!P37</f>
        <v>0</v>
      </c>
      <c r="AF84" s="2653" t="str">
        <f>IF(Nlang=1,"",VLOOKUP(F84,'Name translation'!$A$96:$H$116,Nlang+1,))</f>
        <v/>
      </c>
      <c r="AG84" s="2653"/>
      <c r="AH84" s="2653" t="str">
        <f>IF(Nlang=1,"",VLOOKUP(I84,'Name translation'!$A$96:$H$116,Nlang+1,))</f>
        <v/>
      </c>
      <c r="AI84" s="2653"/>
      <c r="AJ84" s="2653"/>
      <c r="AK84" s="2653" t="str">
        <f>IF(Nlang=1,"",VLOOKUP(O84,'Name translation'!$A$96:$H$116,Nlang+1,))</f>
        <v/>
      </c>
      <c r="AL84" s="2653"/>
      <c r="AM84" s="2653"/>
      <c r="AN84" s="2653"/>
    </row>
    <row r="85" spans="2:40" s="1704" customFormat="1">
      <c r="B85" s="2174" t="s">
        <v>1523</v>
      </c>
      <c r="C85" s="2205"/>
      <c r="D85" s="2205"/>
      <c r="E85" s="2084">
        <v>150</v>
      </c>
      <c r="F85" s="3693" t="s">
        <v>74</v>
      </c>
      <c r="G85" s="3693"/>
      <c r="H85" s="2206"/>
      <c r="I85" s="3710" t="s">
        <v>73</v>
      </c>
      <c r="J85" s="3710"/>
      <c r="K85" s="3710"/>
      <c r="L85" s="3710"/>
      <c r="M85" s="3710"/>
      <c r="N85" s="2210"/>
      <c r="O85" s="3693" t="s">
        <v>72</v>
      </c>
      <c r="P85" s="3693"/>
      <c r="Q85" s="3693"/>
      <c r="R85" s="3693"/>
      <c r="S85" s="2210"/>
      <c r="T85" s="3692"/>
      <c r="U85" s="3692"/>
      <c r="V85" s="2137"/>
      <c r="W85" s="2084">
        <v>0</v>
      </c>
      <c r="X85" s="2084">
        <v>0</v>
      </c>
      <c r="Y85" s="2113" t="s">
        <v>1498</v>
      </c>
      <c r="Z85" s="2084">
        <v>0</v>
      </c>
      <c r="AA85" s="2113" t="s">
        <v>1498</v>
      </c>
      <c r="AB85" s="2204">
        <f>'Irrigated Rice'!N38</f>
        <v>0</v>
      </c>
      <c r="AC85" s="2204">
        <f>'Irrigated Rice'!O38</f>
        <v>0</v>
      </c>
      <c r="AD85" s="2204">
        <f>'Irrigated Rice'!P38</f>
        <v>0</v>
      </c>
      <c r="AF85" s="2653" t="str">
        <f>IF(Nlang=1,"",VLOOKUP(F85,'Name translation'!$A$96:$H$116,Nlang+1,))</f>
        <v/>
      </c>
      <c r="AG85" s="2653"/>
      <c r="AH85" s="2653" t="str">
        <f>IF(Nlang=1,"",VLOOKUP(I85,'Name translation'!$A$96:$H$116,Nlang+1,))</f>
        <v/>
      </c>
      <c r="AI85" s="2653"/>
      <c r="AJ85" s="2653"/>
      <c r="AK85" s="2653" t="str">
        <f>IF(Nlang=1,"",VLOOKUP(O85,'Name translation'!$A$96:$H$116,Nlang+1,))</f>
        <v/>
      </c>
      <c r="AL85" s="2653"/>
      <c r="AM85" s="2653"/>
      <c r="AN85" s="2653"/>
    </row>
    <row r="86" spans="2:40" s="1704" customFormat="1">
      <c r="B86" s="2174" t="s">
        <v>1524</v>
      </c>
      <c r="C86" s="2205"/>
      <c r="D86" s="2205"/>
      <c r="E86" s="2084">
        <v>150</v>
      </c>
      <c r="F86" s="3693" t="s">
        <v>74</v>
      </c>
      <c r="G86" s="3693"/>
      <c r="H86" s="2206"/>
      <c r="I86" s="3710" t="s">
        <v>73</v>
      </c>
      <c r="J86" s="3710"/>
      <c r="K86" s="3710"/>
      <c r="L86" s="3710"/>
      <c r="M86" s="3710"/>
      <c r="N86" s="2210"/>
      <c r="O86" s="3693" t="s">
        <v>72</v>
      </c>
      <c r="P86" s="3693"/>
      <c r="Q86" s="3693"/>
      <c r="R86" s="3693"/>
      <c r="S86" s="2210"/>
      <c r="T86" s="3692"/>
      <c r="U86" s="3692"/>
      <c r="V86" s="2137"/>
      <c r="W86" s="2084">
        <v>0</v>
      </c>
      <c r="X86" s="2084">
        <v>0</v>
      </c>
      <c r="Y86" s="2113" t="s">
        <v>1498</v>
      </c>
      <c r="Z86" s="2084">
        <v>0</v>
      </c>
      <c r="AA86" s="2113" t="s">
        <v>1498</v>
      </c>
      <c r="AB86" s="2204">
        <f>'Irrigated Rice'!N39</f>
        <v>0</v>
      </c>
      <c r="AC86" s="2204">
        <f>'Irrigated Rice'!O39</f>
        <v>0</v>
      </c>
      <c r="AD86" s="2204">
        <f>'Irrigated Rice'!P39</f>
        <v>0</v>
      </c>
      <c r="AF86" s="2653" t="str">
        <f>IF(Nlang=1,"",VLOOKUP(F86,'Name translation'!$A$96:$H$116,Nlang+1,))</f>
        <v/>
      </c>
      <c r="AG86" s="2653"/>
      <c r="AH86" s="2653" t="str">
        <f>IF(Nlang=1,"",VLOOKUP(I86,'Name translation'!$A$96:$H$116,Nlang+1,))</f>
        <v/>
      </c>
      <c r="AI86" s="2653"/>
      <c r="AJ86" s="2653"/>
      <c r="AK86" s="2653" t="str">
        <f>IF(Nlang=1,"",VLOOKUP(O86,'Name translation'!$A$96:$H$116,Nlang+1,))</f>
        <v/>
      </c>
      <c r="AL86" s="2653"/>
      <c r="AM86" s="2653"/>
      <c r="AN86" s="2653"/>
    </row>
    <row r="87" spans="2:40" s="1704" customFormat="1">
      <c r="B87" s="2174" t="s">
        <v>1525</v>
      </c>
      <c r="C87" s="2205"/>
      <c r="D87" s="2205"/>
      <c r="E87" s="2084">
        <v>150</v>
      </c>
      <c r="F87" s="3693" t="s">
        <v>74</v>
      </c>
      <c r="G87" s="3693"/>
      <c r="H87" s="2206"/>
      <c r="I87" s="3710" t="s">
        <v>73</v>
      </c>
      <c r="J87" s="3710"/>
      <c r="K87" s="3710"/>
      <c r="L87" s="3710"/>
      <c r="M87" s="3710"/>
      <c r="N87" s="2210"/>
      <c r="O87" s="3693" t="s">
        <v>72</v>
      </c>
      <c r="P87" s="3693"/>
      <c r="Q87" s="3693"/>
      <c r="R87" s="3693"/>
      <c r="S87" s="2210"/>
      <c r="T87" s="3692"/>
      <c r="U87" s="3692"/>
      <c r="V87" s="2137"/>
      <c r="W87" s="2084">
        <v>0</v>
      </c>
      <c r="X87" s="2084">
        <v>0</v>
      </c>
      <c r="Y87" s="2113" t="s">
        <v>1498</v>
      </c>
      <c r="Z87" s="2084">
        <v>0</v>
      </c>
      <c r="AA87" s="2113" t="s">
        <v>1498</v>
      </c>
      <c r="AB87" s="2204">
        <f>'Irrigated Rice'!N40</f>
        <v>0</v>
      </c>
      <c r="AC87" s="2204">
        <f>'Irrigated Rice'!O40</f>
        <v>0</v>
      </c>
      <c r="AD87" s="2204">
        <f>'Irrigated Rice'!P40</f>
        <v>0</v>
      </c>
      <c r="AF87" s="2653" t="str">
        <f>IF(Nlang=1,"",VLOOKUP(F87,'Name translation'!$A$96:$H$116,Nlang+1,))</f>
        <v/>
      </c>
      <c r="AG87" s="2653"/>
      <c r="AH87" s="2653" t="str">
        <f>IF(Nlang=1,"",VLOOKUP(I87,'Name translation'!$A$96:$H$116,Nlang+1,))</f>
        <v/>
      </c>
      <c r="AI87" s="2653"/>
      <c r="AJ87" s="2653"/>
      <c r="AK87" s="2653" t="str">
        <f>IF(Nlang=1,"",VLOOKUP(O87,'Name translation'!$A$96:$H$116,Nlang+1,))</f>
        <v/>
      </c>
      <c r="AL87" s="2653"/>
      <c r="AM87" s="2653"/>
      <c r="AN87" s="2653"/>
    </row>
    <row r="88" spans="2:40" s="1704" customFormat="1">
      <c r="B88" s="2174" t="s">
        <v>1526</v>
      </c>
      <c r="C88" s="2205"/>
      <c r="D88" s="2205"/>
      <c r="E88" s="2084">
        <v>150</v>
      </c>
      <c r="F88" s="3693" t="s">
        <v>74</v>
      </c>
      <c r="G88" s="3693"/>
      <c r="H88" s="2206"/>
      <c r="I88" s="3710" t="s">
        <v>73</v>
      </c>
      <c r="J88" s="3710"/>
      <c r="K88" s="3710"/>
      <c r="L88" s="3710"/>
      <c r="M88" s="3710"/>
      <c r="N88" s="2210"/>
      <c r="O88" s="3693" t="s">
        <v>72</v>
      </c>
      <c r="P88" s="3693"/>
      <c r="Q88" s="3693"/>
      <c r="R88" s="3693"/>
      <c r="S88" s="2210"/>
      <c r="T88" s="3692"/>
      <c r="U88" s="3692"/>
      <c r="V88" s="2137"/>
      <c r="W88" s="2084">
        <v>0</v>
      </c>
      <c r="X88" s="2084">
        <v>0</v>
      </c>
      <c r="Y88" s="2113" t="s">
        <v>1498</v>
      </c>
      <c r="Z88" s="2084">
        <v>0</v>
      </c>
      <c r="AA88" s="2113" t="s">
        <v>1498</v>
      </c>
      <c r="AB88" s="2204">
        <f>'Irrigated Rice'!N41</f>
        <v>0</v>
      </c>
      <c r="AC88" s="2204">
        <f>'Irrigated Rice'!O41</f>
        <v>0</v>
      </c>
      <c r="AD88" s="2204">
        <f>'Irrigated Rice'!P41</f>
        <v>0</v>
      </c>
      <c r="AF88" s="2653" t="str">
        <f>IF(Nlang=1,"",VLOOKUP(F88,'Name translation'!$A$96:$H$116,Nlang+1,))</f>
        <v/>
      </c>
      <c r="AG88" s="2653"/>
      <c r="AH88" s="2653" t="str">
        <f>IF(Nlang=1,"",VLOOKUP(I88,'Name translation'!$A$96:$H$116,Nlang+1,))</f>
        <v/>
      </c>
      <c r="AI88" s="2653"/>
      <c r="AJ88" s="2653"/>
      <c r="AK88" s="2653" t="str">
        <f>IF(Nlang=1,"",VLOOKUP(O88,'Name translation'!$A$96:$H$116,Nlang+1,))</f>
        <v/>
      </c>
      <c r="AL88" s="2653"/>
      <c r="AM88" s="2653"/>
      <c r="AN88" s="2653"/>
    </row>
    <row r="89" spans="2:40" s="1704" customFormat="1">
      <c r="B89" s="2174" t="s">
        <v>1527</v>
      </c>
      <c r="C89" s="2205"/>
      <c r="D89" s="2205"/>
      <c r="E89" s="2084">
        <v>150</v>
      </c>
      <c r="F89" s="3693" t="s">
        <v>74</v>
      </c>
      <c r="G89" s="3693"/>
      <c r="H89" s="2206"/>
      <c r="I89" s="3710" t="s">
        <v>73</v>
      </c>
      <c r="J89" s="3710"/>
      <c r="K89" s="3710"/>
      <c r="L89" s="3710"/>
      <c r="M89" s="3710"/>
      <c r="N89" s="2210"/>
      <c r="O89" s="3693" t="s">
        <v>72</v>
      </c>
      <c r="P89" s="3693"/>
      <c r="Q89" s="3693"/>
      <c r="R89" s="3693"/>
      <c r="S89" s="2210"/>
      <c r="T89" s="3692"/>
      <c r="U89" s="3692"/>
      <c r="V89" s="2137"/>
      <c r="W89" s="2084">
        <v>0</v>
      </c>
      <c r="X89" s="2084">
        <v>0</v>
      </c>
      <c r="Y89" s="2113" t="s">
        <v>1498</v>
      </c>
      <c r="Z89" s="2084">
        <v>0</v>
      </c>
      <c r="AA89" s="2113" t="s">
        <v>1498</v>
      </c>
      <c r="AB89" s="2204">
        <f>'Irrigated Rice'!N42</f>
        <v>0</v>
      </c>
      <c r="AC89" s="2204">
        <f>'Irrigated Rice'!O42</f>
        <v>0</v>
      </c>
      <c r="AD89" s="2204">
        <f>'Irrigated Rice'!P42</f>
        <v>0</v>
      </c>
      <c r="AF89" s="2653" t="str">
        <f>IF(Nlang=1,"",VLOOKUP(F89,'Name translation'!$A$96:$H$116,Nlang+1,))</f>
        <v/>
      </c>
      <c r="AG89" s="2653"/>
      <c r="AH89" s="2653" t="str">
        <f>IF(Nlang=1,"",VLOOKUP(I89,'Name translation'!$A$96:$H$116,Nlang+1,))</f>
        <v/>
      </c>
      <c r="AI89" s="2653"/>
      <c r="AJ89" s="2653"/>
      <c r="AK89" s="2653" t="str">
        <f>IF(Nlang=1,"",VLOOKUP(O89,'Name translation'!$A$96:$H$116,Nlang+1,))</f>
        <v/>
      </c>
      <c r="AL89" s="2653"/>
      <c r="AM89" s="2653"/>
      <c r="AN89" s="2653"/>
    </row>
    <row r="90" spans="2:40" s="1704" customFormat="1">
      <c r="B90" s="2174" t="s">
        <v>1528</v>
      </c>
      <c r="C90" s="2205"/>
      <c r="D90" s="2205"/>
      <c r="E90" s="2084">
        <v>150</v>
      </c>
      <c r="F90" s="3693" t="s">
        <v>74</v>
      </c>
      <c r="G90" s="3693"/>
      <c r="H90" s="2206"/>
      <c r="I90" s="3710" t="s">
        <v>73</v>
      </c>
      <c r="J90" s="3710"/>
      <c r="K90" s="3710"/>
      <c r="L90" s="3710"/>
      <c r="M90" s="3710"/>
      <c r="N90" s="2210"/>
      <c r="O90" s="3693" t="s">
        <v>72</v>
      </c>
      <c r="P90" s="3693"/>
      <c r="Q90" s="3693"/>
      <c r="R90" s="3693"/>
      <c r="S90" s="2210"/>
      <c r="T90" s="3692"/>
      <c r="U90" s="3692"/>
      <c r="V90" s="2137"/>
      <c r="W90" s="2084">
        <v>0</v>
      </c>
      <c r="X90" s="2084">
        <v>0</v>
      </c>
      <c r="Y90" s="2113" t="s">
        <v>1498</v>
      </c>
      <c r="Z90" s="2084">
        <v>0</v>
      </c>
      <c r="AA90" s="2113" t="s">
        <v>1498</v>
      </c>
      <c r="AB90" s="2204">
        <f>'Irrigated Rice'!N43</f>
        <v>0</v>
      </c>
      <c r="AC90" s="2204">
        <f>'Irrigated Rice'!O43</f>
        <v>0</v>
      </c>
      <c r="AD90" s="2204">
        <f>'Irrigated Rice'!P43</f>
        <v>0</v>
      </c>
      <c r="AF90" s="2653" t="str">
        <f>IF(Nlang=1,"",VLOOKUP(F90,'Name translation'!$A$96:$H$116,Nlang+1,))</f>
        <v/>
      </c>
      <c r="AG90" s="2653"/>
      <c r="AH90" s="2653" t="str">
        <f>IF(Nlang=1,"",VLOOKUP(I90,'Name translation'!$A$96:$H$116,Nlang+1,))</f>
        <v/>
      </c>
      <c r="AI90" s="2653"/>
      <c r="AJ90" s="2653"/>
      <c r="AK90" s="2653" t="str">
        <f>IF(Nlang=1,"",VLOOKUP(O90,'Name translation'!$A$96:$H$116,Nlang+1,))</f>
        <v/>
      </c>
      <c r="AL90" s="2653"/>
      <c r="AM90" s="2653"/>
      <c r="AN90" s="2653"/>
    </row>
    <row r="91" spans="2:40" s="1704" customFormat="1">
      <c r="B91" s="2174" t="s">
        <v>1529</v>
      </c>
      <c r="C91" s="2205"/>
      <c r="D91" s="2205"/>
      <c r="E91" s="2084">
        <v>150</v>
      </c>
      <c r="F91" s="3693" t="s">
        <v>74</v>
      </c>
      <c r="G91" s="3693"/>
      <c r="H91" s="2206"/>
      <c r="I91" s="3710" t="s">
        <v>73</v>
      </c>
      <c r="J91" s="3710"/>
      <c r="K91" s="3710"/>
      <c r="L91" s="3710"/>
      <c r="M91" s="3710"/>
      <c r="N91" s="2210"/>
      <c r="O91" s="3693" t="s">
        <v>72</v>
      </c>
      <c r="P91" s="3693"/>
      <c r="Q91" s="3693"/>
      <c r="R91" s="3693"/>
      <c r="S91" s="2210"/>
      <c r="T91" s="3692"/>
      <c r="U91" s="3692"/>
      <c r="V91" s="2137"/>
      <c r="W91" s="2084">
        <v>0</v>
      </c>
      <c r="X91" s="2084">
        <v>0</v>
      </c>
      <c r="Y91" s="2113" t="s">
        <v>1498</v>
      </c>
      <c r="Z91" s="2084">
        <v>0</v>
      </c>
      <c r="AA91" s="2113" t="s">
        <v>1498</v>
      </c>
      <c r="AB91" s="2204">
        <f>'Irrigated Rice'!N44</f>
        <v>0</v>
      </c>
      <c r="AC91" s="2204">
        <f>'Irrigated Rice'!O44</f>
        <v>0</v>
      </c>
      <c r="AD91" s="2204">
        <f>'Irrigated Rice'!P44</f>
        <v>0</v>
      </c>
      <c r="AF91" s="2653" t="str">
        <f>IF(Nlang=1,"",VLOOKUP(F91,'Name translation'!$A$96:$H$116,Nlang+1,))</f>
        <v/>
      </c>
      <c r="AG91" s="2653"/>
      <c r="AH91" s="2653" t="str">
        <f>IF(Nlang=1,"",VLOOKUP(I91,'Name translation'!$A$96:$H$116,Nlang+1,))</f>
        <v/>
      </c>
      <c r="AI91" s="2653"/>
      <c r="AJ91" s="2653"/>
      <c r="AK91" s="2653" t="str">
        <f>IF(Nlang=1,"",VLOOKUP(O91,'Name translation'!$A$96:$H$116,Nlang+1,))</f>
        <v/>
      </c>
      <c r="AL91" s="2653"/>
      <c r="AM91" s="2653"/>
      <c r="AN91" s="2653"/>
    </row>
    <row r="92" spans="2:40" s="1704" customFormat="1">
      <c r="B92" s="2174" t="s">
        <v>1530</v>
      </c>
      <c r="C92" s="2205"/>
      <c r="D92" s="2205"/>
      <c r="E92" s="2084">
        <v>150</v>
      </c>
      <c r="F92" s="3693" t="s">
        <v>74</v>
      </c>
      <c r="G92" s="3693"/>
      <c r="H92" s="2206"/>
      <c r="I92" s="3710" t="s">
        <v>73</v>
      </c>
      <c r="J92" s="3710"/>
      <c r="K92" s="3710"/>
      <c r="L92" s="3710"/>
      <c r="M92" s="3710"/>
      <c r="N92" s="2210"/>
      <c r="O92" s="3693" t="s">
        <v>72</v>
      </c>
      <c r="P92" s="3693"/>
      <c r="Q92" s="3693"/>
      <c r="R92" s="3693"/>
      <c r="S92" s="2210"/>
      <c r="T92" s="3692"/>
      <c r="U92" s="3692"/>
      <c r="V92" s="2137"/>
      <c r="W92" s="2084">
        <v>0</v>
      </c>
      <c r="X92" s="2084">
        <v>0</v>
      </c>
      <c r="Y92" s="2113" t="s">
        <v>1498</v>
      </c>
      <c r="Z92" s="2084">
        <v>0</v>
      </c>
      <c r="AA92" s="2113" t="s">
        <v>1498</v>
      </c>
      <c r="AB92" s="2204">
        <f>'Irrigated Rice'!N45</f>
        <v>0</v>
      </c>
      <c r="AC92" s="2204">
        <f>'Irrigated Rice'!O45</f>
        <v>0</v>
      </c>
      <c r="AD92" s="2204">
        <f>'Irrigated Rice'!P45</f>
        <v>0</v>
      </c>
      <c r="AF92" s="2653" t="str">
        <f>IF(Nlang=1,"",VLOOKUP(F92,'Name translation'!$A$96:$H$116,Nlang+1,))</f>
        <v/>
      </c>
      <c r="AG92" s="2653"/>
      <c r="AH92" s="2653" t="str">
        <f>IF(Nlang=1,"",VLOOKUP(I92,'Name translation'!$A$96:$H$116,Nlang+1,))</f>
        <v/>
      </c>
      <c r="AI92" s="2653"/>
      <c r="AJ92" s="2653"/>
      <c r="AK92" s="2653" t="str">
        <f>IF(Nlang=1,"",VLOOKUP(O92,'Name translation'!$A$96:$H$116,Nlang+1,))</f>
        <v/>
      </c>
      <c r="AL92" s="2653"/>
      <c r="AM92" s="2653"/>
      <c r="AN92" s="2653"/>
    </row>
    <row r="93" spans="2:40" s="1704" customFormat="1">
      <c r="B93" s="2137"/>
      <c r="C93" s="2137"/>
      <c r="D93" s="2137"/>
      <c r="E93" s="2137"/>
      <c r="F93" s="2137"/>
      <c r="G93" s="2137"/>
      <c r="H93" s="2137"/>
      <c r="I93" s="2137"/>
      <c r="J93" s="2137"/>
      <c r="K93" s="2137"/>
      <c r="L93" s="2137"/>
      <c r="M93" s="2137"/>
      <c r="N93" s="2137"/>
      <c r="O93" s="2200"/>
      <c r="P93" s="2137"/>
      <c r="Q93" s="2200"/>
      <c r="R93" s="2200"/>
      <c r="S93" s="2137"/>
      <c r="T93" s="2200"/>
      <c r="U93" s="2200"/>
      <c r="V93" s="2613" t="str">
        <f>O62</f>
        <v>Total (ha)</v>
      </c>
      <c r="W93" s="2200">
        <f>'Irrigated Rice'!C46</f>
        <v>0</v>
      </c>
      <c r="X93" s="2200">
        <f>'Irrigated Rice'!D46</f>
        <v>0</v>
      </c>
      <c r="Y93" s="2200"/>
      <c r="Z93" s="2200">
        <f>'Irrigated Rice'!F46</f>
        <v>0</v>
      </c>
      <c r="AA93" s="2216" t="str">
        <f>'Irrigated Rice'!G46</f>
        <v/>
      </c>
      <c r="AB93" s="2200"/>
      <c r="AC93" s="2200"/>
      <c r="AD93" s="2200"/>
    </row>
    <row r="94" spans="2:40" s="1704" customFormat="1">
      <c r="O94" s="1709"/>
      <c r="P94" s="2135" t="str">
        <f>J63</f>
        <v>* Note concerning dynamics of change : "D" corresponds to default/linear, "I" to immediate and "E" to exponential (Please refer to the guidelines)</v>
      </c>
      <c r="Q94" s="2133"/>
      <c r="R94" s="2133"/>
      <c r="S94" s="2133"/>
      <c r="T94" s="2133"/>
      <c r="U94" s="2133"/>
      <c r="V94" s="2133"/>
      <c r="W94" s="2133"/>
      <c r="X94" s="2133"/>
      <c r="Y94" s="2133"/>
      <c r="Z94" s="2133"/>
      <c r="AA94" s="2133"/>
      <c r="AB94" s="2134"/>
      <c r="AC94" s="2134"/>
      <c r="AD94" s="2133"/>
    </row>
    <row r="95" spans="2:40" s="1704" customFormat="1">
      <c r="O95" s="1709"/>
      <c r="Q95" s="1709"/>
      <c r="R95" s="1709"/>
      <c r="V95" s="1709"/>
      <c r="W95" s="1709"/>
      <c r="X95" s="1709"/>
      <c r="Y95" s="1709"/>
      <c r="Z95" s="1709"/>
    </row>
    <row r="96" spans="2:40" s="1704" customFormat="1">
      <c r="O96" s="1709"/>
      <c r="T96" s="1709"/>
      <c r="U96" s="1709"/>
      <c r="X96" s="2671" t="str">
        <f>HLOOKUP(select,translations!$A$76:$H$144,38,)</f>
        <v>Total Flooded Rice Systems</v>
      </c>
      <c r="Y96" s="2250"/>
      <c r="Z96" s="2250"/>
      <c r="AA96" s="2251"/>
      <c r="AB96" s="2252">
        <f>'Irrigated Rice'!N47</f>
        <v>0</v>
      </c>
      <c r="AC96" s="2252">
        <f>'Irrigated Rice'!O47</f>
        <v>0</v>
      </c>
      <c r="AD96" s="2252">
        <f>'Irrigated Rice'!P47</f>
        <v>0</v>
      </c>
    </row>
    <row r="97" spans="15:26" s="1704" customFormat="1">
      <c r="O97" s="1709"/>
      <c r="Q97" s="1709"/>
      <c r="R97" s="1709"/>
      <c r="V97" s="1709"/>
      <c r="W97" s="1709"/>
      <c r="X97" s="1709"/>
      <c r="Y97" s="1709"/>
      <c r="Z97" s="1709"/>
    </row>
    <row r="98" spans="15:26" s="1704" customFormat="1">
      <c r="O98" s="1709"/>
      <c r="Q98" s="1709"/>
      <c r="R98" s="1709"/>
      <c r="V98" s="1709"/>
      <c r="W98" s="1709"/>
      <c r="X98" s="1709"/>
      <c r="Y98" s="1709"/>
      <c r="Z98" s="1709"/>
    </row>
    <row r="99" spans="15:26" s="1704" customFormat="1">
      <c r="O99" s="1709"/>
      <c r="Q99" s="1709"/>
      <c r="R99" s="1709"/>
      <c r="V99" s="1709"/>
      <c r="W99" s="1709"/>
      <c r="X99" s="1709"/>
      <c r="Y99" s="1709"/>
      <c r="Z99" s="1709"/>
    </row>
    <row r="100" spans="15:26" s="1704" customFormat="1">
      <c r="O100" s="1709"/>
      <c r="Q100" s="1709"/>
      <c r="R100" s="1709"/>
      <c r="V100" s="1709"/>
      <c r="W100" s="1709"/>
      <c r="X100" s="1709"/>
      <c r="Y100" s="1709"/>
      <c r="Z100" s="1709"/>
    </row>
    <row r="101" spans="15:26" s="1704" customFormat="1">
      <c r="O101" s="1709"/>
      <c r="Q101" s="1709"/>
      <c r="R101" s="1709"/>
      <c r="V101" s="1709"/>
      <c r="W101" s="1709"/>
      <c r="X101" s="1709"/>
      <c r="Y101" s="1709"/>
      <c r="Z101" s="1709"/>
    </row>
    <row r="102" spans="15:26" s="1704" customFormat="1">
      <c r="O102" s="1709"/>
      <c r="Q102" s="1709"/>
      <c r="R102" s="1709"/>
      <c r="V102" s="1709"/>
      <c r="W102" s="1709"/>
      <c r="X102" s="1709"/>
      <c r="Y102" s="1709"/>
      <c r="Z102" s="1709"/>
    </row>
    <row r="103" spans="15:26" s="1704" customFormat="1">
      <c r="O103" s="1709"/>
      <c r="Q103" s="1709"/>
      <c r="R103" s="1709"/>
      <c r="V103" s="1709"/>
      <c r="W103" s="1709"/>
      <c r="X103" s="1709"/>
      <c r="Y103" s="1709"/>
      <c r="Z103" s="1709"/>
    </row>
    <row r="104" spans="15:26" s="1704" customFormat="1">
      <c r="O104" s="1709"/>
      <c r="Q104" s="1709"/>
      <c r="R104" s="1709"/>
      <c r="V104" s="1709"/>
      <c r="W104" s="1709"/>
      <c r="X104" s="1709"/>
      <c r="Y104" s="1709"/>
      <c r="Z104" s="1709"/>
    </row>
    <row r="105" spans="15:26" s="1704" customFormat="1">
      <c r="O105" s="1709"/>
      <c r="Q105" s="1709"/>
      <c r="R105" s="1709"/>
      <c r="V105" s="1709"/>
      <c r="W105" s="1709"/>
      <c r="X105" s="1709"/>
      <c r="Y105" s="1709"/>
      <c r="Z105" s="1709"/>
    </row>
    <row r="106" spans="15:26" s="1704" customFormat="1">
      <c r="O106" s="1709"/>
      <c r="Q106" s="1709"/>
      <c r="R106" s="1709"/>
      <c r="V106" s="1709"/>
      <c r="W106" s="1709"/>
      <c r="X106" s="1709"/>
      <c r="Y106" s="1709"/>
      <c r="Z106" s="1709"/>
    </row>
    <row r="107" spans="15:26" s="1704" customFormat="1">
      <c r="O107" s="1709"/>
      <c r="Q107" s="1709"/>
      <c r="R107" s="1709"/>
      <c r="V107" s="1709"/>
      <c r="W107" s="1709"/>
      <c r="X107" s="1709"/>
      <c r="Y107" s="1709"/>
      <c r="Z107" s="1709"/>
    </row>
    <row r="108" spans="15:26" s="1704" customFormat="1">
      <c r="O108" s="1709"/>
      <c r="Q108" s="1709"/>
      <c r="R108" s="1709"/>
      <c r="V108" s="1709"/>
      <c r="W108" s="1709"/>
      <c r="X108" s="1709"/>
      <c r="Y108" s="1709"/>
      <c r="Z108" s="1709"/>
    </row>
    <row r="109" spans="15:26" s="1704" customFormat="1">
      <c r="O109" s="1709"/>
      <c r="Q109" s="1709"/>
      <c r="R109" s="1709"/>
      <c r="V109" s="1709"/>
      <c r="W109" s="1709"/>
      <c r="X109" s="1709"/>
      <c r="Y109" s="1709"/>
      <c r="Z109" s="1709"/>
    </row>
    <row r="110" spans="15:26" s="1704" customFormat="1">
      <c r="O110" s="1709"/>
      <c r="Q110" s="1709"/>
      <c r="R110" s="1709"/>
      <c r="V110" s="1709"/>
      <c r="W110" s="1709"/>
      <c r="X110" s="1709"/>
      <c r="Y110" s="1709"/>
      <c r="Z110" s="1709"/>
    </row>
    <row r="111" spans="15:26" s="1704" customFormat="1">
      <c r="O111" s="1709"/>
      <c r="Q111" s="1709"/>
      <c r="R111" s="1709"/>
      <c r="V111" s="1709"/>
      <c r="W111" s="1709"/>
      <c r="X111" s="1709"/>
      <c r="Y111" s="1709"/>
      <c r="Z111" s="1709"/>
    </row>
    <row r="112" spans="15:26" s="1704" customFormat="1">
      <c r="O112" s="1709"/>
      <c r="Q112" s="1709"/>
      <c r="R112" s="1709"/>
      <c r="V112" s="1709"/>
      <c r="W112" s="1709"/>
      <c r="X112" s="1709"/>
      <c r="Y112" s="1709"/>
      <c r="Z112" s="1709"/>
    </row>
    <row r="113" spans="2:30" s="1704" customFormat="1">
      <c r="O113" s="1709"/>
      <c r="Q113" s="1709"/>
      <c r="R113" s="1709"/>
      <c r="V113" s="1709"/>
      <c r="W113" s="1709"/>
      <c r="X113" s="1709"/>
      <c r="Y113" s="1709"/>
      <c r="Z113" s="1709"/>
    </row>
    <row r="114" spans="2:30" s="1704" customFormat="1">
      <c r="O114" s="1709"/>
      <c r="Q114" s="1709"/>
      <c r="R114" s="1709"/>
      <c r="V114" s="1709"/>
      <c r="W114" s="1709"/>
      <c r="X114" s="1709"/>
      <c r="Y114" s="1709"/>
      <c r="Z114" s="1709"/>
    </row>
    <row r="115" spans="2:30" s="1704" customFormat="1">
      <c r="O115" s="1709"/>
      <c r="Q115" s="1709"/>
      <c r="R115" s="1709"/>
      <c r="V115" s="1709"/>
      <c r="W115" s="1709"/>
      <c r="X115" s="1709"/>
      <c r="Y115" s="1709"/>
      <c r="Z115" s="1709"/>
    </row>
    <row r="116" spans="2:30" s="1704" customFormat="1">
      <c r="O116" s="1709"/>
      <c r="Q116" s="1709"/>
      <c r="R116" s="1709"/>
      <c r="V116" s="1709"/>
      <c r="W116" s="1709"/>
      <c r="X116" s="1709"/>
      <c r="Y116" s="1709"/>
      <c r="Z116" s="1709"/>
    </row>
    <row r="117" spans="2:30" s="1704" customFormat="1" ht="15.75">
      <c r="B117" s="2508" t="str">
        <f>B7</f>
        <v>3.1. Annual systems (to be used also for  pluri-annual systems such as  cotton or sugarcane)</v>
      </c>
      <c r="C117" s="2526"/>
      <c r="D117" s="2526"/>
      <c r="E117" s="2527"/>
      <c r="F117" s="2527"/>
      <c r="G117" s="2527"/>
      <c r="H117" s="2527"/>
      <c r="I117" s="2527"/>
      <c r="J117" s="2527"/>
      <c r="K117" s="2527"/>
      <c r="L117" s="2527"/>
      <c r="M117" s="2527"/>
      <c r="N117" s="2527"/>
      <c r="O117" s="2528"/>
      <c r="P117" s="2528"/>
      <c r="Q117" s="2528"/>
      <c r="R117" s="2528"/>
      <c r="S117" s="2528"/>
      <c r="T117" s="2528"/>
      <c r="U117" s="2528"/>
      <c r="V117" s="2528"/>
      <c r="W117" s="2528"/>
      <c r="X117" s="2528"/>
    </row>
    <row r="118" spans="2:30" s="1704" customFormat="1">
      <c r="O118" s="1709"/>
    </row>
    <row r="119" spans="2:30" s="1704" customFormat="1">
      <c r="B119" s="1755"/>
      <c r="C119" s="1755"/>
      <c r="D119" s="1755"/>
      <c r="E119" s="1756"/>
      <c r="F119" s="1755"/>
      <c r="G119" s="1755"/>
      <c r="H119" s="1755"/>
      <c r="I119" s="1755"/>
      <c r="J119" s="1755"/>
      <c r="K119" s="1755"/>
      <c r="L119" s="1755"/>
      <c r="M119" s="1755"/>
      <c r="N119" s="1755"/>
      <c r="O119" s="2381"/>
      <c r="P119" s="2616"/>
      <c r="Q119" s="3559"/>
      <c r="R119" s="3559"/>
      <c r="S119" s="3559"/>
      <c r="T119" s="3559"/>
      <c r="U119" s="3559"/>
      <c r="V119" s="3559"/>
      <c r="W119" s="3559"/>
      <c r="X119" s="3559"/>
    </row>
    <row r="120" spans="2:30" s="1704" customFormat="1">
      <c r="B120" s="1755"/>
      <c r="C120" s="1755"/>
      <c r="D120" s="1755"/>
      <c r="E120" s="1755"/>
      <c r="F120" s="1755"/>
      <c r="G120" s="1755"/>
      <c r="H120" s="1755"/>
      <c r="I120" s="1755"/>
      <c r="J120" s="1755"/>
      <c r="K120" s="1755"/>
      <c r="L120" s="1755"/>
      <c r="M120" s="1755"/>
      <c r="N120" s="1755"/>
      <c r="O120" s="2381"/>
      <c r="P120" s="2616"/>
      <c r="Q120" s="3559"/>
      <c r="R120" s="3559"/>
      <c r="S120" s="3559"/>
      <c r="T120" s="3559"/>
      <c r="U120" s="3559"/>
      <c r="V120" s="3559"/>
      <c r="W120" s="3559"/>
      <c r="X120" s="3559"/>
    </row>
    <row r="121" spans="2:30" s="1704" customFormat="1">
      <c r="B121" s="1755"/>
      <c r="C121" s="1755"/>
      <c r="D121" s="1755"/>
      <c r="E121" s="1755"/>
      <c r="F121" s="1755"/>
      <c r="G121" s="1755"/>
      <c r="H121" s="1755"/>
      <c r="I121" s="1755"/>
      <c r="J121" s="1755"/>
      <c r="K121" s="1755"/>
      <c r="L121" s="1755"/>
      <c r="M121" s="1755"/>
      <c r="N121" s="1755"/>
      <c r="O121" s="2381"/>
      <c r="P121" s="2616"/>
      <c r="Q121" s="3559"/>
      <c r="R121" s="3559"/>
      <c r="S121" s="3559"/>
      <c r="T121" s="3559"/>
      <c r="U121" s="3559"/>
      <c r="V121" s="3559"/>
      <c r="W121" s="3559"/>
      <c r="X121" s="3559"/>
    </row>
    <row r="122" spans="2:30" s="1704" customFormat="1">
      <c r="B122" s="1804" t="str">
        <f>'2.LUC'!B96</f>
        <v>Use this part only if you want to refine the analysis with Tier 2 coefficients.</v>
      </c>
      <c r="C122" s="2151"/>
      <c r="D122" s="2151"/>
      <c r="E122" s="1726"/>
      <c r="F122" s="1727"/>
      <c r="G122" s="1726"/>
      <c r="H122" s="1726"/>
      <c r="I122" s="1726"/>
      <c r="J122" s="1755"/>
      <c r="K122" s="1755"/>
      <c r="L122" s="1755"/>
      <c r="M122" s="1755"/>
      <c r="N122" s="1755"/>
      <c r="O122" s="2381"/>
      <c r="P122" s="2616"/>
      <c r="Q122" s="3559"/>
      <c r="R122" s="3559"/>
      <c r="S122" s="3559"/>
      <c r="T122" s="3559"/>
      <c r="U122" s="3559"/>
      <c r="V122" s="3559"/>
      <c r="W122" s="3559"/>
      <c r="X122" s="3559"/>
    </row>
    <row r="123" spans="2:30" s="1704" customFormat="1">
      <c r="B123" s="3725" t="str">
        <f>'2.LUC'!$B$97</f>
        <v>(default values are provided for your information only, while EX-ACT will use Tier 2 values automatically wherever specified)</v>
      </c>
      <c r="C123" s="3725"/>
      <c r="D123" s="3725"/>
      <c r="E123" s="3725"/>
      <c r="F123" s="3725"/>
      <c r="G123" s="3725"/>
      <c r="H123" s="3725"/>
      <c r="I123" s="3725"/>
      <c r="J123" s="3725"/>
      <c r="K123" s="3725"/>
      <c r="L123" s="3725"/>
      <c r="M123" s="3725"/>
      <c r="N123" s="3725"/>
      <c r="O123" s="3725"/>
      <c r="P123" s="2616"/>
      <c r="Q123" s="3559"/>
      <c r="R123" s="3559"/>
      <c r="S123" s="3559"/>
      <c r="T123" s="3559"/>
      <c r="U123" s="3559"/>
      <c r="V123" s="3559"/>
      <c r="W123" s="3559"/>
      <c r="X123" s="3559"/>
    </row>
    <row r="124" spans="2:30" s="1704" customFormat="1">
      <c r="B124" s="3725"/>
      <c r="C124" s="3725"/>
      <c r="D124" s="3725"/>
      <c r="E124" s="3725"/>
      <c r="F124" s="3725"/>
      <c r="G124" s="3725"/>
      <c r="H124" s="3725"/>
      <c r="I124" s="3725"/>
      <c r="J124" s="3725"/>
      <c r="K124" s="3725"/>
      <c r="L124" s="3725"/>
      <c r="M124" s="3725"/>
      <c r="N124" s="3725"/>
      <c r="O124" s="3725"/>
      <c r="P124" s="2616"/>
      <c r="Q124" s="3559"/>
      <c r="R124" s="3559"/>
      <c r="S124" s="3559"/>
      <c r="T124" s="3559"/>
      <c r="U124" s="3559"/>
      <c r="V124" s="3559"/>
      <c r="W124" s="3559"/>
      <c r="X124" s="3559"/>
    </row>
    <row r="125" spans="2:30" s="1704" customFormat="1">
      <c r="O125" s="1709"/>
    </row>
    <row r="126" spans="2:30" s="1704" customFormat="1" ht="12.75" customHeight="1">
      <c r="B126" s="1756" t="str">
        <f>HLOOKUP(select,translations!$A$76:$H$144,43,)</f>
        <v>Systems</v>
      </c>
      <c r="C126" s="1755"/>
      <c r="D126" s="1755"/>
      <c r="E126" s="1755"/>
      <c r="F126" s="3452" t="str">
        <f>HLOOKUP(select,translations!$A$76:$H$144,44,)</f>
        <v>Rates of soil C sequestration</v>
      </c>
      <c r="G126" s="2175"/>
      <c r="H126" s="1755"/>
      <c r="I126" s="1755"/>
      <c r="J126" s="3689" t="str">
        <f>HLOOKUP(select,translations!$A$624:$H$645,4,)</f>
        <v>Minor season crop/ intercrop</v>
      </c>
      <c r="K126" s="3689"/>
      <c r="L126" s="3689"/>
      <c r="M126" s="3689"/>
      <c r="N126" s="3689"/>
      <c r="O126" s="3689"/>
      <c r="P126" s="2616"/>
      <c r="Q126" s="3452" t="str">
        <f>HLOOKUP(select,translations!$A$76:$H$144,45,)</f>
        <v>Residues/Biomass available for burning</v>
      </c>
      <c r="R126" s="1755"/>
      <c r="S126" s="1869"/>
      <c r="T126" s="1755"/>
      <c r="U126" s="2841" t="str">
        <f>HLOOKUP(select,translations!$A$76:$H$144,47,)</f>
        <v>(t Dry Matter per ha)</v>
      </c>
      <c r="V126" s="2841"/>
      <c r="W126" s="2841"/>
      <c r="X126" s="3437"/>
      <c r="AB126" s="1937" t="str">
        <f>'2.LUC'!V46</f>
        <v xml:space="preserve"> </v>
      </c>
    </row>
    <row r="127" spans="2:30" s="1704" customFormat="1" ht="12.75" customHeight="1">
      <c r="B127" s="1755"/>
      <c r="C127" s="1755"/>
      <c r="D127" s="1755"/>
      <c r="E127" s="1755"/>
      <c r="F127" s="3716" t="str">
        <f>HLOOKUP(select,translations!$A$76:$H$144,46,)</f>
        <v xml:space="preserve"> (t CO2/ha/yr)</v>
      </c>
      <c r="G127" s="3716"/>
      <c r="H127" s="1755"/>
      <c r="I127" s="1755"/>
      <c r="J127" s="3451" t="str">
        <f>HLOOKUP(select,translations!$A$624:$H$645,5,)</f>
        <v>Crop type</v>
      </c>
      <c r="K127" s="3450"/>
      <c r="L127" s="3690" t="str">
        <f>HLOOKUP(select,translations!$A$76:$H$144,11,)</f>
        <v>Yield</v>
      </c>
      <c r="M127" s="3690"/>
      <c r="N127" s="3450"/>
      <c r="O127" s="3688" t="str">
        <f>HLOOKUP(select,translations!$A$624:$H$645,2,)</f>
        <v>Residue management</v>
      </c>
      <c r="P127" s="2616"/>
      <c r="Q127" s="3691" t="str">
        <f>HLOOKUP(select,translations!$A$624:$H$645,3,)</f>
        <v>Main season crop</v>
      </c>
      <c r="R127" s="3691"/>
      <c r="S127" s="3691"/>
      <c r="T127" s="3691"/>
      <c r="U127" s="3437"/>
      <c r="V127" s="1866" t="str">
        <f>J126</f>
        <v>Minor season crop/ intercrop</v>
      </c>
      <c r="W127" s="1866"/>
      <c r="X127" s="1866"/>
      <c r="AB127" s="1937" t="str">
        <f>IF(Nlang=1,"",J127)</f>
        <v/>
      </c>
      <c r="AD127" s="1937" t="str">
        <f>IF(Nlang=1,"",O127)</f>
        <v/>
      </c>
    </row>
    <row r="128" spans="2:30" s="1704" customFormat="1">
      <c r="B128" s="2614" t="str">
        <f>HLOOKUP(select,translations!$A$76:$H$144,48,)</f>
        <v>Annual systems from (or to) other LU</v>
      </c>
      <c r="C128" s="1755"/>
      <c r="D128" s="1755"/>
      <c r="E128" s="1755"/>
      <c r="F128" s="2128" t="str">
        <f>'2.LUC'!E101</f>
        <v>Default</v>
      </c>
      <c r="G128" s="1746" t="str">
        <f>'2.LUC'!F101</f>
        <v>Tier 2</v>
      </c>
      <c r="H128" s="1755"/>
      <c r="I128" s="1755"/>
      <c r="J128" s="3437"/>
      <c r="K128" s="3437"/>
      <c r="L128" s="3691" t="str">
        <f>HLOOKUP(select,translations!$A$76:$H$144,63,)</f>
        <v>(t/ha/yr)</v>
      </c>
      <c r="M128" s="3691"/>
      <c r="N128" s="3437"/>
      <c r="O128" s="3688"/>
      <c r="P128" s="2616"/>
      <c r="Q128" s="3437" t="str">
        <f>F128</f>
        <v>Default</v>
      </c>
      <c r="R128" s="3691" t="str">
        <f>G128</f>
        <v>Tier 2</v>
      </c>
      <c r="S128" s="3691"/>
      <c r="T128" s="3691"/>
      <c r="U128" s="3437"/>
      <c r="V128" s="1755" t="str">
        <f>F128</f>
        <v>Default</v>
      </c>
      <c r="W128" s="3437" t="str">
        <f>G128</f>
        <v>Tier 2</v>
      </c>
      <c r="X128" s="3437"/>
    </row>
    <row r="129" spans="2:30" s="1704" customFormat="1">
      <c r="B129" s="2514" t="str">
        <f>B13</f>
        <v>Annual after Deforestation</v>
      </c>
      <c r="C129" s="2549"/>
      <c r="D129" s="2549"/>
      <c r="E129" s="2549"/>
      <c r="F129" s="2550">
        <f>MAX(Annual!P9:T9)</f>
        <v>0</v>
      </c>
      <c r="G129" s="2118"/>
      <c r="H129" s="1755"/>
      <c r="I129" s="1755"/>
      <c r="J129" s="3610" t="s">
        <v>562</v>
      </c>
      <c r="K129" s="3437"/>
      <c r="L129" s="3692"/>
      <c r="M129" s="3692"/>
      <c r="N129" s="3437"/>
      <c r="O129" s="3610" t="s">
        <v>4</v>
      </c>
      <c r="P129" s="2616"/>
      <c r="Q129" s="3485" t="e">
        <f>Annual!G63</f>
        <v>#N/A</v>
      </c>
      <c r="R129" s="3686"/>
      <c r="S129" s="3686"/>
      <c r="T129" s="3686"/>
      <c r="U129" s="3437"/>
      <c r="V129" s="3485" t="e">
        <f>Annual!Q63</f>
        <v>#N/A</v>
      </c>
      <c r="W129" s="3438"/>
      <c r="X129" s="3437"/>
      <c r="AB129" s="2653" t="str">
        <f>IF(Nlang=1,"",VLOOKUP(J129,translations!$B$633:$H$648,Nlang,))</f>
        <v/>
      </c>
      <c r="AD129" s="2653" t="str">
        <f>IF(Nlang=1,"",VLOOKUP(O129,translations!$B$633:$H$647,Nlang,))</f>
        <v/>
      </c>
    </row>
    <row r="130" spans="2:30" s="1704" customFormat="1">
      <c r="B130" s="2514" t="str">
        <f>B14</f>
        <v>Converted to A/R</v>
      </c>
      <c r="C130" s="2549"/>
      <c r="D130" s="2549"/>
      <c r="E130" s="2549"/>
      <c r="F130" s="2550">
        <f>MAX(Annual!P10:T10)</f>
        <v>0</v>
      </c>
      <c r="G130" s="2118"/>
      <c r="H130" s="1755"/>
      <c r="I130" s="1755"/>
      <c r="J130" s="3610" t="s">
        <v>562</v>
      </c>
      <c r="K130" s="3437"/>
      <c r="L130" s="3692"/>
      <c r="M130" s="3692"/>
      <c r="N130" s="3437"/>
      <c r="O130" s="3610" t="s">
        <v>4</v>
      </c>
      <c r="P130" s="2616"/>
      <c r="Q130" s="3485" t="e">
        <f>Annual!G64</f>
        <v>#N/A</v>
      </c>
      <c r="R130" s="3686"/>
      <c r="S130" s="3686"/>
      <c r="T130" s="3686"/>
      <c r="U130" s="3437"/>
      <c r="V130" s="3485" t="e">
        <f>Annual!Q64</f>
        <v>#N/A</v>
      </c>
      <c r="W130" s="3438"/>
      <c r="X130" s="3437"/>
      <c r="AB130" s="2653" t="str">
        <f>IF(Nlang=1,"",VLOOKUP(J130,translations!$B$633:$H$648,Nlang,))</f>
        <v/>
      </c>
      <c r="AD130" s="2653" t="str">
        <f>IF(Nlang=1,"",VLOOKUP(O130,translations!$B$633:$H$647,Nlang,))</f>
        <v/>
      </c>
    </row>
    <row r="131" spans="2:30" s="1704" customFormat="1">
      <c r="B131" s="2514" t="str">
        <f>B15</f>
        <v>Annual after non-forest LU</v>
      </c>
      <c r="C131" s="2549"/>
      <c r="D131" s="2549"/>
      <c r="E131" s="2549"/>
      <c r="F131" s="2550">
        <f>MAX(Annual!P11:T11)</f>
        <v>0</v>
      </c>
      <c r="G131" s="2118"/>
      <c r="H131" s="1755"/>
      <c r="I131" s="1755"/>
      <c r="J131" s="3610" t="s">
        <v>562</v>
      </c>
      <c r="K131" s="3437"/>
      <c r="L131" s="3692"/>
      <c r="M131" s="3692"/>
      <c r="N131" s="3437"/>
      <c r="O131" s="3610" t="s">
        <v>4</v>
      </c>
      <c r="P131" s="2616"/>
      <c r="Q131" s="3485" t="e">
        <f>Annual!G65</f>
        <v>#N/A</v>
      </c>
      <c r="R131" s="3686"/>
      <c r="S131" s="3686"/>
      <c r="T131" s="3686"/>
      <c r="U131" s="3437"/>
      <c r="V131" s="3485" t="e">
        <f>Annual!Q65</f>
        <v>#N/A</v>
      </c>
      <c r="W131" s="3438"/>
      <c r="X131" s="3437"/>
      <c r="AB131" s="2653" t="str">
        <f>IF(Nlang=1,"",VLOOKUP(J131,translations!$B$633:$H$648,Nlang,))</f>
        <v/>
      </c>
      <c r="AD131" s="2653" t="str">
        <f>IF(Nlang=1,"",VLOOKUP(O131,translations!$B$633:$H$647,Nlang,))</f>
        <v/>
      </c>
    </row>
    <row r="132" spans="2:30" s="1704" customFormat="1">
      <c r="B132" s="2514" t="str">
        <f>B16</f>
        <v>Converted to OLUC</v>
      </c>
      <c r="C132" s="2549"/>
      <c r="D132" s="2549"/>
      <c r="E132" s="2549"/>
      <c r="F132" s="2550">
        <f>MAX(Annual!P12:T12)</f>
        <v>0</v>
      </c>
      <c r="G132" s="2118"/>
      <c r="H132" s="1755"/>
      <c r="I132" s="1755"/>
      <c r="J132" s="3610" t="s">
        <v>562</v>
      </c>
      <c r="K132" s="3437"/>
      <c r="L132" s="3692"/>
      <c r="M132" s="3692"/>
      <c r="N132" s="3437"/>
      <c r="O132" s="3610" t="s">
        <v>4</v>
      </c>
      <c r="P132" s="2616"/>
      <c r="Q132" s="3485" t="e">
        <f>Annual!G66</f>
        <v>#N/A</v>
      </c>
      <c r="R132" s="3686"/>
      <c r="S132" s="3686"/>
      <c r="T132" s="3686"/>
      <c r="U132" s="3437"/>
      <c r="V132" s="3485" t="e">
        <f>Annual!Q66</f>
        <v>#N/A</v>
      </c>
      <c r="W132" s="3438"/>
      <c r="X132" s="3437"/>
      <c r="AB132" s="2653" t="str">
        <f>IF(Nlang=1,"",VLOOKUP(J132,translations!$B$633:$H$648,Nlang,))</f>
        <v/>
      </c>
      <c r="AD132" s="2653" t="str">
        <f>IF(Nlang=1,"",VLOOKUP(O132,translations!$B$633:$H$647,Nlang,))</f>
        <v/>
      </c>
    </row>
    <row r="133" spans="2:30" s="1704" customFormat="1">
      <c r="B133" s="2614" t="str">
        <f>HLOOKUP(select,translations!$A$76:$H$144,49,)</f>
        <v xml:space="preserve">Annual systems remaining annual systems </v>
      </c>
      <c r="C133" s="1755"/>
      <c r="D133" s="1755"/>
      <c r="E133" s="1755"/>
      <c r="F133" s="1755"/>
      <c r="G133" s="1755"/>
      <c r="H133" s="1755"/>
      <c r="I133" s="1755"/>
      <c r="J133" s="1755"/>
      <c r="K133" s="3437"/>
      <c r="L133" s="3437"/>
      <c r="M133" s="1755"/>
      <c r="N133" s="3437"/>
      <c r="O133" s="3437"/>
      <c r="P133" s="2616"/>
      <c r="Q133" s="2550"/>
      <c r="R133" s="1755"/>
      <c r="S133" s="1755"/>
      <c r="T133" s="1755"/>
      <c r="U133" s="3437"/>
      <c r="V133" s="2550"/>
      <c r="W133" s="3437"/>
      <c r="X133" s="3437"/>
    </row>
    <row r="134" spans="2:30" s="1704" customFormat="1">
      <c r="B134" s="2549" t="str">
        <f t="shared" ref="B134:B143" si="2">B22</f>
        <v>description 1</v>
      </c>
      <c r="C134" s="2549"/>
      <c r="D134" s="2549"/>
      <c r="E134" s="2549"/>
      <c r="F134" s="2550">
        <f>MAX(Annual!P13:T13)</f>
        <v>0</v>
      </c>
      <c r="G134" s="2118"/>
      <c r="H134" s="1755"/>
      <c r="I134" s="1755"/>
      <c r="J134" s="3610" t="s">
        <v>562</v>
      </c>
      <c r="K134" s="3437"/>
      <c r="L134" s="3692"/>
      <c r="M134" s="3692"/>
      <c r="N134" s="3437"/>
      <c r="O134" s="3610" t="s">
        <v>4</v>
      </c>
      <c r="P134" s="2616"/>
      <c r="Q134" s="3485" t="e">
        <f>Annual!G67</f>
        <v>#N/A</v>
      </c>
      <c r="R134" s="3686"/>
      <c r="S134" s="3686"/>
      <c r="T134" s="3686"/>
      <c r="U134" s="3437"/>
      <c r="V134" s="3485" t="e">
        <f>Annual!Q67</f>
        <v>#N/A</v>
      </c>
      <c r="W134" s="3438"/>
      <c r="X134" s="3437"/>
      <c r="AB134" s="2653" t="str">
        <f>IF(Nlang=1,"",VLOOKUP(J134,translations!$B$633:$H$648,Nlang,))</f>
        <v/>
      </c>
      <c r="AD134" s="2653" t="str">
        <f>IF(Nlang=1,"",VLOOKUP(O134,translations!$B$633:$H$647,Nlang,))</f>
        <v/>
      </c>
    </row>
    <row r="135" spans="2:30" s="1704" customFormat="1">
      <c r="B135" s="2549" t="str">
        <f t="shared" si="2"/>
        <v>description 2</v>
      </c>
      <c r="C135" s="2549"/>
      <c r="D135" s="2549"/>
      <c r="E135" s="2549"/>
      <c r="F135" s="2550">
        <f>MAX(Annual!P14:T14)</f>
        <v>0</v>
      </c>
      <c r="G135" s="2118"/>
      <c r="H135" s="1755"/>
      <c r="I135" s="1755"/>
      <c r="J135" s="3610" t="s">
        <v>562</v>
      </c>
      <c r="K135" s="3437"/>
      <c r="L135" s="3692"/>
      <c r="M135" s="3692"/>
      <c r="N135" s="3437"/>
      <c r="O135" s="3610" t="s">
        <v>4</v>
      </c>
      <c r="P135" s="2616"/>
      <c r="Q135" s="3485" t="e">
        <f>Annual!G68</f>
        <v>#N/A</v>
      </c>
      <c r="R135" s="3686"/>
      <c r="S135" s="3686"/>
      <c r="T135" s="3686"/>
      <c r="U135" s="3437"/>
      <c r="V135" s="3485" t="e">
        <f>Annual!Q68</f>
        <v>#N/A</v>
      </c>
      <c r="W135" s="3438"/>
      <c r="X135" s="3437"/>
      <c r="AB135" s="2653" t="str">
        <f>IF(Nlang=1,"",VLOOKUP(J135,translations!$B$633:$H$648,Nlang,))</f>
        <v/>
      </c>
      <c r="AD135" s="2653" t="str">
        <f>IF(Nlang=1,"",VLOOKUP(O135,translations!$B$633:$H$647,Nlang,))</f>
        <v/>
      </c>
    </row>
    <row r="136" spans="2:30" s="1704" customFormat="1">
      <c r="B136" s="2549" t="str">
        <f t="shared" si="2"/>
        <v>description 3</v>
      </c>
      <c r="C136" s="2549"/>
      <c r="D136" s="2549"/>
      <c r="E136" s="2549"/>
      <c r="F136" s="2550">
        <f>MAX(Annual!P15:T15)</f>
        <v>0</v>
      </c>
      <c r="G136" s="2118"/>
      <c r="H136" s="1755"/>
      <c r="I136" s="1755"/>
      <c r="J136" s="3610" t="s">
        <v>562</v>
      </c>
      <c r="K136" s="3437"/>
      <c r="L136" s="3692"/>
      <c r="M136" s="3692"/>
      <c r="N136" s="3437"/>
      <c r="O136" s="3610" t="s">
        <v>4</v>
      </c>
      <c r="P136" s="2616"/>
      <c r="Q136" s="3485" t="e">
        <f>Annual!G69</f>
        <v>#N/A</v>
      </c>
      <c r="R136" s="3686"/>
      <c r="S136" s="3686"/>
      <c r="T136" s="3686"/>
      <c r="U136" s="3437"/>
      <c r="V136" s="3485" t="e">
        <f>Annual!Q69</f>
        <v>#N/A</v>
      </c>
      <c r="W136" s="3438"/>
      <c r="X136" s="3437"/>
      <c r="AB136" s="2653" t="str">
        <f>IF(Nlang=1,"",VLOOKUP(J136,translations!$B$633:$H$648,Nlang,))</f>
        <v/>
      </c>
      <c r="AD136" s="2653" t="str">
        <f>IF(Nlang=1,"",VLOOKUP(O136,translations!$B$633:$H$647,Nlang,))</f>
        <v/>
      </c>
    </row>
    <row r="137" spans="2:30" s="1704" customFormat="1">
      <c r="B137" s="2549" t="str">
        <f t="shared" si="2"/>
        <v>description 4</v>
      </c>
      <c r="C137" s="2549"/>
      <c r="D137" s="2549"/>
      <c r="E137" s="2549"/>
      <c r="F137" s="2550">
        <f>MAX(Annual!P16:T16)</f>
        <v>0</v>
      </c>
      <c r="G137" s="2118"/>
      <c r="H137" s="1755"/>
      <c r="I137" s="1755"/>
      <c r="J137" s="3610" t="s">
        <v>562</v>
      </c>
      <c r="K137" s="3437"/>
      <c r="L137" s="3692"/>
      <c r="M137" s="3692"/>
      <c r="N137" s="3437"/>
      <c r="O137" s="3610" t="s">
        <v>4</v>
      </c>
      <c r="P137" s="2616"/>
      <c r="Q137" s="3485" t="e">
        <f>Annual!G70</f>
        <v>#N/A</v>
      </c>
      <c r="R137" s="3686"/>
      <c r="S137" s="3686"/>
      <c r="T137" s="3686"/>
      <c r="U137" s="3437"/>
      <c r="V137" s="3485" t="e">
        <f>Annual!Q70</f>
        <v>#N/A</v>
      </c>
      <c r="W137" s="3438"/>
      <c r="X137" s="3437"/>
      <c r="AB137" s="2653" t="str">
        <f>IF(Nlang=1,"",VLOOKUP(J137,translations!$B$633:$H$648,Nlang,))</f>
        <v/>
      </c>
      <c r="AD137" s="2653" t="str">
        <f>IF(Nlang=1,"",VLOOKUP(O137,translations!$B$633:$H$647,Nlang,))</f>
        <v/>
      </c>
    </row>
    <row r="138" spans="2:30" s="1704" customFormat="1">
      <c r="B138" s="2549" t="str">
        <f t="shared" si="2"/>
        <v>description 5</v>
      </c>
      <c r="C138" s="2549"/>
      <c r="D138" s="2549"/>
      <c r="E138" s="2549"/>
      <c r="F138" s="2550">
        <f>MAX(Annual!P17:T17)</f>
        <v>0</v>
      </c>
      <c r="G138" s="2118"/>
      <c r="H138" s="1755"/>
      <c r="I138" s="1755"/>
      <c r="J138" s="3610" t="s">
        <v>562</v>
      </c>
      <c r="K138" s="3437"/>
      <c r="L138" s="3692"/>
      <c r="M138" s="3692"/>
      <c r="N138" s="3437"/>
      <c r="O138" s="3610" t="s">
        <v>4</v>
      </c>
      <c r="P138" s="2616"/>
      <c r="Q138" s="3485" t="e">
        <f>Annual!G71</f>
        <v>#N/A</v>
      </c>
      <c r="R138" s="3686"/>
      <c r="S138" s="3686"/>
      <c r="T138" s="3686"/>
      <c r="U138" s="3437"/>
      <c r="V138" s="3485" t="e">
        <f>Annual!Q71</f>
        <v>#N/A</v>
      </c>
      <c r="W138" s="3438"/>
      <c r="X138" s="3437"/>
      <c r="AB138" s="2653" t="str">
        <f>IF(Nlang=1,"",VLOOKUP(J138,translations!$B$633:$H$648,Nlang,))</f>
        <v/>
      </c>
      <c r="AD138" s="2653" t="str">
        <f>IF(Nlang=1,"",VLOOKUP(O138,translations!$B$633:$H$647,Nlang,))</f>
        <v/>
      </c>
    </row>
    <row r="139" spans="2:30" s="1704" customFormat="1">
      <c r="B139" s="2549" t="str">
        <f t="shared" si="2"/>
        <v>description 6</v>
      </c>
      <c r="C139" s="2549"/>
      <c r="D139" s="2549"/>
      <c r="E139" s="2549"/>
      <c r="F139" s="2550">
        <f>MAX(Annual!P18:T18)</f>
        <v>0</v>
      </c>
      <c r="G139" s="2118"/>
      <c r="H139" s="1755"/>
      <c r="I139" s="1755"/>
      <c r="J139" s="3610" t="s">
        <v>562</v>
      </c>
      <c r="K139" s="3437"/>
      <c r="L139" s="3692"/>
      <c r="M139" s="3692"/>
      <c r="N139" s="3437"/>
      <c r="O139" s="3610" t="s">
        <v>4</v>
      </c>
      <c r="P139" s="2616"/>
      <c r="Q139" s="3485" t="e">
        <f>Annual!G72</f>
        <v>#N/A</v>
      </c>
      <c r="R139" s="3686"/>
      <c r="S139" s="3686"/>
      <c r="T139" s="3686"/>
      <c r="U139" s="3437"/>
      <c r="V139" s="3485" t="e">
        <f>Annual!Q72</f>
        <v>#N/A</v>
      </c>
      <c r="W139" s="3438"/>
      <c r="X139" s="3437"/>
      <c r="AB139" s="2653" t="str">
        <f>IF(Nlang=1,"",VLOOKUP(J139,translations!$B$633:$H$648,Nlang,))</f>
        <v/>
      </c>
      <c r="AD139" s="2653" t="str">
        <f>IF(Nlang=1,"",VLOOKUP(O139,translations!$B$633:$H$647,Nlang,))</f>
        <v/>
      </c>
    </row>
    <row r="140" spans="2:30" s="1704" customFormat="1">
      <c r="B140" s="2549" t="str">
        <f t="shared" si="2"/>
        <v>description 7</v>
      </c>
      <c r="C140" s="2549"/>
      <c r="D140" s="2549"/>
      <c r="E140" s="2549"/>
      <c r="F140" s="2550">
        <f>MAX(Annual!P19:T19)</f>
        <v>0</v>
      </c>
      <c r="G140" s="2118"/>
      <c r="H140" s="1755"/>
      <c r="I140" s="1755"/>
      <c r="J140" s="3610" t="s">
        <v>562</v>
      </c>
      <c r="K140" s="3437"/>
      <c r="L140" s="3692"/>
      <c r="M140" s="3692"/>
      <c r="N140" s="3437"/>
      <c r="O140" s="3610" t="s">
        <v>4</v>
      </c>
      <c r="P140" s="2616"/>
      <c r="Q140" s="3485" t="e">
        <f>Annual!G73</f>
        <v>#N/A</v>
      </c>
      <c r="R140" s="3686"/>
      <c r="S140" s="3686"/>
      <c r="T140" s="3686"/>
      <c r="U140" s="3437"/>
      <c r="V140" s="3485" t="e">
        <f>Annual!Q73</f>
        <v>#N/A</v>
      </c>
      <c r="W140" s="3438"/>
      <c r="X140" s="3437"/>
      <c r="AB140" s="2653" t="str">
        <f>IF(Nlang=1,"",VLOOKUP(J140,translations!$B$633:$H$648,Nlang,))</f>
        <v/>
      </c>
      <c r="AD140" s="2653" t="str">
        <f>IF(Nlang=1,"",VLOOKUP(O140,translations!$B$633:$H$647,Nlang,))</f>
        <v/>
      </c>
    </row>
    <row r="141" spans="2:30" s="1704" customFormat="1">
      <c r="B141" s="2549" t="str">
        <f t="shared" si="2"/>
        <v>description 8</v>
      </c>
      <c r="C141" s="2549"/>
      <c r="D141" s="2549"/>
      <c r="E141" s="2549"/>
      <c r="F141" s="2550">
        <f>MAX(Annual!P20:T20)</f>
        <v>0</v>
      </c>
      <c r="G141" s="2118"/>
      <c r="H141" s="1755"/>
      <c r="I141" s="1755"/>
      <c r="J141" s="3610" t="s">
        <v>562</v>
      </c>
      <c r="K141" s="3437"/>
      <c r="L141" s="3692"/>
      <c r="M141" s="3692"/>
      <c r="N141" s="3437"/>
      <c r="O141" s="3610" t="s">
        <v>4</v>
      </c>
      <c r="P141" s="2616"/>
      <c r="Q141" s="3485" t="e">
        <f>Annual!G74</f>
        <v>#N/A</v>
      </c>
      <c r="R141" s="3686"/>
      <c r="S141" s="3686"/>
      <c r="T141" s="3686"/>
      <c r="U141" s="3437"/>
      <c r="V141" s="3485" t="e">
        <f>Annual!Q74</f>
        <v>#N/A</v>
      </c>
      <c r="W141" s="3438"/>
      <c r="X141" s="3437"/>
      <c r="AB141" s="2653" t="str">
        <f>IF(Nlang=1,"",VLOOKUP(J141,translations!$B$633:$H$648,Nlang,))</f>
        <v/>
      </c>
      <c r="AD141" s="2653" t="str">
        <f>IF(Nlang=1,"",VLOOKUP(O141,translations!$B$633:$H$647,Nlang,))</f>
        <v/>
      </c>
    </row>
    <row r="142" spans="2:30" s="1704" customFormat="1">
      <c r="B142" s="2549" t="str">
        <f t="shared" si="2"/>
        <v>description 9</v>
      </c>
      <c r="C142" s="2549"/>
      <c r="D142" s="2549"/>
      <c r="E142" s="2549"/>
      <c r="F142" s="2550">
        <f>MAX(Annual!P21:T21)</f>
        <v>0</v>
      </c>
      <c r="G142" s="2118"/>
      <c r="H142" s="1755"/>
      <c r="I142" s="1755"/>
      <c r="J142" s="3610" t="s">
        <v>562</v>
      </c>
      <c r="K142" s="3437"/>
      <c r="L142" s="3692"/>
      <c r="M142" s="3692"/>
      <c r="N142" s="3437"/>
      <c r="O142" s="3610" t="s">
        <v>4</v>
      </c>
      <c r="P142" s="2616"/>
      <c r="Q142" s="3485" t="e">
        <f>Annual!G75</f>
        <v>#N/A</v>
      </c>
      <c r="R142" s="3686"/>
      <c r="S142" s="3686"/>
      <c r="T142" s="3686"/>
      <c r="U142" s="3437"/>
      <c r="V142" s="3485" t="e">
        <f>Annual!Q75</f>
        <v>#N/A</v>
      </c>
      <c r="W142" s="3438"/>
      <c r="X142" s="3437"/>
      <c r="AB142" s="2653" t="str">
        <f>IF(Nlang=1,"",VLOOKUP(J142,translations!$B$633:$H$648,Nlang,))</f>
        <v/>
      </c>
      <c r="AD142" s="2653" t="str">
        <f>IF(Nlang=1,"",VLOOKUP(O142,translations!$B$633:$H$647,Nlang,))</f>
        <v/>
      </c>
    </row>
    <row r="143" spans="2:30" s="1704" customFormat="1">
      <c r="B143" s="2549" t="str">
        <f t="shared" si="2"/>
        <v>description 10</v>
      </c>
      <c r="C143" s="2549"/>
      <c r="D143" s="2549"/>
      <c r="E143" s="2549"/>
      <c r="F143" s="2550">
        <f>MAX(Annual!P22:T22)</f>
        <v>0</v>
      </c>
      <c r="G143" s="2118"/>
      <c r="H143" s="1755"/>
      <c r="I143" s="1755"/>
      <c r="J143" s="3610" t="s">
        <v>562</v>
      </c>
      <c r="K143" s="3437"/>
      <c r="L143" s="3692"/>
      <c r="M143" s="3692"/>
      <c r="N143" s="3437"/>
      <c r="O143" s="3610" t="s">
        <v>4</v>
      </c>
      <c r="P143" s="2616"/>
      <c r="Q143" s="3485" t="e">
        <f>Annual!G76</f>
        <v>#N/A</v>
      </c>
      <c r="R143" s="3686"/>
      <c r="S143" s="3686"/>
      <c r="T143" s="3686"/>
      <c r="U143" s="3437"/>
      <c r="V143" s="3485" t="e">
        <f>Annual!Q76</f>
        <v>#N/A</v>
      </c>
      <c r="W143" s="3438"/>
      <c r="X143" s="3437"/>
      <c r="AB143" s="2653" t="str">
        <f>IF(Nlang=1,"",VLOOKUP(J143,translations!$B$633:$H$648,Nlang,))</f>
        <v/>
      </c>
      <c r="AD143" s="2653" t="str">
        <f>IF(Nlang=1,"",VLOOKUP(O143,translations!$B$633:$H$647,Nlang,))</f>
        <v/>
      </c>
    </row>
    <row r="144" spans="2:30" s="1704" customFormat="1">
      <c r="O144" s="1709"/>
      <c r="Q144" s="1709"/>
      <c r="R144" s="1709"/>
      <c r="V144" s="1709"/>
      <c r="W144" s="1709"/>
      <c r="X144" s="1709"/>
    </row>
    <row r="145" spans="15:26" s="1704" customFormat="1">
      <c r="O145" s="1709"/>
      <c r="Q145" s="1709"/>
      <c r="R145" s="1709"/>
      <c r="V145" s="1709"/>
      <c r="W145" s="1709"/>
      <c r="X145" s="1709"/>
    </row>
    <row r="146" spans="15:26" s="1704" customFormat="1">
      <c r="O146" s="1709"/>
      <c r="Q146" s="1709"/>
      <c r="R146" s="1709"/>
      <c r="V146" s="1709"/>
      <c r="W146" s="1709"/>
      <c r="X146" s="1709"/>
    </row>
    <row r="147" spans="15:26" s="1704" customFormat="1">
      <c r="O147" s="1709"/>
      <c r="Q147" s="1709"/>
      <c r="R147" s="1709"/>
      <c r="V147" s="1709"/>
      <c r="W147" s="1709"/>
      <c r="X147" s="1709"/>
    </row>
    <row r="148" spans="15:26" s="1704" customFormat="1">
      <c r="O148" s="1709"/>
      <c r="Q148" s="1709"/>
      <c r="R148" s="1709"/>
      <c r="V148" s="1709"/>
      <c r="W148" s="1709"/>
      <c r="X148" s="1709"/>
    </row>
    <row r="149" spans="15:26" s="1704" customFormat="1">
      <c r="O149" s="1709"/>
      <c r="Q149" s="1709"/>
      <c r="R149" s="1709"/>
      <c r="V149" s="1709"/>
      <c r="W149" s="1709"/>
      <c r="X149" s="1709"/>
      <c r="Y149" s="1709"/>
      <c r="Z149" s="1709"/>
    </row>
    <row r="150" spans="15:26" s="1704" customFormat="1">
      <c r="O150" s="1709"/>
      <c r="Q150" s="1709"/>
      <c r="R150" s="1709"/>
      <c r="V150" s="1709"/>
      <c r="W150" s="1709"/>
      <c r="X150" s="1709"/>
      <c r="Y150" s="1709"/>
      <c r="Z150" s="1709"/>
    </row>
    <row r="151" spans="15:26" s="1704" customFormat="1">
      <c r="O151" s="1709"/>
      <c r="Q151" s="1709"/>
      <c r="R151" s="1709"/>
      <c r="V151" s="1709"/>
      <c r="W151" s="1709"/>
      <c r="X151" s="1709"/>
      <c r="Y151" s="1709"/>
      <c r="Z151" s="1709"/>
    </row>
    <row r="152" spans="15:26" s="1704" customFormat="1">
      <c r="O152" s="1709"/>
      <c r="Q152" s="1709"/>
      <c r="R152" s="1709"/>
      <c r="V152" s="1709"/>
      <c r="W152" s="1709"/>
      <c r="X152" s="1709"/>
      <c r="Y152" s="1709"/>
      <c r="Z152" s="1709"/>
    </row>
    <row r="153" spans="15:26" s="1704" customFormat="1">
      <c r="O153" s="1709"/>
      <c r="Q153" s="1709"/>
      <c r="R153" s="1709"/>
      <c r="V153" s="1709"/>
      <c r="W153" s="1709"/>
      <c r="X153" s="1709"/>
      <c r="Y153" s="1709"/>
      <c r="Z153" s="1709"/>
    </row>
    <row r="154" spans="15:26" s="1704" customFormat="1">
      <c r="O154" s="1709"/>
      <c r="Q154" s="1709"/>
      <c r="R154" s="1709"/>
      <c r="V154" s="1709"/>
      <c r="W154" s="1709"/>
      <c r="X154" s="1709"/>
      <c r="Y154" s="1709"/>
      <c r="Z154" s="1709"/>
    </row>
    <row r="155" spans="15:26" s="1704" customFormat="1">
      <c r="O155" s="1709"/>
      <c r="Q155" s="1709"/>
      <c r="R155" s="1709"/>
      <c r="V155" s="1709"/>
      <c r="W155" s="1709"/>
      <c r="X155" s="1709"/>
      <c r="Y155" s="1709"/>
      <c r="Z155" s="1709"/>
    </row>
    <row r="156" spans="15:26" s="1704" customFormat="1">
      <c r="O156" s="1709"/>
      <c r="Q156" s="1709"/>
      <c r="R156" s="1709"/>
      <c r="V156" s="1709"/>
      <c r="W156" s="1709"/>
      <c r="X156" s="1709"/>
      <c r="Y156" s="1709"/>
      <c r="Z156" s="1709"/>
    </row>
    <row r="157" spans="15:26" s="1704" customFormat="1">
      <c r="O157" s="1709"/>
      <c r="Q157" s="1709"/>
      <c r="R157" s="1709"/>
      <c r="V157" s="1709"/>
      <c r="W157" s="1709"/>
      <c r="X157" s="1709"/>
      <c r="Y157" s="1709"/>
      <c r="Z157" s="1709"/>
    </row>
    <row r="158" spans="15:26" s="1704" customFormat="1">
      <c r="O158" s="1709"/>
      <c r="Q158" s="1709"/>
      <c r="R158" s="1709"/>
      <c r="V158" s="1709"/>
      <c r="W158" s="1709"/>
      <c r="X158" s="1709"/>
      <c r="Y158" s="1709"/>
      <c r="Z158" s="1709"/>
    </row>
    <row r="159" spans="15:26" s="1704" customFormat="1">
      <c r="O159" s="1709"/>
      <c r="Q159" s="1709"/>
      <c r="R159" s="1709"/>
      <c r="V159" s="1709"/>
      <c r="W159" s="1709"/>
      <c r="X159" s="1709"/>
      <c r="Y159" s="1709"/>
      <c r="Z159" s="1709"/>
    </row>
    <row r="160" spans="15:26" s="1704" customFormat="1">
      <c r="O160" s="1709"/>
      <c r="Q160" s="1709"/>
      <c r="R160" s="1709"/>
      <c r="V160" s="1709"/>
      <c r="W160" s="1709"/>
      <c r="X160" s="1709"/>
      <c r="Y160" s="1709"/>
      <c r="Z160" s="1709"/>
    </row>
    <row r="161" spans="2:26" s="1704" customFormat="1">
      <c r="O161" s="1709"/>
      <c r="Q161" s="1709"/>
      <c r="R161" s="1709"/>
      <c r="V161" s="1709"/>
      <c r="W161" s="1709"/>
      <c r="X161" s="1709"/>
      <c r="Y161" s="1709"/>
      <c r="Z161" s="1709"/>
    </row>
    <row r="162" spans="2:26" s="1704" customFormat="1" ht="15.75">
      <c r="B162" s="2505" t="str">
        <f>B39</f>
        <v>3.2. Perennial systems (agroforestry, orchards, tree crops…)</v>
      </c>
      <c r="C162" s="2505"/>
      <c r="D162" s="2505"/>
      <c r="E162" s="2505"/>
      <c r="F162" s="2505"/>
      <c r="G162" s="2505"/>
      <c r="H162" s="2505"/>
      <c r="I162" s="2505"/>
      <c r="J162" s="2505"/>
      <c r="K162" s="2505"/>
      <c r="L162" s="2505"/>
      <c r="M162" s="2505"/>
      <c r="N162" s="2505"/>
      <c r="O162" s="2530"/>
      <c r="P162" s="2505"/>
      <c r="Q162" s="2505"/>
      <c r="R162" s="2505"/>
      <c r="S162" s="2505"/>
      <c r="T162" s="2505"/>
      <c r="U162" s="2505"/>
      <c r="V162" s="2505"/>
      <c r="W162" s="2505"/>
      <c r="X162" s="1709"/>
      <c r="Y162" s="1709"/>
      <c r="Z162" s="1709"/>
    </row>
    <row r="163" spans="2:26" s="1704" customFormat="1">
      <c r="O163" s="1709"/>
      <c r="R163" s="1709"/>
      <c r="V163" s="1709"/>
      <c r="W163" s="1709"/>
      <c r="X163" s="1709"/>
      <c r="Y163" s="1709"/>
      <c r="Z163" s="1709"/>
    </row>
    <row r="164" spans="2:26" s="1704" customFormat="1">
      <c r="B164" s="2138"/>
      <c r="C164" s="2138"/>
      <c r="D164" s="2138"/>
      <c r="E164" s="2139"/>
      <c r="F164" s="2138"/>
      <c r="G164" s="2138"/>
      <c r="H164" s="2138"/>
      <c r="I164" s="2138"/>
      <c r="J164" s="2138"/>
      <c r="K164" s="2138"/>
      <c r="L164" s="2138"/>
      <c r="M164" s="2138"/>
      <c r="N164" s="2138"/>
      <c r="O164" s="2382"/>
      <c r="P164" s="2138"/>
      <c r="Q164" s="2138"/>
      <c r="R164" s="2138"/>
      <c r="S164" s="2138"/>
      <c r="T164" s="2138"/>
      <c r="U164" s="2138"/>
      <c r="V164" s="2138"/>
      <c r="W164" s="2138"/>
      <c r="X164" s="1709"/>
      <c r="Y164" s="1709"/>
      <c r="Z164" s="1709"/>
    </row>
    <row r="165" spans="2:26" s="1704" customFormat="1">
      <c r="B165" s="2138"/>
      <c r="C165" s="2138"/>
      <c r="D165" s="2138"/>
      <c r="E165" s="2138"/>
      <c r="F165" s="2138"/>
      <c r="G165" s="2138"/>
      <c r="H165" s="2138"/>
      <c r="I165" s="2138"/>
      <c r="J165" s="2138"/>
      <c r="K165" s="2138"/>
      <c r="L165" s="2138"/>
      <c r="M165" s="2138"/>
      <c r="N165" s="2138"/>
      <c r="O165" s="2382"/>
      <c r="P165" s="2138"/>
      <c r="Q165" s="2138"/>
      <c r="R165" s="2138"/>
      <c r="S165" s="2138"/>
      <c r="T165" s="2138"/>
      <c r="U165" s="2138"/>
      <c r="V165" s="2138"/>
      <c r="W165" s="2138"/>
      <c r="X165" s="1709"/>
      <c r="Y165" s="1709"/>
      <c r="Z165" s="1709"/>
    </row>
    <row r="166" spans="2:26" s="1704" customFormat="1">
      <c r="B166" s="2138"/>
      <c r="C166" s="2138"/>
      <c r="D166" s="2138"/>
      <c r="E166" s="2138"/>
      <c r="F166" s="2138"/>
      <c r="G166" s="2138"/>
      <c r="H166" s="2138"/>
      <c r="I166" s="2138"/>
      <c r="J166" s="2138"/>
      <c r="K166" s="2138"/>
      <c r="L166" s="2138"/>
      <c r="M166" s="2138"/>
      <c r="N166" s="2138"/>
      <c r="O166" s="2382"/>
      <c r="P166" s="2138"/>
      <c r="Q166" s="2138"/>
      <c r="R166" s="2138"/>
      <c r="S166" s="2138"/>
      <c r="T166" s="2138"/>
      <c r="U166" s="2138"/>
      <c r="V166" s="2138"/>
      <c r="W166" s="2138"/>
      <c r="X166" s="1709"/>
      <c r="Y166" s="1709"/>
      <c r="Z166" s="1709"/>
    </row>
    <row r="167" spans="2:26" s="1704" customFormat="1">
      <c r="B167" s="2143" t="str">
        <f>B122</f>
        <v>Use this part only if you want to refine the analysis with Tier 2 coefficients.</v>
      </c>
      <c r="C167" s="2122"/>
      <c r="D167" s="2122"/>
      <c r="E167" s="2117"/>
      <c r="F167" s="2123"/>
      <c r="G167" s="2117"/>
      <c r="H167" s="2117"/>
      <c r="I167" s="2117"/>
      <c r="J167" s="2138"/>
      <c r="K167" s="2138"/>
      <c r="L167" s="2138"/>
      <c r="M167" s="2138"/>
      <c r="N167" s="2138"/>
      <c r="O167" s="2382"/>
      <c r="P167" s="2138"/>
      <c r="Q167" s="2138"/>
      <c r="R167" s="2138"/>
      <c r="S167" s="2138"/>
      <c r="T167" s="2138"/>
      <c r="U167" s="2138"/>
      <c r="V167" s="2138"/>
      <c r="W167" s="2138"/>
      <c r="X167" s="1709"/>
      <c r="Y167" s="1709"/>
      <c r="Z167" s="1709"/>
    </row>
    <row r="168" spans="2:26" s="1704" customFormat="1">
      <c r="B168" s="2122" t="str">
        <f>B123</f>
        <v>(default values are provided for your information only, while EX-ACT will use Tier 2 values automatically wherever specified)</v>
      </c>
      <c r="C168" s="2122"/>
      <c r="D168" s="2122"/>
      <c r="E168" s="2117"/>
      <c r="F168" s="2117"/>
      <c r="G168" s="2117"/>
      <c r="H168" s="2117"/>
      <c r="I168" s="2117"/>
      <c r="J168" s="2138"/>
      <c r="K168" s="2138"/>
      <c r="L168" s="2138"/>
      <c r="M168" s="2138"/>
      <c r="N168" s="2138"/>
      <c r="O168" s="2519"/>
      <c r="P168" s="2138"/>
      <c r="Q168" s="2138"/>
      <c r="R168" s="2138"/>
      <c r="S168" s="2138"/>
      <c r="T168" s="2138"/>
      <c r="U168" s="2138"/>
      <c r="V168" s="2138"/>
      <c r="W168" s="2138"/>
      <c r="X168" s="1709"/>
      <c r="Y168" s="1709"/>
      <c r="Z168" s="1709"/>
    </row>
    <row r="169" spans="2:26" s="1704" customFormat="1">
      <c r="O169" s="1709"/>
      <c r="Q169" s="1709"/>
      <c r="R169" s="1709"/>
      <c r="V169" s="1709"/>
      <c r="W169" s="1709"/>
      <c r="X169" s="1709"/>
      <c r="Y169" s="1709"/>
      <c r="Z169" s="1709"/>
    </row>
    <row r="170" spans="2:26" s="1704" customFormat="1">
      <c r="B170" s="2139" t="str">
        <f>B126</f>
        <v>Systems</v>
      </c>
      <c r="C170" s="2138"/>
      <c r="D170" s="2138"/>
      <c r="E170" s="2117"/>
      <c r="F170" s="3717" t="str">
        <f>'2.LUC'!E100</f>
        <v>Above-ground</v>
      </c>
      <c r="G170" s="3717"/>
      <c r="H170" s="2300"/>
      <c r="I170" s="3717" t="str">
        <f>'2.LUC'!G100</f>
        <v>Below-ground</v>
      </c>
      <c r="J170" s="3717"/>
      <c r="K170" s="2301" t="str">
        <f>F126</f>
        <v>Rates of soil C sequestration</v>
      </c>
      <c r="L170" s="2138"/>
      <c r="M170" s="2117"/>
      <c r="N170" s="2117"/>
      <c r="O170" s="2384"/>
      <c r="P170" s="3717" t="str">
        <f>HLOOKUP(select,translations!$A$76:$H$144,51,)</f>
        <v>Burning (quantity of residues and periodicity)</v>
      </c>
      <c r="Q170" s="3717"/>
      <c r="R170" s="3717"/>
      <c r="S170" s="3717"/>
      <c r="T170" s="3717"/>
      <c r="U170" s="3717"/>
      <c r="V170" s="3717"/>
      <c r="W170" s="3717"/>
      <c r="Z170" s="1709"/>
    </row>
    <row r="171" spans="2:26" s="1704" customFormat="1">
      <c r="B171" s="2138"/>
      <c r="C171" s="2138"/>
      <c r="D171" s="2138"/>
      <c r="E171" s="2117"/>
      <c r="F171" s="2117"/>
      <c r="G171" s="2308" t="str">
        <f>HLOOKUP(select,translations!$A$76:$H$144,50,)</f>
        <v>Growth rate (t C/ha/yr)</v>
      </c>
      <c r="H171" s="2300"/>
      <c r="I171" s="3714" t="str">
        <f>G171</f>
        <v>Growth rate (t C/ha/yr)</v>
      </c>
      <c r="J171" s="3714"/>
      <c r="K171" s="2117"/>
      <c r="L171" s="3714" t="str">
        <f>F127</f>
        <v xml:space="preserve"> (t CO2/ha/yr)</v>
      </c>
      <c r="M171" s="3714"/>
      <c r="N171" s="3714"/>
      <c r="O171" s="3714"/>
      <c r="P171" s="3714" t="str">
        <f>Q127</f>
        <v>Main season crop</v>
      </c>
      <c r="Q171" s="3714"/>
      <c r="R171" s="2140"/>
      <c r="S171" s="2138"/>
      <c r="T171" s="3715" t="str">
        <f>HLOOKUP(select,translations!$A$76:$H$144,52,)</f>
        <v>Periodicity (yr)</v>
      </c>
      <c r="U171" s="3715"/>
      <c r="V171" s="3715"/>
      <c r="W171" s="2138"/>
      <c r="Z171" s="1709"/>
    </row>
    <row r="172" spans="2:26" s="1704" customFormat="1">
      <c r="B172" s="2302" t="str">
        <f>HLOOKUP(select,translations!$A$76:$H$144,53,)</f>
        <v>Perennial systems from (or to) other LU</v>
      </c>
      <c r="C172" s="2138"/>
      <c r="D172" s="2138"/>
      <c r="E172" s="2117"/>
      <c r="F172" s="2145" t="str">
        <f>F128</f>
        <v>Default</v>
      </c>
      <c r="G172" s="2303" t="str">
        <f>G128</f>
        <v>Tier 2</v>
      </c>
      <c r="H172" s="2303"/>
      <c r="I172" s="2145" t="str">
        <f>F172</f>
        <v>Default</v>
      </c>
      <c r="J172" s="2117" t="str">
        <f>G172</f>
        <v>Tier 2</v>
      </c>
      <c r="K172" s="2117"/>
      <c r="L172" s="3712" t="str">
        <f>I172</f>
        <v>Default</v>
      </c>
      <c r="M172" s="3712"/>
      <c r="N172" s="3712"/>
      <c r="O172" s="2608" t="str">
        <f>J172</f>
        <v>Tier 2</v>
      </c>
      <c r="P172" s="2145" t="str">
        <f>L172</f>
        <v>Default</v>
      </c>
      <c r="Q172" s="2608" t="str">
        <f>O172</f>
        <v>Tier 2</v>
      </c>
      <c r="R172" s="2140"/>
      <c r="S172" s="2138"/>
      <c r="T172" s="2145" t="str">
        <f>P172</f>
        <v>Default</v>
      </c>
      <c r="U172" s="3711" t="str">
        <f>Q172</f>
        <v>Tier 2</v>
      </c>
      <c r="V172" s="3711"/>
      <c r="W172" s="2138"/>
      <c r="Z172" s="1709"/>
    </row>
    <row r="173" spans="2:26" s="1704" customFormat="1">
      <c r="B173" s="2551" t="str">
        <f>B44</f>
        <v>Perennial after Deforestation</v>
      </c>
      <c r="C173" s="2552"/>
      <c r="D173" s="2552"/>
      <c r="E173" s="2552"/>
      <c r="F173" s="2553">
        <f>Perennial!G10</f>
        <v>0</v>
      </c>
      <c r="G173" s="2177"/>
      <c r="H173" s="2303"/>
      <c r="I173" s="2553">
        <f>Perennial!I10</f>
        <v>0</v>
      </c>
      <c r="J173" s="2177"/>
      <c r="K173" s="2117"/>
      <c r="L173" s="3713">
        <f>Perennial!K10</f>
        <v>0</v>
      </c>
      <c r="M173" s="3713"/>
      <c r="N173" s="3713"/>
      <c r="O173" s="2380"/>
      <c r="P173" s="2553">
        <v>10</v>
      </c>
      <c r="Q173" s="2177"/>
      <c r="R173" s="2140"/>
      <c r="S173" s="2138"/>
      <c r="T173" s="2553">
        <v>1</v>
      </c>
      <c r="U173" s="3686"/>
      <c r="V173" s="3686"/>
      <c r="W173" s="2138"/>
      <c r="Z173" s="1709"/>
    </row>
    <row r="174" spans="2:26" s="1704" customFormat="1">
      <c r="B174" s="2551" t="str">
        <f>B45</f>
        <v>Converted to A/R</v>
      </c>
      <c r="C174" s="2552"/>
      <c r="D174" s="2552"/>
      <c r="E174" s="2552"/>
      <c r="F174" s="2553">
        <f>Perennial!G11</f>
        <v>0</v>
      </c>
      <c r="G174" s="2177"/>
      <c r="H174" s="2303"/>
      <c r="I174" s="2553">
        <f>Perennial!I11</f>
        <v>0</v>
      </c>
      <c r="J174" s="2177"/>
      <c r="K174" s="2117"/>
      <c r="L174" s="3713">
        <f>Perennial!K11</f>
        <v>0</v>
      </c>
      <c r="M174" s="3713"/>
      <c r="N174" s="3713"/>
      <c r="O174" s="2380"/>
      <c r="P174" s="2553">
        <v>10</v>
      </c>
      <c r="Q174" s="2177"/>
      <c r="R174" s="2140"/>
      <c r="S174" s="2138"/>
      <c r="T174" s="2553">
        <v>1</v>
      </c>
      <c r="U174" s="3686"/>
      <c r="V174" s="3686"/>
      <c r="W174" s="2138"/>
      <c r="Z174" s="1709"/>
    </row>
    <row r="175" spans="2:26" s="1704" customFormat="1">
      <c r="B175" s="2551" t="str">
        <f>B46</f>
        <v>Perennial after non-forest LU</v>
      </c>
      <c r="C175" s="2552"/>
      <c r="D175" s="2552"/>
      <c r="E175" s="2552"/>
      <c r="F175" s="2553">
        <f>Perennial!G12</f>
        <v>0</v>
      </c>
      <c r="G175" s="2177"/>
      <c r="H175" s="2303"/>
      <c r="I175" s="2553">
        <f>Perennial!I12</f>
        <v>0</v>
      </c>
      <c r="J175" s="2177"/>
      <c r="K175" s="2117"/>
      <c r="L175" s="3713">
        <f>Perennial!K12</f>
        <v>0</v>
      </c>
      <c r="M175" s="3713"/>
      <c r="N175" s="3713"/>
      <c r="O175" s="2380"/>
      <c r="P175" s="2553">
        <v>10</v>
      </c>
      <c r="Q175" s="2177"/>
      <c r="R175" s="2140"/>
      <c r="S175" s="2138"/>
      <c r="T175" s="2553">
        <v>1</v>
      </c>
      <c r="U175" s="3686"/>
      <c r="V175" s="3686"/>
      <c r="W175" s="2138"/>
      <c r="Z175" s="1709"/>
    </row>
    <row r="176" spans="2:26" s="1704" customFormat="1">
      <c r="B176" s="2551" t="str">
        <f>B47</f>
        <v>Converted to OLUC</v>
      </c>
      <c r="C176" s="2552"/>
      <c r="D176" s="2552"/>
      <c r="E176" s="2552"/>
      <c r="F176" s="2553">
        <f>Perennial!G13</f>
        <v>0</v>
      </c>
      <c r="G176" s="2177"/>
      <c r="H176" s="2303"/>
      <c r="I176" s="2553">
        <f>Perennial!I13</f>
        <v>0</v>
      </c>
      <c r="J176" s="2177"/>
      <c r="K176" s="2117"/>
      <c r="L176" s="3713">
        <f>Perennial!K13</f>
        <v>0</v>
      </c>
      <c r="M176" s="3713"/>
      <c r="N176" s="3713"/>
      <c r="O176" s="2380"/>
      <c r="P176" s="2553">
        <v>10</v>
      </c>
      <c r="Q176" s="2177"/>
      <c r="R176" s="2140"/>
      <c r="S176" s="2138"/>
      <c r="T176" s="2553">
        <v>1</v>
      </c>
      <c r="U176" s="3686"/>
      <c r="V176" s="3686"/>
      <c r="W176" s="2138"/>
      <c r="Z176" s="1709"/>
    </row>
    <row r="177" spans="2:26" s="1704" customFormat="1">
      <c r="B177" s="2302" t="str">
        <f>HLOOKUP(select,translations!$A$76:$H$144,54,)</f>
        <v>Perennial syst. remaining perennial syst.</v>
      </c>
      <c r="C177" s="2138"/>
      <c r="D177" s="2138"/>
      <c r="E177" s="2138"/>
      <c r="F177" s="2140"/>
      <c r="G177" s="2138"/>
      <c r="H177" s="2303"/>
      <c r="I177" s="2140"/>
      <c r="J177" s="2138"/>
      <c r="K177" s="2117"/>
      <c r="L177" s="2138"/>
      <c r="M177" s="2138"/>
      <c r="N177" s="2138"/>
      <c r="O177" s="2382"/>
      <c r="P177" s="2138"/>
      <c r="Q177" s="2138"/>
      <c r="R177" s="2140"/>
      <c r="S177" s="2138"/>
      <c r="T177" s="2140"/>
      <c r="U177" s="2140"/>
      <c r="V177" s="2140"/>
      <c r="W177" s="2140"/>
      <c r="Z177" s="1709"/>
    </row>
    <row r="178" spans="2:26" s="1704" customFormat="1">
      <c r="B178" s="2552" t="str">
        <f>B52</f>
        <v>Enter description of your system 1</v>
      </c>
      <c r="C178" s="2552"/>
      <c r="D178" s="2552"/>
      <c r="E178" s="2552"/>
      <c r="F178" s="2553">
        <f>Perennial!G14</f>
        <v>0</v>
      </c>
      <c r="G178" s="2177"/>
      <c r="H178" s="2303"/>
      <c r="I178" s="2553">
        <f>Perennial!I14</f>
        <v>0</v>
      </c>
      <c r="J178" s="2177"/>
      <c r="K178" s="2117"/>
      <c r="L178" s="3713">
        <f>Perennial!K14</f>
        <v>0</v>
      </c>
      <c r="M178" s="3713"/>
      <c r="N178" s="3713"/>
      <c r="O178" s="2380"/>
      <c r="P178" s="2553">
        <v>10</v>
      </c>
      <c r="Q178" s="2177"/>
      <c r="R178" s="2140"/>
      <c r="S178" s="2138"/>
      <c r="T178" s="2553">
        <v>1</v>
      </c>
      <c r="U178" s="3686"/>
      <c r="V178" s="3686"/>
      <c r="W178" s="2138"/>
      <c r="Z178" s="1709"/>
    </row>
    <row r="179" spans="2:26" s="1704" customFormat="1">
      <c r="B179" s="2552" t="str">
        <f>B53</f>
        <v>Enter description of your system 2</v>
      </c>
      <c r="C179" s="2552"/>
      <c r="D179" s="2552"/>
      <c r="E179" s="2552"/>
      <c r="F179" s="2553">
        <f>Perennial!G15</f>
        <v>0</v>
      </c>
      <c r="G179" s="2177"/>
      <c r="H179" s="2303"/>
      <c r="I179" s="2553">
        <f>Perennial!I15</f>
        <v>0</v>
      </c>
      <c r="J179" s="2177"/>
      <c r="K179" s="2117"/>
      <c r="L179" s="3713">
        <f>Perennial!K15</f>
        <v>0</v>
      </c>
      <c r="M179" s="3713"/>
      <c r="N179" s="3713"/>
      <c r="O179" s="2380"/>
      <c r="P179" s="2553">
        <v>10</v>
      </c>
      <c r="Q179" s="2177"/>
      <c r="R179" s="2140"/>
      <c r="S179" s="2138"/>
      <c r="T179" s="2553">
        <v>1</v>
      </c>
      <c r="U179" s="3686"/>
      <c r="V179" s="3686"/>
      <c r="W179" s="2138"/>
      <c r="Z179" s="1709"/>
    </row>
    <row r="180" spans="2:26" s="1704" customFormat="1">
      <c r="B180" s="2552" t="str">
        <f t="shared" ref="B180:B187" si="3">B54</f>
        <v>Enter description of your system 3</v>
      </c>
      <c r="C180" s="2552"/>
      <c r="D180" s="2552"/>
      <c r="E180" s="2552"/>
      <c r="F180" s="2553">
        <f>Perennial!G16</f>
        <v>0</v>
      </c>
      <c r="G180" s="2177"/>
      <c r="H180" s="2303"/>
      <c r="I180" s="2856">
        <f>Perennial!I16</f>
        <v>0</v>
      </c>
      <c r="J180" s="2177"/>
      <c r="K180" s="2117"/>
      <c r="L180" s="3713">
        <f>Perennial!K16</f>
        <v>0</v>
      </c>
      <c r="M180" s="3713"/>
      <c r="N180" s="3713"/>
      <c r="O180" s="2380"/>
      <c r="P180" s="2553">
        <v>10</v>
      </c>
      <c r="Q180" s="2177"/>
      <c r="R180" s="2140"/>
      <c r="S180" s="2138"/>
      <c r="T180" s="2553">
        <v>1</v>
      </c>
      <c r="U180" s="3686"/>
      <c r="V180" s="3686"/>
      <c r="W180" s="2138"/>
      <c r="Z180" s="1709"/>
    </row>
    <row r="181" spans="2:26" s="1704" customFormat="1">
      <c r="B181" s="2552" t="str">
        <f t="shared" si="3"/>
        <v>Enter description of your system 4</v>
      </c>
      <c r="C181" s="2552"/>
      <c r="D181" s="2552"/>
      <c r="E181" s="2552"/>
      <c r="F181" s="2856">
        <f>Perennial!G17</f>
        <v>0</v>
      </c>
      <c r="G181" s="2855"/>
      <c r="H181" s="2303"/>
      <c r="I181" s="2856">
        <f>Perennial!I17</f>
        <v>0</v>
      </c>
      <c r="J181" s="2855"/>
      <c r="K181" s="2117"/>
      <c r="L181" s="3713">
        <f>Perennial!K17</f>
        <v>0</v>
      </c>
      <c r="M181" s="3713"/>
      <c r="N181" s="3713"/>
      <c r="O181" s="2855"/>
      <c r="P181" s="2856">
        <v>10</v>
      </c>
      <c r="Q181" s="2855"/>
      <c r="R181" s="2857"/>
      <c r="S181" s="2138"/>
      <c r="T181" s="2856">
        <v>1</v>
      </c>
      <c r="U181" s="3686"/>
      <c r="V181" s="3686"/>
      <c r="W181" s="2138"/>
      <c r="Z181" s="1709"/>
    </row>
    <row r="182" spans="2:26" s="1704" customFormat="1">
      <c r="B182" s="2552" t="str">
        <f t="shared" si="3"/>
        <v>Enter description of your system 5</v>
      </c>
      <c r="C182" s="2552"/>
      <c r="D182" s="2552"/>
      <c r="E182" s="2552"/>
      <c r="F182" s="2856">
        <f>Perennial!G18</f>
        <v>0</v>
      </c>
      <c r="G182" s="2855"/>
      <c r="H182" s="2303"/>
      <c r="I182" s="2856">
        <f>Perennial!I18</f>
        <v>0</v>
      </c>
      <c r="J182" s="2855"/>
      <c r="K182" s="2117"/>
      <c r="L182" s="3713">
        <f>Perennial!K18</f>
        <v>0</v>
      </c>
      <c r="M182" s="3713"/>
      <c r="N182" s="3713"/>
      <c r="O182" s="2855"/>
      <c r="P182" s="2856">
        <v>10</v>
      </c>
      <c r="Q182" s="2855"/>
      <c r="R182" s="2857"/>
      <c r="S182" s="2138"/>
      <c r="T182" s="2856">
        <v>1</v>
      </c>
      <c r="U182" s="3686"/>
      <c r="V182" s="3686"/>
      <c r="W182" s="2138"/>
      <c r="Z182" s="1709"/>
    </row>
    <row r="183" spans="2:26" s="1704" customFormat="1">
      <c r="B183" s="2552" t="str">
        <f t="shared" si="3"/>
        <v>Enter description of your system 6</v>
      </c>
      <c r="C183" s="2552"/>
      <c r="D183" s="2552"/>
      <c r="E183" s="2552"/>
      <c r="F183" s="2856">
        <f>Perennial!G19</f>
        <v>0</v>
      </c>
      <c r="G183" s="2855"/>
      <c r="H183" s="2303"/>
      <c r="I183" s="2856">
        <f>Perennial!I19</f>
        <v>0</v>
      </c>
      <c r="J183" s="2855"/>
      <c r="K183" s="2117"/>
      <c r="L183" s="3713">
        <f>Perennial!K19</f>
        <v>0</v>
      </c>
      <c r="M183" s="3713"/>
      <c r="N183" s="3713"/>
      <c r="O183" s="2855"/>
      <c r="P183" s="2856">
        <v>10</v>
      </c>
      <c r="Q183" s="2855"/>
      <c r="R183" s="2857"/>
      <c r="S183" s="2138"/>
      <c r="T183" s="2856">
        <v>1</v>
      </c>
      <c r="U183" s="3686"/>
      <c r="V183" s="3686"/>
      <c r="W183" s="2138"/>
      <c r="Z183" s="1709"/>
    </row>
    <row r="184" spans="2:26" s="1704" customFormat="1">
      <c r="B184" s="2552" t="str">
        <f t="shared" si="3"/>
        <v>Enter description of your system 7</v>
      </c>
      <c r="C184" s="2552"/>
      <c r="D184" s="2552"/>
      <c r="E184" s="2552"/>
      <c r="F184" s="2856">
        <f>Perennial!G20</f>
        <v>0</v>
      </c>
      <c r="G184" s="2855"/>
      <c r="H184" s="2303"/>
      <c r="I184" s="2856">
        <f>Perennial!I20</f>
        <v>0</v>
      </c>
      <c r="J184" s="2855"/>
      <c r="K184" s="2117"/>
      <c r="L184" s="3713">
        <f>Perennial!K20</f>
        <v>0</v>
      </c>
      <c r="M184" s="3713"/>
      <c r="N184" s="3713"/>
      <c r="O184" s="2855"/>
      <c r="P184" s="2856">
        <v>10</v>
      </c>
      <c r="Q184" s="2855"/>
      <c r="R184" s="2857"/>
      <c r="S184" s="2138"/>
      <c r="T184" s="2856">
        <v>1</v>
      </c>
      <c r="U184" s="3686"/>
      <c r="V184" s="3686"/>
      <c r="W184" s="2138"/>
      <c r="Z184" s="1709"/>
    </row>
    <row r="185" spans="2:26" s="1704" customFormat="1">
      <c r="B185" s="2552" t="str">
        <f t="shared" si="3"/>
        <v>Enter description of your system 8</v>
      </c>
      <c r="C185" s="2552"/>
      <c r="D185" s="2552"/>
      <c r="E185" s="2552"/>
      <c r="F185" s="2856">
        <f>Perennial!G21</f>
        <v>0</v>
      </c>
      <c r="G185" s="2855"/>
      <c r="H185" s="2303"/>
      <c r="I185" s="2856">
        <f>Perennial!I21</f>
        <v>0</v>
      </c>
      <c r="J185" s="2855"/>
      <c r="K185" s="2117"/>
      <c r="L185" s="3713">
        <f>Perennial!K21</f>
        <v>0</v>
      </c>
      <c r="M185" s="3713"/>
      <c r="N185" s="3713"/>
      <c r="O185" s="2855"/>
      <c r="P185" s="2856">
        <v>10</v>
      </c>
      <c r="Q185" s="2855"/>
      <c r="R185" s="2857"/>
      <c r="S185" s="2138"/>
      <c r="T185" s="2856">
        <v>1</v>
      </c>
      <c r="U185" s="3686"/>
      <c r="V185" s="3686"/>
      <c r="W185" s="2138"/>
      <c r="Z185" s="1709"/>
    </row>
    <row r="186" spans="2:26" s="1704" customFormat="1">
      <c r="B186" s="2552" t="str">
        <f t="shared" si="3"/>
        <v>Enter description of your system 9</v>
      </c>
      <c r="C186" s="2552"/>
      <c r="D186" s="2552"/>
      <c r="E186" s="2552"/>
      <c r="F186" s="2856">
        <f>Perennial!G22</f>
        <v>0</v>
      </c>
      <c r="G186" s="2177"/>
      <c r="H186" s="2303"/>
      <c r="I186" s="2856">
        <f>Perennial!I22</f>
        <v>0</v>
      </c>
      <c r="J186" s="2177"/>
      <c r="K186" s="2117"/>
      <c r="L186" s="3713">
        <f>Perennial!K22</f>
        <v>0</v>
      </c>
      <c r="M186" s="3713"/>
      <c r="N186" s="3713"/>
      <c r="O186" s="2380"/>
      <c r="P186" s="2856">
        <v>10</v>
      </c>
      <c r="Q186" s="2177"/>
      <c r="R186" s="2140"/>
      <c r="S186" s="2138"/>
      <c r="T186" s="2856">
        <v>1</v>
      </c>
      <c r="U186" s="3686"/>
      <c r="V186" s="3686"/>
      <c r="W186" s="2138"/>
      <c r="Z186" s="1709"/>
    </row>
    <row r="187" spans="2:26" s="1704" customFormat="1">
      <c r="B187" s="2552" t="str">
        <f t="shared" si="3"/>
        <v>Enter description of your system 10</v>
      </c>
      <c r="C187" s="2552"/>
      <c r="D187" s="2552"/>
      <c r="E187" s="2552"/>
      <c r="F187" s="2856">
        <f>Perennial!G23</f>
        <v>0</v>
      </c>
      <c r="G187" s="2177"/>
      <c r="H187" s="2303"/>
      <c r="I187" s="2856">
        <f>Perennial!I23</f>
        <v>0</v>
      </c>
      <c r="J187" s="2177"/>
      <c r="K187" s="2117"/>
      <c r="L187" s="3713">
        <f>Perennial!K23</f>
        <v>0</v>
      </c>
      <c r="M187" s="3713"/>
      <c r="N187" s="3713"/>
      <c r="O187" s="2380"/>
      <c r="P187" s="2856">
        <v>10</v>
      </c>
      <c r="Q187" s="2177"/>
      <c r="R187" s="2140"/>
      <c r="S187" s="2138"/>
      <c r="T187" s="2856">
        <v>1</v>
      </c>
      <c r="U187" s="3686"/>
      <c r="V187" s="3686"/>
      <c r="W187" s="2138"/>
      <c r="Z187" s="1709"/>
    </row>
    <row r="188" spans="2:26" s="1704" customFormat="1">
      <c r="O188" s="1709"/>
      <c r="R188" s="1709"/>
      <c r="V188" s="1709"/>
      <c r="W188" s="1709"/>
      <c r="X188" s="1709"/>
      <c r="Y188" s="1709"/>
      <c r="Z188" s="1709"/>
    </row>
    <row r="189" spans="2:26" s="1704" customFormat="1">
      <c r="O189" s="1709"/>
      <c r="Q189" s="1709"/>
      <c r="R189" s="1709"/>
      <c r="V189" s="1709"/>
      <c r="W189" s="1709"/>
      <c r="X189" s="1709"/>
      <c r="Y189" s="1709"/>
      <c r="Z189" s="1709"/>
    </row>
    <row r="190" spans="2:26" s="1704" customFormat="1">
      <c r="O190" s="1709"/>
      <c r="Q190" s="1709"/>
      <c r="R190" s="1709"/>
      <c r="V190" s="1709"/>
      <c r="W190" s="1709"/>
      <c r="X190" s="1709"/>
      <c r="Y190" s="1709"/>
      <c r="Z190" s="1709"/>
    </row>
    <row r="191" spans="2:26" s="1704" customFormat="1">
      <c r="O191" s="1709"/>
      <c r="Q191" s="1709"/>
      <c r="R191" s="1709"/>
      <c r="V191" s="1709"/>
      <c r="W191" s="1709"/>
      <c r="X191" s="1709"/>
      <c r="Y191" s="1709"/>
      <c r="Z191" s="1709"/>
    </row>
    <row r="192" spans="2:26" s="1704" customFormat="1">
      <c r="O192" s="1709"/>
      <c r="Q192" s="1709"/>
      <c r="R192" s="1709"/>
      <c r="V192" s="1709"/>
      <c r="W192" s="1709"/>
      <c r="X192" s="1709"/>
      <c r="Y192" s="1709"/>
      <c r="Z192" s="1709"/>
    </row>
    <row r="193" spans="15:26" s="1704" customFormat="1">
      <c r="O193" s="1709"/>
      <c r="Q193" s="1709"/>
      <c r="R193" s="1709"/>
      <c r="V193" s="1709"/>
      <c r="W193" s="1709"/>
      <c r="X193" s="1709"/>
      <c r="Y193" s="1709"/>
      <c r="Z193" s="1709"/>
    </row>
    <row r="194" spans="15:26" s="1704" customFormat="1">
      <c r="O194" s="1709"/>
      <c r="Q194" s="1709"/>
      <c r="R194" s="1709"/>
      <c r="V194" s="1709"/>
      <c r="W194" s="1709"/>
      <c r="X194" s="1709"/>
      <c r="Y194" s="1709"/>
      <c r="Z194" s="1709"/>
    </row>
    <row r="195" spans="15:26" s="1704" customFormat="1">
      <c r="O195" s="1709"/>
      <c r="Q195" s="1709"/>
      <c r="R195" s="1709"/>
      <c r="V195" s="1709"/>
      <c r="W195" s="1709"/>
      <c r="X195" s="1709"/>
      <c r="Y195" s="1709"/>
      <c r="Z195" s="1709"/>
    </row>
    <row r="196" spans="15:26" s="1704" customFormat="1">
      <c r="O196" s="1709"/>
      <c r="Q196" s="1709"/>
      <c r="R196" s="1709"/>
      <c r="V196" s="1709"/>
      <c r="W196" s="1709"/>
      <c r="X196" s="1709"/>
      <c r="Y196" s="1709"/>
      <c r="Z196" s="1709"/>
    </row>
    <row r="197" spans="15:26" s="1704" customFormat="1">
      <c r="O197" s="1709"/>
      <c r="Q197" s="1709"/>
      <c r="R197" s="1709"/>
      <c r="V197" s="1709"/>
      <c r="W197" s="1709"/>
      <c r="X197" s="1709"/>
      <c r="Y197" s="1709"/>
      <c r="Z197" s="1709"/>
    </row>
    <row r="198" spans="15:26" s="1704" customFormat="1">
      <c r="O198" s="1709"/>
      <c r="Q198" s="1709"/>
      <c r="R198" s="1709"/>
      <c r="V198" s="1709"/>
      <c r="W198" s="1709"/>
      <c r="X198" s="1709"/>
      <c r="Y198" s="1709"/>
      <c r="Z198" s="1709"/>
    </row>
    <row r="199" spans="15:26" s="1704" customFormat="1">
      <c r="O199" s="1709"/>
      <c r="Q199" s="1709"/>
      <c r="R199" s="1709"/>
      <c r="V199" s="1709"/>
      <c r="W199" s="1709"/>
      <c r="X199" s="1709"/>
      <c r="Y199" s="1709"/>
      <c r="Z199" s="1709"/>
    </row>
    <row r="200" spans="15:26" s="1704" customFormat="1">
      <c r="O200" s="1709"/>
      <c r="Q200" s="1709"/>
      <c r="R200" s="1709"/>
      <c r="V200" s="1709"/>
      <c r="W200" s="1709"/>
      <c r="X200" s="1709"/>
      <c r="Y200" s="1709"/>
      <c r="Z200" s="1709"/>
    </row>
    <row r="201" spans="15:26" s="1704" customFormat="1">
      <c r="O201" s="1709"/>
      <c r="Q201" s="1709"/>
      <c r="R201" s="1709"/>
      <c r="V201" s="1709"/>
      <c r="W201" s="1709"/>
      <c r="X201" s="1709"/>
      <c r="Y201" s="1709"/>
      <c r="Z201" s="1709"/>
    </row>
    <row r="202" spans="15:26" s="1704" customFormat="1">
      <c r="O202" s="1709"/>
      <c r="Q202" s="1709"/>
      <c r="R202" s="1709"/>
      <c r="V202" s="1709"/>
      <c r="W202" s="1709"/>
      <c r="X202" s="1709"/>
      <c r="Y202" s="1709"/>
      <c r="Z202" s="1709"/>
    </row>
    <row r="203" spans="15:26" s="1704" customFormat="1">
      <c r="O203" s="1709"/>
      <c r="Q203" s="1709"/>
      <c r="R203" s="1709"/>
      <c r="V203" s="1709"/>
      <c r="W203" s="1709"/>
      <c r="X203" s="1709"/>
      <c r="Y203" s="1709"/>
      <c r="Z203" s="1709"/>
    </row>
    <row r="204" spans="15:26" s="1704" customFormat="1">
      <c r="O204" s="1709"/>
      <c r="Q204" s="1709"/>
      <c r="R204" s="1709"/>
      <c r="V204" s="1709"/>
      <c r="W204" s="1709"/>
      <c r="X204" s="1709"/>
      <c r="Y204" s="1709"/>
      <c r="Z204" s="1709"/>
    </row>
    <row r="205" spans="15:26" s="1704" customFormat="1">
      <c r="O205" s="1709"/>
      <c r="Q205" s="1709"/>
      <c r="R205" s="1709"/>
      <c r="V205" s="1709"/>
      <c r="W205" s="1709"/>
      <c r="X205" s="1709"/>
      <c r="Y205" s="1709"/>
      <c r="Z205" s="1709"/>
    </row>
    <row r="206" spans="15:26" s="1704" customFormat="1">
      <c r="O206" s="1709"/>
      <c r="Q206" s="1709"/>
      <c r="R206" s="1709"/>
      <c r="V206" s="1709"/>
      <c r="W206" s="1709"/>
      <c r="X206" s="1709"/>
      <c r="Y206" s="1709"/>
      <c r="Z206" s="1709"/>
    </row>
    <row r="207" spans="15:26" s="1704" customFormat="1">
      <c r="O207" s="1709"/>
      <c r="Q207" s="1709"/>
      <c r="R207" s="1709"/>
      <c r="V207" s="1709"/>
      <c r="W207" s="1709"/>
      <c r="X207" s="1709"/>
      <c r="Y207" s="1709"/>
      <c r="Z207" s="1709"/>
    </row>
    <row r="208" spans="15:26" s="1704" customFormat="1">
      <c r="O208" s="1709"/>
      <c r="Q208" s="1709"/>
      <c r="R208" s="1709"/>
      <c r="V208" s="1709"/>
      <c r="W208" s="1709"/>
      <c r="X208" s="1709"/>
      <c r="Y208" s="1709"/>
      <c r="Z208" s="1709"/>
    </row>
    <row r="209" spans="2:26" s="1704" customFormat="1">
      <c r="O209" s="1709"/>
      <c r="Q209" s="1709"/>
      <c r="R209" s="1709"/>
      <c r="V209" s="1709"/>
      <c r="W209" s="1709"/>
      <c r="X209" s="1709"/>
      <c r="Y209" s="1709"/>
      <c r="Z209" s="1709"/>
    </row>
    <row r="210" spans="2:26" s="1704" customFormat="1">
      <c r="O210" s="1709"/>
      <c r="Q210" s="1709"/>
      <c r="R210" s="1709"/>
      <c r="V210" s="1709"/>
      <c r="W210" s="1709"/>
      <c r="X210" s="1709"/>
      <c r="Y210" s="1709"/>
      <c r="Z210" s="1709"/>
    </row>
    <row r="211" spans="2:26" s="1704" customFormat="1">
      <c r="O211" s="1709"/>
      <c r="Q211" s="1709"/>
      <c r="R211" s="1709"/>
      <c r="V211" s="1709"/>
      <c r="W211" s="1709"/>
      <c r="X211" s="1709"/>
      <c r="Y211" s="1709"/>
      <c r="Z211" s="1709"/>
    </row>
    <row r="212" spans="2:26" s="1704" customFormat="1">
      <c r="O212" s="1709"/>
      <c r="Q212" s="1709"/>
      <c r="R212" s="1709"/>
      <c r="V212" s="1709"/>
      <c r="W212" s="1709"/>
      <c r="X212" s="1709"/>
      <c r="Y212" s="1709"/>
      <c r="Z212" s="1709"/>
    </row>
    <row r="213" spans="2:26" s="1704" customFormat="1">
      <c r="O213" s="1709"/>
      <c r="Q213" s="1709"/>
      <c r="R213" s="1709"/>
      <c r="V213" s="1709"/>
      <c r="W213" s="1709"/>
      <c r="X213" s="1709"/>
      <c r="Y213" s="1709"/>
      <c r="Z213" s="1709"/>
    </row>
    <row r="214" spans="2:26" s="1704" customFormat="1">
      <c r="O214" s="1709"/>
      <c r="Q214" s="1709"/>
      <c r="R214" s="1709"/>
      <c r="V214" s="1709"/>
      <c r="W214" s="1709"/>
      <c r="X214" s="1709"/>
      <c r="Y214" s="1709"/>
      <c r="Z214" s="1709"/>
    </row>
    <row r="215" spans="2:26" s="1704" customFormat="1">
      <c r="O215" s="1709"/>
      <c r="Q215" s="1709"/>
      <c r="R215" s="1709"/>
      <c r="V215" s="1709"/>
      <c r="W215" s="1709"/>
      <c r="X215" s="1709"/>
      <c r="Y215" s="1709"/>
      <c r="Z215" s="1709"/>
    </row>
    <row r="216" spans="2:26" s="1704" customFormat="1">
      <c r="O216" s="1709"/>
      <c r="Q216" s="1709"/>
      <c r="R216" s="1709"/>
      <c r="V216" s="1709"/>
      <c r="W216" s="1709"/>
      <c r="X216" s="1709"/>
      <c r="Y216" s="1709"/>
      <c r="Z216" s="1709"/>
    </row>
    <row r="217" spans="2:26" s="1704" customFormat="1">
      <c r="O217" s="1709"/>
      <c r="Q217" s="1709"/>
      <c r="R217" s="1709"/>
      <c r="V217" s="1709"/>
      <c r="W217" s="1709"/>
      <c r="X217" s="1709"/>
      <c r="Y217" s="1709"/>
      <c r="Z217" s="1709"/>
    </row>
    <row r="218" spans="2:26" s="1704" customFormat="1">
      <c r="O218" s="1709"/>
      <c r="Q218" s="1709"/>
      <c r="R218" s="1709"/>
      <c r="V218" s="1709"/>
      <c r="W218" s="1709"/>
      <c r="X218" s="1709"/>
      <c r="Y218" s="1709"/>
      <c r="Z218" s="1709"/>
    </row>
    <row r="219" spans="2:26" s="1704" customFormat="1">
      <c r="O219" s="1709"/>
      <c r="Q219" s="1709"/>
      <c r="R219" s="1709"/>
      <c r="V219" s="1709"/>
      <c r="W219" s="1709"/>
      <c r="X219" s="1709"/>
      <c r="Y219" s="1709"/>
      <c r="Z219" s="1709"/>
    </row>
    <row r="220" spans="2:26" s="1704" customFormat="1">
      <c r="O220" s="1709"/>
      <c r="Q220" s="1709"/>
      <c r="R220" s="1709"/>
      <c r="V220" s="1709"/>
      <c r="W220" s="1709"/>
      <c r="X220" s="1709"/>
      <c r="Y220" s="1709"/>
      <c r="Z220" s="1709"/>
    </row>
    <row r="221" spans="2:26" s="1704" customFormat="1">
      <c r="O221" s="1709"/>
      <c r="Q221" s="1709"/>
      <c r="R221" s="1709"/>
      <c r="V221" s="1709"/>
      <c r="W221" s="1709"/>
      <c r="X221" s="1709"/>
      <c r="Y221" s="1709"/>
      <c r="Z221" s="1709"/>
    </row>
    <row r="222" spans="2:26" s="1704" customFormat="1" ht="15.75">
      <c r="B222" s="2511" t="str">
        <f>B70</f>
        <v>3.3. Flooded rice systems</v>
      </c>
      <c r="C222" s="2511"/>
      <c r="D222" s="2511"/>
      <c r="E222" s="2512"/>
      <c r="F222" s="2512"/>
      <c r="G222" s="2512"/>
      <c r="H222" s="2512"/>
      <c r="I222" s="2512"/>
      <c r="J222" s="2512"/>
      <c r="K222" s="2512"/>
      <c r="L222" s="2512"/>
      <c r="M222" s="2512"/>
      <c r="N222" s="2512"/>
      <c r="O222" s="2513"/>
      <c r="Q222" s="1709"/>
      <c r="R222" s="1709"/>
      <c r="V222" s="1709"/>
      <c r="W222" s="1709"/>
      <c r="X222" s="1709"/>
      <c r="Y222" s="1709"/>
      <c r="Z222" s="1709"/>
    </row>
    <row r="223" spans="2:26" s="1704" customFormat="1">
      <c r="O223" s="1709"/>
      <c r="Q223" s="1709"/>
      <c r="R223" s="1709"/>
      <c r="V223" s="1709"/>
      <c r="W223" s="1709"/>
      <c r="X223" s="1709"/>
      <c r="Y223" s="1709"/>
      <c r="Z223" s="1709"/>
    </row>
    <row r="224" spans="2:26" s="1704" customFormat="1">
      <c r="B224" s="2137"/>
      <c r="C224" s="2137"/>
      <c r="D224" s="2137"/>
      <c r="E224" s="1983"/>
      <c r="F224" s="2137"/>
      <c r="G224" s="2137"/>
      <c r="H224" s="2137"/>
      <c r="I224" s="2137"/>
      <c r="J224" s="2137"/>
      <c r="K224" s="2137"/>
      <c r="L224" s="2137"/>
      <c r="M224" s="2137"/>
      <c r="N224" s="2137"/>
      <c r="O224" s="2200"/>
      <c r="Q224" s="3721" t="str">
        <f>HLOOKUP(select,translations!$A$76:$H$144,58,)</f>
        <v>Water regime prior to rice cultivation (schematic presentation showing flooded periods as shaded)</v>
      </c>
      <c r="R224" s="3721"/>
      <c r="S224" s="3721"/>
      <c r="T224" s="3721"/>
      <c r="U224" s="3721"/>
      <c r="V224" s="3721"/>
      <c r="W224" s="3721"/>
      <c r="X224" s="3721"/>
      <c r="Y224" s="3721"/>
      <c r="Z224" s="3721"/>
    </row>
    <row r="225" spans="2:26" s="1704" customFormat="1">
      <c r="B225" s="2137"/>
      <c r="C225" s="2137"/>
      <c r="D225" s="2137"/>
      <c r="E225" s="2137"/>
      <c r="F225" s="2137"/>
      <c r="G225" s="2137"/>
      <c r="H225" s="2137"/>
      <c r="I225" s="2137"/>
      <c r="J225" s="2137"/>
      <c r="K225" s="2137"/>
      <c r="L225" s="2137"/>
      <c r="M225" s="2137"/>
      <c r="N225" s="2137"/>
      <c r="O225" s="2200"/>
      <c r="Q225" s="3721"/>
      <c r="R225" s="3721"/>
      <c r="S225" s="3721"/>
      <c r="T225" s="3721"/>
      <c r="U225" s="3721"/>
      <c r="V225" s="3721"/>
      <c r="W225" s="3721"/>
      <c r="X225" s="3721"/>
      <c r="Y225" s="3721"/>
      <c r="Z225" s="3721"/>
    </row>
    <row r="226" spans="2:26" s="1704" customFormat="1">
      <c r="B226" s="2137"/>
      <c r="C226" s="2137"/>
      <c r="D226" s="2137"/>
      <c r="E226" s="2137"/>
      <c r="F226" s="2137"/>
      <c r="G226" s="2137"/>
      <c r="H226" s="2137"/>
      <c r="I226" s="2137"/>
      <c r="J226" s="2137"/>
      <c r="K226" s="2137"/>
      <c r="L226" s="2137"/>
      <c r="M226" s="2137"/>
      <c r="N226" s="2137"/>
      <c r="O226" s="2200"/>
      <c r="Q226" s="3721"/>
      <c r="R226" s="3721"/>
      <c r="S226" s="3721"/>
      <c r="T226" s="3721"/>
      <c r="U226" s="3721"/>
      <c r="V226" s="3721"/>
      <c r="W226" s="3721"/>
      <c r="X226" s="3721"/>
      <c r="Y226" s="3721"/>
      <c r="Z226" s="3721"/>
    </row>
    <row r="227" spans="2:26" s="1704" customFormat="1">
      <c r="B227" s="2779" t="str">
        <f>B167</f>
        <v>Use this part only if you want to refine the analysis with Tier 2 coefficients.</v>
      </c>
      <c r="C227" s="2222"/>
      <c r="D227" s="2222"/>
      <c r="E227" s="2203"/>
      <c r="F227" s="2213"/>
      <c r="G227" s="2203"/>
      <c r="H227" s="2203"/>
      <c r="I227" s="2203"/>
      <c r="J227" s="2137"/>
      <c r="K227" s="2137"/>
      <c r="L227" s="2137"/>
      <c r="M227" s="2137"/>
      <c r="N227" s="2137"/>
      <c r="O227" s="2200"/>
      <c r="Q227" s="3721"/>
      <c r="R227" s="3721"/>
      <c r="S227" s="3721"/>
      <c r="T227" s="3721"/>
      <c r="U227" s="3721"/>
      <c r="V227" s="3721"/>
      <c r="W227" s="3721"/>
      <c r="X227" s="3721"/>
      <c r="Y227" s="3721"/>
      <c r="Z227" s="3721"/>
    </row>
    <row r="228" spans="2:26" s="1704" customFormat="1">
      <c r="B228" s="3726" t="str">
        <f>B168</f>
        <v>(default values are provided for your information only, while EX-ACT will use Tier 2 values automatically wherever specified)</v>
      </c>
      <c r="C228" s="3726"/>
      <c r="D228" s="3726"/>
      <c r="E228" s="3726"/>
      <c r="F228" s="3726"/>
      <c r="G228" s="3726"/>
      <c r="H228" s="3726"/>
      <c r="I228" s="3726"/>
      <c r="J228" s="3726"/>
      <c r="K228" s="3726"/>
      <c r="L228" s="3726"/>
      <c r="M228" s="3726"/>
      <c r="N228" s="3726"/>
      <c r="O228" s="3726"/>
      <c r="Q228" s="3722"/>
      <c r="R228" s="3722"/>
      <c r="S228" s="3722"/>
      <c r="T228" s="3722"/>
      <c r="U228" s="3722"/>
      <c r="V228" s="3722"/>
      <c r="W228" s="3722"/>
      <c r="X228" s="3722"/>
      <c r="Y228" s="3722"/>
      <c r="Z228" s="3722"/>
    </row>
    <row r="229" spans="2:26" s="1704" customFormat="1">
      <c r="B229" s="3726"/>
      <c r="C229" s="3726"/>
      <c r="D229" s="3726"/>
      <c r="E229" s="3726"/>
      <c r="F229" s="3726"/>
      <c r="G229" s="3726"/>
      <c r="H229" s="3726"/>
      <c r="I229" s="3726"/>
      <c r="J229" s="3726"/>
      <c r="K229" s="3726"/>
      <c r="L229" s="3726"/>
      <c r="M229" s="3726"/>
      <c r="N229" s="3726"/>
      <c r="O229" s="3726"/>
      <c r="Q229" s="3721" t="str">
        <f>HLOOKUP(select,translations!$A$76:$H$144,59,)</f>
        <v>Non flooded preseason &lt;180 d</v>
      </c>
      <c r="R229" s="3721"/>
      <c r="S229" s="3721"/>
      <c r="T229" s="3721"/>
      <c r="U229" s="2605"/>
      <c r="V229" s="2606"/>
      <c r="W229" s="2606"/>
      <c r="X229" s="2606"/>
      <c r="Y229" s="2606"/>
      <c r="Z229" s="2606"/>
    </row>
    <row r="230" spans="2:26" s="1704" customFormat="1">
      <c r="O230" s="1709"/>
      <c r="Q230" s="3721"/>
      <c r="R230" s="3721"/>
      <c r="S230" s="3721"/>
      <c r="T230" s="3721"/>
      <c r="U230" s="2605"/>
      <c r="V230" s="2606"/>
      <c r="W230" s="2606"/>
      <c r="X230" s="2606"/>
      <c r="Y230" s="2606"/>
      <c r="Z230" s="2606"/>
    </row>
    <row r="231" spans="2:26" s="1704" customFormat="1">
      <c r="B231" s="1983" t="str">
        <f>B170</f>
        <v>Systems</v>
      </c>
      <c r="C231" s="2137"/>
      <c r="D231" s="2137"/>
      <c r="E231" s="2137"/>
      <c r="F231" s="2223" t="str">
        <f>K170</f>
        <v>Rates of soil C sequestration</v>
      </c>
      <c r="G231" s="2137"/>
      <c r="H231" s="2203"/>
      <c r="I231" s="2223"/>
      <c r="J231" s="1983" t="str">
        <f>HLOOKUP(select,translations!$A$76:$H$144,55,)</f>
        <v>Amount of Straw burned</v>
      </c>
      <c r="K231" s="1983"/>
      <c r="L231" s="1983"/>
      <c r="M231" s="1983"/>
      <c r="N231" s="2137"/>
      <c r="O231" s="2200"/>
      <c r="Q231" s="3721"/>
      <c r="R231" s="3721"/>
      <c r="S231" s="3721"/>
      <c r="T231" s="3721"/>
      <c r="U231" s="2605"/>
      <c r="V231" s="2606"/>
      <c r="W231" s="2606"/>
      <c r="X231" s="2606"/>
      <c r="Y231" s="2606"/>
      <c r="Z231" s="2606"/>
    </row>
    <row r="232" spans="2:26" s="1704" customFormat="1">
      <c r="B232" s="2137"/>
      <c r="C232" s="2137"/>
      <c r="D232" s="2137"/>
      <c r="E232" s="2137"/>
      <c r="F232" s="3697" t="str">
        <f>L171</f>
        <v xml:space="preserve"> (t CO2/ha/yr)</v>
      </c>
      <c r="G232" s="3697"/>
      <c r="H232" s="2224"/>
      <c r="I232" s="2224"/>
      <c r="J232" s="3683" t="str">
        <f>P171</f>
        <v>Main season crop</v>
      </c>
      <c r="K232" s="3683"/>
      <c r="L232" s="3683"/>
      <c r="M232" s="3683"/>
      <c r="N232" s="2137"/>
      <c r="O232" s="2200"/>
      <c r="Q232" s="3722"/>
      <c r="R232" s="3722"/>
      <c r="S232" s="3722"/>
      <c r="T232" s="3722"/>
      <c r="U232" s="2605"/>
      <c r="V232" s="2606"/>
      <c r="W232" s="2606"/>
      <c r="X232" s="2606"/>
      <c r="Y232" s="2606"/>
      <c r="Z232" s="2606"/>
    </row>
    <row r="233" spans="2:26" s="1704" customFormat="1">
      <c r="B233" s="2900" t="str">
        <f>HLOOKUP(select,translations!$A$76:$H$144,56,)</f>
        <v>Rice systems from (or to) other LU</v>
      </c>
      <c r="C233" s="2137"/>
      <c r="D233" s="2137"/>
      <c r="E233" s="2137"/>
      <c r="F233" s="2211" t="str">
        <f>F172</f>
        <v>Default</v>
      </c>
      <c r="G233" s="2137" t="str">
        <f>G172</f>
        <v>Tier 2</v>
      </c>
      <c r="H233" s="2137"/>
      <c r="I233" s="2137"/>
      <c r="J233" s="2903" t="str">
        <f>F233</f>
        <v>Default</v>
      </c>
      <c r="K233" s="3684" t="str">
        <f>G233</f>
        <v>Tier 2</v>
      </c>
      <c r="L233" s="3684"/>
      <c r="M233" s="3684"/>
      <c r="N233" s="2200"/>
      <c r="O233" s="2200"/>
      <c r="Q233" s="3721" t="str">
        <f>HLOOKUP(select,translations!$A$76:$H$144,60,)</f>
        <v>Non flooded preseason &gt;180 d</v>
      </c>
      <c r="R233" s="3721"/>
      <c r="S233" s="3721"/>
      <c r="T233" s="3721"/>
      <c r="U233" s="2605"/>
      <c r="V233" s="2606"/>
      <c r="W233" s="2606"/>
      <c r="X233" s="2606"/>
      <c r="Y233" s="2606"/>
      <c r="Z233" s="2606"/>
    </row>
    <row r="234" spans="2:26" s="1704" customFormat="1">
      <c r="B234" s="2899" t="str">
        <f>B75</f>
        <v>Rice after Deforestation</v>
      </c>
      <c r="C234" s="2554"/>
      <c r="D234" s="2554"/>
      <c r="E234" s="2554"/>
      <c r="F234" s="2555">
        <v>0</v>
      </c>
      <c r="G234" s="2901"/>
      <c r="H234" s="2554"/>
      <c r="I234" s="2554"/>
      <c r="J234" s="2555">
        <v>5.5</v>
      </c>
      <c r="K234" s="3686"/>
      <c r="L234" s="3686"/>
      <c r="M234" s="3686"/>
      <c r="N234" s="2137"/>
      <c r="O234" s="2200"/>
      <c r="Q234" s="3721"/>
      <c r="R234" s="3721"/>
      <c r="S234" s="3721"/>
      <c r="T234" s="3721"/>
      <c r="U234" s="2605"/>
      <c r="V234" s="2606"/>
      <c r="W234" s="2606"/>
      <c r="X234" s="2606"/>
      <c r="Y234" s="2606"/>
      <c r="Z234" s="2606"/>
    </row>
    <row r="235" spans="2:26" s="1704" customFormat="1">
      <c r="B235" s="2899" t="str">
        <f>B76</f>
        <v>Converted to A/R</v>
      </c>
      <c r="C235" s="2554"/>
      <c r="D235" s="2554"/>
      <c r="E235" s="2554"/>
      <c r="F235" s="2555">
        <v>0</v>
      </c>
      <c r="G235" s="2901"/>
      <c r="H235" s="2554"/>
      <c r="I235" s="2554"/>
      <c r="J235" s="2555">
        <v>5.5</v>
      </c>
      <c r="K235" s="3686"/>
      <c r="L235" s="3686"/>
      <c r="M235" s="3686"/>
      <c r="N235" s="2137"/>
      <c r="O235" s="2200"/>
      <c r="Q235" s="3722"/>
      <c r="R235" s="3722"/>
      <c r="S235" s="3722"/>
      <c r="T235" s="3722"/>
      <c r="U235" s="2605"/>
      <c r="V235" s="2606"/>
      <c r="W235" s="2606"/>
      <c r="X235" s="2606"/>
      <c r="Y235" s="2606"/>
      <c r="Z235" s="2606"/>
    </row>
    <row r="236" spans="2:26" s="1704" customFormat="1">
      <c r="B236" s="2899" t="str">
        <f>B77</f>
        <v>Rice after non-forest LU</v>
      </c>
      <c r="C236" s="2554"/>
      <c r="D236" s="2554"/>
      <c r="E236" s="2554"/>
      <c r="F236" s="2555">
        <v>0</v>
      </c>
      <c r="G236" s="2177"/>
      <c r="H236" s="2554"/>
      <c r="I236" s="2554"/>
      <c r="J236" s="2555">
        <v>5.5</v>
      </c>
      <c r="K236" s="3686"/>
      <c r="L236" s="3686"/>
      <c r="M236" s="3686"/>
      <c r="N236" s="2137"/>
      <c r="O236" s="2200"/>
      <c r="Q236" s="3723" t="str">
        <f>HLOOKUP(select,translations!$A$76:$H$144,61,)</f>
        <v>Flooded preseason (&gt;30 d)</v>
      </c>
      <c r="R236" s="3723"/>
      <c r="S236" s="3723"/>
      <c r="T236" s="3723"/>
      <c r="U236" s="2605"/>
      <c r="V236" s="2606"/>
      <c r="W236" s="2606"/>
      <c r="X236" s="2606"/>
      <c r="Y236" s="2606"/>
      <c r="Z236" s="2606"/>
    </row>
    <row r="237" spans="2:26" s="1704" customFormat="1">
      <c r="B237" s="2899" t="str">
        <f>B78</f>
        <v>Converted to OLUC</v>
      </c>
      <c r="C237" s="2554"/>
      <c r="D237" s="2554"/>
      <c r="E237" s="2554"/>
      <c r="F237" s="2555">
        <v>0</v>
      </c>
      <c r="G237" s="2177"/>
      <c r="H237" s="2554"/>
      <c r="I237" s="2554"/>
      <c r="J237" s="2555">
        <v>5.5</v>
      </c>
      <c r="K237" s="3686"/>
      <c r="L237" s="3686"/>
      <c r="M237" s="3686"/>
      <c r="N237" s="2137"/>
      <c r="O237" s="2200"/>
      <c r="Q237" s="3723"/>
      <c r="R237" s="3723"/>
      <c r="S237" s="3723"/>
      <c r="T237" s="3723"/>
      <c r="U237" s="2605"/>
      <c r="V237" s="2606"/>
      <c r="W237" s="2606"/>
      <c r="X237" s="2606"/>
      <c r="Y237" s="2606"/>
      <c r="Z237" s="2606"/>
    </row>
    <row r="238" spans="2:26" s="1704" customFormat="1">
      <c r="B238" s="2900" t="str">
        <f>HLOOKUP(select,translations!$A$76:$H$144,57,)</f>
        <v>Rice syst. remaining rice syst.</v>
      </c>
      <c r="C238" s="2137"/>
      <c r="D238" s="2137"/>
      <c r="E238" s="2137"/>
      <c r="F238" s="2137"/>
      <c r="G238" s="2137"/>
      <c r="H238" s="2137"/>
      <c r="I238" s="2137"/>
      <c r="J238" s="2137"/>
      <c r="K238" s="2137"/>
      <c r="L238" s="2137"/>
      <c r="M238" s="2137"/>
      <c r="N238" s="2137"/>
      <c r="O238" s="2200"/>
      <c r="Q238" s="3723"/>
      <c r="R238" s="3723"/>
      <c r="S238" s="3723"/>
      <c r="T238" s="3723"/>
      <c r="U238" s="2605"/>
      <c r="V238" s="2606"/>
      <c r="W238" s="2606"/>
      <c r="X238" s="2606"/>
      <c r="Y238" s="2606"/>
      <c r="Z238" s="2606"/>
    </row>
    <row r="239" spans="2:26" s="1704" customFormat="1">
      <c r="B239" s="2554" t="str">
        <f t="shared" ref="B239:B248" si="4">B83</f>
        <v>Rice 1</v>
      </c>
      <c r="C239" s="2554"/>
      <c r="D239" s="2554"/>
      <c r="E239" s="2554"/>
      <c r="F239" s="2555">
        <v>0</v>
      </c>
      <c r="G239" s="2177"/>
      <c r="H239" s="2137"/>
      <c r="I239" s="2554"/>
      <c r="J239" s="2555">
        <v>5.5</v>
      </c>
      <c r="K239" s="3686"/>
      <c r="L239" s="3686"/>
      <c r="M239" s="3686"/>
      <c r="N239" s="2137"/>
      <c r="O239" s="2200"/>
      <c r="Q239" s="1709"/>
      <c r="R239" s="1709"/>
      <c r="V239" s="1709"/>
      <c r="W239" s="1709"/>
      <c r="X239" s="1709"/>
      <c r="Y239" s="1709"/>
      <c r="Z239" s="1709"/>
    </row>
    <row r="240" spans="2:26" s="1704" customFormat="1">
      <c r="B240" s="2554" t="str">
        <f t="shared" si="4"/>
        <v>Rice 2</v>
      </c>
      <c r="C240" s="2554"/>
      <c r="D240" s="2554"/>
      <c r="E240" s="2554"/>
      <c r="F240" s="2555">
        <v>0</v>
      </c>
      <c r="G240" s="2177"/>
      <c r="H240" s="2137"/>
      <c r="I240" s="2554"/>
      <c r="J240" s="2555">
        <v>5.5</v>
      </c>
      <c r="K240" s="3686"/>
      <c r="L240" s="3686"/>
      <c r="M240" s="3686"/>
      <c r="N240" s="2137"/>
      <c r="O240" s="2200"/>
      <c r="Q240" s="1709"/>
      <c r="R240" s="1709"/>
      <c r="V240" s="1709"/>
      <c r="W240" s="1709"/>
      <c r="X240" s="1709"/>
      <c r="Y240" s="1709"/>
      <c r="Z240" s="1709"/>
    </row>
    <row r="241" spans="2:26" s="1704" customFormat="1">
      <c r="B241" s="2554" t="str">
        <f t="shared" si="4"/>
        <v>Rice 3</v>
      </c>
      <c r="C241" s="2554"/>
      <c r="D241" s="2554"/>
      <c r="E241" s="2554"/>
      <c r="F241" s="2555">
        <v>0</v>
      </c>
      <c r="G241" s="2177"/>
      <c r="H241" s="2137"/>
      <c r="I241" s="2554"/>
      <c r="J241" s="2555">
        <v>5.5</v>
      </c>
      <c r="K241" s="3686"/>
      <c r="L241" s="3686"/>
      <c r="M241" s="3686"/>
      <c r="N241" s="2137"/>
      <c r="O241" s="2200"/>
      <c r="Q241" s="1709"/>
      <c r="R241" s="1709"/>
      <c r="V241" s="1709"/>
      <c r="W241" s="1709"/>
      <c r="X241" s="1709"/>
      <c r="Y241" s="1709"/>
      <c r="Z241" s="1709"/>
    </row>
    <row r="242" spans="2:26" s="1704" customFormat="1">
      <c r="B242" s="2554" t="str">
        <f t="shared" si="4"/>
        <v>Rice 4</v>
      </c>
      <c r="C242" s="2554"/>
      <c r="D242" s="2554"/>
      <c r="E242" s="2554"/>
      <c r="F242" s="2555">
        <v>0</v>
      </c>
      <c r="G242" s="2177"/>
      <c r="H242" s="2137"/>
      <c r="I242" s="2554"/>
      <c r="J242" s="2555">
        <v>5.5</v>
      </c>
      <c r="K242" s="3686"/>
      <c r="L242" s="3686"/>
      <c r="M242" s="3686"/>
      <c r="N242" s="2137"/>
      <c r="O242" s="2200"/>
      <c r="Q242" s="1709"/>
      <c r="R242" s="1709"/>
      <c r="V242" s="1709"/>
      <c r="W242" s="1709"/>
      <c r="X242" s="1709"/>
      <c r="Y242" s="1709"/>
      <c r="Z242" s="1709"/>
    </row>
    <row r="243" spans="2:26" s="1704" customFormat="1">
      <c r="B243" s="2554" t="str">
        <f t="shared" si="4"/>
        <v>Rice 5</v>
      </c>
      <c r="C243" s="2554"/>
      <c r="D243" s="2554"/>
      <c r="E243" s="2554"/>
      <c r="F243" s="2555">
        <v>0</v>
      </c>
      <c r="G243" s="2177"/>
      <c r="H243" s="2137"/>
      <c r="I243" s="2554"/>
      <c r="J243" s="2555">
        <v>5.5</v>
      </c>
      <c r="K243" s="3686"/>
      <c r="L243" s="3686"/>
      <c r="M243" s="3686"/>
      <c r="N243" s="2137"/>
      <c r="O243" s="2200"/>
      <c r="Q243" s="1709"/>
      <c r="R243" s="1709"/>
      <c r="V243" s="1709"/>
      <c r="W243" s="1709"/>
      <c r="X243" s="1709"/>
      <c r="Y243" s="1709"/>
      <c r="Z243" s="1709"/>
    </row>
    <row r="244" spans="2:26" s="1704" customFormat="1">
      <c r="B244" s="2554" t="str">
        <f t="shared" si="4"/>
        <v>Rice 6</v>
      </c>
      <c r="C244" s="2554"/>
      <c r="D244" s="2554"/>
      <c r="E244" s="2554"/>
      <c r="F244" s="2555">
        <v>0</v>
      </c>
      <c r="G244" s="2177"/>
      <c r="H244" s="2137"/>
      <c r="I244" s="2554"/>
      <c r="J244" s="2555">
        <v>5.5</v>
      </c>
      <c r="K244" s="3686"/>
      <c r="L244" s="3686"/>
      <c r="M244" s="3686"/>
      <c r="N244" s="2137"/>
      <c r="O244" s="2200"/>
      <c r="Q244" s="1709"/>
      <c r="R244" s="1709"/>
      <c r="V244" s="1709"/>
      <c r="W244" s="1709"/>
      <c r="X244" s="1709"/>
      <c r="Y244" s="1709"/>
      <c r="Z244" s="1709"/>
    </row>
    <row r="245" spans="2:26" s="1704" customFormat="1">
      <c r="B245" s="2554" t="str">
        <f t="shared" si="4"/>
        <v>Rice 7</v>
      </c>
      <c r="C245" s="2554"/>
      <c r="D245" s="2554"/>
      <c r="E245" s="2554"/>
      <c r="F245" s="2555">
        <v>0</v>
      </c>
      <c r="G245" s="2177"/>
      <c r="H245" s="2137"/>
      <c r="I245" s="2554"/>
      <c r="J245" s="2555">
        <v>5.5</v>
      </c>
      <c r="K245" s="3686"/>
      <c r="L245" s="3686"/>
      <c r="M245" s="3686"/>
      <c r="N245" s="2137"/>
      <c r="O245" s="2200"/>
      <c r="Q245" s="1709"/>
      <c r="R245" s="1709"/>
      <c r="V245" s="1709"/>
      <c r="W245" s="1709"/>
      <c r="X245" s="1709"/>
      <c r="Y245" s="1709"/>
      <c r="Z245" s="1709"/>
    </row>
    <row r="246" spans="2:26" s="1704" customFormat="1">
      <c r="B246" s="2554" t="str">
        <f t="shared" si="4"/>
        <v>Rice 8</v>
      </c>
      <c r="C246" s="2554"/>
      <c r="D246" s="2554"/>
      <c r="E246" s="2554"/>
      <c r="F246" s="2555">
        <v>0</v>
      </c>
      <c r="G246" s="2177"/>
      <c r="H246" s="2137"/>
      <c r="I246" s="2554"/>
      <c r="J246" s="2555">
        <v>5.5</v>
      </c>
      <c r="K246" s="3686"/>
      <c r="L246" s="3686"/>
      <c r="M246" s="3686"/>
      <c r="N246" s="2137"/>
      <c r="O246" s="2200"/>
      <c r="Q246" s="1709"/>
      <c r="R246" s="1709"/>
      <c r="V246" s="1709"/>
      <c r="W246" s="1709"/>
      <c r="X246" s="1709"/>
      <c r="Y246" s="1709"/>
      <c r="Z246" s="1709"/>
    </row>
    <row r="247" spans="2:26" s="1704" customFormat="1">
      <c r="B247" s="2554" t="str">
        <f t="shared" si="4"/>
        <v>Rice 9</v>
      </c>
      <c r="C247" s="2554"/>
      <c r="D247" s="2554"/>
      <c r="E247" s="2554"/>
      <c r="F247" s="2555">
        <v>0</v>
      </c>
      <c r="G247" s="2177"/>
      <c r="H247" s="2137"/>
      <c r="I247" s="2554"/>
      <c r="J247" s="2555">
        <v>5.5</v>
      </c>
      <c r="K247" s="3686"/>
      <c r="L247" s="3686"/>
      <c r="M247" s="3686"/>
      <c r="N247" s="2137"/>
      <c r="O247" s="2200"/>
      <c r="Q247" s="1709"/>
      <c r="R247" s="1709"/>
      <c r="V247" s="1709"/>
      <c r="W247" s="1709"/>
      <c r="X247" s="1709"/>
      <c r="Y247" s="1709"/>
      <c r="Z247" s="1709"/>
    </row>
    <row r="248" spans="2:26" s="1704" customFormat="1">
      <c r="B248" s="2554" t="str">
        <f t="shared" si="4"/>
        <v>Rice 10</v>
      </c>
      <c r="C248" s="2554"/>
      <c r="D248" s="2554"/>
      <c r="E248" s="2554"/>
      <c r="F248" s="2555">
        <v>0</v>
      </c>
      <c r="G248" s="2177"/>
      <c r="H248" s="2137"/>
      <c r="I248" s="2554"/>
      <c r="J248" s="2555">
        <v>5.5</v>
      </c>
      <c r="K248" s="3686"/>
      <c r="L248" s="3686"/>
      <c r="M248" s="3686"/>
      <c r="N248" s="2137"/>
      <c r="O248" s="2200"/>
      <c r="Q248" s="1709"/>
      <c r="R248" s="1709"/>
      <c r="V248" s="1709"/>
      <c r="W248" s="1709"/>
      <c r="X248" s="1709"/>
      <c r="Y248" s="1709"/>
      <c r="Z248" s="1709"/>
    </row>
    <row r="249" spans="2:26" s="1704" customFormat="1">
      <c r="O249" s="1709"/>
      <c r="Q249" s="1709"/>
      <c r="R249" s="1709"/>
      <c r="V249" s="1709"/>
      <c r="W249" s="1709"/>
      <c r="X249" s="1709"/>
      <c r="Y249" s="1709"/>
      <c r="Z249" s="1709"/>
    </row>
    <row r="250" spans="2:26" s="1704" customFormat="1">
      <c r="B250" s="1983" t="str">
        <f>B231</f>
        <v>Systems</v>
      </c>
      <c r="C250" s="3436"/>
      <c r="D250" s="3671" t="str">
        <f>HLOOKUP(select,translations!$A$511:$H$520,2,)</f>
        <v>Daily emission factor for Rice  (EF) = EF-Basis × EF-Before × EF-During × EF-Org. Amendment</v>
      </c>
      <c r="E250" s="3671"/>
      <c r="F250" s="3671"/>
      <c r="G250" s="3671"/>
      <c r="H250" s="3671"/>
      <c r="I250" s="3671"/>
      <c r="J250" s="3671"/>
      <c r="K250" s="3671"/>
      <c r="L250" s="3671"/>
      <c r="M250" s="3671"/>
      <c r="N250" s="3671"/>
      <c r="O250" s="3671"/>
      <c r="P250" s="3671"/>
      <c r="Q250" s="3671"/>
      <c r="R250" s="2910"/>
      <c r="S250" s="2910"/>
      <c r="T250" s="2910"/>
      <c r="U250" s="2910"/>
      <c r="V250" s="2910"/>
      <c r="W250" s="3638"/>
      <c r="X250" s="1709"/>
      <c r="Y250" s="1709"/>
      <c r="Z250" s="1709"/>
    </row>
    <row r="251" spans="2:26" s="1704" customFormat="1">
      <c r="B251" s="2137"/>
      <c r="C251" s="2137"/>
      <c r="D251" s="2137"/>
      <c r="E251" s="3696" t="str">
        <f>HLOOKUP(select,translations!$A$511:$H$520,3,)</f>
        <v>(EF are in kg CH4 per ha per day)</v>
      </c>
      <c r="F251" s="3696"/>
      <c r="G251" s="3696"/>
      <c r="H251" s="3696"/>
      <c r="I251" s="3696"/>
      <c r="J251" s="3696"/>
      <c r="K251" s="3696"/>
      <c r="L251" s="3696"/>
      <c r="M251" s="3696"/>
      <c r="N251" s="3696"/>
      <c r="O251" s="3696"/>
      <c r="P251" s="3696"/>
      <c r="Q251" s="3696"/>
      <c r="R251" s="2910"/>
      <c r="S251" s="2910"/>
      <c r="T251" s="2910"/>
      <c r="U251" s="2910"/>
      <c r="V251" s="2910"/>
      <c r="W251" s="3638"/>
      <c r="X251" s="3638"/>
      <c r="Y251" s="1709"/>
      <c r="Z251" s="1709"/>
    </row>
    <row r="252" spans="2:26" s="1704" customFormat="1">
      <c r="B252" s="2137"/>
      <c r="C252" s="2137"/>
      <c r="D252" s="2137"/>
      <c r="E252" s="3724" t="str">
        <f>HLOOKUP(select,translations!$A$511:$H$520,4,)</f>
        <v>EF-Basis</v>
      </c>
      <c r="F252" s="3724"/>
      <c r="G252" s="3724" t="str">
        <f>HLOOKUP(select,translations!$A$511:$H$520,6,)</f>
        <v>EF-During</v>
      </c>
      <c r="H252" s="3724"/>
      <c r="I252" s="3724"/>
      <c r="J252" s="3724" t="str">
        <f>HLOOKUP(select,translations!$A$511:$H$520,5,)</f>
        <v>EF-Before</v>
      </c>
      <c r="K252" s="3724"/>
      <c r="L252" s="3724"/>
      <c r="M252" s="3724"/>
      <c r="N252" s="2902"/>
      <c r="O252" s="3724" t="str">
        <f>HLOOKUP(select,translations!$A$511:$H$520,7,)</f>
        <v>EF-Org. Amendement</v>
      </c>
      <c r="P252" s="3724"/>
      <c r="Q252" s="2910"/>
      <c r="R252" s="2910"/>
      <c r="S252" s="2910"/>
      <c r="T252" s="3683" t="str">
        <f>HLOOKUP(select,translations!$A$511:$H$520,8,)</f>
        <v>EF</v>
      </c>
      <c r="U252" s="3683"/>
      <c r="V252" s="3683"/>
      <c r="W252" s="3638"/>
      <c r="X252" s="3638"/>
      <c r="Y252" s="1709"/>
      <c r="Z252" s="1709"/>
    </row>
    <row r="253" spans="2:26" s="1704" customFormat="1">
      <c r="B253" s="2900" t="str">
        <f t="shared" ref="B253:B268" si="5">B233</f>
        <v>Rice systems from (or to) other LU</v>
      </c>
      <c r="C253" s="2137"/>
      <c r="D253" s="2137"/>
      <c r="E253" s="2902" t="str">
        <f>F233</f>
        <v>Default</v>
      </c>
      <c r="F253" s="2902" t="str">
        <f>G233</f>
        <v>Tier 2</v>
      </c>
      <c r="G253" s="2902" t="str">
        <f>E253</f>
        <v>Default</v>
      </c>
      <c r="H253" s="2902"/>
      <c r="I253" s="2902" t="str">
        <f>F253</f>
        <v>Tier 2</v>
      </c>
      <c r="J253" s="2902" t="str">
        <f>G253</f>
        <v>Default</v>
      </c>
      <c r="K253" s="3684" t="str">
        <f>I253</f>
        <v>Tier 2</v>
      </c>
      <c r="L253" s="3684"/>
      <c r="M253" s="3684"/>
      <c r="N253" s="2902"/>
      <c r="O253" s="2902" t="str">
        <f>J253</f>
        <v>Default</v>
      </c>
      <c r="P253" s="2902" t="str">
        <f>K253</f>
        <v>Tier 2</v>
      </c>
      <c r="Q253" s="2910"/>
      <c r="R253" s="2910"/>
      <c r="S253" s="2910"/>
      <c r="T253" s="2902" t="str">
        <f>O253</f>
        <v>Default</v>
      </c>
      <c r="U253" s="3684" t="str">
        <f>P253</f>
        <v>Tier 2</v>
      </c>
      <c r="V253" s="3684"/>
      <c r="W253" s="3638"/>
      <c r="X253" s="3638"/>
      <c r="Y253" s="1709"/>
      <c r="Z253" s="1709"/>
    </row>
    <row r="254" spans="2:26" s="1704" customFormat="1">
      <c r="B254" s="2899" t="str">
        <f t="shared" si="5"/>
        <v>Rice after Deforestation</v>
      </c>
      <c r="C254" s="2137"/>
      <c r="D254" s="2137"/>
      <c r="E254" s="2555">
        <v>1.3</v>
      </c>
      <c r="F254" s="2901"/>
      <c r="G254" s="2555">
        <f>(IF(F75=' IPCC'!$A$608,0,VLOOKUP(F75,' IPCC'!$A$609:$B$611,2,)))</f>
        <v>0</v>
      </c>
      <c r="H254" s="2902"/>
      <c r="I254" s="2901"/>
      <c r="J254" s="2555">
        <f>(IF(I75=' IPCC'!$A$615,0,VLOOKUP(I75,' IPCC'!$A$616:$B$618,2,)))</f>
        <v>0</v>
      </c>
      <c r="K254" s="3686"/>
      <c r="L254" s="3686"/>
      <c r="M254" s="3686"/>
      <c r="N254" s="2910"/>
      <c r="O254" s="2910">
        <f>(1+(IF(ISBLANK(K234),J234,K234))*IF(O75=' IPCC'!$A$622,0,VLOOKUP(O75,' IPCC'!$A$623:$B$629,2,)))^0.59</f>
        <v>1</v>
      </c>
      <c r="P254" s="2901"/>
      <c r="Q254" s="2910"/>
      <c r="R254" s="2910"/>
      <c r="S254" s="2910"/>
      <c r="T254" s="2909">
        <f>IF(ISBLANK(F254),E254,F254)*IF(ISBLANK(I254),G254,I254)*IF(ISBLANK(K254),J254,K254)*IF(ISBLANK(P254),O254,P254)</f>
        <v>0</v>
      </c>
      <c r="U254" s="3685"/>
      <c r="V254" s="3686"/>
      <c r="W254" s="3638"/>
      <c r="X254" s="3638"/>
      <c r="Y254" s="1709"/>
      <c r="Z254" s="1709"/>
    </row>
    <row r="255" spans="2:26" s="1704" customFormat="1">
      <c r="B255" s="2899" t="str">
        <f t="shared" si="5"/>
        <v>Converted to A/R</v>
      </c>
      <c r="C255" s="2137"/>
      <c r="D255" s="2137"/>
      <c r="E255" s="2555">
        <f>E254</f>
        <v>1.3</v>
      </c>
      <c r="F255" s="2901"/>
      <c r="G255" s="2555">
        <f>(IF(F76=' IPCC'!$A$608,0,VLOOKUP(F76,' IPCC'!$A$609:$B$611,2,)))</f>
        <v>0</v>
      </c>
      <c r="H255" s="2902"/>
      <c r="I255" s="2901"/>
      <c r="J255" s="2555">
        <f>(IF(I76=' IPCC'!$A$615,0,VLOOKUP(I76,' IPCC'!$A$616:$B$618,2,)))</f>
        <v>0</v>
      </c>
      <c r="K255" s="3686"/>
      <c r="L255" s="3686"/>
      <c r="M255" s="3686"/>
      <c r="N255" s="2910"/>
      <c r="O255" s="2910">
        <f>(1+(IF(ISBLANK(K235),J235,K235))*IF(O76=' IPCC'!$A$622,0,VLOOKUP(O76,' IPCC'!$A$623:$B$629,2,)))^0.59</f>
        <v>1</v>
      </c>
      <c r="P255" s="2901"/>
      <c r="Q255" s="2910"/>
      <c r="R255" s="2910"/>
      <c r="S255" s="2910"/>
      <c r="T255" s="2909">
        <f>IF(ISBLANK(F255),E255,F255)*IF(ISBLANK(I255),G255,I255)*IF(ISBLANK(K255),J255,K255)*IF(ISBLANK(P255),O255,P255)</f>
        <v>0</v>
      </c>
      <c r="U255" s="3685"/>
      <c r="V255" s="3686"/>
      <c r="W255" s="3638"/>
      <c r="X255" s="3638"/>
      <c r="Y255" s="1709"/>
      <c r="Z255" s="1709"/>
    </row>
    <row r="256" spans="2:26" s="1704" customFormat="1">
      <c r="B256" s="2899" t="str">
        <f t="shared" si="5"/>
        <v>Rice after non-forest LU</v>
      </c>
      <c r="C256" s="2137"/>
      <c r="D256" s="2137"/>
      <c r="E256" s="2555">
        <f t="shared" ref="E256:E268" si="6">E255</f>
        <v>1.3</v>
      </c>
      <c r="F256" s="2901"/>
      <c r="G256" s="2555">
        <f>(IF(F77=' IPCC'!$A$608,0,VLOOKUP(F77,' IPCC'!$A$609:$B$611,2,)))</f>
        <v>0</v>
      </c>
      <c r="H256" s="2902"/>
      <c r="I256" s="2901"/>
      <c r="J256" s="2555">
        <f>(IF(I77=' IPCC'!$A$615,0,VLOOKUP(I77,' IPCC'!$A$616:$B$618,2,)))</f>
        <v>0</v>
      </c>
      <c r="K256" s="3686"/>
      <c r="L256" s="3686"/>
      <c r="M256" s="3686"/>
      <c r="N256" s="2910"/>
      <c r="O256" s="2910">
        <f>(1+(IF(ISBLANK(K236),J236,K236))*IF(O77=' IPCC'!$A$622,0,VLOOKUP(O77,' IPCC'!$A$623:$B$629,2,)))^0.59</f>
        <v>1</v>
      </c>
      <c r="P256" s="2901"/>
      <c r="Q256" s="2910"/>
      <c r="R256" s="2910"/>
      <c r="S256" s="2910"/>
      <c r="T256" s="2909">
        <f>IF(ISBLANK(F256),E256,F256)*IF(ISBLANK(I256),G256,I256)*IF(ISBLANK(K256),J256,K256)*IF(ISBLANK(P256),O256,P256)</f>
        <v>0</v>
      </c>
      <c r="U256" s="3686"/>
      <c r="V256" s="3686"/>
      <c r="W256" s="3638"/>
      <c r="X256" s="3638"/>
      <c r="Y256" s="1709"/>
      <c r="Z256" s="1709"/>
    </row>
    <row r="257" spans="2:26" s="1704" customFormat="1">
      <c r="B257" s="2899" t="str">
        <f t="shared" si="5"/>
        <v>Converted to OLUC</v>
      </c>
      <c r="C257" s="2137"/>
      <c r="D257" s="2137"/>
      <c r="E257" s="2555">
        <f t="shared" si="6"/>
        <v>1.3</v>
      </c>
      <c r="F257" s="2901"/>
      <c r="G257" s="2555">
        <f>(IF(F78=' IPCC'!$A$608,0,VLOOKUP(F78,' IPCC'!$A$609:$B$611,2,)))</f>
        <v>0</v>
      </c>
      <c r="H257" s="2902"/>
      <c r="I257" s="2901"/>
      <c r="J257" s="2555">
        <f>(IF(I78=' IPCC'!$A$615,0,VLOOKUP(I78,' IPCC'!$A$616:$B$618,2,)))</f>
        <v>0</v>
      </c>
      <c r="K257" s="3686"/>
      <c r="L257" s="3686"/>
      <c r="M257" s="3686"/>
      <c r="N257" s="2910"/>
      <c r="O257" s="2910">
        <f>(1+(IF(ISBLANK(K237),J237,K237))*IF(O78=' IPCC'!$A$622,0,VLOOKUP(O78,' IPCC'!$A$623:$B$629,2,)))^0.59</f>
        <v>1</v>
      </c>
      <c r="P257" s="2901"/>
      <c r="Q257" s="2910"/>
      <c r="R257" s="2910"/>
      <c r="S257" s="2910"/>
      <c r="T257" s="2909">
        <f>IF(ISBLANK(F257),E257,F257)*IF(ISBLANK(I257),G257,I257)*IF(ISBLANK(K257),J257,K257)*IF(ISBLANK(P257),O257,P257)</f>
        <v>0</v>
      </c>
      <c r="U257" s="3686"/>
      <c r="V257" s="3686"/>
      <c r="W257" s="3638"/>
      <c r="X257" s="3638"/>
      <c r="Y257" s="1709"/>
      <c r="Z257" s="1709"/>
    </row>
    <row r="258" spans="2:26" s="1704" customFormat="1">
      <c r="B258" s="2900" t="str">
        <f t="shared" si="5"/>
        <v>Rice syst. remaining rice syst.</v>
      </c>
      <c r="C258" s="2137"/>
      <c r="D258" s="2137"/>
      <c r="E258" s="2555"/>
      <c r="F258" s="2137"/>
      <c r="G258" s="2555"/>
      <c r="H258" s="2902"/>
      <c r="I258" s="2137"/>
      <c r="J258" s="2555"/>
      <c r="K258" s="2137"/>
      <c r="L258" s="2137"/>
      <c r="M258" s="2137"/>
      <c r="N258" s="2910"/>
      <c r="O258" s="2910"/>
      <c r="P258" s="2137"/>
      <c r="Q258" s="2910"/>
      <c r="R258" s="2910"/>
      <c r="S258" s="2910"/>
      <c r="T258" s="2909"/>
      <c r="U258" s="3640"/>
      <c r="V258" s="3640"/>
      <c r="W258" s="3638"/>
      <c r="X258" s="3638"/>
      <c r="Y258" s="1709"/>
      <c r="Z258" s="1709"/>
    </row>
    <row r="259" spans="2:26" s="1704" customFormat="1">
      <c r="B259" s="2554" t="str">
        <f t="shared" si="5"/>
        <v>Rice 1</v>
      </c>
      <c r="C259" s="2137"/>
      <c r="D259" s="2137"/>
      <c r="E259" s="2555">
        <f>E257</f>
        <v>1.3</v>
      </c>
      <c r="F259" s="2901"/>
      <c r="G259" s="2555">
        <f>(IF(F83=' IPCC'!$A$608,0,VLOOKUP(F83,' IPCC'!$A$609:$B$611,2,)))</f>
        <v>0</v>
      </c>
      <c r="H259" s="2902"/>
      <c r="I259" s="2901"/>
      <c r="J259" s="2555">
        <f>(IF(I83=' IPCC'!$A$615,0,VLOOKUP(I83,' IPCC'!$A$616:$B$618,2,)))</f>
        <v>0</v>
      </c>
      <c r="K259" s="3686"/>
      <c r="L259" s="3686"/>
      <c r="M259" s="3686"/>
      <c r="N259" s="2910"/>
      <c r="O259" s="2910">
        <f>(1+(IF(ISBLANK(K239),J239,K239))*IF(O83=' IPCC'!$A$622,0,VLOOKUP(O83,' IPCC'!$A$623:$B$629,2,)))^0.59</f>
        <v>1</v>
      </c>
      <c r="P259" s="2901"/>
      <c r="Q259" s="2910"/>
      <c r="R259" s="2910"/>
      <c r="S259" s="2910"/>
      <c r="T259" s="2909">
        <f t="shared" ref="T259:T268" si="7">IF(ISBLANK(F259),E259,F259)*IF(ISBLANK(I259),G259,I259)*IF(ISBLANK(K259),J259,K259)*IF(ISBLANK(P259),O259,P259)</f>
        <v>0</v>
      </c>
      <c r="U259" s="3686"/>
      <c r="V259" s="3686"/>
      <c r="W259" s="3638"/>
      <c r="X259" s="3638"/>
      <c r="Y259" s="1709"/>
      <c r="Z259" s="1709"/>
    </row>
    <row r="260" spans="2:26" s="1704" customFormat="1">
      <c r="B260" s="2554" t="str">
        <f t="shared" si="5"/>
        <v>Rice 2</v>
      </c>
      <c r="C260" s="2137"/>
      <c r="D260" s="2137"/>
      <c r="E260" s="2555">
        <f t="shared" si="6"/>
        <v>1.3</v>
      </c>
      <c r="F260" s="2901"/>
      <c r="G260" s="2555">
        <f>(IF(F84=' IPCC'!$A$608,0,VLOOKUP(F84,' IPCC'!$A$609:$B$611,2,)))</f>
        <v>0</v>
      </c>
      <c r="H260" s="2902"/>
      <c r="I260" s="2901"/>
      <c r="J260" s="2555">
        <f>(IF(I84=' IPCC'!$A$615,0,VLOOKUP(I84,' IPCC'!$A$616:$B$618,2,)))</f>
        <v>0</v>
      </c>
      <c r="K260" s="3686"/>
      <c r="L260" s="3686"/>
      <c r="M260" s="3686"/>
      <c r="N260" s="2910"/>
      <c r="O260" s="2910">
        <f>(1+(IF(ISBLANK(K240),J240,K240))*IF(O84=' IPCC'!$A$622,0,VLOOKUP(O84,' IPCC'!$A$623:$B$629,2,)))^0.59</f>
        <v>1</v>
      </c>
      <c r="P260" s="2901"/>
      <c r="Q260" s="2910"/>
      <c r="R260" s="2910"/>
      <c r="S260" s="2910"/>
      <c r="T260" s="2909">
        <f t="shared" si="7"/>
        <v>0</v>
      </c>
      <c r="U260" s="3686"/>
      <c r="V260" s="3686"/>
      <c r="W260" s="3638"/>
      <c r="X260" s="3638"/>
      <c r="Y260" s="1709"/>
      <c r="Z260" s="1709"/>
    </row>
    <row r="261" spans="2:26" s="1704" customFormat="1">
      <c r="B261" s="2554" t="str">
        <f t="shared" si="5"/>
        <v>Rice 3</v>
      </c>
      <c r="C261" s="2137"/>
      <c r="D261" s="2137"/>
      <c r="E261" s="2555">
        <f t="shared" si="6"/>
        <v>1.3</v>
      </c>
      <c r="F261" s="2901"/>
      <c r="G261" s="2555">
        <f>(IF(F85=' IPCC'!$A$608,0,VLOOKUP(F85,' IPCC'!$A$609:$B$611,2,)))</f>
        <v>0</v>
      </c>
      <c r="H261" s="2902"/>
      <c r="I261" s="2901"/>
      <c r="J261" s="2555">
        <f>(IF(I85=' IPCC'!$A$615,0,VLOOKUP(I85,' IPCC'!$A$616:$B$618,2,)))</f>
        <v>0</v>
      </c>
      <c r="K261" s="3686"/>
      <c r="L261" s="3686"/>
      <c r="M261" s="3686"/>
      <c r="N261" s="2910"/>
      <c r="O261" s="2910">
        <f>(1+(IF(ISBLANK(K241),J241,K241))*IF(O85=' IPCC'!$A$622,0,VLOOKUP(O85,' IPCC'!$A$623:$B$629,2,)))^0.59</f>
        <v>1</v>
      </c>
      <c r="P261" s="2901"/>
      <c r="Q261" s="2910"/>
      <c r="R261" s="2910"/>
      <c r="S261" s="2910"/>
      <c r="T261" s="2909">
        <f t="shared" si="7"/>
        <v>0</v>
      </c>
      <c r="U261" s="3686"/>
      <c r="V261" s="3686"/>
      <c r="W261" s="3638"/>
      <c r="X261" s="3638"/>
      <c r="Y261" s="1709"/>
      <c r="Z261" s="1709"/>
    </row>
    <row r="262" spans="2:26" s="1704" customFormat="1">
      <c r="B262" s="2554" t="str">
        <f t="shared" si="5"/>
        <v>Rice 4</v>
      </c>
      <c r="C262" s="2137"/>
      <c r="D262" s="2137"/>
      <c r="E262" s="2555">
        <f t="shared" si="6"/>
        <v>1.3</v>
      </c>
      <c r="F262" s="2901"/>
      <c r="G262" s="2555">
        <f>(IF(F86=' IPCC'!$A$608,0,VLOOKUP(F86,' IPCC'!$A$609:$B$611,2,)))</f>
        <v>0</v>
      </c>
      <c r="H262" s="2902"/>
      <c r="I262" s="2901"/>
      <c r="J262" s="2555">
        <f>(IF(I86=' IPCC'!$A$615,0,VLOOKUP(I86,' IPCC'!$A$616:$B$618,2,)))</f>
        <v>0</v>
      </c>
      <c r="K262" s="3686"/>
      <c r="L262" s="3686"/>
      <c r="M262" s="3686"/>
      <c r="N262" s="2910"/>
      <c r="O262" s="2910">
        <f>(1+(IF(ISBLANK(K242),J242,K242))*IF(O86=' IPCC'!$A$622,0,VLOOKUP(O86,' IPCC'!$A$623:$B$629,2,)))^0.59</f>
        <v>1</v>
      </c>
      <c r="P262" s="2901"/>
      <c r="Q262" s="2910"/>
      <c r="R262" s="2910"/>
      <c r="S262" s="2910"/>
      <c r="T262" s="2909">
        <f t="shared" si="7"/>
        <v>0</v>
      </c>
      <c r="U262" s="3686"/>
      <c r="V262" s="3686"/>
      <c r="W262" s="3638"/>
      <c r="X262" s="3638"/>
      <c r="Y262" s="1709"/>
      <c r="Z262" s="1709"/>
    </row>
    <row r="263" spans="2:26" s="1704" customFormat="1">
      <c r="B263" s="2554" t="str">
        <f t="shared" si="5"/>
        <v>Rice 5</v>
      </c>
      <c r="C263" s="2137"/>
      <c r="D263" s="2137"/>
      <c r="E263" s="2555">
        <f t="shared" si="6"/>
        <v>1.3</v>
      </c>
      <c r="F263" s="2901"/>
      <c r="G263" s="2555">
        <f>(IF(F87=' IPCC'!$A$608,0,VLOOKUP(F87,' IPCC'!$A$609:$B$611,2,)))</f>
        <v>0</v>
      </c>
      <c r="H263" s="2902"/>
      <c r="I263" s="2901"/>
      <c r="J263" s="2555">
        <f>(IF(I87=' IPCC'!$A$615,0,VLOOKUP(I87,' IPCC'!$A$616:$B$618,2,)))</f>
        <v>0</v>
      </c>
      <c r="K263" s="3686"/>
      <c r="L263" s="3686"/>
      <c r="M263" s="3686"/>
      <c r="N263" s="2910"/>
      <c r="O263" s="2910">
        <f>(1+(IF(ISBLANK(K243),J243,K243))*IF(O87=' IPCC'!$A$622,0,VLOOKUP(O87,' IPCC'!$A$623:$B$629,2,)))^0.59</f>
        <v>1</v>
      </c>
      <c r="P263" s="2901"/>
      <c r="Q263" s="2910"/>
      <c r="R263" s="2910"/>
      <c r="S263" s="2910"/>
      <c r="T263" s="2909">
        <f t="shared" si="7"/>
        <v>0</v>
      </c>
      <c r="U263" s="3686"/>
      <c r="V263" s="3686"/>
      <c r="W263" s="3638"/>
      <c r="X263" s="3638"/>
      <c r="Y263" s="1709"/>
      <c r="Z263" s="1709"/>
    </row>
    <row r="264" spans="2:26" s="1704" customFormat="1">
      <c r="B264" s="2554" t="str">
        <f t="shared" si="5"/>
        <v>Rice 6</v>
      </c>
      <c r="C264" s="2137"/>
      <c r="D264" s="2137"/>
      <c r="E264" s="2555">
        <f t="shared" si="6"/>
        <v>1.3</v>
      </c>
      <c r="F264" s="2901"/>
      <c r="G264" s="2555">
        <f>(IF(F88=' IPCC'!$A$608,0,VLOOKUP(F88,' IPCC'!$A$609:$B$611,2,)))</f>
        <v>0</v>
      </c>
      <c r="H264" s="2902"/>
      <c r="I264" s="2901"/>
      <c r="J264" s="2555">
        <f>(IF(I88=' IPCC'!$A$615,0,VLOOKUP(I88,' IPCC'!$A$616:$B$618,2,)))</f>
        <v>0</v>
      </c>
      <c r="K264" s="3686"/>
      <c r="L264" s="3686"/>
      <c r="M264" s="3686"/>
      <c r="N264" s="2910"/>
      <c r="O264" s="2910">
        <f>(1+(IF(ISBLANK(K244),J244,K244))*IF(O88=' IPCC'!$A$622,0,VLOOKUP(O88,' IPCC'!$A$623:$B$629,2,)))^0.59</f>
        <v>1</v>
      </c>
      <c r="P264" s="2901"/>
      <c r="Q264" s="2910"/>
      <c r="R264" s="2910"/>
      <c r="S264" s="2910"/>
      <c r="T264" s="2909">
        <f t="shared" si="7"/>
        <v>0</v>
      </c>
      <c r="U264" s="3686"/>
      <c r="V264" s="3686"/>
      <c r="W264" s="3638"/>
      <c r="X264" s="3638"/>
      <c r="Y264" s="1709"/>
      <c r="Z264" s="1709"/>
    </row>
    <row r="265" spans="2:26" s="1704" customFormat="1">
      <c r="B265" s="2554" t="str">
        <f t="shared" si="5"/>
        <v>Rice 7</v>
      </c>
      <c r="C265" s="2137"/>
      <c r="D265" s="2137"/>
      <c r="E265" s="2555">
        <f t="shared" si="6"/>
        <v>1.3</v>
      </c>
      <c r="F265" s="2901"/>
      <c r="G265" s="2555">
        <f>(IF(F89=' IPCC'!$A$608,0,VLOOKUP(F89,' IPCC'!$A$609:$B$611,2,)))</f>
        <v>0</v>
      </c>
      <c r="H265" s="2902"/>
      <c r="I265" s="2901"/>
      <c r="J265" s="2555">
        <f>(IF(I89=' IPCC'!$A$615,0,VLOOKUP(I89,' IPCC'!$A$616:$B$618,2,)))</f>
        <v>0</v>
      </c>
      <c r="K265" s="3686"/>
      <c r="L265" s="3686"/>
      <c r="M265" s="3686"/>
      <c r="N265" s="2910"/>
      <c r="O265" s="2910">
        <f>(1+(IF(ISBLANK(K245),J245,K245))*IF(O89=' IPCC'!$A$622,0,VLOOKUP(O89,' IPCC'!$A$623:$B$629,2,)))^0.59</f>
        <v>1</v>
      </c>
      <c r="P265" s="2901"/>
      <c r="Q265" s="2910"/>
      <c r="R265" s="2910"/>
      <c r="S265" s="2910"/>
      <c r="T265" s="2909">
        <f t="shared" si="7"/>
        <v>0</v>
      </c>
      <c r="U265" s="3686"/>
      <c r="V265" s="3686"/>
      <c r="W265" s="3638"/>
      <c r="X265" s="3638"/>
      <c r="Y265" s="1709"/>
      <c r="Z265" s="1709"/>
    </row>
    <row r="266" spans="2:26" s="1704" customFormat="1">
      <c r="B266" s="2554" t="str">
        <f t="shared" si="5"/>
        <v>Rice 8</v>
      </c>
      <c r="C266" s="2137"/>
      <c r="D266" s="2137"/>
      <c r="E266" s="2555">
        <f t="shared" si="6"/>
        <v>1.3</v>
      </c>
      <c r="F266" s="2901"/>
      <c r="G266" s="2555">
        <f>(IF(F90=' IPCC'!$A$608,0,VLOOKUP(F90,' IPCC'!$A$609:$B$611,2,)))</f>
        <v>0</v>
      </c>
      <c r="H266" s="2902"/>
      <c r="I266" s="2901"/>
      <c r="J266" s="2555">
        <f>(IF(I90=' IPCC'!$A$615,0,VLOOKUP(I90,' IPCC'!$A$616:$B$618,2,)))</f>
        <v>0</v>
      </c>
      <c r="K266" s="3686"/>
      <c r="L266" s="3686"/>
      <c r="M266" s="3686"/>
      <c r="N266" s="2910"/>
      <c r="O266" s="2910">
        <f>(1+(IF(ISBLANK(K246),J246,K246))*IF(O90=' IPCC'!$A$622,0,VLOOKUP(O90,' IPCC'!$A$623:$B$629,2,)))^0.59</f>
        <v>1</v>
      </c>
      <c r="P266" s="2901"/>
      <c r="Q266" s="2910"/>
      <c r="R266" s="2910"/>
      <c r="S266" s="2910"/>
      <c r="T266" s="2909">
        <f t="shared" si="7"/>
        <v>0</v>
      </c>
      <c r="U266" s="3686"/>
      <c r="V266" s="3686"/>
      <c r="W266" s="3638"/>
      <c r="X266" s="3638"/>
      <c r="Y266" s="1709"/>
      <c r="Z266" s="1709"/>
    </row>
    <row r="267" spans="2:26" s="1704" customFormat="1">
      <c r="B267" s="2554" t="str">
        <f t="shared" si="5"/>
        <v>Rice 9</v>
      </c>
      <c r="C267" s="2137"/>
      <c r="D267" s="2137"/>
      <c r="E267" s="2555">
        <f t="shared" si="6"/>
        <v>1.3</v>
      </c>
      <c r="F267" s="2901"/>
      <c r="G267" s="2555">
        <f>(IF(F91=' IPCC'!$A$608,0,VLOOKUP(F91,' IPCC'!$A$609:$B$611,2,)))</f>
        <v>0</v>
      </c>
      <c r="H267" s="2902"/>
      <c r="I267" s="2901"/>
      <c r="J267" s="2555">
        <f>(IF(I91=' IPCC'!$A$615,0,VLOOKUP(I91,' IPCC'!$A$616:$B$618,2,)))</f>
        <v>0</v>
      </c>
      <c r="K267" s="3686"/>
      <c r="L267" s="3686"/>
      <c r="M267" s="3686"/>
      <c r="N267" s="2910"/>
      <c r="O267" s="2910">
        <f>(1+(IF(ISBLANK(K247),J247,K247))*IF(O91=' IPCC'!$A$622,0,VLOOKUP(O91,' IPCC'!$A$623:$B$629,2,)))^0.59</f>
        <v>1</v>
      </c>
      <c r="P267" s="2901"/>
      <c r="Q267" s="2910"/>
      <c r="R267" s="2910"/>
      <c r="S267" s="2910"/>
      <c r="T267" s="2909">
        <f t="shared" si="7"/>
        <v>0</v>
      </c>
      <c r="U267" s="3686"/>
      <c r="V267" s="3686"/>
      <c r="W267" s="3638"/>
      <c r="X267" s="3638"/>
      <c r="Y267" s="1709"/>
      <c r="Z267" s="1709"/>
    </row>
    <row r="268" spans="2:26" s="1704" customFormat="1">
      <c r="B268" s="2554" t="str">
        <f t="shared" si="5"/>
        <v>Rice 10</v>
      </c>
      <c r="C268" s="2137"/>
      <c r="D268" s="2137"/>
      <c r="E268" s="2555">
        <f t="shared" si="6"/>
        <v>1.3</v>
      </c>
      <c r="F268" s="2901"/>
      <c r="G268" s="2555">
        <f>(IF(F92=' IPCC'!$A$608,0,VLOOKUP(F92,' IPCC'!$A$609:$B$611,2,)))</f>
        <v>0</v>
      </c>
      <c r="H268" s="2902"/>
      <c r="I268" s="2901"/>
      <c r="J268" s="2555">
        <f>(IF(I92=' IPCC'!$A$615,0,VLOOKUP(I92,' IPCC'!$A$616:$B$618,2,)))</f>
        <v>0</v>
      </c>
      <c r="K268" s="3686"/>
      <c r="L268" s="3686"/>
      <c r="M268" s="3686"/>
      <c r="N268" s="2910"/>
      <c r="O268" s="2910">
        <f>(1+(IF(ISBLANK(K248),J248,K248))*IF(O92=' IPCC'!$A$622,0,VLOOKUP(O92,' IPCC'!$A$623:$B$629,2,)))^0.59</f>
        <v>1</v>
      </c>
      <c r="P268" s="2901"/>
      <c r="Q268" s="2910"/>
      <c r="R268" s="2910"/>
      <c r="S268" s="2910"/>
      <c r="T268" s="2909">
        <f t="shared" si="7"/>
        <v>0</v>
      </c>
      <c r="U268" s="3686"/>
      <c r="V268" s="3686"/>
      <c r="W268" s="3638"/>
      <c r="X268" s="3638"/>
      <c r="Y268" s="1709"/>
      <c r="Z268" s="1709"/>
    </row>
    <row r="269" spans="2:26" s="1704" customFormat="1">
      <c r="O269" s="1709"/>
      <c r="Q269" s="1709"/>
      <c r="R269" s="1709"/>
      <c r="V269" s="1709"/>
      <c r="W269" s="1709"/>
      <c r="X269" s="1709"/>
      <c r="Y269" s="1709"/>
      <c r="Z269" s="1709"/>
    </row>
    <row r="270" spans="2:26" s="1704" customFormat="1">
      <c r="O270" s="1709"/>
      <c r="Q270" s="1709"/>
      <c r="R270" s="1709"/>
      <c r="V270" s="1709"/>
      <c r="W270" s="1709"/>
      <c r="X270" s="1709"/>
      <c r="Y270" s="1709"/>
      <c r="Z270" s="1709"/>
    </row>
    <row r="271" spans="2:26" s="1704" customFormat="1">
      <c r="O271" s="1709"/>
      <c r="Q271" s="1709"/>
      <c r="R271" s="1709"/>
      <c r="V271" s="1709"/>
      <c r="W271" s="1709"/>
      <c r="X271" s="1709"/>
      <c r="Y271" s="1709"/>
      <c r="Z271" s="1709"/>
    </row>
    <row r="272" spans="2:26" s="1704" customFormat="1">
      <c r="O272" s="1709"/>
      <c r="Q272" s="1709"/>
      <c r="R272" s="1709"/>
      <c r="V272" s="1709"/>
      <c r="W272" s="1709"/>
      <c r="X272" s="1709"/>
      <c r="Y272" s="1709"/>
      <c r="Z272" s="1709"/>
    </row>
    <row r="273" spans="2:26" s="1704" customFormat="1">
      <c r="O273" s="1709"/>
      <c r="Q273" s="1709"/>
      <c r="R273" s="1709"/>
      <c r="V273" s="1709"/>
      <c r="W273" s="1709"/>
      <c r="X273" s="1709"/>
      <c r="Y273" s="1709"/>
      <c r="Z273" s="1709"/>
    </row>
    <row r="274" spans="2:26" s="1704" customFormat="1">
      <c r="O274" s="1709"/>
      <c r="Q274" s="1709"/>
      <c r="R274" s="1709"/>
      <c r="V274" s="1709"/>
      <c r="W274" s="1709"/>
      <c r="X274" s="1709"/>
      <c r="Y274" s="1709"/>
      <c r="Z274" s="1709"/>
    </row>
    <row r="275" spans="2:26" s="1704" customFormat="1">
      <c r="O275" s="1709"/>
      <c r="Q275" s="1709"/>
      <c r="R275" s="1709"/>
      <c r="V275" s="1709"/>
      <c r="W275" s="1709"/>
      <c r="X275" s="1709"/>
      <c r="Y275" s="1709"/>
      <c r="Z275" s="1709"/>
    </row>
    <row r="276" spans="2:26" s="1704" customFormat="1">
      <c r="O276" s="1709"/>
      <c r="Q276" s="1709"/>
      <c r="R276" s="1709"/>
      <c r="V276" s="1709"/>
      <c r="W276" s="1709"/>
      <c r="X276" s="1709"/>
      <c r="Y276" s="1709"/>
      <c r="Z276" s="1709"/>
    </row>
    <row r="277" spans="2:26" s="1704" customFormat="1">
      <c r="O277" s="1709"/>
      <c r="Q277" s="1709"/>
      <c r="R277" s="1709"/>
      <c r="V277" s="1709"/>
      <c r="W277" s="1709"/>
      <c r="X277" s="1709"/>
      <c r="Y277" s="1709"/>
      <c r="Z277" s="1709"/>
    </row>
    <row r="278" spans="2:26" s="1704" customFormat="1">
      <c r="O278" s="1709"/>
      <c r="Q278" s="1709"/>
      <c r="R278" s="1709"/>
      <c r="V278" s="1709"/>
      <c r="W278" s="1709"/>
      <c r="X278" s="1709"/>
      <c r="Y278" s="1709"/>
      <c r="Z278" s="1709"/>
    </row>
    <row r="279" spans="2:26" s="1704" customFormat="1">
      <c r="O279" s="1709"/>
      <c r="Q279" s="1709"/>
      <c r="R279" s="1709"/>
      <c r="V279" s="1709"/>
      <c r="W279" s="1709"/>
      <c r="X279" s="1709"/>
      <c r="Y279" s="1709"/>
      <c r="Z279" s="1709"/>
    </row>
    <row r="280" spans="2:26" s="1704" customFormat="1">
      <c r="O280" s="1709"/>
      <c r="Q280" s="1709"/>
      <c r="R280" s="1709"/>
      <c r="V280" s="1709"/>
      <c r="W280" s="1709"/>
      <c r="X280" s="1709"/>
      <c r="Y280" s="1709"/>
      <c r="Z280" s="1709"/>
    </row>
    <row r="281" spans="2:26" s="1704" customFormat="1" ht="15.75">
      <c r="B281" s="2508" t="str">
        <f>B117</f>
        <v>3.1. Annual systems (to be used also for  pluri-annual systems such as  cotton or sugarcane)</v>
      </c>
      <c r="C281" s="2526"/>
      <c r="D281" s="2526"/>
      <c r="E281" s="2527"/>
      <c r="F281" s="2527"/>
      <c r="G281" s="2527"/>
      <c r="H281" s="2527"/>
      <c r="I281" s="2527"/>
      <c r="J281" s="2527"/>
      <c r="K281" s="2527"/>
      <c r="L281" s="2527"/>
      <c r="M281" s="2527"/>
      <c r="N281" s="2527"/>
      <c r="O281" s="2528"/>
      <c r="P281" s="2528"/>
      <c r="Q281" s="1709"/>
      <c r="R281" s="1709"/>
      <c r="V281" s="1709"/>
      <c r="W281" s="1709"/>
      <c r="X281" s="1709"/>
      <c r="Y281" s="1709"/>
      <c r="Z281" s="1709"/>
    </row>
    <row r="282" spans="2:26" s="1704" customFormat="1">
      <c r="Q282" s="1709"/>
      <c r="R282" s="1709"/>
      <c r="V282" s="1709"/>
      <c r="W282" s="1709"/>
      <c r="X282" s="1709"/>
      <c r="Y282" s="1709"/>
      <c r="Z282" s="1709"/>
    </row>
    <row r="283" spans="2:26" s="1704" customFormat="1">
      <c r="V283" s="1709"/>
      <c r="W283" s="1709"/>
      <c r="X283" s="1709"/>
      <c r="Y283" s="1709"/>
      <c r="Z283" s="1709"/>
    </row>
    <row r="284" spans="2:26" s="1704" customFormat="1">
      <c r="O284" s="1709"/>
      <c r="Q284" s="1709"/>
      <c r="R284" s="1709"/>
      <c r="V284" s="1709"/>
      <c r="W284" s="1709"/>
      <c r="X284" s="1709"/>
      <c r="Y284" s="1709"/>
      <c r="Z284" s="1709"/>
    </row>
    <row r="285" spans="2:26" s="1704" customFormat="1" ht="14.25">
      <c r="B285" s="2686" t="str">
        <f>HLOOKUP(select,translations!$A$76:$H$144,64,)</f>
        <v>Definitions of land management options</v>
      </c>
      <c r="C285" s="2684"/>
      <c r="D285" s="2684"/>
      <c r="E285" s="2684"/>
      <c r="F285" s="2684"/>
      <c r="G285" s="2684"/>
      <c r="H285" s="2684"/>
      <c r="I285" s="2684"/>
      <c r="J285" s="2684"/>
      <c r="K285" s="2684"/>
      <c r="L285" s="2684"/>
      <c r="M285" s="2684"/>
      <c r="N285" s="2684"/>
      <c r="O285" s="2685"/>
      <c r="P285" s="2684"/>
      <c r="Q285" s="1709"/>
      <c r="R285" s="1709"/>
      <c r="V285" s="1709"/>
      <c r="W285" s="1709"/>
      <c r="X285" s="1709"/>
      <c r="Y285" s="1709"/>
      <c r="Z285" s="1709"/>
    </row>
    <row r="286" spans="2:26" s="1704" customFormat="1">
      <c r="O286" s="1709"/>
      <c r="Q286" s="1709"/>
      <c r="R286" s="1709"/>
      <c r="V286" s="1709"/>
      <c r="W286" s="1709"/>
      <c r="X286" s="1709"/>
      <c r="Y286" s="1709"/>
      <c r="Z286" s="1709"/>
    </row>
    <row r="287" spans="2:26" s="1704" customFormat="1">
      <c r="B287" s="2687" t="str">
        <f>E11</f>
        <v>Improved agronomic practices</v>
      </c>
      <c r="C287" s="2688"/>
      <c r="D287" s="2688"/>
      <c r="E287" s="3719" t="str">
        <f>HLOOKUP(select,translations!$A$76:$H$144,65,)</f>
        <v>Using improved varieties, extending crop rotation, increasing crop residues.</v>
      </c>
      <c r="F287" s="3719"/>
      <c r="G287" s="3719"/>
      <c r="H287" s="3719"/>
      <c r="I287" s="3719"/>
      <c r="J287" s="3719"/>
      <c r="K287" s="3719"/>
      <c r="L287" s="3719"/>
      <c r="M287" s="3719"/>
      <c r="N287" s="3719"/>
      <c r="O287" s="3719"/>
      <c r="P287" s="3719"/>
      <c r="Q287" s="1709"/>
      <c r="R287" s="1709"/>
      <c r="V287" s="1709"/>
      <c r="W287" s="1709"/>
      <c r="X287" s="1709"/>
      <c r="Y287" s="1709"/>
      <c r="Z287" s="1709"/>
    </row>
    <row r="288" spans="2:26" s="1704" customFormat="1">
      <c r="B288" s="2687"/>
      <c r="C288" s="2688"/>
      <c r="D288" s="2688"/>
      <c r="E288" s="3719"/>
      <c r="F288" s="3719"/>
      <c r="G288" s="3719"/>
      <c r="H288" s="3719"/>
      <c r="I288" s="3719"/>
      <c r="J288" s="3719"/>
      <c r="K288" s="3719"/>
      <c r="L288" s="3719"/>
      <c r="M288" s="3719"/>
      <c r="N288" s="3719"/>
      <c r="O288" s="3719"/>
      <c r="P288" s="3719"/>
      <c r="Q288" s="1709"/>
      <c r="R288" s="1709"/>
      <c r="V288" s="1709"/>
      <c r="W288" s="1709"/>
      <c r="X288" s="1709"/>
      <c r="Y288" s="1709"/>
      <c r="Z288" s="1709"/>
    </row>
    <row r="289" spans="1:26" s="1704" customFormat="1">
      <c r="B289" s="1709"/>
      <c r="C289" s="3439"/>
      <c r="D289" s="1709"/>
      <c r="E289" s="1709"/>
      <c r="F289" s="1709"/>
      <c r="G289" s="1709"/>
      <c r="H289" s="1709"/>
      <c r="I289" s="1709"/>
      <c r="J289" s="1709"/>
      <c r="K289" s="1709"/>
      <c r="L289" s="1709"/>
      <c r="M289" s="1709"/>
      <c r="N289" s="1709"/>
      <c r="O289" s="1709"/>
      <c r="P289" s="1709"/>
      <c r="Q289" s="1709"/>
      <c r="R289" s="1709"/>
      <c r="V289" s="1709"/>
      <c r="W289" s="1709"/>
      <c r="X289" s="1709"/>
      <c r="Y289" s="1709"/>
      <c r="Z289" s="1709"/>
    </row>
    <row r="290" spans="1:26" s="1704" customFormat="1">
      <c r="B290" s="2687" t="str">
        <f>F11</f>
        <v>Nutrient management</v>
      </c>
      <c r="C290" s="2688"/>
      <c r="D290" s="2688"/>
      <c r="E290" s="3720" t="str">
        <f>HLOOKUP(select,translations!$A$76:$H$144,66,)</f>
        <v>Improve N use efficiency &amp; decrease N losses: Microdosing, adjusted application rate, timing &amp; location…</v>
      </c>
      <c r="F290" s="3720"/>
      <c r="G290" s="3720"/>
      <c r="H290" s="3720"/>
      <c r="I290" s="3720"/>
      <c r="J290" s="3720"/>
      <c r="K290" s="3720"/>
      <c r="L290" s="3720"/>
      <c r="M290" s="3720"/>
      <c r="N290" s="3720"/>
      <c r="O290" s="3720"/>
      <c r="P290" s="3720"/>
      <c r="Q290" s="1709"/>
      <c r="R290" s="1709"/>
      <c r="V290" s="1709"/>
      <c r="W290" s="1709"/>
      <c r="X290" s="1709"/>
      <c r="Y290" s="1709"/>
      <c r="Z290" s="1709"/>
    </row>
    <row r="291" spans="1:26" s="1704" customFormat="1">
      <c r="B291" s="2687"/>
      <c r="C291" s="2688"/>
      <c r="D291" s="2688"/>
      <c r="E291" s="3720"/>
      <c r="F291" s="3720"/>
      <c r="G291" s="3720"/>
      <c r="H291" s="3720"/>
      <c r="I291" s="3720"/>
      <c r="J291" s="3720"/>
      <c r="K291" s="3720"/>
      <c r="L291" s="3720"/>
      <c r="M291" s="3720"/>
      <c r="N291" s="3720"/>
      <c r="O291" s="3720"/>
      <c r="P291" s="3720"/>
      <c r="Q291" s="1709"/>
      <c r="R291" s="1709"/>
      <c r="V291" s="1709"/>
      <c r="W291" s="1709"/>
      <c r="X291" s="1709"/>
      <c r="Y291" s="1709"/>
      <c r="Z291" s="1709"/>
    </row>
    <row r="292" spans="1:26" s="1704" customFormat="1">
      <c r="B292" s="2687"/>
      <c r="C292" s="2688"/>
      <c r="D292" s="2688"/>
      <c r="E292" s="3720"/>
      <c r="F292" s="3720"/>
      <c r="G292" s="3720"/>
      <c r="H292" s="3720"/>
      <c r="I292" s="3720"/>
      <c r="J292" s="3720"/>
      <c r="K292" s="3720"/>
      <c r="L292" s="3720"/>
      <c r="M292" s="3720"/>
      <c r="N292" s="3720"/>
      <c r="O292" s="3720"/>
      <c r="P292" s="3720"/>
      <c r="Q292" s="1709"/>
      <c r="R292" s="1709"/>
      <c r="V292" s="1709"/>
      <c r="W292" s="1709"/>
      <c r="X292" s="1709"/>
      <c r="Y292" s="1709"/>
      <c r="Z292" s="1709"/>
    </row>
    <row r="293" spans="1:26" s="1704" customFormat="1">
      <c r="B293" s="1709"/>
      <c r="C293" s="3439"/>
      <c r="D293" s="1709"/>
      <c r="E293" s="1709"/>
      <c r="F293" s="1709"/>
      <c r="G293" s="1709"/>
      <c r="H293" s="1709"/>
      <c r="I293" s="1709"/>
      <c r="J293" s="1709"/>
      <c r="K293" s="1709"/>
      <c r="L293" s="1709"/>
      <c r="M293" s="1709"/>
      <c r="N293" s="1709"/>
      <c r="O293" s="1709"/>
      <c r="P293" s="1709"/>
      <c r="Q293" s="1709"/>
      <c r="R293" s="1709"/>
      <c r="V293" s="1709"/>
      <c r="W293" s="1709"/>
      <c r="X293" s="1709"/>
      <c r="Y293" s="1709"/>
      <c r="Z293" s="1709"/>
    </row>
    <row r="294" spans="1:26" s="1704" customFormat="1">
      <c r="B294" s="2687" t="str">
        <f>G11</f>
        <v>No till &amp; residue retention</v>
      </c>
      <c r="C294" s="2688"/>
      <c r="D294" s="2688"/>
      <c r="E294" s="3720" t="str">
        <f>HLOOKUP(select,translations!$A$76:$H$144,67,)</f>
        <v>Adoption of reduced, minimum or zero tillage, with or without mulching, including Conservation Agriculture.</v>
      </c>
      <c r="F294" s="3720"/>
      <c r="G294" s="3720"/>
      <c r="H294" s="3720"/>
      <c r="I294" s="3720"/>
      <c r="J294" s="3720"/>
      <c r="K294" s="3720"/>
      <c r="L294" s="3720"/>
      <c r="M294" s="3720"/>
      <c r="N294" s="3720"/>
      <c r="O294" s="3720"/>
      <c r="P294" s="3720"/>
      <c r="Q294" s="1709"/>
      <c r="R294" s="1709"/>
      <c r="V294" s="1709"/>
      <c r="W294" s="1709"/>
      <c r="X294" s="1709"/>
      <c r="Y294" s="1709"/>
      <c r="Z294" s="1709"/>
    </row>
    <row r="295" spans="1:26" s="1704" customFormat="1">
      <c r="B295" s="2687"/>
      <c r="C295" s="2688"/>
      <c r="D295" s="2688"/>
      <c r="E295" s="3720"/>
      <c r="F295" s="3720"/>
      <c r="G295" s="3720"/>
      <c r="H295" s="3720"/>
      <c r="I295" s="3720"/>
      <c r="J295" s="3720"/>
      <c r="K295" s="3720"/>
      <c r="L295" s="3720"/>
      <c r="M295" s="3720"/>
      <c r="N295" s="3720"/>
      <c r="O295" s="3720"/>
      <c r="P295" s="3720"/>
      <c r="Q295" s="1709"/>
      <c r="R295" s="1709"/>
      <c r="V295" s="1709"/>
      <c r="W295" s="1709"/>
      <c r="X295" s="1709"/>
      <c r="Y295" s="1709"/>
      <c r="Z295" s="1709"/>
    </row>
    <row r="296" spans="1:26" s="1704" customFormat="1">
      <c r="A296" s="1709"/>
      <c r="B296" s="1709"/>
      <c r="C296" s="3439"/>
      <c r="D296" s="1709"/>
      <c r="E296" s="1709"/>
      <c r="F296" s="1709"/>
      <c r="G296" s="1709"/>
      <c r="H296" s="1709"/>
      <c r="I296" s="1709"/>
      <c r="J296" s="1709"/>
      <c r="K296" s="1709"/>
      <c r="L296" s="1709"/>
      <c r="M296" s="1709"/>
      <c r="N296" s="1709"/>
      <c r="O296" s="1709"/>
      <c r="P296" s="1709"/>
      <c r="Q296" s="1709"/>
      <c r="R296" s="1709"/>
      <c r="V296" s="1709"/>
      <c r="W296" s="1709"/>
      <c r="X296" s="1709"/>
      <c r="Y296" s="1709"/>
      <c r="Z296" s="1709"/>
    </row>
    <row r="297" spans="1:26" s="1704" customFormat="1">
      <c r="B297" s="2687" t="str">
        <f>I11</f>
        <v>Water  management</v>
      </c>
      <c r="C297" s="2688"/>
      <c r="D297" s="2688"/>
      <c r="E297" s="2688" t="str">
        <f>HLOOKUP(select,translations!$A$76:$H$144,68,)</f>
        <v>Effective irrigation measure.</v>
      </c>
      <c r="F297" s="2688"/>
      <c r="G297" s="2688"/>
      <c r="H297" s="2688"/>
      <c r="I297" s="2688"/>
      <c r="J297" s="2688"/>
      <c r="K297" s="2688"/>
      <c r="L297" s="2688"/>
      <c r="M297" s="2688"/>
      <c r="N297" s="2688"/>
      <c r="O297" s="2689"/>
      <c r="P297" s="2688"/>
      <c r="Q297" s="1709"/>
      <c r="R297" s="1709"/>
      <c r="V297" s="1709"/>
      <c r="W297" s="1709"/>
      <c r="X297" s="1709"/>
      <c r="Y297" s="1709"/>
      <c r="Z297" s="1709"/>
    </row>
    <row r="298" spans="1:26" s="1704" customFormat="1">
      <c r="A298" s="1709"/>
      <c r="B298" s="1709"/>
      <c r="C298" s="3439"/>
      <c r="D298" s="1709"/>
      <c r="E298" s="1709"/>
      <c r="F298" s="1709"/>
      <c r="G298" s="1709"/>
      <c r="H298" s="1709"/>
      <c r="I298" s="1709"/>
      <c r="J298" s="1709"/>
      <c r="K298" s="1709"/>
      <c r="L298" s="1709"/>
      <c r="M298" s="1709"/>
      <c r="N298" s="1709"/>
      <c r="O298" s="1709"/>
      <c r="P298" s="1709"/>
      <c r="Q298" s="1709"/>
      <c r="R298" s="1709"/>
      <c r="V298" s="1709"/>
      <c r="W298" s="1709"/>
      <c r="X298" s="1709"/>
      <c r="Y298" s="1709"/>
      <c r="Z298" s="1709"/>
    </row>
    <row r="299" spans="1:26" s="1704" customFormat="1">
      <c r="B299" s="2687" t="str">
        <f>J11</f>
        <v>Manure application</v>
      </c>
      <c r="C299" s="2688"/>
      <c r="D299" s="2688"/>
      <c r="E299" s="2688" t="str">
        <f>HLOOKUP(select,translations!$A$76:$H$144,69,)</f>
        <v>Manure or Biosolids application to the field as input.</v>
      </c>
      <c r="F299" s="2688"/>
      <c r="G299" s="2688"/>
      <c r="H299" s="2688"/>
      <c r="I299" s="2688"/>
      <c r="J299" s="2688"/>
      <c r="K299" s="2688"/>
      <c r="L299" s="2688"/>
      <c r="M299" s="2688"/>
      <c r="N299" s="2688"/>
      <c r="O299" s="2689"/>
      <c r="P299" s="2688"/>
      <c r="Q299" s="1709"/>
      <c r="R299" s="1709"/>
      <c r="V299" s="1709"/>
      <c r="W299" s="1709"/>
      <c r="X299" s="1709"/>
      <c r="Y299" s="1709"/>
      <c r="Z299" s="1709"/>
    </row>
    <row r="300" spans="1:26" s="1704" customFormat="1">
      <c r="O300" s="1709"/>
      <c r="Q300" s="1709"/>
      <c r="R300" s="1709"/>
      <c r="V300" s="1709"/>
      <c r="W300" s="1709"/>
      <c r="X300" s="1709"/>
      <c r="Y300" s="1709"/>
      <c r="Z300" s="1709"/>
    </row>
    <row r="301" spans="1:26" s="1704" customFormat="1">
      <c r="O301" s="1709"/>
      <c r="Q301" s="1709"/>
      <c r="R301" s="1709"/>
      <c r="V301" s="1709"/>
      <c r="W301" s="1709"/>
      <c r="X301" s="1709"/>
      <c r="Y301" s="1709"/>
      <c r="Z301" s="1709"/>
    </row>
    <row r="302" spans="1:26" s="1704" customFormat="1">
      <c r="O302" s="1709"/>
      <c r="Q302" s="1709"/>
      <c r="R302" s="1709"/>
      <c r="V302" s="1709"/>
      <c r="W302" s="1709"/>
      <c r="X302" s="1709"/>
      <c r="Y302" s="1709"/>
      <c r="Z302" s="1709"/>
    </row>
    <row r="303" spans="1:26" s="1704" customFormat="1">
      <c r="O303" s="1709"/>
      <c r="Q303" s="1709"/>
      <c r="R303" s="1709"/>
      <c r="V303" s="1709"/>
      <c r="W303" s="1709"/>
      <c r="X303" s="1709"/>
      <c r="Y303" s="1709"/>
      <c r="Z303" s="1709"/>
    </row>
    <row r="304" spans="1:26" s="1704" customFormat="1">
      <c r="O304" s="1709"/>
      <c r="Q304" s="1709"/>
      <c r="R304" s="1709"/>
      <c r="V304" s="1709"/>
      <c r="W304" s="1709"/>
      <c r="X304" s="1709"/>
      <c r="Y304" s="1709"/>
      <c r="Z304" s="1709"/>
    </row>
    <row r="305" spans="15:26" s="1704" customFormat="1">
      <c r="O305" s="1709"/>
      <c r="Q305" s="1709"/>
      <c r="R305" s="1709"/>
      <c r="V305" s="1709"/>
      <c r="W305" s="1709"/>
      <c r="X305" s="1709"/>
      <c r="Y305" s="1709"/>
      <c r="Z305" s="1709"/>
    </row>
    <row r="306" spans="15:26" s="1704" customFormat="1">
      <c r="O306" s="1709"/>
      <c r="Q306" s="1709"/>
      <c r="R306" s="1709"/>
      <c r="V306" s="1709"/>
      <c r="W306" s="1709"/>
      <c r="X306" s="1709"/>
      <c r="Y306" s="1709"/>
      <c r="Z306" s="1709"/>
    </row>
    <row r="307" spans="15:26" s="1704" customFormat="1">
      <c r="O307" s="1709"/>
      <c r="Q307" s="1709"/>
      <c r="R307" s="1709"/>
      <c r="V307" s="1709"/>
      <c r="W307" s="1709"/>
      <c r="X307" s="1709"/>
      <c r="Y307" s="1709"/>
      <c r="Z307" s="1709"/>
    </row>
    <row r="308" spans="15:26" s="1704" customFormat="1">
      <c r="O308" s="1709"/>
      <c r="Q308" s="1709"/>
      <c r="R308" s="1709"/>
      <c r="V308" s="1709"/>
      <c r="W308" s="1709"/>
      <c r="X308" s="1709"/>
      <c r="Y308" s="1709"/>
      <c r="Z308" s="1709"/>
    </row>
    <row r="309" spans="15:26" s="1704" customFormat="1">
      <c r="O309" s="1709"/>
      <c r="Q309" s="1709"/>
      <c r="R309" s="1709"/>
      <c r="V309" s="1709"/>
      <c r="W309" s="1709"/>
      <c r="X309" s="1709"/>
      <c r="Y309" s="1709"/>
      <c r="Z309" s="1709"/>
    </row>
    <row r="310" spans="15:26" s="1704" customFormat="1">
      <c r="O310" s="1709"/>
      <c r="Q310" s="1709"/>
      <c r="R310" s="1709"/>
      <c r="V310" s="1709"/>
      <c r="W310" s="1709"/>
      <c r="X310" s="1709"/>
      <c r="Y310" s="1709"/>
      <c r="Z310" s="1709"/>
    </row>
    <row r="311" spans="15:26" s="1704" customFormat="1">
      <c r="O311" s="1709"/>
      <c r="Q311" s="1709"/>
      <c r="R311" s="1709"/>
      <c r="V311" s="1709"/>
      <c r="W311" s="1709"/>
      <c r="X311" s="1709"/>
      <c r="Y311" s="1709"/>
      <c r="Z311" s="1709"/>
    </row>
    <row r="312" spans="15:26" s="1704" customFormat="1">
      <c r="O312" s="1709"/>
      <c r="Q312" s="1709"/>
      <c r="R312" s="1709"/>
      <c r="V312" s="1709"/>
      <c r="W312" s="1709"/>
      <c r="X312" s="1709"/>
      <c r="Y312" s="1709"/>
      <c r="Z312" s="1709"/>
    </row>
    <row r="313" spans="15:26" s="1704" customFormat="1">
      <c r="O313" s="1709"/>
      <c r="Q313" s="1709"/>
      <c r="R313" s="1709"/>
      <c r="V313" s="1709"/>
      <c r="W313" s="1709"/>
      <c r="X313" s="1709"/>
      <c r="Y313" s="1709"/>
      <c r="Z313" s="1709"/>
    </row>
    <row r="314" spans="15:26" s="1704" customFormat="1">
      <c r="O314" s="1709"/>
      <c r="Q314" s="1709"/>
      <c r="R314" s="1709"/>
      <c r="V314" s="1709"/>
      <c r="W314" s="1709"/>
      <c r="X314" s="1709"/>
      <c r="Y314" s="1709"/>
      <c r="Z314" s="1709"/>
    </row>
    <row r="315" spans="15:26" s="1704" customFormat="1">
      <c r="O315" s="1709"/>
      <c r="Q315" s="1709"/>
      <c r="R315" s="1709"/>
      <c r="V315" s="1709"/>
      <c r="W315" s="1709"/>
      <c r="X315" s="1709"/>
      <c r="Y315" s="1709"/>
      <c r="Z315" s="1709"/>
    </row>
    <row r="316" spans="15:26" s="1704" customFormat="1">
      <c r="O316" s="1709"/>
      <c r="Q316" s="1709"/>
      <c r="R316" s="1709"/>
      <c r="V316" s="1709"/>
      <c r="W316" s="1709"/>
      <c r="X316" s="1709"/>
      <c r="Y316" s="1709"/>
      <c r="Z316" s="1709"/>
    </row>
    <row r="317" spans="15:26" s="1704" customFormat="1">
      <c r="O317" s="1709"/>
      <c r="Q317" s="1709"/>
      <c r="R317" s="1709"/>
      <c r="V317" s="1709"/>
      <c r="W317" s="1709"/>
      <c r="X317" s="1709"/>
      <c r="Y317" s="1709"/>
      <c r="Z317" s="1709"/>
    </row>
    <row r="318" spans="15:26" s="1704" customFormat="1">
      <c r="O318" s="1709"/>
      <c r="Q318" s="1709"/>
      <c r="R318" s="1709"/>
      <c r="V318" s="1709"/>
      <c r="W318" s="1709"/>
      <c r="X318" s="1709"/>
      <c r="Y318" s="1709"/>
      <c r="Z318" s="1709"/>
    </row>
    <row r="319" spans="15:26" s="1704" customFormat="1">
      <c r="O319" s="1709"/>
      <c r="Q319" s="1709"/>
      <c r="R319" s="1709"/>
      <c r="V319" s="1709"/>
      <c r="W319" s="1709"/>
      <c r="X319" s="1709"/>
      <c r="Y319" s="1709"/>
      <c r="Z319" s="1709"/>
    </row>
    <row r="320" spans="15:26" s="1704" customFormat="1">
      <c r="O320" s="1709"/>
      <c r="Q320" s="1709"/>
      <c r="R320" s="1709"/>
      <c r="V320" s="1709"/>
      <c r="W320" s="1709"/>
      <c r="X320" s="1709"/>
      <c r="Y320" s="1709"/>
      <c r="Z320" s="1709"/>
    </row>
    <row r="321" spans="15:26" s="1704" customFormat="1">
      <c r="O321" s="1709"/>
      <c r="Q321" s="1709"/>
      <c r="R321" s="1709"/>
      <c r="V321" s="1709"/>
      <c r="W321" s="1709"/>
      <c r="X321" s="1709"/>
      <c r="Y321" s="1709"/>
      <c r="Z321" s="1709"/>
    </row>
    <row r="322" spans="15:26" s="1704" customFormat="1">
      <c r="O322" s="1709"/>
      <c r="Q322" s="1709"/>
      <c r="R322" s="1709"/>
      <c r="V322" s="1709"/>
      <c r="W322" s="1709"/>
      <c r="X322" s="1709"/>
      <c r="Y322" s="1709"/>
      <c r="Z322" s="1709"/>
    </row>
    <row r="323" spans="15:26" s="1704" customFormat="1">
      <c r="O323" s="1709"/>
      <c r="Q323" s="1709"/>
      <c r="R323" s="1709"/>
      <c r="V323" s="1709"/>
      <c r="W323" s="1709"/>
      <c r="X323" s="1709"/>
      <c r="Y323" s="1709"/>
      <c r="Z323" s="1709"/>
    </row>
    <row r="324" spans="15:26" s="1704" customFormat="1">
      <c r="O324" s="1709"/>
      <c r="Q324" s="1709"/>
      <c r="R324" s="1709"/>
      <c r="V324" s="1709"/>
      <c r="W324" s="1709"/>
      <c r="X324" s="1709"/>
      <c r="Y324" s="1709"/>
      <c r="Z324" s="1709"/>
    </row>
    <row r="325" spans="15:26" s="1704" customFormat="1">
      <c r="O325" s="1709"/>
      <c r="Q325" s="1709"/>
      <c r="R325" s="1709"/>
      <c r="V325" s="1709"/>
      <c r="W325" s="1709"/>
      <c r="X325" s="1709"/>
      <c r="Y325" s="1709"/>
      <c r="Z325" s="1709"/>
    </row>
    <row r="326" spans="15:26" s="1704" customFormat="1">
      <c r="O326" s="1709"/>
      <c r="Q326" s="1709"/>
      <c r="R326" s="1709"/>
      <c r="V326" s="1709"/>
      <c r="W326" s="1709"/>
      <c r="X326" s="1709"/>
      <c r="Y326" s="1709"/>
      <c r="Z326" s="1709"/>
    </row>
    <row r="327" spans="15:26" s="1704" customFormat="1">
      <c r="O327" s="1709"/>
      <c r="Q327" s="1709"/>
      <c r="R327" s="1709"/>
      <c r="V327" s="1709"/>
      <c r="W327" s="1709"/>
      <c r="X327" s="1709"/>
      <c r="Y327" s="1709"/>
      <c r="Z327" s="1709"/>
    </row>
    <row r="328" spans="15:26" s="1704" customFormat="1">
      <c r="O328" s="1709"/>
      <c r="Q328" s="1709"/>
      <c r="R328" s="1709"/>
      <c r="V328" s="1709"/>
      <c r="W328" s="1709"/>
      <c r="X328" s="1709"/>
      <c r="Y328" s="1709"/>
      <c r="Z328" s="1709"/>
    </row>
    <row r="329" spans="15:26" s="1704" customFormat="1">
      <c r="O329" s="1709"/>
      <c r="Q329" s="1709"/>
      <c r="R329" s="1709"/>
      <c r="V329" s="1709"/>
      <c r="W329" s="1709"/>
      <c r="X329" s="1709"/>
      <c r="Y329" s="1709"/>
      <c r="Z329" s="1709"/>
    </row>
    <row r="330" spans="15:26" s="1704" customFormat="1">
      <c r="O330" s="1709"/>
      <c r="Q330" s="1709"/>
      <c r="R330" s="1709"/>
      <c r="V330" s="1709"/>
      <c r="W330" s="1709"/>
      <c r="X330" s="1709"/>
      <c r="Y330" s="1709"/>
      <c r="Z330" s="1709"/>
    </row>
    <row r="331" spans="15:26" s="1704" customFormat="1">
      <c r="O331" s="1709"/>
      <c r="Q331" s="1709"/>
      <c r="R331" s="1709"/>
      <c r="V331" s="1709"/>
      <c r="W331" s="1709"/>
      <c r="X331" s="1709"/>
      <c r="Y331" s="1709"/>
      <c r="Z331" s="1709"/>
    </row>
    <row r="332" spans="15:26" s="1704" customFormat="1">
      <c r="O332" s="1709"/>
      <c r="Q332" s="1709"/>
      <c r="R332" s="1709"/>
      <c r="V332" s="1709"/>
      <c r="W332" s="1709"/>
      <c r="X332" s="1709"/>
      <c r="Y332" s="1709"/>
      <c r="Z332" s="1709"/>
    </row>
    <row r="333" spans="15:26" s="1704" customFormat="1">
      <c r="O333" s="1709"/>
      <c r="Q333" s="1709"/>
      <c r="R333" s="1709"/>
      <c r="V333" s="1709"/>
      <c r="W333" s="1709"/>
      <c r="X333" s="1709"/>
      <c r="Y333" s="1709"/>
      <c r="Z333" s="1709"/>
    </row>
    <row r="334" spans="15:26" s="1704" customFormat="1">
      <c r="O334" s="1709"/>
      <c r="Q334" s="1709"/>
      <c r="R334" s="1709"/>
      <c r="V334" s="1709"/>
      <c r="W334" s="1709"/>
      <c r="X334" s="1709"/>
      <c r="Y334" s="1709"/>
      <c r="Z334" s="1709"/>
    </row>
    <row r="335" spans="15:26" s="1704" customFormat="1">
      <c r="O335" s="1709"/>
      <c r="Q335" s="1709"/>
      <c r="R335" s="1709"/>
      <c r="V335" s="1709"/>
      <c r="W335" s="1709"/>
      <c r="X335" s="1709"/>
      <c r="Y335" s="1709"/>
      <c r="Z335" s="1709"/>
    </row>
    <row r="336" spans="15:26" s="1704" customFormat="1">
      <c r="O336" s="1709"/>
      <c r="Q336" s="1709"/>
      <c r="R336" s="1709"/>
      <c r="V336" s="1709"/>
      <c r="W336" s="1709"/>
      <c r="X336" s="1709"/>
      <c r="Y336" s="1709"/>
      <c r="Z336" s="1709"/>
    </row>
    <row r="337" spans="15:26" s="1704" customFormat="1">
      <c r="O337" s="1709"/>
      <c r="Q337" s="1709"/>
      <c r="R337" s="1709"/>
      <c r="V337" s="1709"/>
      <c r="W337" s="1709"/>
      <c r="X337" s="1709"/>
      <c r="Y337" s="1709"/>
      <c r="Z337" s="1709"/>
    </row>
    <row r="338" spans="15:26" s="1704" customFormat="1">
      <c r="O338" s="1709"/>
      <c r="Q338" s="1709"/>
      <c r="R338" s="1709"/>
      <c r="V338" s="1709"/>
      <c r="W338" s="1709"/>
      <c r="X338" s="1709"/>
      <c r="Y338" s="1709"/>
      <c r="Z338" s="1709"/>
    </row>
    <row r="339" spans="15:26" s="1704" customFormat="1">
      <c r="O339" s="1709"/>
      <c r="Q339" s="1709"/>
      <c r="R339" s="1709"/>
      <c r="V339" s="1709"/>
      <c r="W339" s="1709"/>
      <c r="X339" s="1709"/>
      <c r="Y339" s="1709"/>
      <c r="Z339" s="1709"/>
    </row>
    <row r="340" spans="15:26" s="1704" customFormat="1">
      <c r="O340" s="1709"/>
      <c r="Q340" s="1709"/>
      <c r="R340" s="1709"/>
      <c r="V340" s="1709"/>
      <c r="W340" s="1709"/>
      <c r="X340" s="1709"/>
      <c r="Y340" s="1709"/>
      <c r="Z340" s="1709"/>
    </row>
    <row r="341" spans="15:26" s="1704" customFormat="1">
      <c r="O341" s="1709"/>
      <c r="Q341" s="1709"/>
      <c r="R341" s="1709"/>
      <c r="V341" s="1709"/>
      <c r="W341" s="1709"/>
      <c r="X341" s="1709"/>
      <c r="Y341" s="1709"/>
      <c r="Z341" s="1709"/>
    </row>
    <row r="342" spans="15:26" s="1704" customFormat="1">
      <c r="O342" s="1709"/>
      <c r="Q342" s="1709"/>
      <c r="R342" s="1709"/>
      <c r="V342" s="1709"/>
      <c r="W342" s="1709"/>
      <c r="X342" s="1709"/>
      <c r="Y342" s="1709"/>
      <c r="Z342" s="1709"/>
    </row>
    <row r="343" spans="15:26" s="1704" customFormat="1">
      <c r="O343" s="1709"/>
      <c r="Q343" s="1709"/>
      <c r="R343" s="1709"/>
      <c r="V343" s="1709"/>
      <c r="W343" s="1709"/>
      <c r="X343" s="1709"/>
      <c r="Y343" s="1709"/>
      <c r="Z343" s="1709"/>
    </row>
    <row r="344" spans="15:26" s="1704" customFormat="1">
      <c r="O344" s="1709"/>
      <c r="Q344" s="1709"/>
      <c r="R344" s="1709"/>
      <c r="V344" s="1709"/>
      <c r="W344" s="1709"/>
      <c r="X344" s="1709"/>
      <c r="Y344" s="1709"/>
      <c r="Z344" s="1709"/>
    </row>
    <row r="345" spans="15:26" s="1704" customFormat="1">
      <c r="O345" s="1709"/>
      <c r="Q345" s="1709"/>
      <c r="R345" s="1709"/>
      <c r="V345" s="1709"/>
      <c r="W345" s="1709"/>
      <c r="X345" s="1709"/>
      <c r="Y345" s="1709"/>
      <c r="Z345" s="1709"/>
    </row>
    <row r="346" spans="15:26" s="1704" customFormat="1">
      <c r="O346" s="1709"/>
      <c r="Q346" s="1709"/>
      <c r="R346" s="1709"/>
      <c r="V346" s="1709"/>
      <c r="W346" s="1709"/>
      <c r="X346" s="1709"/>
      <c r="Y346" s="1709"/>
      <c r="Z346" s="1709"/>
    </row>
    <row r="347" spans="15:26" s="1704" customFormat="1">
      <c r="O347" s="1709"/>
      <c r="Q347" s="1709"/>
      <c r="R347" s="1709"/>
      <c r="V347" s="1709"/>
      <c r="W347" s="1709"/>
      <c r="X347" s="1709"/>
      <c r="Y347" s="1709"/>
      <c r="Z347" s="1709"/>
    </row>
    <row r="348" spans="15:26" s="1704" customFormat="1">
      <c r="O348" s="1709"/>
      <c r="Q348" s="1709"/>
      <c r="R348" s="1709"/>
      <c r="V348" s="1709"/>
      <c r="W348" s="1709"/>
      <c r="X348" s="1709"/>
      <c r="Y348" s="1709"/>
      <c r="Z348" s="1709"/>
    </row>
    <row r="349" spans="15:26" s="1704" customFormat="1">
      <c r="O349" s="1709"/>
      <c r="Q349" s="1709"/>
      <c r="R349" s="1709"/>
      <c r="V349" s="1709"/>
      <c r="W349" s="1709"/>
      <c r="X349" s="1709"/>
      <c r="Y349" s="1709"/>
      <c r="Z349" s="1709"/>
    </row>
    <row r="350" spans="15:26" s="1704" customFormat="1">
      <c r="O350" s="1709"/>
      <c r="Q350" s="1709"/>
      <c r="R350" s="1709"/>
      <c r="V350" s="1709"/>
      <c r="W350" s="1709"/>
      <c r="X350" s="1709"/>
      <c r="Y350" s="1709"/>
      <c r="Z350" s="1709"/>
    </row>
    <row r="351" spans="15:26" s="1704" customFormat="1">
      <c r="O351" s="1709"/>
      <c r="Q351" s="1709"/>
      <c r="R351" s="1709"/>
      <c r="V351" s="1709"/>
      <c r="W351" s="1709"/>
      <c r="X351" s="1709"/>
      <c r="Y351" s="1709"/>
      <c r="Z351" s="1709"/>
    </row>
    <row r="352" spans="15:26" s="1704" customFormat="1">
      <c r="O352" s="1709"/>
      <c r="Q352" s="1709"/>
      <c r="R352" s="1709"/>
      <c r="V352" s="1709"/>
      <c r="W352" s="1709"/>
      <c r="X352" s="1709"/>
      <c r="Y352" s="1709"/>
      <c r="Z352" s="1709"/>
    </row>
    <row r="353" spans="15:26" s="1704" customFormat="1">
      <c r="O353" s="1709"/>
      <c r="Q353" s="1709"/>
      <c r="R353" s="1709"/>
      <c r="V353" s="1709"/>
      <c r="W353" s="1709"/>
      <c r="X353" s="1709"/>
      <c r="Y353" s="1709"/>
      <c r="Z353" s="1709"/>
    </row>
    <row r="354" spans="15:26" s="1704" customFormat="1">
      <c r="O354" s="1709"/>
      <c r="Q354" s="1709"/>
      <c r="R354" s="1709"/>
      <c r="V354" s="1709"/>
      <c r="W354" s="1709"/>
      <c r="X354" s="1709"/>
      <c r="Y354" s="1709"/>
      <c r="Z354" s="1709"/>
    </row>
    <row r="355" spans="15:26" s="1704" customFormat="1">
      <c r="O355" s="1709"/>
      <c r="Q355" s="1709"/>
      <c r="R355" s="1709"/>
      <c r="V355" s="1709"/>
      <c r="W355" s="1709"/>
      <c r="X355" s="1709"/>
      <c r="Y355" s="1709"/>
      <c r="Z355" s="1709"/>
    </row>
    <row r="356" spans="15:26" s="1704" customFormat="1">
      <c r="O356" s="1709"/>
      <c r="Q356" s="1709"/>
      <c r="R356" s="1709"/>
      <c r="V356" s="1709"/>
      <c r="W356" s="1709"/>
      <c r="X356" s="1709"/>
      <c r="Y356" s="1709"/>
      <c r="Z356" s="1709"/>
    </row>
    <row r="357" spans="15:26" s="1704" customFormat="1">
      <c r="O357" s="1709"/>
      <c r="Q357" s="1709"/>
      <c r="R357" s="1709"/>
      <c r="V357" s="1709"/>
      <c r="W357" s="1709"/>
      <c r="X357" s="1709"/>
      <c r="Y357" s="1709"/>
      <c r="Z357" s="1709"/>
    </row>
    <row r="358" spans="15:26" s="1704" customFormat="1">
      <c r="O358" s="1709"/>
      <c r="Q358" s="1709"/>
      <c r="R358" s="1709"/>
      <c r="V358" s="1709"/>
      <c r="W358" s="1709"/>
      <c r="X358" s="1709"/>
      <c r="Y358" s="1709"/>
      <c r="Z358" s="1709"/>
    </row>
    <row r="359" spans="15:26" s="1704" customFormat="1">
      <c r="O359" s="1709"/>
      <c r="Q359" s="1709"/>
      <c r="R359" s="1709"/>
      <c r="V359" s="1709"/>
      <c r="W359" s="1709"/>
      <c r="X359" s="1709"/>
      <c r="Y359" s="1709"/>
      <c r="Z359" s="1709"/>
    </row>
    <row r="360" spans="15:26" s="1704" customFormat="1">
      <c r="O360" s="1709"/>
      <c r="Q360" s="1709"/>
      <c r="R360" s="1709"/>
      <c r="V360" s="1709"/>
      <c r="W360" s="1709"/>
      <c r="X360" s="1709"/>
      <c r="Y360" s="1709"/>
      <c r="Z360" s="1709"/>
    </row>
    <row r="361" spans="15:26" s="1704" customFormat="1">
      <c r="O361" s="1709"/>
      <c r="Q361" s="1709"/>
      <c r="R361" s="1709"/>
      <c r="V361" s="1709"/>
      <c r="W361" s="1709"/>
      <c r="X361" s="1709"/>
      <c r="Y361" s="1709"/>
      <c r="Z361" s="1709"/>
    </row>
    <row r="362" spans="15:26" s="1704" customFormat="1">
      <c r="O362" s="1709"/>
      <c r="Q362" s="1709"/>
      <c r="R362" s="1709"/>
      <c r="V362" s="1709"/>
      <c r="W362" s="1709"/>
      <c r="X362" s="1709"/>
      <c r="Y362" s="1709"/>
      <c r="Z362" s="1709"/>
    </row>
    <row r="363" spans="15:26" s="1704" customFormat="1">
      <c r="O363" s="1709"/>
      <c r="Q363" s="1709"/>
      <c r="R363" s="1709"/>
      <c r="V363" s="1709"/>
      <c r="W363" s="1709"/>
      <c r="X363" s="1709"/>
      <c r="Y363" s="1709"/>
      <c r="Z363" s="1709"/>
    </row>
    <row r="364" spans="15:26" s="1704" customFormat="1">
      <c r="O364" s="1709"/>
      <c r="Q364" s="1709"/>
      <c r="R364" s="1709"/>
      <c r="V364" s="1709"/>
      <c r="W364" s="1709"/>
      <c r="X364" s="1709"/>
      <c r="Y364" s="1709"/>
      <c r="Z364" s="1709"/>
    </row>
    <row r="365" spans="15:26" s="1704" customFormat="1">
      <c r="O365" s="1709"/>
      <c r="Q365" s="1709"/>
      <c r="R365" s="1709"/>
      <c r="V365" s="1709"/>
      <c r="W365" s="1709"/>
      <c r="X365" s="1709"/>
      <c r="Y365" s="1709"/>
      <c r="Z365" s="1709"/>
    </row>
    <row r="366" spans="15:26" s="1704" customFormat="1">
      <c r="O366" s="1709"/>
      <c r="Q366" s="1709"/>
      <c r="R366" s="1709"/>
      <c r="V366" s="1709"/>
      <c r="W366" s="1709"/>
      <c r="X366" s="1709"/>
      <c r="Y366" s="1709"/>
      <c r="Z366" s="1709"/>
    </row>
    <row r="367" spans="15:26" s="1704" customFormat="1">
      <c r="O367" s="1709"/>
      <c r="Q367" s="1709"/>
      <c r="R367" s="1709"/>
      <c r="V367" s="1709"/>
      <c r="W367" s="1709"/>
      <c r="X367" s="1709"/>
      <c r="Y367" s="1709"/>
      <c r="Z367" s="1709"/>
    </row>
    <row r="368" spans="15:26" s="1704" customFormat="1">
      <c r="O368" s="1709"/>
      <c r="Q368" s="1709"/>
      <c r="R368" s="1709"/>
      <c r="V368" s="1709"/>
      <c r="W368" s="1709"/>
      <c r="X368" s="1709"/>
      <c r="Y368" s="1709"/>
      <c r="Z368" s="1709"/>
    </row>
    <row r="369" spans="15:26" s="1704" customFormat="1">
      <c r="O369" s="1709"/>
      <c r="Q369" s="1709"/>
      <c r="R369" s="1709"/>
      <c r="V369" s="1709"/>
      <c r="W369" s="1709"/>
      <c r="X369" s="1709"/>
      <c r="Y369" s="1709"/>
      <c r="Z369" s="1709"/>
    </row>
    <row r="370" spans="15:26" s="1704" customFormat="1">
      <c r="O370" s="1709"/>
      <c r="Q370" s="1709"/>
      <c r="R370" s="1709"/>
      <c r="V370" s="1709"/>
      <c r="W370" s="1709"/>
      <c r="X370" s="1709"/>
      <c r="Y370" s="1709"/>
      <c r="Z370" s="1709"/>
    </row>
    <row r="371" spans="15:26" s="1704" customFormat="1">
      <c r="O371" s="1709"/>
      <c r="Q371" s="1709"/>
      <c r="R371" s="1709"/>
      <c r="V371" s="1709"/>
      <c r="W371" s="1709"/>
      <c r="X371" s="1709"/>
      <c r="Y371" s="1709"/>
      <c r="Z371" s="1709"/>
    </row>
    <row r="372" spans="15:26" s="1704" customFormat="1">
      <c r="O372" s="1709"/>
      <c r="Q372" s="1709"/>
      <c r="R372" s="1709"/>
      <c r="V372" s="1709"/>
      <c r="W372" s="1709"/>
      <c r="X372" s="1709"/>
      <c r="Y372" s="1709"/>
      <c r="Z372" s="1709"/>
    </row>
    <row r="373" spans="15:26" s="1704" customFormat="1">
      <c r="O373" s="1709"/>
      <c r="Q373" s="1709"/>
      <c r="R373" s="1709"/>
      <c r="V373" s="1709"/>
      <c r="W373" s="1709"/>
      <c r="X373" s="1709"/>
      <c r="Y373" s="1709"/>
      <c r="Z373" s="1709"/>
    </row>
    <row r="374" spans="15:26" s="1704" customFormat="1">
      <c r="O374" s="1709"/>
      <c r="Q374" s="1709"/>
      <c r="R374" s="1709"/>
      <c r="V374" s="1709"/>
      <c r="W374" s="1709"/>
      <c r="X374" s="1709"/>
      <c r="Y374" s="1709"/>
      <c r="Z374" s="1709"/>
    </row>
    <row r="375" spans="15:26" s="1704" customFormat="1">
      <c r="O375" s="1709"/>
      <c r="Q375" s="1709"/>
      <c r="R375" s="1709"/>
      <c r="V375" s="1709"/>
      <c r="W375" s="1709"/>
      <c r="X375" s="1709"/>
      <c r="Y375" s="1709"/>
      <c r="Z375" s="1709"/>
    </row>
    <row r="376" spans="15:26" s="1704" customFormat="1">
      <c r="O376" s="1709"/>
      <c r="Q376" s="1709"/>
      <c r="R376" s="1709"/>
      <c r="V376" s="1709"/>
      <c r="W376" s="1709"/>
      <c r="X376" s="1709"/>
      <c r="Y376" s="1709"/>
      <c r="Z376" s="1709"/>
    </row>
    <row r="377" spans="15:26" s="1704" customFormat="1">
      <c r="O377" s="1709"/>
      <c r="Q377" s="1709"/>
      <c r="R377" s="1709"/>
      <c r="V377" s="1709"/>
      <c r="W377" s="1709"/>
      <c r="X377" s="1709"/>
      <c r="Y377" s="1709"/>
      <c r="Z377" s="1709"/>
    </row>
    <row r="378" spans="15:26" s="1704" customFormat="1">
      <c r="O378" s="1709"/>
      <c r="Q378" s="1709"/>
      <c r="R378" s="1709"/>
      <c r="V378" s="1709"/>
      <c r="W378" s="1709"/>
      <c r="X378" s="1709"/>
      <c r="Y378" s="1709"/>
      <c r="Z378" s="1709"/>
    </row>
    <row r="379" spans="15:26" s="1704" customFormat="1">
      <c r="O379" s="1709"/>
      <c r="Q379" s="1709"/>
      <c r="R379" s="1709"/>
      <c r="V379" s="1709"/>
      <c r="W379" s="1709"/>
      <c r="X379" s="1709"/>
      <c r="Y379" s="1709"/>
      <c r="Z379" s="1709"/>
    </row>
    <row r="380" spans="15:26" s="1704" customFormat="1">
      <c r="O380" s="1709"/>
      <c r="Q380" s="1709"/>
      <c r="R380" s="1709"/>
      <c r="V380" s="1709"/>
      <c r="W380" s="1709"/>
      <c r="X380" s="1709"/>
      <c r="Y380" s="1709"/>
      <c r="Z380" s="1709"/>
    </row>
    <row r="381" spans="15:26" s="1704" customFormat="1">
      <c r="O381" s="1709"/>
      <c r="Q381" s="1709"/>
      <c r="R381" s="1709"/>
      <c r="V381" s="1709"/>
      <c r="W381" s="1709"/>
      <c r="X381" s="1709"/>
      <c r="Y381" s="1709"/>
      <c r="Z381" s="1709"/>
    </row>
    <row r="382" spans="15:26" s="1704" customFormat="1">
      <c r="O382" s="1709"/>
      <c r="Q382" s="1709"/>
      <c r="R382" s="1709"/>
      <c r="V382" s="1709"/>
      <c r="W382" s="1709"/>
      <c r="X382" s="1709"/>
      <c r="Y382" s="1709"/>
      <c r="Z382" s="1709"/>
    </row>
    <row r="383" spans="15:26" s="1704" customFormat="1">
      <c r="O383" s="1709"/>
      <c r="Q383" s="1709"/>
      <c r="R383" s="1709"/>
      <c r="V383" s="1709"/>
      <c r="W383" s="1709"/>
      <c r="X383" s="1709"/>
      <c r="Y383" s="1709"/>
      <c r="Z383" s="1709"/>
    </row>
    <row r="384" spans="15:26" s="1704" customFormat="1">
      <c r="O384" s="1709"/>
      <c r="Q384" s="1709"/>
      <c r="R384" s="1709"/>
      <c r="V384" s="1709"/>
      <c r="W384" s="1709"/>
      <c r="X384" s="1709"/>
      <c r="Y384" s="1709"/>
      <c r="Z384" s="1709"/>
    </row>
    <row r="385" spans="15:26" s="1704" customFormat="1">
      <c r="O385" s="1709"/>
      <c r="Q385" s="1709"/>
      <c r="R385" s="1709"/>
      <c r="V385" s="1709"/>
      <c r="W385" s="1709"/>
      <c r="X385" s="1709"/>
      <c r="Y385" s="1709"/>
      <c r="Z385" s="1709"/>
    </row>
    <row r="386" spans="15:26" s="1704" customFormat="1">
      <c r="O386" s="1709"/>
      <c r="Q386" s="1709"/>
      <c r="R386" s="1709"/>
      <c r="V386" s="1709"/>
      <c r="W386" s="1709"/>
      <c r="X386" s="1709"/>
      <c r="Y386" s="1709"/>
      <c r="Z386" s="1709"/>
    </row>
    <row r="387" spans="15:26" s="1704" customFormat="1">
      <c r="O387" s="1709"/>
      <c r="Q387" s="1709"/>
      <c r="R387" s="1709"/>
      <c r="V387" s="1709"/>
      <c r="W387" s="1709"/>
      <c r="X387" s="1709"/>
      <c r="Y387" s="1709"/>
      <c r="Z387" s="1709"/>
    </row>
    <row r="388" spans="15:26" s="1704" customFormat="1">
      <c r="O388" s="1709"/>
      <c r="Q388" s="1709"/>
      <c r="R388" s="1709"/>
      <c r="V388" s="1709"/>
      <c r="W388" s="1709"/>
      <c r="X388" s="1709"/>
      <c r="Y388" s="1709"/>
      <c r="Z388" s="1709"/>
    </row>
    <row r="389" spans="15:26" s="1704" customFormat="1">
      <c r="O389" s="1709"/>
      <c r="Q389" s="1709"/>
      <c r="R389" s="1709"/>
      <c r="V389" s="1709"/>
      <c r="W389" s="1709"/>
      <c r="X389" s="1709"/>
      <c r="Y389" s="1709"/>
      <c r="Z389" s="1709"/>
    </row>
    <row r="390" spans="15:26" s="1704" customFormat="1">
      <c r="O390" s="1709"/>
      <c r="Q390" s="1709"/>
      <c r="R390" s="1709"/>
      <c r="V390" s="1709"/>
      <c r="W390" s="1709"/>
      <c r="X390" s="1709"/>
      <c r="Y390" s="1709"/>
      <c r="Z390" s="1709"/>
    </row>
    <row r="391" spans="15:26" s="1704" customFormat="1">
      <c r="O391" s="1709"/>
      <c r="Q391" s="1709"/>
      <c r="R391" s="1709"/>
      <c r="V391" s="1709"/>
      <c r="W391" s="1709"/>
      <c r="X391" s="1709"/>
      <c r="Y391" s="1709"/>
      <c r="Z391" s="1709"/>
    </row>
    <row r="392" spans="15:26" s="1704" customFormat="1">
      <c r="O392" s="1709"/>
      <c r="Q392" s="1709"/>
      <c r="R392" s="1709"/>
      <c r="V392" s="1709"/>
      <c r="W392" s="1709"/>
      <c r="X392" s="1709"/>
      <c r="Y392" s="1709"/>
      <c r="Z392" s="1709"/>
    </row>
    <row r="393" spans="15:26" s="1704" customFormat="1">
      <c r="O393" s="1709"/>
      <c r="Q393" s="1709"/>
      <c r="R393" s="1709"/>
      <c r="V393" s="1709"/>
      <c r="W393" s="1709"/>
      <c r="X393" s="1709"/>
      <c r="Y393" s="1709"/>
      <c r="Z393" s="1709"/>
    </row>
    <row r="394" spans="15:26" s="1704" customFormat="1">
      <c r="O394" s="1709"/>
      <c r="Q394" s="1709"/>
      <c r="R394" s="1709"/>
      <c r="V394" s="1709"/>
      <c r="W394" s="1709"/>
      <c r="X394" s="1709"/>
      <c r="Y394" s="1709"/>
      <c r="Z394" s="1709"/>
    </row>
    <row r="395" spans="15:26" s="1704" customFormat="1">
      <c r="O395" s="1709"/>
      <c r="Q395" s="1709"/>
      <c r="R395" s="1709"/>
      <c r="V395" s="1709"/>
      <c r="W395" s="1709"/>
      <c r="X395" s="1709"/>
      <c r="Y395" s="1709"/>
      <c r="Z395" s="1709"/>
    </row>
    <row r="396" spans="15:26" s="1704" customFormat="1">
      <c r="O396" s="1709"/>
      <c r="Q396" s="1709"/>
      <c r="R396" s="1709"/>
      <c r="V396" s="1709"/>
      <c r="W396" s="1709"/>
      <c r="X396" s="1709"/>
      <c r="Y396" s="1709"/>
      <c r="Z396" s="1709"/>
    </row>
    <row r="397" spans="15:26" s="1704" customFormat="1">
      <c r="O397" s="1709"/>
      <c r="Q397" s="1709"/>
      <c r="R397" s="1709"/>
      <c r="V397" s="1709"/>
      <c r="W397" s="1709"/>
      <c r="X397" s="1709"/>
      <c r="Y397" s="1709"/>
      <c r="Z397" s="1709"/>
    </row>
    <row r="398" spans="15:26" s="1704" customFormat="1">
      <c r="O398" s="1709"/>
      <c r="Q398" s="1709"/>
      <c r="R398" s="1709"/>
      <c r="V398" s="1709"/>
      <c r="W398" s="1709"/>
      <c r="X398" s="1709"/>
      <c r="Y398" s="1709"/>
      <c r="Z398" s="1709"/>
    </row>
    <row r="399" spans="15:26" s="1704" customFormat="1">
      <c r="O399" s="1709"/>
      <c r="Q399" s="1709"/>
      <c r="R399" s="1709"/>
      <c r="V399" s="1709"/>
      <c r="W399" s="1709"/>
      <c r="X399" s="1709"/>
      <c r="Y399" s="1709"/>
      <c r="Z399" s="1709"/>
    </row>
    <row r="400" spans="15:26" s="1704" customFormat="1">
      <c r="O400" s="1709"/>
      <c r="Q400" s="1709"/>
      <c r="R400" s="1709"/>
      <c r="V400" s="1709"/>
      <c r="W400" s="1709"/>
      <c r="X400" s="1709"/>
      <c r="Y400" s="1709"/>
      <c r="Z400" s="1709"/>
    </row>
    <row r="401" spans="15:26" s="1704" customFormat="1">
      <c r="O401" s="1709"/>
      <c r="Q401" s="1709"/>
      <c r="R401" s="1709"/>
      <c r="V401" s="1709"/>
      <c r="W401" s="1709"/>
      <c r="X401" s="1709"/>
      <c r="Y401" s="1709"/>
      <c r="Z401" s="1709"/>
    </row>
    <row r="402" spans="15:26" s="1704" customFormat="1">
      <c r="O402" s="1709"/>
      <c r="Q402" s="1709"/>
      <c r="R402" s="1709"/>
      <c r="V402" s="1709"/>
      <c r="W402" s="1709"/>
      <c r="X402" s="1709"/>
      <c r="Y402" s="1709"/>
      <c r="Z402" s="1709"/>
    </row>
    <row r="403" spans="15:26" s="1704" customFormat="1">
      <c r="O403" s="1709"/>
      <c r="Q403" s="1709"/>
      <c r="R403" s="1709"/>
      <c r="V403" s="1709"/>
      <c r="W403" s="1709"/>
      <c r="X403" s="1709"/>
      <c r="Y403" s="1709"/>
      <c r="Z403" s="1709"/>
    </row>
    <row r="404" spans="15:26" s="1704" customFormat="1">
      <c r="O404" s="1709"/>
      <c r="Q404" s="1709"/>
      <c r="R404" s="1709"/>
      <c r="V404" s="1709"/>
      <c r="W404" s="1709"/>
      <c r="X404" s="1709"/>
      <c r="Y404" s="1709"/>
      <c r="Z404" s="1709"/>
    </row>
    <row r="405" spans="15:26" s="1704" customFormat="1">
      <c r="O405" s="1709"/>
      <c r="Q405" s="1709"/>
      <c r="R405" s="1709"/>
      <c r="V405" s="1709"/>
      <c r="W405" s="1709"/>
      <c r="X405" s="1709"/>
      <c r="Y405" s="1709"/>
      <c r="Z405" s="1709"/>
    </row>
    <row r="406" spans="15:26" s="1704" customFormat="1">
      <c r="O406" s="1709"/>
      <c r="Q406" s="1709"/>
      <c r="R406" s="1709"/>
      <c r="V406" s="1709"/>
      <c r="W406" s="1709"/>
      <c r="X406" s="1709"/>
      <c r="Y406" s="1709"/>
      <c r="Z406" s="1709"/>
    </row>
    <row r="407" spans="15:26" s="1704" customFormat="1">
      <c r="O407" s="1709"/>
      <c r="Q407" s="1709"/>
      <c r="R407" s="1709"/>
      <c r="V407" s="1709"/>
      <c r="W407" s="1709"/>
      <c r="X407" s="1709"/>
      <c r="Y407" s="1709"/>
      <c r="Z407" s="1709"/>
    </row>
    <row r="408" spans="15:26" s="1704" customFormat="1">
      <c r="O408" s="1709"/>
      <c r="Q408" s="1709"/>
      <c r="R408" s="1709"/>
      <c r="V408" s="1709"/>
      <c r="W408" s="1709"/>
      <c r="X408" s="1709"/>
      <c r="Y408" s="1709"/>
      <c r="Z408" s="1709"/>
    </row>
    <row r="409" spans="15:26" s="1704" customFormat="1">
      <c r="O409" s="1709"/>
      <c r="Q409" s="1709"/>
      <c r="R409" s="1709"/>
      <c r="V409" s="1709"/>
      <c r="W409" s="1709"/>
      <c r="X409" s="1709"/>
      <c r="Y409" s="1709"/>
      <c r="Z409" s="1709"/>
    </row>
    <row r="410" spans="15:26" s="1704" customFormat="1">
      <c r="O410" s="1709"/>
      <c r="Q410" s="1709"/>
      <c r="R410" s="1709"/>
      <c r="V410" s="1709"/>
      <c r="W410" s="1709"/>
      <c r="X410" s="1709"/>
      <c r="Y410" s="1709"/>
      <c r="Z410" s="1709"/>
    </row>
    <row r="411" spans="15:26" s="1704" customFormat="1">
      <c r="O411" s="1709"/>
      <c r="Q411" s="1709"/>
      <c r="R411" s="1709"/>
      <c r="V411" s="1709"/>
      <c r="W411" s="1709"/>
      <c r="X411" s="1709"/>
      <c r="Y411" s="1709"/>
      <c r="Z411" s="1709"/>
    </row>
    <row r="412" spans="15:26" s="1704" customFormat="1">
      <c r="O412" s="1709"/>
      <c r="Q412" s="1709"/>
      <c r="R412" s="1709"/>
      <c r="V412" s="1709"/>
      <c r="W412" s="1709"/>
      <c r="X412" s="1709"/>
      <c r="Y412" s="1709"/>
      <c r="Z412" s="1709"/>
    </row>
    <row r="413" spans="15:26" s="1704" customFormat="1">
      <c r="O413" s="1709"/>
      <c r="Q413" s="1709"/>
      <c r="R413" s="1709"/>
      <c r="V413" s="1709"/>
      <c r="W413" s="1709"/>
      <c r="X413" s="1709"/>
      <c r="Y413" s="1709"/>
      <c r="Z413" s="1709"/>
    </row>
    <row r="414" spans="15:26" s="1704" customFormat="1">
      <c r="O414" s="1709"/>
      <c r="Q414" s="1709"/>
      <c r="R414" s="1709"/>
      <c r="V414" s="1709"/>
      <c r="W414" s="1709"/>
      <c r="X414" s="1709"/>
      <c r="Y414" s="1709"/>
      <c r="Z414" s="1709"/>
    </row>
    <row r="415" spans="15:26" s="1704" customFormat="1">
      <c r="O415" s="1709"/>
      <c r="Q415" s="1709"/>
      <c r="R415" s="1709"/>
      <c r="V415" s="1709"/>
      <c r="W415" s="1709"/>
      <c r="X415" s="1709"/>
      <c r="Y415" s="1709"/>
      <c r="Z415" s="1709"/>
    </row>
    <row r="416" spans="15:26" s="1704" customFormat="1">
      <c r="O416" s="1709"/>
      <c r="Q416" s="1709"/>
      <c r="R416" s="1709"/>
      <c r="V416" s="1709"/>
      <c r="W416" s="1709"/>
      <c r="X416" s="1709"/>
      <c r="Y416" s="1709"/>
      <c r="Z416" s="1709"/>
    </row>
    <row r="417" spans="15:26" s="1704" customFormat="1">
      <c r="O417" s="1709"/>
      <c r="Q417" s="1709"/>
      <c r="R417" s="1709"/>
      <c r="V417" s="1709"/>
      <c r="W417" s="1709"/>
      <c r="X417" s="1709"/>
      <c r="Y417" s="1709"/>
      <c r="Z417" s="1709"/>
    </row>
    <row r="418" spans="15:26" s="1704" customFormat="1">
      <c r="O418" s="1709"/>
      <c r="Q418" s="1709"/>
      <c r="R418" s="1709"/>
      <c r="V418" s="1709"/>
      <c r="W418" s="1709"/>
      <c r="X418" s="1709"/>
      <c r="Y418" s="1709"/>
      <c r="Z418" s="1709"/>
    </row>
    <row r="419" spans="15:26" s="1704" customFormat="1">
      <c r="O419" s="1709"/>
      <c r="Q419" s="1709"/>
      <c r="R419" s="1709"/>
      <c r="V419" s="1709"/>
      <c r="W419" s="1709"/>
      <c r="X419" s="1709"/>
      <c r="Y419" s="1709"/>
      <c r="Z419" s="1709"/>
    </row>
    <row r="420" spans="15:26" s="1704" customFormat="1">
      <c r="O420" s="1709"/>
      <c r="Q420" s="1709"/>
      <c r="R420" s="1709"/>
      <c r="V420" s="1709"/>
      <c r="W420" s="1709"/>
      <c r="X420" s="1709"/>
      <c r="Y420" s="1709"/>
      <c r="Z420" s="1709"/>
    </row>
    <row r="421" spans="15:26" s="1704" customFormat="1">
      <c r="O421" s="1709"/>
      <c r="Q421" s="1709"/>
      <c r="R421" s="1709"/>
      <c r="V421" s="1709"/>
      <c r="W421" s="1709"/>
      <c r="X421" s="1709"/>
      <c r="Y421" s="1709"/>
      <c r="Z421" s="1709"/>
    </row>
    <row r="422" spans="15:26" s="1704" customFormat="1">
      <c r="O422" s="1709"/>
      <c r="Q422" s="1709"/>
      <c r="R422" s="1709"/>
      <c r="V422" s="1709"/>
      <c r="W422" s="1709"/>
      <c r="X422" s="1709"/>
      <c r="Y422" s="1709"/>
      <c r="Z422" s="1709"/>
    </row>
    <row r="423" spans="15:26" s="1704" customFormat="1">
      <c r="O423" s="1709"/>
      <c r="Q423" s="1709"/>
      <c r="R423" s="1709"/>
      <c r="V423" s="1709"/>
      <c r="W423" s="1709"/>
      <c r="X423" s="1709"/>
      <c r="Y423" s="1709"/>
      <c r="Z423" s="1709"/>
    </row>
    <row r="424" spans="15:26" s="1704" customFormat="1">
      <c r="O424" s="1709"/>
      <c r="Q424" s="1709"/>
      <c r="R424" s="1709"/>
      <c r="V424" s="1709"/>
      <c r="W424" s="1709"/>
      <c r="X424" s="1709"/>
      <c r="Y424" s="1709"/>
      <c r="Z424" s="1709"/>
    </row>
    <row r="425" spans="15:26" s="1704" customFormat="1">
      <c r="O425" s="1709"/>
      <c r="Q425" s="1709"/>
      <c r="R425" s="1709"/>
      <c r="V425" s="1709"/>
      <c r="W425" s="1709"/>
      <c r="X425" s="1709"/>
      <c r="Y425" s="1709"/>
      <c r="Z425" s="1709"/>
    </row>
    <row r="426" spans="15:26" s="1704" customFormat="1">
      <c r="O426" s="1709"/>
      <c r="Q426" s="1709"/>
      <c r="R426" s="1709"/>
      <c r="V426" s="1709"/>
      <c r="W426" s="1709"/>
      <c r="X426" s="1709"/>
      <c r="Y426" s="1709"/>
      <c r="Z426" s="1709"/>
    </row>
    <row r="427" spans="15:26" s="1704" customFormat="1">
      <c r="O427" s="1709"/>
      <c r="Q427" s="1709"/>
      <c r="R427" s="1709"/>
      <c r="V427" s="1709"/>
      <c r="W427" s="1709"/>
      <c r="X427" s="1709"/>
      <c r="Y427" s="1709"/>
      <c r="Z427" s="1709"/>
    </row>
    <row r="428" spans="15:26" s="1704" customFormat="1">
      <c r="O428" s="1709"/>
      <c r="Q428" s="1709"/>
      <c r="R428" s="1709"/>
      <c r="V428" s="1709"/>
      <c r="W428" s="1709"/>
      <c r="X428" s="1709"/>
      <c r="Y428" s="1709"/>
      <c r="Z428" s="1709"/>
    </row>
    <row r="429" spans="15:26" s="1704" customFormat="1">
      <c r="O429" s="1709"/>
      <c r="Q429" s="1709"/>
      <c r="R429" s="1709"/>
      <c r="V429" s="1709"/>
      <c r="W429" s="1709"/>
      <c r="X429" s="1709"/>
      <c r="Y429" s="1709"/>
      <c r="Z429" s="1709"/>
    </row>
    <row r="430" spans="15:26" s="1704" customFormat="1">
      <c r="O430" s="1709"/>
      <c r="Q430" s="1709"/>
      <c r="R430" s="1709"/>
      <c r="V430" s="1709"/>
      <c r="W430" s="1709"/>
      <c r="X430" s="1709"/>
      <c r="Y430" s="1709"/>
      <c r="Z430" s="1709"/>
    </row>
    <row r="431" spans="15:26" s="1704" customFormat="1">
      <c r="O431" s="1709"/>
      <c r="Q431" s="1709"/>
      <c r="R431" s="1709"/>
      <c r="V431" s="1709"/>
      <c r="W431" s="1709"/>
      <c r="X431" s="1709"/>
      <c r="Y431" s="1709"/>
      <c r="Z431" s="1709"/>
    </row>
    <row r="432" spans="15:26" s="1704" customFormat="1">
      <c r="O432" s="1709"/>
      <c r="Q432" s="1709"/>
      <c r="R432" s="1709"/>
      <c r="V432" s="1709"/>
      <c r="W432" s="1709"/>
      <c r="X432" s="1709"/>
      <c r="Y432" s="1709"/>
      <c r="Z432" s="1709"/>
    </row>
    <row r="433" spans="15:26" s="1704" customFormat="1">
      <c r="O433" s="1709"/>
      <c r="Q433" s="1709"/>
      <c r="R433" s="1709"/>
      <c r="V433" s="1709"/>
      <c r="W433" s="1709"/>
      <c r="X433" s="1709"/>
      <c r="Y433" s="1709"/>
      <c r="Z433" s="1709"/>
    </row>
    <row r="434" spans="15:26" s="1704" customFormat="1">
      <c r="O434" s="1709"/>
      <c r="Q434" s="1709"/>
      <c r="R434" s="1709"/>
      <c r="V434" s="1709"/>
      <c r="W434" s="1709"/>
      <c r="X434" s="1709"/>
      <c r="Y434" s="1709"/>
      <c r="Z434" s="1709"/>
    </row>
    <row r="435" spans="15:26" s="1704" customFormat="1">
      <c r="O435" s="1709"/>
      <c r="Q435" s="1709"/>
      <c r="R435" s="1709"/>
      <c r="V435" s="1709"/>
      <c r="W435" s="1709"/>
      <c r="X435" s="1709"/>
      <c r="Y435" s="1709"/>
      <c r="Z435" s="1709"/>
    </row>
    <row r="436" spans="15:26" s="1704" customFormat="1">
      <c r="O436" s="1709"/>
      <c r="Q436" s="1709"/>
      <c r="R436" s="1709"/>
      <c r="V436" s="1709"/>
      <c r="W436" s="1709"/>
      <c r="X436" s="1709"/>
      <c r="Y436" s="1709"/>
      <c r="Z436" s="1709"/>
    </row>
    <row r="437" spans="15:26" s="1704" customFormat="1">
      <c r="O437" s="1709"/>
      <c r="Q437" s="1709"/>
      <c r="R437" s="1709"/>
      <c r="V437" s="1709"/>
      <c r="W437" s="1709"/>
      <c r="X437" s="1709"/>
      <c r="Y437" s="1709"/>
      <c r="Z437" s="1709"/>
    </row>
    <row r="438" spans="15:26" s="1704" customFormat="1">
      <c r="O438" s="1709"/>
      <c r="Q438" s="1709"/>
      <c r="R438" s="1709"/>
      <c r="V438" s="1709"/>
      <c r="W438" s="1709"/>
      <c r="X438" s="1709"/>
      <c r="Y438" s="1709"/>
      <c r="Z438" s="1709"/>
    </row>
    <row r="439" spans="15:26" s="1704" customFormat="1">
      <c r="O439" s="1709"/>
      <c r="Q439" s="1709"/>
      <c r="R439" s="1709"/>
      <c r="V439" s="1709"/>
      <c r="W439" s="1709"/>
      <c r="X439" s="1709"/>
      <c r="Y439" s="1709"/>
      <c r="Z439" s="1709"/>
    </row>
    <row r="440" spans="15:26" s="1704" customFormat="1">
      <c r="O440" s="1709"/>
      <c r="Q440" s="1709"/>
      <c r="R440" s="1709"/>
      <c r="V440" s="1709"/>
      <c r="W440" s="1709"/>
      <c r="X440" s="1709"/>
      <c r="Y440" s="1709"/>
      <c r="Z440" s="1709"/>
    </row>
    <row r="441" spans="15:26" s="1704" customFormat="1">
      <c r="O441" s="1709"/>
      <c r="Q441" s="1709"/>
      <c r="R441" s="1709"/>
      <c r="V441" s="1709"/>
      <c r="W441" s="1709"/>
      <c r="X441" s="1709"/>
      <c r="Y441" s="1709"/>
      <c r="Z441" s="1709"/>
    </row>
    <row r="442" spans="15:26" s="1704" customFormat="1">
      <c r="O442" s="1709"/>
      <c r="Q442" s="1709"/>
      <c r="R442" s="1709"/>
      <c r="V442" s="1709"/>
      <c r="W442" s="1709"/>
      <c r="X442" s="1709"/>
      <c r="Y442" s="1709"/>
      <c r="Z442" s="1709"/>
    </row>
    <row r="443" spans="15:26" s="1704" customFormat="1">
      <c r="O443" s="1709"/>
      <c r="Q443" s="1709"/>
      <c r="R443" s="1709"/>
      <c r="V443" s="1709"/>
      <c r="W443" s="1709"/>
      <c r="X443" s="1709"/>
      <c r="Y443" s="1709"/>
      <c r="Z443" s="1709"/>
    </row>
    <row r="444" spans="15:26" s="1704" customFormat="1">
      <c r="O444" s="1709"/>
      <c r="Q444" s="1709"/>
      <c r="R444" s="1709"/>
      <c r="V444" s="1709"/>
      <c r="W444" s="1709"/>
      <c r="X444" s="1709"/>
      <c r="Y444" s="1709"/>
      <c r="Z444" s="1709"/>
    </row>
    <row r="445" spans="15:26" s="1704" customFormat="1">
      <c r="O445" s="1709"/>
      <c r="Q445" s="1709"/>
      <c r="R445" s="1709"/>
      <c r="V445" s="1709"/>
      <c r="W445" s="1709"/>
      <c r="X445" s="1709"/>
      <c r="Y445" s="1709"/>
      <c r="Z445" s="1709"/>
    </row>
    <row r="446" spans="15:26" s="1704" customFormat="1">
      <c r="O446" s="1709"/>
      <c r="Q446" s="1709"/>
      <c r="R446" s="1709"/>
      <c r="V446" s="1709"/>
      <c r="W446" s="1709"/>
      <c r="X446" s="1709"/>
      <c r="Y446" s="1709"/>
      <c r="Z446" s="1709"/>
    </row>
    <row r="447" spans="15:26" s="1704" customFormat="1">
      <c r="O447" s="1709"/>
      <c r="Q447" s="1709"/>
      <c r="R447" s="1709"/>
      <c r="V447" s="1709"/>
      <c r="W447" s="1709"/>
      <c r="X447" s="1709"/>
      <c r="Y447" s="1709"/>
      <c r="Z447" s="1709"/>
    </row>
    <row r="448" spans="15:26" s="1704" customFormat="1">
      <c r="O448" s="1709"/>
      <c r="Q448" s="1709"/>
      <c r="R448" s="1709"/>
      <c r="V448" s="1709"/>
      <c r="W448" s="1709"/>
      <c r="X448" s="1709"/>
      <c r="Y448" s="1709"/>
      <c r="Z448" s="1709"/>
    </row>
    <row r="449" spans="15:26" s="1704" customFormat="1">
      <c r="O449" s="1709"/>
      <c r="Q449" s="1709"/>
      <c r="R449" s="1709"/>
      <c r="V449" s="1709"/>
      <c r="W449" s="1709"/>
      <c r="X449" s="1709"/>
      <c r="Y449" s="1709"/>
      <c r="Z449" s="1709"/>
    </row>
    <row r="450" spans="15:26" s="1704" customFormat="1">
      <c r="O450" s="1709"/>
      <c r="Q450" s="1709"/>
      <c r="R450" s="1709"/>
      <c r="V450" s="1709"/>
      <c r="W450" s="1709"/>
      <c r="X450" s="1709"/>
      <c r="Y450" s="1709"/>
      <c r="Z450" s="1709"/>
    </row>
    <row r="451" spans="15:26" s="1704" customFormat="1">
      <c r="O451" s="1709"/>
      <c r="Q451" s="1709"/>
      <c r="R451" s="1709"/>
      <c r="V451" s="1709"/>
      <c r="W451" s="1709"/>
      <c r="X451" s="1709"/>
      <c r="Y451" s="1709"/>
      <c r="Z451" s="1709"/>
    </row>
    <row r="452" spans="15:26" s="1704" customFormat="1">
      <c r="O452" s="1709"/>
      <c r="Q452" s="1709"/>
      <c r="R452" s="1709"/>
      <c r="V452" s="1709"/>
      <c r="W452" s="1709"/>
      <c r="X452" s="1709"/>
      <c r="Y452" s="1709"/>
      <c r="Z452" s="1709"/>
    </row>
    <row r="453" spans="15:26" s="1704" customFormat="1">
      <c r="O453" s="1709"/>
      <c r="Q453" s="1709"/>
      <c r="R453" s="1709"/>
      <c r="V453" s="1709"/>
      <c r="W453" s="1709"/>
      <c r="X453" s="1709"/>
      <c r="Y453" s="1709"/>
      <c r="Z453" s="1709"/>
    </row>
    <row r="454" spans="15:26" s="1704" customFormat="1">
      <c r="O454" s="1709"/>
      <c r="Q454" s="1709"/>
      <c r="R454" s="1709"/>
      <c r="V454" s="1709"/>
      <c r="W454" s="1709"/>
      <c r="X454" s="1709"/>
      <c r="Y454" s="1709"/>
      <c r="Z454" s="1709"/>
    </row>
    <row r="455" spans="15:26" s="1704" customFormat="1">
      <c r="O455" s="1709"/>
      <c r="Q455" s="1709"/>
      <c r="R455" s="1709"/>
      <c r="V455" s="1709"/>
      <c r="W455" s="1709"/>
      <c r="X455" s="1709"/>
      <c r="Y455" s="1709"/>
      <c r="Z455" s="1709"/>
    </row>
    <row r="456" spans="15:26" s="1704" customFormat="1">
      <c r="O456" s="1709"/>
      <c r="Q456" s="1709"/>
      <c r="R456" s="1709"/>
      <c r="V456" s="1709"/>
      <c r="W456" s="1709"/>
      <c r="X456" s="1709"/>
      <c r="Y456" s="1709"/>
      <c r="Z456" s="1709"/>
    </row>
    <row r="457" spans="15:26" s="1704" customFormat="1">
      <c r="O457" s="1709"/>
      <c r="Q457" s="1709"/>
      <c r="R457" s="1709"/>
      <c r="V457" s="1709"/>
      <c r="W457" s="1709"/>
      <c r="X457" s="1709"/>
      <c r="Y457" s="1709"/>
      <c r="Z457" s="1709"/>
    </row>
    <row r="458" spans="15:26" s="1704" customFormat="1">
      <c r="O458" s="1709"/>
      <c r="Q458" s="1709"/>
      <c r="R458" s="1709"/>
      <c r="V458" s="1709"/>
      <c r="W458" s="1709"/>
      <c r="X458" s="1709"/>
      <c r="Y458" s="1709"/>
      <c r="Z458" s="1709"/>
    </row>
    <row r="459" spans="15:26" s="1704" customFormat="1">
      <c r="O459" s="1709"/>
      <c r="Q459" s="1709"/>
      <c r="R459" s="1709"/>
      <c r="V459" s="1709"/>
      <c r="W459" s="1709"/>
      <c r="X459" s="1709"/>
      <c r="Y459" s="1709"/>
      <c r="Z459" s="1709"/>
    </row>
    <row r="460" spans="15:26" s="1704" customFormat="1">
      <c r="O460" s="1709"/>
      <c r="Q460" s="1709"/>
      <c r="R460" s="1709"/>
      <c r="V460" s="1709"/>
      <c r="W460" s="1709"/>
      <c r="X460" s="1709"/>
      <c r="Y460" s="1709"/>
      <c r="Z460" s="1709"/>
    </row>
    <row r="461" spans="15:26" s="1704" customFormat="1">
      <c r="O461" s="1709"/>
      <c r="Q461" s="1709"/>
      <c r="R461" s="1709"/>
      <c r="V461" s="1709"/>
      <c r="W461" s="1709"/>
      <c r="X461" s="1709"/>
      <c r="Y461" s="1709"/>
      <c r="Z461" s="1709"/>
    </row>
    <row r="462" spans="15:26" s="1704" customFormat="1">
      <c r="O462" s="1709"/>
      <c r="Q462" s="1709"/>
      <c r="R462" s="1709"/>
      <c r="V462" s="1709"/>
      <c r="W462" s="1709"/>
      <c r="X462" s="1709"/>
      <c r="Y462" s="1709"/>
      <c r="Z462" s="1709"/>
    </row>
    <row r="463" spans="15:26" s="1704" customFormat="1">
      <c r="O463" s="1709"/>
      <c r="Q463" s="1709"/>
      <c r="R463" s="1709"/>
      <c r="V463" s="1709"/>
      <c r="W463" s="1709"/>
      <c r="X463" s="1709"/>
      <c r="Y463" s="1709"/>
      <c r="Z463" s="1709"/>
    </row>
    <row r="464" spans="15:26" s="1704" customFormat="1">
      <c r="O464" s="1709"/>
      <c r="Q464" s="1709"/>
      <c r="R464" s="1709"/>
      <c r="V464" s="1709"/>
      <c r="W464" s="1709"/>
      <c r="X464" s="1709"/>
      <c r="Y464" s="1709"/>
      <c r="Z464" s="1709"/>
    </row>
    <row r="465" spans="15:26" s="1704" customFormat="1">
      <c r="O465" s="1709"/>
      <c r="Q465" s="1709"/>
      <c r="R465" s="1709"/>
      <c r="V465" s="1709"/>
      <c r="W465" s="1709"/>
      <c r="X465" s="1709"/>
      <c r="Y465" s="1709"/>
      <c r="Z465" s="1709"/>
    </row>
    <row r="466" spans="15:26" s="1704" customFormat="1">
      <c r="O466" s="1709"/>
      <c r="Q466" s="1709"/>
      <c r="R466" s="1709"/>
      <c r="V466" s="1709"/>
      <c r="W466" s="1709"/>
      <c r="X466" s="1709"/>
      <c r="Y466" s="1709"/>
      <c r="Z466" s="1709"/>
    </row>
    <row r="467" spans="15:26" s="1704" customFormat="1">
      <c r="O467" s="1709"/>
      <c r="Q467" s="1709"/>
      <c r="R467" s="1709"/>
      <c r="V467" s="1709"/>
      <c r="W467" s="1709"/>
      <c r="X467" s="1709"/>
      <c r="Y467" s="1709"/>
      <c r="Z467" s="1709"/>
    </row>
    <row r="468" spans="15:26" s="1704" customFormat="1">
      <c r="O468" s="1709"/>
      <c r="Q468" s="1709"/>
      <c r="R468" s="1709"/>
      <c r="V468" s="1709"/>
      <c r="W468" s="1709"/>
      <c r="X468" s="1709"/>
      <c r="Y468" s="1709"/>
      <c r="Z468" s="1709"/>
    </row>
    <row r="469" spans="15:26" s="1704" customFormat="1">
      <c r="O469" s="1709"/>
      <c r="Q469" s="1709"/>
      <c r="R469" s="1709"/>
      <c r="V469" s="1709"/>
      <c r="W469" s="1709"/>
      <c r="X469" s="1709"/>
      <c r="Y469" s="1709"/>
      <c r="Z469" s="1709"/>
    </row>
    <row r="470" spans="15:26" s="1704" customFormat="1">
      <c r="O470" s="1709"/>
      <c r="Q470" s="1709"/>
      <c r="R470" s="1709"/>
      <c r="V470" s="1709"/>
      <c r="W470" s="1709"/>
      <c r="X470" s="1709"/>
      <c r="Y470" s="1709"/>
      <c r="Z470" s="1709"/>
    </row>
    <row r="471" spans="15:26" s="1704" customFormat="1">
      <c r="O471" s="1709"/>
      <c r="Q471" s="1709"/>
      <c r="R471" s="1709"/>
      <c r="V471" s="1709"/>
      <c r="W471" s="1709"/>
      <c r="X471" s="1709"/>
      <c r="Y471" s="1709"/>
      <c r="Z471" s="1709"/>
    </row>
    <row r="472" spans="15:26" s="1704" customFormat="1">
      <c r="O472" s="1709"/>
      <c r="Q472" s="1709"/>
      <c r="R472" s="1709"/>
      <c r="V472" s="1709"/>
      <c r="W472" s="1709"/>
      <c r="X472" s="1709"/>
      <c r="Y472" s="1709"/>
      <c r="Z472" s="1709"/>
    </row>
    <row r="473" spans="15:26" s="1704" customFormat="1">
      <c r="O473" s="1709"/>
      <c r="Q473" s="1709"/>
      <c r="R473" s="1709"/>
      <c r="V473" s="1709"/>
      <c r="W473" s="1709"/>
      <c r="X473" s="1709"/>
      <c r="Y473" s="1709"/>
      <c r="Z473" s="1709"/>
    </row>
    <row r="474" spans="15:26" s="1704" customFormat="1">
      <c r="O474" s="1709"/>
      <c r="Q474" s="1709"/>
      <c r="R474" s="1709"/>
      <c r="V474" s="1709"/>
      <c r="W474" s="1709"/>
      <c r="X474" s="1709"/>
      <c r="Y474" s="1709"/>
      <c r="Z474" s="1709"/>
    </row>
    <row r="475" spans="15:26" s="1704" customFormat="1">
      <c r="O475" s="1709"/>
      <c r="Q475" s="1709"/>
      <c r="R475" s="1709"/>
      <c r="V475" s="1709"/>
      <c r="W475" s="1709"/>
      <c r="X475" s="1709"/>
      <c r="Y475" s="1709"/>
      <c r="Z475" s="1709"/>
    </row>
    <row r="476" spans="15:26" s="1704" customFormat="1">
      <c r="O476" s="1709"/>
      <c r="Q476" s="1709"/>
      <c r="R476" s="1709"/>
      <c r="V476" s="1709"/>
      <c r="W476" s="1709"/>
      <c r="X476" s="1709"/>
      <c r="Y476" s="1709"/>
      <c r="Z476" s="1709"/>
    </row>
    <row r="477" spans="15:26" s="1704" customFormat="1">
      <c r="O477" s="1709"/>
      <c r="Q477" s="1709"/>
      <c r="R477" s="1709"/>
      <c r="V477" s="1709"/>
      <c r="W477" s="1709"/>
      <c r="X477" s="1709"/>
      <c r="Y477" s="1709"/>
      <c r="Z477" s="1709"/>
    </row>
    <row r="478" spans="15:26" s="1704" customFormat="1">
      <c r="O478" s="1709"/>
      <c r="Q478" s="1709"/>
      <c r="R478" s="1709"/>
      <c r="V478" s="1709"/>
      <c r="W478" s="1709"/>
      <c r="X478" s="1709"/>
      <c r="Y478" s="1709"/>
      <c r="Z478" s="1709"/>
    </row>
    <row r="479" spans="15:26" s="1704" customFormat="1">
      <c r="O479" s="1709"/>
      <c r="Q479" s="1709"/>
      <c r="R479" s="1709"/>
      <c r="V479" s="1709"/>
      <c r="W479" s="1709"/>
      <c r="X479" s="1709"/>
      <c r="Y479" s="1709"/>
      <c r="Z479" s="1709"/>
    </row>
    <row r="480" spans="15:26" s="1704" customFormat="1">
      <c r="O480" s="1709"/>
      <c r="Q480" s="1709"/>
      <c r="R480" s="1709"/>
      <c r="V480" s="1709"/>
      <c r="W480" s="1709"/>
      <c r="X480" s="1709"/>
      <c r="Y480" s="1709"/>
      <c r="Z480" s="1709"/>
    </row>
    <row r="481" spans="15:26" s="1704" customFormat="1">
      <c r="O481" s="1709"/>
      <c r="Q481" s="1709"/>
      <c r="R481" s="1709"/>
      <c r="V481" s="1709"/>
      <c r="W481" s="1709"/>
      <c r="X481" s="1709"/>
      <c r="Y481" s="1709"/>
      <c r="Z481" s="1709"/>
    </row>
    <row r="482" spans="15:26" s="1704" customFormat="1">
      <c r="O482" s="1709"/>
      <c r="Q482" s="1709"/>
      <c r="R482" s="1709"/>
      <c r="V482" s="1709"/>
      <c r="W482" s="1709"/>
      <c r="X482" s="1709"/>
      <c r="Y482" s="1709"/>
      <c r="Z482" s="1709"/>
    </row>
    <row r="483" spans="15:26" s="1704" customFormat="1">
      <c r="O483" s="1709"/>
      <c r="Q483" s="1709"/>
      <c r="R483" s="1709"/>
      <c r="V483" s="1709"/>
      <c r="W483" s="1709"/>
      <c r="X483" s="1709"/>
      <c r="Y483" s="1709"/>
      <c r="Z483" s="1709"/>
    </row>
    <row r="484" spans="15:26" s="1704" customFormat="1">
      <c r="O484" s="1709"/>
      <c r="Q484" s="1709"/>
      <c r="R484" s="1709"/>
      <c r="V484" s="1709"/>
      <c r="W484" s="1709"/>
      <c r="X484" s="1709"/>
      <c r="Y484" s="1709"/>
      <c r="Z484" s="1709"/>
    </row>
    <row r="485" spans="15:26" s="1704" customFormat="1">
      <c r="O485" s="1709"/>
      <c r="Q485" s="1709"/>
      <c r="R485" s="1709"/>
      <c r="V485" s="1709"/>
      <c r="W485" s="1709"/>
      <c r="X485" s="1709"/>
      <c r="Y485" s="1709"/>
      <c r="Z485" s="1709"/>
    </row>
    <row r="486" spans="15:26" s="1704" customFormat="1">
      <c r="O486" s="1709"/>
      <c r="Q486" s="1709"/>
      <c r="R486" s="1709"/>
      <c r="V486" s="1709"/>
      <c r="W486" s="1709"/>
      <c r="X486" s="1709"/>
      <c r="Y486" s="1709"/>
      <c r="Z486" s="1709"/>
    </row>
    <row r="487" spans="15:26" s="1704" customFormat="1">
      <c r="O487" s="1709"/>
      <c r="Q487" s="1709"/>
      <c r="R487" s="1709"/>
      <c r="V487" s="1709"/>
      <c r="W487" s="1709"/>
      <c r="X487" s="1709"/>
      <c r="Y487" s="1709"/>
      <c r="Z487" s="1709"/>
    </row>
    <row r="488" spans="15:26" s="1704" customFormat="1">
      <c r="O488" s="1709"/>
      <c r="Q488" s="1709"/>
      <c r="R488" s="1709"/>
      <c r="V488" s="1709"/>
      <c r="W488" s="1709"/>
      <c r="X488" s="1709"/>
      <c r="Y488" s="1709"/>
      <c r="Z488" s="1709"/>
    </row>
    <row r="489" spans="15:26" s="1704" customFormat="1">
      <c r="O489" s="1709"/>
      <c r="Q489" s="1709"/>
      <c r="R489" s="1709"/>
      <c r="V489" s="1709"/>
      <c r="W489" s="1709"/>
      <c r="X489" s="1709"/>
      <c r="Y489" s="1709"/>
      <c r="Z489" s="1709"/>
    </row>
    <row r="490" spans="15:26" s="1704" customFormat="1">
      <c r="O490" s="1709"/>
      <c r="Q490" s="1709"/>
      <c r="R490" s="1709"/>
      <c r="V490" s="1709"/>
      <c r="W490" s="1709"/>
      <c r="X490" s="1709"/>
      <c r="Y490" s="1709"/>
      <c r="Z490" s="1709"/>
    </row>
    <row r="491" spans="15:26" s="1704" customFormat="1">
      <c r="O491" s="1709"/>
      <c r="Q491" s="1709"/>
      <c r="R491" s="1709"/>
      <c r="V491" s="1709"/>
      <c r="W491" s="1709"/>
      <c r="X491" s="1709"/>
      <c r="Y491" s="1709"/>
      <c r="Z491" s="1709"/>
    </row>
    <row r="492" spans="15:26" s="1704" customFormat="1">
      <c r="O492" s="1709"/>
      <c r="Q492" s="1709"/>
      <c r="R492" s="1709"/>
      <c r="V492" s="1709"/>
      <c r="W492" s="1709"/>
      <c r="X492" s="1709"/>
      <c r="Y492" s="1709"/>
      <c r="Z492" s="1709"/>
    </row>
    <row r="493" spans="15:26" s="1704" customFormat="1">
      <c r="O493" s="1709"/>
      <c r="Q493" s="1709"/>
      <c r="R493" s="1709"/>
      <c r="V493" s="1709"/>
      <c r="W493" s="1709"/>
      <c r="X493" s="1709"/>
      <c r="Y493" s="1709"/>
      <c r="Z493" s="1709"/>
    </row>
    <row r="494" spans="15:26" s="1704" customFormat="1">
      <c r="O494" s="1709"/>
      <c r="Q494" s="1709"/>
      <c r="R494" s="1709"/>
      <c r="V494" s="1709"/>
      <c r="W494" s="1709"/>
      <c r="X494" s="1709"/>
      <c r="Y494" s="1709"/>
      <c r="Z494" s="1709"/>
    </row>
    <row r="495" spans="15:26" s="1704" customFormat="1">
      <c r="O495" s="1709"/>
      <c r="Q495" s="1709"/>
      <c r="R495" s="1709"/>
      <c r="V495" s="1709"/>
      <c r="W495" s="1709"/>
      <c r="X495" s="1709"/>
      <c r="Y495" s="1709"/>
      <c r="Z495" s="1709"/>
    </row>
    <row r="496" spans="15:26" s="1704" customFormat="1">
      <c r="O496" s="1709"/>
      <c r="Q496" s="1709"/>
      <c r="R496" s="1709"/>
      <c r="V496" s="1709"/>
      <c r="W496" s="1709"/>
      <c r="X496" s="1709"/>
      <c r="Y496" s="1709"/>
      <c r="Z496" s="1709"/>
    </row>
    <row r="497" spans="15:26" s="1704" customFormat="1">
      <c r="O497" s="1709"/>
      <c r="Q497" s="1709"/>
      <c r="R497" s="1709"/>
      <c r="V497" s="1709"/>
      <c r="W497" s="1709"/>
      <c r="X497" s="1709"/>
      <c r="Y497" s="1709"/>
      <c r="Z497" s="1709"/>
    </row>
    <row r="498" spans="15:26" s="1704" customFormat="1">
      <c r="O498" s="1709"/>
      <c r="Q498" s="1709"/>
      <c r="R498" s="1709"/>
      <c r="V498" s="1709"/>
      <c r="W498" s="1709"/>
      <c r="X498" s="1709"/>
      <c r="Y498" s="1709"/>
      <c r="Z498" s="1709"/>
    </row>
    <row r="499" spans="15:26" s="1704" customFormat="1">
      <c r="O499" s="1709"/>
      <c r="Q499" s="1709"/>
      <c r="R499" s="1709"/>
      <c r="V499" s="1709"/>
      <c r="W499" s="1709"/>
      <c r="X499" s="1709"/>
      <c r="Y499" s="1709"/>
      <c r="Z499" s="1709"/>
    </row>
    <row r="500" spans="15:26" s="1704" customFormat="1">
      <c r="O500" s="1709"/>
      <c r="Q500" s="1709"/>
      <c r="R500" s="1709"/>
      <c r="V500" s="1709"/>
      <c r="W500" s="1709"/>
      <c r="X500" s="1709"/>
      <c r="Y500" s="1709"/>
      <c r="Z500" s="1709"/>
    </row>
    <row r="501" spans="15:26" s="1704" customFormat="1">
      <c r="O501" s="1709"/>
      <c r="Q501" s="1709"/>
      <c r="R501" s="1709"/>
      <c r="V501" s="1709"/>
      <c r="W501" s="1709"/>
      <c r="X501" s="1709"/>
      <c r="Y501" s="1709"/>
      <c r="Z501" s="1709"/>
    </row>
    <row r="502" spans="15:26" s="1704" customFormat="1">
      <c r="O502" s="1709"/>
      <c r="Q502" s="1709"/>
      <c r="R502" s="1709"/>
      <c r="V502" s="1709"/>
      <c r="W502" s="1709"/>
      <c r="X502" s="1709"/>
      <c r="Y502" s="1709"/>
      <c r="Z502" s="1709"/>
    </row>
    <row r="503" spans="15:26" s="1704" customFormat="1">
      <c r="O503" s="1709"/>
      <c r="Q503" s="1709"/>
      <c r="R503" s="1709"/>
      <c r="V503" s="1709"/>
      <c r="W503" s="1709"/>
      <c r="X503" s="1709"/>
      <c r="Y503" s="1709"/>
      <c r="Z503" s="1709"/>
    </row>
    <row r="504" spans="15:26" s="1704" customFormat="1">
      <c r="O504" s="1709"/>
      <c r="Q504" s="1709"/>
      <c r="R504" s="1709"/>
      <c r="V504" s="1709"/>
      <c r="W504" s="1709"/>
      <c r="X504" s="1709"/>
      <c r="Y504" s="1709"/>
      <c r="Z504" s="1709"/>
    </row>
    <row r="505" spans="15:26" s="1704" customFormat="1">
      <c r="O505" s="1709"/>
      <c r="Q505" s="1709"/>
      <c r="R505" s="1709"/>
      <c r="V505" s="1709"/>
      <c r="W505" s="1709"/>
      <c r="X505" s="1709"/>
      <c r="Y505" s="1709"/>
      <c r="Z505" s="1709"/>
    </row>
    <row r="506" spans="15:26" s="1704" customFormat="1">
      <c r="O506" s="1709"/>
      <c r="Q506" s="1709"/>
      <c r="R506" s="1709"/>
      <c r="V506" s="1709"/>
      <c r="W506" s="1709"/>
      <c r="X506" s="1709"/>
      <c r="Y506" s="1709"/>
      <c r="Z506" s="1709"/>
    </row>
    <row r="507" spans="15:26" s="1704" customFormat="1">
      <c r="O507" s="1709"/>
      <c r="Q507" s="1709"/>
      <c r="R507" s="1709"/>
      <c r="V507" s="1709"/>
      <c r="W507" s="1709"/>
      <c r="X507" s="1709"/>
      <c r="Y507" s="1709"/>
      <c r="Z507" s="1709"/>
    </row>
    <row r="508" spans="15:26" s="1704" customFormat="1">
      <c r="O508" s="1709"/>
      <c r="Q508" s="1709"/>
      <c r="R508" s="1709"/>
      <c r="V508" s="1709"/>
      <c r="W508" s="1709"/>
      <c r="X508" s="1709"/>
      <c r="Y508" s="1709"/>
      <c r="Z508" s="1709"/>
    </row>
    <row r="509" spans="15:26" s="1704" customFormat="1">
      <c r="O509" s="1709"/>
      <c r="Q509" s="1709"/>
      <c r="R509" s="1709"/>
      <c r="V509" s="1709"/>
      <c r="W509" s="1709"/>
      <c r="X509" s="1709"/>
      <c r="Y509" s="1709"/>
      <c r="Z509" s="1709"/>
    </row>
    <row r="510" spans="15:26" s="1704" customFormat="1">
      <c r="O510" s="1709"/>
      <c r="Q510" s="1709"/>
      <c r="R510" s="1709"/>
      <c r="V510" s="1709"/>
      <c r="W510" s="1709"/>
      <c r="X510" s="1709"/>
      <c r="Y510" s="1709"/>
      <c r="Z510" s="1709"/>
    </row>
    <row r="511" spans="15:26" s="1704" customFormat="1">
      <c r="O511" s="1709"/>
      <c r="Q511" s="1709"/>
      <c r="R511" s="1709"/>
      <c r="V511" s="1709"/>
      <c r="W511" s="1709"/>
      <c r="X511" s="1709"/>
      <c r="Y511" s="1709"/>
      <c r="Z511" s="1709"/>
    </row>
    <row r="512" spans="15:26" s="1704" customFormat="1">
      <c r="O512" s="1709"/>
      <c r="Q512" s="1709"/>
      <c r="R512" s="1709"/>
      <c r="V512" s="1709"/>
      <c r="W512" s="1709"/>
      <c r="X512" s="1709"/>
      <c r="Y512" s="1709"/>
      <c r="Z512" s="1709"/>
    </row>
    <row r="513" spans="15:26" s="1704" customFormat="1">
      <c r="O513" s="1709"/>
      <c r="Q513" s="1709"/>
      <c r="R513" s="1709"/>
      <c r="V513" s="1709"/>
      <c r="W513" s="1709"/>
      <c r="X513" s="1709"/>
      <c r="Y513" s="1709"/>
      <c r="Z513" s="1709"/>
    </row>
    <row r="514" spans="15:26" s="1704" customFormat="1">
      <c r="O514" s="1709"/>
      <c r="Q514" s="1709"/>
      <c r="R514" s="1709"/>
      <c r="V514" s="1709"/>
      <c r="W514" s="1709"/>
      <c r="X514" s="1709"/>
      <c r="Y514" s="1709"/>
      <c r="Z514" s="1709"/>
    </row>
    <row r="515" spans="15:26" s="1704" customFormat="1">
      <c r="O515" s="1709"/>
      <c r="Q515" s="1709"/>
      <c r="R515" s="1709"/>
      <c r="V515" s="1709"/>
      <c r="W515" s="1709"/>
      <c r="X515" s="1709"/>
      <c r="Y515" s="1709"/>
      <c r="Z515" s="1709"/>
    </row>
    <row r="516" spans="15:26" s="1704" customFormat="1">
      <c r="O516" s="1709"/>
      <c r="Q516" s="1709"/>
      <c r="R516" s="1709"/>
      <c r="V516" s="1709"/>
      <c r="W516" s="1709"/>
      <c r="X516" s="1709"/>
      <c r="Y516" s="1709"/>
      <c r="Z516" s="1709"/>
    </row>
    <row r="517" spans="15:26" s="1704" customFormat="1">
      <c r="O517" s="1709"/>
      <c r="Q517" s="1709"/>
      <c r="R517" s="1709"/>
      <c r="V517" s="1709"/>
      <c r="W517" s="1709"/>
      <c r="X517" s="1709"/>
      <c r="Y517" s="1709"/>
      <c r="Z517" s="1709"/>
    </row>
    <row r="518" spans="15:26" s="1704" customFormat="1">
      <c r="O518" s="1709"/>
      <c r="Q518" s="1709"/>
      <c r="R518" s="1709"/>
      <c r="V518" s="1709"/>
      <c r="W518" s="1709"/>
      <c r="X518" s="1709"/>
      <c r="Y518" s="1709"/>
      <c r="Z518" s="1709"/>
    </row>
    <row r="519" spans="15:26" s="1704" customFormat="1">
      <c r="O519" s="1709"/>
      <c r="Q519" s="1709"/>
      <c r="R519" s="1709"/>
      <c r="V519" s="1709"/>
      <c r="W519" s="1709"/>
      <c r="X519" s="1709"/>
      <c r="Y519" s="1709"/>
      <c r="Z519" s="1709"/>
    </row>
    <row r="520" spans="15:26" s="1704" customFormat="1">
      <c r="O520" s="1709"/>
      <c r="Q520" s="1709"/>
      <c r="R520" s="1709"/>
      <c r="V520" s="1709"/>
      <c r="W520" s="1709"/>
      <c r="X520" s="1709"/>
      <c r="Y520" s="1709"/>
      <c r="Z520" s="1709"/>
    </row>
    <row r="521" spans="15:26" s="1704" customFormat="1">
      <c r="O521" s="1709"/>
      <c r="Q521" s="1709"/>
      <c r="R521" s="1709"/>
      <c r="V521" s="1709"/>
      <c r="W521" s="1709"/>
      <c r="X521" s="1709"/>
      <c r="Y521" s="1709"/>
      <c r="Z521" s="1709"/>
    </row>
    <row r="522" spans="15:26" s="1704" customFormat="1">
      <c r="O522" s="1709"/>
      <c r="Q522" s="1709"/>
      <c r="R522" s="1709"/>
      <c r="V522" s="1709"/>
      <c r="W522" s="1709"/>
      <c r="X522" s="1709"/>
      <c r="Y522" s="1709"/>
      <c r="Z522" s="1709"/>
    </row>
    <row r="523" spans="15:26" s="1704" customFormat="1">
      <c r="O523" s="1709"/>
      <c r="Q523" s="1709"/>
      <c r="R523" s="1709"/>
      <c r="V523" s="1709"/>
      <c r="W523" s="1709"/>
      <c r="X523" s="1709"/>
      <c r="Y523" s="1709"/>
      <c r="Z523" s="1709"/>
    </row>
    <row r="524" spans="15:26" s="1704" customFormat="1">
      <c r="O524" s="1709"/>
      <c r="Q524" s="1709"/>
      <c r="R524" s="1709"/>
      <c r="V524" s="1709"/>
      <c r="W524" s="1709"/>
      <c r="X524" s="1709"/>
      <c r="Y524" s="1709"/>
      <c r="Z524" s="1709"/>
    </row>
    <row r="525" spans="15:26" s="1704" customFormat="1">
      <c r="O525" s="1709"/>
      <c r="Q525" s="1709"/>
      <c r="R525" s="1709"/>
      <c r="V525" s="1709"/>
      <c r="W525" s="1709"/>
      <c r="X525" s="1709"/>
      <c r="Y525" s="1709"/>
      <c r="Z525" s="1709"/>
    </row>
    <row r="526" spans="15:26" s="1704" customFormat="1">
      <c r="O526" s="1709"/>
      <c r="Q526" s="1709"/>
      <c r="R526" s="1709"/>
      <c r="V526" s="1709"/>
      <c r="W526" s="1709"/>
      <c r="X526" s="1709"/>
      <c r="Y526" s="1709"/>
      <c r="Z526" s="1709"/>
    </row>
    <row r="527" spans="15:26" s="1704" customFormat="1">
      <c r="O527" s="1709"/>
      <c r="Q527" s="1709"/>
      <c r="R527" s="1709"/>
      <c r="V527" s="1709"/>
      <c r="W527" s="1709"/>
      <c r="X527" s="1709"/>
      <c r="Y527" s="1709"/>
      <c r="Z527" s="1709"/>
    </row>
    <row r="528" spans="15:26" s="1704" customFormat="1">
      <c r="O528" s="1709"/>
      <c r="Q528" s="1709"/>
      <c r="R528" s="1709"/>
      <c r="V528" s="1709"/>
      <c r="W528" s="1709"/>
      <c r="X528" s="1709"/>
      <c r="Y528" s="1709"/>
      <c r="Z528" s="1709"/>
    </row>
    <row r="529" spans="15:26" s="1704" customFormat="1">
      <c r="O529" s="1709"/>
      <c r="Q529" s="1709"/>
      <c r="R529" s="1709"/>
      <c r="V529" s="1709"/>
      <c r="W529" s="1709"/>
      <c r="X529" s="1709"/>
      <c r="Y529" s="1709"/>
      <c r="Z529" s="1709"/>
    </row>
    <row r="530" spans="15:26" s="1704" customFormat="1">
      <c r="O530" s="1709"/>
      <c r="Q530" s="1709"/>
      <c r="R530" s="1709"/>
      <c r="V530" s="1709"/>
      <c r="W530" s="1709"/>
      <c r="X530" s="1709"/>
      <c r="Y530" s="1709"/>
      <c r="Z530" s="1709"/>
    </row>
    <row r="531" spans="15:26" s="1704" customFormat="1">
      <c r="O531" s="1709"/>
      <c r="Q531" s="1709"/>
      <c r="R531" s="1709"/>
      <c r="V531" s="1709"/>
      <c r="W531" s="1709"/>
      <c r="X531" s="1709"/>
      <c r="Y531" s="1709"/>
      <c r="Z531" s="1709"/>
    </row>
    <row r="532" spans="15:26" s="1704" customFormat="1">
      <c r="O532" s="1709"/>
      <c r="Q532" s="1709"/>
      <c r="R532" s="1709"/>
      <c r="V532" s="1709"/>
      <c r="W532" s="1709"/>
      <c r="X532" s="1709"/>
      <c r="Y532" s="1709"/>
      <c r="Z532" s="1709"/>
    </row>
    <row r="533" spans="15:26" s="1704" customFormat="1">
      <c r="O533" s="1709"/>
      <c r="Q533" s="1709"/>
      <c r="R533" s="1709"/>
      <c r="V533" s="1709"/>
      <c r="W533" s="1709"/>
      <c r="X533" s="1709"/>
      <c r="Y533" s="1709"/>
      <c r="Z533" s="1709"/>
    </row>
    <row r="534" spans="15:26" s="1704" customFormat="1">
      <c r="O534" s="1709"/>
      <c r="Q534" s="1709"/>
      <c r="R534" s="1709"/>
      <c r="V534" s="1709"/>
      <c r="W534" s="1709"/>
      <c r="X534" s="1709"/>
      <c r="Y534" s="1709"/>
      <c r="Z534" s="1709"/>
    </row>
    <row r="535" spans="15:26" s="1704" customFormat="1">
      <c r="O535" s="1709"/>
      <c r="Q535" s="1709"/>
      <c r="R535" s="1709"/>
      <c r="V535" s="1709"/>
      <c r="W535" s="1709"/>
      <c r="X535" s="1709"/>
      <c r="Y535" s="1709"/>
      <c r="Z535" s="1709"/>
    </row>
    <row r="536" spans="15:26" s="1704" customFormat="1">
      <c r="O536" s="1709"/>
      <c r="Q536" s="1709"/>
      <c r="R536" s="1709"/>
      <c r="V536" s="1709"/>
      <c r="W536" s="1709"/>
      <c r="X536" s="1709"/>
      <c r="Y536" s="1709"/>
      <c r="Z536" s="1709"/>
    </row>
    <row r="537" spans="15:26" s="1704" customFormat="1">
      <c r="O537" s="1709"/>
      <c r="Q537" s="1709"/>
      <c r="R537" s="1709"/>
      <c r="V537" s="1709"/>
      <c r="W537" s="1709"/>
      <c r="X537" s="1709"/>
      <c r="Y537" s="1709"/>
      <c r="Z537" s="1709"/>
    </row>
    <row r="538" spans="15:26" s="1704" customFormat="1">
      <c r="O538" s="1709"/>
      <c r="Q538" s="1709"/>
      <c r="R538" s="1709"/>
      <c r="V538" s="1709"/>
      <c r="W538" s="1709"/>
      <c r="X538" s="1709"/>
      <c r="Y538" s="1709"/>
      <c r="Z538" s="1709"/>
    </row>
    <row r="539" spans="15:26" s="1704" customFormat="1">
      <c r="O539" s="1709"/>
      <c r="Q539" s="1709"/>
      <c r="R539" s="1709"/>
      <c r="V539" s="1709"/>
      <c r="W539" s="1709"/>
      <c r="X539" s="1709"/>
      <c r="Y539" s="1709"/>
      <c r="Z539" s="1709"/>
    </row>
    <row r="540" spans="15:26" s="1704" customFormat="1">
      <c r="O540" s="1709"/>
      <c r="Q540" s="1709"/>
      <c r="R540" s="1709"/>
      <c r="V540" s="1709"/>
      <c r="W540" s="1709"/>
      <c r="X540" s="1709"/>
      <c r="Y540" s="1709"/>
      <c r="Z540" s="1709"/>
    </row>
    <row r="541" spans="15:26" s="1704" customFormat="1">
      <c r="O541" s="1709"/>
      <c r="Q541" s="1709"/>
      <c r="R541" s="1709"/>
      <c r="V541" s="1709"/>
      <c r="W541" s="1709"/>
      <c r="X541" s="1709"/>
      <c r="Y541" s="1709"/>
      <c r="Z541" s="1709"/>
    </row>
    <row r="542" spans="15:26" s="1704" customFormat="1">
      <c r="O542" s="1709"/>
      <c r="Q542" s="1709"/>
      <c r="R542" s="1709"/>
      <c r="V542" s="1709"/>
      <c r="W542" s="1709"/>
      <c r="X542" s="1709"/>
      <c r="Y542" s="1709"/>
      <c r="Z542" s="1709"/>
    </row>
    <row r="543" spans="15:26" s="1704" customFormat="1">
      <c r="O543" s="1709"/>
      <c r="Q543" s="1709"/>
      <c r="R543" s="1709"/>
      <c r="V543" s="1709"/>
      <c r="W543" s="1709"/>
      <c r="X543" s="1709"/>
      <c r="Y543" s="1709"/>
      <c r="Z543" s="1709"/>
    </row>
    <row r="544" spans="15:26" s="1704" customFormat="1">
      <c r="O544" s="1709"/>
      <c r="Q544" s="1709"/>
      <c r="R544" s="1709"/>
      <c r="V544" s="1709"/>
      <c r="W544" s="1709"/>
      <c r="X544" s="1709"/>
      <c r="Y544" s="1709"/>
      <c r="Z544" s="1709"/>
    </row>
    <row r="545" spans="15:26" s="1704" customFormat="1">
      <c r="O545" s="1709"/>
      <c r="Q545" s="1709"/>
      <c r="R545" s="1709"/>
      <c r="V545" s="1709"/>
      <c r="W545" s="1709"/>
      <c r="X545" s="1709"/>
      <c r="Y545" s="1709"/>
      <c r="Z545" s="1709"/>
    </row>
    <row r="546" spans="15:26" s="1704" customFormat="1">
      <c r="O546" s="1709"/>
      <c r="Q546" s="1709"/>
      <c r="R546" s="1709"/>
      <c r="V546" s="1709"/>
      <c r="W546" s="1709"/>
      <c r="X546" s="1709"/>
      <c r="Y546" s="1709"/>
      <c r="Z546" s="1709"/>
    </row>
    <row r="547" spans="15:26" s="1704" customFormat="1">
      <c r="O547" s="1709"/>
      <c r="Q547" s="1709"/>
      <c r="R547" s="1709"/>
      <c r="V547" s="1709"/>
      <c r="W547" s="1709"/>
      <c r="X547" s="1709"/>
      <c r="Y547" s="1709"/>
      <c r="Z547" s="1709"/>
    </row>
    <row r="548" spans="15:26" s="1704" customFormat="1">
      <c r="O548" s="1709"/>
      <c r="Q548" s="1709"/>
      <c r="R548" s="1709"/>
      <c r="V548" s="1709"/>
      <c r="W548" s="1709"/>
      <c r="X548" s="1709"/>
      <c r="Y548" s="1709"/>
      <c r="Z548" s="1709"/>
    </row>
    <row r="549" spans="15:26" s="1704" customFormat="1">
      <c r="O549" s="1709"/>
      <c r="Q549" s="1709"/>
      <c r="R549" s="1709"/>
      <c r="V549" s="1709"/>
      <c r="W549" s="1709"/>
      <c r="X549" s="1709"/>
      <c r="Y549" s="1709"/>
      <c r="Z549" s="1709"/>
    </row>
    <row r="550" spans="15:26" s="1704" customFormat="1">
      <c r="O550" s="1709"/>
      <c r="Q550" s="1709"/>
      <c r="R550" s="1709"/>
      <c r="V550" s="1709"/>
      <c r="W550" s="1709"/>
      <c r="X550" s="1709"/>
      <c r="Y550" s="1709"/>
      <c r="Z550" s="1709"/>
    </row>
    <row r="551" spans="15:26" s="1704" customFormat="1">
      <c r="O551" s="1709"/>
      <c r="Q551" s="1709"/>
      <c r="R551" s="1709"/>
      <c r="V551" s="1709"/>
      <c r="W551" s="1709"/>
      <c r="X551" s="1709"/>
      <c r="Y551" s="1709"/>
      <c r="Z551" s="1709"/>
    </row>
    <row r="552" spans="15:26" s="1704" customFormat="1">
      <c r="O552" s="1709"/>
      <c r="Q552" s="1709"/>
      <c r="R552" s="1709"/>
      <c r="V552" s="1709"/>
      <c r="W552" s="1709"/>
      <c r="X552" s="1709"/>
      <c r="Y552" s="1709"/>
      <c r="Z552" s="1709"/>
    </row>
    <row r="553" spans="15:26" s="1704" customFormat="1">
      <c r="O553" s="1709"/>
      <c r="Q553" s="1709"/>
      <c r="R553" s="1709"/>
      <c r="V553" s="1709"/>
      <c r="W553" s="1709"/>
      <c r="X553" s="1709"/>
      <c r="Y553" s="1709"/>
      <c r="Z553" s="1709"/>
    </row>
    <row r="554" spans="15:26" s="1704" customFormat="1">
      <c r="O554" s="1709"/>
      <c r="Q554" s="1709"/>
      <c r="R554" s="1709"/>
      <c r="V554" s="1709"/>
      <c r="W554" s="1709"/>
      <c r="X554" s="1709"/>
      <c r="Y554" s="1709"/>
      <c r="Z554" s="1709"/>
    </row>
    <row r="555" spans="15:26" s="1704" customFormat="1">
      <c r="O555" s="1709"/>
      <c r="Q555" s="1709"/>
      <c r="R555" s="1709"/>
      <c r="V555" s="1709"/>
      <c r="W555" s="1709"/>
      <c r="X555" s="1709"/>
      <c r="Y555" s="1709"/>
      <c r="Z555" s="1709"/>
    </row>
    <row r="556" spans="15:26" s="1704" customFormat="1">
      <c r="O556" s="1709"/>
      <c r="Q556" s="1709"/>
      <c r="R556" s="1709"/>
      <c r="V556" s="1709"/>
      <c r="W556" s="1709"/>
      <c r="X556" s="1709"/>
      <c r="Y556" s="1709"/>
      <c r="Z556" s="1709"/>
    </row>
    <row r="557" spans="15:26" s="1704" customFormat="1">
      <c r="O557" s="1709"/>
      <c r="Q557" s="1709"/>
      <c r="R557" s="1709"/>
      <c r="V557" s="1709"/>
      <c r="W557" s="1709"/>
      <c r="X557" s="1709"/>
      <c r="Y557" s="1709"/>
      <c r="Z557" s="1709"/>
    </row>
    <row r="558" spans="15:26" s="1704" customFormat="1">
      <c r="O558" s="1709"/>
      <c r="Q558" s="1709"/>
      <c r="R558" s="1709"/>
      <c r="V558" s="1709"/>
      <c r="W558" s="1709"/>
      <c r="X558" s="1709"/>
      <c r="Y558" s="1709"/>
      <c r="Z558" s="1709"/>
    </row>
    <row r="559" spans="15:26" s="1704" customFormat="1">
      <c r="O559" s="1709"/>
      <c r="Q559" s="1709"/>
      <c r="R559" s="1709"/>
      <c r="V559" s="1709"/>
      <c r="W559" s="1709"/>
      <c r="X559" s="1709"/>
      <c r="Y559" s="1709"/>
      <c r="Z559" s="1709"/>
    </row>
    <row r="560" spans="15:26" s="1704" customFormat="1">
      <c r="O560" s="1709"/>
      <c r="Q560" s="1709"/>
      <c r="R560" s="1709"/>
      <c r="V560" s="1709"/>
      <c r="W560" s="1709"/>
      <c r="X560" s="1709"/>
      <c r="Y560" s="1709"/>
      <c r="Z560" s="1709"/>
    </row>
    <row r="561" spans="2:26" s="1704" customFormat="1">
      <c r="O561" s="1709"/>
      <c r="Q561" s="1709"/>
      <c r="R561" s="1709"/>
      <c r="V561" s="1709"/>
      <c r="W561" s="1709"/>
      <c r="X561" s="1709"/>
      <c r="Y561" s="1709"/>
      <c r="Z561" s="1709"/>
    </row>
    <row r="562" spans="2:26" s="1704" customFormat="1">
      <c r="O562" s="1709"/>
      <c r="Q562" s="1709"/>
      <c r="R562" s="1709"/>
      <c r="V562" s="1709"/>
      <c r="W562" s="1709"/>
      <c r="X562" s="1709"/>
      <c r="Y562" s="1709"/>
      <c r="Z562" s="1709"/>
    </row>
    <row r="563" spans="2:26" s="1704" customFormat="1">
      <c r="O563" s="1709"/>
      <c r="Q563" s="1709"/>
      <c r="R563" s="1709"/>
      <c r="V563" s="1709"/>
      <c r="W563" s="1709"/>
      <c r="X563" s="1709"/>
      <c r="Y563" s="1709"/>
      <c r="Z563" s="1709"/>
    </row>
    <row r="564" spans="2:26" s="1704" customFormat="1">
      <c r="O564" s="1709"/>
      <c r="Q564" s="1709"/>
      <c r="R564" s="1709"/>
      <c r="V564" s="1709"/>
      <c r="W564" s="1709"/>
      <c r="X564" s="1709"/>
      <c r="Y564" s="1709"/>
      <c r="Z564" s="1709"/>
    </row>
    <row r="565" spans="2:26" s="1704" customFormat="1">
      <c r="O565" s="1709"/>
      <c r="Q565" s="1709"/>
      <c r="R565" s="1709"/>
      <c r="V565" s="1709"/>
      <c r="W565" s="1709"/>
      <c r="X565" s="1709"/>
      <c r="Y565" s="1709"/>
      <c r="Z565" s="1709"/>
    </row>
    <row r="566" spans="2:26" s="1704" customFormat="1">
      <c r="O566" s="1709"/>
      <c r="Q566" s="1709"/>
      <c r="R566" s="1709"/>
      <c r="V566" s="1709"/>
      <c r="W566" s="1709"/>
      <c r="X566" s="1709"/>
      <c r="Y566" s="1709"/>
      <c r="Z566" s="1709"/>
    </row>
    <row r="567" spans="2:26" s="1704" customFormat="1">
      <c r="O567" s="1709"/>
      <c r="Q567" s="1709"/>
      <c r="R567" s="1709"/>
      <c r="V567" s="1709"/>
      <c r="W567" s="1709"/>
      <c r="X567" s="1709"/>
      <c r="Y567" s="1709"/>
      <c r="Z567" s="1709"/>
    </row>
    <row r="568" spans="2:26" s="1704" customFormat="1">
      <c r="B568" s="232"/>
      <c r="C568" s="232"/>
      <c r="D568" s="232"/>
      <c r="O568" s="1709"/>
      <c r="Q568" s="1709"/>
      <c r="R568" s="1709"/>
      <c r="V568" s="1709"/>
      <c r="W568" s="1709"/>
      <c r="X568" s="1709"/>
      <c r="Y568" s="1709"/>
      <c r="Z568" s="1709"/>
    </row>
    <row r="569" spans="2:26" s="1704" customFormat="1">
      <c r="B569" s="232"/>
      <c r="C569" s="232"/>
      <c r="D569" s="232"/>
      <c r="O569" s="1709"/>
      <c r="Q569" s="1709"/>
      <c r="R569" s="1709"/>
      <c r="V569" s="1709"/>
      <c r="W569" s="1709"/>
      <c r="X569" s="1709"/>
      <c r="Y569" s="1709"/>
      <c r="Z569" s="1709"/>
    </row>
  </sheetData>
  <sheetProtection algorithmName="SHA-512" hashValue="xjupkM0I1L8R1d0zd1b1AeU6mu2KgFd8Lc8qSHxu+3bjDZY7+0UY9aTooSF9n/fI7Ex8LDm/0MRcFTSUdRfXww==" saltValue="MxtLDbOYHSqGzE5d7yoU3Q==" spinCount="100000" sheet="1" objects="1" scenarios="1" formatCells="0" formatColumns="0" formatRows="0"/>
  <mergeCells count="293">
    <mergeCell ref="O252:P252"/>
    <mergeCell ref="E251:Q251"/>
    <mergeCell ref="D250:Q250"/>
    <mergeCell ref="K264:M264"/>
    <mergeCell ref="B228:O229"/>
    <mergeCell ref="U186:V186"/>
    <mergeCell ref="U187:V187"/>
    <mergeCell ref="L186:N186"/>
    <mergeCell ref="Q224:Z228"/>
    <mergeCell ref="Q229:T232"/>
    <mergeCell ref="L187:N187"/>
    <mergeCell ref="K245:M245"/>
    <mergeCell ref="K246:M246"/>
    <mergeCell ref="K247:M247"/>
    <mergeCell ref="F232:G232"/>
    <mergeCell ref="K233:M233"/>
    <mergeCell ref="K234:M234"/>
    <mergeCell ref="K235:M235"/>
    <mergeCell ref="K236:M236"/>
    <mergeCell ref="K237:M237"/>
    <mergeCell ref="K239:M239"/>
    <mergeCell ref="K240:M240"/>
    <mergeCell ref="K241:M241"/>
    <mergeCell ref="K242:M242"/>
    <mergeCell ref="F91:G91"/>
    <mergeCell ref="F92:G92"/>
    <mergeCell ref="I171:J171"/>
    <mergeCell ref="K248:M248"/>
    <mergeCell ref="U181:V181"/>
    <mergeCell ref="U182:V182"/>
    <mergeCell ref="U183:V183"/>
    <mergeCell ref="U184:V184"/>
    <mergeCell ref="U185:V185"/>
    <mergeCell ref="L185:N185"/>
    <mergeCell ref="L181:N181"/>
    <mergeCell ref="L182:N182"/>
    <mergeCell ref="L183:N183"/>
    <mergeCell ref="L184:N184"/>
    <mergeCell ref="B123:O124"/>
    <mergeCell ref="R137:T137"/>
    <mergeCell ref="R138:T138"/>
    <mergeCell ref="R139:T139"/>
    <mergeCell ref="R129:T129"/>
    <mergeCell ref="R130:T130"/>
    <mergeCell ref="P170:W170"/>
    <mergeCell ref="Q127:T127"/>
    <mergeCell ref="R131:T131"/>
    <mergeCell ref="R132:T132"/>
    <mergeCell ref="K265:M265"/>
    <mergeCell ref="K266:M266"/>
    <mergeCell ref="K267:M267"/>
    <mergeCell ref="K268:M268"/>
    <mergeCell ref="K253:M253"/>
    <mergeCell ref="E252:F252"/>
    <mergeCell ref="G252:I252"/>
    <mergeCell ref="J252:M252"/>
    <mergeCell ref="K254:M254"/>
    <mergeCell ref="K255:M255"/>
    <mergeCell ref="K256:M256"/>
    <mergeCell ref="K257:M257"/>
    <mergeCell ref="K259:M259"/>
    <mergeCell ref="K260:M260"/>
    <mergeCell ref="K261:M261"/>
    <mergeCell ref="K262:M262"/>
    <mergeCell ref="K263:M263"/>
    <mergeCell ref="E287:P288"/>
    <mergeCell ref="E290:P292"/>
    <mergeCell ref="E294:P295"/>
    <mergeCell ref="Q233:T235"/>
    <mergeCell ref="Q236:T238"/>
    <mergeCell ref="V11:X11"/>
    <mergeCell ref="V20:X20"/>
    <mergeCell ref="K42:M43"/>
    <mergeCell ref="V42:X42"/>
    <mergeCell ref="R141:T141"/>
    <mergeCell ref="F76:G76"/>
    <mergeCell ref="F77:G77"/>
    <mergeCell ref="F78:G78"/>
    <mergeCell ref="I75:M75"/>
    <mergeCell ref="I76:M76"/>
    <mergeCell ref="I77:M77"/>
    <mergeCell ref="I78:M78"/>
    <mergeCell ref="F85:G85"/>
    <mergeCell ref="I85:M85"/>
    <mergeCell ref="I91:M91"/>
    <mergeCell ref="I92:M92"/>
    <mergeCell ref="F86:G86"/>
    <mergeCell ref="F87:G87"/>
    <mergeCell ref="F88:G88"/>
    <mergeCell ref="C20:C21"/>
    <mergeCell ref="I86:M86"/>
    <mergeCell ref="I89:M89"/>
    <mergeCell ref="I90:M90"/>
    <mergeCell ref="O84:R84"/>
    <mergeCell ref="O85:R85"/>
    <mergeCell ref="O86:R86"/>
    <mergeCell ref="O87:R87"/>
    <mergeCell ref="I83:M83"/>
    <mergeCell ref="B52:F52"/>
    <mergeCell ref="B53:F53"/>
    <mergeCell ref="B54:F54"/>
    <mergeCell ref="B60:F60"/>
    <mergeCell ref="B61:F61"/>
    <mergeCell ref="E73:E74"/>
    <mergeCell ref="E81:E82"/>
    <mergeCell ref="K44:M44"/>
    <mergeCell ref="K45:M45"/>
    <mergeCell ref="K46:M46"/>
    <mergeCell ref="K47:M47"/>
    <mergeCell ref="F83:G83"/>
    <mergeCell ref="F84:G84"/>
    <mergeCell ref="P50:T50"/>
    <mergeCell ref="K61:M61"/>
    <mergeCell ref="S27:T27"/>
    <mergeCell ref="S28:T28"/>
    <mergeCell ref="S29:T29"/>
    <mergeCell ref="S30:T30"/>
    <mergeCell ref="S31:T31"/>
    <mergeCell ref="S32:T32"/>
    <mergeCell ref="K52:M52"/>
    <mergeCell ref="K53:M53"/>
    <mergeCell ref="K54:M54"/>
    <mergeCell ref="S52:T52"/>
    <mergeCell ref="S53:T53"/>
    <mergeCell ref="S54:T54"/>
    <mergeCell ref="R134:T134"/>
    <mergeCell ref="R135:T135"/>
    <mergeCell ref="R136:T136"/>
    <mergeCell ref="R140:T140"/>
    <mergeCell ref="R143:T143"/>
    <mergeCell ref="F127:G127"/>
    <mergeCell ref="F170:G170"/>
    <mergeCell ref="I170:J170"/>
    <mergeCell ref="L135:M135"/>
    <mergeCell ref="R142:T142"/>
    <mergeCell ref="U176:V176"/>
    <mergeCell ref="U178:V178"/>
    <mergeCell ref="U179:V179"/>
    <mergeCell ref="U180:V180"/>
    <mergeCell ref="L172:N172"/>
    <mergeCell ref="L173:N173"/>
    <mergeCell ref="L174:N174"/>
    <mergeCell ref="L175:N175"/>
    <mergeCell ref="P171:Q171"/>
    <mergeCell ref="T171:V171"/>
    <mergeCell ref="L176:N176"/>
    <mergeCell ref="L178:N178"/>
    <mergeCell ref="L179:N179"/>
    <mergeCell ref="L180:N180"/>
    <mergeCell ref="L171:O171"/>
    <mergeCell ref="U172:V172"/>
    <mergeCell ref="U173:V173"/>
    <mergeCell ref="U174:V174"/>
    <mergeCell ref="U175:V175"/>
    <mergeCell ref="K243:M243"/>
    <mergeCell ref="J232:M232"/>
    <mergeCell ref="K244:M244"/>
    <mergeCell ref="T83:U83"/>
    <mergeCell ref="T84:U84"/>
    <mergeCell ref="T85:U85"/>
    <mergeCell ref="T86:U86"/>
    <mergeCell ref="T87:U87"/>
    <mergeCell ref="T88:U88"/>
    <mergeCell ref="T89:U89"/>
    <mergeCell ref="T90:U90"/>
    <mergeCell ref="T91:U91"/>
    <mergeCell ref="R128:T128"/>
    <mergeCell ref="L136:M136"/>
    <mergeCell ref="L137:M137"/>
    <mergeCell ref="L138:M138"/>
    <mergeCell ref="L139:M139"/>
    <mergeCell ref="L140:M140"/>
    <mergeCell ref="L141:M141"/>
    <mergeCell ref="L142:M142"/>
    <mergeCell ref="T92:U92"/>
    <mergeCell ref="L143:M143"/>
    <mergeCell ref="L134:M134"/>
    <mergeCell ref="I87:M87"/>
    <mergeCell ref="I88:M88"/>
    <mergeCell ref="I84:M84"/>
    <mergeCell ref="S62:T62"/>
    <mergeCell ref="S60:T60"/>
    <mergeCell ref="S61:T61"/>
    <mergeCell ref="O78:R78"/>
    <mergeCell ref="O76:R76"/>
    <mergeCell ref="O77:R77"/>
    <mergeCell ref="T75:U75"/>
    <mergeCell ref="T76:U76"/>
    <mergeCell ref="T77:U77"/>
    <mergeCell ref="O83:R83"/>
    <mergeCell ref="T78:U78"/>
    <mergeCell ref="K60:M60"/>
    <mergeCell ref="E11:E12"/>
    <mergeCell ref="F11:F12"/>
    <mergeCell ref="I11:I12"/>
    <mergeCell ref="J11:J12"/>
    <mergeCell ref="L11:M12"/>
    <mergeCell ref="E20:E21"/>
    <mergeCell ref="F20:F21"/>
    <mergeCell ref="G20:H21"/>
    <mergeCell ref="I20:I21"/>
    <mergeCell ref="J20:J21"/>
    <mergeCell ref="L20:M21"/>
    <mergeCell ref="G11:H12"/>
    <mergeCell ref="L13:M13"/>
    <mergeCell ref="L14:M14"/>
    <mergeCell ref="L15:M15"/>
    <mergeCell ref="L16:M16"/>
    <mergeCell ref="S23:T23"/>
    <mergeCell ref="S21:T21"/>
    <mergeCell ref="S24:T24"/>
    <mergeCell ref="S25:T25"/>
    <mergeCell ref="L31:M31"/>
    <mergeCell ref="P42:T42"/>
    <mergeCell ref="Q43:S43"/>
    <mergeCell ref="I10:J10"/>
    <mergeCell ref="I19:J19"/>
    <mergeCell ref="P11:T11"/>
    <mergeCell ref="P20:T20"/>
    <mergeCell ref="Q12:S12"/>
    <mergeCell ref="Q13:S13"/>
    <mergeCell ref="Q14:S14"/>
    <mergeCell ref="Q15:S15"/>
    <mergeCell ref="Q16:S16"/>
    <mergeCell ref="S22:T22"/>
    <mergeCell ref="L27:M27"/>
    <mergeCell ref="L22:M22"/>
    <mergeCell ref="L23:M23"/>
    <mergeCell ref="L24:M24"/>
    <mergeCell ref="L25:M25"/>
    <mergeCell ref="L26:M26"/>
    <mergeCell ref="S26:T26"/>
    <mergeCell ref="AB73:AC73"/>
    <mergeCell ref="AB81:AC81"/>
    <mergeCell ref="W81:Z81"/>
    <mergeCell ref="O73:R74"/>
    <mergeCell ref="O81:R82"/>
    <mergeCell ref="L28:M28"/>
    <mergeCell ref="L29:M29"/>
    <mergeCell ref="L30:M30"/>
    <mergeCell ref="S55:T55"/>
    <mergeCell ref="S56:T56"/>
    <mergeCell ref="S57:T57"/>
    <mergeCell ref="S51:T51"/>
    <mergeCell ref="S59:T59"/>
    <mergeCell ref="K55:M55"/>
    <mergeCell ref="K56:M56"/>
    <mergeCell ref="K57:M57"/>
    <mergeCell ref="K58:M58"/>
    <mergeCell ref="K59:M59"/>
    <mergeCell ref="S58:T58"/>
    <mergeCell ref="B55:F55"/>
    <mergeCell ref="B56:F56"/>
    <mergeCell ref="B57:F57"/>
    <mergeCell ref="B58:F58"/>
    <mergeCell ref="B59:F59"/>
    <mergeCell ref="F75:G75"/>
    <mergeCell ref="K50:M51"/>
    <mergeCell ref="V50:X50"/>
    <mergeCell ref="W73:Z73"/>
    <mergeCell ref="U262:V262"/>
    <mergeCell ref="U263:V263"/>
    <mergeCell ref="U264:V264"/>
    <mergeCell ref="U265:V265"/>
    <mergeCell ref="U266:V266"/>
    <mergeCell ref="U267:V267"/>
    <mergeCell ref="U268:V268"/>
    <mergeCell ref="C11:C12"/>
    <mergeCell ref="O127:O128"/>
    <mergeCell ref="J126:O126"/>
    <mergeCell ref="L127:M127"/>
    <mergeCell ref="L128:M128"/>
    <mergeCell ref="L129:M129"/>
    <mergeCell ref="L130:M130"/>
    <mergeCell ref="L131:M131"/>
    <mergeCell ref="L132:M132"/>
    <mergeCell ref="O89:R89"/>
    <mergeCell ref="O90:R90"/>
    <mergeCell ref="O91:R91"/>
    <mergeCell ref="O92:R92"/>
    <mergeCell ref="F89:G89"/>
    <mergeCell ref="F90:G90"/>
    <mergeCell ref="O88:R88"/>
    <mergeCell ref="O75:R75"/>
    <mergeCell ref="T252:V252"/>
    <mergeCell ref="U253:V253"/>
    <mergeCell ref="U254:V254"/>
    <mergeCell ref="U255:V255"/>
    <mergeCell ref="U256:V256"/>
    <mergeCell ref="U257:V257"/>
    <mergeCell ref="U259:V259"/>
    <mergeCell ref="U260:V260"/>
    <mergeCell ref="U261:V261"/>
  </mergeCells>
  <conditionalFormatting sqref="C173:F173 H173:I173 K173:N173 P173 R173:T173">
    <cfRule type="expression" dxfId="55" priority="94">
      <formula>($P$44+$Q$44+$T$44)&gt;0</formula>
    </cfRule>
  </conditionalFormatting>
  <conditionalFormatting sqref="C174:F174 H174:I174 K174:N174 P174 R174:T174 B173:B176">
    <cfRule type="expression" dxfId="54" priority="93">
      <formula>($P$45+$Q$45+$T$45)&gt;0</formula>
    </cfRule>
  </conditionalFormatting>
  <conditionalFormatting sqref="C175:F175 H175:I175 K175:N175 P175 R175:T175">
    <cfRule type="expression" dxfId="53" priority="92">
      <formula>($P$46+$Q$46+$T$46)&gt;0</formula>
    </cfRule>
  </conditionalFormatting>
  <conditionalFormatting sqref="C176:F176 H176:I176 K176:N176 P176 R176:T176">
    <cfRule type="expression" dxfId="52" priority="91">
      <formula>($P$47+$Q$47+$T$47)&gt;0</formula>
    </cfRule>
  </conditionalFormatting>
  <conditionalFormatting sqref="B234:F234 H234:J234 B235:B237 B254:B257 E254:E268 G254:G268 J254:J268 N254:O268 R250:T251">
    <cfRule type="expression" dxfId="51" priority="85">
      <formula>($W$75+$X$75+$Z$75)&gt;0</formula>
    </cfRule>
  </conditionalFormatting>
  <conditionalFormatting sqref="C235:F235 H235:J235">
    <cfRule type="expression" dxfId="50" priority="84">
      <formula>($W$76+$X$76+$Z$76)&gt;0</formula>
    </cfRule>
  </conditionalFormatting>
  <conditionalFormatting sqref="C236:F236 H236:J236">
    <cfRule type="expression" dxfId="49" priority="83">
      <formula>($W$77+$X$77+$Z$77)&gt;0</formula>
    </cfRule>
  </conditionalFormatting>
  <conditionalFormatting sqref="C237:F237 H237:J237">
    <cfRule type="expression" dxfId="48" priority="82">
      <formula>($W$78+$X$78+$Z$78)&gt;0</formula>
    </cfRule>
  </conditionalFormatting>
  <conditionalFormatting sqref="B239:F239 H239:J239 B259:B268">
    <cfRule type="expression" dxfId="47" priority="81">
      <formula>($W$83+$X$83+$Z$83)&gt;0</formula>
    </cfRule>
  </conditionalFormatting>
  <conditionalFormatting sqref="B240:F240 H240:J240">
    <cfRule type="expression" dxfId="46" priority="80">
      <formula>($W$84+$X$84+$Z$84)&gt;0</formula>
    </cfRule>
  </conditionalFormatting>
  <conditionalFormatting sqref="B241:F241 H241:J241">
    <cfRule type="expression" dxfId="45" priority="79">
      <formula>($W$85+$X$85+$Z$85)&gt;0</formula>
    </cfRule>
  </conditionalFormatting>
  <conditionalFormatting sqref="B242:F242 H242:J242">
    <cfRule type="expression" dxfId="44" priority="78">
      <formula>($W$86+$X$86+$Z$86)&gt;0</formula>
    </cfRule>
  </conditionalFormatting>
  <conditionalFormatting sqref="B243:F243 H243:J243">
    <cfRule type="expression" dxfId="43" priority="77">
      <formula>($W$87+$X$87+$Z$87)&gt;0</formula>
    </cfRule>
  </conditionalFormatting>
  <conditionalFormatting sqref="B244:F244 H244:J244">
    <cfRule type="expression" dxfId="42" priority="76">
      <formula>($W$88+$X$88+$Z$88)&gt;0</formula>
    </cfRule>
  </conditionalFormatting>
  <conditionalFormatting sqref="B245:F245 H245:J245">
    <cfRule type="expression" dxfId="41" priority="75">
      <formula>($W$89+$X$89+$Z$89)&gt;0</formula>
    </cfRule>
  </conditionalFormatting>
  <conditionalFormatting sqref="B246:F246 H246:J246">
    <cfRule type="expression" dxfId="40" priority="74">
      <formula>($W$90+$X$90+$Z$90)&gt;0</formula>
    </cfRule>
  </conditionalFormatting>
  <conditionalFormatting sqref="B247:F247 H247:J247">
    <cfRule type="expression" dxfId="39" priority="73">
      <formula>($W$91+$X$91+$Z$91)&gt;0</formula>
    </cfRule>
  </conditionalFormatting>
  <conditionalFormatting sqref="B248:F248 H248:J248">
    <cfRule type="expression" dxfId="38" priority="72">
      <formula>($W$92+$X$92+$Z$92)&gt;0</formula>
    </cfRule>
  </conditionalFormatting>
  <conditionalFormatting sqref="AF75:AN78 AF83:AN92 AC13:AF16 AC22:AF31 AB129:AB132 AB134:AB143 AD129:AD132 AD134:AD143">
    <cfRule type="expression" dxfId="37" priority="71">
      <formula>Nlang&gt;1</formula>
    </cfRule>
  </conditionalFormatting>
  <conditionalFormatting sqref="B178:F178 K178:N178 P178 R178:T178 H178:I178">
    <cfRule type="expression" dxfId="36" priority="68">
      <formula>$P$52+$Q$52+$S$53&gt;0</formula>
    </cfRule>
  </conditionalFormatting>
  <conditionalFormatting sqref="B179:F179 H179:I179 K179:N179 P179 R179:T179">
    <cfRule type="expression" dxfId="35" priority="66">
      <formula>$P$53+$Q$53+$S$53&gt;0</formula>
    </cfRule>
  </conditionalFormatting>
  <conditionalFormatting sqref="B180:F180 H180:I180 K180:N180 P180 R180:T180">
    <cfRule type="expression" dxfId="34" priority="65">
      <formula>$P$54+$Q$54+$S$54&gt;0</formula>
    </cfRule>
  </conditionalFormatting>
  <conditionalFormatting sqref="B181:F181 H181:I181 K181:N181 P181 R181:T181">
    <cfRule type="expression" dxfId="33" priority="64">
      <formula>$P$55+$Q$55+$S$55&gt;0</formula>
    </cfRule>
  </conditionalFormatting>
  <conditionalFormatting sqref="B182:F182 H182:I182 K182:N182 P182 R182:T182">
    <cfRule type="expression" dxfId="32" priority="63">
      <formula>$P$56+$Q$56+$S$56&gt;0</formula>
    </cfRule>
  </conditionalFormatting>
  <conditionalFormatting sqref="B183:F183 H183:I183 K183:N183 P183 R183:T183">
    <cfRule type="expression" dxfId="31" priority="62">
      <formula>$P$57+$Q$57+$S$57&gt;0</formula>
    </cfRule>
  </conditionalFormatting>
  <conditionalFormatting sqref="B184:F184 H184:I184 K184:N184 P184 R184:T184">
    <cfRule type="expression" dxfId="30" priority="61">
      <formula>$P$58+$Q$58+$S$58&gt;0</formula>
    </cfRule>
  </conditionalFormatting>
  <conditionalFormatting sqref="B185:F185 H185:I185 K185:N185 P185 R185:T185">
    <cfRule type="expression" dxfId="29" priority="60">
      <formula>$P$59+$Q$59+$S$59&gt;0</formula>
    </cfRule>
  </conditionalFormatting>
  <conditionalFormatting sqref="B186:F186 H186:I186 K186:N186 P186 R186:T186">
    <cfRule type="expression" dxfId="28" priority="59">
      <formula>$P$60+$Q$60+$S$60&gt;0</formula>
    </cfRule>
  </conditionalFormatting>
  <conditionalFormatting sqref="B187:F187 H187:I187 K187:N187 P187 R187:T187">
    <cfRule type="expression" dxfId="27" priority="58">
      <formula>$P$61+$Q$61+$S$61&gt;0</formula>
    </cfRule>
  </conditionalFormatting>
  <conditionalFormatting sqref="L13:M16">
    <cfRule type="expression" dxfId="26" priority="17">
      <formula>$G13="Yes"</formula>
    </cfRule>
  </conditionalFormatting>
  <conditionalFormatting sqref="L22:M31">
    <cfRule type="expression" dxfId="25" priority="16">
      <formula>$G22="Yes"</formula>
    </cfRule>
  </conditionalFormatting>
  <conditionalFormatting sqref="U250:W251">
    <cfRule type="expression" dxfId="24" priority="2">
      <formula>($W$75+$X$75+$Z$75)&gt;0</formula>
    </cfRule>
  </conditionalFormatting>
  <conditionalFormatting sqref="Q252:S268">
    <cfRule type="expression" dxfId="23" priority="1">
      <formula>($W$75+$X$75+$Z$75)&gt;0</formula>
    </cfRule>
  </conditionalFormatting>
  <dataValidations count="11">
    <dataValidation type="list" allowBlank="1" showInputMessage="1" showErrorMessage="1" sqref="L13:M16 L22:M31">
      <formula1>INDIRECT($AB13)</formula1>
    </dataValidation>
    <dataValidation type="decimal" operator="greaterThanOrEqual" allowBlank="1" showInputMessage="1" showErrorMessage="1" sqref="R133:R142 W129:W131 W133:W142 L258:M258 K258:K267 P258:P267 P254:P256 K254:K256 I254:I256 I258:I267 F254:F256 F258:F267 K234:K236 G234:G236 G238:G247 U173:U175 U177:U186 O173:O175 O177:O186 Q173:Q175 J177:J186 G173:G175 G177:G186 Q177:Q186 J173:J175 K238:K247 G133:G142 G128:G131 R129:R131">
      <formula1>0</formula1>
    </dataValidation>
    <dataValidation type="list" allowBlank="1" showInputMessage="1" showErrorMessage="1" sqref="K51:K61 L21 K43:K46 L12">
      <formula1>YES_NO</formula1>
    </dataValidation>
    <dataValidation type="list" allowBlank="1" showInputMessage="1" showErrorMessage="1" sqref="E12:J16 E21:J31">
      <formula1>Yes_No_Annual</formula1>
    </dataValidation>
    <dataValidation type="list" allowBlank="1" showInputMessage="1" showErrorMessage="1" sqref="F83:F92 F75:F78">
      <formula1>Rice_water</formula1>
    </dataValidation>
    <dataValidation type="list" allowBlank="1" showInputMessage="1" showErrorMessage="1" sqref="I83:I92 I75:I78">
      <formula1>Rice_pre</formula1>
    </dataValidation>
    <dataValidation type="list" allowBlank="1" showInputMessage="1" showErrorMessage="1" sqref="O82:O92 O74:O78">
      <formula1>Rice_org</formula1>
    </dataValidation>
    <dataValidation type="list" allowBlank="1" showInputMessage="1" showErrorMessage="1" sqref="R21:R31 U51:U61 R51:R61 Y82:Y91 AA82:AA91 U21:U31">
      <formula1>dyn_simple</formula1>
    </dataValidation>
    <dataValidation type="list" allowBlank="1" showInputMessage="1" showErrorMessage="1" sqref="C13:C16 C22:C31">
      <formula1>crop_major</formula1>
    </dataValidation>
    <dataValidation type="list" allowBlank="1" showInputMessage="1" showErrorMessage="1" sqref="O129:O132 O134:O143">
      <formula1>Residue_mgmt</formula1>
    </dataValidation>
    <dataValidation type="list" allowBlank="1" showInputMessage="1" showErrorMessage="1" sqref="J134:J143 J129:J132">
      <formula1>crop_minor</formula1>
    </dataValidation>
  </dataValidations>
  <pageMargins left="0.78740157499999996" right="0.57999999999999996" top="0.76" bottom="0.75" header="0.4921259845" footer="0.4921259845"/>
  <pageSetup paperSize="9" orientation="landscape" horizontalDpi="1200" verticalDpi="1200" r:id="rId1"/>
  <headerFooter alignWithMargins="0">
    <oddHeader>&amp;A&amp;RPage &amp;P</oddHeader>
    <oddFooter>&amp;F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280"/>
  <sheetViews>
    <sheetView topLeftCell="A256" workbookViewId="0">
      <selection activeCell="A244" sqref="A244"/>
    </sheetView>
  </sheetViews>
  <sheetFormatPr defaultColWidth="11.5703125" defaultRowHeight="12.75"/>
  <cols>
    <col min="1" max="1" width="28.7109375" customWidth="1"/>
    <col min="2" max="2" width="41.28515625" customWidth="1"/>
    <col min="3" max="3" width="39.7109375" customWidth="1"/>
    <col min="4" max="4" width="39.42578125" customWidth="1"/>
    <col min="5" max="5" width="37.28515625" customWidth="1"/>
  </cols>
  <sheetData>
    <row r="1" spans="1:12" s="3316" customFormat="1">
      <c r="A1" s="3316" t="s">
        <v>1847</v>
      </c>
      <c r="B1" s="3316" t="s">
        <v>1620</v>
      </c>
      <c r="C1" s="3316" t="str">
        <f>'Other Translations'!C1</f>
        <v>Deutsch</v>
      </c>
      <c r="D1" s="3316" t="s">
        <v>5723</v>
      </c>
      <c r="E1" s="3316" t="s">
        <v>6520</v>
      </c>
      <c r="F1" s="3316" t="s">
        <v>1621</v>
      </c>
      <c r="G1" s="3316" t="s">
        <v>1622</v>
      </c>
      <c r="H1" s="3316" t="s">
        <v>1623</v>
      </c>
      <c r="I1" s="3316" t="s">
        <v>1624</v>
      </c>
      <c r="J1" s="3316" t="s">
        <v>1625</v>
      </c>
      <c r="K1" s="3316" t="s">
        <v>1626</v>
      </c>
      <c r="L1" s="3316" t="s">
        <v>1627</v>
      </c>
    </row>
    <row r="2" spans="1:12" s="2596" customFormat="1" ht="15">
      <c r="A2" s="2596" t="str">
        <f>'Name translation'!A2</f>
        <v>Please select</v>
      </c>
      <c r="B2" s="3584" t="s">
        <v>2395</v>
      </c>
      <c r="C2" s="3585" t="s">
        <v>4846</v>
      </c>
      <c r="D2" s="2596" t="s">
        <v>6101</v>
      </c>
      <c r="E2" s="2596" t="s">
        <v>6901</v>
      </c>
    </row>
    <row r="3" spans="1:12" s="2596" customFormat="1" ht="15">
      <c r="A3" s="2596" t="str">
        <f>'Name translation'!A3</f>
        <v>Africa</v>
      </c>
      <c r="B3" s="3584" t="s">
        <v>297</v>
      </c>
      <c r="C3" s="3585" t="s">
        <v>4847</v>
      </c>
      <c r="D3" s="2596" t="s">
        <v>4847</v>
      </c>
      <c r="E3" s="2596" t="s">
        <v>6902</v>
      </c>
    </row>
    <row r="4" spans="1:12" s="2596" customFormat="1" ht="15">
      <c r="A4" s="2596" t="str">
        <f>'Name translation'!A4</f>
        <v>Asia (Continental)</v>
      </c>
      <c r="B4" s="3584" t="s">
        <v>2396</v>
      </c>
      <c r="C4" s="3585" t="s">
        <v>4848</v>
      </c>
      <c r="D4" s="2596" t="s">
        <v>6102</v>
      </c>
      <c r="E4" s="2596" t="s">
        <v>6903</v>
      </c>
    </row>
    <row r="5" spans="1:12" s="2596" customFormat="1" ht="15">
      <c r="A5" s="2596" t="str">
        <f>'Name translation'!A5</f>
        <v>Asia (Indian subcontinent)</v>
      </c>
      <c r="B5" s="3584" t="s">
        <v>2397</v>
      </c>
      <c r="C5" s="3585" t="s">
        <v>4849</v>
      </c>
      <c r="D5" s="2596" t="s">
        <v>6103</v>
      </c>
      <c r="E5" s="2596" t="s">
        <v>6904</v>
      </c>
    </row>
    <row r="6" spans="1:12" s="2596" customFormat="1" ht="15">
      <c r="A6" s="2596" t="str">
        <f>'Name translation'!A6</f>
        <v>Asia (Insular)</v>
      </c>
      <c r="B6" s="3584" t="s">
        <v>299</v>
      </c>
      <c r="C6" s="3586" t="s">
        <v>5382</v>
      </c>
      <c r="D6" s="2596" t="s">
        <v>299</v>
      </c>
      <c r="E6" s="2596" t="s">
        <v>6905</v>
      </c>
    </row>
    <row r="7" spans="1:12" s="2596" customFormat="1" ht="15">
      <c r="A7" s="2596" t="str">
        <f>'Name translation'!A7</f>
        <v>Middle East</v>
      </c>
      <c r="B7" s="3584" t="s">
        <v>2398</v>
      </c>
      <c r="C7" s="3585" t="s">
        <v>4850</v>
      </c>
      <c r="D7" s="2596" t="s">
        <v>6104</v>
      </c>
      <c r="E7" s="2596" t="s">
        <v>6906</v>
      </c>
    </row>
    <row r="8" spans="1:12" s="2596" customFormat="1" ht="15">
      <c r="A8" s="2596" t="str">
        <f>'Name translation'!A8</f>
        <v>Western Europe</v>
      </c>
      <c r="B8" s="3584" t="s">
        <v>2399</v>
      </c>
      <c r="C8" s="3585" t="s">
        <v>4851</v>
      </c>
      <c r="D8" s="2596" t="s">
        <v>6105</v>
      </c>
      <c r="E8" s="2596" t="s">
        <v>6907</v>
      </c>
    </row>
    <row r="9" spans="1:12" s="2596" customFormat="1" ht="15">
      <c r="A9" s="2596" t="str">
        <f>'Name translation'!A9</f>
        <v>Eastern Europe</v>
      </c>
      <c r="B9" s="3584" t="s">
        <v>2400</v>
      </c>
      <c r="C9" s="3585" t="s">
        <v>4852</v>
      </c>
      <c r="D9" s="2596" t="s">
        <v>6106</v>
      </c>
      <c r="E9" s="2596" t="s">
        <v>6908</v>
      </c>
    </row>
    <row r="10" spans="1:12" s="2596" customFormat="1" ht="15">
      <c r="A10" s="2596" t="str">
        <f>'Name translation'!A10</f>
        <v>Oceania</v>
      </c>
      <c r="B10" s="3584" t="s">
        <v>2401</v>
      </c>
      <c r="C10" s="3585" t="s">
        <v>4853</v>
      </c>
      <c r="D10" s="2596" t="s">
        <v>6107</v>
      </c>
      <c r="E10" s="2596" t="s">
        <v>6909</v>
      </c>
    </row>
    <row r="11" spans="1:12" s="2596" customFormat="1" ht="15">
      <c r="A11" s="2596" t="str">
        <f>'Name translation'!A11</f>
        <v>North America</v>
      </c>
      <c r="B11" s="3584" t="s">
        <v>2402</v>
      </c>
      <c r="C11" s="3585" t="s">
        <v>4854</v>
      </c>
      <c r="D11" s="2596" t="s">
        <v>6108</v>
      </c>
      <c r="E11" s="2596" t="s">
        <v>6910</v>
      </c>
    </row>
    <row r="12" spans="1:12" s="2596" customFormat="1" ht="15">
      <c r="A12" s="2596" t="str">
        <f>'Name translation'!A12</f>
        <v>Central America</v>
      </c>
      <c r="B12" s="3584" t="s">
        <v>2403</v>
      </c>
      <c r="C12" s="3585" t="s">
        <v>4855</v>
      </c>
      <c r="D12" s="2596" t="s">
        <v>6109</v>
      </c>
      <c r="E12" s="2596" t="s">
        <v>6911</v>
      </c>
    </row>
    <row r="13" spans="1:12" s="2596" customFormat="1" ht="15">
      <c r="A13" s="2596" t="str">
        <f>'Name translation'!A13</f>
        <v>South America</v>
      </c>
      <c r="B13" s="3584" t="s">
        <v>2404</v>
      </c>
      <c r="C13" s="3585" t="s">
        <v>4856</v>
      </c>
      <c r="D13" s="2596" t="s">
        <v>6110</v>
      </c>
      <c r="E13" s="2596" t="s">
        <v>6912</v>
      </c>
    </row>
    <row r="14" spans="1:12" s="2596" customFormat="1" ht="15">
      <c r="A14" s="2596" t="str">
        <f>'Name translation'!A14</f>
        <v>Please select</v>
      </c>
      <c r="B14" s="3584" t="str">
        <f>B2</f>
        <v>Favor escolher</v>
      </c>
      <c r="C14" s="3585" t="s">
        <v>4846</v>
      </c>
      <c r="D14" s="2596" t="s">
        <v>6101</v>
      </c>
      <c r="E14" s="2596" t="s">
        <v>6901</v>
      </c>
    </row>
    <row r="15" spans="1:12" s="2596" customFormat="1" ht="15">
      <c r="A15" s="2596" t="str">
        <f>'Name translation'!A15</f>
        <v>Boreal</v>
      </c>
      <c r="B15" s="3584" t="s">
        <v>391</v>
      </c>
      <c r="C15" s="3585" t="s">
        <v>391</v>
      </c>
      <c r="D15" s="2596" t="s">
        <v>391</v>
      </c>
      <c r="E15" s="2596" t="s">
        <v>6913</v>
      </c>
    </row>
    <row r="16" spans="1:12" s="2596" customFormat="1" ht="15">
      <c r="A16" s="2596" t="str">
        <f>'Name translation'!A16</f>
        <v>Cool Temperate</v>
      </c>
      <c r="B16" s="3584" t="s">
        <v>2405</v>
      </c>
      <c r="C16" s="3585" t="s">
        <v>4857</v>
      </c>
      <c r="D16" s="2596" t="s">
        <v>6111</v>
      </c>
      <c r="E16" s="2596" t="s">
        <v>6914</v>
      </c>
    </row>
    <row r="17" spans="1:5" s="2596" customFormat="1" ht="15">
      <c r="A17" s="2596" t="str">
        <f>'Name translation'!A17</f>
        <v>Warm Temperate</v>
      </c>
      <c r="B17" s="3584" t="s">
        <v>2406</v>
      </c>
      <c r="C17" s="3585" t="s">
        <v>4858</v>
      </c>
      <c r="D17" s="2596" t="s">
        <v>6112</v>
      </c>
      <c r="E17" s="2596" t="s">
        <v>6915</v>
      </c>
    </row>
    <row r="18" spans="1:5" s="2596" customFormat="1" ht="15">
      <c r="A18" s="2596" t="str">
        <f>'Name translation'!A18</f>
        <v>Tropical</v>
      </c>
      <c r="B18" s="3584" t="s">
        <v>289</v>
      </c>
      <c r="C18" s="3585" t="s">
        <v>4859</v>
      </c>
      <c r="D18" s="2596" t="s">
        <v>6113</v>
      </c>
      <c r="E18" s="2596" t="s">
        <v>6916</v>
      </c>
    </row>
    <row r="19" spans="1:5" s="2596" customFormat="1" ht="15">
      <c r="A19" s="2596" t="str">
        <f>'Name translation'!A19</f>
        <v>Tropical Mountain</v>
      </c>
      <c r="B19" s="3584" t="s">
        <v>2407</v>
      </c>
      <c r="C19" s="3585" t="s">
        <v>4860</v>
      </c>
      <c r="D19" s="2596" t="s">
        <v>6114</v>
      </c>
      <c r="E19" s="2596" t="s">
        <v>6917</v>
      </c>
    </row>
    <row r="20" spans="1:5" s="2596" customFormat="1" ht="15">
      <c r="A20" s="2596" t="str">
        <f>'Name translation'!A20</f>
        <v>Dry</v>
      </c>
      <c r="B20" s="3584" t="s">
        <v>2408</v>
      </c>
      <c r="C20" s="3585" t="s">
        <v>4861</v>
      </c>
      <c r="D20" s="2596" t="s">
        <v>6115</v>
      </c>
      <c r="E20" s="2596" t="s">
        <v>6918</v>
      </c>
    </row>
    <row r="21" spans="1:5" s="2596" customFormat="1" ht="15">
      <c r="A21" s="2596" t="str">
        <f>'Name translation'!A21</f>
        <v>Moist</v>
      </c>
      <c r="B21" s="3584" t="s">
        <v>2410</v>
      </c>
      <c r="C21" s="3585" t="s">
        <v>4862</v>
      </c>
      <c r="D21" s="2596" t="s">
        <v>6116</v>
      </c>
      <c r="E21" s="2596" t="s">
        <v>6919</v>
      </c>
    </row>
    <row r="22" spans="1:5" s="2596" customFormat="1" ht="15">
      <c r="A22" s="2596" t="str">
        <f>'Name translation'!A22</f>
        <v>Wet</v>
      </c>
      <c r="B22" s="3584" t="s">
        <v>2409</v>
      </c>
      <c r="C22" s="3585" t="s">
        <v>4863</v>
      </c>
      <c r="D22" s="2596" t="s">
        <v>6117</v>
      </c>
      <c r="E22" s="2596" t="s">
        <v>6920</v>
      </c>
    </row>
    <row r="23" spans="1:5" s="2596" customFormat="1" ht="15">
      <c r="A23" s="2596" t="str">
        <f>'Name translation'!A23</f>
        <v>HAC Soils</v>
      </c>
      <c r="B23" s="3584" t="s">
        <v>2411</v>
      </c>
      <c r="C23" s="3585" t="s">
        <v>4864</v>
      </c>
      <c r="D23" s="2596" t="s">
        <v>6118</v>
      </c>
      <c r="E23" s="2596" t="s">
        <v>6921</v>
      </c>
    </row>
    <row r="24" spans="1:5" s="2596" customFormat="1" ht="15">
      <c r="A24" s="2596" t="str">
        <f>'Name translation'!A24</f>
        <v>LAC Soils</v>
      </c>
      <c r="B24" s="3584" t="s">
        <v>2412</v>
      </c>
      <c r="C24" s="3585" t="s">
        <v>4865</v>
      </c>
      <c r="D24" s="2596" t="s">
        <v>6119</v>
      </c>
      <c r="E24" s="2596" t="s">
        <v>6922</v>
      </c>
    </row>
    <row r="25" spans="1:5" s="2596" customFormat="1" ht="15">
      <c r="A25" s="2596" t="str">
        <f>'Name translation'!A25</f>
        <v>Sandy Soils</v>
      </c>
      <c r="B25" s="3584" t="s">
        <v>2413</v>
      </c>
      <c r="C25" s="3585" t="s">
        <v>4866</v>
      </c>
      <c r="D25" s="2596" t="s">
        <v>6120</v>
      </c>
      <c r="E25" s="2596" t="s">
        <v>6923</v>
      </c>
    </row>
    <row r="26" spans="1:5" s="2596" customFormat="1" ht="15">
      <c r="A26" s="2596" t="str">
        <f>'Name translation'!A26</f>
        <v>Spodic Soils</v>
      </c>
      <c r="B26" s="3584" t="s">
        <v>2414</v>
      </c>
      <c r="C26" s="3585" t="s">
        <v>4867</v>
      </c>
      <c r="D26" s="2596" t="s">
        <v>6121</v>
      </c>
      <c r="E26" s="2596" t="s">
        <v>6924</v>
      </c>
    </row>
    <row r="27" spans="1:5" s="2596" customFormat="1" ht="15">
      <c r="A27" s="2596" t="str">
        <f>'Name translation'!A27</f>
        <v>Volcanic Soils</v>
      </c>
      <c r="B27" s="3584" t="s">
        <v>2415</v>
      </c>
      <c r="C27" s="3585" t="s">
        <v>4868</v>
      </c>
      <c r="D27" s="2596" t="s">
        <v>6122</v>
      </c>
      <c r="E27" s="2596" t="s">
        <v>6925</v>
      </c>
    </row>
    <row r="28" spans="1:5" s="2596" customFormat="1" ht="15">
      <c r="A28" s="2596" t="str">
        <f>'Name translation'!A28</f>
        <v>Wetland Soils</v>
      </c>
      <c r="B28" s="3584" t="s">
        <v>2416</v>
      </c>
      <c r="C28" s="3585" t="s">
        <v>4869</v>
      </c>
      <c r="D28" s="2596" t="s">
        <v>6123</v>
      </c>
      <c r="E28" s="2596" t="s">
        <v>6926</v>
      </c>
    </row>
    <row r="29" spans="1:5" s="2596" customFormat="1" ht="15">
      <c r="A29" s="2596" t="str">
        <f>'Name translation'!A29</f>
        <v>Other soils</v>
      </c>
      <c r="B29" s="3584" t="s">
        <v>2417</v>
      </c>
      <c r="C29" s="3585" t="s">
        <v>4870</v>
      </c>
      <c r="D29" s="2596" t="s">
        <v>6124</v>
      </c>
      <c r="E29" s="2596" t="s">
        <v>6927</v>
      </c>
    </row>
    <row r="30" spans="1:5" s="2596" customFormat="1" ht="15">
      <c r="A30" s="2596" t="str">
        <f>'Name translation'!A30</f>
        <v>Please specify the climate</v>
      </c>
      <c r="B30" s="3584" t="s">
        <v>2418</v>
      </c>
      <c r="C30" s="3585" t="s">
        <v>4871</v>
      </c>
      <c r="D30" s="2596" t="s">
        <v>6125</v>
      </c>
      <c r="E30" s="2596" t="s">
        <v>6928</v>
      </c>
    </row>
    <row r="31" spans="1:5" s="2596" customFormat="1" ht="15">
      <c r="A31" s="2596" t="str">
        <f>'Name translation'!A31</f>
        <v>Tropical rain forest</v>
      </c>
      <c r="B31" s="3584" t="s">
        <v>2419</v>
      </c>
      <c r="C31" s="3585" t="s">
        <v>4872</v>
      </c>
      <c r="D31" s="2596" t="s">
        <v>6126</v>
      </c>
      <c r="E31" s="2596" t="s">
        <v>6929</v>
      </c>
    </row>
    <row r="32" spans="1:5" s="2596" customFormat="1" ht="15">
      <c r="A32" s="2596" t="str">
        <f>'Name translation'!A32</f>
        <v>Tropical moist deciduous forest</v>
      </c>
      <c r="B32" s="3584" t="s">
        <v>2420</v>
      </c>
      <c r="C32" s="3585" t="s">
        <v>4873</v>
      </c>
      <c r="D32" s="2596" t="s">
        <v>6127</v>
      </c>
      <c r="E32" s="2596" t="s">
        <v>6930</v>
      </c>
    </row>
    <row r="33" spans="1:5" s="2596" customFormat="1" ht="15">
      <c r="A33" s="2596" t="str">
        <f>'Name translation'!A33</f>
        <v>Tropical dry forest</v>
      </c>
      <c r="B33" s="3584" t="s">
        <v>2421</v>
      </c>
      <c r="C33" s="3585" t="s">
        <v>4874</v>
      </c>
      <c r="D33" s="2596" t="s">
        <v>6128</v>
      </c>
      <c r="E33" s="2596" t="s">
        <v>6931</v>
      </c>
    </row>
    <row r="34" spans="1:5" s="2596" customFormat="1" ht="15">
      <c r="A34" s="2596" t="str">
        <f>'Name translation'!A34</f>
        <v>Tropical shrubland</v>
      </c>
      <c r="B34" s="3584" t="s">
        <v>2422</v>
      </c>
      <c r="C34" s="3585" t="s">
        <v>4875</v>
      </c>
      <c r="D34" s="2596" t="s">
        <v>6129</v>
      </c>
      <c r="E34" s="2596" t="s">
        <v>6932</v>
      </c>
    </row>
    <row r="35" spans="1:5" s="2596" customFormat="1" ht="15">
      <c r="A35" s="2596" t="str">
        <f>'Name translation'!A35</f>
        <v>Subtropical humid forest</v>
      </c>
      <c r="B35" s="3584" t="s">
        <v>2423</v>
      </c>
      <c r="C35" s="3585" t="s">
        <v>4876</v>
      </c>
      <c r="D35" s="2596" t="s">
        <v>6130</v>
      </c>
      <c r="E35" s="2596" t="s">
        <v>6933</v>
      </c>
    </row>
    <row r="36" spans="1:5" s="2596" customFormat="1" ht="15">
      <c r="A36" s="2596" t="str">
        <f>'Name translation'!A36</f>
        <v>Subtropical dry forest</v>
      </c>
      <c r="B36" s="3584" t="s">
        <v>2424</v>
      </c>
      <c r="C36" s="3585" t="s">
        <v>4877</v>
      </c>
      <c r="D36" s="2596" t="s">
        <v>6131</v>
      </c>
      <c r="E36" s="2596" t="s">
        <v>6934</v>
      </c>
    </row>
    <row r="37" spans="1:5" s="2596" customFormat="1" ht="15">
      <c r="A37" s="2596" t="str">
        <f>'Name translation'!A37</f>
        <v>Subtropical steppe</v>
      </c>
      <c r="B37" s="3584" t="s">
        <v>2425</v>
      </c>
      <c r="C37" s="3585" t="s">
        <v>4878</v>
      </c>
      <c r="D37" s="2596" t="s">
        <v>6132</v>
      </c>
      <c r="E37" s="2596" t="s">
        <v>6935</v>
      </c>
    </row>
    <row r="38" spans="1:5" s="2596" customFormat="1" ht="15">
      <c r="A38" s="2596" t="str">
        <f>'Name translation'!A38</f>
        <v>Subtropical mountains systems</v>
      </c>
      <c r="B38" s="3584" t="s">
        <v>2426</v>
      </c>
      <c r="C38" s="3585" t="s">
        <v>4879</v>
      </c>
      <c r="D38" s="2596" t="s">
        <v>6133</v>
      </c>
      <c r="E38" s="2596" t="s">
        <v>6936</v>
      </c>
    </row>
    <row r="39" spans="1:5" s="2596" customFormat="1" ht="15">
      <c r="A39" s="2596" t="str">
        <f>'Name translation'!A39</f>
        <v>Temperate oceanic forest</v>
      </c>
      <c r="B39" s="3584" t="s">
        <v>2427</v>
      </c>
      <c r="C39" s="3585" t="s">
        <v>4880</v>
      </c>
      <c r="D39" s="2596" t="s">
        <v>6134</v>
      </c>
      <c r="E39" s="2596" t="s">
        <v>6937</v>
      </c>
    </row>
    <row r="40" spans="1:5" s="2596" customFormat="1" ht="15">
      <c r="A40" s="2596" t="str">
        <f>'Name translation'!A40</f>
        <v>Temperate continental forest</v>
      </c>
      <c r="B40" s="3584" t="s">
        <v>2428</v>
      </c>
      <c r="C40" s="3585" t="s">
        <v>4881</v>
      </c>
      <c r="D40" s="2596" t="s">
        <v>6135</v>
      </c>
      <c r="E40" s="2596" t="s">
        <v>6938</v>
      </c>
    </row>
    <row r="41" spans="1:5" s="2596" customFormat="1" ht="15">
      <c r="A41" s="2596" t="str">
        <f>'Name translation'!A41</f>
        <v>Temperate mountains systems</v>
      </c>
      <c r="B41" s="3584" t="s">
        <v>2429</v>
      </c>
      <c r="C41" s="3585" t="s">
        <v>4882</v>
      </c>
      <c r="D41" s="2596" t="s">
        <v>6136</v>
      </c>
      <c r="E41" s="2596" t="s">
        <v>6939</v>
      </c>
    </row>
    <row r="42" spans="1:5" s="2596" customFormat="1" ht="15">
      <c r="A42" s="2596" t="str">
        <f>'Name translation'!A42</f>
        <v>Boreal coniferous forest</v>
      </c>
      <c r="B42" s="3584" t="s">
        <v>2430</v>
      </c>
      <c r="C42" s="3585" t="s">
        <v>4883</v>
      </c>
      <c r="D42" s="2596" t="s">
        <v>6137</v>
      </c>
      <c r="E42" s="2596" t="s">
        <v>6940</v>
      </c>
    </row>
    <row r="43" spans="1:5" s="2596" customFormat="1" ht="15">
      <c r="A43" s="2596" t="str">
        <f>'Name translation'!A43</f>
        <v>Boreal tundra woodland</v>
      </c>
      <c r="B43" s="3584" t="s">
        <v>2431</v>
      </c>
      <c r="C43" s="3587" t="s">
        <v>4884</v>
      </c>
      <c r="D43" s="2596" t="s">
        <v>6138</v>
      </c>
      <c r="E43" s="2596" t="s">
        <v>6941</v>
      </c>
    </row>
    <row r="44" spans="1:5" s="2596" customFormat="1" ht="15">
      <c r="A44" s="2596" t="str">
        <f>'Name translation'!A44</f>
        <v>Boreal mountain systems</v>
      </c>
      <c r="B44" s="3584" t="s">
        <v>2432</v>
      </c>
      <c r="C44" s="3585" t="s">
        <v>4885</v>
      </c>
      <c r="D44" s="2596" t="s">
        <v>6139</v>
      </c>
      <c r="E44" s="2596" t="s">
        <v>6942</v>
      </c>
    </row>
    <row r="45" spans="1:5" s="2596" customFormat="1" ht="15">
      <c r="A45" s="2596" t="str">
        <f>'Name translation'!A45</f>
        <v>Tropical mountain systems</v>
      </c>
      <c r="B45" s="3584" t="s">
        <v>2433</v>
      </c>
      <c r="C45" s="3585" t="s">
        <v>4886</v>
      </c>
      <c r="D45" s="2596" t="s">
        <v>6140</v>
      </c>
      <c r="E45" s="2596" t="s">
        <v>6943</v>
      </c>
    </row>
    <row r="46" spans="1:5" s="2596" customFormat="1" ht="15">
      <c r="A46" s="2596" t="str">
        <f>'Name translation'!A46</f>
        <v>Forest Zone 1</v>
      </c>
      <c r="B46" s="3584" t="s">
        <v>2434</v>
      </c>
      <c r="C46" s="3585" t="s">
        <v>4887</v>
      </c>
      <c r="D46" s="2596" t="s">
        <v>6141</v>
      </c>
      <c r="E46" s="2596" t="s">
        <v>6944</v>
      </c>
    </row>
    <row r="47" spans="1:5" s="2596" customFormat="1" ht="15">
      <c r="A47" s="2596" t="str">
        <f>'Name translation'!A47</f>
        <v>Forest Zone 2</v>
      </c>
      <c r="B47" s="3584" t="s">
        <v>2435</v>
      </c>
      <c r="C47" s="3585" t="s">
        <v>4888</v>
      </c>
      <c r="D47" s="2596" t="s">
        <v>6142</v>
      </c>
      <c r="E47" s="2596" t="s">
        <v>6945</v>
      </c>
    </row>
    <row r="48" spans="1:5" s="2596" customFormat="1" ht="15">
      <c r="A48" s="2596" t="str">
        <f>'Name translation'!A48</f>
        <v>Forest Zone 3</v>
      </c>
      <c r="B48" s="3584" t="s">
        <v>2436</v>
      </c>
      <c r="C48" s="3585" t="s">
        <v>4889</v>
      </c>
      <c r="D48" s="2596" t="s">
        <v>6143</v>
      </c>
      <c r="E48" s="2596" t="s">
        <v>6946</v>
      </c>
    </row>
    <row r="49" spans="1:5" s="2596" customFormat="1" ht="15">
      <c r="A49" s="2596" t="str">
        <f>'Name translation'!A49</f>
        <v>Forest Zone 4</v>
      </c>
      <c r="B49" s="3584" t="s">
        <v>2437</v>
      </c>
      <c r="C49" s="3585" t="s">
        <v>4890</v>
      </c>
      <c r="D49" s="2596" t="s">
        <v>6144</v>
      </c>
      <c r="E49" s="2596" t="s">
        <v>6947</v>
      </c>
    </row>
    <row r="50" spans="1:5" s="2596" customFormat="1" ht="15">
      <c r="A50" s="2596" t="str">
        <f>'Name translation'!A50</f>
        <v>Plantation Zone 1</v>
      </c>
      <c r="B50" s="3584" t="s">
        <v>2438</v>
      </c>
      <c r="C50" s="3585" t="s">
        <v>4891</v>
      </c>
      <c r="D50" s="2596" t="s">
        <v>6145</v>
      </c>
      <c r="E50" s="2596" t="s">
        <v>6948</v>
      </c>
    </row>
    <row r="51" spans="1:5" s="2596" customFormat="1" ht="15">
      <c r="A51" s="2596" t="str">
        <f>'Name translation'!A51</f>
        <v>Plantation Zone 2</v>
      </c>
      <c r="B51" s="3584" t="s">
        <v>2439</v>
      </c>
      <c r="C51" s="3585" t="s">
        <v>4892</v>
      </c>
      <c r="D51" s="2596" t="s">
        <v>6146</v>
      </c>
      <c r="E51" s="2596" t="s">
        <v>6949</v>
      </c>
    </row>
    <row r="52" spans="1:5" s="2596" customFormat="1" ht="15">
      <c r="A52" s="2596" t="str">
        <f>'Name translation'!A52</f>
        <v>Plantation Zone 3</v>
      </c>
      <c r="B52" s="3584" t="s">
        <v>2440</v>
      </c>
      <c r="C52" s="3585" t="s">
        <v>4893</v>
      </c>
      <c r="D52" s="2596" t="s">
        <v>6147</v>
      </c>
      <c r="E52" s="2596" t="s">
        <v>6950</v>
      </c>
    </row>
    <row r="53" spans="1:5" s="2596" customFormat="1" ht="15">
      <c r="A53" s="2596" t="str">
        <f>'Name translation'!A53</f>
        <v>Plantation Zone 4</v>
      </c>
      <c r="B53" s="3584" t="s">
        <v>2441</v>
      </c>
      <c r="C53" s="3585" t="s">
        <v>4894</v>
      </c>
      <c r="D53" s="2596" t="s">
        <v>6148</v>
      </c>
      <c r="E53" s="2596" t="s">
        <v>6951</v>
      </c>
    </row>
    <row r="54" spans="1:5" s="2596" customFormat="1" ht="15">
      <c r="A54" s="3584" t="s">
        <v>5652</v>
      </c>
      <c r="B54" s="3584" t="s">
        <v>5721</v>
      </c>
      <c r="C54" s="3585" t="s">
        <v>5722</v>
      </c>
      <c r="D54" s="3588" t="s">
        <v>6307</v>
      </c>
      <c r="E54" s="2596" t="s">
        <v>7124</v>
      </c>
    </row>
    <row r="55" spans="1:5" s="2596" customFormat="1" ht="15">
      <c r="A55" s="2596" t="str">
        <f>'Name translation'!A55</f>
        <v>Select the vegetation</v>
      </c>
      <c r="B55" s="3584" t="s">
        <v>2442</v>
      </c>
      <c r="C55" s="3585" t="s">
        <v>4895</v>
      </c>
      <c r="D55" s="2596" t="s">
        <v>6149</v>
      </c>
      <c r="E55" s="2596" t="s">
        <v>6952</v>
      </c>
    </row>
    <row r="56" spans="1:5" s="2596" customFormat="1" ht="15">
      <c r="A56" s="2596" t="str">
        <f>'Name translation'!A56</f>
        <v>NO</v>
      </c>
      <c r="B56" s="3584" t="s">
        <v>2443</v>
      </c>
      <c r="C56" s="3585" t="s">
        <v>4896</v>
      </c>
      <c r="D56" s="2596" t="s">
        <v>6150</v>
      </c>
      <c r="E56" s="2596" t="s">
        <v>6953</v>
      </c>
    </row>
    <row r="57" spans="1:5" s="2596" customFormat="1" ht="15">
      <c r="A57" s="2596" t="str">
        <f>'Name translation'!A57</f>
        <v>Yes</v>
      </c>
      <c r="B57" s="3584" t="s">
        <v>2444</v>
      </c>
      <c r="C57" s="3585" t="s">
        <v>4897</v>
      </c>
      <c r="D57" s="2596" t="s">
        <v>6151</v>
      </c>
      <c r="E57" s="2596" t="s">
        <v>6954</v>
      </c>
    </row>
    <row r="58" spans="1:5" s="2596" customFormat="1" ht="15">
      <c r="A58" s="2596" t="str">
        <f>'Name translation'!A58</f>
        <v>Select Use after deforestation</v>
      </c>
      <c r="B58" s="3584" t="s">
        <v>2445</v>
      </c>
      <c r="C58" s="3586" t="s">
        <v>5383</v>
      </c>
      <c r="D58" s="2596" t="s">
        <v>6152</v>
      </c>
      <c r="E58" s="2596" t="s">
        <v>6955</v>
      </c>
    </row>
    <row r="59" spans="1:5" s="2596" customFormat="1" ht="15">
      <c r="A59" s="2596" t="str">
        <f>'Name translation'!A59</f>
        <v>Annual Crop</v>
      </c>
      <c r="B59" s="3584" t="s">
        <v>2453</v>
      </c>
      <c r="C59" s="3585" t="s">
        <v>4898</v>
      </c>
      <c r="D59" s="2596" t="s">
        <v>6153</v>
      </c>
      <c r="E59" s="2596" t="s">
        <v>6803</v>
      </c>
    </row>
    <row r="60" spans="1:5" s="2596" customFormat="1" ht="15">
      <c r="A60" s="2596" t="str">
        <f>'Name translation'!A60</f>
        <v>Perennial/Tree Crop</v>
      </c>
      <c r="B60" s="3584" t="s">
        <v>2446</v>
      </c>
      <c r="C60" s="3585" t="s">
        <v>4899</v>
      </c>
      <c r="D60" s="2596" t="s">
        <v>6154</v>
      </c>
      <c r="E60" s="2596" t="s">
        <v>6956</v>
      </c>
    </row>
    <row r="61" spans="1:5" s="2596" customFormat="1" ht="15">
      <c r="A61" s="2596" t="str">
        <f>'Name translation'!A61</f>
        <v>Flooded Rice</v>
      </c>
      <c r="B61" s="3584" t="s">
        <v>2447</v>
      </c>
      <c r="C61" s="3585" t="s">
        <v>4900</v>
      </c>
      <c r="D61" s="2596" t="s">
        <v>6155</v>
      </c>
      <c r="E61" s="2596" t="s">
        <v>6957</v>
      </c>
    </row>
    <row r="62" spans="1:5" s="2596" customFormat="1" ht="15">
      <c r="A62" s="2596" t="str">
        <f>'Name translation'!A62</f>
        <v>Set aside</v>
      </c>
      <c r="B62" s="3584" t="s">
        <v>2448</v>
      </c>
      <c r="C62" s="3585" t="s">
        <v>4901</v>
      </c>
      <c r="D62" s="2596" t="s">
        <v>6156</v>
      </c>
      <c r="E62" s="2596" t="s">
        <v>6958</v>
      </c>
    </row>
    <row r="63" spans="1:5" s="2596" customFormat="1" ht="15">
      <c r="A63" s="2596" t="str">
        <f>'Name translation'!A63</f>
        <v>Grassland</v>
      </c>
      <c r="B63" s="3584" t="s">
        <v>2449</v>
      </c>
      <c r="C63" s="3585" t="s">
        <v>4902</v>
      </c>
      <c r="D63" s="2596" t="s">
        <v>6157</v>
      </c>
      <c r="E63" s="2596" t="s">
        <v>6695</v>
      </c>
    </row>
    <row r="64" spans="1:5" s="2596" customFormat="1" ht="15">
      <c r="A64" s="2596" t="str">
        <f>'Name translation'!A64</f>
        <v>Degraded</v>
      </c>
      <c r="B64" s="3584" t="s">
        <v>2450</v>
      </c>
      <c r="C64" s="3585" t="s">
        <v>4903</v>
      </c>
      <c r="D64" s="2596" t="s">
        <v>6158</v>
      </c>
      <c r="E64" s="2596" t="s">
        <v>6792</v>
      </c>
    </row>
    <row r="65" spans="1:5" s="2596" customFormat="1" ht="15">
      <c r="A65" s="2596" t="str">
        <f>'Name translation'!A65</f>
        <v>Other (nominal)</v>
      </c>
      <c r="B65" s="3584" t="s">
        <v>2451</v>
      </c>
      <c r="C65" s="3585" t="s">
        <v>4904</v>
      </c>
      <c r="D65" s="2596" t="s">
        <v>6159</v>
      </c>
      <c r="E65" s="2596" t="s">
        <v>6959</v>
      </c>
    </row>
    <row r="66" spans="1:5" s="2596" customFormat="1" ht="15">
      <c r="A66" s="2596" t="str">
        <f>'Name translation'!A66</f>
        <v>Other (degraded)</v>
      </c>
      <c r="B66" s="3584" t="s">
        <v>2452</v>
      </c>
      <c r="C66" s="3587" t="s">
        <v>4905</v>
      </c>
      <c r="D66" s="2596" t="s">
        <v>6160</v>
      </c>
      <c r="E66" s="2596" t="s">
        <v>6960</v>
      </c>
    </row>
    <row r="67" spans="1:5" s="2596" customFormat="1" ht="15">
      <c r="A67" s="2596" t="str">
        <f>'Name translation'!A67</f>
        <v>Select previous use</v>
      </c>
      <c r="B67" s="3584" t="s">
        <v>2454</v>
      </c>
      <c r="C67" s="3585" t="s">
        <v>4906</v>
      </c>
      <c r="D67" s="2596" t="s">
        <v>6161</v>
      </c>
      <c r="E67" s="2596" t="s">
        <v>6961</v>
      </c>
    </row>
    <row r="68" spans="1:5" s="2596" customFormat="1" ht="15">
      <c r="A68" s="2596" t="str">
        <f>'Name translation'!A68</f>
        <v>Annual Crop</v>
      </c>
      <c r="B68" s="3584" t="s">
        <v>2453</v>
      </c>
      <c r="C68" s="3585" t="s">
        <v>4898</v>
      </c>
      <c r="D68" s="2596" t="s">
        <v>6153</v>
      </c>
      <c r="E68" s="2596" t="s">
        <v>6803</v>
      </c>
    </row>
    <row r="69" spans="1:5" s="2596" customFormat="1" ht="15">
      <c r="A69" s="2596" t="str">
        <f>'Name translation'!A69</f>
        <v>Perennial/Tree Crop (&lt;5yrs)</v>
      </c>
      <c r="B69" s="3584" t="s">
        <v>2455</v>
      </c>
      <c r="C69" s="3585" t="s">
        <v>4907</v>
      </c>
      <c r="D69" s="2596" t="s">
        <v>6162</v>
      </c>
      <c r="E69" s="2596" t="s">
        <v>6962</v>
      </c>
    </row>
    <row r="70" spans="1:5" s="2596" customFormat="1" ht="15">
      <c r="A70" s="2596" t="str">
        <f>'Name translation'!A70</f>
        <v>Perennial/Tree Crop (6-10 yrs)</v>
      </c>
      <c r="B70" s="3584" t="s">
        <v>2456</v>
      </c>
      <c r="C70" s="3585" t="s">
        <v>4908</v>
      </c>
      <c r="D70" s="2596" t="s">
        <v>6163</v>
      </c>
      <c r="E70" s="2596" t="s">
        <v>6963</v>
      </c>
    </row>
    <row r="71" spans="1:5" s="2596" customFormat="1" ht="15">
      <c r="A71" s="2596" t="str">
        <f>'Name translation'!A71</f>
        <v>Perennial/Tree Crop (&gt;10 yrs)</v>
      </c>
      <c r="B71" s="3584" t="s">
        <v>2457</v>
      </c>
      <c r="C71" s="3585" t="s">
        <v>4909</v>
      </c>
      <c r="D71" s="2596" t="s">
        <v>6164</v>
      </c>
      <c r="E71" s="2596" t="s">
        <v>6964</v>
      </c>
    </row>
    <row r="72" spans="1:5" s="2596" customFormat="1" ht="15">
      <c r="A72" s="2596" t="str">
        <f>'Name translation'!A72</f>
        <v>Flooded Rice</v>
      </c>
      <c r="B72" s="3584" t="s">
        <v>2447</v>
      </c>
      <c r="C72" s="3585" t="s">
        <v>4900</v>
      </c>
      <c r="D72" s="2596" t="s">
        <v>6155</v>
      </c>
      <c r="E72" s="2596" t="s">
        <v>6957</v>
      </c>
    </row>
    <row r="73" spans="1:5" s="2596" customFormat="1" ht="15">
      <c r="A73" s="2596" t="str">
        <f>'Name translation'!A73</f>
        <v>Set Aside</v>
      </c>
      <c r="B73" s="3584" t="s">
        <v>2448</v>
      </c>
      <c r="C73" s="3585" t="s">
        <v>4901</v>
      </c>
      <c r="D73" s="2596" t="s">
        <v>6156</v>
      </c>
      <c r="E73" s="2596" t="s">
        <v>6958</v>
      </c>
    </row>
    <row r="74" spans="1:5" s="2596" customFormat="1" ht="15">
      <c r="A74" s="2596" t="str">
        <f>'Name translation'!A74</f>
        <v>Grassland</v>
      </c>
      <c r="B74" s="3584" t="s">
        <v>2449</v>
      </c>
      <c r="C74" s="3585" t="s">
        <v>4902</v>
      </c>
      <c r="D74" s="2596" t="s">
        <v>6157</v>
      </c>
      <c r="E74" s="2596" t="s">
        <v>6695</v>
      </c>
    </row>
    <row r="75" spans="1:5" s="2596" customFormat="1" ht="15">
      <c r="A75" s="2596" t="str">
        <f>'Name translation'!A75</f>
        <v>Degraded Land</v>
      </c>
      <c r="B75" s="3584" t="s">
        <v>2450</v>
      </c>
      <c r="C75" s="3585" t="s">
        <v>4910</v>
      </c>
      <c r="D75" s="2596" t="s">
        <v>6158</v>
      </c>
      <c r="E75" s="2596" t="s">
        <v>6965</v>
      </c>
    </row>
    <row r="76" spans="1:5" s="2596" customFormat="1" ht="15">
      <c r="A76" s="2596" t="str">
        <f>'Name translation'!A76</f>
        <v>Select Initial Land Use</v>
      </c>
      <c r="B76" s="3584" t="s">
        <v>2458</v>
      </c>
      <c r="C76" s="3585" t="s">
        <v>4911</v>
      </c>
      <c r="D76" s="2596" t="s">
        <v>6165</v>
      </c>
      <c r="E76" s="2596" t="s">
        <v>6966</v>
      </c>
    </row>
    <row r="77" spans="1:5" s="2596" customFormat="1" ht="15">
      <c r="A77" s="2596" t="str">
        <f>'Name translation'!A77</f>
        <v>Annual Crop</v>
      </c>
      <c r="B77" s="3584" t="s">
        <v>2453</v>
      </c>
      <c r="C77" s="3585" t="s">
        <v>4898</v>
      </c>
      <c r="D77" s="2596" t="s">
        <v>6153</v>
      </c>
      <c r="E77" s="2596" t="s">
        <v>6803</v>
      </c>
    </row>
    <row r="78" spans="1:5" s="2596" customFormat="1" ht="15">
      <c r="A78" s="2596" t="str">
        <f>'Name translation'!A78</f>
        <v>Perennial/Tree Crop (&lt;5yrs)</v>
      </c>
      <c r="B78" s="3584" t="s">
        <v>2455</v>
      </c>
      <c r="C78" s="3585" t="s">
        <v>4907</v>
      </c>
      <c r="D78" s="2596" t="s">
        <v>6162</v>
      </c>
      <c r="E78" s="2596" t="s">
        <v>6962</v>
      </c>
    </row>
    <row r="79" spans="1:5" s="2596" customFormat="1" ht="15">
      <c r="A79" s="2596" t="str">
        <f>'Name translation'!A79</f>
        <v>Perennial/Tree Crop (6-10 yrs)</v>
      </c>
      <c r="B79" s="3584" t="s">
        <v>2456</v>
      </c>
      <c r="C79" s="3585" t="s">
        <v>4908</v>
      </c>
      <c r="D79" s="2596" t="s">
        <v>6163</v>
      </c>
      <c r="E79" s="2596" t="s">
        <v>6963</v>
      </c>
    </row>
    <row r="80" spans="1:5" s="2596" customFormat="1" ht="15">
      <c r="A80" s="2596" t="str">
        <f>'Name translation'!A80</f>
        <v>Perennial/Tree Crop (&gt;10 yrs)</v>
      </c>
      <c r="B80" s="3584" t="s">
        <v>2457</v>
      </c>
      <c r="C80" s="3585" t="s">
        <v>4909</v>
      </c>
      <c r="D80" s="2596" t="s">
        <v>6164</v>
      </c>
      <c r="E80" s="2596" t="s">
        <v>6964</v>
      </c>
    </row>
    <row r="81" spans="1:5" s="2596" customFormat="1" ht="15">
      <c r="A81" s="2596" t="str">
        <f>'Name translation'!A81</f>
        <v>Flooded Rice</v>
      </c>
      <c r="B81" s="3584" t="s">
        <v>2447</v>
      </c>
      <c r="C81" s="3585" t="s">
        <v>4900</v>
      </c>
      <c r="D81" s="2596" t="s">
        <v>6155</v>
      </c>
      <c r="E81" s="2596" t="s">
        <v>6957</v>
      </c>
    </row>
    <row r="82" spans="1:5" s="2596" customFormat="1" ht="15">
      <c r="A82" s="2596" t="str">
        <f>'Name translation'!A82</f>
        <v>Set Aside</v>
      </c>
      <c r="B82" s="3584" t="s">
        <v>2448</v>
      </c>
      <c r="C82" s="3585" t="s">
        <v>4901</v>
      </c>
      <c r="D82" s="2596" t="s">
        <v>6166</v>
      </c>
      <c r="E82" s="2596" t="s">
        <v>6958</v>
      </c>
    </row>
    <row r="83" spans="1:5" s="2596" customFormat="1" ht="15">
      <c r="A83" s="2596" t="str">
        <f>'Name translation'!A83</f>
        <v>Grassland</v>
      </c>
      <c r="B83" s="3584" t="s">
        <v>2449</v>
      </c>
      <c r="C83" s="3585" t="s">
        <v>4902</v>
      </c>
      <c r="D83" s="2596" t="s">
        <v>5905</v>
      </c>
      <c r="E83" s="2596" t="s">
        <v>6695</v>
      </c>
    </row>
    <row r="84" spans="1:5" s="2596" customFormat="1" ht="15">
      <c r="A84" s="2596" t="str">
        <f>'Name translation'!A84</f>
        <v>Degraded Land</v>
      </c>
      <c r="B84" s="3584" t="s">
        <v>2450</v>
      </c>
      <c r="C84" s="3585" t="s">
        <v>4910</v>
      </c>
      <c r="D84" s="2596" t="s">
        <v>6167</v>
      </c>
      <c r="E84" s="2596" t="s">
        <v>6965</v>
      </c>
    </row>
    <row r="85" spans="1:5" s="2596" customFormat="1" ht="15">
      <c r="A85" s="2596" t="str">
        <f>'Name translation'!A85</f>
        <v>Other Land</v>
      </c>
      <c r="B85" s="3584" t="s">
        <v>2459</v>
      </c>
      <c r="C85" s="3585" t="s">
        <v>4912</v>
      </c>
      <c r="D85" s="2596" t="s">
        <v>6168</v>
      </c>
      <c r="E85" s="2596" t="s">
        <v>6927</v>
      </c>
    </row>
    <row r="86" spans="1:5" s="2596" customFormat="1" ht="15">
      <c r="A86" s="2596" t="str">
        <f>'Name translation'!A86</f>
        <v>Select Final Land Use</v>
      </c>
      <c r="B86" s="3584" t="s">
        <v>2460</v>
      </c>
      <c r="C86" s="3585" t="s">
        <v>4913</v>
      </c>
      <c r="D86" s="2596" t="s">
        <v>6169</v>
      </c>
      <c r="E86" s="2596" t="s">
        <v>6967</v>
      </c>
    </row>
    <row r="87" spans="1:5" s="2596" customFormat="1" ht="15">
      <c r="A87" s="2596" t="str">
        <f>'Name translation'!A87</f>
        <v>Annual Crop</v>
      </c>
      <c r="B87" s="3584" t="s">
        <v>2453</v>
      </c>
      <c r="C87" s="3585" t="s">
        <v>4898</v>
      </c>
      <c r="D87" s="2596" t="s">
        <v>6153</v>
      </c>
      <c r="E87" s="2596" t="s">
        <v>6803</v>
      </c>
    </row>
    <row r="88" spans="1:5" s="2596" customFormat="1" ht="15">
      <c r="A88" s="2596" t="str">
        <f>'Name translation'!A88</f>
        <v>Perennial/Tree Crop</v>
      </c>
      <c r="B88" s="3584" t="s">
        <v>2446</v>
      </c>
      <c r="C88" s="3585" t="s">
        <v>4914</v>
      </c>
      <c r="D88" s="2596" t="s">
        <v>6154</v>
      </c>
      <c r="E88" s="2596" t="s">
        <v>6968</v>
      </c>
    </row>
    <row r="89" spans="1:5" s="2596" customFormat="1" ht="15">
      <c r="A89" s="2596" t="str">
        <f>'Name translation'!A89</f>
        <v>Flooded Rice</v>
      </c>
      <c r="B89" s="3584" t="s">
        <v>2447</v>
      </c>
      <c r="C89" s="3585" t="s">
        <v>4900</v>
      </c>
      <c r="D89" s="2596" t="s">
        <v>6155</v>
      </c>
      <c r="E89" s="2596" t="s">
        <v>6957</v>
      </c>
    </row>
    <row r="90" spans="1:5" s="2596" customFormat="1" ht="15">
      <c r="A90" s="2596" t="str">
        <f>'Name translation'!A90</f>
        <v>Set aside</v>
      </c>
      <c r="B90" s="3584" t="s">
        <v>2448</v>
      </c>
      <c r="C90" s="3585" t="s">
        <v>4901</v>
      </c>
      <c r="D90" s="2596" t="s">
        <v>6166</v>
      </c>
      <c r="E90" s="2596" t="s">
        <v>6958</v>
      </c>
    </row>
    <row r="91" spans="1:5" s="2596" customFormat="1" ht="15">
      <c r="A91" s="2596" t="str">
        <f>'Name translation'!A91</f>
        <v>Grassland</v>
      </c>
      <c r="B91" s="3584" t="s">
        <v>2449</v>
      </c>
      <c r="C91" s="3585" t="s">
        <v>4902</v>
      </c>
      <c r="D91" s="2596" t="s">
        <v>5905</v>
      </c>
      <c r="E91" s="2596" t="s">
        <v>6695</v>
      </c>
    </row>
    <row r="92" spans="1:5" s="2596" customFormat="1" ht="15">
      <c r="A92" s="2596" t="str">
        <f>'Name translation'!A92</f>
        <v>Degraded</v>
      </c>
      <c r="B92" s="3584" t="s">
        <v>2450</v>
      </c>
      <c r="C92" s="3585" t="s">
        <v>4903</v>
      </c>
      <c r="D92" s="2596" t="s">
        <v>6167</v>
      </c>
      <c r="E92" s="2596" t="s">
        <v>6792</v>
      </c>
    </row>
    <row r="93" spans="1:5" s="2596" customFormat="1" ht="15">
      <c r="A93" s="2596" t="str">
        <f>'Name translation'!A93</f>
        <v>Other (nominal)</v>
      </c>
      <c r="B93" s="3584" t="s">
        <v>2451</v>
      </c>
      <c r="C93" s="3585" t="s">
        <v>4904</v>
      </c>
      <c r="D93" s="2596" t="s">
        <v>6159</v>
      </c>
      <c r="E93" s="2596" t="s">
        <v>6959</v>
      </c>
    </row>
    <row r="94" spans="1:5" s="2596" customFormat="1" ht="15">
      <c r="A94" s="2596" t="str">
        <f>'Name translation'!A94</f>
        <v>Other (degraded)</v>
      </c>
      <c r="B94" s="3584" t="s">
        <v>2452</v>
      </c>
      <c r="C94" s="3587" t="s">
        <v>4905</v>
      </c>
      <c r="D94" s="2596" t="s">
        <v>6160</v>
      </c>
      <c r="E94" s="2596" t="s">
        <v>6960</v>
      </c>
    </row>
    <row r="95" spans="1:5" s="2596" customFormat="1" ht="15">
      <c r="A95" s="2596" t="str">
        <f>'Name translation'!A95</f>
        <v>Fill initial LU</v>
      </c>
      <c r="B95" s="3584" t="s">
        <v>2458</v>
      </c>
      <c r="C95" s="3585" t="s">
        <v>4915</v>
      </c>
      <c r="D95" s="2596" t="s">
        <v>6170</v>
      </c>
      <c r="E95" s="2596" t="s">
        <v>6969</v>
      </c>
    </row>
    <row r="96" spans="1:5" s="2596" customFormat="1" ht="15">
      <c r="A96" s="2596" t="str">
        <f>'Name translation'!A96</f>
        <v>Fill final LU</v>
      </c>
      <c r="B96" s="3584" t="s">
        <v>2460</v>
      </c>
      <c r="C96" s="3585" t="s">
        <v>4916</v>
      </c>
      <c r="D96" s="2596" t="s">
        <v>6171</v>
      </c>
      <c r="E96" s="2596" t="s">
        <v>6970</v>
      </c>
    </row>
    <row r="97" spans="1:5" s="2596" customFormat="1" ht="15">
      <c r="A97" s="2596" t="str">
        <f>'Name translation'!A97</f>
        <v>Final=Initial: Check!</v>
      </c>
      <c r="B97" s="3584" t="s">
        <v>2461</v>
      </c>
      <c r="C97" s="3585" t="s">
        <v>4917</v>
      </c>
      <c r="D97" s="2596" t="s">
        <v>6172</v>
      </c>
      <c r="E97" s="2596" t="s">
        <v>6971</v>
      </c>
    </row>
    <row r="98" spans="1:5" s="2596" customFormat="1" ht="15">
      <c r="A98" s="2596" t="str">
        <f>'Name translation'!A98</f>
        <v>Please select water regime</v>
      </c>
      <c r="B98" s="3584" t="s">
        <v>2462</v>
      </c>
      <c r="C98" s="3585" t="s">
        <v>4918</v>
      </c>
      <c r="D98" s="2596" t="s">
        <v>6173</v>
      </c>
      <c r="E98" s="2596" t="s">
        <v>6972</v>
      </c>
    </row>
    <row r="99" spans="1:5" s="2596" customFormat="1" ht="15">
      <c r="A99" s="2596" t="str">
        <f>'Name translation'!A99</f>
        <v>Irrigated - Continuously flooded</v>
      </c>
      <c r="B99" s="3584" t="s">
        <v>2463</v>
      </c>
      <c r="C99" s="3585" t="s">
        <v>4919</v>
      </c>
      <c r="D99" s="2596" t="s">
        <v>6174</v>
      </c>
      <c r="E99" s="2596" t="s">
        <v>6973</v>
      </c>
    </row>
    <row r="100" spans="1:5" s="2596" customFormat="1" ht="15">
      <c r="A100" s="2596" t="str">
        <f>'Name translation'!A100</f>
        <v>Irrigated - Intermittently flooded</v>
      </c>
      <c r="B100" s="3584" t="s">
        <v>2464</v>
      </c>
      <c r="C100" s="3585" t="s">
        <v>4920</v>
      </c>
      <c r="D100" s="2596" t="s">
        <v>6175</v>
      </c>
      <c r="E100" s="2596" t="s">
        <v>6974</v>
      </c>
    </row>
    <row r="101" spans="1:5" s="2596" customFormat="1" ht="15">
      <c r="A101" s="2596" t="str">
        <f>'Name translation'!A101</f>
        <v>Rainfed and deep water</v>
      </c>
      <c r="B101" s="3584" t="s">
        <v>2465</v>
      </c>
      <c r="C101" s="3585" t="s">
        <v>4921</v>
      </c>
      <c r="D101" s="2596" t="s">
        <v>6176</v>
      </c>
      <c r="E101" s="2596" t="s">
        <v>6975</v>
      </c>
    </row>
    <row r="102" spans="1:5" s="2596" customFormat="1" ht="15">
      <c r="A102" s="2596" t="str">
        <f>'Name translation'!A102</f>
        <v>Please select preseason water regime</v>
      </c>
      <c r="B102" s="3584" t="s">
        <v>2469</v>
      </c>
      <c r="C102" s="3585" t="s">
        <v>4922</v>
      </c>
      <c r="D102" s="2596" t="s">
        <v>6177</v>
      </c>
      <c r="E102" s="2596" t="s">
        <v>6976</v>
      </c>
    </row>
    <row r="103" spans="1:5" s="2596" customFormat="1" ht="15">
      <c r="A103" s="2596" t="str">
        <f>'Name translation'!A103</f>
        <v>Non flooded preseason &lt;180 days</v>
      </c>
      <c r="B103" s="3584" t="s">
        <v>2466</v>
      </c>
      <c r="C103" s="3585" t="s">
        <v>4923</v>
      </c>
      <c r="D103" s="2596" t="s">
        <v>5827</v>
      </c>
      <c r="E103" s="2596" t="s">
        <v>6977</v>
      </c>
    </row>
    <row r="104" spans="1:5" s="2596" customFormat="1" ht="15">
      <c r="A104" s="2596" t="str">
        <f>'Name translation'!A104</f>
        <v>Non flooded preseason &gt;180 days</v>
      </c>
      <c r="B104" s="3584" t="s">
        <v>2467</v>
      </c>
      <c r="C104" s="3585" t="s">
        <v>4924</v>
      </c>
      <c r="D104" s="2596" t="s">
        <v>5828</v>
      </c>
      <c r="E104" s="2596" t="s">
        <v>6978</v>
      </c>
    </row>
    <row r="105" spans="1:5" s="2596" customFormat="1" ht="15">
      <c r="A105" s="2596" t="str">
        <f>'Name translation'!A105</f>
        <v>Flooded preseason (&gt;30 days)</v>
      </c>
      <c r="B105" s="3584" t="s">
        <v>2468</v>
      </c>
      <c r="C105" s="3585" t="s">
        <v>4925</v>
      </c>
      <c r="D105" s="2596" t="s">
        <v>5829</v>
      </c>
      <c r="E105" s="2596" t="s">
        <v>6979</v>
      </c>
    </row>
    <row r="106" spans="1:5" s="2596" customFormat="1" ht="15">
      <c r="A106" s="2596" t="str">
        <f>'Name translation'!A106</f>
        <v>Please select type of Organic Amendment</v>
      </c>
      <c r="B106" s="3584" t="s">
        <v>2470</v>
      </c>
      <c r="C106" s="3585" t="s">
        <v>4926</v>
      </c>
      <c r="D106" s="2596" t="s">
        <v>6178</v>
      </c>
      <c r="E106" s="2596" t="s">
        <v>6980</v>
      </c>
    </row>
    <row r="107" spans="1:5" s="2596" customFormat="1" ht="15">
      <c r="A107" s="2596" t="str">
        <f>'Name translation'!A107</f>
        <v>Straw burnt</v>
      </c>
      <c r="B107" s="3584" t="s">
        <v>2471</v>
      </c>
      <c r="C107" s="3585" t="s">
        <v>4927</v>
      </c>
      <c r="D107" s="2596" t="s">
        <v>6179</v>
      </c>
      <c r="E107" s="2596" t="s">
        <v>6981</v>
      </c>
    </row>
    <row r="108" spans="1:5" s="2596" customFormat="1" ht="15">
      <c r="A108" s="2596" t="str">
        <f>'Name translation'!A108</f>
        <v>Straw exported</v>
      </c>
      <c r="B108" s="3584" t="s">
        <v>2472</v>
      </c>
      <c r="C108" s="3585" t="s">
        <v>4928</v>
      </c>
      <c r="D108" s="2596" t="s">
        <v>6180</v>
      </c>
      <c r="E108" s="2596" t="s">
        <v>6982</v>
      </c>
    </row>
    <row r="109" spans="1:5" s="2596" customFormat="1" ht="15">
      <c r="A109" s="2596" t="str">
        <f>'Name translation'!A109</f>
        <v>Straw incorporated shortly (&lt;30d) before cultivation</v>
      </c>
      <c r="B109" s="3584" t="s">
        <v>2473</v>
      </c>
      <c r="C109" s="3585" t="s">
        <v>4929</v>
      </c>
      <c r="D109" s="2596" t="s">
        <v>6181</v>
      </c>
      <c r="E109" s="2596" t="s">
        <v>6983</v>
      </c>
    </row>
    <row r="110" spans="1:5" s="2596" customFormat="1" ht="15">
      <c r="A110" s="2596" t="str">
        <f>'Name translation'!A110</f>
        <v>Straw incorporated long (&gt;30d) before cultivation</v>
      </c>
      <c r="B110" s="3584" t="s">
        <v>2474</v>
      </c>
      <c r="C110" s="3585" t="s">
        <v>4930</v>
      </c>
      <c r="D110" s="2596" t="s">
        <v>6182</v>
      </c>
      <c r="E110" s="2596" t="s">
        <v>6984</v>
      </c>
    </row>
    <row r="111" spans="1:5" s="2596" customFormat="1" ht="15">
      <c r="A111" s="2596" t="str">
        <f>'Name translation'!A111</f>
        <v>Compost</v>
      </c>
      <c r="B111" s="3584" t="s">
        <v>2475</v>
      </c>
      <c r="C111" s="3585" t="s">
        <v>4931</v>
      </c>
      <c r="D111" s="2596" t="s">
        <v>6183</v>
      </c>
      <c r="E111" s="2596" t="s">
        <v>6985</v>
      </c>
    </row>
    <row r="112" spans="1:5" s="2596" customFormat="1" ht="15">
      <c r="A112" s="2596" t="str">
        <f>'Name translation'!A112</f>
        <v>Farm yard manure</v>
      </c>
      <c r="B112" s="3584" t="s">
        <v>2476</v>
      </c>
      <c r="C112" s="3585" t="s">
        <v>4932</v>
      </c>
      <c r="D112" s="2596" t="s">
        <v>6184</v>
      </c>
      <c r="E112" s="2596" t="s">
        <v>6986</v>
      </c>
    </row>
    <row r="113" spans="1:5" s="2596" customFormat="1" ht="15">
      <c r="A113" s="2596" t="str">
        <f>'Name translation'!A113</f>
        <v>Green manure</v>
      </c>
      <c r="B113" s="3584" t="s">
        <v>2477</v>
      </c>
      <c r="C113" s="3587" t="s">
        <v>4933</v>
      </c>
      <c r="D113" s="2596" t="s">
        <v>6185</v>
      </c>
      <c r="E113" s="2596" t="s">
        <v>6987</v>
      </c>
    </row>
    <row r="114" spans="1:5" s="2596" customFormat="1" ht="15">
      <c r="A114" s="2596" t="str">
        <f>'Name translation'!A114</f>
        <v>Please select</v>
      </c>
      <c r="B114" s="3584" t="s">
        <v>2478</v>
      </c>
      <c r="C114" s="3585" t="s">
        <v>4846</v>
      </c>
      <c r="D114" s="2596" t="s">
        <v>6186</v>
      </c>
      <c r="E114" s="2596" t="s">
        <v>6901</v>
      </c>
    </row>
    <row r="115" spans="1:5" s="2596" customFormat="1" ht="15">
      <c r="A115" s="2596" t="str">
        <f>'Name translation'!A115</f>
        <v>Goats</v>
      </c>
      <c r="B115" s="3584" t="s">
        <v>2479</v>
      </c>
      <c r="C115" s="3585" t="s">
        <v>4934</v>
      </c>
      <c r="D115" s="2596" t="s">
        <v>6187</v>
      </c>
      <c r="E115" s="2596" t="s">
        <v>6988</v>
      </c>
    </row>
    <row r="116" spans="1:5" s="2596" customFormat="1" ht="15">
      <c r="A116" s="2596" t="str">
        <f>'Name translation'!A116</f>
        <v>Camels</v>
      </c>
      <c r="B116" s="3584" t="s">
        <v>2480</v>
      </c>
      <c r="C116" s="3585" t="s">
        <v>4935</v>
      </c>
      <c r="D116" s="2596" t="s">
        <v>6188</v>
      </c>
      <c r="E116" s="2596" t="s">
        <v>6989</v>
      </c>
    </row>
    <row r="117" spans="1:5" s="2596" customFormat="1" ht="15">
      <c r="A117" s="2596" t="str">
        <f>'Name translation'!A117</f>
        <v>Horses</v>
      </c>
      <c r="B117" s="3584" t="s">
        <v>2481</v>
      </c>
      <c r="C117" s="3585" t="s">
        <v>4936</v>
      </c>
      <c r="D117" s="2596" t="s">
        <v>6189</v>
      </c>
      <c r="E117" s="2596" t="s">
        <v>6990</v>
      </c>
    </row>
    <row r="118" spans="1:5" s="2596" customFormat="1" ht="15">
      <c r="A118" s="2596" t="str">
        <f>'Name translation'!A118</f>
        <v>Mules and Asses</v>
      </c>
      <c r="B118" s="3584" t="s">
        <v>2482</v>
      </c>
      <c r="C118" s="3585" t="s">
        <v>4937</v>
      </c>
      <c r="D118" s="2596" t="s">
        <v>6190</v>
      </c>
      <c r="E118" s="2596" t="s">
        <v>6991</v>
      </c>
    </row>
    <row r="119" spans="1:5" s="2596" customFormat="1" ht="15">
      <c r="A119" s="2596" t="str">
        <f>'Name translation'!A119</f>
        <v>Poultry</v>
      </c>
      <c r="B119" s="3584" t="s">
        <v>2483</v>
      </c>
      <c r="C119" s="3585" t="s">
        <v>4938</v>
      </c>
      <c r="D119" s="2596" t="s">
        <v>6191</v>
      </c>
      <c r="E119" s="2596" t="s">
        <v>6992</v>
      </c>
    </row>
    <row r="120" spans="1:5" s="2596" customFormat="1" ht="15">
      <c r="A120" s="2596" t="str">
        <f>'Name translation'!A120</f>
        <v>Deer</v>
      </c>
      <c r="B120" s="3584" t="s">
        <v>2484</v>
      </c>
      <c r="C120" s="3585" t="s">
        <v>4939</v>
      </c>
      <c r="D120" s="2596" t="s">
        <v>6192</v>
      </c>
      <c r="E120" s="2596" t="s">
        <v>6993</v>
      </c>
    </row>
    <row r="121" spans="1:5" s="2596" customFormat="1" ht="15">
      <c r="A121" s="2596" t="str">
        <f>'Name translation'!A121</f>
        <v>Alpacas</v>
      </c>
      <c r="B121" s="3584" t="s">
        <v>417</v>
      </c>
      <c r="C121" s="3585" t="s">
        <v>417</v>
      </c>
      <c r="D121" s="2596" t="s">
        <v>6193</v>
      </c>
      <c r="E121" s="2596" t="s">
        <v>6994</v>
      </c>
    </row>
    <row r="122" spans="1:5" s="2596" customFormat="1" ht="15">
      <c r="A122" s="2596" t="str">
        <f>'Name translation'!A122</f>
        <v>Non degraded</v>
      </c>
      <c r="B122" s="3584" t="s">
        <v>2486</v>
      </c>
      <c r="C122" s="3585" t="s">
        <v>4940</v>
      </c>
      <c r="D122" s="2596" t="s">
        <v>5872</v>
      </c>
      <c r="E122" s="2596" t="s">
        <v>6995</v>
      </c>
    </row>
    <row r="123" spans="1:5" s="2596" customFormat="1" ht="15">
      <c r="A123" s="2596" t="str">
        <f>'Name translation'!A123</f>
        <v>Severely Degraded</v>
      </c>
      <c r="B123" s="3584" t="s">
        <v>2487</v>
      </c>
      <c r="C123" s="3585" t="s">
        <v>4941</v>
      </c>
      <c r="D123" s="2596" t="s">
        <v>5873</v>
      </c>
      <c r="E123" s="2596" t="s">
        <v>6996</v>
      </c>
    </row>
    <row r="124" spans="1:5" s="2596" customFormat="1" ht="15">
      <c r="A124" s="2596" t="str">
        <f>'Name translation'!A124</f>
        <v>Moderately Degraded</v>
      </c>
      <c r="B124" s="3584" t="s">
        <v>2488</v>
      </c>
      <c r="C124" s="3585" t="s">
        <v>4942</v>
      </c>
      <c r="D124" s="2596" t="s">
        <v>6194</v>
      </c>
      <c r="E124" s="2596" t="s">
        <v>6997</v>
      </c>
    </row>
    <row r="125" spans="1:5" s="2596" customFormat="1" ht="15">
      <c r="A125" s="2596" t="str">
        <f>'Name translation'!A125</f>
        <v>Improved without inputs management</v>
      </c>
      <c r="B125" s="3584" t="s">
        <v>2485</v>
      </c>
      <c r="C125" s="3585" t="s">
        <v>4943</v>
      </c>
      <c r="D125" s="2596" t="s">
        <v>6195</v>
      </c>
      <c r="E125" s="2596" t="s">
        <v>6998</v>
      </c>
    </row>
    <row r="126" spans="1:5" s="2596" customFormat="1" ht="15">
      <c r="A126" s="2596" t="str">
        <f>'Name translation'!A126</f>
        <v>Improved with inputs improvement</v>
      </c>
      <c r="B126" s="3584" t="s">
        <v>2489</v>
      </c>
      <c r="C126" s="3585" t="s">
        <v>4944</v>
      </c>
      <c r="D126" s="2596" t="s">
        <v>6196</v>
      </c>
      <c r="E126" s="2596" t="s">
        <v>6999</v>
      </c>
    </row>
    <row r="127" spans="1:5" s="2596" customFormat="1" ht="15">
      <c r="A127" s="2596" t="str">
        <f>'Name translation'!A127</f>
        <v>Select state</v>
      </c>
      <c r="B127" s="3584" t="s">
        <v>2496</v>
      </c>
      <c r="C127" s="3585" t="s">
        <v>4945</v>
      </c>
      <c r="D127" s="2596" t="s">
        <v>6197</v>
      </c>
      <c r="E127" s="2596" t="s">
        <v>7000</v>
      </c>
    </row>
    <row r="128" spans="1:5" s="2596" customFormat="1" ht="15">
      <c r="A128" s="2596" t="str">
        <f>'Name translation'!A128</f>
        <v>Select level</v>
      </c>
      <c r="B128" s="3584" t="s">
        <v>2490</v>
      </c>
      <c r="C128" s="3585" t="s">
        <v>4946</v>
      </c>
      <c r="D128" s="2596" t="s">
        <v>6198</v>
      </c>
      <c r="E128" s="2596" t="s">
        <v>7001</v>
      </c>
    </row>
    <row r="129" spans="1:5" s="2596" customFormat="1" ht="15">
      <c r="A129" s="2596" t="str">
        <f>'Name translation'!A129</f>
        <v>None</v>
      </c>
      <c r="B129" s="3584" t="s">
        <v>2491</v>
      </c>
      <c r="C129" s="3585" t="s">
        <v>4947</v>
      </c>
      <c r="D129" s="2596" t="s">
        <v>6199</v>
      </c>
      <c r="E129" s="2596" t="s">
        <v>7002</v>
      </c>
    </row>
    <row r="130" spans="1:5" s="2596" customFormat="1" ht="15">
      <c r="A130" s="2596" t="str">
        <f>'Name translation'!A130</f>
        <v>Very low</v>
      </c>
      <c r="B130" s="3584" t="s">
        <v>2492</v>
      </c>
      <c r="C130" s="3585" t="s">
        <v>4948</v>
      </c>
      <c r="D130" s="2596" t="s">
        <v>6200</v>
      </c>
      <c r="E130" s="2596" t="s">
        <v>7003</v>
      </c>
    </row>
    <row r="131" spans="1:5" s="2596" customFormat="1" ht="15">
      <c r="A131" s="2596" t="str">
        <f>'Name translation'!A131</f>
        <v>Low</v>
      </c>
      <c r="B131" s="3584" t="s">
        <v>2493</v>
      </c>
      <c r="C131" s="3585" t="s">
        <v>4949</v>
      </c>
      <c r="D131" s="2596" t="s">
        <v>6201</v>
      </c>
      <c r="E131" s="2596" t="s">
        <v>7004</v>
      </c>
    </row>
    <row r="132" spans="1:5" s="2596" customFormat="1" ht="15">
      <c r="A132" s="2596" t="str">
        <f>'Name translation'!A132</f>
        <v>Moderate</v>
      </c>
      <c r="B132" s="3584" t="s">
        <v>2494</v>
      </c>
      <c r="C132" s="3585" t="s">
        <v>4950</v>
      </c>
      <c r="D132" s="2596" t="s">
        <v>6202</v>
      </c>
      <c r="E132" s="2596" t="s">
        <v>7005</v>
      </c>
    </row>
    <row r="133" spans="1:5" s="2596" customFormat="1" ht="15">
      <c r="A133" s="2596" t="str">
        <f>'Name translation'!A133</f>
        <v>Large</v>
      </c>
      <c r="B133" s="3584" t="s">
        <v>1946</v>
      </c>
      <c r="C133" s="3585" t="s">
        <v>4951</v>
      </c>
      <c r="D133" s="2596" t="s">
        <v>6203</v>
      </c>
      <c r="E133" s="2596" t="s">
        <v>7006</v>
      </c>
    </row>
    <row r="134" spans="1:5" s="2596" customFormat="1" ht="15">
      <c r="A134" s="2596" t="str">
        <f>'Name translation'!A134</f>
        <v>Extrem</v>
      </c>
      <c r="B134" s="3584" t="s">
        <v>2495</v>
      </c>
      <c r="C134" s="3585" t="s">
        <v>163</v>
      </c>
      <c r="D134" s="2596" t="s">
        <v>6204</v>
      </c>
      <c r="E134" s="2596" t="s">
        <v>7007</v>
      </c>
    </row>
    <row r="135" spans="1:5" s="2596" customFormat="1" ht="15">
      <c r="A135" s="2596" t="str">
        <f>'Name translation'!A135</f>
        <v>Please select</v>
      </c>
      <c r="B135" s="3584" t="str">
        <f>B114</f>
        <v>Obrigado por escolher</v>
      </c>
      <c r="C135" s="3585" t="s">
        <v>4846</v>
      </c>
      <c r="D135" s="2596" t="s">
        <v>6186</v>
      </c>
      <c r="E135" s="2596" t="s">
        <v>6901</v>
      </c>
    </row>
    <row r="136" spans="1:5" s="2596" customFormat="1" ht="15">
      <c r="A136" s="2596" t="str">
        <f>'Name translation'!A136</f>
        <v>Surface without IRRS</v>
      </c>
      <c r="B136" s="3584" t="s">
        <v>4561</v>
      </c>
      <c r="C136" s="3585" t="s">
        <v>4952</v>
      </c>
      <c r="D136" s="2596" t="s">
        <v>6205</v>
      </c>
      <c r="E136" s="2596" t="s">
        <v>7008</v>
      </c>
    </row>
    <row r="137" spans="1:5" s="2596" customFormat="1" ht="15">
      <c r="A137" s="2596" t="str">
        <f>'Name translation'!A137</f>
        <v>Surface with IRRS</v>
      </c>
      <c r="B137" s="3584" t="s">
        <v>4562</v>
      </c>
      <c r="C137" s="3585" t="s">
        <v>4953</v>
      </c>
      <c r="D137" s="2596" t="s">
        <v>6206</v>
      </c>
      <c r="E137" s="2596" t="s">
        <v>7009</v>
      </c>
    </row>
    <row r="138" spans="1:5" s="2596" customFormat="1" ht="15">
      <c r="A138" s="2596" t="str">
        <f>'Name translation'!A138</f>
        <v>Solid set sprinkle</v>
      </c>
      <c r="B138" s="3584" t="s">
        <v>4563</v>
      </c>
      <c r="C138" s="3585" t="s">
        <v>4954</v>
      </c>
      <c r="D138" s="2596" t="s">
        <v>6207</v>
      </c>
      <c r="E138" s="2596" t="s">
        <v>7010</v>
      </c>
    </row>
    <row r="139" spans="1:5" s="2596" customFormat="1" ht="15">
      <c r="A139" s="2596" t="str">
        <f>'Name translation'!A139</f>
        <v>Permanent sprinkle</v>
      </c>
      <c r="B139" s="3584" t="s">
        <v>4564</v>
      </c>
      <c r="C139" s="3585" t="s">
        <v>4955</v>
      </c>
      <c r="D139" s="2596" t="s">
        <v>6208</v>
      </c>
      <c r="E139" s="2596" t="s">
        <v>7011</v>
      </c>
    </row>
    <row r="140" spans="1:5" s="2596" customFormat="1" ht="15">
      <c r="A140" s="2596" t="str">
        <f>'Name translation'!A140</f>
        <v>Hand moved sprinkle</v>
      </c>
      <c r="B140" s="3584" t="s">
        <v>4565</v>
      </c>
      <c r="C140" s="3585" t="s">
        <v>4956</v>
      </c>
      <c r="D140" s="2596" t="s">
        <v>6209</v>
      </c>
      <c r="E140" s="2596" t="s">
        <v>7012</v>
      </c>
    </row>
    <row r="141" spans="1:5" s="2596" customFormat="1" ht="15">
      <c r="A141" s="2596" t="str">
        <f>'Name translation'!A141</f>
        <v>Solid roll sprinkle</v>
      </c>
      <c r="B141" s="3584" t="s">
        <v>4566</v>
      </c>
      <c r="C141" s="3585" t="s">
        <v>4957</v>
      </c>
      <c r="D141" s="2596" t="s">
        <v>6210</v>
      </c>
      <c r="E141" s="2596" t="s">
        <v>7013</v>
      </c>
    </row>
    <row r="142" spans="1:5" s="2596" customFormat="1" ht="15">
      <c r="A142" s="2596" t="str">
        <f>'Name translation'!A142</f>
        <v>Center-pivot sprinkle</v>
      </c>
      <c r="B142" s="3584" t="s">
        <v>4567</v>
      </c>
      <c r="C142" s="3585" t="s">
        <v>4958</v>
      </c>
      <c r="D142" s="2596" t="s">
        <v>6211</v>
      </c>
      <c r="E142" s="2596" t="s">
        <v>7014</v>
      </c>
    </row>
    <row r="143" spans="1:5" s="2596" customFormat="1" ht="15">
      <c r="A143" s="2596" t="str">
        <f>'Name translation'!A143</f>
        <v>Traveler sprinkle</v>
      </c>
      <c r="B143" s="3584" t="s">
        <v>4568</v>
      </c>
      <c r="C143" s="3585" t="s">
        <v>4959</v>
      </c>
      <c r="D143" s="2596" t="s">
        <v>6212</v>
      </c>
      <c r="E143" s="2596" t="s">
        <v>7015</v>
      </c>
    </row>
    <row r="144" spans="1:5" s="2596" customFormat="1" ht="15">
      <c r="A144" s="2596" t="str">
        <f>'Name translation'!A144</f>
        <v>Trickle</v>
      </c>
      <c r="B144" s="3584" t="s">
        <v>4569</v>
      </c>
      <c r="C144" s="3585" t="s">
        <v>4960</v>
      </c>
      <c r="D144" s="2596" t="s">
        <v>6213</v>
      </c>
      <c r="E144" s="2596" t="s">
        <v>7016</v>
      </c>
    </row>
    <row r="145" spans="1:5" s="2596" customFormat="1" ht="15">
      <c r="A145" s="2596" t="str">
        <f>'Name translation'!A145</f>
        <v>Please select</v>
      </c>
      <c r="B145" s="3584" t="str">
        <f>B135</f>
        <v>Obrigado por escolher</v>
      </c>
      <c r="C145" s="3585" t="s">
        <v>4846</v>
      </c>
      <c r="D145" s="2596" t="s">
        <v>6186</v>
      </c>
      <c r="E145" s="2596" t="s">
        <v>6901</v>
      </c>
    </row>
    <row r="146" spans="1:5" s="2596" customFormat="1" ht="15">
      <c r="A146" s="2596" t="str">
        <f>'Name translation'!A146</f>
        <v>Housing (concrete)</v>
      </c>
      <c r="B146" s="3584" t="s">
        <v>4713</v>
      </c>
      <c r="C146" s="3585" t="s">
        <v>4961</v>
      </c>
      <c r="D146" s="2596" t="s">
        <v>6214</v>
      </c>
      <c r="E146" s="2596" t="s">
        <v>7017</v>
      </c>
    </row>
    <row r="147" spans="1:5" s="2596" customFormat="1" ht="15">
      <c r="A147" s="2596" t="str">
        <f>'Name translation'!A147</f>
        <v>Agricultural Buildings (concrete)</v>
      </c>
      <c r="B147" s="3584" t="s">
        <v>4714</v>
      </c>
      <c r="C147" s="3585" t="s">
        <v>4962</v>
      </c>
      <c r="D147" s="2596" t="s">
        <v>6215</v>
      </c>
      <c r="E147" s="2596" t="s">
        <v>7018</v>
      </c>
    </row>
    <row r="148" spans="1:5" s="2596" customFormat="1" ht="15">
      <c r="A148" s="2596" t="str">
        <f>'Name translation'!A148</f>
        <v>Agricultural Buildings (metal)</v>
      </c>
      <c r="B148" s="3584" t="s">
        <v>4715</v>
      </c>
      <c r="C148" s="3585" t="s">
        <v>4963</v>
      </c>
      <c r="D148" s="2596" t="s">
        <v>6216</v>
      </c>
      <c r="E148" s="2596" t="s">
        <v>7019</v>
      </c>
    </row>
    <row r="149" spans="1:5" s="2596" customFormat="1" ht="15">
      <c r="A149" s="2596" t="str">
        <f>'Name translation'!A149</f>
        <v>Industrial Buildings (concrete)</v>
      </c>
      <c r="B149" s="3584" t="s">
        <v>4716</v>
      </c>
      <c r="C149" s="3585" t="s">
        <v>4964</v>
      </c>
      <c r="D149" s="2596" t="s">
        <v>6217</v>
      </c>
      <c r="E149" s="2596" t="s">
        <v>7020</v>
      </c>
    </row>
    <row r="150" spans="1:5" s="2596" customFormat="1" ht="15">
      <c r="A150" s="2596" t="str">
        <f>'Name translation'!A150</f>
        <v>Industrial Buildings (metal)</v>
      </c>
      <c r="B150" s="3584" t="s">
        <v>4717</v>
      </c>
      <c r="C150" s="3585" t="s">
        <v>4965</v>
      </c>
      <c r="D150" s="2596" t="s">
        <v>6218</v>
      </c>
      <c r="E150" s="2596" t="s">
        <v>7021</v>
      </c>
    </row>
    <row r="151" spans="1:5" s="2596" customFormat="1" ht="15">
      <c r="A151" s="2596" t="str">
        <f>'Name translation'!A151</f>
        <v>Garage (concrete)</v>
      </c>
      <c r="B151" s="3584" t="s">
        <v>4718</v>
      </c>
      <c r="C151" s="3585" t="s">
        <v>4966</v>
      </c>
      <c r="D151" s="2596" t="s">
        <v>6219</v>
      </c>
      <c r="E151" s="2596" t="s">
        <v>7022</v>
      </c>
    </row>
    <row r="152" spans="1:5" s="2596" customFormat="1" ht="15">
      <c r="A152" s="2596" t="str">
        <f>'Name translation'!A152</f>
        <v>Garage (metal)</v>
      </c>
      <c r="B152" s="3584" t="s">
        <v>4719</v>
      </c>
      <c r="C152" s="3585" t="s">
        <v>4967</v>
      </c>
      <c r="D152" s="2596" t="s">
        <v>6220</v>
      </c>
      <c r="E152" s="2596" t="s">
        <v>7023</v>
      </c>
    </row>
    <row r="153" spans="1:5" s="2596" customFormat="1" ht="15">
      <c r="A153" s="2596" t="str">
        <f>'Name translation'!A153</f>
        <v>Offices (concrete)</v>
      </c>
      <c r="B153" s="3584" t="s">
        <v>4720</v>
      </c>
      <c r="C153" s="3585" t="s">
        <v>4968</v>
      </c>
      <c r="D153" s="2596" t="s">
        <v>6221</v>
      </c>
      <c r="E153" s="2596" t="s">
        <v>7024</v>
      </c>
    </row>
    <row r="154" spans="1:5" s="2596" customFormat="1" ht="15">
      <c r="A154" s="2596" t="str">
        <f>'Name translation'!A154</f>
        <v>Offices (metal)</v>
      </c>
      <c r="B154" s="3584" t="s">
        <v>4721</v>
      </c>
      <c r="C154" s="3585" t="s">
        <v>4969</v>
      </c>
      <c r="D154" s="2596" t="s">
        <v>6222</v>
      </c>
      <c r="E154" s="2596" t="s">
        <v>7025</v>
      </c>
    </row>
    <row r="155" spans="1:5" s="2596" customFormat="1" ht="15">
      <c r="A155" s="2596" t="str">
        <f>'Name translation'!A155</f>
        <v>Other (concrete)</v>
      </c>
      <c r="B155" s="3584" t="s">
        <v>4722</v>
      </c>
      <c r="C155" s="3585" t="s">
        <v>4970</v>
      </c>
      <c r="D155" s="2596" t="s">
        <v>6223</v>
      </c>
      <c r="E155" s="2596" t="s">
        <v>7026</v>
      </c>
    </row>
    <row r="156" spans="1:5" s="2596" customFormat="1" ht="15">
      <c r="A156" s="2596" t="str">
        <f>'Name translation'!A156</f>
        <v>Other (metal)</v>
      </c>
      <c r="B156" s="3584" t="s">
        <v>4723</v>
      </c>
      <c r="C156" s="3585" t="s">
        <v>4971</v>
      </c>
      <c r="D156" s="2596" t="s">
        <v>6224</v>
      </c>
      <c r="E156" s="2596" t="s">
        <v>7027</v>
      </c>
    </row>
    <row r="157" spans="1:5" s="2596" customFormat="1" ht="15">
      <c r="A157" s="2596" t="str">
        <f>'Name translation'!A157</f>
        <v>Road for medium traffic (concrete)</v>
      </c>
      <c r="B157" s="3584" t="s">
        <v>4724</v>
      </c>
      <c r="C157" s="3585" t="s">
        <v>4972</v>
      </c>
      <c r="D157" s="2596" t="s">
        <v>6225</v>
      </c>
      <c r="E157" s="2596" t="s">
        <v>7028</v>
      </c>
    </row>
    <row r="158" spans="1:5" s="2596" customFormat="1" ht="15">
      <c r="A158" s="2596" t="str">
        <f>'Name translation'!A158</f>
        <v>Road for medium traffic (asphalt)</v>
      </c>
      <c r="B158" s="3584" t="s">
        <v>4725</v>
      </c>
      <c r="C158" s="3585" t="s">
        <v>4973</v>
      </c>
      <c r="D158" s="2596" t="s">
        <v>6226</v>
      </c>
      <c r="E158" s="2596" t="s">
        <v>7029</v>
      </c>
    </row>
    <row r="159" spans="1:5" s="2596" customFormat="1" ht="15">
      <c r="A159" s="2596" t="str">
        <f>'Name translation'!A159</f>
        <v>Road for Intense traffic (concrete)</v>
      </c>
      <c r="B159" s="3584" t="s">
        <v>4726</v>
      </c>
      <c r="C159" s="3585" t="s">
        <v>4974</v>
      </c>
      <c r="D159" s="2596" t="s">
        <v>6227</v>
      </c>
      <c r="E159" s="2596" t="s">
        <v>7030</v>
      </c>
    </row>
    <row r="160" spans="1:5" s="2596" customFormat="1" ht="15">
      <c r="A160" s="2596" t="str">
        <f>'Name translation'!A160</f>
        <v>Road for Intense traffic (asphalt)</v>
      </c>
      <c r="B160" s="3584" t="s">
        <v>4727</v>
      </c>
      <c r="C160" s="3585" t="s">
        <v>4975</v>
      </c>
      <c r="D160" s="2596" t="s">
        <v>6228</v>
      </c>
      <c r="E160" s="2596" t="s">
        <v>7031</v>
      </c>
    </row>
    <row r="161" spans="1:5" s="2596" customFormat="1" ht="15">
      <c r="A161" s="2596" t="str">
        <f>'Name translation'!A161</f>
        <v>Official (1st period 2008-2012)</v>
      </c>
      <c r="B161" s="3584" t="s">
        <v>4729</v>
      </c>
      <c r="C161" s="3585" t="s">
        <v>4976</v>
      </c>
      <c r="D161" s="2596" t="s">
        <v>6229</v>
      </c>
      <c r="E161" s="2596" t="s">
        <v>7032</v>
      </c>
    </row>
    <row r="162" spans="1:5" s="2596" customFormat="1" ht="15">
      <c r="A162" s="2596" t="str">
        <f>'Name translation'!A162</f>
        <v>Official (2nd period 2013-2020)</v>
      </c>
      <c r="B162" s="3584" t="s">
        <v>4728</v>
      </c>
      <c r="C162" s="3585" t="s">
        <v>4977</v>
      </c>
      <c r="D162" s="2596" t="s">
        <v>6230</v>
      </c>
      <c r="E162" s="2596" t="s">
        <v>7033</v>
      </c>
    </row>
    <row r="163" spans="1:5" s="2596" customFormat="1" ht="15">
      <c r="A163" s="2596" t="str">
        <f>'Name translation'!A163</f>
        <v>Last Update for GWP100 (IPCC-2013)</v>
      </c>
      <c r="B163" s="3584" t="s">
        <v>4730</v>
      </c>
      <c r="C163" s="3585" t="s">
        <v>4978</v>
      </c>
      <c r="D163" s="2596" t="s">
        <v>6231</v>
      </c>
      <c r="E163" s="2596" t="s">
        <v>7034</v>
      </c>
    </row>
    <row r="164" spans="1:5" s="2596" customFormat="1" ht="15">
      <c r="A164" s="2596" t="str">
        <f>'Name translation'!A164</f>
        <v>Non dominant</v>
      </c>
      <c r="B164" s="3584" t="s">
        <v>4731</v>
      </c>
      <c r="C164" s="3585" t="s">
        <v>4979</v>
      </c>
      <c r="D164" s="2596" t="s">
        <v>6232</v>
      </c>
      <c r="E164" s="2596" t="s">
        <v>7035</v>
      </c>
    </row>
    <row r="165" spans="1:5" ht="15">
      <c r="A165" s="2028" t="str">
        <f>'Name translation'!A165</f>
        <v>Non soil</v>
      </c>
      <c r="B165" s="2579" t="s">
        <v>4732</v>
      </c>
      <c r="C165" s="3589" t="s">
        <v>2199</v>
      </c>
      <c r="D165" s="2028" t="s">
        <v>6233</v>
      </c>
      <c r="E165" t="s">
        <v>7036</v>
      </c>
    </row>
    <row r="166" spans="1:5" s="2596" customFormat="1" ht="15">
      <c r="A166" s="2596" t="str">
        <f>'Name translation'!A166</f>
        <v>?</v>
      </c>
      <c r="B166" s="3584" t="s">
        <v>5</v>
      </c>
      <c r="C166" s="3585" t="s">
        <v>5</v>
      </c>
      <c r="D166" s="2596" t="s">
        <v>5</v>
      </c>
      <c r="E166" s="2596" t="s">
        <v>5</v>
      </c>
    </row>
    <row r="167" spans="1:5" s="2596" customFormat="1" ht="15">
      <c r="A167" s="2596" t="str">
        <f>'Name translation'!A167</f>
        <v>Africa</v>
      </c>
      <c r="B167" s="3584" t="s">
        <v>4733</v>
      </c>
      <c r="C167" s="3585" t="s">
        <v>4847</v>
      </c>
      <c r="D167" s="2596" t="s">
        <v>4847</v>
      </c>
      <c r="E167" s="2596" t="s">
        <v>6902</v>
      </c>
    </row>
    <row r="168" spans="1:5" s="2596" customFormat="1" ht="15">
      <c r="A168" s="2596" t="str">
        <f>'Name translation'!A168</f>
        <v>Americas</v>
      </c>
      <c r="B168" s="3584" t="s">
        <v>1384</v>
      </c>
      <c r="C168" s="3585" t="s">
        <v>1384</v>
      </c>
      <c r="D168" s="2596" t="s">
        <v>6234</v>
      </c>
      <c r="E168" s="2596" t="s">
        <v>7037</v>
      </c>
    </row>
    <row r="169" spans="1:5" s="2596" customFormat="1" ht="15">
      <c r="A169" s="2596" t="str">
        <f>'Name translation'!A169</f>
        <v>Asia</v>
      </c>
      <c r="B169" s="3584" t="s">
        <v>4734</v>
      </c>
      <c r="C169" s="3585" t="s">
        <v>4980</v>
      </c>
      <c r="D169" s="2596" t="s">
        <v>424</v>
      </c>
      <c r="E169" s="2596" t="s">
        <v>7038</v>
      </c>
    </row>
    <row r="170" spans="1:5" s="2596" customFormat="1" ht="15">
      <c r="A170" s="2596" t="str">
        <f>'Name translation'!A170</f>
        <v>Australia &amp; New Zealand</v>
      </c>
      <c r="B170" s="3584" t="s">
        <v>4735</v>
      </c>
      <c r="C170" s="3585" t="s">
        <v>4981</v>
      </c>
      <c r="D170" s="2596" t="s">
        <v>6235</v>
      </c>
      <c r="E170" s="2596" t="s">
        <v>7039</v>
      </c>
    </row>
    <row r="171" spans="1:5" s="2596" customFormat="1" ht="15">
      <c r="A171" s="2596" t="str">
        <f>'Name translation'!A171</f>
        <v>Caribbean</v>
      </c>
      <c r="B171" s="3584" t="s">
        <v>4422</v>
      </c>
      <c r="C171" s="3585" t="s">
        <v>4982</v>
      </c>
      <c r="D171" s="2596" t="s">
        <v>6236</v>
      </c>
      <c r="E171" s="2596" t="s">
        <v>7040</v>
      </c>
    </row>
    <row r="172" spans="1:5" s="2596" customFormat="1" ht="15">
      <c r="A172" s="2596" t="str">
        <f>'Name translation'!A172</f>
        <v>Central America</v>
      </c>
      <c r="B172" s="3584" t="s">
        <v>2403</v>
      </c>
      <c r="C172" s="3585" t="s">
        <v>4983</v>
      </c>
      <c r="D172" s="2596" t="s">
        <v>6109</v>
      </c>
      <c r="E172" s="2596" t="s">
        <v>7041</v>
      </c>
    </row>
    <row r="173" spans="1:5" s="2596" customFormat="1" ht="15">
      <c r="A173" s="2596" t="str">
        <f>'Name translation'!A173</f>
        <v>Central Asia</v>
      </c>
      <c r="B173" s="3584" t="s">
        <v>4736</v>
      </c>
      <c r="C173" s="3585" t="s">
        <v>4984</v>
      </c>
      <c r="D173" s="2596" t="s">
        <v>6237</v>
      </c>
      <c r="E173" s="2596" t="s">
        <v>7042</v>
      </c>
    </row>
    <row r="174" spans="1:5" s="2596" customFormat="1" ht="15">
      <c r="A174" s="2596" t="str">
        <f>'Name translation'!A174</f>
        <v>Eastern Africa</v>
      </c>
      <c r="B174" s="3584" t="s">
        <v>4747</v>
      </c>
      <c r="C174" s="3585" t="s">
        <v>4985</v>
      </c>
      <c r="D174" s="2596" t="s">
        <v>6238</v>
      </c>
      <c r="E174" s="2596" t="s">
        <v>7043</v>
      </c>
    </row>
    <row r="175" spans="1:5" s="2596" customFormat="1" ht="15">
      <c r="A175" s="2596" t="str">
        <f>'Name translation'!A175</f>
        <v>Eastern Asia</v>
      </c>
      <c r="B175" s="3584" t="s">
        <v>4748</v>
      </c>
      <c r="C175" s="3585" t="s">
        <v>4986</v>
      </c>
      <c r="D175" s="2596" t="s">
        <v>6239</v>
      </c>
      <c r="E175" s="2596" t="s">
        <v>7044</v>
      </c>
    </row>
    <row r="176" spans="1:5" s="2596" customFormat="1" ht="15">
      <c r="A176" s="2596" t="str">
        <f>'Name translation'!A176</f>
        <v>Eastern Europe</v>
      </c>
      <c r="B176" s="3584" t="s">
        <v>4749</v>
      </c>
      <c r="C176" s="3585" t="s">
        <v>4852</v>
      </c>
      <c r="D176" s="2596" t="s">
        <v>6106</v>
      </c>
      <c r="E176" s="2596" t="s">
        <v>7045</v>
      </c>
    </row>
    <row r="177" spans="1:5" s="2596" customFormat="1" ht="15">
      <c r="A177" s="2596" t="str">
        <f>'Name translation'!A177</f>
        <v>Europe</v>
      </c>
      <c r="B177" s="3584" t="s">
        <v>4426</v>
      </c>
      <c r="C177" s="3585" t="s">
        <v>4426</v>
      </c>
      <c r="D177" s="2596" t="s">
        <v>6240</v>
      </c>
      <c r="E177" s="2596" t="s">
        <v>7046</v>
      </c>
    </row>
    <row r="178" spans="1:5" s="2596" customFormat="1" ht="15">
      <c r="A178" s="2596" t="str">
        <f>'Name translation'!A178</f>
        <v>European Union</v>
      </c>
      <c r="B178" s="3584" t="s">
        <v>4737</v>
      </c>
      <c r="C178" s="3585" t="s">
        <v>4987</v>
      </c>
      <c r="D178" s="2596" t="s">
        <v>6241</v>
      </c>
      <c r="E178" s="2596" t="s">
        <v>7047</v>
      </c>
    </row>
    <row r="179" spans="1:5" s="2596" customFormat="1" ht="15">
      <c r="A179" s="2596" t="str">
        <f>'Name translation'!A179</f>
        <v>Melanesia</v>
      </c>
      <c r="B179" s="3584" t="s">
        <v>4738</v>
      </c>
      <c r="C179" s="3587" t="s">
        <v>4988</v>
      </c>
      <c r="D179" s="2596" t="s">
        <v>1391</v>
      </c>
      <c r="E179" s="2596" t="s">
        <v>7048</v>
      </c>
    </row>
    <row r="180" spans="1:5" s="2596" customFormat="1" ht="15">
      <c r="A180" s="2596" t="str">
        <f>'Name translation'!A180</f>
        <v>Micronesia</v>
      </c>
      <c r="B180" s="3584" t="s">
        <v>1324</v>
      </c>
      <c r="C180" s="3585" t="s">
        <v>4989</v>
      </c>
      <c r="D180" s="2596" t="s">
        <v>6242</v>
      </c>
      <c r="E180" s="2596" t="s">
        <v>7049</v>
      </c>
    </row>
    <row r="181" spans="1:5" s="2596" customFormat="1" ht="15">
      <c r="A181" s="2596" t="str">
        <f>'Name translation'!A181</f>
        <v>Middle Africa</v>
      </c>
      <c r="B181" s="3584" t="s">
        <v>4745</v>
      </c>
      <c r="C181" s="3585" t="s">
        <v>4990</v>
      </c>
      <c r="D181" s="2596" t="s">
        <v>6243</v>
      </c>
      <c r="E181" s="2596" t="s">
        <v>7050</v>
      </c>
    </row>
    <row r="182" spans="1:5" s="2596" customFormat="1" ht="15">
      <c r="A182" s="2596" t="str">
        <f>'Name translation'!A182</f>
        <v>Northern Africa</v>
      </c>
      <c r="B182" s="3584" t="s">
        <v>4739</v>
      </c>
      <c r="C182" s="3585" t="s">
        <v>4991</v>
      </c>
      <c r="D182" s="2596" t="s">
        <v>6244</v>
      </c>
      <c r="E182" s="2596" t="s">
        <v>7051</v>
      </c>
    </row>
    <row r="183" spans="1:5" s="2596" customFormat="1" ht="15">
      <c r="A183" s="2596" t="str">
        <f>'Name translation'!A183</f>
        <v>Northern America</v>
      </c>
      <c r="B183" s="3584" t="s">
        <v>2402</v>
      </c>
      <c r="C183" s="3585" t="s">
        <v>4854</v>
      </c>
      <c r="D183" s="2596" t="s">
        <v>6108</v>
      </c>
      <c r="E183" s="2596" t="s">
        <v>7052</v>
      </c>
    </row>
    <row r="184" spans="1:5" s="2596" customFormat="1" ht="15">
      <c r="A184" s="2596" t="str">
        <f>'Name translation'!A184</f>
        <v>Northern Europe</v>
      </c>
      <c r="B184" s="3584" t="s">
        <v>4740</v>
      </c>
      <c r="C184" s="3585" t="s">
        <v>4992</v>
      </c>
      <c r="D184" s="2596" t="s">
        <v>6245</v>
      </c>
      <c r="E184" s="2596" t="s">
        <v>7053</v>
      </c>
    </row>
    <row r="185" spans="1:5" s="2596" customFormat="1" ht="15">
      <c r="A185" s="2596" t="str">
        <f>'Name translation'!A185</f>
        <v>Oceania</v>
      </c>
      <c r="B185" s="3584" t="s">
        <v>2401</v>
      </c>
      <c r="C185" s="3585" t="s">
        <v>4853</v>
      </c>
      <c r="D185" s="2596" t="s">
        <v>6107</v>
      </c>
      <c r="E185" s="2596" t="s">
        <v>6909</v>
      </c>
    </row>
    <row r="186" spans="1:5" s="2596" customFormat="1" ht="15">
      <c r="A186" s="2596" t="str">
        <f>'Name translation'!A186</f>
        <v>Polynesia</v>
      </c>
      <c r="B186" s="3584" t="s">
        <v>4741</v>
      </c>
      <c r="C186" s="3585" t="s">
        <v>4993</v>
      </c>
      <c r="D186" s="2596" t="s">
        <v>4429</v>
      </c>
      <c r="E186" s="2596" t="s">
        <v>7054</v>
      </c>
    </row>
    <row r="187" spans="1:5" s="2596" customFormat="1" ht="15">
      <c r="A187" s="2596" t="str">
        <f>'Name translation'!A187</f>
        <v>South America</v>
      </c>
      <c r="B187" s="3584" t="s">
        <v>4742</v>
      </c>
      <c r="C187" s="3585" t="s">
        <v>4856</v>
      </c>
      <c r="D187" s="2596" t="s">
        <v>6110</v>
      </c>
      <c r="E187" s="2596" t="s">
        <v>7055</v>
      </c>
    </row>
    <row r="188" spans="1:5" s="2596" customFormat="1" ht="15">
      <c r="A188" s="2596" t="str">
        <f>'Name translation'!A188</f>
        <v>South-Eastern Asia</v>
      </c>
      <c r="B188" s="3584" t="s">
        <v>4743</v>
      </c>
      <c r="C188" s="3585" t="s">
        <v>4994</v>
      </c>
      <c r="D188" s="2596" t="s">
        <v>6246</v>
      </c>
      <c r="E188" s="2596" t="s">
        <v>7056</v>
      </c>
    </row>
    <row r="189" spans="1:5" s="2596" customFormat="1" ht="15">
      <c r="A189" s="2596" t="str">
        <f>'Name translation'!A189</f>
        <v>Southern Africa</v>
      </c>
      <c r="B189" s="3584" t="s">
        <v>4744</v>
      </c>
      <c r="C189" s="3585" t="s">
        <v>4995</v>
      </c>
      <c r="D189" s="2596" t="s">
        <v>6247</v>
      </c>
      <c r="E189" s="2596" t="s">
        <v>7057</v>
      </c>
    </row>
    <row r="190" spans="1:5" s="2596" customFormat="1" ht="15">
      <c r="A190" s="2596" t="str">
        <f>'Name translation'!A190</f>
        <v>Southern Asia</v>
      </c>
      <c r="B190" s="3584" t="s">
        <v>4750</v>
      </c>
      <c r="C190" s="3585" t="s">
        <v>4996</v>
      </c>
      <c r="D190" s="2596" t="s">
        <v>6248</v>
      </c>
      <c r="E190" s="2596" t="s">
        <v>7058</v>
      </c>
    </row>
    <row r="191" spans="1:5" s="2596" customFormat="1" ht="15">
      <c r="A191" s="2596" t="str">
        <f>'Name translation'!A191</f>
        <v>Southern Europe</v>
      </c>
      <c r="B191" s="3584" t="s">
        <v>4751</v>
      </c>
      <c r="C191" s="3585" t="s">
        <v>4997</v>
      </c>
      <c r="D191" s="2596" t="s">
        <v>6249</v>
      </c>
      <c r="E191" s="2596" t="s">
        <v>7059</v>
      </c>
    </row>
    <row r="192" spans="1:5" s="2596" customFormat="1" ht="15">
      <c r="A192" s="2596" t="str">
        <f>'Name translation'!A192</f>
        <v>Western Africa</v>
      </c>
      <c r="B192" s="3584" t="s">
        <v>4746</v>
      </c>
      <c r="C192" s="3585" t="s">
        <v>4998</v>
      </c>
      <c r="D192" s="2596" t="s">
        <v>6250</v>
      </c>
      <c r="E192" s="2596" t="s">
        <v>7060</v>
      </c>
    </row>
    <row r="193" spans="1:5" s="2596" customFormat="1" ht="15">
      <c r="A193" s="2596" t="str">
        <f>'Name translation'!A193</f>
        <v>Western Asia</v>
      </c>
      <c r="B193" s="3584" t="s">
        <v>4752</v>
      </c>
      <c r="C193" s="3585" t="s">
        <v>4999</v>
      </c>
      <c r="D193" s="2596" t="s">
        <v>6251</v>
      </c>
      <c r="E193" s="2596" t="s">
        <v>7061</v>
      </c>
    </row>
    <row r="194" spans="1:5" s="2596" customFormat="1" ht="15">
      <c r="A194" s="2596" t="str">
        <f>'Name translation'!A194</f>
        <v>Western Europe</v>
      </c>
      <c r="B194" s="3584" t="s">
        <v>2399</v>
      </c>
      <c r="C194" s="3585" t="s">
        <v>4851</v>
      </c>
      <c r="D194" s="2596" t="s">
        <v>6105</v>
      </c>
      <c r="E194" s="2596" t="s">
        <v>7062</v>
      </c>
    </row>
    <row r="195" spans="1:5" s="2596" customFormat="1" ht="15">
      <c r="A195" s="2596" t="str">
        <f>'Name translation'!A195</f>
        <v>World</v>
      </c>
      <c r="B195" s="3584" t="s">
        <v>4437</v>
      </c>
      <c r="C195" s="3585" t="s">
        <v>5000</v>
      </c>
      <c r="D195" s="2596" t="s">
        <v>6252</v>
      </c>
      <c r="E195" s="2596" t="s">
        <v>7063</v>
      </c>
    </row>
    <row r="196" spans="1:5" s="2596" customFormat="1" ht="15">
      <c r="A196" s="2596" t="str">
        <f>'Name translation'!A196</f>
        <v>?</v>
      </c>
      <c r="B196" s="3584" t="s">
        <v>5</v>
      </c>
      <c r="C196" s="3585" t="s">
        <v>5</v>
      </c>
      <c r="D196" s="2596" t="s">
        <v>5</v>
      </c>
      <c r="E196" s="2596" t="s">
        <v>5</v>
      </c>
    </row>
    <row r="197" spans="1:5" s="2596" customFormat="1" ht="15">
      <c r="A197" s="2596" t="str">
        <f>'Name translation'!A197</f>
        <v>Bananas</v>
      </c>
      <c r="B197" s="3584" t="s">
        <v>1336</v>
      </c>
      <c r="C197" s="3585" t="s">
        <v>5001</v>
      </c>
      <c r="D197" s="2596" t="s">
        <v>6253</v>
      </c>
      <c r="E197" s="2596" t="s">
        <v>7064</v>
      </c>
    </row>
    <row r="198" spans="1:5" s="2596" customFormat="1" ht="15">
      <c r="A198" s="2596" t="str">
        <f>'Name translation'!A198</f>
        <v>Barley</v>
      </c>
      <c r="B198" s="3584" t="s">
        <v>4761</v>
      </c>
      <c r="C198" s="3585" t="s">
        <v>5002</v>
      </c>
      <c r="D198" s="2596" t="s">
        <v>6254</v>
      </c>
      <c r="E198" s="2596" t="s">
        <v>7065</v>
      </c>
    </row>
    <row r="199" spans="1:5" s="2596" customFormat="1" ht="15">
      <c r="A199" s="2596" t="str">
        <f>'Name translation'!A199</f>
        <v>Beans, dry</v>
      </c>
      <c r="B199" s="3584" t="s">
        <v>4754</v>
      </c>
      <c r="C199" s="3585" t="s">
        <v>5003</v>
      </c>
      <c r="D199" s="2596" t="s">
        <v>6255</v>
      </c>
      <c r="E199" s="2596" t="s">
        <v>7066</v>
      </c>
    </row>
    <row r="200" spans="1:5" s="2596" customFormat="1" ht="15">
      <c r="A200" s="2596" t="str">
        <f>'Name translation'!A200</f>
        <v>Beans, green</v>
      </c>
      <c r="B200" s="3584" t="s">
        <v>4755</v>
      </c>
      <c r="C200" s="3585" t="s">
        <v>5004</v>
      </c>
      <c r="D200" s="2596" t="s">
        <v>6256</v>
      </c>
      <c r="E200" s="2596" t="s">
        <v>7067</v>
      </c>
    </row>
    <row r="201" spans="1:5" s="2596" customFormat="1" ht="15">
      <c r="A201" s="2596" t="str">
        <f>'Name translation'!A201</f>
        <v>Carrots and turnips</v>
      </c>
      <c r="B201" s="3584" t="s">
        <v>4756</v>
      </c>
      <c r="C201" s="3587" t="s">
        <v>5005</v>
      </c>
      <c r="D201" s="2596" t="s">
        <v>6257</v>
      </c>
      <c r="E201" s="2596" t="s">
        <v>7068</v>
      </c>
    </row>
    <row r="202" spans="1:5" s="2596" customFormat="1" ht="15">
      <c r="A202" s="2596" t="str">
        <f>'Name translation'!A202</f>
        <v>Cashew nuts, with shell</v>
      </c>
      <c r="B202" s="3584" t="s">
        <v>4762</v>
      </c>
      <c r="C202" s="3587" t="s">
        <v>5006</v>
      </c>
      <c r="D202" s="2596" t="s">
        <v>6258</v>
      </c>
      <c r="E202" s="2596" t="s">
        <v>7069</v>
      </c>
    </row>
    <row r="203" spans="1:5" s="2596" customFormat="1" ht="15">
      <c r="A203" s="2596" t="str">
        <f>'Name translation'!A203</f>
        <v>Cassava</v>
      </c>
      <c r="B203" s="3584" t="s">
        <v>4763</v>
      </c>
      <c r="C203" s="3585" t="s">
        <v>5007</v>
      </c>
      <c r="D203" s="2596" t="s">
        <v>6259</v>
      </c>
      <c r="E203" s="2596" t="s">
        <v>7070</v>
      </c>
    </row>
    <row r="204" spans="1:5" s="2596" customFormat="1" ht="15">
      <c r="A204" s="2596" t="str">
        <f>'Name translation'!A204</f>
        <v>Cauliflowers and broccoli</v>
      </c>
      <c r="B204" s="3584" t="s">
        <v>4757</v>
      </c>
      <c r="C204" s="3585" t="s">
        <v>5008</v>
      </c>
      <c r="D204" s="2596" t="s">
        <v>6260</v>
      </c>
      <c r="E204" s="2596" t="s">
        <v>7071</v>
      </c>
    </row>
    <row r="205" spans="1:5" s="2596" customFormat="1" ht="15">
      <c r="A205" s="2596" t="str">
        <f>'Name translation'!A205</f>
        <v>Cereals (Rice Milled Eqv)</v>
      </c>
      <c r="B205" s="3584" t="s">
        <v>4758</v>
      </c>
      <c r="C205" s="3587" t="s">
        <v>5009</v>
      </c>
      <c r="D205" s="2596" t="s">
        <v>6261</v>
      </c>
      <c r="E205" s="2596" t="s">
        <v>7072</v>
      </c>
    </row>
    <row r="206" spans="1:5" s="2596" customFormat="1" ht="15">
      <c r="A206" s="2596" t="str">
        <f>'Name translation'!A206</f>
        <v>Cereals, nes</v>
      </c>
      <c r="B206" s="3584" t="s">
        <v>4759</v>
      </c>
      <c r="C206" s="3585" t="s">
        <v>5010</v>
      </c>
      <c r="D206" s="2596" t="s">
        <v>6262</v>
      </c>
      <c r="E206" s="2596" t="s">
        <v>7073</v>
      </c>
    </row>
    <row r="207" spans="1:5" s="2596" customFormat="1" ht="15">
      <c r="A207" s="2596" t="str">
        <f>'Name translation'!A207</f>
        <v>Chestnuts</v>
      </c>
      <c r="B207" s="3584" t="s">
        <v>4764</v>
      </c>
      <c r="C207" s="3585" t="s">
        <v>5011</v>
      </c>
      <c r="D207" s="2596" t="s">
        <v>6263</v>
      </c>
      <c r="E207" s="2596" t="s">
        <v>7074</v>
      </c>
    </row>
    <row r="208" spans="1:5" s="2596" customFormat="1" ht="15">
      <c r="A208" s="2596" t="str">
        <f>'Name translation'!A208</f>
        <v>Citrus fruit, nes</v>
      </c>
      <c r="B208" s="3584" t="s">
        <v>4765</v>
      </c>
      <c r="C208" s="3585" t="s">
        <v>5012</v>
      </c>
      <c r="D208" s="2596" t="s">
        <v>6264</v>
      </c>
      <c r="E208" s="2596" t="s">
        <v>7075</v>
      </c>
    </row>
    <row r="209" spans="1:5" s="2596" customFormat="1" ht="15">
      <c r="A209" s="2596" t="str">
        <f>'Name translation'!A209</f>
        <v>Coffee, green</v>
      </c>
      <c r="B209" s="3584" t="s">
        <v>4446</v>
      </c>
      <c r="C209" s="3587" t="s">
        <v>5013</v>
      </c>
      <c r="D209" s="2596" t="s">
        <v>6265</v>
      </c>
      <c r="E209" s="2596" t="s">
        <v>7076</v>
      </c>
    </row>
    <row r="210" spans="1:5" s="2596" customFormat="1" ht="15">
      <c r="A210" s="2596" t="str">
        <f>'Name translation'!A210</f>
        <v>Cow peas, dry</v>
      </c>
      <c r="B210" s="3584" t="s">
        <v>4766</v>
      </c>
      <c r="C210" s="3587" t="s">
        <v>5014</v>
      </c>
      <c r="D210" s="2596" t="s">
        <v>6266</v>
      </c>
      <c r="E210" s="2596" t="s">
        <v>7077</v>
      </c>
    </row>
    <row r="211" spans="1:5" s="2596" customFormat="1" ht="15">
      <c r="A211" s="2596" t="str">
        <f>'Name translation'!A211</f>
        <v>Dates</v>
      </c>
      <c r="B211" s="3584" t="s">
        <v>4767</v>
      </c>
      <c r="C211" s="3587" t="s">
        <v>5015</v>
      </c>
      <c r="D211" s="2596" t="s">
        <v>6267</v>
      </c>
      <c r="E211" s="2596" t="s">
        <v>7078</v>
      </c>
    </row>
    <row r="212" spans="1:5" s="2596" customFormat="1" ht="15">
      <c r="A212" s="2596" t="str">
        <f>'Name translation'!A212</f>
        <v>Eggplants (aubergines)</v>
      </c>
      <c r="B212" s="3584" t="s">
        <v>4768</v>
      </c>
      <c r="C212" s="3587" t="s">
        <v>5016</v>
      </c>
      <c r="D212" s="2596" t="s">
        <v>6268</v>
      </c>
      <c r="E212" s="2596" t="s">
        <v>7079</v>
      </c>
    </row>
    <row r="213" spans="1:5" s="2596" customFormat="1" ht="15">
      <c r="A213" s="2596" t="str">
        <f>'Name translation'!A213</f>
        <v>Fibre Crops Nes</v>
      </c>
      <c r="B213" s="3584" t="s">
        <v>4774</v>
      </c>
      <c r="C213" s="3587" t="s">
        <v>5017</v>
      </c>
      <c r="D213" s="2596" t="s">
        <v>6269</v>
      </c>
      <c r="E213" s="2596" t="s">
        <v>7080</v>
      </c>
    </row>
    <row r="214" spans="1:5" s="2596" customFormat="1" ht="15">
      <c r="A214" s="2596" t="str">
        <f>'Name translation'!A214</f>
        <v>Grapefruit (inc. pomelos)</v>
      </c>
      <c r="B214" s="3584" t="s">
        <v>4760</v>
      </c>
      <c r="C214" s="3587" t="s">
        <v>5018</v>
      </c>
      <c r="D214" s="2596" t="s">
        <v>6270</v>
      </c>
      <c r="E214" s="2596" t="s">
        <v>7081</v>
      </c>
    </row>
    <row r="215" spans="1:5" s="2596" customFormat="1" ht="15">
      <c r="A215" s="2596" t="str">
        <f>'Name translation'!A215</f>
        <v>Grapes</v>
      </c>
      <c r="B215" s="3584" t="s">
        <v>4776</v>
      </c>
      <c r="C215" s="3587" t="s">
        <v>5019</v>
      </c>
      <c r="D215" s="2596" t="s">
        <v>6271</v>
      </c>
      <c r="E215" s="2596" t="s">
        <v>7082</v>
      </c>
    </row>
    <row r="216" spans="1:5" s="2596" customFormat="1" ht="15">
      <c r="A216" s="2596" t="str">
        <f>'Name translation'!A216</f>
        <v>Groundnuts, with shell</v>
      </c>
      <c r="B216" s="3584" t="s">
        <v>4769</v>
      </c>
      <c r="C216" s="3587" t="s">
        <v>5020</v>
      </c>
      <c r="D216" s="2596" t="s">
        <v>6272</v>
      </c>
      <c r="E216" s="2596" t="s">
        <v>7083</v>
      </c>
    </row>
    <row r="217" spans="1:5" s="2596" customFormat="1" ht="15">
      <c r="A217" s="2596" t="str">
        <f>'Name translation'!A217</f>
        <v>Leguminous vegetables, nes</v>
      </c>
      <c r="B217" s="3584" t="s">
        <v>4775</v>
      </c>
      <c r="C217" s="3587" t="s">
        <v>5021</v>
      </c>
      <c r="D217" s="2596" t="s">
        <v>6273</v>
      </c>
      <c r="E217" s="2596" t="s">
        <v>7084</v>
      </c>
    </row>
    <row r="218" spans="1:5" s="2596" customFormat="1" ht="15">
      <c r="A218" s="2596" t="str">
        <f>'Name translation'!A218</f>
        <v>Linseed</v>
      </c>
      <c r="B218" s="3584" t="s">
        <v>4777</v>
      </c>
      <c r="C218" s="3587" t="s">
        <v>5022</v>
      </c>
      <c r="D218" s="2596" t="s">
        <v>6274</v>
      </c>
      <c r="E218" s="2596" t="s">
        <v>7085</v>
      </c>
    </row>
    <row r="219" spans="1:5" s="2596" customFormat="1" ht="15">
      <c r="A219" s="2596" t="str">
        <f>'Name translation'!A219</f>
        <v>Maize</v>
      </c>
      <c r="B219" s="3584" t="s">
        <v>4778</v>
      </c>
      <c r="C219" s="3587" t="s">
        <v>5023</v>
      </c>
      <c r="D219" s="2596" t="s">
        <v>6275</v>
      </c>
      <c r="E219" s="2596" t="s">
        <v>7086</v>
      </c>
    </row>
    <row r="220" spans="1:5" s="2596" customFormat="1" ht="15">
      <c r="A220" s="2596" t="str">
        <f>'Name translation'!A220</f>
        <v>Maize, green</v>
      </c>
      <c r="B220" s="3584" t="s">
        <v>4779</v>
      </c>
      <c r="C220" s="3587" t="s">
        <v>5024</v>
      </c>
      <c r="D220" s="2596" t="s">
        <v>6276</v>
      </c>
      <c r="E220" s="2596" t="s">
        <v>7087</v>
      </c>
    </row>
    <row r="221" spans="1:5" s="2596" customFormat="1" ht="15">
      <c r="A221" s="2596" t="str">
        <f>'Name translation'!A221</f>
        <v>Mangoes, mangosteens, guavas</v>
      </c>
      <c r="B221" s="3584" t="s">
        <v>4770</v>
      </c>
      <c r="C221" s="3587" t="s">
        <v>5025</v>
      </c>
      <c r="D221" s="2596" t="s">
        <v>6277</v>
      </c>
      <c r="E221" s="2596" t="s">
        <v>7088</v>
      </c>
    </row>
    <row r="222" spans="1:5" s="2596" customFormat="1" ht="15">
      <c r="A222" s="2596" t="str">
        <f>'Name translation'!A222</f>
        <v>Maté</v>
      </c>
      <c r="B222" s="3584" t="s">
        <v>2268</v>
      </c>
      <c r="C222" s="3587" t="s">
        <v>2268</v>
      </c>
      <c r="D222" s="2596" t="s">
        <v>2268</v>
      </c>
      <c r="E222" s="2596" t="s">
        <v>7089</v>
      </c>
    </row>
    <row r="223" spans="1:5" s="2596" customFormat="1" ht="15">
      <c r="A223" s="2596" t="str">
        <f>'Name translation'!A223</f>
        <v>Millet</v>
      </c>
      <c r="B223" s="3584" t="s">
        <v>4780</v>
      </c>
      <c r="C223" s="3587" t="s">
        <v>5026</v>
      </c>
      <c r="D223" s="2596" t="s">
        <v>6278</v>
      </c>
      <c r="E223" s="2596" t="s">
        <v>7090</v>
      </c>
    </row>
    <row r="224" spans="1:5" s="2596" customFormat="1" ht="15">
      <c r="A224" s="2596" t="str">
        <f>'Name translation'!A224</f>
        <v>Oats</v>
      </c>
      <c r="B224" s="3584" t="s">
        <v>4781</v>
      </c>
      <c r="C224" s="3587" t="s">
        <v>5027</v>
      </c>
      <c r="D224" s="2596" t="s">
        <v>6279</v>
      </c>
      <c r="E224" s="2596" t="s">
        <v>7091</v>
      </c>
    </row>
    <row r="225" spans="1:5" s="2596" customFormat="1" ht="15">
      <c r="A225" s="2596" t="str">
        <f>'Name translation'!A225</f>
        <v>Oil palm fruit</v>
      </c>
      <c r="B225" s="3584" t="s">
        <v>4782</v>
      </c>
      <c r="C225" s="3587" t="s">
        <v>5028</v>
      </c>
      <c r="D225" s="2596" t="s">
        <v>6280</v>
      </c>
      <c r="E225" s="2596" t="s">
        <v>7092</v>
      </c>
    </row>
    <row r="226" spans="1:5" s="2596" customFormat="1" ht="15">
      <c r="A226" s="2596" t="str">
        <f>'Name translation'!A226</f>
        <v>Olives</v>
      </c>
      <c r="B226" s="3584" t="s">
        <v>4783</v>
      </c>
      <c r="C226" s="3587" t="s">
        <v>5029</v>
      </c>
      <c r="D226" s="2596" t="s">
        <v>6281</v>
      </c>
      <c r="E226" s="2596" t="s">
        <v>7093</v>
      </c>
    </row>
    <row r="227" spans="1:5" s="2596" customFormat="1" ht="15">
      <c r="A227" s="2596" t="str">
        <f>'Name translation'!A227</f>
        <v>Onions, dry</v>
      </c>
      <c r="B227" s="3584" t="s">
        <v>4771</v>
      </c>
      <c r="C227" s="3587" t="s">
        <v>5030</v>
      </c>
      <c r="D227" s="2596" t="s">
        <v>6282</v>
      </c>
      <c r="E227" s="2596" t="s">
        <v>7094</v>
      </c>
    </row>
    <row r="228" spans="1:5" s="2596" customFormat="1" ht="15">
      <c r="A228" s="2596" t="str">
        <f>'Name translation'!A228</f>
        <v>Oranges</v>
      </c>
      <c r="B228" s="3584" t="s">
        <v>4784</v>
      </c>
      <c r="C228" s="3587" t="s">
        <v>5031</v>
      </c>
      <c r="D228" s="2596" t="s">
        <v>6283</v>
      </c>
      <c r="E228" s="2596" t="s">
        <v>7095</v>
      </c>
    </row>
    <row r="229" spans="1:5" s="2596" customFormat="1" ht="15">
      <c r="A229" s="2596" t="str">
        <f>'Name translation'!A229</f>
        <v>Peaches and nectarines</v>
      </c>
      <c r="B229" s="3584" t="s">
        <v>4772</v>
      </c>
      <c r="C229" s="3587" t="s">
        <v>5032</v>
      </c>
      <c r="D229" s="2596" t="s">
        <v>6284</v>
      </c>
      <c r="E229" s="2596" t="s">
        <v>7096</v>
      </c>
    </row>
    <row r="230" spans="1:5" s="2596" customFormat="1" ht="15">
      <c r="A230" s="2596" t="str">
        <f>'Name translation'!A230</f>
        <v>Peas, dry</v>
      </c>
      <c r="B230" s="3584" t="s">
        <v>4787</v>
      </c>
      <c r="C230" s="3587" t="s">
        <v>5033</v>
      </c>
      <c r="D230" s="2596" t="s">
        <v>6255</v>
      </c>
      <c r="E230" s="2596" t="s">
        <v>7097</v>
      </c>
    </row>
    <row r="231" spans="1:5" s="2596" customFormat="1" ht="15">
      <c r="A231" s="2596" t="str">
        <f>'Name translation'!A231</f>
        <v>Peas, green</v>
      </c>
      <c r="B231" s="3584" t="s">
        <v>4786</v>
      </c>
      <c r="C231" s="3587" t="s">
        <v>5034</v>
      </c>
      <c r="D231" s="2596" t="s">
        <v>6256</v>
      </c>
      <c r="E231" s="2596" t="s">
        <v>7098</v>
      </c>
    </row>
    <row r="232" spans="1:5" s="2596" customFormat="1" ht="15">
      <c r="A232" s="2596" t="str">
        <f>'Name translation'!A232</f>
        <v>Pineapples</v>
      </c>
      <c r="B232" s="3584" t="s">
        <v>4773</v>
      </c>
      <c r="C232" s="3587" t="s">
        <v>2326</v>
      </c>
      <c r="D232" s="2596" t="s">
        <v>6285</v>
      </c>
      <c r="E232" s="2596" t="s">
        <v>7099</v>
      </c>
    </row>
    <row r="233" spans="1:5" s="2596" customFormat="1" ht="15">
      <c r="A233" s="2596" t="str">
        <f>'Name translation'!A233</f>
        <v>Plantains</v>
      </c>
      <c r="B233" s="3584" t="s">
        <v>4785</v>
      </c>
      <c r="C233" s="3587" t="s">
        <v>5035</v>
      </c>
      <c r="D233" s="2596" t="s">
        <v>6286</v>
      </c>
      <c r="E233" s="2596" t="s">
        <v>7100</v>
      </c>
    </row>
    <row r="234" spans="1:5" s="2596" customFormat="1" ht="15">
      <c r="A234" s="2596" t="str">
        <f>'Name translation'!A234</f>
        <v>Potatoes</v>
      </c>
      <c r="B234" s="3584" t="s">
        <v>4788</v>
      </c>
      <c r="C234" s="3587" t="s">
        <v>5036</v>
      </c>
      <c r="D234" s="2596" t="s">
        <v>6287</v>
      </c>
      <c r="E234" s="2596" t="s">
        <v>7101</v>
      </c>
    </row>
    <row r="235" spans="1:5" s="2596" customFormat="1" ht="15">
      <c r="A235" s="2596" t="str">
        <f>'Name translation'!A235</f>
        <v>Pulses, nes</v>
      </c>
      <c r="B235" s="3584" t="s">
        <v>4789</v>
      </c>
      <c r="C235" s="3587" t="s">
        <v>5021</v>
      </c>
      <c r="D235" s="2596" t="s">
        <v>6288</v>
      </c>
      <c r="E235" s="2596" t="s">
        <v>7102</v>
      </c>
    </row>
    <row r="236" spans="1:5" s="2596" customFormat="1" ht="15">
      <c r="A236" s="2596" t="str">
        <f>'Name translation'!A236</f>
        <v>Quinoa</v>
      </c>
      <c r="B236" s="3584" t="s">
        <v>1385</v>
      </c>
      <c r="C236" s="3587" t="s">
        <v>5037</v>
      </c>
      <c r="D236" s="2596" t="s">
        <v>1385</v>
      </c>
      <c r="E236" s="2596" t="s">
        <v>7103</v>
      </c>
    </row>
    <row r="237" spans="1:5" s="2596" customFormat="1" ht="15">
      <c r="A237" s="2596" t="str">
        <f>'Name translation'!A237</f>
        <v>Rice, paddy</v>
      </c>
      <c r="B237" s="3584" t="s">
        <v>1370</v>
      </c>
      <c r="C237" s="3587" t="s">
        <v>5038</v>
      </c>
      <c r="D237" s="2596" t="s">
        <v>6289</v>
      </c>
      <c r="E237" s="2596" t="s">
        <v>7104</v>
      </c>
    </row>
    <row r="238" spans="1:5" s="2596" customFormat="1" ht="15">
      <c r="A238" s="2596" t="str">
        <f>'Name translation'!A238</f>
        <v>Roots and Tubers, nes</v>
      </c>
      <c r="B238" s="3584" t="s">
        <v>4790</v>
      </c>
      <c r="C238" s="3587" t="s">
        <v>5039</v>
      </c>
      <c r="D238" s="2596" t="s">
        <v>6290</v>
      </c>
      <c r="E238" s="2596" t="s">
        <v>7105</v>
      </c>
    </row>
    <row r="239" spans="1:5" s="2596" customFormat="1" ht="15">
      <c r="A239" s="2596" t="str">
        <f>'Name translation'!A239</f>
        <v>Rye</v>
      </c>
      <c r="B239" s="3584" t="s">
        <v>4791</v>
      </c>
      <c r="C239" s="3587" t="s">
        <v>5040</v>
      </c>
      <c r="D239" s="2596" t="s">
        <v>6291</v>
      </c>
      <c r="E239" s="2596" t="s">
        <v>7106</v>
      </c>
    </row>
    <row r="240" spans="1:5" s="2596" customFormat="1" ht="15">
      <c r="A240" s="2596" t="str">
        <f>'Name translation'!A240</f>
        <v>Seed cotton</v>
      </c>
      <c r="B240" s="3584" t="s">
        <v>4793</v>
      </c>
      <c r="C240" s="3587" t="s">
        <v>5041</v>
      </c>
      <c r="D240" s="2596" t="s">
        <v>6292</v>
      </c>
      <c r="E240" s="2596" t="s">
        <v>7107</v>
      </c>
    </row>
    <row r="241" spans="1:5" s="2596" customFormat="1" ht="15">
      <c r="A241" s="2596" t="str">
        <f>'Name translation'!A241</f>
        <v>Sesame seed</v>
      </c>
      <c r="B241" s="3584" t="s">
        <v>4794</v>
      </c>
      <c r="C241" s="3585" t="s">
        <v>5042</v>
      </c>
      <c r="D241" s="2596" t="s">
        <v>6293</v>
      </c>
      <c r="E241" s="2596" t="s">
        <v>7108</v>
      </c>
    </row>
    <row r="242" spans="1:5" s="2596" customFormat="1" ht="15">
      <c r="A242" s="2596" t="str">
        <f>'Name translation'!A242</f>
        <v>Sisal</v>
      </c>
      <c r="B242" s="3584" t="s">
        <v>1372</v>
      </c>
      <c r="C242" s="3585" t="s">
        <v>1372</v>
      </c>
      <c r="D242" s="2596" t="s">
        <v>1372</v>
      </c>
      <c r="E242" s="2596" t="s">
        <v>7109</v>
      </c>
    </row>
    <row r="243" spans="1:5" s="2596" customFormat="1" ht="15">
      <c r="A243" s="2596" t="str">
        <f>'Name translation'!A243</f>
        <v>Sorghum</v>
      </c>
      <c r="B243" s="3584" t="s">
        <v>4472</v>
      </c>
      <c r="C243" s="3585" t="s">
        <v>5043</v>
      </c>
      <c r="D243" s="2596" t="s">
        <v>5043</v>
      </c>
      <c r="E243" s="2596" t="s">
        <v>7110</v>
      </c>
    </row>
    <row r="244" spans="1:5" s="2596" customFormat="1" ht="15">
      <c r="A244" s="2596" t="str">
        <f>'Name translation'!A244</f>
        <v>Soybeans</v>
      </c>
      <c r="B244" s="3584" t="s">
        <v>2336</v>
      </c>
      <c r="C244" s="3585" t="s">
        <v>5044</v>
      </c>
      <c r="D244" s="2596" t="s">
        <v>6294</v>
      </c>
      <c r="E244" s="2596" t="s">
        <v>7111</v>
      </c>
    </row>
    <row r="245" spans="1:5" s="2596" customFormat="1" ht="15">
      <c r="A245" s="2596" t="str">
        <f>'Name translation'!A245</f>
        <v>Strawberries</v>
      </c>
      <c r="B245" s="3584" t="s">
        <v>4795</v>
      </c>
      <c r="C245" s="3585" t="s">
        <v>5045</v>
      </c>
      <c r="D245" s="2596" t="s">
        <v>6295</v>
      </c>
      <c r="E245" s="2596" t="s">
        <v>7112</v>
      </c>
    </row>
    <row r="246" spans="1:5" s="2596" customFormat="1" ht="15">
      <c r="A246" s="2596" t="str">
        <f>'Name translation'!A246</f>
        <v>Sugar beet</v>
      </c>
      <c r="B246" s="3584" t="s">
        <v>4796</v>
      </c>
      <c r="C246" s="3585" t="s">
        <v>5046</v>
      </c>
      <c r="D246" s="2596" t="s">
        <v>6296</v>
      </c>
      <c r="E246" s="2596" t="s">
        <v>7113</v>
      </c>
    </row>
    <row r="247" spans="1:5" s="2596" customFormat="1" ht="15">
      <c r="A247" s="2596" t="str">
        <f>'Name translation'!A247</f>
        <v>Sugar cane</v>
      </c>
      <c r="B247" s="3584" t="s">
        <v>4797</v>
      </c>
      <c r="C247" s="3585" t="s">
        <v>5047</v>
      </c>
      <c r="D247" s="2596" t="s">
        <v>6297</v>
      </c>
      <c r="E247" s="2596" t="s">
        <v>7114</v>
      </c>
    </row>
    <row r="248" spans="1:5" s="2596" customFormat="1" ht="15">
      <c r="A248" s="2596" t="str">
        <f>'Name translation'!A248</f>
        <v>Sunflower seed</v>
      </c>
      <c r="B248" s="3584" t="s">
        <v>4798</v>
      </c>
      <c r="C248" s="3585" t="s">
        <v>5048</v>
      </c>
      <c r="D248" s="2596" t="s">
        <v>6298</v>
      </c>
      <c r="E248" s="2596" t="s">
        <v>7115</v>
      </c>
    </row>
    <row r="249" spans="1:5" s="2596" customFormat="1" ht="15">
      <c r="A249" s="2596" t="str">
        <f>'Name translation'!A249</f>
        <v>Sweet potatoes</v>
      </c>
      <c r="B249" s="3584" t="s">
        <v>4799</v>
      </c>
      <c r="C249" s="3585" t="s">
        <v>5049</v>
      </c>
      <c r="D249" s="2596" t="s">
        <v>6299</v>
      </c>
      <c r="E249" s="2596" t="s">
        <v>7116</v>
      </c>
    </row>
    <row r="250" spans="1:5" s="2596" customFormat="1" ht="15">
      <c r="A250" s="2596" t="str">
        <f>'Name translation'!A250</f>
        <v>Tangerines, mandarins, clem.</v>
      </c>
      <c r="B250" s="3584" t="s">
        <v>4800</v>
      </c>
      <c r="C250" s="3587" t="s">
        <v>5050</v>
      </c>
      <c r="D250" s="2596" t="s">
        <v>6300</v>
      </c>
      <c r="E250" s="2596" t="s">
        <v>7117</v>
      </c>
    </row>
    <row r="251" spans="1:5" s="2596" customFormat="1" ht="15">
      <c r="A251" s="2596" t="str">
        <f>'Name translation'!A251</f>
        <v>Tea</v>
      </c>
      <c r="B251" s="3584" t="s">
        <v>4801</v>
      </c>
      <c r="C251" s="3585" t="s">
        <v>5051</v>
      </c>
      <c r="D251" s="2596" t="s">
        <v>6301</v>
      </c>
      <c r="E251" s="2596" t="s">
        <v>7118</v>
      </c>
    </row>
    <row r="252" spans="1:5" s="2596" customFormat="1" ht="15">
      <c r="A252" s="2596" t="str">
        <f>'Name translation'!A252</f>
        <v>Tobacco, unmanufactured</v>
      </c>
      <c r="B252" s="3584" t="s">
        <v>4792</v>
      </c>
      <c r="C252" s="3585" t="s">
        <v>5052</v>
      </c>
      <c r="D252" s="2596" t="s">
        <v>6302</v>
      </c>
      <c r="E252" s="2596" t="s">
        <v>7119</v>
      </c>
    </row>
    <row r="253" spans="1:5" s="2596" customFormat="1" ht="15">
      <c r="A253" s="2596" t="str">
        <f>'Name translation'!A253</f>
        <v>Tomatoes</v>
      </c>
      <c r="B253" s="3584" t="s">
        <v>2339</v>
      </c>
      <c r="C253" s="3585" t="s">
        <v>5053</v>
      </c>
      <c r="D253" s="2596" t="s">
        <v>6303</v>
      </c>
      <c r="E253" s="2596" t="s">
        <v>7120</v>
      </c>
    </row>
    <row r="254" spans="1:5" s="2596" customFormat="1" ht="15">
      <c r="A254" s="2596" t="str">
        <f>'Name translation'!A254</f>
        <v>Triticale</v>
      </c>
      <c r="B254" s="3584" t="s">
        <v>1335</v>
      </c>
      <c r="C254" s="3587" t="s">
        <v>1335</v>
      </c>
      <c r="D254" s="2596" t="s">
        <v>1335</v>
      </c>
      <c r="E254" s="2596" t="s">
        <v>7106</v>
      </c>
    </row>
    <row r="255" spans="1:5" s="2596" customFormat="1" ht="15">
      <c r="A255" s="2596" t="str">
        <f>'Name translation'!A255</f>
        <v>Vegetables fresh nes</v>
      </c>
      <c r="B255" s="3584" t="s">
        <v>4802</v>
      </c>
      <c r="C255" s="3585" t="s">
        <v>5054</v>
      </c>
      <c r="D255" s="2596" t="s">
        <v>6304</v>
      </c>
      <c r="E255" s="2596" t="s">
        <v>7121</v>
      </c>
    </row>
    <row r="256" spans="1:5" s="2596" customFormat="1" ht="15">
      <c r="A256" s="2596" t="str">
        <f>'Name translation'!A256</f>
        <v>Vetches</v>
      </c>
      <c r="B256" s="3584" t="s">
        <v>4803</v>
      </c>
      <c r="C256" s="3587" t="s">
        <v>5055</v>
      </c>
      <c r="D256" s="2596" t="s">
        <v>6305</v>
      </c>
      <c r="E256" s="2596" t="s">
        <v>7122</v>
      </c>
    </row>
    <row r="257" spans="1:5" s="2596" customFormat="1" ht="15">
      <c r="A257" s="2596" t="str">
        <f>'Name translation'!A257</f>
        <v>Wheat</v>
      </c>
      <c r="B257" s="3584" t="s">
        <v>4482</v>
      </c>
      <c r="C257" s="3585" t="s">
        <v>5056</v>
      </c>
      <c r="D257" s="2596" t="s">
        <v>6306</v>
      </c>
      <c r="E257" s="2596" t="s">
        <v>7123</v>
      </c>
    </row>
    <row r="258" spans="1:5" s="2596" customFormat="1">
      <c r="A258" s="2596" t="str">
        <f>'Name translation'!A258</f>
        <v>Nutrient-rich</v>
      </c>
      <c r="B258" s="3584" t="s">
        <v>6384</v>
      </c>
      <c r="C258" s="3591" t="str">
        <f>A258</f>
        <v>Nutrient-rich</v>
      </c>
      <c r="D258" s="3591" t="str">
        <f>A258</f>
        <v>Nutrient-rich</v>
      </c>
      <c r="E258" s="3613" t="s">
        <v>8816</v>
      </c>
    </row>
    <row r="259" spans="1:5" s="2596" customFormat="1">
      <c r="A259" s="2596" t="str">
        <f>'Name translation'!A259</f>
        <v>Nutrient-poor</v>
      </c>
      <c r="B259" s="3584" t="s">
        <v>6385</v>
      </c>
      <c r="C259" s="3591" t="str">
        <f t="shared" ref="C259:C275" si="0">A259</f>
        <v>Nutrient-poor</v>
      </c>
      <c r="D259" s="3591" t="str">
        <f t="shared" ref="D259:D275" si="1">A259</f>
        <v>Nutrient-poor</v>
      </c>
      <c r="E259" s="3613" t="s">
        <v>8817</v>
      </c>
    </row>
    <row r="260" spans="1:5" s="2596" customFormat="1">
      <c r="A260" s="2596" t="str">
        <f>'Name translation'!A260</f>
        <v>Crustaceans</v>
      </c>
      <c r="B260" s="2596" t="s">
        <v>6387</v>
      </c>
      <c r="C260" s="3591" t="str">
        <f t="shared" si="0"/>
        <v>Crustaceans</v>
      </c>
      <c r="D260" s="3591" t="str">
        <f t="shared" si="1"/>
        <v>Crustaceans</v>
      </c>
      <c r="E260" s="3613" t="s">
        <v>8818</v>
      </c>
    </row>
    <row r="261" spans="1:5" s="2596" customFormat="1">
      <c r="A261" s="2596" t="str">
        <f>'Name translation'!A261</f>
        <v>Finfish</v>
      </c>
      <c r="B261" s="2596" t="s">
        <v>6388</v>
      </c>
      <c r="C261" s="3591" t="str">
        <f t="shared" si="0"/>
        <v>Finfish</v>
      </c>
      <c r="D261" s="3591" t="str">
        <f t="shared" si="1"/>
        <v>Finfish</v>
      </c>
      <c r="E261" s="3613" t="s">
        <v>8819</v>
      </c>
    </row>
    <row r="262" spans="1:5" s="2596" customFormat="1">
      <c r="A262" s="2596" t="str">
        <f>'Name translation'!A262</f>
        <v>Flatfish</v>
      </c>
      <c r="B262" s="2596" t="s">
        <v>6393</v>
      </c>
      <c r="C262" s="3591" t="str">
        <f t="shared" si="0"/>
        <v>Flatfish</v>
      </c>
      <c r="D262" s="3591" t="str">
        <f t="shared" si="1"/>
        <v>Flatfish</v>
      </c>
      <c r="E262" s="3613" t="s">
        <v>8820</v>
      </c>
    </row>
    <row r="263" spans="1:5" s="2596" customFormat="1">
      <c r="A263" s="2596" t="str">
        <f>'Name translation'!A263</f>
        <v>Large pelagics</v>
      </c>
      <c r="B263" s="2596" t="s">
        <v>6389</v>
      </c>
      <c r="C263" s="3591" t="str">
        <f t="shared" si="0"/>
        <v>Large pelagics</v>
      </c>
      <c r="D263" s="3591" t="str">
        <f t="shared" si="1"/>
        <v>Large pelagics</v>
      </c>
      <c r="E263" s="3613" t="s">
        <v>8821</v>
      </c>
    </row>
    <row r="264" spans="1:5" s="2596" customFormat="1">
      <c r="A264" s="2596" t="str">
        <f>'Name translation'!A264</f>
        <v>Molluscs</v>
      </c>
      <c r="B264" s="2596" t="s">
        <v>6390</v>
      </c>
      <c r="C264" s="3591" t="str">
        <f t="shared" si="0"/>
        <v>Molluscs</v>
      </c>
      <c r="D264" s="3591" t="str">
        <f t="shared" si="1"/>
        <v>Molluscs</v>
      </c>
      <c r="E264" s="3613" t="s">
        <v>8822</v>
      </c>
    </row>
    <row r="265" spans="1:5" s="2596" customFormat="1">
      <c r="A265" s="2596" t="str">
        <f>'Name translation'!A265</f>
        <v>Salmonids</v>
      </c>
      <c r="B265" s="2596" t="s">
        <v>6391</v>
      </c>
      <c r="C265" s="3591" t="str">
        <f t="shared" si="0"/>
        <v>Salmonids</v>
      </c>
      <c r="D265" s="3591" t="str">
        <f t="shared" si="1"/>
        <v>Salmonids</v>
      </c>
      <c r="E265" s="3613" t="s">
        <v>8823</v>
      </c>
    </row>
    <row r="266" spans="1:5" s="2596" customFormat="1">
      <c r="A266" s="2596" t="str">
        <f>'Name translation'!A266</f>
        <v>Small pelagics</v>
      </c>
      <c r="B266" s="2596" t="s">
        <v>6392</v>
      </c>
      <c r="C266" s="3591" t="str">
        <f t="shared" si="0"/>
        <v>Small pelagics</v>
      </c>
      <c r="D266" s="3591" t="str">
        <f t="shared" si="1"/>
        <v>Small pelagics</v>
      </c>
      <c r="E266" s="3613" t="s">
        <v>8824</v>
      </c>
    </row>
    <row r="267" spans="1:5" s="2596" customFormat="1">
      <c r="A267" s="2596" t="str">
        <f>'Name translation'!A267</f>
        <v>Not Specified</v>
      </c>
      <c r="B267" s="2596" t="s">
        <v>6386</v>
      </c>
      <c r="C267" s="3591" t="str">
        <f t="shared" si="0"/>
        <v>Not Specified</v>
      </c>
      <c r="D267" s="3591" t="str">
        <f t="shared" si="1"/>
        <v>Not Specified</v>
      </c>
      <c r="E267" s="3613" t="s">
        <v>8806</v>
      </c>
    </row>
    <row r="268" spans="1:5" s="2596" customFormat="1">
      <c r="A268" s="2596" t="str">
        <f>'Name translation'!A268</f>
        <v>Please select</v>
      </c>
      <c r="B268" s="3584" t="s">
        <v>7157</v>
      </c>
      <c r="C268" s="3591" t="str">
        <f t="shared" si="0"/>
        <v>Please select</v>
      </c>
      <c r="D268" s="3591" t="str">
        <f t="shared" si="1"/>
        <v>Please select</v>
      </c>
      <c r="E268" s="3613" t="s">
        <v>8825</v>
      </c>
    </row>
    <row r="269" spans="1:5" s="2596" customFormat="1">
      <c r="A269" s="2596" t="str">
        <f>'Name translation'!A269</f>
        <v>Bottom trawls</v>
      </c>
      <c r="B269" s="2579" t="s">
        <v>8751</v>
      </c>
      <c r="C269" s="3591" t="str">
        <f t="shared" si="0"/>
        <v>Bottom trawls</v>
      </c>
      <c r="D269" s="3591" t="str">
        <f t="shared" si="1"/>
        <v>Bottom trawls</v>
      </c>
      <c r="E269" s="3613" t="s">
        <v>8826</v>
      </c>
    </row>
    <row r="270" spans="1:5" s="2596" customFormat="1">
      <c r="A270" s="2596" t="str">
        <f>'Name translation'!A270</f>
        <v>Gillnets</v>
      </c>
      <c r="B270" t="s">
        <v>8748</v>
      </c>
      <c r="C270" s="3591" t="str">
        <f t="shared" si="0"/>
        <v>Gillnets</v>
      </c>
      <c r="D270" s="3591" t="str">
        <f t="shared" si="1"/>
        <v>Gillnets</v>
      </c>
      <c r="E270" s="3613" t="s">
        <v>8827</v>
      </c>
    </row>
    <row r="271" spans="1:5" s="2596" customFormat="1">
      <c r="A271" s="2596" t="str">
        <f>'Name translation'!A271</f>
        <v>Hooks and lines</v>
      </c>
      <c r="B271" t="s">
        <v>8749</v>
      </c>
      <c r="C271" s="3591" t="str">
        <f t="shared" si="0"/>
        <v>Hooks and lines</v>
      </c>
      <c r="D271" s="3591" t="str">
        <f t="shared" si="1"/>
        <v>Hooks and lines</v>
      </c>
      <c r="E271" s="3613" t="s">
        <v>8828</v>
      </c>
    </row>
    <row r="272" spans="1:5" s="2596" customFormat="1">
      <c r="A272" s="2596" t="str">
        <f>'Name translation'!A272</f>
        <v>Pelagic trawls</v>
      </c>
      <c r="B272" t="s">
        <v>8750</v>
      </c>
      <c r="C272" s="3591" t="str">
        <f t="shared" si="0"/>
        <v>Pelagic trawls</v>
      </c>
      <c r="D272" s="3591" t="str">
        <f t="shared" si="1"/>
        <v>Pelagic trawls</v>
      </c>
      <c r="E272" s="3613" t="s">
        <v>8829</v>
      </c>
    </row>
    <row r="273" spans="1:5" s="2596" customFormat="1">
      <c r="A273" s="2596" t="str">
        <f>'Name translation'!A273</f>
        <v>Pots and traps</v>
      </c>
      <c r="B273" s="2579" t="s">
        <v>8752</v>
      </c>
      <c r="C273" s="3591" t="str">
        <f t="shared" si="0"/>
        <v>Pots and traps</v>
      </c>
      <c r="D273" s="3591" t="str">
        <f t="shared" si="1"/>
        <v>Pots and traps</v>
      </c>
      <c r="E273" s="3613" t="s">
        <v>8830</v>
      </c>
    </row>
    <row r="274" spans="1:5" s="2596" customFormat="1">
      <c r="A274" s="2596" t="str">
        <f>'Name translation'!A274</f>
        <v>Surrounding nets</v>
      </c>
      <c r="B274" s="2579" t="s">
        <v>8753</v>
      </c>
      <c r="C274" s="3591" t="str">
        <f t="shared" si="0"/>
        <v>Surrounding nets</v>
      </c>
      <c r="D274" s="3591" t="str">
        <f t="shared" si="1"/>
        <v>Surrounding nets</v>
      </c>
      <c r="E274" s="3613" t="s">
        <v>8831</v>
      </c>
    </row>
    <row r="275" spans="1:5" s="2596" customFormat="1">
      <c r="A275" s="2596" t="str">
        <f>'Name translation'!A275</f>
        <v>Dredges</v>
      </c>
      <c r="B275" s="2579" t="s">
        <v>7587</v>
      </c>
      <c r="C275" s="3591" t="str">
        <f t="shared" si="0"/>
        <v>Dredges</v>
      </c>
      <c r="D275" s="3591" t="str">
        <f t="shared" si="1"/>
        <v>Dredges</v>
      </c>
      <c r="E275" s="3613" t="s">
        <v>8832</v>
      </c>
    </row>
    <row r="276" spans="1:5" s="2596" customFormat="1">
      <c r="A276" s="3590">
        <f>'Name translation'!A276</f>
        <v>0</v>
      </c>
      <c r="B276" s="3584"/>
    </row>
    <row r="277" spans="1:5" s="2596" customFormat="1">
      <c r="A277" s="3590">
        <f>'Name translation'!A277</f>
        <v>0</v>
      </c>
      <c r="B277" s="3584"/>
    </row>
    <row r="278" spans="1:5" s="2596" customFormat="1">
      <c r="A278" s="3590">
        <f>'Name translation'!A278</f>
        <v>0</v>
      </c>
      <c r="B278" s="3584"/>
    </row>
    <row r="279" spans="1:5" s="2596" customFormat="1">
      <c r="A279" s="3590">
        <f>'Name translation'!A279</f>
        <v>0</v>
      </c>
      <c r="B279" s="3584"/>
    </row>
    <row r="280" spans="1:5" s="2596" customFormat="1">
      <c r="A280" s="3590">
        <f>'Name translation'!A280</f>
        <v>0</v>
      </c>
      <c r="B280" s="358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pageSetUpPr fitToPage="1"/>
  </sheetPr>
  <dimension ref="A1:AO58"/>
  <sheetViews>
    <sheetView zoomScale="80" zoomScaleNormal="80" workbookViewId="0">
      <pane ySplit="5" topLeftCell="A6" activePane="bottomLeft" state="frozen"/>
      <selection pane="bottomLeft" activeCell="A21" sqref="A21"/>
    </sheetView>
  </sheetViews>
  <sheetFormatPr defaultColWidth="11.42578125" defaultRowHeight="12.75"/>
  <cols>
    <col min="1" max="1" width="13.7109375" style="1" customWidth="1"/>
    <col min="2" max="2" width="11.140625" style="1" customWidth="1"/>
    <col min="3" max="3" width="12.7109375" style="1" customWidth="1"/>
    <col min="4" max="4" width="13.7109375" style="1" customWidth="1"/>
    <col min="5" max="5" width="15.85546875" style="1" customWidth="1"/>
    <col min="6" max="6" width="10.7109375" style="1" customWidth="1"/>
    <col min="7" max="7" width="8.42578125" style="1" customWidth="1"/>
    <col min="8" max="8" width="10.5703125" style="1" customWidth="1"/>
    <col min="9" max="9" width="12.140625" style="9" customWidth="1"/>
    <col min="10" max="10" width="11.42578125" style="9"/>
    <col min="11" max="11" width="8.140625" style="1" customWidth="1"/>
    <col min="12" max="12" width="11" style="1" customWidth="1"/>
    <col min="13" max="13" width="10.42578125" style="1" customWidth="1"/>
    <col min="14" max="14" width="8.7109375" style="1" customWidth="1"/>
    <col min="15" max="15" width="9.42578125" style="9" customWidth="1"/>
    <col min="16" max="16" width="9" style="1" customWidth="1"/>
    <col min="17" max="17" width="9.85546875" style="9" customWidth="1"/>
    <col min="18" max="19" width="11.42578125" style="9"/>
    <col min="20" max="20" width="7.28515625" style="1" customWidth="1"/>
    <col min="21" max="21" width="11.140625" style="1" customWidth="1"/>
    <col min="22" max="22" width="11.140625" style="1067" customWidth="1"/>
    <col min="23" max="24" width="2.85546875" style="1067" customWidth="1"/>
    <col min="25" max="26" width="2.85546875" style="1066" customWidth="1"/>
    <col min="27" max="30" width="9.140625" style="1901" customWidth="1"/>
    <col min="31" max="32" width="11.42578125" style="1901"/>
    <col min="33" max="38" width="11.42578125" style="1066"/>
    <col min="39" max="40" width="11.42578125" style="210"/>
    <col min="41" max="41" width="11.42578125" style="1497"/>
    <col min="42" max="16384" width="11.42578125" style="1"/>
  </cols>
  <sheetData>
    <row r="1" spans="1:41" s="1636" customFormat="1" ht="22.9" customHeight="1">
      <c r="I1" s="1637"/>
      <c r="J1" s="1637"/>
      <c r="O1" s="1637"/>
      <c r="Q1" s="1637"/>
      <c r="R1" s="1637"/>
      <c r="S1" s="1637"/>
      <c r="V1" s="1697"/>
      <c r="W1" s="1697"/>
      <c r="X1" s="1697"/>
      <c r="Y1" s="1675"/>
      <c r="Z1" s="1675"/>
      <c r="AA1" s="1874"/>
      <c r="AB1" s="1874"/>
      <c r="AC1" s="1874"/>
      <c r="AD1" s="1874"/>
      <c r="AE1" s="1874"/>
      <c r="AF1" s="1874"/>
      <c r="AG1" s="1675"/>
      <c r="AH1" s="1675"/>
      <c r="AI1" s="1675"/>
      <c r="AJ1" s="1675"/>
      <c r="AK1" s="1675"/>
      <c r="AL1" s="1675"/>
      <c r="AM1" s="1674"/>
      <c r="AN1" s="1674"/>
      <c r="AO1" s="1698"/>
    </row>
    <row r="2" spans="1:41" s="1636" customFormat="1" ht="22.9" customHeight="1">
      <c r="I2" s="1637"/>
      <c r="J2" s="1637"/>
      <c r="O2" s="1637"/>
      <c r="Q2" s="1637"/>
      <c r="R2" s="1637"/>
      <c r="S2" s="1637"/>
      <c r="V2" s="1697"/>
      <c r="W2" s="1697"/>
      <c r="X2" s="1697"/>
      <c r="Y2" s="1675"/>
      <c r="Z2" s="1675"/>
      <c r="AA2" s="1874"/>
      <c r="AB2" s="1874"/>
      <c r="AC2" s="1874"/>
      <c r="AD2" s="1874"/>
      <c r="AE2" s="1874"/>
      <c r="AF2" s="1874"/>
      <c r="AG2" s="1675"/>
      <c r="AH2" s="1675"/>
      <c r="AI2" s="1675"/>
      <c r="AJ2" s="1675"/>
      <c r="AK2" s="1675"/>
      <c r="AL2" s="1675"/>
      <c r="AM2" s="1674"/>
      <c r="AN2" s="1674"/>
      <c r="AO2" s="1698"/>
    </row>
    <row r="3" spans="1:41" s="1636" customFormat="1" ht="22.9" customHeight="1">
      <c r="I3" s="1637"/>
      <c r="J3" s="1637"/>
      <c r="O3" s="1637"/>
      <c r="Q3" s="1637"/>
      <c r="R3" s="1637"/>
      <c r="S3" s="1637"/>
      <c r="V3" s="1697"/>
      <c r="W3" s="1697"/>
      <c r="X3" s="1697"/>
      <c r="Y3" s="1675"/>
      <c r="Z3" s="1675"/>
      <c r="AA3" s="1874"/>
      <c r="AB3" s="1874"/>
      <c r="AC3" s="1874"/>
      <c r="AD3" s="1874"/>
      <c r="AE3" s="1874"/>
      <c r="AF3" s="1874"/>
      <c r="AG3" s="1675"/>
      <c r="AH3" s="1675"/>
      <c r="AI3" s="1675"/>
      <c r="AJ3" s="1675"/>
      <c r="AK3" s="1675"/>
      <c r="AL3" s="1675"/>
      <c r="AM3" s="1674"/>
      <c r="AN3" s="1674"/>
      <c r="AO3" s="1698"/>
    </row>
    <row r="4" spans="1:41" s="1636" customFormat="1" ht="22.9" customHeight="1">
      <c r="I4" s="1637"/>
      <c r="J4" s="1637"/>
      <c r="O4" s="1637"/>
      <c r="Q4" s="1637"/>
      <c r="R4" s="1637"/>
      <c r="S4" s="1637"/>
      <c r="V4" s="1697"/>
      <c r="W4" s="1697"/>
      <c r="X4" s="1697"/>
      <c r="Y4" s="1675"/>
      <c r="Z4" s="1675"/>
      <c r="AA4" s="1874"/>
      <c r="AB4" s="1874"/>
      <c r="AC4" s="1874"/>
      <c r="AD4" s="1874"/>
      <c r="AE4" s="1874"/>
      <c r="AF4" s="1874"/>
      <c r="AG4" s="1675"/>
      <c r="AH4" s="1675"/>
      <c r="AI4" s="1675"/>
      <c r="AJ4" s="1675"/>
      <c r="AK4" s="1675"/>
      <c r="AL4" s="1675"/>
      <c r="AM4" s="1674"/>
      <c r="AN4" s="1674"/>
      <c r="AO4" s="1698"/>
    </row>
    <row r="5" spans="1:41" s="1636" customFormat="1" ht="22.9" customHeight="1">
      <c r="A5" s="1683" t="s">
        <v>469</v>
      </c>
      <c r="E5" s="1699" t="s">
        <v>470</v>
      </c>
      <c r="V5" s="1675"/>
      <c r="W5" s="1675"/>
      <c r="X5" s="1675"/>
      <c r="Y5" s="1675"/>
      <c r="Z5" s="1675"/>
      <c r="AA5" s="1874"/>
      <c r="AB5" s="1874"/>
      <c r="AC5" s="1874"/>
      <c r="AD5" s="1874"/>
      <c r="AE5" s="1874"/>
      <c r="AF5" s="1874"/>
      <c r="AG5" s="1675"/>
      <c r="AH5" s="1675"/>
      <c r="AI5" s="1675"/>
      <c r="AJ5" s="1675"/>
      <c r="AK5" s="1675"/>
      <c r="AL5" s="1675"/>
      <c r="AM5" s="1674"/>
      <c r="AN5" s="1674"/>
      <c r="AO5" s="1698"/>
    </row>
    <row r="6" spans="1:41">
      <c r="A6" s="15"/>
      <c r="B6" s="15"/>
      <c r="F6" s="25"/>
      <c r="I6" s="301" t="s">
        <v>517</v>
      </c>
      <c r="J6" s="309"/>
      <c r="K6" s="309"/>
      <c r="L6" s="309"/>
      <c r="M6" s="309"/>
      <c r="N6" s="309"/>
      <c r="O6" s="309"/>
      <c r="P6" s="309"/>
      <c r="Q6" s="309"/>
      <c r="R6" s="309"/>
      <c r="S6" s="310"/>
      <c r="V6" s="1066"/>
      <c r="W6" s="1066"/>
      <c r="X6" s="1066"/>
      <c r="AA6" s="1901" t="s">
        <v>31</v>
      </c>
      <c r="AC6" s="1902"/>
      <c r="AD6" s="1902"/>
    </row>
    <row r="7" spans="1:41">
      <c r="A7" s="15"/>
      <c r="B7" s="11" t="s">
        <v>547</v>
      </c>
      <c r="C7" s="135"/>
      <c r="D7" s="135"/>
      <c r="E7" s="135"/>
      <c r="F7" s="135"/>
      <c r="G7" s="28"/>
      <c r="I7" s="209" t="s">
        <v>1012</v>
      </c>
      <c r="J7" s="57"/>
      <c r="K7" s="216"/>
      <c r="L7" s="229"/>
      <c r="M7" s="230" t="s">
        <v>1005</v>
      </c>
      <c r="N7" s="216"/>
      <c r="O7" s="57"/>
      <c r="P7" s="229"/>
      <c r="Q7" s="133"/>
      <c r="R7" s="130"/>
      <c r="S7" s="131"/>
      <c r="T7" s="9"/>
      <c r="V7" s="1066"/>
      <c r="W7" s="1066"/>
      <c r="X7" s="1066"/>
      <c r="AA7" s="1901" t="s">
        <v>27</v>
      </c>
      <c r="AB7" s="1901" t="s">
        <v>28</v>
      </c>
      <c r="AC7" s="1902" t="s">
        <v>29</v>
      </c>
      <c r="AD7" s="1902" t="s">
        <v>30</v>
      </c>
    </row>
    <row r="8" spans="1:41">
      <c r="B8" s="162" t="s">
        <v>548</v>
      </c>
      <c r="C8" s="124"/>
      <c r="D8" s="124"/>
      <c r="E8" s="124"/>
      <c r="F8" s="124"/>
      <c r="G8" s="115"/>
      <c r="I8" s="348" t="s">
        <v>974</v>
      </c>
      <c r="J8" s="347"/>
      <c r="K8" s="347" t="s">
        <v>975</v>
      </c>
      <c r="L8" s="350"/>
      <c r="M8" s="350" t="s">
        <v>974</v>
      </c>
      <c r="N8" s="347"/>
      <c r="O8" s="347" t="s">
        <v>975</v>
      </c>
      <c r="P8" s="350"/>
      <c r="Q8" s="122" t="s">
        <v>976</v>
      </c>
      <c r="R8" s="123" t="s">
        <v>496</v>
      </c>
      <c r="S8" s="125" t="s">
        <v>497</v>
      </c>
      <c r="T8" s="9"/>
      <c r="V8" s="1066"/>
      <c r="W8" s="1066"/>
      <c r="X8" s="1066"/>
      <c r="AA8" s="2411">
        <f t="shared" ref="AA8:AA17" si="0">IF(G28="yes",E43*M28*methane/1000,0)</f>
        <v>0</v>
      </c>
      <c r="AB8" s="2411">
        <f t="shared" ref="AB8:AB17" si="1">IF(G28="yes",G43*M28*methane/1000,0)</f>
        <v>0</v>
      </c>
      <c r="AC8" s="2265">
        <f t="shared" ref="AC8:AC17" si="2">IF(G28="yes",E43*N28*Nitrous/1000,0)</f>
        <v>0</v>
      </c>
      <c r="AD8" s="2265">
        <f t="shared" ref="AD8:AD17" si="3">IF(G28="yes",G43*N28*Nitrous/1000,0)</f>
        <v>0</v>
      </c>
      <c r="AE8" s="1902"/>
    </row>
    <row r="9" spans="1:41">
      <c r="B9" s="114"/>
      <c r="C9" s="124"/>
      <c r="D9" s="137" t="s">
        <v>480</v>
      </c>
      <c r="E9" s="138"/>
      <c r="F9" s="177" t="s">
        <v>567</v>
      </c>
      <c r="G9" s="117"/>
      <c r="I9" s="122" t="s">
        <v>492</v>
      </c>
      <c r="J9" s="349" t="s">
        <v>493</v>
      </c>
      <c r="K9" s="123" t="s">
        <v>492</v>
      </c>
      <c r="L9" s="351" t="s">
        <v>493</v>
      </c>
      <c r="M9" s="122" t="s">
        <v>492</v>
      </c>
      <c r="N9" s="349" t="s">
        <v>493</v>
      </c>
      <c r="O9" s="123" t="s">
        <v>492</v>
      </c>
      <c r="P9" s="351" t="s">
        <v>493</v>
      </c>
      <c r="Q9" s="123" t="s">
        <v>493</v>
      </c>
      <c r="R9" s="123" t="s">
        <v>509</v>
      </c>
      <c r="S9" s="125" t="s">
        <v>509</v>
      </c>
      <c r="T9" s="9"/>
      <c r="V9" s="1066"/>
      <c r="W9" s="1066"/>
      <c r="X9" s="1066"/>
      <c r="AA9" s="2411">
        <f t="shared" si="0"/>
        <v>0</v>
      </c>
      <c r="AB9" s="2411">
        <f t="shared" si="1"/>
        <v>0</v>
      </c>
      <c r="AC9" s="2265">
        <f t="shared" si="2"/>
        <v>0</v>
      </c>
      <c r="AD9" s="2265">
        <f t="shared" si="3"/>
        <v>0</v>
      </c>
      <c r="AE9" s="1902"/>
    </row>
    <row r="10" spans="1:41" ht="12.75" customHeight="1">
      <c r="A10" s="1876"/>
      <c r="B10" s="3727" t="s">
        <v>1010</v>
      </c>
      <c r="C10" s="20" t="str">
        <f>List!A74</f>
        <v>Forest Zone 1</v>
      </c>
      <c r="D10" s="89" t="str">
        <f>HLOOKUP(climate,' IPCC'!$B$7:$G$11,2,FALSE)</f>
        <v>Please specify the climate</v>
      </c>
      <c r="E10" s="21"/>
      <c r="F10" s="21"/>
      <c r="G10" s="90"/>
      <c r="I10" s="416">
        <f>VLOOKUP(region,' IPCC'!$A$170:$G$182,1+MATCH(forest1,' IPCC'!$B$170:$G$170,),)</f>
        <v>0</v>
      </c>
      <c r="J10" s="2159">
        <f>IF('2.LUC'!E153="",0.47*I10,'2.LUC'!E153)</f>
        <v>0</v>
      </c>
      <c r="K10" s="420">
        <f>IF(I10&gt;0,I10*VLOOKUP(forest1,' IPCC'!$A$89:$F$103,IF(I10&lt;20,2,IF(I10&lt;50,3,IF(I10&lt;75,4,IF(I10&lt;125,5,6)))),),)</f>
        <v>0</v>
      </c>
      <c r="L10" s="2160">
        <f>IF('2.LUC'!G153="",K10*0.47,'2.LUC'!G153)</f>
        <v>0</v>
      </c>
      <c r="M10" s="415">
        <f>VLOOKUP(region,' IPCC'!$A$230:$G$242,1+MATCH(forest1,' IPCC'!$B$230:$G$230,),)</f>
        <v>0</v>
      </c>
      <c r="N10" s="2164">
        <f>IF('2.LUC'!I153="",M10*0.47,'2.LUC'!I153)</f>
        <v>0</v>
      </c>
      <c r="O10" s="420">
        <f>IF(M10&gt;0,M10*VLOOKUP(forest1,' IPCC'!$A$89:$F$103,IF(M10&lt;20,2,IF(M10&lt;50,3,IF(M10&lt;75,4,IF(M10&lt;125,5,6)))),),)</f>
        <v>0</v>
      </c>
      <c r="P10" s="2165">
        <f>IF('2.LUC'!K153="",O10*0.47,'2.LUC'!K153)</f>
        <v>0</v>
      </c>
      <c r="Q10" s="2166">
        <f>IF('2.LUC'!O153="",'2.LUC'!M153,'2.LUC'!O153)</f>
        <v>0</v>
      </c>
      <c r="R10" s="2166">
        <f>IF('2.LUC'!R153="",'2.LUC'!Q153,'2.LUC'!R153)</f>
        <v>0</v>
      </c>
      <c r="S10" s="2167">
        <f>IF('2.LUC'!T153="",'2.LUC'!S153,'2.LUC'!T153)</f>
        <v>0</v>
      </c>
      <c r="T10" s="9"/>
      <c r="V10" s="1066"/>
      <c r="W10" s="1066"/>
      <c r="X10" s="1066"/>
      <c r="AA10" s="2411">
        <f t="shared" si="0"/>
        <v>0</v>
      </c>
      <c r="AB10" s="2411">
        <f t="shared" si="1"/>
        <v>0</v>
      </c>
      <c r="AC10" s="2265">
        <f t="shared" si="2"/>
        <v>0</v>
      </c>
      <c r="AD10" s="2265">
        <f t="shared" si="3"/>
        <v>0</v>
      </c>
    </row>
    <row r="11" spans="1:41">
      <c r="A11" s="1876"/>
      <c r="B11" s="3728"/>
      <c r="C11" s="20" t="str">
        <f>List!A75</f>
        <v>Forest Zone 2</v>
      </c>
      <c r="D11" s="89" t="str">
        <f>HLOOKUP(climate,' IPCC'!$B$7:$G$11,3,FALSE)</f>
        <v>Please specify the climate</v>
      </c>
      <c r="E11" s="21"/>
      <c r="F11" s="21"/>
      <c r="G11" s="90"/>
      <c r="I11" s="416">
        <f>VLOOKUP(region,' IPCC'!$A$185:$G$197,1+MATCH(forest2,' IPCC'!$B$185:$G$185,),)</f>
        <v>0</v>
      </c>
      <c r="J11" s="2159">
        <f>IF('2.LUC'!E154="",0.47*I11,'2.LUC'!E154)</f>
        <v>0</v>
      </c>
      <c r="K11" s="420">
        <f>IF(I11&gt;0,I11*VLOOKUP(forest2,' IPCC'!$A$89:$F$103,IF(I11&lt;20,2,IF(I11&lt;50,3,IF(I11&lt;75,4,IF(I11&lt;125,5,6)))),),)</f>
        <v>0</v>
      </c>
      <c r="L11" s="2160">
        <f>IF('2.LUC'!G154="",K11*0.47,'2.LUC'!G154)</f>
        <v>0</v>
      </c>
      <c r="M11" s="416">
        <f>VLOOKUP(region,' IPCC'!$A$245:$G$257,1+MATCH(forest2,' IPCC'!$B$245:$G$245,),)</f>
        <v>0</v>
      </c>
      <c r="N11" s="2164">
        <f>IF('2.LUC'!I154="",M11*0.47,'2.LUC'!I154)</f>
        <v>0</v>
      </c>
      <c r="O11" s="420">
        <f>IF(M11&gt;0,M11*VLOOKUP(forest2,' IPCC'!$A$89:$F$103,IF(M11&lt;20,2,IF(M11&lt;50,3,IF(M11&lt;75,4,IF(M11&lt;125,5,6)))),),)</f>
        <v>0</v>
      </c>
      <c r="P11" s="2165">
        <f>IF('2.LUC'!K154="",O11*0.47,'2.LUC'!K154)</f>
        <v>0</v>
      </c>
      <c r="Q11" s="2166">
        <f>IF('2.LUC'!O154="",'2.LUC'!M154,'2.LUC'!O154)</f>
        <v>0</v>
      </c>
      <c r="R11" s="2166">
        <f>IF('2.LUC'!R154="",'2.LUC'!Q154,'2.LUC'!R154)</f>
        <v>0</v>
      </c>
      <c r="S11" s="2167">
        <f>IF('2.LUC'!T154="",'2.LUC'!S154,'2.LUC'!T154)</f>
        <v>0</v>
      </c>
      <c r="T11" s="9"/>
      <c r="V11" s="1066"/>
      <c r="W11" s="1066"/>
      <c r="X11" s="1066"/>
      <c r="AA11" s="2411">
        <f t="shared" si="0"/>
        <v>0</v>
      </c>
      <c r="AB11" s="2411">
        <f t="shared" si="1"/>
        <v>0</v>
      </c>
      <c r="AC11" s="2265">
        <f t="shared" si="2"/>
        <v>0</v>
      </c>
      <c r="AD11" s="2265">
        <f t="shared" si="3"/>
        <v>0</v>
      </c>
    </row>
    <row r="12" spans="1:41">
      <c r="A12" s="1876"/>
      <c r="B12" s="3728"/>
      <c r="C12" s="20" t="str">
        <f>List!A76</f>
        <v>Forest Zone 3</v>
      </c>
      <c r="D12" s="89" t="str">
        <f>HLOOKUP(climate,' IPCC'!$B$7:$G$11,4,FALSE)</f>
        <v>Please specify the climate</v>
      </c>
      <c r="E12" s="21"/>
      <c r="F12" s="21"/>
      <c r="G12" s="90"/>
      <c r="I12" s="416">
        <f>VLOOKUP(region,' IPCC'!$A$200:$G$212,1+MATCH(forest3,' IPCC'!$B$200:$G$200,),)</f>
        <v>0</v>
      </c>
      <c r="J12" s="2159">
        <f>IF('2.LUC'!E155="",0.47*I12,'2.LUC'!E155)</f>
        <v>0</v>
      </c>
      <c r="K12" s="420">
        <f>IF(I12&gt;0,I12*VLOOKUP(forest3,' IPCC'!$A$89:$F$103,IF(I12&lt;20,2,IF(I12&lt;50,3,IF(I12&lt;75,4,IF(I12&lt;125,5,6)))),),)</f>
        <v>0</v>
      </c>
      <c r="L12" s="2160">
        <f>IF('2.LUC'!G155="",K12*0.47,'2.LUC'!G155)</f>
        <v>0</v>
      </c>
      <c r="M12" s="416">
        <f>VLOOKUP(region,' IPCC'!$A$260:$G$272,1+MATCH(forest3,' IPCC'!$B$260:$G$260,),)</f>
        <v>0</v>
      </c>
      <c r="N12" s="2164">
        <f>IF('2.LUC'!I155="",M12*0.47,'2.LUC'!I155)</f>
        <v>0</v>
      </c>
      <c r="O12" s="420">
        <f>IF(M12&gt;0,M12*VLOOKUP(forest3,' IPCC'!$A$89:$F$103,IF(M12&lt;20,2,IF(M12&lt;50,3,IF(M12&lt;75,4,IF(M12&lt;125,5,6)))),),)</f>
        <v>0</v>
      </c>
      <c r="P12" s="2165">
        <f>IF('2.LUC'!K155="",O12*0.47,'2.LUC'!K155)</f>
        <v>0</v>
      </c>
      <c r="Q12" s="2166">
        <f>IF('2.LUC'!O155="",'2.LUC'!M155,'2.LUC'!O155)</f>
        <v>0</v>
      </c>
      <c r="R12" s="2166">
        <f>IF('2.LUC'!R155="",'2.LUC'!Q155,'2.LUC'!R155)</f>
        <v>0</v>
      </c>
      <c r="S12" s="2167">
        <f>IF('2.LUC'!T155="",'2.LUC'!S155,'2.LUC'!T155)</f>
        <v>0</v>
      </c>
      <c r="T12" s="9"/>
      <c r="V12" s="1066"/>
      <c r="W12" s="1066"/>
      <c r="X12" s="1066"/>
      <c r="AA12" s="2411">
        <f t="shared" si="0"/>
        <v>0</v>
      </c>
      <c r="AB12" s="2411">
        <f t="shared" si="1"/>
        <v>0</v>
      </c>
      <c r="AC12" s="2265">
        <f t="shared" si="2"/>
        <v>0</v>
      </c>
      <c r="AD12" s="2265">
        <f t="shared" si="3"/>
        <v>0</v>
      </c>
    </row>
    <row r="13" spans="1:41">
      <c r="A13" s="1876"/>
      <c r="B13" s="3729"/>
      <c r="C13" s="20" t="str">
        <f>List!A77</f>
        <v>Forest Zone 4</v>
      </c>
      <c r="D13" s="89" t="str">
        <f>HLOOKUP(climate,' IPCC'!$B$7:$G$11,5,)</f>
        <v>Please specify the climate</v>
      </c>
      <c r="E13" s="21"/>
      <c r="F13" s="21"/>
      <c r="G13" s="90"/>
      <c r="I13" s="416">
        <f>VLOOKUP(region,' IPCC'!$A$215:$G$227,1+MATCH(forest4,' IPCC'!$B$215:$G$215,),)</f>
        <v>0</v>
      </c>
      <c r="J13" s="2159">
        <f>IF('2.LUC'!E156="",0.47*I13,'2.LUC'!E156)</f>
        <v>0</v>
      </c>
      <c r="K13" s="420">
        <f>IF(I13&gt;0,I13*VLOOKUP(forest4,' IPCC'!$A$89:$F$103,IF(I13&lt;20,2,IF(I13&lt;50,3,IF(I13&lt;75,4,IF(I13&lt;125,5,6)))),),)</f>
        <v>0</v>
      </c>
      <c r="L13" s="2160">
        <f>IF('2.LUC'!G156="",K13*0.47,'2.LUC'!G156)</f>
        <v>0</v>
      </c>
      <c r="M13" s="416">
        <f>VLOOKUP(region,' IPCC'!$A$275:$G$287,1+MATCH(forest4,' IPCC'!$B$275:$G$275,),)</f>
        <v>0</v>
      </c>
      <c r="N13" s="2164">
        <f>IF('2.LUC'!I156="",M13*0.47,'2.LUC'!I156)</f>
        <v>0</v>
      </c>
      <c r="O13" s="420">
        <f>IF(M13&gt;0,M13*VLOOKUP(forest4,' IPCC'!$A$89:$F$103,IF(M13&lt;20,2,IF(M13&lt;50,3,IF(M13&lt;75,4,IF(M13&lt;125,5,6)))),),)</f>
        <v>0</v>
      </c>
      <c r="P13" s="2165">
        <f>IF('2.LUC'!K156="",O13*0.47,'2.LUC'!K156)</f>
        <v>0</v>
      </c>
      <c r="Q13" s="2166">
        <f>IF('2.LUC'!O156="",'2.LUC'!M156,'2.LUC'!O156)</f>
        <v>0</v>
      </c>
      <c r="R13" s="2166">
        <f>IF('2.LUC'!R156="",'2.LUC'!Q156,'2.LUC'!R156)</f>
        <v>0</v>
      </c>
      <c r="S13" s="2167">
        <f>IF('2.LUC'!T156="",'2.LUC'!S156,'2.LUC'!T156)</f>
        <v>0</v>
      </c>
      <c r="T13" s="9"/>
      <c r="V13" s="1066"/>
      <c r="W13" s="1066"/>
      <c r="X13" s="1066"/>
      <c r="AA13" s="2411">
        <f t="shared" si="0"/>
        <v>0</v>
      </c>
      <c r="AB13" s="2411">
        <f t="shared" si="1"/>
        <v>0</v>
      </c>
      <c r="AC13" s="2265">
        <f t="shared" si="2"/>
        <v>0</v>
      </c>
      <c r="AD13" s="2265">
        <f t="shared" si="3"/>
        <v>0</v>
      </c>
    </row>
    <row r="14" spans="1:41">
      <c r="A14" s="1876"/>
      <c r="B14" s="3727" t="s">
        <v>1011</v>
      </c>
      <c r="C14" s="20" t="str">
        <f>List!A78</f>
        <v>Plantation Zone 1</v>
      </c>
      <c r="D14" s="108" t="str">
        <f>HLOOKUP(climate,' IPCC'!$B$7:$G$11,2,FALSE)</f>
        <v>Please specify the climate</v>
      </c>
      <c r="E14" s="109"/>
      <c r="F14" s="109"/>
      <c r="G14" s="110"/>
      <c r="I14" s="416">
        <f>VLOOKUP(region,' IPCC'!$H$170:$N$182,1+MATCH(plantation1,' IPCC'!$I$170:$N$170,),)</f>
        <v>0</v>
      </c>
      <c r="J14" s="2159">
        <f>IF('2.LUC'!E157="",0.47*I14,'2.LUC'!E157)</f>
        <v>0</v>
      </c>
      <c r="K14" s="420">
        <f>IF(I14&gt;0,I14*VLOOKUP(plantation1,' IPCC'!$A$89:$F$103,IF(I14&lt;20,2,IF(I14&lt;50,3,IF(I14&lt;75,4,IF(I14&lt;125,5,6)))),),)</f>
        <v>0</v>
      </c>
      <c r="L14" s="2160">
        <f>IF('2.LUC'!G157="",K14*0.47,'2.LUC'!G157)</f>
        <v>0</v>
      </c>
      <c r="M14" s="416">
        <f>I14</f>
        <v>0</v>
      </c>
      <c r="N14" s="2164">
        <f>IF('2.LUC'!I157="",M14*0.47,'2.LUC'!I157)</f>
        <v>0</v>
      </c>
      <c r="O14" s="420">
        <f>K14</f>
        <v>0</v>
      </c>
      <c r="P14" s="2165">
        <f>IF('2.LUC'!K157="",O14*0.47,'2.LUC'!K157)</f>
        <v>0</v>
      </c>
      <c r="Q14" s="2166">
        <f>IF('2.LUC'!O157="",'2.LUC'!M157,'2.LUC'!O157)</f>
        <v>0</v>
      </c>
      <c r="R14" s="2166">
        <f>IF('2.LUC'!R157="",'2.LUC'!Q157,'2.LUC'!R157)</f>
        <v>0</v>
      </c>
      <c r="S14" s="2167">
        <f>IF('2.LUC'!T157="",'2.LUC'!S157,'2.LUC'!T157)</f>
        <v>0</v>
      </c>
      <c r="T14" s="9"/>
      <c r="V14" s="1066"/>
      <c r="W14" s="1066"/>
      <c r="X14" s="1066"/>
      <c r="AA14" s="2411">
        <f t="shared" si="0"/>
        <v>0</v>
      </c>
      <c r="AB14" s="2411">
        <f t="shared" si="1"/>
        <v>0</v>
      </c>
      <c r="AC14" s="2265">
        <f t="shared" si="2"/>
        <v>0</v>
      </c>
      <c r="AD14" s="2265">
        <f t="shared" si="3"/>
        <v>0</v>
      </c>
    </row>
    <row r="15" spans="1:41">
      <c r="A15" s="1876"/>
      <c r="B15" s="3730"/>
      <c r="C15" s="20" t="str">
        <f>List!A79</f>
        <v>Plantation Zone 2</v>
      </c>
      <c r="D15" s="89" t="str">
        <f>HLOOKUP(climate,' IPCC'!$B$7:$G$11,3,FALSE)</f>
        <v>Please specify the climate</v>
      </c>
      <c r="E15" s="21"/>
      <c r="F15" s="21"/>
      <c r="G15" s="90"/>
      <c r="I15" s="416">
        <f>VLOOKUP(region,' IPCC'!$H$185:$N$197,1+MATCH(plantation2,' IPCC'!$I$185:$N$185,),)</f>
        <v>0</v>
      </c>
      <c r="J15" s="2159">
        <f>IF('2.LUC'!E158="",0.47*I15,'2.LUC'!E158)</f>
        <v>0</v>
      </c>
      <c r="K15" s="420">
        <f>IF(I15&gt;0,I15*VLOOKUP(plantation2,' IPCC'!$A$89:$F$103,IF(I15&lt;20,2,IF(I15&lt;50,3,IF(I15&lt;75,4,IF(I15&lt;125,5,6)))),),)</f>
        <v>0</v>
      </c>
      <c r="L15" s="2160">
        <f>IF('2.LUC'!G158="",K15*0.47,'2.LUC'!G158)</f>
        <v>0</v>
      </c>
      <c r="M15" s="416">
        <f>I15</f>
        <v>0</v>
      </c>
      <c r="N15" s="2164">
        <f>IF('2.LUC'!I158="",M15*0.47,'2.LUC'!I158)</f>
        <v>0</v>
      </c>
      <c r="O15" s="420">
        <f>K15</f>
        <v>0</v>
      </c>
      <c r="P15" s="2165">
        <f>IF('2.LUC'!K158="",O15*0.47,'2.LUC'!K158)</f>
        <v>0</v>
      </c>
      <c r="Q15" s="2166">
        <f>IF('2.LUC'!O158="",'2.LUC'!M158,'2.LUC'!O158)</f>
        <v>0</v>
      </c>
      <c r="R15" s="2166">
        <f>IF('2.LUC'!R158="",'2.LUC'!Q158,'2.LUC'!R158)</f>
        <v>0</v>
      </c>
      <c r="S15" s="2167">
        <f>IF('2.LUC'!T158="",'2.LUC'!S158,'2.LUC'!T158)</f>
        <v>0</v>
      </c>
      <c r="T15" s="9"/>
      <c r="V15" s="1066"/>
      <c r="W15" s="1066"/>
      <c r="X15" s="1066"/>
      <c r="AA15" s="2411">
        <f t="shared" si="0"/>
        <v>0</v>
      </c>
      <c r="AB15" s="2411">
        <f t="shared" si="1"/>
        <v>0</v>
      </c>
      <c r="AC15" s="2265">
        <f t="shared" si="2"/>
        <v>0</v>
      </c>
      <c r="AD15" s="2265">
        <f t="shared" si="3"/>
        <v>0</v>
      </c>
    </row>
    <row r="16" spans="1:41">
      <c r="A16" s="1876"/>
      <c r="B16" s="3730"/>
      <c r="C16" s="20" t="str">
        <f>List!A80</f>
        <v>Plantation Zone 3</v>
      </c>
      <c r="D16" s="89" t="str">
        <f>HLOOKUP(climate,' IPCC'!$B$7:$G$11,4,FALSE)</f>
        <v>Please specify the climate</v>
      </c>
      <c r="E16" s="21"/>
      <c r="F16" s="21"/>
      <c r="G16" s="90"/>
      <c r="I16" s="416">
        <f>VLOOKUP(region,' IPCC'!$H$200:$N$212,1+MATCH(plantation3,' IPCC'!$I$200:$N$200,),)</f>
        <v>0</v>
      </c>
      <c r="J16" s="2159">
        <f>IF('2.LUC'!E159="",0.47*I16,'2.LUC'!E159)</f>
        <v>0</v>
      </c>
      <c r="K16" s="420">
        <f>IF(I16&gt;0,I16*VLOOKUP(plantation3,' IPCC'!$A$89:$F$103,IF(I16&lt;20,2,IF(I16&lt;50,3,IF(I16&lt;75,4,IF(I16&lt;125,5,6)))),),)</f>
        <v>0</v>
      </c>
      <c r="L16" s="2160">
        <f>IF('2.LUC'!G159="",K16*0.47,'2.LUC'!G159)</f>
        <v>0</v>
      </c>
      <c r="M16" s="416">
        <f>I16</f>
        <v>0</v>
      </c>
      <c r="N16" s="2164">
        <f>IF('2.LUC'!I159="",M16*0.47,'2.LUC'!I159)</f>
        <v>0</v>
      </c>
      <c r="O16" s="420">
        <f>K16</f>
        <v>0</v>
      </c>
      <c r="P16" s="2165">
        <f>IF('2.LUC'!K159="",O16*0.47,'2.LUC'!K159)</f>
        <v>0</v>
      </c>
      <c r="Q16" s="2166">
        <f>IF('2.LUC'!O159="",'2.LUC'!M159,'2.LUC'!O159)</f>
        <v>0</v>
      </c>
      <c r="R16" s="2166">
        <f>IF('2.LUC'!R159="",'2.LUC'!Q159,'2.LUC'!R159)</f>
        <v>0</v>
      </c>
      <c r="S16" s="2167">
        <f>IF('2.LUC'!T159="",'2.LUC'!S159,'2.LUC'!T159)</f>
        <v>0</v>
      </c>
      <c r="T16" s="9"/>
      <c r="U16" s="9"/>
      <c r="V16" s="1066"/>
      <c r="W16" s="1066"/>
      <c r="X16" s="1066"/>
      <c r="AA16" s="2411">
        <f t="shared" si="0"/>
        <v>0</v>
      </c>
      <c r="AB16" s="2411">
        <f t="shared" si="1"/>
        <v>0</v>
      </c>
      <c r="AC16" s="2265">
        <f t="shared" si="2"/>
        <v>0</v>
      </c>
      <c r="AD16" s="2265">
        <f t="shared" si="3"/>
        <v>0</v>
      </c>
    </row>
    <row r="17" spans="1:41">
      <c r="A17" s="1876"/>
      <c r="B17" s="3731"/>
      <c r="C17" s="20" t="str">
        <f>List!A81</f>
        <v>Plantation Zone 4</v>
      </c>
      <c r="D17" s="91" t="str">
        <f>HLOOKUP(climate,' IPCC'!$B$7:$G$11,5,FALSE)</f>
        <v>Please specify the climate</v>
      </c>
      <c r="E17" s="92"/>
      <c r="F17" s="92"/>
      <c r="G17" s="93"/>
      <c r="I17" s="417">
        <f>VLOOKUP(region,' IPCC'!$H$215:$N$227,1+MATCH(plantation4,' IPCC'!$I$215:$N$215,),)</f>
        <v>0</v>
      </c>
      <c r="J17" s="2159">
        <f>IF('2.LUC'!E160="",0.47*I17,'2.LUC'!E160)</f>
        <v>0</v>
      </c>
      <c r="K17" s="421">
        <f>IF(I17&gt;0,I17*VLOOKUP(plantation4,' IPCC'!$A$89:$F$103,IF(I17&lt;20,2,IF(I17&lt;50,3,IF(I17&lt;75,4,IF(I17&lt;125,5,6)))),),)</f>
        <v>0</v>
      </c>
      <c r="L17" s="2160">
        <f>IF('2.LUC'!G160="",K17*0.47,'2.LUC'!G160)</f>
        <v>0</v>
      </c>
      <c r="M17" s="417">
        <f>I17</f>
        <v>0</v>
      </c>
      <c r="N17" s="2164">
        <f>IF('2.LUC'!I160="",M17*0.47,'2.LUC'!I160)</f>
        <v>0</v>
      </c>
      <c r="O17" s="421">
        <f>K17</f>
        <v>0</v>
      </c>
      <c r="P17" s="2165">
        <f>IF('2.LUC'!K160="",O17*0.47,'2.LUC'!K160)</f>
        <v>0</v>
      </c>
      <c r="Q17" s="2166">
        <f>IF('2.LUC'!O160="",'2.LUC'!M160,'2.LUC'!O160)</f>
        <v>0</v>
      </c>
      <c r="R17" s="2166">
        <f>IF('2.LUC'!R160="",'2.LUC'!Q160,'2.LUC'!R160)</f>
        <v>0</v>
      </c>
      <c r="S17" s="2167">
        <f>IF('2.LUC'!T160="",'2.LUC'!S160,'2.LUC'!T160)</f>
        <v>0</v>
      </c>
      <c r="T17" s="9"/>
      <c r="U17" s="881"/>
      <c r="V17" s="1066"/>
      <c r="W17" s="1066"/>
      <c r="X17" s="1066"/>
      <c r="AA17" s="2411">
        <f t="shared" si="0"/>
        <v>0</v>
      </c>
      <c r="AB17" s="2411">
        <f t="shared" si="1"/>
        <v>0</v>
      </c>
      <c r="AC17" s="2265">
        <f t="shared" si="2"/>
        <v>0</v>
      </c>
      <c r="AD17" s="2265">
        <f t="shared" si="3"/>
        <v>0</v>
      </c>
    </row>
    <row r="18" spans="1:41" s="1876" customFormat="1">
      <c r="B18" s="3196"/>
      <c r="C18" s="20" t="str">
        <f>List!A82</f>
        <v>Mangrove</v>
      </c>
      <c r="D18" s="89"/>
      <c r="E18" s="21"/>
      <c r="F18" s="21"/>
      <c r="G18" s="21"/>
      <c r="I18" s="420">
        <f>VLOOKUP(clim_full,' IPCC'!A1075:E1087,5,)</f>
        <v>0</v>
      </c>
      <c r="J18" s="2159">
        <f>IF('2.LUC'!E161="",0.451*I18,'2.LUC'!E161)</f>
        <v>0</v>
      </c>
      <c r="K18" s="420">
        <f>I18*VLOOKUP(clim_full,' IPCC'!A1060:D1071,3,)</f>
        <v>0</v>
      </c>
      <c r="L18" s="2160">
        <f>IF('2.LUC'!G161="",K18*0.451,'2.LUC'!G161)</f>
        <v>0</v>
      </c>
      <c r="M18" s="420">
        <v>0</v>
      </c>
      <c r="N18" s="2164">
        <f>IF('2.LUC'!I161="",M18*0.47,'2.LUC'!I161)</f>
        <v>0</v>
      </c>
      <c r="O18" s="420">
        <v>0</v>
      </c>
      <c r="P18" s="2165">
        <f>IF('2.LUC'!K161="",O18*0.47,'2.LUC'!K161)</f>
        <v>0</v>
      </c>
      <c r="Q18" s="2166">
        <f>VLOOKUP(clim_full,' IPCC'!$A$1060:$E$1071,4,)</f>
        <v>0</v>
      </c>
      <c r="R18" s="2166">
        <f>VLOOKUP(clim_full,' IPCC'!$A$1060:$F$1071,5,)</f>
        <v>0</v>
      </c>
      <c r="S18" s="2167">
        <f>IF('2.LUC'!T161="",'2.LUC'!S161,'2.LUC'!T161)</f>
        <v>0</v>
      </c>
      <c r="T18" s="9"/>
      <c r="U18" s="881"/>
      <c r="V18" s="1066"/>
      <c r="W18" s="1066"/>
      <c r="X18" s="1066"/>
      <c r="Y18" s="1066"/>
      <c r="Z18" s="1066"/>
      <c r="AA18" s="2411"/>
      <c r="AB18" s="2411"/>
      <c r="AC18" s="2265"/>
      <c r="AD18" s="2265"/>
      <c r="AE18" s="1901"/>
      <c r="AF18" s="1901"/>
      <c r="AG18" s="1066"/>
      <c r="AH18" s="1066"/>
      <c r="AI18" s="1066"/>
      <c r="AJ18" s="1066"/>
      <c r="AK18" s="1066"/>
      <c r="AL18" s="1066"/>
      <c r="AM18" s="210"/>
      <c r="AN18" s="210"/>
      <c r="AO18" s="1497"/>
    </row>
    <row r="19" spans="1:41" ht="13.5" thickBot="1">
      <c r="A19" s="1876"/>
      <c r="B19" s="136"/>
      <c r="D19" s="27"/>
      <c r="E19" s="6"/>
      <c r="F19" s="6"/>
      <c r="G19" s="6"/>
      <c r="I19" s="10"/>
      <c r="J19" s="10"/>
      <c r="K19" s="6"/>
      <c r="L19" s="121"/>
      <c r="M19" s="121"/>
      <c r="N19" s="121"/>
      <c r="O19" s="121"/>
      <c r="P19" s="6"/>
      <c r="Q19" s="10"/>
      <c r="R19" s="10"/>
      <c r="S19" s="10"/>
      <c r="T19" s="10"/>
      <c r="V19" s="1066"/>
      <c r="W19" s="1066"/>
      <c r="X19" s="1066"/>
    </row>
    <row r="20" spans="1:41">
      <c r="A20" s="1876"/>
      <c r="B20" s="145" t="s">
        <v>533</v>
      </c>
      <c r="D20" s="27"/>
      <c r="E20" s="6"/>
      <c r="F20" s="944" t="s">
        <v>223</v>
      </c>
      <c r="G20" s="945"/>
      <c r="H20" s="135"/>
      <c r="I20" s="882">
        <v>0</v>
      </c>
      <c r="J20" s="883">
        <f>0.47*I20</f>
        <v>0</v>
      </c>
      <c r="K20" s="882">
        <f>I20*0.27</f>
        <v>0</v>
      </c>
      <c r="L20" s="883">
        <f>0.47*K20</f>
        <v>0</v>
      </c>
      <c r="M20" s="918">
        <v>0</v>
      </c>
      <c r="N20" s="883">
        <f>0.47*M20</f>
        <v>0</v>
      </c>
      <c r="O20" s="918">
        <v>0</v>
      </c>
      <c r="P20" s="883">
        <f>0.47*O20</f>
        <v>0</v>
      </c>
      <c r="Q20" s="680">
        <v>0</v>
      </c>
      <c r="R20" s="663">
        <v>0</v>
      </c>
      <c r="S20" s="664">
        <v>0</v>
      </c>
      <c r="T20" s="9"/>
      <c r="V20" s="1066"/>
      <c r="W20" s="1066"/>
      <c r="X20" s="1066"/>
    </row>
    <row r="21" spans="1:41">
      <c r="B21" s="145" t="s">
        <v>996</v>
      </c>
      <c r="D21" s="27"/>
      <c r="E21" s="6"/>
      <c r="F21" s="946" t="s">
        <v>9</v>
      </c>
      <c r="G21" s="947"/>
      <c r="H21" s="13"/>
      <c r="I21" s="884">
        <v>0</v>
      </c>
      <c r="J21" s="880">
        <f>0.47*I21</f>
        <v>0</v>
      </c>
      <c r="K21" s="884">
        <f>I21*0.27</f>
        <v>0</v>
      </c>
      <c r="L21" s="880">
        <f>0.47*K21</f>
        <v>0</v>
      </c>
      <c r="M21" s="919">
        <v>0</v>
      </c>
      <c r="N21" s="880">
        <f>0.47*M21</f>
        <v>0</v>
      </c>
      <c r="O21" s="919">
        <v>0</v>
      </c>
      <c r="P21" s="880">
        <f>0.47*O21</f>
        <v>0</v>
      </c>
      <c r="Q21" s="681">
        <v>0</v>
      </c>
      <c r="R21" s="667">
        <v>0</v>
      </c>
      <c r="S21" s="668">
        <v>0</v>
      </c>
      <c r="T21" s="9"/>
      <c r="V21" s="1066"/>
      <c r="W21" s="1066"/>
      <c r="X21" s="1066"/>
      <c r="AA21" s="1915"/>
      <c r="AB21" s="1915"/>
      <c r="AC21" s="1914"/>
      <c r="AD21" s="1914"/>
    </row>
    <row r="22" spans="1:41">
      <c r="B22" s="353"/>
      <c r="C22" s="5"/>
      <c r="D22" s="27"/>
      <c r="E22" s="6"/>
      <c r="F22" s="946" t="s">
        <v>10</v>
      </c>
      <c r="G22" s="947"/>
      <c r="H22" s="13"/>
      <c r="I22" s="884">
        <v>0</v>
      </c>
      <c r="J22" s="880">
        <f>0.47*I22</f>
        <v>0</v>
      </c>
      <c r="K22" s="884">
        <f>I22*0.27</f>
        <v>0</v>
      </c>
      <c r="L22" s="880">
        <f>0.47*K22</f>
        <v>0</v>
      </c>
      <c r="M22" s="919">
        <v>0</v>
      </c>
      <c r="N22" s="880">
        <f>0.47*M22</f>
        <v>0</v>
      </c>
      <c r="O22" s="919">
        <v>0</v>
      </c>
      <c r="P22" s="880">
        <f>0.47*O22</f>
        <v>0</v>
      </c>
      <c r="Q22" s="681">
        <v>0</v>
      </c>
      <c r="R22" s="667">
        <v>0</v>
      </c>
      <c r="S22" s="668">
        <v>0</v>
      </c>
      <c r="T22" s="9"/>
      <c r="U22" s="9"/>
      <c r="V22" s="1066"/>
      <c r="W22" s="1066"/>
      <c r="X22" s="1066"/>
      <c r="AA22" s="1915"/>
      <c r="AB22" s="1915"/>
      <c r="AC22" s="1915"/>
      <c r="AD22" s="1915"/>
    </row>
    <row r="23" spans="1:41" ht="13.5" thickBot="1">
      <c r="B23" s="136"/>
      <c r="C23" s="5"/>
      <c r="D23" s="27"/>
      <c r="E23" s="6"/>
      <c r="F23" s="948" t="s">
        <v>11</v>
      </c>
      <c r="G23" s="949"/>
      <c r="H23" s="124"/>
      <c r="I23" s="885">
        <v>0</v>
      </c>
      <c r="J23" s="886">
        <f>0.47*I23</f>
        <v>0</v>
      </c>
      <c r="K23" s="885">
        <f>I23*0.27</f>
        <v>0</v>
      </c>
      <c r="L23" s="886">
        <f>0.47*K23</f>
        <v>0</v>
      </c>
      <c r="M23" s="920">
        <v>0</v>
      </c>
      <c r="N23" s="886">
        <f>0.47*M23</f>
        <v>0</v>
      </c>
      <c r="O23" s="920">
        <v>0</v>
      </c>
      <c r="P23" s="886">
        <f>0.47*O23</f>
        <v>0</v>
      </c>
      <c r="Q23" s="682">
        <v>0</v>
      </c>
      <c r="R23" s="671">
        <v>0</v>
      </c>
      <c r="S23" s="672">
        <v>0</v>
      </c>
      <c r="T23" s="9"/>
      <c r="V23" s="1066"/>
      <c r="W23" s="1066"/>
      <c r="X23" s="1066"/>
      <c r="AA23" s="1915"/>
      <c r="AB23" s="1915"/>
      <c r="AC23" s="1915"/>
      <c r="AD23" s="1915"/>
      <c r="AF23" s="1901" t="s">
        <v>999</v>
      </c>
      <c r="AH23" s="1066" t="s">
        <v>998</v>
      </c>
      <c r="AJ23" s="1070" t="s">
        <v>55</v>
      </c>
      <c r="AK23" s="1069"/>
    </row>
    <row r="24" spans="1:41">
      <c r="C24" s="5"/>
      <c r="D24" s="27"/>
      <c r="E24" s="6"/>
      <c r="F24" s="6"/>
      <c r="G24" s="6"/>
      <c r="I24" s="10"/>
      <c r="J24" s="10"/>
      <c r="K24" s="6"/>
      <c r="L24" s="6"/>
      <c r="M24" s="6"/>
      <c r="N24" s="6"/>
      <c r="O24" s="10"/>
      <c r="P24" s="6"/>
      <c r="Q24" s="10"/>
      <c r="T24" s="9"/>
      <c r="V24" s="1066"/>
      <c r="W24" s="1066"/>
      <c r="X24" s="1066"/>
      <c r="AA24" s="1915"/>
      <c r="AB24" s="1915"/>
      <c r="AC24" s="1915"/>
      <c r="AD24" s="1915"/>
      <c r="AE24" s="3732" t="s">
        <v>53</v>
      </c>
      <c r="AF24" s="3732"/>
      <c r="AG24" s="3732"/>
      <c r="AH24" s="3732"/>
      <c r="AI24" s="3732"/>
      <c r="AJ24" s="1070" t="s">
        <v>53</v>
      </c>
      <c r="AK24" s="1069"/>
    </row>
    <row r="25" spans="1:41">
      <c r="B25" s="221"/>
      <c r="C25" s="181" t="s">
        <v>1000</v>
      </c>
      <c r="D25" s="182"/>
      <c r="E25" s="182"/>
      <c r="F25" s="182"/>
      <c r="G25" s="182"/>
      <c r="H25" s="57"/>
      <c r="I25" s="56"/>
      <c r="J25" s="182"/>
      <c r="K25" s="182"/>
      <c r="L25" s="183"/>
      <c r="M25" s="182" t="s">
        <v>41</v>
      </c>
      <c r="N25" s="182"/>
      <c r="O25" s="183"/>
      <c r="P25" s="230" t="s">
        <v>1007</v>
      </c>
      <c r="Q25" s="57"/>
      <c r="R25" s="56"/>
      <c r="T25" s="9"/>
      <c r="AA25" s="1915"/>
      <c r="AB25" s="1915" t="s">
        <v>26</v>
      </c>
      <c r="AC25" s="1915"/>
      <c r="AD25" s="1915"/>
      <c r="AF25" s="2403" t="s">
        <v>54</v>
      </c>
      <c r="AG25" s="1069" t="s">
        <v>675</v>
      </c>
      <c r="AH25" s="1069" t="s">
        <v>54</v>
      </c>
      <c r="AI25" s="1069" t="s">
        <v>675</v>
      </c>
      <c r="AJ25" s="1069" t="s">
        <v>54</v>
      </c>
      <c r="AK25" s="1069" t="s">
        <v>675</v>
      </c>
    </row>
    <row r="26" spans="1:41">
      <c r="B26" s="171"/>
      <c r="C26" s="11" t="s">
        <v>490</v>
      </c>
      <c r="D26" s="134"/>
      <c r="E26" s="342" t="s">
        <v>978</v>
      </c>
      <c r="F26" s="343"/>
      <c r="G26" s="345" t="s">
        <v>991</v>
      </c>
      <c r="H26" s="133" t="s">
        <v>339</v>
      </c>
      <c r="I26" s="131" t="s">
        <v>338</v>
      </c>
      <c r="J26" s="182" t="s">
        <v>540</v>
      </c>
      <c r="K26" s="182"/>
      <c r="L26" s="183"/>
      <c r="M26" s="278" t="s">
        <v>332</v>
      </c>
      <c r="N26" s="127" t="s">
        <v>333</v>
      </c>
      <c r="O26" s="31" t="s">
        <v>516</v>
      </c>
      <c r="P26" s="352" t="s">
        <v>1004</v>
      </c>
      <c r="Q26" s="127"/>
      <c r="R26" s="31" t="s">
        <v>32</v>
      </c>
      <c r="T26" s="1915"/>
      <c r="U26" s="1915" t="s">
        <v>674</v>
      </c>
      <c r="V26" s="1902" t="s">
        <v>675</v>
      </c>
      <c r="AA26" s="1915" t="s">
        <v>23</v>
      </c>
      <c r="AB26" s="1915" t="s">
        <v>516</v>
      </c>
      <c r="AC26" s="1915" t="s">
        <v>35</v>
      </c>
      <c r="AD26" s="1915" t="s">
        <v>36</v>
      </c>
      <c r="AF26" s="1914">
        <f>-(44/12)*($P28*(IF(F43="immediate",E43*MIN(20,time),E43*IF(time&gt;time+20,20,IF(time_tot&lt;20,(time*VLOOKUP(F43,List!$E$35:$F$37,2,)),((MIN(20,time)*VLOOKUP(F43,List!$E$35:$F$37,2,))+(time-MIN(20,time))-IF(F43="exponential",time-20+0.217*time*(EXP(4.606*(20-time)/time)-1),((time-20)^2)*(0.5/time)))))))+($R28*E43)+($Q28*(IF(F43="immediate",E43*(time-MIN(20,time)),E43*IF(time&gt;time+20,(time*VLOOKUP(F43,List!$E$35:$F$37,2,))+(time-time-20),IF(time&lt;20,0,IF(F43="exponential",time-20+0.217*time*(EXP(4.606*(20-time)/time)-1),((time-20)^2)*(0.5/time))))))))</f>
        <v>0</v>
      </c>
      <c r="AG26" s="1068">
        <f>-(44/12)*($P28*(IF(H43="immediate",G43*MIN(20,time),G43*IF(time&gt;time+20,20,IF(time_tot&lt;20,(time*VLOOKUP(H43,List!$E$35:$F$37,2,)),((MIN(20,time)*VLOOKUP(H43,List!$E$35:$F$37,2,))+(time-MIN(20,time))-IF(H43="exponential",time-20+0.217*time*(EXP(4.606*(20-time)/time)-1),((time-20)^2)*(0.5/time)))))))+($R28*G43)+($Q28*(IF(H43="immediate",G43*(time-MIN(20,time)),G43*IF(time&gt;time+20,(time*VLOOKUP(H43,List!$E$35:$F$37,2,))+(time-time-20),IF(time&lt;20,0,IF(H43="exponential",time-20+0.217*time*(EXP(4.606*(20-time)/time)-1),((time-20)^2)*(0.5/time))))))))</f>
        <v>0</v>
      </c>
      <c r="AH26" s="1068">
        <f t="shared" ref="AH26:AH35" si="4">IF(time=0,0,K43)</f>
        <v>0</v>
      </c>
      <c r="AI26" s="1068">
        <f t="shared" ref="AI26:AI35" si="5">IF(time=0,0,L43)</f>
        <v>0</v>
      </c>
      <c r="AJ26" s="1068">
        <f>-L28*(IF(F43="immediate",E43*MIN(20,time),E43*IF(time&gt;=time+20,20,IF(time&lt;=20,(time*VLOOKUP(F43,List!$E$35:$F$37,2,))+(time-time),((MIN(20,time)*VLOOKUP(F43,List!$E$35:$F$37,2,))+(time-MIN(20,time))-IF(F43="exponential",time-20+0.217*time*(EXP(4.606*(20-time)/time)-1),((time-20)^2)*(0.5/time)))))))</f>
        <v>0</v>
      </c>
      <c r="AK26" s="1068">
        <f>-L28*(IF(H43="immediate",G43*MIN(20,time),G43*IF(time&gt;time+20,20,IF(time&lt;20,(time*VLOOKUP(H43,List!$E$35:$F$37,2,))+(time-time),((MIN(20,time)*VLOOKUP(H43,List!$E$35:$F$37,2,))+(time-MIN(20,time))-IF(H43="exponential",time-20+0.217*time*(EXP(4.606*(20-time)/time)-1),((time-20)^2)*(0.5/time)))))))</f>
        <v>0</v>
      </c>
    </row>
    <row r="27" spans="1:41" ht="16.5" thickBot="1">
      <c r="B27" s="172" t="s">
        <v>1124</v>
      </c>
      <c r="C27" s="88"/>
      <c r="D27" s="143"/>
      <c r="E27" s="344" t="s">
        <v>979</v>
      </c>
      <c r="F27" s="128"/>
      <c r="G27" s="128" t="s">
        <v>992</v>
      </c>
      <c r="H27" s="3733" t="s">
        <v>215</v>
      </c>
      <c r="I27" s="3734"/>
      <c r="J27" s="57" t="s">
        <v>542</v>
      </c>
      <c r="K27" s="57" t="s">
        <v>838</v>
      </c>
      <c r="L27" s="56" t="s">
        <v>839</v>
      </c>
      <c r="M27" s="127" t="s">
        <v>537</v>
      </c>
      <c r="N27" s="278" t="s">
        <v>537</v>
      </c>
      <c r="O27" s="31" t="s">
        <v>538</v>
      </c>
      <c r="P27" s="126" t="s">
        <v>1002</v>
      </c>
      <c r="Q27" s="127" t="s">
        <v>1003</v>
      </c>
      <c r="R27" s="31" t="s">
        <v>1006</v>
      </c>
      <c r="T27" s="1915" t="s">
        <v>23</v>
      </c>
      <c r="U27" s="1915" t="s">
        <v>516</v>
      </c>
      <c r="AA27" s="1915" t="s">
        <v>24</v>
      </c>
      <c r="AB27" s="1915">
        <f>SUM(J43:J52)+SUM(L43:L52)-SUM(I43:I52)-SUM(K43:K52)</f>
        <v>0</v>
      </c>
      <c r="AC27" s="1915">
        <f>IF(time=0,0,SUM(AG26:AG35)-SUM(AF26:AF35)+SUM(AI26:AI35)-SUM(AH26:AH35))</f>
        <v>0</v>
      </c>
      <c r="AD27" s="1915">
        <f>AB27-AC27</f>
        <v>0</v>
      </c>
      <c r="AF27" s="1914">
        <f>-(44/12)*($P29*(IF(F44="immediate",E44*MIN(20,time),E44*IF(time&gt;time+20,20,IF(time_tot&lt;20,(time*VLOOKUP(F44,List!$E$35:$F$37,2,)),((MIN(20,time)*VLOOKUP(F44,List!$E$35:$F$37,2,))+(time-MIN(20,time))-IF(F44="exponential",time-20+0.217*time*(EXP(4.606*(20-time)/time)-1),((time-20)^2)*(0.5/time)))))))+($R29*E44)+($Q29*(IF(F44="immediate",E44*(time-MIN(20,time)),E44*IF(time&gt;time+20,(time*VLOOKUP(F44,List!$E$35:$F$37,2,))+(time-time-20),IF(time&lt;20,0,IF(F44="exponential",time-20+0.217*time*(EXP(4.606*(20-time)/time)-1),((time-20)^2)*(0.5/time))))))))</f>
        <v>0</v>
      </c>
      <c r="AG27" s="1068">
        <f>-(44/12)*($P29*(IF(H44="immediate",G44*MIN(20,time),G44*IF(time&gt;time+20,20,IF(time_tot&lt;20,(time*VLOOKUP(H44,List!$E$35:$F$37,2,)),((MIN(20,time)*VLOOKUP(H44,List!$E$35:$F$37,2,))+(time-MIN(20,time))-IF(H44="exponential",time-20+0.217*time*(EXP(4.606*(20-time)/time)-1),((time-20)^2)*(0.5/time)))))))+($R29*G44)+($Q29*(IF(H44="immediate",G44*(time-MIN(20,time)),G44*IF(time&gt;time+20,(time*VLOOKUP(H44,List!$E$35:$F$37,2,))+(time-time-20),IF(time&lt;20,0,IF(H44="exponential",time-20+0.217*time*(EXP(4.606*(20-time)/time)-1),((time-20)^2)*(0.5/time))))))))</f>
        <v>0</v>
      </c>
      <c r="AH27" s="1068">
        <f t="shared" si="4"/>
        <v>0</v>
      </c>
      <c r="AI27" s="1068">
        <f t="shared" si="5"/>
        <v>0</v>
      </c>
      <c r="AJ27" s="1068">
        <f>-L29*(IF(F44="immediate",E44*MIN(20,time),E44*IF(time&gt;=time+20,20,IF(time&lt;=20,(time*VLOOKUP(F44,List!$E$35:$F$37,2,))+(time-time),((MIN(20,time)*VLOOKUP(F44,List!$E$35:$F$37,2,))+(time-MIN(20,time))-IF(F44="exponential",time-20+0.217*time*(EXP(4.606*(20-time)/time)-1),((time-20)^2)*(0.5/time)))))))</f>
        <v>0</v>
      </c>
      <c r="AK27" s="1068">
        <f>-L29*(IF(H44="immediate",G44*MIN(20,time),G44*IF(time&gt;time+20,20,IF(time&lt;20,(time*VLOOKUP(H44,List!$E$35:$F$37,2,))+(time-time),((MIN(20,time)*VLOOKUP(H44,List!$E$35:$F$37,2,))+(time-MIN(20,time))-IF(H44="exponential",time-20+0.217*time*(EXP(4.606*(20-time)/time)-1),((time-20)^2)*(0.5/time)))))))</f>
        <v>0</v>
      </c>
    </row>
    <row r="28" spans="1:41" s="1767" customFormat="1" ht="13.5" thickBot="1">
      <c r="A28" s="1758" t="s">
        <v>1290</v>
      </c>
      <c r="B28" s="1759" t="s">
        <v>1114</v>
      </c>
      <c r="C28" s="1988" t="str">
        <f>'2.LUC'!B31</f>
        <v>Select the vegetation</v>
      </c>
      <c r="D28" s="1988"/>
      <c r="E28" s="1988" t="str">
        <f>'2.LUC'!F31</f>
        <v>Select previous use</v>
      </c>
      <c r="F28" s="1988"/>
      <c r="G28" s="1988" t="str">
        <f>'2.LUC'!E31</f>
        <v>NO</v>
      </c>
      <c r="H28" s="1760">
        <f>IF(E28=List!$A$85,0,HLOOKUP(E28,' IPCC'!$A$290:$J$302,1+MATCH(clim_full,' IPCC'!$A$291:$A$302,),))</f>
        <v>0</v>
      </c>
      <c r="I28" s="1761"/>
      <c r="J28" s="1762">
        <f>IF(E28=List!$A$85,0,VLOOKUP(clim_full,' IPCC'!$A$307:$J$318,1+MATCH($E28,' IPCC'!$B$306:$J$306,),))</f>
        <v>0</v>
      </c>
      <c r="K28" s="1763">
        <f>IF(C28=List!$A$50,0,(1-J28)*VLOOKUP($C28,$C$10:$S$18,17,))</f>
        <v>0</v>
      </c>
      <c r="L28" s="1764">
        <f t="shared" ref="L28:L37" si="6">(K28/20)*44/12</f>
        <v>0</v>
      </c>
      <c r="M28" s="1765">
        <f>IF(E28=List!$A$85,0,IF(G28="YES",IF(I28="",H28,$I28))*VLOOKUP($E28,' IPCC'!$A$322:$B$329,2,)*2.5*VLOOKUP($E28,' IPCC'!$A$322:$E$329,4,))</f>
        <v>0</v>
      </c>
      <c r="N28" s="1762">
        <f>IF(E28=List!$A$85,0,IF(G28="YES",IF(I28="",H28,$I28))*VLOOKUP($E28,' IPCC'!$A$322:$B$329,2,)*2.5*VLOOKUP($E28,' IPCC'!$A$322:$E$329,5,))</f>
        <v>0</v>
      </c>
      <c r="O28" s="1766">
        <f t="shared" ref="O28:O35" si="7">(M28*methane+N28*Nitrous)/1000</f>
        <v>0</v>
      </c>
      <c r="P28" s="1763">
        <f>IF(C28=List!$A$73,0,VLOOKUP($C28,$C$10:$P$18,8,)+VLOOKUP($C28,$C$10:$P$18,10,))</f>
        <v>0</v>
      </c>
      <c r="Q28" s="1763">
        <f>IF(C28=List!$A$73,0,VLOOKUP($C28,$C$10:$P$18,12,)+VLOOKUP($C28,$C$10:$P$18,14,))</f>
        <v>0</v>
      </c>
      <c r="R28" s="2168">
        <f>IF(C28=List!$A$73,0,VLOOKUP($C28,$C$10:$R$18,15,)+VLOOKUP($C28,$C$10:$R$18,16,))</f>
        <v>0</v>
      </c>
      <c r="T28" s="1915" t="s">
        <v>24</v>
      </c>
      <c r="U28" s="1915">
        <f>SUM(I43:I52)+SUM(K43:K52)</f>
        <v>0</v>
      </c>
      <c r="V28" s="1915">
        <f>SUM(J43:J52)+SUM(L43:L52)</f>
        <v>0</v>
      </c>
      <c r="AA28" s="1915" t="s">
        <v>25</v>
      </c>
      <c r="AB28" s="1915">
        <f>SUM(N43:N52)-SUM(M43:M52)</f>
        <v>0</v>
      </c>
      <c r="AC28" s="1915">
        <f>SUM(AK26:AK35)-SUM(AJ26:AJ35)</f>
        <v>0</v>
      </c>
      <c r="AD28" s="1915">
        <f>AB28-AC28</f>
        <v>0</v>
      </c>
      <c r="AE28" s="1901"/>
      <c r="AF28" s="1914">
        <f>-(44/12)*($P30*(IF(F45="immediate",E45*MIN(20,time),E45*IF(time&gt;time+20,20,IF(time_tot&lt;20,(time*VLOOKUP(F45,List!$E$35:$F$37,2,)),((MIN(20,time)*VLOOKUP(F45,List!$E$35:$F$37,2,))+(time-MIN(20,time))-IF(F45="exponential",time-20+0.217*time*(EXP(4.606*(20-time)/time)-1),((time-20)^2)*(0.5/time)))))))+($R30*E45)+($Q30*(IF(F45="immediate",E45*(time-MIN(20,time)),E45*IF(time&gt;time+20,(time*VLOOKUP(F45,List!$E$35:$F$37,2,))+(time-time-20),IF(time&lt;20,0,IF(F45="exponential",time-20+0.217*time*(EXP(4.606*(20-time)/time)-1),((time-20)^2)*(0.5/time))))))))</f>
        <v>0</v>
      </c>
      <c r="AG28" s="1768">
        <f>-(44/12)*($P30*(IF(H45="immediate",G45*MIN(20,time),G45*IF(time&gt;time+20,20,IF(time_tot&lt;20,(time*VLOOKUP(H45,List!$E$35:$F$37,2,)),((MIN(20,time)*VLOOKUP(H45,List!$E$35:$F$37,2,))+(time-MIN(20,time))-IF(H45="exponential",time-20+0.217*time*(EXP(4.606*(20-time)/time)-1),((time-20)^2)*(0.5/time)))))))+($R30*G45)+($Q30*(IF(H45="immediate",G45*(time-MIN(20,time)),G45*IF(time&gt;time+20,(time*VLOOKUP(H45,List!$E$35:$F$37,2,))+(time-time-20),IF(time&lt;20,0,IF(H45="exponential",time-20+0.217*time*(EXP(4.606*(20-time)/time)-1),((time-20)^2)*(0.5/time))))))))</f>
        <v>0</v>
      </c>
      <c r="AH28" s="1768">
        <f t="shared" si="4"/>
        <v>0</v>
      </c>
      <c r="AI28" s="1768">
        <f t="shared" si="5"/>
        <v>0</v>
      </c>
      <c r="AJ28" s="1768">
        <f>-L30*(IF(F45="immediate",E45*MIN(20,time),E45*IF(time&gt;=time+20,20,IF(time&lt;=20,(time*VLOOKUP(F45,List!$E$35:$F$37,2,))+(time-time),((MIN(20,time)*VLOOKUP(F45,List!$E$35:$F$37,2,))+(time-MIN(20,time))-IF(F45="exponential",time-20+0.217*time*(EXP(4.606*(20-time)/time)-1),((time-20)^2)*(0.5/time)))))))</f>
        <v>0</v>
      </c>
      <c r="AK28" s="1768">
        <f>-L30*(IF(H45="immediate",G45*MIN(20,time),G45*IF(time&gt;time+20,20,IF(time&lt;20,(time*VLOOKUP(H45,List!$E$35:$F$37,2,))+(time-time),((MIN(20,time)*VLOOKUP(H45,List!$E$35:$F$37,2,))+(time-MIN(20,time))-IF(H45="exponential",time-20+0.217*time*(EXP(4.606*(20-time)/time)-1),((time-20)^2)*(0.5/time)))))))</f>
        <v>0</v>
      </c>
    </row>
    <row r="29" spans="1:41" s="1767" customFormat="1" ht="13.5" thickBot="1">
      <c r="A29" s="1758" t="s">
        <v>1290</v>
      </c>
      <c r="B29" s="1769" t="s">
        <v>1115</v>
      </c>
      <c r="C29" s="1988" t="str">
        <f>'2.LUC'!B32</f>
        <v>Select the vegetation</v>
      </c>
      <c r="D29" s="1988"/>
      <c r="E29" s="1988" t="str">
        <f>'2.LUC'!F32</f>
        <v>Select previous use</v>
      </c>
      <c r="F29" s="1989"/>
      <c r="G29" s="1988" t="str">
        <f>'2.LUC'!E32</f>
        <v>NO</v>
      </c>
      <c r="H29" s="1770">
        <f>IF(E29=List!$A$85,0,HLOOKUP(E29,' IPCC'!$A$290:$J$302,1+MATCH(clim_full,' IPCC'!$A$291:$A$302,),))</f>
        <v>0</v>
      </c>
      <c r="I29" s="1771"/>
      <c r="J29" s="1772">
        <f>IF(E29=List!$A$85,0,VLOOKUP(clim_full,' IPCC'!$A$307:$J$318,1+MATCH($E29,' IPCC'!$B$306:$J$306,),))</f>
        <v>0</v>
      </c>
      <c r="K29" s="1763">
        <f>IF(C29=List!$A$50,0,(1-J29)*VLOOKUP($C29,$C$10:$S$18,17,))</f>
        <v>0</v>
      </c>
      <c r="L29" s="1764">
        <f t="shared" si="6"/>
        <v>0</v>
      </c>
      <c r="M29" s="1765">
        <f>IF(E29=List!$A$85,0,IF(G29="YES",IF(I29="",H29,$I29))*VLOOKUP($E29,' IPCC'!$A$322:$B$329,2,)*2.5*VLOOKUP($E29,' IPCC'!$A$322:$E$329,4,))</f>
        <v>0</v>
      </c>
      <c r="N29" s="1762">
        <f>IF(E29=List!$A$85,0,IF(G29="YES",IF(I29="",H29,$I29))*VLOOKUP($E29,' IPCC'!$A$322:$B$329,2,)*2.5*VLOOKUP($E29,' IPCC'!$A$322:$E$329,5,))</f>
        <v>0</v>
      </c>
      <c r="O29" s="1766">
        <f t="shared" si="7"/>
        <v>0</v>
      </c>
      <c r="P29" s="1763">
        <f>IF(C29=List!$A$73,0,VLOOKUP($C29,$C$10:$P$18,8,)+VLOOKUP($C29,$C$10:$P$18,10,))</f>
        <v>0</v>
      </c>
      <c r="Q29" s="1763">
        <f>IF(C29=List!$A$73,0,VLOOKUP($C29,$C$10:$P$18,12,)+VLOOKUP($C29,$C$10:$P$18,14,))</f>
        <v>0</v>
      </c>
      <c r="R29" s="2168">
        <f>IF(C29=List!$A$73,0,VLOOKUP($C29,$C$10:$R$18,15,)+VLOOKUP($C29,$C$10:$R$18,16,))</f>
        <v>0</v>
      </c>
      <c r="T29" s="1915" t="s">
        <v>25</v>
      </c>
      <c r="U29" s="1915">
        <f>SUM(M43:M52)</f>
        <v>0</v>
      </c>
      <c r="V29" s="1915">
        <f>SUM(N43:N52)</f>
        <v>0</v>
      </c>
      <c r="AA29" s="1915" t="s">
        <v>332</v>
      </c>
      <c r="AB29" s="1915">
        <f>SUM(AB8:AB17)-SUM(AA8:AA17)</f>
        <v>0</v>
      </c>
      <c r="AC29" s="1915">
        <f>IF(time=0,0,AB29)</f>
        <v>0</v>
      </c>
      <c r="AD29" s="1915">
        <f>AB29-AC29</f>
        <v>0</v>
      </c>
      <c r="AE29" s="1901"/>
      <c r="AF29" s="1914">
        <f>-(44/12)*($P31*(IF(F46="immediate",E46*MIN(20,time),E46*IF(time&gt;time+20,20,IF(time_tot&lt;20,(time*VLOOKUP(F46,List!$E$35:$F$37,2,)),((MIN(20,time)*VLOOKUP(F46,List!$E$35:$F$37,2,))+(time-MIN(20,time))-IF(F46="exponential",time-20+0.217*time*(EXP(4.606*(20-time)/time)-1),((time-20)^2)*(0.5/time)))))))+($R31*E46)+($Q31*(IF(F46="immediate",E46*(time-MIN(20,time)),E46*IF(time&gt;time+20,(time*VLOOKUP(F46,List!$E$35:$F$37,2,))+(time-time-20),IF(time&lt;20,0,IF(F46="exponential",time-20+0.217*time*(EXP(4.606*(20-time)/time)-1),((time-20)^2)*(0.5/time))))))))</f>
        <v>0</v>
      </c>
      <c r="AG29" s="1768">
        <f>-(44/12)*($P31*(IF(H46="immediate",G46*MIN(20,time),G46*IF(time&gt;time+20,20,IF(time_tot&lt;20,(time*VLOOKUP(H46,List!$E$35:$F$37,2,)),((MIN(20,time)*VLOOKUP(H46,List!$E$35:$F$37,2,))+(time-MIN(20,time))-IF(H46="exponential",time-20+0.217*time*(EXP(4.606*(20-time)/time)-1),((time-20)^2)*(0.5/time)))))))+($R31*G46)+($Q31*(IF(H46="immediate",G46*(time-MIN(20,time)),G46*IF(time&gt;time+20,(time*VLOOKUP(H46,List!$E$35:$F$37,2,))+(time-time-20),IF(time&lt;20,0,IF(H46="exponential",time-20+0.217*time*(EXP(4.606*(20-time)/time)-1),((time-20)^2)*(0.5/time))))))))</f>
        <v>0</v>
      </c>
      <c r="AH29" s="1768">
        <f t="shared" si="4"/>
        <v>0</v>
      </c>
      <c r="AI29" s="1768">
        <f t="shared" si="5"/>
        <v>0</v>
      </c>
      <c r="AJ29" s="1768">
        <f>-L31*(IF(F46="immediate",E46*MIN(20,time),E46*IF(time&gt;=time+20,20,IF(time&lt;=20,(time*VLOOKUP(F46,List!$E$35:$F$37,2,))+(time-time),((MIN(20,time)*VLOOKUP(F46,List!$E$35:$F$37,2,))+(time-MIN(20,time))-IF(F46="exponential",time-20+0.217*time*(EXP(4.606*(20-time)/time)-1),((time-20)^2)*(0.5/time)))))))</f>
        <v>0</v>
      </c>
      <c r="AK29" s="1768">
        <f>-L31*(IF(H46="immediate",G46*MIN(20,time),G46*IF(time&gt;time+20,20,IF(time&lt;20,(time*VLOOKUP(H46,List!$E$35:$F$37,2,))+(time-time),((MIN(20,time)*VLOOKUP(H46,List!$E$35:$F$37,2,))+(time-MIN(20,time))-IF(H46="exponential",time-20+0.217*time*(EXP(4.606*(20-time)/time)-1),((time-20)^2)*(0.5/time)))))))</f>
        <v>0</v>
      </c>
    </row>
    <row r="30" spans="1:41" s="1767" customFormat="1" ht="13.5" thickBot="1">
      <c r="A30" s="1758" t="s">
        <v>1290</v>
      </c>
      <c r="B30" s="1769" t="s">
        <v>1116</v>
      </c>
      <c r="C30" s="1988" t="str">
        <f>'2.LUC'!B33</f>
        <v>Select the vegetation</v>
      </c>
      <c r="D30" s="1988"/>
      <c r="E30" s="1988" t="str">
        <f>'2.LUC'!F33</f>
        <v>Select previous use</v>
      </c>
      <c r="F30" s="1989"/>
      <c r="G30" s="1988" t="str">
        <f>'2.LUC'!E33</f>
        <v>NO</v>
      </c>
      <c r="H30" s="1770">
        <f>IF(E30=List!$A$85,0,HLOOKUP(E30,' IPCC'!$A$290:$J$302,1+MATCH(clim_full,' IPCC'!$A$291:$A$302,),))</f>
        <v>0</v>
      </c>
      <c r="I30" s="1771"/>
      <c r="J30" s="1772">
        <f>IF(E30=List!$A$85,0,VLOOKUP(clim_full,' IPCC'!$A$307:$J$318,1+MATCH($E30,' IPCC'!$B$306:$J$306,),))</f>
        <v>0</v>
      </c>
      <c r="K30" s="1763">
        <f>IF(C30=List!$A$50,0,(1-J30)*VLOOKUP($C30,$C$10:$S$18,17,))</f>
        <v>0</v>
      </c>
      <c r="L30" s="1764">
        <f t="shared" si="6"/>
        <v>0</v>
      </c>
      <c r="M30" s="1765">
        <f>IF(E30=List!$A$85,0,IF(G30="YES",IF(I30="",H30,$I30))*VLOOKUP($E30,' IPCC'!$A$322:$B$329,2,)*2.5*VLOOKUP($E30,' IPCC'!$A$322:$E$329,4,))</f>
        <v>0</v>
      </c>
      <c r="N30" s="1762">
        <f>IF(E30=List!$A$85,0,IF(G30="YES",IF(I30="",H30,$I30))*VLOOKUP($E30,' IPCC'!$A$322:$B$329,2,)*2.5*VLOOKUP($E30,' IPCC'!$A$322:$E$329,5,))</f>
        <v>0</v>
      </c>
      <c r="O30" s="1766">
        <f t="shared" si="7"/>
        <v>0</v>
      </c>
      <c r="P30" s="1763">
        <f>IF(C30=List!$A$73,0,VLOOKUP($C30,$C$10:$P$18,8,)+VLOOKUP($C30,$C$10:$P$18,10,))</f>
        <v>0</v>
      </c>
      <c r="Q30" s="1763">
        <f>IF(C30=List!$A$73,0,VLOOKUP($C30,$C$10:$P$18,12,)+VLOOKUP($C30,$C$10:$P$18,14,))</f>
        <v>0</v>
      </c>
      <c r="R30" s="2168">
        <f>IF(C30=List!$A$73,0,VLOOKUP($C30,$C$10:$R$18,15,)+VLOOKUP($C30,$C$10:$R$18,16,))</f>
        <v>0</v>
      </c>
      <c r="T30" s="1915" t="s">
        <v>332</v>
      </c>
      <c r="U30" s="1915">
        <f>SUM(AA8:AA17)</f>
        <v>0</v>
      </c>
      <c r="V30" s="1915">
        <f>SUM(AB8:AB17)</f>
        <v>0</v>
      </c>
      <c r="AA30" s="1915" t="s">
        <v>333</v>
      </c>
      <c r="AB30" s="1915">
        <f>SUM(AD8:AD17)-SUM(AC8:AC17)</f>
        <v>0</v>
      </c>
      <c r="AC30" s="1915">
        <f>IF(time=0,0,AB30)</f>
        <v>0</v>
      </c>
      <c r="AD30" s="1915">
        <f>AB30-AC30</f>
        <v>0</v>
      </c>
      <c r="AE30" s="1901"/>
      <c r="AF30" s="1914">
        <f>-(44/12)*($P32*(IF(F47="immediate",E47*MIN(20,time),E47*IF(time&gt;time+20,20,IF(time_tot&lt;20,(time*VLOOKUP(F47,List!$E$35:$F$37,2,)),((MIN(20,time)*VLOOKUP(F47,List!$E$35:$F$37,2,))+(time-MIN(20,time))-IF(F47="exponential",time-20+0.217*time*(EXP(4.606*(20-time)/time)-1),((time-20)^2)*(0.5/time)))))))+($R32*E47)+($Q32*(IF(F47="immediate",E47*(time-MIN(20,time)),E47*IF(time&gt;time+20,(time*VLOOKUP(F47,List!$E$35:$F$37,2,))+(time-time-20),IF(time&lt;20,0,IF(F47="exponential",time-20+0.217*time*(EXP(4.606*(20-time)/time)-1),((time-20)^2)*(0.5/time))))))))</f>
        <v>0</v>
      </c>
      <c r="AG30" s="1768">
        <f>-(44/12)*($P32*(IF(H47="immediate",G47*MIN(20,time),G47*IF(time&gt;time+20,20,IF(time_tot&lt;20,(time*VLOOKUP(H47,List!$E$35:$F$37,2,)),((MIN(20,time)*VLOOKUP(H47,List!$E$35:$F$37,2,))+(time-MIN(20,time))-IF(H47="exponential",time-20+0.217*time*(EXP(4.606*(20-time)/time)-1),((time-20)^2)*(0.5/time)))))))+($R32*G47)+($Q32*(IF(H47="immediate",G47*(time-MIN(20,time)),G47*IF(time&gt;time+20,(time*VLOOKUP(H47,List!$E$35:$F$37,2,))+(time-time-20),IF(time&lt;20,0,IF(H47="exponential",time-20+0.217*time*(EXP(4.606*(20-time)/time)-1),((time-20)^2)*(0.5/time))))))))</f>
        <v>0</v>
      </c>
      <c r="AH30" s="1768">
        <f t="shared" si="4"/>
        <v>0</v>
      </c>
      <c r="AI30" s="1768">
        <f t="shared" si="5"/>
        <v>0</v>
      </c>
      <c r="AJ30" s="1768">
        <f>-L32*(IF(F47="immediate",E47*MIN(20,time),E47*IF(time&gt;=time+20,20,IF(time&lt;=20,(time*VLOOKUP(F47,List!$E$35:$F$37,2,))+(time-time),((MIN(20,time)*VLOOKUP(F47,List!$E$35:$F$37,2,))+(time-MIN(20,time))-IF(F47="exponential",time-20+0.217*time*(EXP(4.606*(20-time)/time)-1),((time-20)^2)*(0.5/time)))))))</f>
        <v>0</v>
      </c>
      <c r="AK30" s="1768">
        <f>-L32*(IF(H47="immediate",G47*MIN(20,time),G47*IF(time&gt;time+20,20,IF(time&lt;20,(time*VLOOKUP(H47,List!$E$35:$F$37,2,))+(time-time),((MIN(20,time)*VLOOKUP(H47,List!$E$35:$F$37,2,))+(time-MIN(20,time))-IF(H47="exponential",time-20+0.217*time*(EXP(4.606*(20-time)/time)-1),((time-20)^2)*(0.5/time)))))))</f>
        <v>0</v>
      </c>
    </row>
    <row r="31" spans="1:41" s="1767" customFormat="1" ht="13.5" thickBot="1">
      <c r="A31" s="1758" t="s">
        <v>1290</v>
      </c>
      <c r="B31" s="1769" t="s">
        <v>1117</v>
      </c>
      <c r="C31" s="1988" t="str">
        <f>'2.LUC'!B34</f>
        <v>Select the vegetation</v>
      </c>
      <c r="D31" s="1988"/>
      <c r="E31" s="1988" t="str">
        <f>'2.LUC'!F34</f>
        <v>Select previous use</v>
      </c>
      <c r="F31" s="1989"/>
      <c r="G31" s="1988" t="str">
        <f>'2.LUC'!E34</f>
        <v>NO</v>
      </c>
      <c r="H31" s="1770">
        <f>IF(E31=List!$A$85,0,HLOOKUP(E31,' IPCC'!$A$290:$J$302,1+MATCH(clim_full,' IPCC'!$A$291:$A$302,),))</f>
        <v>0</v>
      </c>
      <c r="I31" s="1771"/>
      <c r="J31" s="1772">
        <f>IF(E31=List!$A$85,0,VLOOKUP(clim_full,' IPCC'!$A$307:$J$318,1+MATCH($E31,' IPCC'!$B$306:$J$306,),))</f>
        <v>0</v>
      </c>
      <c r="K31" s="1763">
        <f>IF(C31=List!$A$50,0,(1-J31)*VLOOKUP($C31,$C$10:$S$18,17,))</f>
        <v>0</v>
      </c>
      <c r="L31" s="1764">
        <f t="shared" si="6"/>
        <v>0</v>
      </c>
      <c r="M31" s="1765">
        <f>IF(E31=List!$A$85,0,IF(G31="YES",IF(I31="",H31,$I31))*VLOOKUP($E31,' IPCC'!$A$322:$B$329,2,)*2.5*VLOOKUP($E31,' IPCC'!$A$322:$E$329,4,))</f>
        <v>0</v>
      </c>
      <c r="N31" s="1762">
        <f>IF(E31=List!$A$85,0,IF(G31="YES",IF(I31="",H31,$I31))*VLOOKUP($E31,' IPCC'!$A$322:$B$329,2,)*2.5*VLOOKUP($E31,' IPCC'!$A$322:$E$329,5,))</f>
        <v>0</v>
      </c>
      <c r="O31" s="1766">
        <f t="shared" si="7"/>
        <v>0</v>
      </c>
      <c r="P31" s="1763">
        <f>IF(C31=List!$A$73,0,VLOOKUP($C31,$C$10:$P$18,8,)+VLOOKUP($C31,$C$10:$P$18,10,))</f>
        <v>0</v>
      </c>
      <c r="Q31" s="1763">
        <f>IF(C31=List!$A$73,0,VLOOKUP($C31,$C$10:$P$18,12,)+VLOOKUP($C31,$C$10:$P$18,14,))</f>
        <v>0</v>
      </c>
      <c r="R31" s="2168">
        <f>IF(C31=List!$A$73,0,VLOOKUP($C31,$C$10:$R$18,15,)+VLOOKUP($C31,$C$10:$R$18,16,))</f>
        <v>0</v>
      </c>
      <c r="T31" s="1915" t="s">
        <v>333</v>
      </c>
      <c r="U31" s="1915">
        <f>SUM(AC8:AC17)</f>
        <v>0</v>
      </c>
      <c r="V31" s="1915">
        <f>SUM(AD8:AD17)</f>
        <v>0</v>
      </c>
      <c r="AA31" s="1915"/>
      <c r="AB31" s="1915">
        <f>SUM(AB27:AB30)</f>
        <v>0</v>
      </c>
      <c r="AC31" s="1915">
        <f>SUM(AC27:AC30)</f>
        <v>0</v>
      </c>
      <c r="AD31" s="1915">
        <f>SUM(AD27:AD30)</f>
        <v>0</v>
      </c>
      <c r="AE31" s="1901"/>
      <c r="AF31" s="1914">
        <f>-(44/12)*($P33*(IF(F48="immediate",E48*MIN(20,time),E48*IF(time&gt;time+20,20,IF(time_tot&lt;20,(time*VLOOKUP(F48,List!$E$35:$F$37,2,)),((MIN(20,time)*VLOOKUP(F48,List!$E$35:$F$37,2,))+(time-MIN(20,time))-IF(F48="exponential",time-20+0.217*time*(EXP(4.606*(20-time)/time)-1),((time-20)^2)*(0.5/time)))))))+($R33*E48)+($Q33*(IF(F48="immediate",E48*(time-MIN(20,time)),E48*IF(time&gt;time+20,(time*VLOOKUP(F48,List!$E$35:$F$37,2,))+(time-time-20),IF(time&lt;20,0,IF(F48="exponential",time-20+0.217*time*(EXP(4.606*(20-time)/time)-1),((time-20)^2)*(0.5/time))))))))</f>
        <v>0</v>
      </c>
      <c r="AG31" s="1768">
        <f>-(44/12)*($P33*(IF(H48="immediate",G48*MIN(20,time),G48*IF(time&gt;time+20,20,IF(time_tot&lt;20,(time*VLOOKUP(H48,List!$E$35:$F$37,2,)),((MIN(20,time)*VLOOKUP(H48,List!$E$35:$F$37,2,))+(time-MIN(20,time))-IF(H48="exponential",time-20+0.217*time*(EXP(4.606*(20-time)/time)-1),((time-20)^2)*(0.5/time)))))))+($R33*G48)+($Q33*(IF(H48="immediate",G48*(time-MIN(20,time)),G48*IF(time&gt;time+20,(time*VLOOKUP(H48,List!$E$35:$F$37,2,))+(time-time-20),IF(time&lt;20,0,IF(H48="exponential",time-20+0.217*time*(EXP(4.606*(20-time)/time)-1),((time-20)^2)*(0.5/time))))))))</f>
        <v>0</v>
      </c>
      <c r="AH31" s="1768">
        <f t="shared" si="4"/>
        <v>0</v>
      </c>
      <c r="AI31" s="1768">
        <f t="shared" si="5"/>
        <v>0</v>
      </c>
      <c r="AJ31" s="1768">
        <f>-L33*(IF(F48="immediate",E48*MIN(20,time),E48*IF(time&gt;=time+20,20,IF(time&lt;=20,(time*VLOOKUP(F48,List!$E$35:$F$37,2,))+(time-time),((MIN(20,time)*VLOOKUP(F48,List!$E$35:$F$37,2,))+(time-MIN(20,time))-IF(F48="exponential",time-20+0.217*time*(EXP(4.606*(20-time)/time)-1),((time-20)^2)*(0.5/time)))))))</f>
        <v>0</v>
      </c>
      <c r="AK31" s="1768">
        <f>-L33*(IF(H48="immediate",G48*MIN(20,time),G48*IF(time&gt;time+20,20,IF(time&lt;20,(time*VLOOKUP(H48,List!$E$35:$F$37,2,))+(time-time),((MIN(20,time)*VLOOKUP(H48,List!$E$35:$F$37,2,))+(time-MIN(20,time))-IF(H48="exponential",time-20+0.217*time*(EXP(4.606*(20-time)/time)-1),((time-20)^2)*(0.5/time)))))))</f>
        <v>0</v>
      </c>
    </row>
    <row r="32" spans="1:41" s="49" customFormat="1" ht="13.5" thickBot="1">
      <c r="B32" s="254" t="s">
        <v>1118</v>
      </c>
      <c r="C32" s="1988" t="str">
        <f>'2.LUC'!B35</f>
        <v>Select the vegetation</v>
      </c>
      <c r="D32" s="1990"/>
      <c r="E32" s="1988" t="str">
        <f>'2.LUC'!F35</f>
        <v>Select previous use</v>
      </c>
      <c r="F32" s="1990"/>
      <c r="G32" s="1988" t="str">
        <f>'2.LUC'!E35</f>
        <v>NO</v>
      </c>
      <c r="H32" s="418">
        <f>IF(E32=List!$A$85,0,HLOOKUP(E32,' IPCC'!$A$290:$J$302,1+MATCH(clim_full,' IPCC'!$A$291:$A$302,),))</f>
        <v>0</v>
      </c>
      <c r="I32" s="684"/>
      <c r="J32" s="341">
        <f>IF(E32=List!$A$85,0,VLOOKUP(clim_full,' IPCC'!$A$307:$J$318,1+MATCH($E32,' IPCC'!$B$306:$J$306,),))</f>
        <v>0</v>
      </c>
      <c r="K32" s="1763">
        <f>IF(C32=List!$A$50,0,(1-J32)*VLOOKUP($C32,$C$10:$S$18,17,))</f>
        <v>0</v>
      </c>
      <c r="L32" s="1764">
        <f t="shared" si="6"/>
        <v>0</v>
      </c>
      <c r="M32" s="1765">
        <f>IF(E32=List!$A$85,0,IF(G32="YES",IF(I32="",H32,$I32))*VLOOKUP($E32,' IPCC'!$A$322:$B$329,2,)*2.5*VLOOKUP($E32,' IPCC'!$A$322:$E$329,4,))</f>
        <v>0</v>
      </c>
      <c r="N32" s="1762">
        <f>IF(E32=List!$A$85,0,IF(G32="YES",IF(I32="",H32,$I32))*VLOOKUP($E32,' IPCC'!$A$322:$B$329,2,)*2.5*VLOOKUP($E32,' IPCC'!$A$322:$E$329,5,))</f>
        <v>0</v>
      </c>
      <c r="O32" s="1766">
        <f t="shared" si="7"/>
        <v>0</v>
      </c>
      <c r="P32" s="1763">
        <f>IF(C32=List!$A$73,0,VLOOKUP($C32,$C$10:$P$18,8,)+VLOOKUP($C32,$C$10:$P$18,10,))</f>
        <v>0</v>
      </c>
      <c r="Q32" s="1763">
        <f>IF(C32=List!$A$73,0,VLOOKUP($C32,$C$10:$P$18,12,)+VLOOKUP($C32,$C$10:$P$18,14,))</f>
        <v>0</v>
      </c>
      <c r="R32" s="2168">
        <f>IF(C32=List!$A$73,0,VLOOKUP($C32,$C$10:$R$18,15,)+VLOOKUP($C32,$C$10:$R$18,16,))</f>
        <v>0</v>
      </c>
      <c r="V32" s="1066"/>
      <c r="W32" s="1066"/>
      <c r="X32" s="1066"/>
      <c r="Y32" s="1066"/>
      <c r="Z32" s="1066"/>
      <c r="AA32" s="1901"/>
      <c r="AB32" s="1901"/>
      <c r="AC32" s="1901"/>
      <c r="AD32" s="1901"/>
      <c r="AE32" s="1901"/>
      <c r="AF32" s="1914">
        <f>-(44/12)*($P34*(IF(F49="immediate",E49*MIN(20,time),E49*IF(time&gt;time+20,20,IF(time_tot&lt;20,(time*VLOOKUP(F49,List!$E$35:$F$37,2,)),((MIN(20,time)*VLOOKUP(F49,List!$E$35:$F$37,2,))+(time-MIN(20,time))-IF(F49="exponential",time-20+0.217*time*(EXP(4.606*(20-time)/time)-1),((time-20)^2)*(0.5/time)))))))+($R34*E49)+($Q34*(IF(F49="immediate",E49*(time-MIN(20,time)),E49*IF(time&gt;time+20,(time*VLOOKUP(F49,List!$E$35:$F$37,2,))+(time-time-20),IF(time&lt;20,0,IF(F49="exponential",time-20+0.217*time*(EXP(4.606*(20-time)/time)-1),((time-20)^2)*(0.5/time))))))))</f>
        <v>0</v>
      </c>
      <c r="AG32" s="1068">
        <f>-(44/12)*($P34*(IF(H49="immediate",G49*MIN(20,time),G49*IF(time&gt;time+20,20,IF(time_tot&lt;20,(time*VLOOKUP(H49,List!$E$35:$F$37,2,)),((MIN(20,time)*VLOOKUP(H49,List!$E$35:$F$37,2,))+(time-MIN(20,time))-IF(H49="exponential",time-20+0.217*time*(EXP(4.606*(20-time)/time)-1),((time-20)^2)*(0.5/time)))))))+($R34*G49)+($Q34*(IF(H49="immediate",G49*(time-MIN(20,time)),G49*IF(time&gt;time+20,(time*VLOOKUP(H49,List!$E$35:$F$37,2,))+(time-time-20),IF(time&lt;20,0,IF(H49="exponential",time-20+0.217*time*(EXP(4.606*(20-time)/time)-1),((time-20)^2)*(0.5/time))))))))</f>
        <v>0</v>
      </c>
      <c r="AH32" s="1068">
        <f t="shared" si="4"/>
        <v>0</v>
      </c>
      <c r="AI32" s="1068">
        <f t="shared" si="5"/>
        <v>0</v>
      </c>
      <c r="AJ32" s="1068">
        <f>-L34*(IF(F49="immediate",E49*MIN(20,time),E49*IF(time&gt;=time+20,20,IF(time&lt;=20,(time*VLOOKUP(F49,List!$E$35:$F$37,2,))+(time-time),((MIN(20,time)*VLOOKUP(F49,List!$E$35:$F$37,2,))+(time-MIN(20,time))-IF(F49="exponential",time-20+0.217*time*(EXP(4.606*(20-time)/time)-1),((time-20)^2)*(0.5/time)))))))</f>
        <v>0</v>
      </c>
      <c r="AK32" s="1068">
        <f>-L34*(IF(H49="immediate",G49*MIN(20,time),G49*IF(time&gt;time+20,20,IF(time&lt;20,(time*VLOOKUP(H49,List!$E$35:$F$37,2,))+(time-time),((MIN(20,time)*VLOOKUP(H49,List!$E$35:$F$37,2,))+(time-MIN(20,time))-IF(H49="exponential",time-20+0.217*time*(EXP(4.606*(20-time)/time)-1),((time-20)^2)*(0.5/time)))))))</f>
        <v>0</v>
      </c>
      <c r="AL32" s="1066"/>
      <c r="AM32" s="210"/>
      <c r="AN32" s="210"/>
      <c r="AO32" s="1497"/>
    </row>
    <row r="33" spans="1:41" s="49" customFormat="1" ht="13.5" thickBot="1">
      <c r="B33" s="254" t="s">
        <v>1119</v>
      </c>
      <c r="C33" s="1988" t="str">
        <f>'2.LUC'!B36</f>
        <v>Select the vegetation</v>
      </c>
      <c r="D33" s="1991"/>
      <c r="E33" s="1988" t="str">
        <f>'2.LUC'!F36</f>
        <v>Select previous use</v>
      </c>
      <c r="F33" s="1991"/>
      <c r="G33" s="1988" t="str">
        <f>'2.LUC'!E36</f>
        <v>NO</v>
      </c>
      <c r="H33" s="418">
        <f>IF(E33=List!$A$85,0,HLOOKUP(E33,' IPCC'!$A$290:$J$302,1+MATCH(clim_full,' IPCC'!$A$291:$A$302,),))</f>
        <v>0</v>
      </c>
      <c r="I33" s="684"/>
      <c r="J33" s="341">
        <f>IF(E33=List!$A$85,0,VLOOKUP(clim_full,' IPCC'!$A$307:$J$318,1+MATCH($E33,' IPCC'!$B$306:$J$306,),))</f>
        <v>0</v>
      </c>
      <c r="K33" s="1763">
        <f>IF(C33=List!$A$50,0,(1-J33)*VLOOKUP($C33,$C$10:$S$18,17,))</f>
        <v>0</v>
      </c>
      <c r="L33" s="1764">
        <f t="shared" si="6"/>
        <v>0</v>
      </c>
      <c r="M33" s="1765">
        <f>IF(E33=List!$A$85,0,IF(G33="YES",IF(I33="",H33,$I33))*VLOOKUP($E33,' IPCC'!$A$322:$B$329,2,)*2.5*VLOOKUP($E33,' IPCC'!$A$322:$E$329,4,))</f>
        <v>0</v>
      </c>
      <c r="N33" s="1762">
        <f>IF(E33=List!$A$85,0,IF(G33="YES",IF(I33="",H33,$I33))*VLOOKUP($E33,' IPCC'!$A$322:$B$329,2,)*2.5*VLOOKUP($E33,' IPCC'!$A$322:$E$329,5,))</f>
        <v>0</v>
      </c>
      <c r="O33" s="1766">
        <f t="shared" si="7"/>
        <v>0</v>
      </c>
      <c r="P33" s="1763">
        <f>IF(C33=List!$A$73,0,VLOOKUP($C33,$C$10:$P$18,8,)+VLOOKUP($C33,$C$10:$P$18,10,))</f>
        <v>0</v>
      </c>
      <c r="Q33" s="1763">
        <f>IF(C33=List!$A$73,0,VLOOKUP($C33,$C$10:$P$18,12,)+VLOOKUP($C33,$C$10:$P$18,14,))</f>
        <v>0</v>
      </c>
      <c r="R33" s="2168">
        <f>IF(C33=List!$A$73,0,VLOOKUP($C33,$C$10:$R$18,15,)+VLOOKUP($C33,$C$10:$R$18,16,))</f>
        <v>0</v>
      </c>
      <c r="V33" s="1066"/>
      <c r="W33" s="1066"/>
      <c r="X33" s="1066"/>
      <c r="Y33" s="1066"/>
      <c r="Z33" s="1066"/>
      <c r="AA33" s="1901"/>
      <c r="AB33" s="1901"/>
      <c r="AC33" s="1901"/>
      <c r="AD33" s="1901"/>
      <c r="AE33" s="1901"/>
      <c r="AF33" s="1914">
        <f>-(44/12)*($P35*(IF(F50="immediate",E50*MIN(20,time),E50*IF(time&gt;time+20,20,IF(time_tot&lt;20,(time*VLOOKUP(F50,List!$E$35:$F$37,2,)),((MIN(20,time)*VLOOKUP(F50,List!$E$35:$F$37,2,))+(time-MIN(20,time))-IF(F50="exponential",time-20+0.217*time*(EXP(4.606*(20-time)/time)-1),((time-20)^2)*(0.5/time)))))))+($R35*E50)+($Q35*(IF(F50="immediate",E50*(time-MIN(20,time)),E50*IF(time&gt;time+20,(time*VLOOKUP(F50,List!$E$35:$F$37,2,))+(time-time-20),IF(time&lt;20,0,IF(F50="exponential",time-20+0.217*time*(EXP(4.606*(20-time)/time)-1),((time-20)^2)*(0.5/time))))))))</f>
        <v>0</v>
      </c>
      <c r="AG33" s="1068">
        <f>-(44/12)*($P35*(IF(H50="immediate",G50*MIN(20,time),G50*IF(time&gt;time+20,20,IF(time_tot&lt;20,(time*VLOOKUP(H50,List!$E$35:$F$37,2,)),((MIN(20,time)*VLOOKUP(H50,List!$E$35:$F$37,2,))+(time-MIN(20,time))-IF(H50="exponential",time-20+0.217*time*(EXP(4.606*(20-time)/time)-1),((time-20)^2)*(0.5/time)))))))+($R35*G50)+($Q35*(IF(H50="immediate",G50*(time-MIN(20,time)),G50*IF(time&gt;time+20,(time*VLOOKUP(H50,List!$E$35:$F$37,2,))+(time-time-20),IF(time&lt;20,0,IF(H50="exponential",time-20+0.217*time*(EXP(4.606*(20-time)/time)-1),((time-20)^2)*(0.5/time))))))))</f>
        <v>0</v>
      </c>
      <c r="AH33" s="1068">
        <f t="shared" si="4"/>
        <v>0</v>
      </c>
      <c r="AI33" s="1068">
        <f t="shared" si="5"/>
        <v>0</v>
      </c>
      <c r="AJ33" s="1068">
        <f>-L35*(IF(F50="immediate",E50*MIN(20,time),E50*IF(time&gt;=time+20,20,IF(time&lt;=20,(time*VLOOKUP(F50,List!$E$35:$F$37,2,))+(time-time),((MIN(20,time)*VLOOKUP(F50,List!$E$35:$F$37,2,))+(time-MIN(20,time))-IF(F50="exponential",time-20+0.217*time*(EXP(4.606*(20-time)/time)-1),((time-20)^2)*(0.5/time)))))))</f>
        <v>0</v>
      </c>
      <c r="AK33" s="1068">
        <f>-L35*(IF(H50="immediate",G50*MIN(20,time),G50*IF(time&gt;time+20,20,IF(time&lt;20,(time*VLOOKUP(H50,List!$E$35:$F$37,2,))+(time-time),((MIN(20,time)*VLOOKUP(H50,List!$E$35:$F$37,2,))+(time-MIN(20,time))-IF(H50="exponential",time-20+0.217*time*(EXP(4.606*(20-time)/time)-1),((time-20)^2)*(0.5/time)))))))</f>
        <v>0</v>
      </c>
      <c r="AL33" s="1066"/>
      <c r="AM33" s="210"/>
      <c r="AN33" s="210"/>
      <c r="AO33" s="1497"/>
    </row>
    <row r="34" spans="1:41" s="49" customFormat="1" ht="13.5" thickBot="1">
      <c r="B34" s="220" t="s">
        <v>1120</v>
      </c>
      <c r="C34" s="1988" t="str">
        <f>'2.LUC'!B37</f>
        <v>Select the vegetation</v>
      </c>
      <c r="D34" s="1991"/>
      <c r="E34" s="1988" t="str">
        <f>'2.LUC'!F37</f>
        <v>Select previous use</v>
      </c>
      <c r="F34" s="1991"/>
      <c r="G34" s="1988" t="str">
        <f>'2.LUC'!E37</f>
        <v>NO</v>
      </c>
      <c r="H34" s="418">
        <f>IF(E34=List!$A$85,0,HLOOKUP(E34,' IPCC'!$A$290:$J$302,1+MATCH(clim_full,' IPCC'!$A$291:$A$302,),))</f>
        <v>0</v>
      </c>
      <c r="I34" s="684"/>
      <c r="J34" s="341">
        <f>IF(E34=List!$A$85,0,VLOOKUP(clim_full,' IPCC'!$A$307:$J$318,1+MATCH($E34,' IPCC'!$B$306:$J$306,),))</f>
        <v>0</v>
      </c>
      <c r="K34" s="1763">
        <f>IF(C34=List!$A$50,0,(1-J34)*VLOOKUP($C34,$C$10:$S$18,17,))</f>
        <v>0</v>
      </c>
      <c r="L34" s="1764">
        <f t="shared" si="6"/>
        <v>0</v>
      </c>
      <c r="M34" s="1765">
        <f>IF(E34=List!$A$85,0,IF(G34="YES",IF(I34="",H34,$I34))*VLOOKUP($E34,' IPCC'!$A$322:$B$329,2,)*2.5*VLOOKUP($E34,' IPCC'!$A$322:$E$329,4,))</f>
        <v>0</v>
      </c>
      <c r="N34" s="1762">
        <f>IF(E34=List!$A$85,0,IF(G34="YES",IF(I34="",H34,$I34))*VLOOKUP($E34,' IPCC'!$A$322:$B$329,2,)*2.5*VLOOKUP($E34,' IPCC'!$A$322:$E$329,5,))</f>
        <v>0</v>
      </c>
      <c r="O34" s="1766">
        <f t="shared" si="7"/>
        <v>0</v>
      </c>
      <c r="P34" s="1763">
        <f>IF(C34=List!$A$73,0,VLOOKUP($C34,$C$10:$P$18,8,)+VLOOKUP($C34,$C$10:$P$18,10,))</f>
        <v>0</v>
      </c>
      <c r="Q34" s="1763">
        <f>IF(C34=List!$A$73,0,VLOOKUP($C34,$C$10:$P$18,12,)+VLOOKUP($C34,$C$10:$P$18,14,))</f>
        <v>0</v>
      </c>
      <c r="R34" s="2168">
        <f>IF(C34=List!$A$73,0,VLOOKUP($C34,$C$10:$R$18,15,)+VLOOKUP($C34,$C$10:$R$18,16,))</f>
        <v>0</v>
      </c>
      <c r="V34" s="1066"/>
      <c r="W34" s="1066"/>
      <c r="X34" s="1066"/>
      <c r="Y34" s="1066"/>
      <c r="Z34" s="1066"/>
      <c r="AA34" s="1902"/>
      <c r="AB34" s="1902"/>
      <c r="AC34" s="1901"/>
      <c r="AD34" s="1901"/>
      <c r="AE34" s="1901"/>
      <c r="AF34" s="1914">
        <f>-(44/12)*($P36*(IF(F51="immediate",E51*MIN(20,time),E51*IF(time&gt;time+20,20,IF(time_tot&lt;20,(time*VLOOKUP(F51,List!$E$35:$F$37,2,)),((MIN(20,time)*VLOOKUP(F51,List!$E$35:$F$37,2,))+(time-MIN(20,time))-IF(F51="exponential",time-20+0.217*time*(EXP(4.606*(20-time)/time)-1),((time-20)^2)*(0.5/time)))))))+($R36*E51)+($Q36*(IF(F51="immediate",E51*(time-MIN(20,time)),E51*IF(time&gt;time+20,(time*VLOOKUP(F51,List!$E$35:$F$37,2,))+(time-time-20),IF(time&lt;20,0,IF(F51="exponential",time-20+0.217*time*(EXP(4.606*(20-time)/time)-1),((time-20)^2)*(0.5/time))))))))</f>
        <v>0</v>
      </c>
      <c r="AG34" s="1068">
        <f>-(44/12)*($P36*(IF(H51="immediate",G51*MIN(20,time),G51*IF(time&gt;time+20,20,IF(time_tot&lt;20,(time*VLOOKUP(H51,List!$E$35:$F$37,2,)),((MIN(20,time)*VLOOKUP(H51,List!$E$35:$F$37,2,))+(time-MIN(20,time))-IF(H51="exponential",time-20+0.217*time*(EXP(4.606*(20-time)/time)-1),((time-20)^2)*(0.5/time)))))))+($R36*G51)+($Q36*(IF(H51="immediate",G51*(time-MIN(20,time)),G51*IF(time&gt;time+20,(time*VLOOKUP(H51,List!$E$35:$F$37,2,))+(time-time-20),IF(time&lt;20,0,IF(H51="exponential",time-20+0.217*time*(EXP(4.606*(20-time)/time)-1),((time-20)^2)*(0.5/time))))))))</f>
        <v>0</v>
      </c>
      <c r="AH34" s="1068">
        <f t="shared" si="4"/>
        <v>0</v>
      </c>
      <c r="AI34" s="1068">
        <f t="shared" si="5"/>
        <v>0</v>
      </c>
      <c r="AJ34" s="1068">
        <f>-L36*(IF(F51="immediate",E51*MIN(20,time),E51*IF(time&gt;=time+20,20,IF(time&lt;=20,(time*VLOOKUP(F51,List!$E$35:$F$37,2,))+(time-time),((MIN(20,time)*VLOOKUP(F51,List!$E$35:$F$37,2,))+(time-MIN(20,time))-IF(F51="exponential",time-20+0.217*time*(EXP(4.606*(20-time)/time)-1),((time-20)^2)*(0.5/time)))))))</f>
        <v>0</v>
      </c>
      <c r="AK34" s="1068">
        <f>-L36*(IF(H51="immediate",G51*MIN(20,time),G51*IF(time&gt;time+20,20,IF(time&lt;20,(time*VLOOKUP(H51,List!$E$35:$F$37,2,))+(time-time),((MIN(20,time)*VLOOKUP(H51,List!$E$35:$F$37,2,))+(time-MIN(20,time))-IF(H51="exponential",time-20+0.217*time*(EXP(4.606*(20-time)/time)-1),((time-20)^2)*(0.5/time)))))))</f>
        <v>0</v>
      </c>
      <c r="AL34" s="1066"/>
      <c r="AM34" s="210"/>
      <c r="AN34" s="210"/>
      <c r="AO34" s="1497"/>
    </row>
    <row r="35" spans="1:41" s="49" customFormat="1" ht="13.5" thickBot="1">
      <c r="B35" s="220" t="s">
        <v>1121</v>
      </c>
      <c r="C35" s="1988" t="str">
        <f>'2.LUC'!B38</f>
        <v>Select the vegetation</v>
      </c>
      <c r="D35" s="1991"/>
      <c r="E35" s="1988" t="str">
        <f>'2.LUC'!F38</f>
        <v>Select previous use</v>
      </c>
      <c r="F35" s="1991"/>
      <c r="G35" s="1988" t="str">
        <f>'2.LUC'!E38</f>
        <v>NO</v>
      </c>
      <c r="H35" s="418">
        <f>IF(E35=List!$A$85,0,HLOOKUP(E35,' IPCC'!$A$290:$J$302,1+MATCH(clim_full,' IPCC'!$A$291:$A$302,),))</f>
        <v>0</v>
      </c>
      <c r="I35" s="684"/>
      <c r="J35" s="341">
        <f>IF(E35=List!$A$85,0,VLOOKUP(clim_full,' IPCC'!$A$307:$J$318,1+MATCH($E35,' IPCC'!$B$306:$J$306,),))</f>
        <v>0</v>
      </c>
      <c r="K35" s="1763">
        <f>IF(C35=List!$A$50,0,(1-J35)*VLOOKUP($C35,$C$10:$S$18,17,))</f>
        <v>0</v>
      </c>
      <c r="L35" s="1764">
        <f t="shared" si="6"/>
        <v>0</v>
      </c>
      <c r="M35" s="1765">
        <f>IF(E35=List!$A$85,0,IF(G35="YES",IF(I35="",H35,$I35))*VLOOKUP($E35,' IPCC'!$A$322:$B$329,2,)*2.5*VLOOKUP($E35,' IPCC'!$A$322:$E$329,4,))</f>
        <v>0</v>
      </c>
      <c r="N35" s="1762">
        <f>IF(E35=List!$A$85,0,IF(G35="YES",IF(I35="",H35,$I35))*VLOOKUP($E35,' IPCC'!$A$322:$B$329,2,)*2.5*VLOOKUP($E35,' IPCC'!$A$322:$E$329,5,))</f>
        <v>0</v>
      </c>
      <c r="O35" s="1766">
        <f t="shared" si="7"/>
        <v>0</v>
      </c>
      <c r="P35" s="1763">
        <f>IF(C35=List!$A$73,0,VLOOKUP($C35,$C$10:$P$18,8,)+VLOOKUP($C35,$C$10:$P$18,10,))</f>
        <v>0</v>
      </c>
      <c r="Q35" s="1763">
        <f>IF(C35=List!$A$73,0,VLOOKUP($C35,$C$10:$P$18,12,)+VLOOKUP($C35,$C$10:$P$18,14,))</f>
        <v>0</v>
      </c>
      <c r="R35" s="2168">
        <f>IF(C35=List!$A$73,0,VLOOKUP($C35,$C$10:$R$18,15,)+VLOOKUP($C35,$C$10:$R$18,16,))</f>
        <v>0</v>
      </c>
      <c r="V35" s="1066"/>
      <c r="W35" s="1066"/>
      <c r="X35" s="1066"/>
      <c r="Y35" s="1066"/>
      <c r="Z35" s="1066"/>
      <c r="AA35" s="1902"/>
      <c r="AB35" s="1902"/>
      <c r="AC35" s="1901" t="s">
        <v>37</v>
      </c>
      <c r="AD35" s="1901">
        <f>time_tot</f>
        <v>0</v>
      </c>
      <c r="AE35" s="1901"/>
      <c r="AF35" s="1914">
        <f>-(44/12)*($P37*(IF(F52="immediate",E52*MIN(20,time),E52*IF(time&gt;time+20,20,IF(time_tot&lt;20,(time*VLOOKUP(F52,List!$E$35:$F$37,2,)),((MIN(20,time)*VLOOKUP(F52,List!$E$35:$F$37,2,))+(time-MIN(20,time))-IF(F52="exponential",time-20+0.217*time*(EXP(4.606*(20-time)/time)-1),((time-20)^2)*(0.5/time)))))))+($R37*E52)+($Q37*(IF(F52="immediate",E52*(time-MIN(20,time)),E52*IF(time&gt;time+20,(time*VLOOKUP(F52,List!$E$35:$F$37,2,))+(time-time-20),IF(time&lt;20,0,IF(F52="exponential",time-20+0.217*time*(EXP(4.606*(20-time)/time)-1),((time-20)^2)*(0.5/time))))))))</f>
        <v>0</v>
      </c>
      <c r="AG35" s="1068">
        <f>-(44/12)*($P37*(IF(H52="immediate",G52*MIN(20,time),G52*IF(time&gt;time+20,20,IF(time_tot&lt;20,(time*VLOOKUP(H52,List!$E$35:$F$37,2,)),((MIN(20,time)*VLOOKUP(H52,List!$E$35:$F$37,2,))+(time-MIN(20,time))-IF(H52="exponential",time-20+0.217*time*(EXP(4.606*(20-time)/time)-1),((time-20)^2)*(0.5/time)))))))+($R37*G52)+($Q37*(IF(H52="immediate",G52*(time-MIN(20,time)),G52*IF(time&gt;time+20,(time*VLOOKUP(H52,List!$E$35:$F$37,2,))+(time-time-20),IF(time&lt;20,0,IF(H52="exponential",time-20+0.217*time*(EXP(4.606*(20-time)/time)-1),((time-20)^2)*(0.5/time))))))))</f>
        <v>0</v>
      </c>
      <c r="AH35" s="1068">
        <f t="shared" si="4"/>
        <v>0</v>
      </c>
      <c r="AI35" s="1068">
        <f t="shared" si="5"/>
        <v>0</v>
      </c>
      <c r="AJ35" s="1068">
        <f>-L37*(IF(F52="immediate",E52*MIN(20,time),E52*IF(time&gt;=time+20,20,IF(time&lt;=20,(time*VLOOKUP(F52,List!$E$35:$F$37,2,))+(time-time),((MIN(20,time)*VLOOKUP(F52,List!$E$35:$F$37,2,))+(time-MIN(20,time))-IF(F52="exponential",time-20+0.217*time*(EXP(4.606*(20-time)/time)-1),((time-20)^2)*(0.5/time)))))))</f>
        <v>0</v>
      </c>
      <c r="AK35" s="1068">
        <f>-L37*(IF(H52="immediate",G52*MIN(20,time),G52*IF(time&gt;time+20,20,IF(time&lt;20,(time*VLOOKUP(H52,List!$E$35:$F$37,2,))+(time-time),((MIN(20,time)*VLOOKUP(H52,List!$E$35:$F$37,2,))+(time-MIN(20,time))-IF(H52="exponential",time-20+0.217*time*(EXP(4.606*(20-time)/time)-1),((time-20)^2)*(0.5/time)))))))</f>
        <v>0</v>
      </c>
      <c r="AL35" s="1066"/>
      <c r="AM35" s="210"/>
      <c r="AN35" s="210"/>
      <c r="AO35" s="1497"/>
    </row>
    <row r="36" spans="1:41" s="49" customFormat="1">
      <c r="B36" s="220" t="s">
        <v>1122</v>
      </c>
      <c r="C36" s="128" t="str">
        <f>F22</f>
        <v>Specific Vegetation 3</v>
      </c>
      <c r="D36" s="128"/>
      <c r="E36" s="3740" t="s">
        <v>13</v>
      </c>
      <c r="F36" s="3740"/>
      <c r="G36" s="683" t="s">
        <v>354</v>
      </c>
      <c r="H36" s="418">
        <f>IF(E36=List!$A$85,0,HLOOKUP(E36,' IPCC'!$A$290:$J$302,1+MATCH(clim_full,' IPCC'!$A$291:$A$302,),))</f>
        <v>0</v>
      </c>
      <c r="I36" s="684"/>
      <c r="J36" s="341">
        <f>IF(E36=List!$A$85,0,VLOOKUP(clim_full,' IPCC'!$A$307:$J$318,1+MATCH($E36,' IPCC'!$B$306:$J$306,),))</f>
        <v>0</v>
      </c>
      <c r="K36" s="287">
        <f>(1-J36)*S22</f>
        <v>0</v>
      </c>
      <c r="L36" s="288">
        <f t="shared" si="6"/>
        <v>0</v>
      </c>
      <c r="M36" s="289">
        <f>IF(E36=List!$A$85,0,IF(G36="YES",IF(I36="",H36,$I36))*VLOOKUP($E36,' IPCC'!$A$322:$B$329,2,)*2.5*VLOOKUP($E36,' IPCC'!$A$322:$E$329,4,))</f>
        <v>0</v>
      </c>
      <c r="N36" s="341">
        <f>IF(E36=List!$A$85,0,IF(G36="YES",IF(I36="",H36,$I36))*VLOOKUP($E36,' IPCC'!$A$322:$B$329,2,)*2.5*VLOOKUP($E36,' IPCC'!$A$322:$E$329,5,))</f>
        <v>0</v>
      </c>
      <c r="O36" s="995">
        <f t="shared" ref="O36:O37" si="8">(M36*methane+N36*Nitrous)/1000</f>
        <v>0</v>
      </c>
      <c r="P36" s="287">
        <f>J22+L22</f>
        <v>0</v>
      </c>
      <c r="Q36" s="287">
        <f>N22+P22</f>
        <v>0</v>
      </c>
      <c r="R36" s="1530">
        <f>Q22+R22</f>
        <v>0</v>
      </c>
      <c r="V36" s="1066"/>
      <c r="W36" s="1066"/>
      <c r="X36" s="1066"/>
      <c r="Y36" s="1066"/>
      <c r="Z36" s="1066"/>
      <c r="AA36" s="1914"/>
      <c r="AB36" s="1901"/>
      <c r="AC36" s="1901" t="s">
        <v>38</v>
      </c>
      <c r="AD36" s="1901">
        <f>time2</f>
        <v>0</v>
      </c>
      <c r="AE36" s="1901"/>
      <c r="AF36" s="1901"/>
      <c r="AG36" s="1066"/>
      <c r="AH36" s="1066"/>
      <c r="AI36" s="1066"/>
      <c r="AJ36" s="1066"/>
      <c r="AK36" s="1066"/>
      <c r="AL36" s="1066"/>
      <c r="AM36" s="210"/>
      <c r="AN36" s="210"/>
      <c r="AO36" s="1497"/>
    </row>
    <row r="37" spans="1:41" s="49" customFormat="1">
      <c r="B37" s="411" t="s">
        <v>1123</v>
      </c>
      <c r="C37" s="144" t="str">
        <f>F23</f>
        <v>Specific Vegetation 4</v>
      </c>
      <c r="D37" s="144"/>
      <c r="E37" s="3741" t="s">
        <v>13</v>
      </c>
      <c r="F37" s="3741"/>
      <c r="G37" s="998" t="s">
        <v>354</v>
      </c>
      <c r="H37" s="419">
        <f>IF(E37=List!$A$85,0,HLOOKUP(E37,' IPCC'!$A$290:$J$302,1+MATCH(clim_full,' IPCC'!$A$291:$A$302,),))</f>
        <v>0</v>
      </c>
      <c r="I37" s="685"/>
      <c r="J37" s="997">
        <f>IF(E37=List!$A$85,0,VLOOKUP(clim_full,' IPCC'!$A$307:$J$318,1+MATCH($E37,' IPCC'!$B$306:$J$306,),))</f>
        <v>0</v>
      </c>
      <c r="K37" s="1237">
        <f>(1-J37)*S23</f>
        <v>0</v>
      </c>
      <c r="L37" s="1239">
        <f t="shared" si="6"/>
        <v>0</v>
      </c>
      <c r="M37" s="996">
        <f>IF(E37=List!$A$85,0,IF(G37="YES",IF(I37="",H37,$I37))*VLOOKUP($E37,' IPCC'!$A$322:$B$329,2,)*2.5*VLOOKUP($E37,' IPCC'!$A$322:$E$329,4,))</f>
        <v>0</v>
      </c>
      <c r="N37" s="997">
        <f>IF(E37=List!$A$85,0,IF(G37="YES",IF(I37="",H37,$I37))*VLOOKUP($E37,' IPCC'!$A$322:$B$329,2,)*2.5*VLOOKUP($E37,' IPCC'!$A$322:$E$329,5,))</f>
        <v>0</v>
      </c>
      <c r="O37" s="1238">
        <f t="shared" si="8"/>
        <v>0</v>
      </c>
      <c r="P37" s="1237">
        <f>J23+L23</f>
        <v>0</v>
      </c>
      <c r="Q37" s="1237">
        <f>N23+P23</f>
        <v>0</v>
      </c>
      <c r="R37" s="1531">
        <f>Q23+R23</f>
        <v>0</v>
      </c>
      <c r="V37" s="1066"/>
      <c r="W37" s="1066"/>
      <c r="X37" s="1066"/>
      <c r="Y37" s="1066"/>
      <c r="Z37" s="1066"/>
      <c r="AA37" s="1901"/>
      <c r="AB37" s="1902"/>
      <c r="AC37" s="1901" t="s">
        <v>39</v>
      </c>
      <c r="AD37" s="1901">
        <f>time</f>
        <v>0</v>
      </c>
      <c r="AE37" s="1901"/>
      <c r="AF37" s="1901"/>
      <c r="AG37" s="1066"/>
      <c r="AH37" s="1066"/>
      <c r="AI37" s="1066"/>
      <c r="AJ37" s="1066"/>
      <c r="AK37" s="1066"/>
      <c r="AL37" s="1066"/>
      <c r="AM37" s="210"/>
      <c r="AN37" s="210"/>
      <c r="AO37" s="1497"/>
    </row>
    <row r="38" spans="1:41" s="49" customFormat="1">
      <c r="B38" s="111"/>
      <c r="C38" s="112"/>
      <c r="D38" s="111"/>
      <c r="E38" s="111"/>
      <c r="F38" s="111"/>
      <c r="G38" s="46"/>
      <c r="H38" s="46"/>
      <c r="I38" s="46"/>
      <c r="N38" s="46"/>
      <c r="O38" s="139"/>
      <c r="P38" s="139"/>
      <c r="Q38" s="140"/>
      <c r="R38" s="140"/>
      <c r="S38" s="140"/>
      <c r="T38" s="139"/>
      <c r="V38" s="1066"/>
      <c r="W38" s="1066"/>
      <c r="X38" s="1066"/>
      <c r="Y38" s="1066"/>
      <c r="Z38" s="1066"/>
      <c r="AA38" s="1901"/>
      <c r="AB38" s="1901"/>
      <c r="AC38" s="1901"/>
      <c r="AD38" s="1901"/>
      <c r="AE38" s="1901"/>
      <c r="AF38" s="1901"/>
      <c r="AG38" s="1066"/>
      <c r="AH38" s="1066"/>
      <c r="AI38" s="1066"/>
      <c r="AJ38" s="1066"/>
      <c r="AK38" s="1066"/>
      <c r="AL38" s="1066"/>
      <c r="AM38" s="210"/>
      <c r="AN38" s="210"/>
      <c r="AO38" s="1497"/>
    </row>
    <row r="39" spans="1:41">
      <c r="B39" s="50" t="s">
        <v>1001</v>
      </c>
      <c r="C39" s="52"/>
      <c r="D39" s="1278"/>
      <c r="E39" s="1278"/>
      <c r="F39" s="1278"/>
      <c r="G39" s="1279"/>
      <c r="H39" s="1278"/>
      <c r="I39" s="53"/>
      <c r="J39" s="53"/>
      <c r="K39" s="53"/>
      <c r="L39" s="53"/>
      <c r="M39" s="53"/>
      <c r="N39" s="52"/>
      <c r="O39" s="52"/>
      <c r="P39" s="52"/>
      <c r="Q39" s="52"/>
      <c r="R39" s="207"/>
      <c r="S39" s="620"/>
    </row>
    <row r="40" spans="1:41">
      <c r="B40" s="150" t="s">
        <v>490</v>
      </c>
      <c r="C40" s="135"/>
      <c r="D40" s="3737" t="s">
        <v>1150</v>
      </c>
      <c r="E40" s="3738"/>
      <c r="F40" s="3738"/>
      <c r="G40" s="3738"/>
      <c r="H40" s="3739"/>
      <c r="I40" s="3735" t="s">
        <v>999</v>
      </c>
      <c r="J40" s="3736"/>
      <c r="K40" s="17" t="s">
        <v>998</v>
      </c>
      <c r="L40" s="17"/>
      <c r="M40" s="133" t="s">
        <v>540</v>
      </c>
      <c r="N40" s="131"/>
      <c r="O40" s="558" t="s">
        <v>544</v>
      </c>
      <c r="P40" s="560"/>
      <c r="Q40" s="1065" t="s">
        <v>671</v>
      </c>
      <c r="R40" s="265"/>
      <c r="S40" s="20" t="s">
        <v>343</v>
      </c>
    </row>
    <row r="41" spans="1:41">
      <c r="B41" s="113"/>
      <c r="C41" s="13"/>
      <c r="D41" s="1283" t="s">
        <v>340</v>
      </c>
      <c r="E41" s="1280" t="s">
        <v>673</v>
      </c>
      <c r="F41" s="1267"/>
      <c r="G41" s="1281" t="s">
        <v>672</v>
      </c>
      <c r="H41" s="1282"/>
      <c r="I41" s="249" t="s">
        <v>674</v>
      </c>
      <c r="J41" s="250" t="s">
        <v>675</v>
      </c>
      <c r="K41" s="249" t="s">
        <v>674</v>
      </c>
      <c r="L41" s="250" t="s">
        <v>675</v>
      </c>
      <c r="M41" s="249" t="s">
        <v>674</v>
      </c>
      <c r="N41" s="250" t="s">
        <v>675</v>
      </c>
      <c r="O41" s="628" t="s">
        <v>674</v>
      </c>
      <c r="P41" s="629" t="s">
        <v>675</v>
      </c>
      <c r="Q41" s="249" t="s">
        <v>674</v>
      </c>
      <c r="R41" s="250" t="s">
        <v>675</v>
      </c>
      <c r="S41" s="171"/>
      <c r="AA41" s="1901" t="s">
        <v>1572</v>
      </c>
    </row>
    <row r="42" spans="1:41" ht="13.5" thickBot="1">
      <c r="B42" s="113"/>
      <c r="C42" s="13"/>
      <c r="D42" s="1284" t="s">
        <v>347</v>
      </c>
      <c r="E42" s="151" t="s">
        <v>341</v>
      </c>
      <c r="F42" s="152" t="s">
        <v>348</v>
      </c>
      <c r="G42" s="33" t="s">
        <v>341</v>
      </c>
      <c r="H42" s="34" t="s">
        <v>348</v>
      </c>
      <c r="I42" s="146" t="s">
        <v>541</v>
      </c>
      <c r="J42" s="149" t="s">
        <v>541</v>
      </c>
      <c r="K42" s="146" t="s">
        <v>541</v>
      </c>
      <c r="L42" s="149" t="s">
        <v>541</v>
      </c>
      <c r="M42" s="146" t="s">
        <v>541</v>
      </c>
      <c r="N42" s="149" t="s">
        <v>541</v>
      </c>
      <c r="O42" s="637" t="s">
        <v>541</v>
      </c>
      <c r="P42" s="638" t="s">
        <v>541</v>
      </c>
      <c r="Q42" s="146" t="s">
        <v>541</v>
      </c>
      <c r="R42" s="149" t="s">
        <v>541</v>
      </c>
      <c r="S42" s="1018" t="s">
        <v>541</v>
      </c>
      <c r="AA42" s="1901" t="s">
        <v>54</v>
      </c>
      <c r="AB42" s="1901" t="s">
        <v>274</v>
      </c>
    </row>
    <row r="43" spans="1:41" ht="13.5" thickBot="1">
      <c r="A43" s="1758" t="s">
        <v>1290</v>
      </c>
      <c r="B43" s="266" t="str">
        <f>B28</f>
        <v>A/R1</v>
      </c>
      <c r="C43" s="110"/>
      <c r="D43" s="409">
        <v>0</v>
      </c>
      <c r="E43" s="1986">
        <f>'2.LUC'!K31</f>
        <v>0</v>
      </c>
      <c r="F43" s="2169" t="str">
        <f>VLOOKUP('2.LUC'!L31,List!$D$35:$E$37,2,)</f>
        <v>Linear</v>
      </c>
      <c r="G43" s="1987">
        <f>'2.LUC'!M31</f>
        <v>0</v>
      </c>
      <c r="H43" s="2169" t="str">
        <f>VLOOKUP('2.LUC'!N31,List!$D$35:$E$37,2,)</f>
        <v>Linear</v>
      </c>
      <c r="I43" s="1485">
        <f>-(44/12)*($P28*(IF(F43="immediate",E43*MIN(20,time_tot),E43*IF(time_tot&gt;time+20,20,IF(time_tot&lt;20,(time*VLOOKUP(F43,List!$E$35:$F$37,2,))+(time_tot-time),((MIN(20,time)*VLOOKUP(F43,List!$E$35:$F$37,2,))+(time_tot-MIN(20,time))-IF(F43="exponential",time_tot-20+0.217*time*(EXP(4.606*(20-time_tot)/time)-1),((time_tot-20)^2)*(0.5/time)))))))+($R28*E43)+($Q28*(IF(F43="immediate",E43*(time_tot-MIN(20,time_tot)),E43*IF(time_tot&gt;time+20,(time*VLOOKUP(F43,List!$E$35:$F$37,2,))+(time_tot-time-20),IF(time_tot&lt;20,0,IF(F43="exponential",time_tot-20+0.217*time*(EXP(4.606*(20-time_tot)/time)-1),((time_tot-20)^2)*(0.5/time))))))))</f>
        <v>0</v>
      </c>
      <c r="J43" s="1602">
        <f>-(44/12)*($P28*(IF(H43="immediate",G43*MIN(20,time_tot),G43*IF(time_tot&gt;time+20,20,IF(time_tot&lt;20,(time*VLOOKUP(H43,List!$E$35:$F$37,2,))+(time_tot-time),((MIN(20,time)*VLOOKUP(H43,List!$E$35:$F$37,2,))+(time_tot-MIN(20,time))-IF(H43="exponential",time_tot-20+0.217*time*(EXP(4.606*(20-time_tot)/time)-1),((time_tot-20)^2)*(0.5/time)))))))+($R28*G43)+($Q28*(IF(H43="immediate",G43*(time_tot-MIN(20,time_tot)),G43*IF(time_tot&gt;time+20,(time*VLOOKUP(H43,List!$E$35:$F$37,2,))+(time_tot-time-20),IF(time_tot&lt;20,0,IF(H43="exponential",time_tot-20+0.217*time*(EXP(4.606*(20-time_tot)/time)-1),((time_tot-20)^2)*(0.5/time))))))))</f>
        <v>0</v>
      </c>
      <c r="K43" s="1779">
        <f>IF(I43=0,0,IF($C28=List!$A$50,0,IF($I28&gt;0,$E43*$I28,$E43*$H28)*44/12))</f>
        <v>0</v>
      </c>
      <c r="L43" s="1780">
        <f>IF(J43=0,0,IF($C28=List!$A$50,0,IF($I28&gt;0,$G43*$I28,$G43*$H28)*44/12))</f>
        <v>0</v>
      </c>
      <c r="M43" s="1457">
        <f>-L28*(IF(F43="immediate",E43*MIN(20,time_tot),E43*IF(time_tot&gt;time+20,20,IF(time_tot&lt;20,(time*VLOOKUP(F43,List!$E$35:$F$37,2,))+(time_tot-time),((MIN(20,time)*VLOOKUP(F43,List!$E$35:$F$37,2,))+(time_tot-MIN(20,time))-IF(F43="exponential",time_tot-20+0.217*time*(EXP(4.606*(20-time_tot)/time)-1),((time_tot-20)^2)*(0.5/time)))))))</f>
        <v>0</v>
      </c>
      <c r="N43" s="1458">
        <f>-L28*(IF(H43="immediate",G43*MIN(20,time_tot),G43*IF(time_tot&gt;time+20,20,IF(time_tot&lt;20,(time*VLOOKUP(H43,List!$E$35:$F$37,2,))+(time_tot-time),((MIN(20,time)*VLOOKUP(H43,List!$E$35:$F$37,2,))+(time_tot-MIN(20,time))-IF(H43="exponential",time_tot-20+0.217*time*(EXP(4.606*(20-time_tot)/time)-1),((time_tot-20)^2)*(0.5/time)))))))</f>
        <v>0</v>
      </c>
      <c r="O43" s="1781">
        <f>IF($C28=List!$A$50,0,IF(G28="yes",E43*O28,0))</f>
        <v>0</v>
      </c>
      <c r="P43" s="1782">
        <f>IF($C28=List!$A$50,0,IF(G28="yes",G43*O28,0))</f>
        <v>0</v>
      </c>
      <c r="Q43" s="1457">
        <f>I43+M43+K43+O43</f>
        <v>0</v>
      </c>
      <c r="R43" s="1458">
        <f>J43+N43+L43+P43</f>
        <v>0</v>
      </c>
      <c r="S43" s="282">
        <f t="shared" ref="S43:S52" si="9">R43-Q43</f>
        <v>0</v>
      </c>
      <c r="AA43" s="1901">
        <f>IF(M28&gt;0,E43,0)</f>
        <v>0</v>
      </c>
      <c r="AB43" s="1901">
        <f>IF(M28&gt;0,G43,0)</f>
        <v>0</v>
      </c>
    </row>
    <row r="44" spans="1:41" ht="13.5" thickBot="1">
      <c r="A44" s="1758" t="s">
        <v>1290</v>
      </c>
      <c r="B44" s="153" t="str">
        <f>B29</f>
        <v>A/R2</v>
      </c>
      <c r="C44" s="90"/>
      <c r="D44" s="409">
        <v>0</v>
      </c>
      <c r="E44" s="1986">
        <f>'2.LUC'!K32</f>
        <v>0</v>
      </c>
      <c r="F44" s="2169" t="str">
        <f>VLOOKUP('2.LUC'!L32,List!$D$35:$E$37,2,)</f>
        <v>Linear</v>
      </c>
      <c r="G44" s="1987">
        <f>'2.LUC'!M32</f>
        <v>0</v>
      </c>
      <c r="H44" s="2169" t="str">
        <f>VLOOKUP('2.LUC'!N32,List!$D$35:$E$37,2,)</f>
        <v>Linear</v>
      </c>
      <c r="I44" s="1485">
        <f>-(44/12)*($P29*(IF(F44="immediate",E44*MIN(20,time_tot),E44*IF(time_tot&gt;time+20,20,IF(time_tot&lt;20,(time*VLOOKUP(F44,List!$E$35:$F$37,2,))+(time_tot-time),((MIN(20,time)*VLOOKUP(F44,List!$E$35:$F$37,2,))+(time_tot-MIN(20,time))-IF(F44="exponential",time_tot-20+0.217*time*(EXP(4.606*(20-time_tot)/time)-1),((time_tot-20)^2)*(0.5/time)))))))+($R29*E44)+($Q29*(IF(F44="immediate",E44*(time_tot-MIN(20,time_tot)),E44*IF(time_tot&gt;time+20,(time*VLOOKUP(F44,List!$E$35:$F$37,2,))+(time_tot-time-20),IF(time_tot&lt;20,0,IF(F44="exponential",time_tot-20+0.217*time*(EXP(4.606*(20-time_tot)/time)-1),((time_tot-20)^2)*(0.5/time))))))))</f>
        <v>0</v>
      </c>
      <c r="J44" s="1602">
        <f>-(44/12)*($P29*(IF(H44="immediate",G44*MIN(20,time_tot),G44*IF(time_tot&gt;time+20,20,IF(time_tot&lt;20,(time*VLOOKUP(H44,List!$E$35:$F$37,2,))+(time_tot-time),((MIN(20,time)*VLOOKUP(H44,List!$E$35:$F$37,2,))+(time_tot-MIN(20,time))-IF(H44="exponential",time_tot-20+0.217*time*(EXP(4.606*(20-time_tot)/time)-1),((time_tot-20)^2)*(0.5/time)))))))+($R29*G44)+($Q29*(IF(H44="immediate",G44*(time_tot-MIN(20,time_tot)),G44*IF(time_tot&gt;time+20,(time*VLOOKUP(H44,List!$E$35:$F$37,2,))+(time_tot-time-20),IF(time_tot&lt;20,0,IF(H44="exponential",time_tot-20+0.217*time*(EXP(4.606*(20-time_tot)/time)-1),((time_tot-20)^2)*(0.5/time))))))))</f>
        <v>0</v>
      </c>
      <c r="K44" s="1779">
        <f>IF(I44=0,0,IF($C29=List!$A$50,0,IF($I29&gt;0,$E44*$I29,$E44*$H29)*44/12))</f>
        <v>0</v>
      </c>
      <c r="L44" s="1780">
        <f>IF(J44=0,0,IF($C29=List!$A$50,0,IF($I29&gt;0,$G44*$I29,$G44*$H29)*44/12))</f>
        <v>0</v>
      </c>
      <c r="M44" s="1463">
        <f>-L29*(IF(F44="immediate",E44*MIN(20,time_tot),E44*IF(time_tot&gt;time+20,20,IF(time_tot&lt;20,(time*VLOOKUP(F44,List!$E$35:$F$37,2,))+(time_tot-time),((MIN(20,time)*VLOOKUP(F44,List!$E$35:$F$37,2,))+(time_tot-MIN(20,time))-IF(F44="exponential",time_tot-20+0.217*time*(EXP(4.606*(20-time_tot)/time)-1),((time_tot-20)^2)*(0.5/time)))))))</f>
        <v>0</v>
      </c>
      <c r="N44" s="1460">
        <f>-L29*(IF(H44="immediate",G44*MIN(20,time_tot),G44*IF(time_tot&gt;time+20,20,IF(time_tot&lt;20,(time*VLOOKUP(H44,List!$E$35:$F$37,2,))+(time_tot-time),((MIN(20,time)*VLOOKUP(H44,List!$E$35:$F$37,2,))+(time_tot-MIN(20,time))-IF(H44="exponential",time_tot-20+0.217*time*(EXP(4.606*(20-time_tot)/time)-1),((time_tot-20)^2)*(0.5/time)))))))</f>
        <v>0</v>
      </c>
      <c r="O44" s="1781">
        <f>IF($C29=List!$A$50,0,IF(G29="yes",E44*O29,0))</f>
        <v>0</v>
      </c>
      <c r="P44" s="1782">
        <f>IF($C29=List!$A$50,0,IF(G29="yes",G44*O29,0))</f>
        <v>0</v>
      </c>
      <c r="Q44" s="1463">
        <f t="shared" ref="Q44:Q52" si="10">I44+M44+K44+O44</f>
        <v>0</v>
      </c>
      <c r="R44" s="1460">
        <f t="shared" ref="R44:R52" si="11">J44+N44+L44+P44</f>
        <v>0</v>
      </c>
      <c r="S44" s="282">
        <f t="shared" si="9"/>
        <v>0</v>
      </c>
      <c r="AA44" s="1901">
        <f t="shared" ref="AA44:AA52" si="12">IF(M29&gt;0,E44,0)</f>
        <v>0</v>
      </c>
      <c r="AB44" s="1901">
        <f t="shared" ref="AB44:AB52" si="13">IF(M29&gt;0,G44,0)</f>
        <v>0</v>
      </c>
    </row>
    <row r="45" spans="1:41" ht="13.5" thickBot="1">
      <c r="A45" s="1758" t="s">
        <v>1290</v>
      </c>
      <c r="B45" s="153" t="str">
        <f t="shared" ref="B45:B52" si="14">B30</f>
        <v>A/R3</v>
      </c>
      <c r="C45" s="90"/>
      <c r="D45" s="409">
        <v>0</v>
      </c>
      <c r="E45" s="1986">
        <f>'2.LUC'!K33</f>
        <v>0</v>
      </c>
      <c r="F45" s="2169" t="str">
        <f>VLOOKUP('2.LUC'!L33,List!$D$35:$E$37,2,)</f>
        <v>Linear</v>
      </c>
      <c r="G45" s="1987">
        <f>'2.LUC'!M33</f>
        <v>0</v>
      </c>
      <c r="H45" s="2169" t="str">
        <f>VLOOKUP('2.LUC'!N33,List!$D$35:$E$37,2,)</f>
        <v>Linear</v>
      </c>
      <c r="I45" s="1485">
        <f>-(44/12)*($P30*(IF(F45="immediate",E45*MIN(20,time_tot),E45*IF(time_tot&gt;time+20,20,IF(time_tot&lt;20,(time*VLOOKUP(F45,List!$E$35:$F$37,2,))+(time_tot-time),((MIN(20,time)*VLOOKUP(F45,List!$E$35:$F$37,2,))+(time_tot-MIN(20,time))-IF(F45="exponential",time_tot-20+0.217*time*(EXP(4.606*(20-time_tot)/time)-1),((time_tot-20)^2)*(0.5/time)))))))+($R30*E45)+($Q30*(IF(F45="immediate",E45*(time_tot-MIN(20,time_tot)),E45*IF(time_tot&gt;time+20,(time*VLOOKUP(F45,List!$E$35:$F$37,2,))+(time_tot-time-20),IF(time_tot&lt;20,0,IF(F45="exponential",time_tot-20+0.217*time*(EXP(4.606*(20-time_tot)/time)-1),((time_tot-20)^2)*(0.5/time))))))))</f>
        <v>0</v>
      </c>
      <c r="J45" s="1602">
        <f>-(44/12)*($P30*(IF(H45="immediate",G45*MIN(20,time_tot),G45*IF(time_tot&gt;time+20,20,IF(time_tot&lt;20,(time*VLOOKUP(H45,List!$E$35:$F$37,2,))+(time_tot-time),((MIN(20,time)*VLOOKUP(H45,List!$E$35:$F$37,2,))+(time_tot-MIN(20,time))-IF(H45="exponential",time_tot-20+0.217*time*(EXP(4.606*(20-time_tot)/time)-1),((time_tot-20)^2)*(0.5/time)))))))+($R30*G45)+($Q30*(IF(H45="immediate",G45*(time_tot-MIN(20,time_tot)),G45*IF(time_tot&gt;time+20,(time*VLOOKUP(H45,List!$E$35:$F$37,2,))+(time_tot-time-20),IF(time_tot&lt;20,0,IF(H45="exponential",time_tot-20+0.217*time*(EXP(4.606*(20-time_tot)/time)-1),((time_tot-20)^2)*(0.5/time))))))))</f>
        <v>0</v>
      </c>
      <c r="K45" s="1779">
        <f>IF(I45=0,0,IF($C30=List!$A$50,0,IF($I30&gt;0,$E45*$I30,$E45*$H30)*44/12))</f>
        <v>0</v>
      </c>
      <c r="L45" s="1780">
        <f>IF(J45=0,0,IF($C30=List!$A$50,0,IF($I30&gt;0,$G45*$I30,$G45*$H30)*44/12))</f>
        <v>0</v>
      </c>
      <c r="M45" s="1463">
        <f>-L30*(IF(F45="immediate",E45*MIN(20,time_tot),E45*IF(time_tot&gt;time+20,20,IF(time_tot&lt;20,(time*VLOOKUP(F45,List!$E$35:$F$37,2,))+(time_tot-time),((MIN(20,time)*VLOOKUP(F45,List!$E$35:$F$37,2,))+(time_tot-MIN(20,time))-IF(F45="exponential",time_tot-20+0.217*time*(EXP(4.606*(20-time_tot)/time)-1),((time_tot-20)^2)*(0.5/time)))))))</f>
        <v>0</v>
      </c>
      <c r="N45" s="1460">
        <f>-L30*(IF(H45="immediate",G45*MIN(20,time_tot),G45*IF(time_tot&gt;time+20,20,IF(time_tot&lt;20,(time*VLOOKUP(H45,List!$E$35:$F$37,2,))+(time_tot-time),((MIN(20,time)*VLOOKUP(H45,List!$E$35:$F$37,2,))+(time_tot-MIN(20,time))-IF(H45="exponential",time_tot-20+0.217*time*(EXP(4.606*(20-time_tot)/time)-1),((time_tot-20)^2)*(0.5/time)))))))</f>
        <v>0</v>
      </c>
      <c r="O45" s="1781">
        <f>IF($C30=List!$A$50,0,IF(G30="yes",E45*O30,0))</f>
        <v>0</v>
      </c>
      <c r="P45" s="1782">
        <f>IF($C30=List!$A$50,0,IF(G30="yes",G45*O30,0))</f>
        <v>0</v>
      </c>
      <c r="Q45" s="1463">
        <f t="shared" si="10"/>
        <v>0</v>
      </c>
      <c r="R45" s="1460">
        <f t="shared" si="11"/>
        <v>0</v>
      </c>
      <c r="S45" s="282">
        <f t="shared" si="9"/>
        <v>0</v>
      </c>
      <c r="AA45" s="1901">
        <f t="shared" si="12"/>
        <v>0</v>
      </c>
      <c r="AB45" s="1901">
        <f t="shared" si="13"/>
        <v>0</v>
      </c>
    </row>
    <row r="46" spans="1:41" ht="13.5" thickBot="1">
      <c r="A46" s="1758" t="s">
        <v>1290</v>
      </c>
      <c r="B46" s="153" t="str">
        <f t="shared" si="14"/>
        <v>A/R4</v>
      </c>
      <c r="C46" s="90"/>
      <c r="D46" s="409">
        <v>0</v>
      </c>
      <c r="E46" s="1986">
        <f>'2.LUC'!K34</f>
        <v>0</v>
      </c>
      <c r="F46" s="2169" t="str">
        <f>VLOOKUP('2.LUC'!L34,List!$D$35:$E$37,2,)</f>
        <v>Linear</v>
      </c>
      <c r="G46" s="1987">
        <f>'2.LUC'!M34</f>
        <v>0</v>
      </c>
      <c r="H46" s="2169" t="str">
        <f>VLOOKUP('2.LUC'!N34,List!$D$35:$E$37,2,)</f>
        <v>Linear</v>
      </c>
      <c r="I46" s="1485">
        <f>-(44/12)*($P31*(IF(F46="immediate",E46*MIN(20,time_tot),E46*IF(time_tot&gt;time+20,20,IF(time_tot&lt;20,(time*VLOOKUP(F46,List!$E$35:$F$37,2,))+(time_tot-time),((MIN(20,time)*VLOOKUP(F46,List!$E$35:$F$37,2,))+(time_tot-MIN(20,time))-IF(F46="exponential",time_tot-20+0.217*time*(EXP(4.606*(20-time_tot)/time)-1),((time_tot-20)^2)*(0.5/time)))))))+($R31*E46)+($Q31*(IF(F46="immediate",E46*(time_tot-MIN(20,time_tot)),E46*IF(time_tot&gt;time+20,(time*VLOOKUP(F46,List!$E$35:$F$37,2,))+(time_tot-time-20),IF(time_tot&lt;20,0,IF(F46="exponential",time_tot-20+0.217*time*(EXP(4.606*(20-time_tot)/time)-1),((time_tot-20)^2)*(0.5/time))))))))</f>
        <v>0</v>
      </c>
      <c r="J46" s="1602">
        <f>-(44/12)*($P31*(IF(H46="immediate",G46*MIN(20,time_tot),G46*IF(time_tot&gt;time+20,20,IF(time_tot&lt;20,(time*VLOOKUP(H46,List!$E$35:$F$37,2,))+(time_tot-time),((MIN(20,time)*VLOOKUP(H46,List!$E$35:$F$37,2,))+(time_tot-MIN(20,time))-IF(H46="exponential",time_tot-20+0.217*time*(EXP(4.606*(20-time_tot)/time)-1),((time_tot-20)^2)*(0.5/time)))))))+($R31*G46)+($Q31*(IF(H46="immediate",G46*(time_tot-MIN(20,time_tot)),G46*IF(time_tot&gt;time+20,(time*VLOOKUP(H46,List!$E$35:$F$37,2,))+(time_tot-time-20),IF(time_tot&lt;20,0,IF(H46="exponential",time_tot-20+0.217*time*(EXP(4.606*(20-time_tot)/time)-1),((time_tot-20)^2)*(0.5/time))))))))</f>
        <v>0</v>
      </c>
      <c r="K46" s="1779">
        <f>IF(I46=0,0,IF($C31=List!$A$50,0,IF($I31&gt;0,$E46*$I31,$E46*$H31)*44/12))</f>
        <v>0</v>
      </c>
      <c r="L46" s="1780">
        <f>IF(J46=0,0,IF($C31=List!$A$50,0,IF($I31&gt;0,$G46*$I31,$G46*$H31)*44/12))</f>
        <v>0</v>
      </c>
      <c r="M46" s="1463">
        <f>-L31*(IF(F46="immediate",E46*MIN(20,time_tot),E46*IF(time_tot&gt;time+20,20,IF(time_tot&lt;20,(time*VLOOKUP(F46,List!$E$35:$F$37,2,))+(time_tot-time),((MIN(20,time)*VLOOKUP(F46,List!$E$35:$F$37,2,))+(time_tot-MIN(20,time))-IF(F46="exponential",time_tot-20+0.217*time*(EXP(4.606*(20-time_tot)/time)-1),((time_tot-20)^2)*(0.5/time)))))))</f>
        <v>0</v>
      </c>
      <c r="N46" s="1460">
        <f>-L31*(IF(H46="immediate",G46*MIN(20,time_tot),G46*IF(time_tot&gt;time+20,20,IF(time_tot&lt;20,(time*VLOOKUP(H46,List!$E$35:$F$37,2,))+(time_tot-time),((MIN(20,time)*VLOOKUP(H46,List!$E$35:$F$37,2,))+(time_tot-MIN(20,time))-IF(H46="exponential",time_tot-20+0.217*time*(EXP(4.606*(20-time_tot)/time)-1),((time_tot-20)^2)*(0.5/time)))))))</f>
        <v>0</v>
      </c>
      <c r="O46" s="1781">
        <f>IF($C31=List!$A$50,0,IF(G31="yes",E46*O31,0))</f>
        <v>0</v>
      </c>
      <c r="P46" s="1782">
        <f>IF($C31=List!$A$50,0,IF(G31="yes",G46*O31,0))</f>
        <v>0</v>
      </c>
      <c r="Q46" s="1463">
        <f t="shared" si="10"/>
        <v>0</v>
      </c>
      <c r="R46" s="1460">
        <f t="shared" si="11"/>
        <v>0</v>
      </c>
      <c r="S46" s="282">
        <f t="shared" si="9"/>
        <v>0</v>
      </c>
      <c r="AA46" s="1901">
        <f t="shared" si="12"/>
        <v>0</v>
      </c>
      <c r="AB46" s="1901">
        <f t="shared" si="13"/>
        <v>0</v>
      </c>
    </row>
    <row r="47" spans="1:41" ht="13.5" thickBot="1">
      <c r="B47" s="153" t="str">
        <f t="shared" si="14"/>
        <v>A/R5</v>
      </c>
      <c r="C47" s="90"/>
      <c r="D47" s="409">
        <v>0</v>
      </c>
      <c r="E47" s="1986">
        <f>'2.LUC'!K35</f>
        <v>0</v>
      </c>
      <c r="F47" s="2169" t="str">
        <f>VLOOKUP('2.LUC'!L35,List!$D$35:$E$37,2,)</f>
        <v>Linear</v>
      </c>
      <c r="G47" s="1987">
        <f>'2.LUC'!M35</f>
        <v>0</v>
      </c>
      <c r="H47" s="2169" t="str">
        <f>VLOOKUP('2.LUC'!N35,List!$D$35:$E$37,2,)</f>
        <v>Linear</v>
      </c>
      <c r="I47" s="1485">
        <f>-(44/12)*($P32*(IF(F47="immediate",E47*MIN(20,time_tot),E47*IF(time_tot&gt;time+20,20,IF(time_tot&lt;20,(time*VLOOKUP(F47,List!$E$35:$F$37,2,))+(time_tot-time),((MIN(20,time)*VLOOKUP(F47,List!$E$35:$F$37,2,))+(time_tot-MIN(20,time))-IF(F47="exponential",time_tot-20+0.217*time*(EXP(4.606*(20-time_tot)/time)-1),((time_tot-20)^2)*(0.5/time)))))))+($R32*E47)+($Q32*(IF(F47="immediate",E47*(time_tot-MIN(20,time_tot)),E47*IF(time_tot&gt;time+20,(time*VLOOKUP(F47,List!$E$35:$F$37,2,))+(time_tot-time-20),IF(time_tot&lt;20,0,IF(F47="exponential",time_tot-20+0.217*time*(EXP(4.606*(20-time_tot)/time)-1),((time_tot-20)^2)*(0.5/time))))))))</f>
        <v>0</v>
      </c>
      <c r="J47" s="1602">
        <f>-(44/12)*($P32*(IF(H47="immediate",G47*MIN(20,time_tot),G47*IF(time_tot&gt;time+20,20,IF(time_tot&lt;20,(time*VLOOKUP(H47,List!$E$35:$F$37,2,))+(time_tot-time),((MIN(20,time)*VLOOKUP(H47,List!$E$35:$F$37,2,))+(time_tot-MIN(20,time))-IF(H47="exponential",time_tot-20+0.217*time*(EXP(4.606*(20-time_tot)/time)-1),((time_tot-20)^2)*(0.5/time)))))))+($R32*G47)+($Q32*(IF(H47="immediate",G47*(time_tot-MIN(20,time_tot)),G47*IF(time_tot&gt;time+20,(time*VLOOKUP(H47,List!$E$35:$F$37,2,))+(time_tot-time-20),IF(time_tot&lt;20,0,IF(H47="exponential",time_tot-20+0.217*time*(EXP(4.606*(20-time_tot)/time)-1),((time_tot-20)^2)*(0.5/time))))))))</f>
        <v>0</v>
      </c>
      <c r="K47" s="1779">
        <f>IF(I47=0,0,IF($C32=List!$A$50,0,IF($I32&gt;0,$E47*$I32,$E47*$H32)*44/12))</f>
        <v>0</v>
      </c>
      <c r="L47" s="1780">
        <f>IF(J47=0,0,IF($C32=List!$A$50,0,IF($I32&gt;0,$G47*$I32,$G47*$H32)*44/12))</f>
        <v>0</v>
      </c>
      <c r="M47" s="1463">
        <f>-L32*(IF(F47="immediate",E47*MIN(20,time_tot),E47*IF(time_tot&gt;time+20,20,IF(time_tot&lt;20,(time*VLOOKUP(F47,List!$E$35:$F$37,2,))+(time_tot-time),((MIN(20,time)*VLOOKUP(F47,List!$E$35:$F$37,2,))+(time_tot-MIN(20,time))-IF(F47="exponential",time_tot-20+0.217*time*(EXP(4.606*(20-time_tot)/time)-1),((time_tot-20)^2)*(0.5/time)))))))</f>
        <v>0</v>
      </c>
      <c r="N47" s="1460">
        <f>-L32*(IF(H47="immediate",G47*MIN(20,time_tot),G47*IF(time_tot&gt;time+20,20,IF(time_tot&lt;20,(time*VLOOKUP(H47,List!$E$35:$F$37,2,))+(time_tot-time),((MIN(20,time)*VLOOKUP(H47,List!$E$35:$F$37,2,))+(time_tot-MIN(20,time))-IF(H47="exponential",time_tot-20+0.217*time*(EXP(4.606*(20-time_tot)/time)-1),((time_tot-20)^2)*(0.5/time)))))))</f>
        <v>0</v>
      </c>
      <c r="O47" s="1781">
        <f>IF($C32=List!$A$50,0,IF(G32="yes",E47*O32,0))</f>
        <v>0</v>
      </c>
      <c r="P47" s="1782">
        <f>IF($C32=List!$A$50,0,IF(G32="yes",G47*O32,0))</f>
        <v>0</v>
      </c>
      <c r="Q47" s="1463">
        <f t="shared" si="10"/>
        <v>0</v>
      </c>
      <c r="R47" s="1460">
        <f t="shared" si="11"/>
        <v>0</v>
      </c>
      <c r="S47" s="282">
        <f t="shared" si="9"/>
        <v>0</v>
      </c>
      <c r="AA47" s="1901">
        <f t="shared" si="12"/>
        <v>0</v>
      </c>
      <c r="AB47" s="1901">
        <f t="shared" si="13"/>
        <v>0</v>
      </c>
    </row>
    <row r="48" spans="1:41" ht="13.5" thickBot="1">
      <c r="B48" s="153" t="str">
        <f t="shared" si="14"/>
        <v>A/R6</v>
      </c>
      <c r="C48" s="90"/>
      <c r="D48" s="409">
        <v>0</v>
      </c>
      <c r="E48" s="1986">
        <f>'2.LUC'!K36</f>
        <v>0</v>
      </c>
      <c r="F48" s="2169" t="str">
        <f>VLOOKUP('2.LUC'!L36,List!$D$35:$E$37,2,)</f>
        <v>Linear</v>
      </c>
      <c r="G48" s="1987">
        <f>'2.LUC'!M36</f>
        <v>0</v>
      </c>
      <c r="H48" s="2169" t="str">
        <f>VLOOKUP('2.LUC'!N36,List!$D$35:$E$37,2,)</f>
        <v>Linear</v>
      </c>
      <c r="I48" s="1485">
        <f>-(44/12)*($P33*(IF(F48="immediate",E48*MIN(20,time_tot),E48*IF(time_tot&gt;time+20,20,IF(time_tot&lt;20,(time*VLOOKUP(F48,List!$E$35:$F$37,2,))+(time_tot-time),((MIN(20,time)*VLOOKUP(F48,List!$E$35:$F$37,2,))+(time_tot-MIN(20,time))-IF(F48="exponential",time_tot-20+0.217*time*(EXP(4.606*(20-time_tot)/time)-1),((time_tot-20)^2)*(0.5/time)))))))+($R33*E48)+($Q33*(IF(F48="immediate",E48*(time_tot-MIN(20,time_tot)),E48*IF(time_tot&gt;time+20,(time*VLOOKUP(F48,List!$E$35:$F$37,2,))+(time_tot-time-20),IF(time_tot&lt;20,0,IF(F48="exponential",time_tot-20+0.217*time*(EXP(4.606*(20-time_tot)/time)-1),((time_tot-20)^2)*(0.5/time))))))))</f>
        <v>0</v>
      </c>
      <c r="J48" s="1602">
        <f>-(44/12)*($P33*(IF(H48="immediate",G48*MIN(20,time_tot),G48*IF(time_tot&gt;time+20,20,IF(time_tot&lt;20,(time*VLOOKUP(H48,List!$E$35:$F$37,2,))+(time_tot-time),((MIN(20,time)*VLOOKUP(H48,List!$E$35:$F$37,2,))+(time_tot-MIN(20,time))-IF(H48="exponential",time_tot-20+0.217*time*(EXP(4.606*(20-time_tot)/time)-1),((time_tot-20)^2)*(0.5/time)))))))+($R33*G48)+($Q33*(IF(H48="immediate",G48*(time_tot-MIN(20,time_tot)),G48*IF(time_tot&gt;time+20,(time*VLOOKUP(H48,List!$E$35:$F$37,2,))+(time_tot-time-20),IF(time_tot&lt;20,0,IF(H48="exponential",time_tot-20+0.217*time*(EXP(4.606*(20-time_tot)/time)-1),((time_tot-20)^2)*(0.5/time))))))))</f>
        <v>0</v>
      </c>
      <c r="K48" s="1779">
        <f>IF(I48=0,0,IF($C33=List!$A$50,0,IF($I33&gt;0,$E48*$I33,$E48*$H33)*44/12))</f>
        <v>0</v>
      </c>
      <c r="L48" s="1780">
        <f>IF(J48=0,0,IF($C33=List!$A$50,0,IF($I33&gt;0,$G48*$I33,$G48*$H33)*44/12))</f>
        <v>0</v>
      </c>
      <c r="M48" s="1463">
        <f>-L33*(IF(F48="immediate",E48*MIN(20,time_tot),E48*IF(time_tot&gt;time+20,20,IF(time_tot&lt;20,(time*VLOOKUP(F48,List!$E$35:$F$37,2,))+(time_tot-time),((MIN(20,time)*VLOOKUP(F48,List!$E$35:$F$37,2,))+(time_tot-MIN(20,time))-IF(F48="exponential",time_tot-20+0.217*time*(EXP(4.606*(20-time_tot)/time)-1),((time_tot-20)^2)*(0.5/time)))))))</f>
        <v>0</v>
      </c>
      <c r="N48" s="1460">
        <f>-L33*(IF(H48="immediate",G48*MIN(20,time_tot),G48*IF(time_tot&gt;time+20,20,IF(time_tot&lt;20,(time*VLOOKUP(H48,List!$E$35:$F$37,2,))+(time_tot-time),((MIN(20,time)*VLOOKUP(H48,List!$E$35:$F$37,2,))+(time_tot-MIN(20,time))-IF(H48="exponential",time_tot-20+0.217*time*(EXP(4.606*(20-time_tot)/time)-1),((time_tot-20)^2)*(0.5/time)))))))</f>
        <v>0</v>
      </c>
      <c r="O48" s="1781">
        <f>IF($C33=List!$A$50,0,IF(G33="yes",E48*O33,0))</f>
        <v>0</v>
      </c>
      <c r="P48" s="1782">
        <f>IF($C33=List!$A$50,0,IF(G33="yes",G48*O33,0))</f>
        <v>0</v>
      </c>
      <c r="Q48" s="1463">
        <f t="shared" si="10"/>
        <v>0</v>
      </c>
      <c r="R48" s="1460">
        <f t="shared" si="11"/>
        <v>0</v>
      </c>
      <c r="S48" s="282">
        <f t="shared" si="9"/>
        <v>0</v>
      </c>
      <c r="AA48" s="1901">
        <f t="shared" si="12"/>
        <v>0</v>
      </c>
      <c r="AB48" s="1901">
        <f t="shared" si="13"/>
        <v>0</v>
      </c>
    </row>
    <row r="49" spans="2:28" ht="13.5" thickBot="1">
      <c r="B49" s="153" t="str">
        <f t="shared" si="14"/>
        <v>A/R7</v>
      </c>
      <c r="C49" s="90"/>
      <c r="D49" s="409">
        <v>0</v>
      </c>
      <c r="E49" s="1986">
        <f>'2.LUC'!K37</f>
        <v>0</v>
      </c>
      <c r="F49" s="2169" t="str">
        <f>VLOOKUP('2.LUC'!L37,List!$D$35:$E$37,2,)</f>
        <v>Linear</v>
      </c>
      <c r="G49" s="1987">
        <f>'2.LUC'!M37</f>
        <v>0</v>
      </c>
      <c r="H49" s="2169" t="str">
        <f>VLOOKUP('2.LUC'!N37,List!$D$35:$E$37,2,)</f>
        <v>Linear</v>
      </c>
      <c r="I49" s="1486">
        <f>-(44/12)*($P34*(IF(F49="immediate",E49*MIN(20,time_tot),E49*IF(time_tot&gt;time+20,20,IF(time_tot&lt;20,(time*VLOOKUP(F49,List!$E$35:$F$37,2,))+(time_tot-time),((MIN(20,time)*VLOOKUP(F49,List!$E$35:$F$37,2,))+(time_tot-MIN(20,time))-IF(F49="exponential",time_tot-20+0.217*time*(EXP(4.606*(20-time_tot)/time)-1),((time_tot-20)^2)*(0.5/time)))))))+($R34*E49)+($Q34*(IF(F49="immediate",E49*(time_tot-MIN(20,time_tot)),E49*IF(time_tot&gt;time+20,(time*VLOOKUP(F49,List!$E$35:$F$37,2,))+(time_tot-time-20),IF(time_tot&lt;20,0,IF(F49="exponential",time_tot-20+0.217*time*(EXP(4.606*(20-time_tot)/time)-1),((time_tot-20)^2)*(0.5/time))))))))</f>
        <v>0</v>
      </c>
      <c r="J49" s="1603">
        <f>-(44/12)*($P34*(IF(H49="immediate",G49*MIN(20,time_tot),G49*IF(time_tot&gt;time+20,20,IF(time_tot&lt;20,(time*VLOOKUP(H49,List!$E$35:$F$37,2,))+(time_tot-time),((MIN(20,time)*VLOOKUP(H49,List!$E$35:$F$37,2,))+(time_tot-MIN(20,time))-IF(H49="exponential",time_tot-20+0.217*time*(EXP(4.606*(20-time_tot)/time)-1),((time_tot-20)^2)*(0.5/time)))))))+($R34*G49)+($Q34*(IF(H49="immediate",G49*(time_tot-MIN(20,time_tot)),G49*IF(time_tot&gt;time+20,(time*VLOOKUP(H49,List!$E$35:$F$37,2,))+(time_tot-time-20),IF(time_tot&lt;20,0,IF(H49="exponential",time_tot-20+0.217*time*(EXP(4.606*(20-time_tot)/time)-1),((time_tot-20)^2)*(0.5/time))))))))</f>
        <v>0</v>
      </c>
      <c r="K49" s="1779">
        <f>IF(I49=0,0,IF($C34=List!$A$50,0,IF($I34&gt;0,$E49*$I34,$E49*$H34)*44/12))</f>
        <v>0</v>
      </c>
      <c r="L49" s="1780">
        <f>IF(J49=0,0,IF($C34=List!$A$50,0,IF($I34&gt;0,$G49*$I34,$G49*$H34)*44/12))</f>
        <v>0</v>
      </c>
      <c r="M49" s="1463">
        <f>-L34*(IF(F49="immediate",E49*MIN(20,time_tot),E49*IF(time_tot&gt;time+20,20,IF(time_tot&lt;20,(time*VLOOKUP(F49,List!$E$35:$F$37,2,))+(time_tot-time),((MIN(20,time)*VLOOKUP(F49,List!$E$35:$F$37,2,))+(time_tot-MIN(20,time))-IF(F49="exponential",time_tot-20+0.217*time*(EXP(4.606*(20-time_tot)/time)-1),((time_tot-20)^2)*(0.5/time)))))))</f>
        <v>0</v>
      </c>
      <c r="N49" s="1460">
        <f>-L34*(IF(H49="immediate",G49*MIN(20,time_tot),G49*IF(time_tot&gt;time+20,20,IF(time_tot&lt;20,(time*VLOOKUP(H49,List!$E$35:$F$37,2,))+(time_tot-time),((MIN(20,time)*VLOOKUP(H49,List!$E$35:$F$37,2,))+(time_tot-MIN(20,time))-IF(H49="exponential",time_tot-20+0.217*time*(EXP(4.606*(20-time_tot)/time)-1),((time_tot-20)^2)*(0.5/time)))))))</f>
        <v>0</v>
      </c>
      <c r="O49" s="1781">
        <f>IF($C34=List!$A$50,0,IF(G34="yes",E49*O34,0))</f>
        <v>0</v>
      </c>
      <c r="P49" s="1782">
        <f>IF($C34=List!$A$50,0,IF(G34="yes",G49*O34,0))</f>
        <v>0</v>
      </c>
      <c r="Q49" s="1463">
        <f t="shared" si="10"/>
        <v>0</v>
      </c>
      <c r="R49" s="1460">
        <f t="shared" si="11"/>
        <v>0</v>
      </c>
      <c r="S49" s="282">
        <f t="shared" si="9"/>
        <v>0</v>
      </c>
      <c r="AA49" s="1901">
        <f t="shared" si="12"/>
        <v>0</v>
      </c>
      <c r="AB49" s="1901">
        <f t="shared" si="13"/>
        <v>0</v>
      </c>
    </row>
    <row r="50" spans="2:28">
      <c r="B50" s="153" t="str">
        <f t="shared" si="14"/>
        <v>A/R8</v>
      </c>
      <c r="C50" s="90"/>
      <c r="D50" s="409">
        <v>0</v>
      </c>
      <c r="E50" s="1986">
        <f>'2.LUC'!K38</f>
        <v>0</v>
      </c>
      <c r="F50" s="2169" t="str">
        <f>VLOOKUP('2.LUC'!L38,List!$D$35:$E$37,2,)</f>
        <v>Linear</v>
      </c>
      <c r="G50" s="1987">
        <f>'2.LUC'!M38</f>
        <v>0</v>
      </c>
      <c r="H50" s="2169" t="str">
        <f>VLOOKUP('2.LUC'!N38,List!$D$35:$E$37,2,)</f>
        <v>Linear</v>
      </c>
      <c r="I50" s="1486">
        <f>-(44/12)*($P35*(IF(F50="immediate",E50*MIN(20,time_tot),E50*IF(time_tot&gt;time+20,20,IF(time_tot&lt;20,(time*VLOOKUP(F50,List!$E$35:$F$37,2,))+(time_tot-time),((MIN(20,time)*VLOOKUP(F50,List!$E$35:$F$37,2,))+(time_tot-MIN(20,time))-IF(F50="exponential",time_tot-20+0.217*time*(EXP(4.606*(20-time_tot)/time)-1),((time_tot-20)^2)*(0.5/time)))))))+($R35*E50)+($Q35*(IF(F50="immediate",E50*(time_tot-MIN(20,time_tot)),E50*IF(time_tot&gt;time+20,(time*VLOOKUP(F50,List!$E$35:$F$37,2,))+(time_tot-time-20),IF(time_tot&lt;20,0,IF(F50="exponential",time_tot-20+0.217*time*(EXP(4.606*(20-time_tot)/time)-1),((time_tot-20)^2)*(0.5/time))))))))</f>
        <v>0</v>
      </c>
      <c r="J50" s="1603">
        <f>-(44/12)*($P35*(IF(H50="immediate",G50*MIN(20,time_tot),G50*IF(time_tot&gt;time+20,20,IF(time_tot&lt;20,(time*VLOOKUP(H50,List!$E$35:$F$37,2,))+(time_tot-time),((MIN(20,time)*VLOOKUP(H50,List!$E$35:$F$37,2,))+(time_tot-MIN(20,time))-IF(H50="exponential",time_tot-20+0.217*time*(EXP(4.606*(20-time_tot)/time)-1),((time_tot-20)^2)*(0.5/time)))))))+($R35*G50)+($Q35*(IF(H50="immediate",G50*(time_tot-MIN(20,time_tot)),G50*IF(time_tot&gt;time+20,(time*VLOOKUP(H50,List!$E$35:$F$37,2,))+(time_tot-time-20),IF(time_tot&lt;20,0,IF(H50="exponential",time_tot-20+0.217*time*(EXP(4.606*(20-time_tot)/time)-1),((time_tot-20)^2)*(0.5/time))))))))</f>
        <v>0</v>
      </c>
      <c r="K50" s="1779">
        <f>IF(I50=0,0,IF($C35=List!$A$50,0,IF($I35&gt;0,$E50*$I35,$E50*$H35)*44/12))</f>
        <v>0</v>
      </c>
      <c r="L50" s="1780">
        <f>IF(J50=0,0,IF($C35=List!$A$50,0,IF($I35&gt;0,$G50*$I35,$G50*$H35)*44/12))</f>
        <v>0</v>
      </c>
      <c r="M50" s="1463">
        <f>-L35*(IF(F50="immediate",E50*MIN(20,time_tot),E50*IF(time_tot&gt;time+20,20,IF(time_tot&lt;20,(time*VLOOKUP(F50,List!$E$35:$F$37,2,))+(time_tot-time),((MIN(20,time)*VLOOKUP(F50,List!$E$35:$F$37,2,))+(time_tot-MIN(20,time))-IF(F50="exponential",time_tot-20+0.217*time*(EXP(4.606*(20-time_tot)/time)-1),((time_tot-20)^2)*(0.5/time)))))))</f>
        <v>0</v>
      </c>
      <c r="N50" s="1460">
        <f>-L35*(IF(H50="immediate",G50*MIN(20,time_tot),G50*IF(time_tot&gt;time+20,20,IF(time_tot&lt;20,(time*VLOOKUP(H50,List!$E$35:$F$37,2,))+(time_tot-time),((MIN(20,time)*VLOOKUP(H50,List!$E$35:$F$37,2,))+(time_tot-MIN(20,time))-IF(H50="exponential",time_tot-20+0.217*time*(EXP(4.606*(20-time_tot)/time)-1),((time_tot-20)^2)*(0.5/time)))))))</f>
        <v>0</v>
      </c>
      <c r="O50" s="1781">
        <f>IF($C35=List!$A$50,0,IF(G35="yes",E50*O35,0))</f>
        <v>0</v>
      </c>
      <c r="P50" s="1782">
        <f>IF($C35=List!$A$50,0,IF(G35="yes",G50*O35,0))</f>
        <v>0</v>
      </c>
      <c r="Q50" s="1463">
        <f t="shared" si="10"/>
        <v>0</v>
      </c>
      <c r="R50" s="1460">
        <f t="shared" si="11"/>
        <v>0</v>
      </c>
      <c r="S50" s="282">
        <f t="shared" si="9"/>
        <v>0</v>
      </c>
      <c r="AA50" s="1901">
        <f t="shared" si="12"/>
        <v>0</v>
      </c>
      <c r="AB50" s="1901">
        <f t="shared" si="13"/>
        <v>0</v>
      </c>
    </row>
    <row r="51" spans="2:28">
      <c r="B51" s="153" t="str">
        <f t="shared" si="14"/>
        <v>A/R9</v>
      </c>
      <c r="C51" s="90"/>
      <c r="D51" s="409">
        <v>0</v>
      </c>
      <c r="E51" s="950">
        <v>0</v>
      </c>
      <c r="F51" s="676" t="s">
        <v>351</v>
      </c>
      <c r="G51" s="715">
        <v>0</v>
      </c>
      <c r="H51" s="686" t="s">
        <v>351</v>
      </c>
      <c r="I51" s="1486">
        <f>-(44/12)*($P36*(IF(F51="immediate",E51*MIN(20,time_tot),E51*IF(time_tot&gt;time+20,20,IF(time_tot&lt;20,(time*VLOOKUP(F51,List!$E$35:$F$37,2,))+(time_tot-time),((MIN(20,time)*VLOOKUP(F51,List!$E$35:$F$37,2,))+(time_tot-MIN(20,time))-IF(F51="exponential",time_tot-20+0.217*time*(EXP(4.606*(20-time_tot)/time)-1),((time_tot-20)^2)*(0.5/time)))))))+($R36*E51)+($Q36*(IF(F51="immediate",E51*(time_tot-MIN(20,time_tot)),E51*IF(time_tot&gt;time+20,(time*VLOOKUP(F51,List!$E$35:$F$37,2,))+(time_tot-time-20),IF(time_tot&lt;20,0,IF(F51="exponential",time_tot-20+0.217*time*(EXP(4.606*(20-time_tot)/time)-1),((time_tot-20)^2)*(0.5/time))))))))</f>
        <v>0</v>
      </c>
      <c r="J51" s="1603">
        <f>-(44/12)*($P36*(IF(H51="immediate",G51*MIN(20,time_tot),G51*IF(time_tot&gt;time+20,20,IF(time_tot&lt;20,(time*VLOOKUP(H51,List!$E$35:$F$37,2,))+(time_tot-time),((MIN(20,time)*VLOOKUP(H51,List!$E$35:$F$37,2,))+(time_tot-MIN(20,time))-IF(H51="exponential",time_tot-20+0.217*time*(EXP(4.606*(20-time_tot)/time)-1),((time_tot-20)^2)*(0.5/time)))))))+($R36*G51)+($Q36*(IF(H51="immediate",G51*(time_tot-MIN(20,time_tot)),G51*IF(time_tot&gt;time+20,(time*VLOOKUP(H51,List!$E$35:$F$37,2,))+(time_tot-time-20),IF(time_tot&lt;20,0,IF(H51="exponential",time_tot-20+0.217*time*(EXP(4.606*(20-time_tot)/time)-1),((time_tot-20)^2)*(0.5/time))))))))</f>
        <v>0</v>
      </c>
      <c r="K51" s="1459">
        <f>IF($I36&gt;0,$E51*$I36,$E51*$H36)*44/12</f>
        <v>0</v>
      </c>
      <c r="L51" s="1460">
        <f>IF($I36&gt;0,$G51*$I36,$G51*$H36)*44/12</f>
        <v>0</v>
      </c>
      <c r="M51" s="1463">
        <f>-L36*(IF(F51="immediate",E51*MIN(20,time_tot),E51*IF(time_tot&gt;time+20,20,IF(time_tot&lt;20,(time*VLOOKUP(F51,List!$E$35:$F$37,2,))+(time_tot-time),((MIN(20,time)*VLOOKUP(F51,List!$E$35:$F$37,2,))+(time_tot-MIN(20,time))-IF(F51="exponential",time_tot-20+0.217*time*(EXP(4.606*(20-time_tot)/time)-1),((time_tot-20)^2)*(0.5/time)))))))</f>
        <v>0</v>
      </c>
      <c r="N51" s="1460">
        <f>-L36*(IF(H51="immediate",G51*MIN(20,time_tot),G51*IF(time_tot&gt;time+20,20,IF(time_tot&lt;20,(time*VLOOKUP(H51,List!$E$35:$F$37,2,))+(time_tot-time),((MIN(20,time)*VLOOKUP(H51,List!$E$35:$F$37,2,))+(time_tot-MIN(20,time))-IF(H51="exponential",time_tot-20+0.217*time*(EXP(4.606*(20-time_tot)/time)-1),((time_tot-20)^2)*(0.5/time)))))))</f>
        <v>0</v>
      </c>
      <c r="O51" s="1478">
        <f>IF(G36="yes",E51*O36,0)</f>
        <v>0</v>
      </c>
      <c r="P51" s="1440">
        <f>IF(G36="yes",G51*O36,0)</f>
        <v>0</v>
      </c>
      <c r="Q51" s="1463">
        <f t="shared" si="10"/>
        <v>0</v>
      </c>
      <c r="R51" s="1460">
        <f t="shared" si="11"/>
        <v>0</v>
      </c>
      <c r="S51" s="283">
        <f t="shared" si="9"/>
        <v>0</v>
      </c>
      <c r="AA51" s="1901">
        <f t="shared" si="12"/>
        <v>0</v>
      </c>
      <c r="AB51" s="1901">
        <f t="shared" si="13"/>
        <v>0</v>
      </c>
    </row>
    <row r="52" spans="2:28" ht="13.5" thickBot="1">
      <c r="B52" s="154" t="str">
        <f t="shared" si="14"/>
        <v>A/R10</v>
      </c>
      <c r="C52" s="93"/>
      <c r="D52" s="413">
        <v>0</v>
      </c>
      <c r="E52" s="951">
        <v>0</v>
      </c>
      <c r="F52" s="678" t="s">
        <v>351</v>
      </c>
      <c r="G52" s="714">
        <v>0</v>
      </c>
      <c r="H52" s="687" t="s">
        <v>351</v>
      </c>
      <c r="I52" s="1487">
        <f>-(44/12)*($P37*(IF(F52="immediate",E52*MIN(20,time_tot),E52*IF(time_tot&gt;time+20,20,IF(time_tot&lt;20,(time*VLOOKUP(F52,List!$E$35:$F$37,2,))+(time_tot-time),((MIN(20,time)*VLOOKUP(F52,List!$E$35:$F$37,2,))+(time_tot-MIN(20,time))-IF(F52="exponential",time_tot-20+0.217*time*(EXP(4.606*(20-time_tot)/time)-1),((time_tot-20)^2)*(0.5/time)))))))+($R37*E52)+($Q37*(IF(F52="immediate",E52*(time_tot-MIN(20,time_tot)),E52*IF(time_tot&gt;time+20,(time*VLOOKUP(F52,List!$E$35:$F$37,2,))+(time_tot-time-20),IF(time_tot&lt;20,0,IF(F52="exponential",time_tot-20+0.217*time*(EXP(4.606*(20-time_tot)/time)-1),((time_tot-20)^2)*(0.5/time))))))))</f>
        <v>0</v>
      </c>
      <c r="J52" s="1604">
        <f>-(44/12)*($P37*(IF(H52="immediate",G52*MIN(20,time_tot),G52*IF(time_tot&gt;time+20,20,IF(time_tot&lt;20,(time*VLOOKUP(H52,List!$E$35:$F$37,2,))+(time_tot-time),((MIN(20,time)*VLOOKUP(H52,List!$E$35:$F$37,2,))+(time_tot-MIN(20,time))-IF(H52="exponential",time_tot-20+0.217*time*(EXP(4.606*(20-time_tot)/time)-1),((time_tot-20)^2)*(0.5/time)))))))+($R37*G52)+($Q37*(IF(H52="immediate",G52*(time_tot-MIN(20,time_tot)),G52*IF(time_tot&gt;time+20,(time*VLOOKUP(H52,List!$E$35:$F$37,2,))+(time_tot-time-20),IF(time_tot&lt;20,0,IF(H52="exponential",time_tot-20+0.217*time*(EXP(4.606*(20-time_tot)/time)-1),((time_tot-20)^2)*(0.5/time))))))))</f>
        <v>0</v>
      </c>
      <c r="K52" s="1461">
        <f>IF($I37&gt;0,$E52*$I37,$E52*$H37)*44/12</f>
        <v>0</v>
      </c>
      <c r="L52" s="1462">
        <f>IF($I37&gt;0,$G52*$I37,$G52*$H37)*44/12</f>
        <v>0</v>
      </c>
      <c r="M52" s="1464">
        <f>-L37*(IF(F52="immediate",E52*MIN(20,time_tot),E52*IF(time_tot&gt;time+20,20,IF(time_tot&lt;20,(time*VLOOKUP(F52,List!$E$35:$F$37,2,))+(time_tot-time),((MIN(20,time)*VLOOKUP(F52,List!$E$35:$F$37,2,))+(time_tot-MIN(20,time))-IF(F52="exponential",time_tot-20+0.217*time*(EXP(4.606*(20-time_tot)/time)-1),((time_tot-20)^2)*(0.5/time)))))))</f>
        <v>0</v>
      </c>
      <c r="N52" s="1462">
        <f>-L37*(IF(H52="immediate",G52*MIN(20,time_tot),G52*IF(time_tot&gt;time+20,20,IF(time_tot&lt;20,(time*VLOOKUP(H52,List!$E$35:$F$37,2,))+(time_tot-time),((MIN(20,time)*VLOOKUP(H52,List!$E$35:$F$37,2,))+(time_tot-MIN(20,time))-IF(H52="exponential",time_tot-20+0.217*time*(EXP(4.606*(20-time_tot)/time)-1),((time_tot-20)^2)*(0.5/time)))))))</f>
        <v>0</v>
      </c>
      <c r="O52" s="1479">
        <f>IF(G37="yes",E52*O37,0)</f>
        <v>0</v>
      </c>
      <c r="P52" s="1364">
        <f>IF(G37="yes",G52*O37,0)</f>
        <v>0</v>
      </c>
      <c r="Q52" s="1464">
        <f t="shared" si="10"/>
        <v>0</v>
      </c>
      <c r="R52" s="1462">
        <f t="shared" si="11"/>
        <v>0</v>
      </c>
      <c r="S52" s="284">
        <f t="shared" si="9"/>
        <v>0</v>
      </c>
      <c r="AA52" s="1901">
        <f t="shared" si="12"/>
        <v>0</v>
      </c>
      <c r="AB52" s="1901">
        <f t="shared" si="13"/>
        <v>0</v>
      </c>
    </row>
    <row r="53" spans="2:28" ht="13.5" thickBot="1">
      <c r="I53" s="15"/>
      <c r="J53" s="1"/>
      <c r="P53" s="9"/>
      <c r="R53" s="1"/>
      <c r="S53" s="234"/>
    </row>
    <row r="54" spans="2:28" ht="13.5" thickBot="1">
      <c r="I54" s="1"/>
      <c r="J54" s="1"/>
      <c r="N54" s="155" t="s">
        <v>129</v>
      </c>
      <c r="O54" s="156"/>
      <c r="P54" s="157"/>
      <c r="Q54" s="158">
        <f>SUM(Q43:Q52)</f>
        <v>0</v>
      </c>
      <c r="R54" s="159">
        <f>SUM(R43:R52)</f>
        <v>0</v>
      </c>
      <c r="S54" s="924">
        <f>R54-Q54</f>
        <v>0</v>
      </c>
      <c r="AA54" s="1901">
        <f>SUM(AA43:AA52)</f>
        <v>0</v>
      </c>
      <c r="AB54" s="1901">
        <f>SUM(AB43:AB52)</f>
        <v>0</v>
      </c>
    </row>
    <row r="55" spans="2:28">
      <c r="B55" s="199" t="s">
        <v>1097</v>
      </c>
      <c r="C55" s="401"/>
      <c r="D55" s="401"/>
      <c r="E55" s="401"/>
      <c r="F55" s="401"/>
      <c r="G55" s="401"/>
      <c r="H55" s="401"/>
      <c r="I55" s="402"/>
      <c r="J55" s="402"/>
      <c r="K55" s="26" t="str">
        <f>IF(Matrix!E11&gt;0, "Annual-System A2",IF(Matrix!E28&gt;0,"Annual-System A2",""))</f>
        <v/>
      </c>
      <c r="S55" s="914"/>
      <c r="T55" s="914"/>
      <c r="W55" s="1066"/>
      <c r="X55" s="1066"/>
    </row>
    <row r="56" spans="2:28">
      <c r="K56" s="26" t="str">
        <f>IF(Matrix!E12&gt;0,"Perennial-System P2",IF(Matrix!E29&gt;0,"Perennial-System P2",""))</f>
        <v/>
      </c>
    </row>
    <row r="57" spans="2:28">
      <c r="K57" s="26" t="str">
        <f>IF(Matrix!E13&gt;0,"Rice Sytem R2",IF(Matrix!E30&gt;0,"Rice System R2",""))</f>
        <v/>
      </c>
    </row>
    <row r="58" spans="2:28">
      <c r="D58" s="1" t="s">
        <v>5577</v>
      </c>
      <c r="E58" s="1">
        <f>SUM('2.LUC'!E153:E161,'2.LUC'!G153:G161,'2.LUC'!I153:I161,'2.LUC'!K153:K161,'2.LUC'!O153:O161,'2.LUC'!R153:R161,'2.LUC'!T153:T161)</f>
        <v>0</v>
      </c>
      <c r="K58" s="26" t="str">
        <f>IF(Matrix!E14&gt;0,"Grassland-System G2",IF(Matrix!E31&gt;0,"Grassland-System G2",""))</f>
        <v/>
      </c>
    </row>
  </sheetData>
  <sheetProtection formatCells="0" formatColumns="0" formatRows="0"/>
  <mergeCells count="8">
    <mergeCell ref="B10:B13"/>
    <mergeCell ref="B14:B17"/>
    <mergeCell ref="AE24:AI24"/>
    <mergeCell ref="H27:I27"/>
    <mergeCell ref="I40:J40"/>
    <mergeCell ref="D40:H40"/>
    <mergeCell ref="E36:F36"/>
    <mergeCell ref="E37:F37"/>
  </mergeCells>
  <phoneticPr fontId="11" type="noConversion"/>
  <dataValidations count="4">
    <dataValidation type="list" allowBlank="1" showInputMessage="1" showErrorMessage="1" sqref="H43:H52 F43:F52">
      <formula1>Rate</formula1>
    </dataValidation>
    <dataValidation type="list" allowBlank="1" showInputMessage="1" showErrorMessage="1" sqref="E36:E37">
      <formula1>prevuse</formula1>
    </dataValidation>
    <dataValidation type="list" allowBlank="1" showInputMessage="1" showErrorMessage="1" sqref="G28:G37">
      <formula1>YES_NO</formula1>
    </dataValidation>
    <dataValidation type="decimal" operator="greaterThanOrEqual" allowBlank="1" showInputMessage="1" showErrorMessage="1" sqref="I20:I23 M20:M23 O20:O23 Q20:S23 I28:I37 K20:K23 G43:G52 E43:E52">
      <formula1>0</formula1>
    </dataValidation>
  </dataValidations>
  <hyperlinks>
    <hyperlink ref="F9" location="Ecol_Zones!A1" display="Ecol_Zone"/>
    <hyperlink ref="E5" location="Description!A1" display="Back to Description"/>
  </hyperlinks>
  <pageMargins left="0.53" right="0.4" top="0.984251969" bottom="0.984251969" header="0.4921259845" footer="0.4921259845"/>
  <pageSetup paperSize="9" scale="58" orientation="landscape" horizontalDpi="1200" verticalDpi="1200" r:id="rId1"/>
  <headerFooter alignWithMargins="0">
    <oddHeader>Page &amp;P&amp;R&amp;A</oddHeader>
    <oddFooter>&amp;F</oddFooter>
  </headerFooter>
  <ignoredErrors>
    <ignoredError sqref="K11:K13 N20:N22 M14 L20:L22 O10:O13 O14:O17 K14:K17 M10:M13 M16:M17" formula="1"/>
    <ignoredError sqref="K20 K21:K22"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61"/>
    <pageSetUpPr fitToPage="1"/>
  </sheetPr>
  <dimension ref="A1:AI183"/>
  <sheetViews>
    <sheetView topLeftCell="G5" zoomScale="90" zoomScaleNormal="90" workbookViewId="0">
      <selection activeCell="S32" sqref="S32"/>
    </sheetView>
  </sheetViews>
  <sheetFormatPr defaultColWidth="11.42578125" defaultRowHeight="12.75"/>
  <cols>
    <col min="1" max="1" width="4.85546875" style="233" customWidth="1"/>
    <col min="2" max="2" width="15.140625" style="233" customWidth="1"/>
    <col min="3" max="3" width="42.85546875" style="233" customWidth="1"/>
    <col min="4" max="7" width="14.5703125" style="233" customWidth="1"/>
    <col min="8" max="8" width="10.7109375" style="233" customWidth="1"/>
    <col min="9" max="9" width="10.140625" style="233" customWidth="1"/>
    <col min="10" max="10" width="11.28515625" style="233" customWidth="1"/>
    <col min="11" max="15" width="10.7109375" style="234" customWidth="1"/>
    <col min="16" max="16" width="12.28515625" style="234" customWidth="1"/>
    <col min="17" max="18" width="11.7109375" style="234" customWidth="1"/>
    <col min="19" max="19" width="12.42578125" style="234" customWidth="1"/>
    <col min="20" max="20" width="11.42578125" style="234"/>
    <col min="21" max="21" width="14.7109375" style="234" customWidth="1"/>
    <col min="22" max="22" width="6" style="233" customWidth="1"/>
    <col min="23" max="23" width="10.42578125" style="232" customWidth="1"/>
    <col min="24" max="24" width="1.85546875" style="244" customWidth="1"/>
    <col min="25" max="25" width="5.42578125" style="1217" customWidth="1"/>
    <col min="26" max="26" width="6" style="792" customWidth="1"/>
    <col min="27" max="27" width="11.42578125" style="792"/>
    <col min="28" max="35" width="11.42578125" style="1069"/>
    <col min="36" max="16384" width="11.42578125" style="233"/>
  </cols>
  <sheetData>
    <row r="1" spans="1:35" s="1644" customFormat="1" ht="22.9" customHeight="1">
      <c r="K1" s="1648"/>
      <c r="L1" s="1648"/>
      <c r="M1" s="1648"/>
      <c r="N1" s="1648"/>
      <c r="O1" s="1648"/>
      <c r="P1" s="1648"/>
      <c r="Q1" s="1648"/>
      <c r="R1" s="1648"/>
      <c r="S1" s="1648"/>
      <c r="T1" s="1648"/>
      <c r="U1" s="1648"/>
      <c r="W1" s="1695"/>
      <c r="X1" s="1696"/>
      <c r="Y1" s="1689"/>
      <c r="Z1" s="1690"/>
      <c r="AA1" s="1690"/>
      <c r="AB1" s="1691"/>
      <c r="AC1" s="1691"/>
      <c r="AD1" s="1691"/>
      <c r="AE1" s="1691"/>
      <c r="AF1" s="1691"/>
      <c r="AG1" s="1691"/>
      <c r="AH1" s="1691"/>
      <c r="AI1" s="1691"/>
    </row>
    <row r="2" spans="1:35" s="1644" customFormat="1" ht="22.9" customHeight="1">
      <c r="K2" s="1648"/>
      <c r="L2" s="1648"/>
      <c r="M2" s="1648"/>
      <c r="N2" s="1648"/>
      <c r="O2" s="1648"/>
      <c r="P2" s="1648"/>
      <c r="Q2" s="1648"/>
      <c r="R2" s="1648"/>
      <c r="S2" s="1648"/>
      <c r="T2" s="1648"/>
      <c r="U2" s="1648"/>
      <c r="W2" s="1695"/>
      <c r="X2" s="1696"/>
      <c r="Y2" s="1689"/>
      <c r="Z2" s="1690"/>
      <c r="AA2" s="1690"/>
      <c r="AB2" s="1691"/>
      <c r="AC2" s="1691"/>
      <c r="AD2" s="1691"/>
      <c r="AE2" s="1691"/>
      <c r="AF2" s="1691"/>
      <c r="AG2" s="1691"/>
      <c r="AH2" s="1691"/>
      <c r="AI2" s="1691"/>
    </row>
    <row r="3" spans="1:35" s="1644" customFormat="1" ht="22.9" customHeight="1">
      <c r="K3" s="1648"/>
      <c r="L3" s="1648"/>
      <c r="M3" s="1648"/>
      <c r="N3" s="1648"/>
      <c r="O3" s="1648"/>
      <c r="P3" s="1648"/>
      <c r="Q3" s="1648"/>
      <c r="R3" s="1648"/>
      <c r="S3" s="1648"/>
      <c r="T3" s="1648"/>
      <c r="U3" s="1648"/>
      <c r="W3" s="1695"/>
      <c r="X3" s="1696"/>
      <c r="Y3" s="1689"/>
      <c r="Z3" s="1690"/>
      <c r="AA3" s="1690"/>
      <c r="AB3" s="1691"/>
      <c r="AC3" s="1691"/>
      <c r="AD3" s="1691"/>
      <c r="AE3" s="1691"/>
      <c r="AF3" s="1691"/>
      <c r="AG3" s="1691"/>
      <c r="AH3" s="1691"/>
      <c r="AI3" s="1691"/>
    </row>
    <row r="4" spans="1:35" s="1644" customFormat="1" ht="22.9" customHeight="1">
      <c r="K4" s="1648"/>
      <c r="L4" s="1648"/>
      <c r="M4" s="1648"/>
      <c r="N4" s="1648"/>
      <c r="O4" s="1648"/>
      <c r="P4" s="1648"/>
      <c r="Q4" s="1648"/>
      <c r="R4" s="1648"/>
      <c r="S4" s="1648"/>
      <c r="T4" s="1648"/>
      <c r="U4" s="1648"/>
      <c r="W4" s="1695"/>
      <c r="X4" s="1696"/>
      <c r="Y4" s="1689"/>
      <c r="Z4" s="1690"/>
      <c r="AA4" s="1690"/>
      <c r="AB4" s="1691"/>
      <c r="AC4" s="1691"/>
      <c r="AD4" s="1691"/>
      <c r="AE4" s="1691"/>
      <c r="AF4" s="1691"/>
      <c r="AG4" s="1691"/>
      <c r="AH4" s="1691"/>
      <c r="AI4" s="1691"/>
    </row>
    <row r="5" spans="1:35" s="1644" customFormat="1" ht="22.9" customHeight="1">
      <c r="A5" s="1681" t="s">
        <v>1182</v>
      </c>
      <c r="B5" s="1681"/>
      <c r="C5" s="1681"/>
      <c r="D5" s="1645"/>
      <c r="H5" s="3744" t="s">
        <v>470</v>
      </c>
      <c r="I5" s="3744"/>
      <c r="K5" s="1648"/>
      <c r="L5" s="1648"/>
      <c r="M5" s="1648"/>
      <c r="N5" s="1648"/>
      <c r="O5" s="1648"/>
      <c r="P5" s="1648"/>
      <c r="Q5" s="1648"/>
      <c r="R5" s="1648"/>
      <c r="S5" s="1648"/>
      <c r="T5" s="1648"/>
      <c r="U5" s="1648"/>
      <c r="W5" s="1695"/>
      <c r="X5" s="1696"/>
      <c r="Y5" s="1689"/>
      <c r="Z5" s="1690"/>
      <c r="AA5" s="1690"/>
      <c r="AB5" s="1691"/>
      <c r="AC5" s="1691"/>
      <c r="AD5" s="1691"/>
      <c r="AE5" s="1691"/>
      <c r="AF5" s="1691"/>
      <c r="AG5" s="1691"/>
      <c r="AH5" s="1691"/>
      <c r="AI5" s="1691"/>
    </row>
    <row r="6" spans="1:35">
      <c r="A6" s="241"/>
      <c r="B6" s="241"/>
      <c r="C6" s="241"/>
      <c r="D6" s="241"/>
      <c r="E6" s="240"/>
      <c r="F6" s="240"/>
      <c r="G6" s="240"/>
      <c r="H6" s="688"/>
      <c r="I6" s="240"/>
      <c r="J6" s="240"/>
      <c r="L6" s="242"/>
      <c r="M6" s="242"/>
      <c r="N6" s="242"/>
      <c r="T6" s="2410"/>
      <c r="U6" s="2416"/>
      <c r="V6" s="2423"/>
      <c r="W6" s="2423"/>
      <c r="X6" s="2416"/>
      <c r="Y6" s="2416"/>
      <c r="Z6" s="2416"/>
      <c r="AA6" s="2410"/>
      <c r="AB6" s="2403"/>
      <c r="AC6" s="2403"/>
      <c r="AD6" s="2403"/>
      <c r="AE6" s="2403"/>
      <c r="AF6" s="2403"/>
      <c r="AG6" s="2403"/>
      <c r="AH6" s="2403"/>
    </row>
    <row r="7" spans="1:35">
      <c r="A7" s="241"/>
      <c r="B7" s="236"/>
      <c r="C7" s="689"/>
      <c r="D7" s="235" t="s">
        <v>1194</v>
      </c>
      <c r="E7" s="690"/>
      <c r="F7" s="690"/>
      <c r="G7" s="690"/>
      <c r="H7" s="691"/>
      <c r="I7" s="692"/>
      <c r="J7" s="345" t="s">
        <v>991</v>
      </c>
      <c r="K7" s="693" t="s">
        <v>1192</v>
      </c>
      <c r="L7" s="544"/>
      <c r="M7" s="544"/>
      <c r="N7" s="548"/>
      <c r="O7" s="621" t="s">
        <v>1193</v>
      </c>
      <c r="P7" s="559"/>
      <c r="Q7" s="1025" t="s">
        <v>44</v>
      </c>
      <c r="R7" s="560"/>
      <c r="S7" s="3745" t="s">
        <v>7420</v>
      </c>
      <c r="T7" s="3746"/>
      <c r="U7" s="2416"/>
      <c r="V7" s="2423"/>
      <c r="W7" s="2403"/>
      <c r="X7" s="2410"/>
      <c r="Y7" s="2416"/>
      <c r="Z7" s="2416"/>
      <c r="AA7" s="1872" t="s">
        <v>55</v>
      </c>
      <c r="AB7" s="2403"/>
      <c r="AC7" s="2423"/>
      <c r="AD7" s="2416"/>
      <c r="AE7" s="2403"/>
      <c r="AF7" s="2403"/>
      <c r="AG7" s="2403"/>
      <c r="AH7" s="2403"/>
    </row>
    <row r="8" spans="1:35" ht="33" customHeight="1" thickBot="1">
      <c r="A8" s="241"/>
      <c r="B8" s="540" t="s">
        <v>1124</v>
      </c>
      <c r="C8" s="551" t="s">
        <v>1213</v>
      </c>
      <c r="D8" s="236" t="s">
        <v>1183</v>
      </c>
      <c r="E8" s="237"/>
      <c r="F8" s="236" t="s">
        <v>1184</v>
      </c>
      <c r="G8" s="237"/>
      <c r="H8" s="235" t="s">
        <v>1243</v>
      </c>
      <c r="I8" s="692"/>
      <c r="J8" s="128" t="s">
        <v>992</v>
      </c>
      <c r="K8" s="1209" t="s">
        <v>1189</v>
      </c>
      <c r="L8" s="742" t="s">
        <v>1190</v>
      </c>
      <c r="M8" s="742" t="s">
        <v>1188</v>
      </c>
      <c r="N8" s="1210" t="s">
        <v>1191</v>
      </c>
      <c r="O8" s="1023" t="s">
        <v>535</v>
      </c>
      <c r="P8" s="1024" t="s">
        <v>1195</v>
      </c>
      <c r="Q8" s="542" t="s">
        <v>42</v>
      </c>
      <c r="R8" s="546" t="s">
        <v>43</v>
      </c>
      <c r="S8" s="3526" t="s">
        <v>7422</v>
      </c>
      <c r="T8" s="3525" t="s">
        <v>7426</v>
      </c>
      <c r="U8" s="2416"/>
      <c r="V8" s="2423"/>
      <c r="W8" s="2416"/>
      <c r="X8" s="2784"/>
      <c r="Y8" s="2784"/>
      <c r="Z8" s="2784"/>
      <c r="AA8" s="1872" t="s">
        <v>53</v>
      </c>
      <c r="AB8" s="2403"/>
      <c r="AC8" s="2423"/>
      <c r="AD8" s="2416"/>
      <c r="AE8" s="2403"/>
      <c r="AF8" s="2403"/>
      <c r="AG8" s="2403"/>
      <c r="AH8" s="2403"/>
    </row>
    <row r="9" spans="1:35" ht="13.5" thickBot="1">
      <c r="A9" s="240"/>
      <c r="B9" s="269" t="s">
        <v>1197</v>
      </c>
      <c r="C9" s="999"/>
      <c r="D9" s="1788" t="str">
        <f>'2.LUC'!D49</f>
        <v>Select Initial Land Use</v>
      </c>
      <c r="E9" s="1788"/>
      <c r="F9" s="1790" t="str">
        <f>'2.LUC'!G49</f>
        <v>Select Final Land Use</v>
      </c>
      <c r="G9" s="1790"/>
      <c r="H9" s="1003" t="str">
        <f>IF(LEFT(D9,6)="Select","Fill initial LU",IF(LEFT(F9,6)="Select","Fill final LU",IF(LEFT(D9,7)=LEFT(F9,7),"Final=Initial: Check!","")))</f>
        <v>Fill initial LU</v>
      </c>
      <c r="I9" s="270"/>
      <c r="J9" s="1792" t="str">
        <f>'2.LUC'!K49</f>
        <v>NO</v>
      </c>
      <c r="K9" s="2896">
        <f>IF('2.LUC'!H201="",'2.LUC'!G201,'2.LUC'!H201)</f>
        <v>0</v>
      </c>
      <c r="L9" s="2896">
        <f>IF('2.LUC'!R201="",'2.LUC'!Q201,'2.LUC'!R201)</f>
        <v>0</v>
      </c>
      <c r="M9" s="2896">
        <f>IF('2.LUC'!J201="",'2.LUC'!I201,'2.LUC'!J201)</f>
        <v>0</v>
      </c>
      <c r="N9" s="2897">
        <f>IF('2.LUC'!T201="",'2.LUC'!S201,'2.LUC'!T201)</f>
        <v>0</v>
      </c>
      <c r="O9" s="1796">
        <f>IF($H9&lt;&gt;"",0,(L9-K9)*44/12)</f>
        <v>0</v>
      </c>
      <c r="P9" s="1796">
        <f>IF($H9&lt;&gt;"",0,(44/12)*(N9-M9)/20)</f>
        <v>0</v>
      </c>
      <c r="Q9" s="1004">
        <f>IF(J9="yes",K9*2.5*VLOOKUP(D9,' IPCC'!$A$322:$B$331,2,)*VLOOKUP(D9,' IPCC'!$A$322:$E$331,4,),0)</f>
        <v>0</v>
      </c>
      <c r="R9" s="3572">
        <f>IF(J9="yes",K9*2.5*VLOOKUP(D9,' IPCC'!$A$322:$B$331,2,)*VLOOKUP(D9,' IPCC'!$A$322:$E$331,5,),0)</f>
        <v>0</v>
      </c>
      <c r="S9" s="3566">
        <f>ABS(IF(P9&gt;=0,0,IF(AND(OR(D9="Grassland",D9="Set Aside"),(AND(F9&lt;&gt;"Grassland",F9&lt;&gt;"Set Aside"))),((P9*12/44)*1/' IPCC'!$B$1199)*1000,((P9*12/44)*1/' IPCC'!$B$1199)*1000)))</f>
        <v>0</v>
      </c>
      <c r="T9" s="3569">
        <f t="shared" ref="T9:T24" si="0">S9*$W$20*N2O_N_conversion</f>
        <v>0</v>
      </c>
      <c r="U9" s="2416"/>
      <c r="V9" s="2423"/>
      <c r="W9" s="2416"/>
      <c r="X9" s="2416"/>
      <c r="Y9" s="2416"/>
      <c r="Z9" s="2416"/>
      <c r="AA9" s="2403" t="s">
        <v>54</v>
      </c>
      <c r="AB9" s="2403" t="s">
        <v>675</v>
      </c>
      <c r="AC9" s="2423"/>
      <c r="AD9" s="2416"/>
      <c r="AE9" s="2403"/>
      <c r="AF9" s="2403"/>
      <c r="AG9" s="2403"/>
      <c r="AH9" s="2403"/>
    </row>
    <row r="10" spans="1:35" ht="13.5" thickBot="1">
      <c r="A10" s="240"/>
      <c r="B10" s="271" t="s">
        <v>1198</v>
      </c>
      <c r="C10" s="757"/>
      <c r="D10" s="1788" t="str">
        <f>'2.LUC'!D50</f>
        <v>Select Initial Land Use</v>
      </c>
      <c r="E10" s="1789"/>
      <c r="F10" s="1790" t="str">
        <f>'2.LUC'!G50</f>
        <v>Select Final Land Use</v>
      </c>
      <c r="G10" s="1791"/>
      <c r="H10" s="694" t="str">
        <f t="shared" ref="H10:H24" si="1">IF(LEFT(D10,6)="Select","Fill initial LU",IF(LEFT(F10,6)="Select","Fill final LU",IF(LEFT(D10,7)=LEFT(F10,7),"Final=Initial: Check!","")))</f>
        <v>Fill initial LU</v>
      </c>
      <c r="I10" s="772"/>
      <c r="J10" s="1792" t="str">
        <f>'2.LUC'!K50</f>
        <v>NO</v>
      </c>
      <c r="K10" s="2896">
        <f>IF('2.LUC'!H202="",'2.LUC'!G202,'2.LUC'!H202)</f>
        <v>0</v>
      </c>
      <c r="L10" s="2896">
        <f>IF('2.LUC'!R202="",'2.LUC'!Q202,'2.LUC'!R202)</f>
        <v>0</v>
      </c>
      <c r="M10" s="2896">
        <f>IF('2.LUC'!J202="",'2.LUC'!I202,'2.LUC'!J202)</f>
        <v>0</v>
      </c>
      <c r="N10" s="2897">
        <f>IF('2.LUC'!T202="",'2.LUC'!S202,'2.LUC'!T202)</f>
        <v>0</v>
      </c>
      <c r="O10" s="1796">
        <f t="shared" ref="O10:O24" si="2">IF($H10&lt;&gt;"",0,(L10-K10)*44/12)</f>
        <v>0</v>
      </c>
      <c r="P10" s="1796">
        <f t="shared" ref="P10:P24" si="3">IF($H10&lt;&gt;"",0,(44/12)*(N10-M10)/20)</f>
        <v>0</v>
      </c>
      <c r="Q10" s="696">
        <f>IF(J10="yes",K10*2.5*VLOOKUP(D10,' IPCC'!$A$322:$B$331,2,)*VLOOKUP(D10,' IPCC'!$A$322:$E$331,4,),0)</f>
        <v>0</v>
      </c>
      <c r="R10" s="697">
        <f>IF(J10="yes",K10*2.5*VLOOKUP(D10,' IPCC'!$A$322:$B$331,2,)*VLOOKUP(D10,' IPCC'!$A$322:$E$331,5,),0)</f>
        <v>0</v>
      </c>
      <c r="S10" s="3567">
        <f>ABS(IF(P10&gt;=0,0,IF(AND(OR(D10="Grassland",D10="Set Aside"),(AND(F10&lt;&gt;"Grassland",F10&lt;&gt;"Set Aside"))),((P10*12/44)*1/' IPCC'!$B$1199)*1000,((P10*12/44)*1/' IPCC'!$B$1199)*1000)))</f>
        <v>0</v>
      </c>
      <c r="T10" s="3570">
        <f t="shared" si="0"/>
        <v>0</v>
      </c>
      <c r="U10" s="2416"/>
      <c r="V10" s="2423"/>
      <c r="W10" s="2416"/>
      <c r="X10" s="2784"/>
      <c r="Y10" s="2784"/>
      <c r="Z10" s="2784"/>
      <c r="AA10" s="1914">
        <f>-P9*(IF(E31="immediate",IF(D31&gt;0,D31*MIN(20,time),0),D31*IF(time&gt;time+20,20,IF(time&lt;20,(time*VLOOKUP(E31,List!$E$35:$F$37,2,))+(time-time),((MIN(20,time)*VLOOKUP(E31,List!$E$35:$F$37,2,))+(time-MIN(20,time))-IF(E31="exponential",time-20+0.217*time*(EXP(4.606*(20-time)/time)-1),((time-20)^2)*(0.5/time)))))))</f>
        <v>0</v>
      </c>
      <c r="AB10" s="1914">
        <f>-P9*(IF(G31="immediate",IF(F31&gt;0,F31*MIN(20,time),0),F31*IF(time&gt;time+20,20,IF(time&lt;20,(time*VLOOKUP(G31,List!$E$35:$F$37,2,))+(time-time),((MIN(20,time)*VLOOKUP(G31,List!$E$35:$F$37,2,))+(time-MIN(20,time))-IF(G31="exponential",time-20+0.217*time*(EXP(4.606*(20-time)/time)-1),((time_tot-20)^2)*(0.5/time)))))))</f>
        <v>0</v>
      </c>
      <c r="AC10" s="1915"/>
      <c r="AD10" s="1915" t="s">
        <v>26</v>
      </c>
      <c r="AE10" s="1915"/>
      <c r="AF10" s="1915"/>
      <c r="AG10" s="2403"/>
      <c r="AH10" s="2403"/>
    </row>
    <row r="11" spans="1:35" ht="12.75" customHeight="1" thickBot="1">
      <c r="A11" s="240"/>
      <c r="B11" s="271" t="s">
        <v>1199</v>
      </c>
      <c r="C11" s="757"/>
      <c r="D11" s="1788" t="str">
        <f>'2.LUC'!D51</f>
        <v>Select Initial Land Use</v>
      </c>
      <c r="E11" s="1789"/>
      <c r="F11" s="1790" t="str">
        <f>'2.LUC'!G51</f>
        <v>Select Final Land Use</v>
      </c>
      <c r="G11" s="1791"/>
      <c r="H11" s="694" t="str">
        <f t="shared" si="1"/>
        <v>Fill initial LU</v>
      </c>
      <c r="I11" s="267"/>
      <c r="J11" s="1792" t="str">
        <f>'2.LUC'!K51</f>
        <v>NO</v>
      </c>
      <c r="K11" s="2896">
        <f>IF('2.LUC'!H203="",'2.LUC'!G203,'2.LUC'!H203)</f>
        <v>0</v>
      </c>
      <c r="L11" s="2896">
        <f>IF('2.LUC'!R203="",'2.LUC'!Q203,'2.LUC'!R203)</f>
        <v>0</v>
      </c>
      <c r="M11" s="2896">
        <f>IF('2.LUC'!J203="",'2.LUC'!I203,'2.LUC'!J203)</f>
        <v>0</v>
      </c>
      <c r="N11" s="2897">
        <f>IF('2.LUC'!T203="",'2.LUC'!S203,'2.LUC'!T203)</f>
        <v>0</v>
      </c>
      <c r="O11" s="1796">
        <f t="shared" si="2"/>
        <v>0</v>
      </c>
      <c r="P11" s="1796">
        <f t="shared" si="3"/>
        <v>0</v>
      </c>
      <c r="Q11" s="696">
        <f>IF(J11="yes",K11*2.5*VLOOKUP(D11,' IPCC'!$A$322:$B$331,2,)*VLOOKUP(D11,' IPCC'!$A$322:$E$331,4,),0)</f>
        <v>0</v>
      </c>
      <c r="R11" s="697">
        <f>IF(J11="yes",K11*2.5*VLOOKUP(D11,' IPCC'!$A$322:$B$331,2,)*VLOOKUP(D11,' IPCC'!$A$322:$E$331,5,),0)</f>
        <v>0</v>
      </c>
      <c r="S11" s="3567">
        <f>ABS(IF(P11&gt;=0,0,IF(AND(OR(D11="Grassland",D11="Set Aside"),(AND(F11&lt;&gt;"Grassland",F11&lt;&gt;"Set Aside"))),((P11*12/44)*1/' IPCC'!$B$1199)*1000,((P11*12/44)*1/' IPCC'!$B$1199)*1000)))</f>
        <v>0</v>
      </c>
      <c r="T11" s="3570">
        <f t="shared" si="0"/>
        <v>0</v>
      </c>
      <c r="W11" s="2410"/>
      <c r="X11" s="2416" t="s">
        <v>674</v>
      </c>
      <c r="Y11" s="2423" t="s">
        <v>675</v>
      </c>
      <c r="Z11" s="2416"/>
      <c r="AA11" s="1914">
        <f>-P10*(IF(E32="immediate",IF(D32&gt;0,D32*MIN(20,time),0),D32*IF(time&gt;time+20,20,IF(time&lt;20,(time*VLOOKUP(E32,List!$E$35:$F$37,2,))+(time-time),((MIN(20,time)*VLOOKUP(E32,List!$E$35:$F$37,2,))+(time-MIN(20,time))-IF(E32="exponential",time-20+0.217*time*(EXP(4.606*(20-time)/time)-1),((time-20)^2)*(0.5/time)))))))</f>
        <v>0</v>
      </c>
      <c r="AB11" s="1914">
        <f>-P10*(IF(G32="immediate",IF(F32&gt;0,F32*MIN(20,time),0),F32*IF(time&gt;time+20,20,IF(time&lt;20,(time*VLOOKUP(G32,List!$E$35:$F$37,2,))+(time-time),((MIN(20,time)*VLOOKUP(G32,List!$E$35:$F$37,2,))+(time-MIN(20,time))-IF(G32="exponential",time-20+0.217*time*(EXP(4.606*(20-time)/time)-1),((time_tot-20)^2)*(0.5/time)))))))</f>
        <v>0</v>
      </c>
      <c r="AC11" s="1915" t="s">
        <v>23</v>
      </c>
      <c r="AD11" s="1915" t="s">
        <v>516</v>
      </c>
      <c r="AE11" s="1915" t="s">
        <v>35</v>
      </c>
      <c r="AF11" s="1915" t="s">
        <v>36</v>
      </c>
      <c r="AG11" s="2403"/>
      <c r="AH11" s="2403"/>
    </row>
    <row r="12" spans="1:35" ht="13.5" thickBot="1">
      <c r="A12" s="240"/>
      <c r="B12" s="271" t="s">
        <v>1200</v>
      </c>
      <c r="C12" s="757"/>
      <c r="D12" s="1788" t="str">
        <f>'2.LUC'!D52</f>
        <v>Select Initial Land Use</v>
      </c>
      <c r="E12" s="1789"/>
      <c r="F12" s="1790" t="str">
        <f>'2.LUC'!G52</f>
        <v>Select Final Land Use</v>
      </c>
      <c r="G12" s="1791"/>
      <c r="H12" s="694" t="str">
        <f t="shared" si="1"/>
        <v>Fill initial LU</v>
      </c>
      <c r="I12" s="267"/>
      <c r="J12" s="1792" t="str">
        <f>'2.LUC'!K52</f>
        <v>NO</v>
      </c>
      <c r="K12" s="2896">
        <f>IF('2.LUC'!H204="",'2.LUC'!G204,'2.LUC'!H204)</f>
        <v>0</v>
      </c>
      <c r="L12" s="2896">
        <f>IF('2.LUC'!R204="",'2.LUC'!Q204,'2.LUC'!R204)</f>
        <v>0</v>
      </c>
      <c r="M12" s="2896">
        <f>IF('2.LUC'!J204="",'2.LUC'!I204,'2.LUC'!J204)</f>
        <v>0</v>
      </c>
      <c r="N12" s="2897">
        <f>IF('2.LUC'!T204="",'2.LUC'!S204,'2.LUC'!T204)</f>
        <v>0</v>
      </c>
      <c r="O12" s="1796">
        <f t="shared" si="2"/>
        <v>0</v>
      </c>
      <c r="P12" s="1796">
        <f t="shared" si="3"/>
        <v>0</v>
      </c>
      <c r="Q12" s="696">
        <f>IF(J12="yes",K12*2.5*VLOOKUP(D12,' IPCC'!$A$322:$B$331,2,)*VLOOKUP(D12,' IPCC'!$A$322:$E$331,4,),0)</f>
        <v>0</v>
      </c>
      <c r="R12" s="697">
        <f>IF(J12="yes",K12*2.5*VLOOKUP(D12,' IPCC'!$A$322:$B$331,2,)*VLOOKUP(D12,' IPCC'!$A$322:$E$331,5,),0)</f>
        <v>0</v>
      </c>
      <c r="S12" s="3567">
        <f>ABS(IF(P12&gt;=0,0,IF(AND(OR(D12="Grassland",D12="Set Aside"),(AND(F12&lt;&gt;"Grassland",F12&lt;&gt;"Set Aside"))),((P12*12/44)*1/' IPCC'!$B$1199)*1000,((P12*12/44)*1/' IPCC'!$B$1199)*1000)))</f>
        <v>0</v>
      </c>
      <c r="T12" s="3570">
        <f t="shared" si="0"/>
        <v>0</v>
      </c>
      <c r="W12" s="1915" t="s">
        <v>24</v>
      </c>
      <c r="X12" s="2411">
        <f>SUM(H31:H46)</f>
        <v>0</v>
      </c>
      <c r="Y12" s="2411">
        <f>SUM(I31:I46)</f>
        <v>0</v>
      </c>
      <c r="Z12" s="2416"/>
      <c r="AA12" s="1914">
        <f>-P11*(IF(E33="immediate",IF(D33&gt;0,D33*MIN(20,time),0),D33*IF(time&gt;time+20,20,IF(time&lt;20,(time*VLOOKUP(E33,List!$E$35:$F$37,2,))+(time-time),((MIN(20,time)*VLOOKUP(E33,List!$E$35:$F$37,2,))+(time-MIN(20,time))-IF(E33="exponential",time-20+0.217*time*(EXP(4.606*(20-time)/time)-1),((time-20)^2)*(0.5/time)))))))</f>
        <v>0</v>
      </c>
      <c r="AB12" s="1914">
        <f>-P11*(IF(G33="immediate",IF(F33&gt;0,F33*MIN(20,time),0),F33*IF(time&gt;time+20,20,IF(time&lt;20,(time*VLOOKUP(G33,List!$E$35:$F$37,2,))+(time-time),((MIN(20,time)*VLOOKUP(G33,List!$E$35:$F$37,2,))+(time-MIN(20,time))-IF(G33="exponential",time-20+0.217*time*(EXP(4.606*(20-time)/time)-1),((time_tot-20)^2)*(0.5/time)))))))</f>
        <v>0</v>
      </c>
      <c r="AC12" s="1915" t="s">
        <v>24</v>
      </c>
      <c r="AD12" s="1915">
        <f>SUM(I31:I46)-SUM(H31:H46)</f>
        <v>0</v>
      </c>
      <c r="AE12" s="1915">
        <f>IF(time=0,0,AD12)</f>
        <v>0</v>
      </c>
      <c r="AF12" s="1915">
        <f>AD12-AE12</f>
        <v>0</v>
      </c>
      <c r="AG12" s="2403"/>
      <c r="AH12" s="2403"/>
    </row>
    <row r="13" spans="1:35" ht="13.5" thickBot="1">
      <c r="A13" s="240"/>
      <c r="B13" s="271" t="s">
        <v>1201</v>
      </c>
      <c r="C13" s="757"/>
      <c r="D13" s="1788" t="str">
        <f>'2.LUC'!D53</f>
        <v>Select Initial Land Use</v>
      </c>
      <c r="E13" s="1789"/>
      <c r="F13" s="1790" t="str">
        <f>'2.LUC'!G53</f>
        <v>Select Final Land Use</v>
      </c>
      <c r="G13" s="1791"/>
      <c r="H13" s="694" t="str">
        <f t="shared" si="1"/>
        <v>Fill initial LU</v>
      </c>
      <c r="I13" s="267"/>
      <c r="J13" s="1792" t="str">
        <f>'2.LUC'!K53</f>
        <v>NO</v>
      </c>
      <c r="K13" s="2896">
        <f>IF('2.LUC'!H205="",'2.LUC'!G205,'2.LUC'!H205)</f>
        <v>0</v>
      </c>
      <c r="L13" s="2896">
        <f>IF('2.LUC'!R205="",'2.LUC'!Q205,'2.LUC'!R205)</f>
        <v>0</v>
      </c>
      <c r="M13" s="2896">
        <f>IF('2.LUC'!J205="",'2.LUC'!I205,'2.LUC'!J205)</f>
        <v>0</v>
      </c>
      <c r="N13" s="2897">
        <f>IF('2.LUC'!T205="",'2.LUC'!S205,'2.LUC'!T205)</f>
        <v>0</v>
      </c>
      <c r="O13" s="1796">
        <f t="shared" si="2"/>
        <v>0</v>
      </c>
      <c r="P13" s="1796">
        <f t="shared" si="3"/>
        <v>0</v>
      </c>
      <c r="Q13" s="696">
        <f>IF(J13="yes",K13*2.5*VLOOKUP(D13,' IPCC'!$A$322:$B$331,2,)*VLOOKUP(D13,' IPCC'!$A$322:$E$331,4,),0)</f>
        <v>0</v>
      </c>
      <c r="R13" s="697">
        <f>IF(J13="yes",K13*2.5*VLOOKUP(D13,' IPCC'!$A$322:$B$331,2,)*VLOOKUP(D13,' IPCC'!$A$322:$E$331,5,),0)</f>
        <v>0</v>
      </c>
      <c r="S13" s="3567">
        <f>ABS(IF(P13&gt;=0,0,IF(AND(OR(D13="Grassland",D13="Set Aside"),(AND(F13&lt;&gt;"Grassland",F13&lt;&gt;"Set Aside"))),((P13*12/44)*1/' IPCC'!$B$1199)*1000,((P13*12/44)*1/' IPCC'!$B$1199)*1000)))</f>
        <v>0</v>
      </c>
      <c r="T13" s="3570">
        <f>S13*$W$20*N2O_N_conversion</f>
        <v>0</v>
      </c>
      <c r="W13" s="1915" t="s">
        <v>25</v>
      </c>
      <c r="X13" s="2411">
        <f>SUM(J31:J46)</f>
        <v>0</v>
      </c>
      <c r="Y13" s="2411">
        <f>SUM(K31:K46)</f>
        <v>0</v>
      </c>
      <c r="Z13" s="2416"/>
      <c r="AA13" s="1914">
        <f>-P12*(IF(E34="immediate",IF(D34&gt;0,D34*MIN(20,time),0),D34*IF(time&gt;time+20,20,IF(time&lt;20,(time*VLOOKUP(E34,List!$E$35:$F$37,2,))+(time-time),((MIN(20,time)*VLOOKUP(E34,List!$E$35:$F$37,2,))+(time-MIN(20,time))-IF(E34="exponential",time-20+0.217*time*(EXP(4.606*(20-time)/time)-1),((time-20)^2)*(0.5/time)))))))</f>
        <v>0</v>
      </c>
      <c r="AB13" s="1914">
        <f>-P12*(IF(G34="immediate",IF(F34&gt;0,F34*MIN(20,time),0),F34*IF(time&gt;time+20,20,IF(time&lt;20,(time*VLOOKUP(G34,List!$E$35:$F$37,2,))+(time-time),((MIN(20,time)*VLOOKUP(G34,List!$E$35:$F$37,2,))+(time-MIN(20,time))-IF(G34="exponential",time-20+0.217*time*(EXP(4.606*(20-time)/time)-1),((time_tot-20)^2)*(0.5/time)))))))</f>
        <v>0</v>
      </c>
      <c r="AC13" s="1915" t="s">
        <v>25</v>
      </c>
      <c r="AD13" s="1915">
        <f>SUM(K31:K46)-SUM(J31:J46)</f>
        <v>0</v>
      </c>
      <c r="AE13" s="1915">
        <f>IF(time=0,0,SUM(AB10:AB25)-SUM(AA10:AA25))</f>
        <v>0</v>
      </c>
      <c r="AF13" s="1915">
        <f>AD13-AE13</f>
        <v>0</v>
      </c>
      <c r="AG13" s="2403"/>
      <c r="AH13" s="2403"/>
    </row>
    <row r="14" spans="1:35" ht="13.5" thickBot="1">
      <c r="A14" s="240"/>
      <c r="B14" s="271" t="s">
        <v>1202</v>
      </c>
      <c r="C14" s="757"/>
      <c r="D14" s="1788" t="str">
        <f>'2.LUC'!D54</f>
        <v>Select Initial Land Use</v>
      </c>
      <c r="E14" s="1789"/>
      <c r="F14" s="1790" t="str">
        <f>'2.LUC'!G54</f>
        <v>Select Final Land Use</v>
      </c>
      <c r="G14" s="1791"/>
      <c r="H14" s="694" t="str">
        <f t="shared" si="1"/>
        <v>Fill initial LU</v>
      </c>
      <c r="I14" s="267"/>
      <c r="J14" s="1792" t="str">
        <f>'2.LUC'!K54</f>
        <v>NO</v>
      </c>
      <c r="K14" s="2896">
        <f>IF('2.LUC'!H206="",'2.LUC'!G206,'2.LUC'!H206)</f>
        <v>0</v>
      </c>
      <c r="L14" s="2896">
        <f>IF('2.LUC'!R206="",'2.LUC'!Q206,'2.LUC'!R206)</f>
        <v>0</v>
      </c>
      <c r="M14" s="2896">
        <f>IF('2.LUC'!J206="",'2.LUC'!I206,'2.LUC'!J206)</f>
        <v>0</v>
      </c>
      <c r="N14" s="2897">
        <f>IF('2.LUC'!T206="",'2.LUC'!S206,'2.LUC'!T206)</f>
        <v>0</v>
      </c>
      <c r="O14" s="1796">
        <f t="shared" si="2"/>
        <v>0</v>
      </c>
      <c r="P14" s="1796">
        <f t="shared" si="3"/>
        <v>0</v>
      </c>
      <c r="Q14" s="696">
        <f>IF(J14="yes",K14*2.5*VLOOKUP(D14,' IPCC'!$A$322:$B$331,2,)*VLOOKUP(D14,' IPCC'!$A$322:$E$331,4,),0)</f>
        <v>0</v>
      </c>
      <c r="R14" s="697">
        <f>IF(J14="yes",K14*2.5*VLOOKUP(D14,' IPCC'!$A$322:$B$331,2,)*VLOOKUP(D14,' IPCC'!$A$322:$E$331,5,),0)</f>
        <v>0</v>
      </c>
      <c r="S14" s="3567">
        <f>ABS(IF(P14&gt;=0,0,IF(AND(OR(D14="Grassland",D14="Set Aside"),(AND(F14&lt;&gt;"Grassland",F14&lt;&gt;"Set Aside"))),((P14*12/44)*1/' IPCC'!$B$1199)*1000,((P14*12/44)*1/' IPCC'!$B$1199)*1000)))</f>
        <v>0</v>
      </c>
      <c r="T14" s="3570">
        <f t="shared" si="0"/>
        <v>0</v>
      </c>
      <c r="W14" s="1915" t="s">
        <v>332</v>
      </c>
      <c r="X14" s="2416">
        <f>(SUMPRODUCT(Q9:Q24,D31:D46))*methane/1000</f>
        <v>0</v>
      </c>
      <c r="Y14" s="2416">
        <f>(SUMPRODUCT(Q9:Q24,F31:F46))*methane/1000</f>
        <v>0</v>
      </c>
      <c r="Z14" s="2416"/>
      <c r="AA14" s="1914">
        <f>-P13*(IF(E35="immediate",IF(D35&gt;0,D35*MIN(20,time),0),D35*IF(time&gt;time+20,20,IF(time&lt;20,(time*VLOOKUP(E35,List!$E$35:$F$37,2,))+(time-time),((MIN(20,time)*VLOOKUP(E35,List!$E$35:$F$37,2,))+(time-MIN(20,time))-IF(E35="exponential",time-20+0.217*time*(EXP(4.606*(20-time)/time)-1),((time-20)^2)*(0.5/time)))))))</f>
        <v>0</v>
      </c>
      <c r="AB14" s="1914">
        <f>-P13*(IF(G35="immediate",IF(F35&gt;0,F35*MIN(20,time),0),F35*IF(time&gt;time+20,20,IF(time&lt;20,(time*VLOOKUP(G35,List!$E$35:$F$37,2,))+(time-time),((MIN(20,time)*VLOOKUP(G35,List!$E$35:$F$37,2,))+(time-MIN(20,time))-IF(G35="exponential",time-20+0.217*time*(EXP(4.606*(20-time)/time)-1),((time_tot-20)^2)*(0.5/time)))))))</f>
        <v>0</v>
      </c>
      <c r="AC14" s="1915" t="s">
        <v>332</v>
      </c>
      <c r="AD14" s="1915">
        <f>(SUMPRODUCT(Q9:Q24,F31:F46)-SUMPRODUCT(Q9:Q24,D31:D46))*methane/1000</f>
        <v>0</v>
      </c>
      <c r="AE14" s="1915">
        <f>IF(time=0,0,AD14)</f>
        <v>0</v>
      </c>
      <c r="AF14" s="1915">
        <f>AD14-AE14</f>
        <v>0</v>
      </c>
      <c r="AG14" s="2403"/>
      <c r="AH14" s="2403"/>
    </row>
    <row r="15" spans="1:35" ht="13.5" thickBot="1">
      <c r="A15" s="240"/>
      <c r="B15" s="271" t="s">
        <v>1203</v>
      </c>
      <c r="C15" s="757"/>
      <c r="D15" s="1788" t="str">
        <f>'2.LUC'!D55</f>
        <v>Select Initial Land Use</v>
      </c>
      <c r="E15" s="1789"/>
      <c r="F15" s="1790" t="str">
        <f>'2.LUC'!G55</f>
        <v>Select Final Land Use</v>
      </c>
      <c r="G15" s="1791"/>
      <c r="H15" s="694" t="str">
        <f t="shared" si="1"/>
        <v>Fill initial LU</v>
      </c>
      <c r="I15" s="267"/>
      <c r="J15" s="1792" t="str">
        <f>'2.LUC'!K55</f>
        <v>NO</v>
      </c>
      <c r="K15" s="2896">
        <f>IF('2.LUC'!H207="",'2.LUC'!G207,'2.LUC'!H207)</f>
        <v>0</v>
      </c>
      <c r="L15" s="2896">
        <f>IF('2.LUC'!R207="",'2.LUC'!Q207,'2.LUC'!R207)</f>
        <v>0</v>
      </c>
      <c r="M15" s="2896">
        <f>IF('2.LUC'!J207="",'2.LUC'!I207,'2.LUC'!J207)</f>
        <v>0</v>
      </c>
      <c r="N15" s="2897">
        <f>IF('2.LUC'!T207="",'2.LUC'!S207,'2.LUC'!T207)</f>
        <v>0</v>
      </c>
      <c r="O15" s="1796">
        <f t="shared" si="2"/>
        <v>0</v>
      </c>
      <c r="P15" s="1796">
        <f t="shared" si="3"/>
        <v>0</v>
      </c>
      <c r="Q15" s="696">
        <f>IF(J15="yes",K15*2.5*VLOOKUP(D15,' IPCC'!$A$322:$B$331,2,)*VLOOKUP(D15,' IPCC'!$A$322:$E$331,4,),0)</f>
        <v>0</v>
      </c>
      <c r="R15" s="697">
        <f>IF(J15="yes",K15*2.5*VLOOKUP(D15,' IPCC'!$A$322:$B$331,2,)*VLOOKUP(D15,' IPCC'!$A$322:$E$331,5,),0)</f>
        <v>0</v>
      </c>
      <c r="S15" s="3567">
        <f>ABS(IF(P15&gt;=0,0,IF(AND(OR(D15="Grassland",D15="Set Aside"),(AND(F15&lt;&gt;"Grassland",F15&lt;&gt;"Set Aside"))),((P15*12/44)*1/' IPCC'!$B$1199)*1000,((P15*12/44)*1/' IPCC'!$B$1199)*1000)))</f>
        <v>0</v>
      </c>
      <c r="T15" s="3570">
        <f t="shared" si="0"/>
        <v>0</v>
      </c>
      <c r="W15" s="1915" t="s">
        <v>333</v>
      </c>
      <c r="X15" s="2410">
        <f>(SUMPRODUCT(R9:R24,D31:D46))*Nitrous/1000</f>
        <v>0</v>
      </c>
      <c r="Y15" s="2410">
        <f>(SUMPRODUCT(R9:R24,F31:F46))*Nitrous/1000</f>
        <v>0</v>
      </c>
      <c r="Z15" s="2416"/>
      <c r="AA15" s="1914">
        <f>-P14*(IF(E36="immediate",IF(D36&gt;0,D36*MIN(20,time),0),D36*IF(time&gt;time+20,20,IF(time&lt;20,(time*VLOOKUP(E36,List!$E$35:$F$37,2,))+(time-time),((MIN(20,time)*VLOOKUP(E36,List!$E$35:$F$37,2,))+(time-MIN(20,time))-IF(E36="exponential",time-20+0.217*time*(EXP(4.606*(20-time)/time)-1),((time-20)^2)*(0.5/time)))))))</f>
        <v>0</v>
      </c>
      <c r="AB15" s="1914">
        <f>-P14*(IF(G36="immediate",IF(F36&gt;0,F36*MIN(20,time),0),F36*IF(time&gt;time+20,20,IF(time&lt;20,(time*VLOOKUP(G36,List!$E$35:$F$37,2,))+(time-time),((MIN(20,time)*VLOOKUP(G36,List!$E$35:$F$37,2,))+(time-MIN(20,time))-IF(G36="exponential",time-20+0.217*time*(EXP(4.606*(20-time)/time)-1),((time_tot-20)^2)*(0.5/time)))))))</f>
        <v>0</v>
      </c>
      <c r="AC15" s="1915" t="s">
        <v>333</v>
      </c>
      <c r="AD15" s="1915">
        <f>((SUMPRODUCT(R9:R24,F31:F46)-SUMPRODUCT(R9:R24,D31:D46))+SUMPRODUCT(T9:T24,F31:F46)-SUMPRODUCT(T9:T24,D31:D46))*Nitrous/1000</f>
        <v>0</v>
      </c>
      <c r="AE15" s="1915">
        <f>IF(time=0,0,AD15)</f>
        <v>0</v>
      </c>
      <c r="AF15" s="1915">
        <f>AD15-AE15</f>
        <v>0</v>
      </c>
      <c r="AG15" s="2403"/>
      <c r="AH15" s="2403"/>
    </row>
    <row r="16" spans="1:35" ht="13.5" thickBot="1">
      <c r="A16" s="240"/>
      <c r="B16" s="271" t="s">
        <v>1204</v>
      </c>
      <c r="C16" s="757"/>
      <c r="D16" s="1788" t="str">
        <f>'2.LUC'!D56</f>
        <v>Select Initial Land Use</v>
      </c>
      <c r="E16" s="1789"/>
      <c r="F16" s="1790" t="str">
        <f>'2.LUC'!G56</f>
        <v>Select Final Land Use</v>
      </c>
      <c r="G16" s="1791"/>
      <c r="H16" s="694" t="str">
        <f t="shared" si="1"/>
        <v>Fill initial LU</v>
      </c>
      <c r="I16" s="267"/>
      <c r="J16" s="1792" t="str">
        <f>'2.LUC'!K56</f>
        <v>NO</v>
      </c>
      <c r="K16" s="2896">
        <f>IF('2.LUC'!H208="",'2.LUC'!G208,'2.LUC'!H208)</f>
        <v>0</v>
      </c>
      <c r="L16" s="2896">
        <f>IF('2.LUC'!R208="",'2.LUC'!Q208,'2.LUC'!R208)</f>
        <v>0</v>
      </c>
      <c r="M16" s="2896">
        <f>IF('2.LUC'!J208="",'2.LUC'!I208,'2.LUC'!J208)</f>
        <v>0</v>
      </c>
      <c r="N16" s="2897">
        <f>IF('2.LUC'!T208="",'2.LUC'!S208,'2.LUC'!T208)</f>
        <v>0</v>
      </c>
      <c r="O16" s="1796">
        <f t="shared" si="2"/>
        <v>0</v>
      </c>
      <c r="P16" s="1796">
        <f t="shared" si="3"/>
        <v>0</v>
      </c>
      <c r="Q16" s="696">
        <f>IF(J16="yes",K16*2.5*VLOOKUP(D16,' IPCC'!$A$322:$B$331,2,)*VLOOKUP(D16,' IPCC'!$A$322:$E$331,4,),0)</f>
        <v>0</v>
      </c>
      <c r="R16" s="697">
        <f>IF(J16="yes",K16*2.5*VLOOKUP(D16,' IPCC'!$A$322:$B$331,2,)*VLOOKUP(D16,' IPCC'!$A$322:$E$331,5,),0)</f>
        <v>0</v>
      </c>
      <c r="S16" s="3567">
        <f>ABS(IF(P16&gt;=0,0,IF(AND(OR(D16="Grassland",D16="Set Aside"),(AND(F16&lt;&gt;"Grassland",F16&lt;&gt;"Set Aside"))),((P16*12/44)*1/' IPCC'!$B$1199)*1000,((P16*12/44)*1/' IPCC'!$B$1199)*1000)))</f>
        <v>0</v>
      </c>
      <c r="T16" s="3570">
        <f t="shared" si="0"/>
        <v>0</v>
      </c>
      <c r="U16" s="2416"/>
      <c r="V16" s="2423"/>
      <c r="W16" s="2416"/>
      <c r="X16" s="2416"/>
      <c r="Y16" s="2416"/>
      <c r="Z16" s="2416"/>
      <c r="AA16" s="1914">
        <f>-P15*(IF(E37="immediate",IF(D37&gt;0,D37*MIN(20,time),0),D37*IF(time&gt;time+20,20,IF(time&lt;20,(time*VLOOKUP(E37,List!$E$35:$F$37,2,))+(time-time),((MIN(20,time)*VLOOKUP(E37,List!$E$35:$F$37,2,))+(time-MIN(20,time))-IF(E37="exponential",time-20+0.217*time*(EXP(4.606*(20-time)/time)-1),((time-20)^2)*(0.5/time)))))))</f>
        <v>0</v>
      </c>
      <c r="AB16" s="1914">
        <f>-P15*(IF(G37="immediate",IF(F37&gt;0,F37*MIN(20,time),0),F37*IF(time&gt;time+20,20,IF(time&lt;20,(time*VLOOKUP(G37,List!$E$35:$F$37,2,))+(time-time),((MIN(20,time)*VLOOKUP(G37,List!$E$35:$F$37,2,))+(time-MIN(20,time))-IF(G37="exponential",time-20+0.217*time*(EXP(4.606*(20-time)/time)-1),((time_tot-20)^2)*(0.5/time)))))))</f>
        <v>0</v>
      </c>
      <c r="AC16" s="1915"/>
      <c r="AD16" s="1915">
        <f>SUM(AD12:AD15)</f>
        <v>0</v>
      </c>
      <c r="AE16" s="1915">
        <f>SUM(AE12:AE15)</f>
        <v>0</v>
      </c>
      <c r="AF16" s="1915">
        <f>SUM(AF12:AF15)</f>
        <v>0</v>
      </c>
      <c r="AG16" s="2403"/>
      <c r="AH16" s="2403"/>
    </row>
    <row r="17" spans="1:35" ht="13.5" thickBot="1">
      <c r="A17" s="240"/>
      <c r="B17" s="271" t="s">
        <v>1205</v>
      </c>
      <c r="C17" s="757"/>
      <c r="D17" s="1788" t="str">
        <f>'2.LUC'!D57</f>
        <v>Select Initial Land Use</v>
      </c>
      <c r="E17" s="1789"/>
      <c r="F17" s="1790" t="str">
        <f>'2.LUC'!G57</f>
        <v>Select Final Land Use</v>
      </c>
      <c r="G17" s="1791"/>
      <c r="H17" s="694" t="str">
        <f t="shared" si="1"/>
        <v>Fill initial LU</v>
      </c>
      <c r="I17" s="267"/>
      <c r="J17" s="1792" t="str">
        <f>'2.LUC'!K57</f>
        <v>NO</v>
      </c>
      <c r="K17" s="2896">
        <f>IF('2.LUC'!H209="",'2.LUC'!G209,'2.LUC'!H209)</f>
        <v>0</v>
      </c>
      <c r="L17" s="2896">
        <f>IF('2.LUC'!R209="",'2.LUC'!Q209,'2.LUC'!R209)</f>
        <v>0</v>
      </c>
      <c r="M17" s="2896">
        <f>IF('2.LUC'!J209="",'2.LUC'!I209,'2.LUC'!J209)</f>
        <v>0</v>
      </c>
      <c r="N17" s="2897">
        <f>IF('2.LUC'!T209="",'2.LUC'!S209,'2.LUC'!T209)</f>
        <v>0</v>
      </c>
      <c r="O17" s="1796">
        <f t="shared" si="2"/>
        <v>0</v>
      </c>
      <c r="P17" s="1796">
        <f t="shared" si="3"/>
        <v>0</v>
      </c>
      <c r="Q17" s="696">
        <f>IF(J17="yes",K17*2.5*VLOOKUP(D17,' IPCC'!$A$322:$B$331,2,)*VLOOKUP(D17,' IPCC'!$A$322:$E$331,4,),0)</f>
        <v>0</v>
      </c>
      <c r="R17" s="697">
        <f>IF(J17="yes",K17*2.5*VLOOKUP(D17,' IPCC'!$A$322:$B$331,2,)*VLOOKUP(D17,' IPCC'!$A$322:$E$331,5,),0)</f>
        <v>0</v>
      </c>
      <c r="S17" s="3567">
        <f>ABS(IF(P17&gt;=0,0,IF(AND(OR(D17="Grassland",D17="Set Aside"),(AND(F17&lt;&gt;"Grassland",F17&lt;&gt;"Set Aside"))),((P17*12/44)*1/' IPCC'!$B$1199)*1000,((P17*12/44)*1/' IPCC'!$B$1199)*1000)))</f>
        <v>0</v>
      </c>
      <c r="T17" s="3570">
        <f t="shared" si="0"/>
        <v>0</v>
      </c>
      <c r="U17" s="2416"/>
      <c r="V17" s="2423"/>
      <c r="W17" s="2416"/>
      <c r="X17" s="2416"/>
      <c r="Y17" s="2416"/>
      <c r="Z17" s="2416"/>
      <c r="AA17" s="1914">
        <f>-P16*(IF(E38="immediate",IF(D38&gt;0,D38*MIN(20,time),0),D38*IF(time&gt;time+20,20,IF(time&lt;20,(time*VLOOKUP(E38,List!$E$35:$F$37,2,))+(time-time),((MIN(20,time)*VLOOKUP(E38,List!$E$35:$F$37,2,))+(time-MIN(20,time))-IF(E38="exponential",time-20+0.217*time*(EXP(4.606*(20-time)/time)-1),((time-20)^2)*(0.5/time)))))))</f>
        <v>0</v>
      </c>
      <c r="AB17" s="1914">
        <f>-P16*(IF(G38="immediate",IF(F38&gt;0,F38*MIN(20,time),0),F38*IF(time&gt;time+20,20,IF(time&lt;20,(time*VLOOKUP(G38,List!$E$35:$F$37,2,))+(time-time),((MIN(20,time)*VLOOKUP(G38,List!$E$35:$F$37,2,))+(time-MIN(20,time))-IF(G38="exponential",time-20+0.217*time*(EXP(4.606*(20-time)/time)-1),((time_tot-20)^2)*(0.5/time)))))))</f>
        <v>0</v>
      </c>
      <c r="AC17" s="2423"/>
      <c r="AD17" s="2416"/>
      <c r="AE17" s="2410"/>
      <c r="AF17" s="2403"/>
      <c r="AG17" s="2403"/>
      <c r="AH17" s="2403"/>
    </row>
    <row r="18" spans="1:35">
      <c r="A18" s="240"/>
      <c r="B18" s="271" t="s">
        <v>1206</v>
      </c>
      <c r="C18" s="757"/>
      <c r="D18" s="1788" t="str">
        <f>'2.LUC'!D58</f>
        <v>Select Initial Land Use</v>
      </c>
      <c r="E18" s="1789"/>
      <c r="F18" s="1790" t="str">
        <f>'2.LUC'!G58</f>
        <v>Select Final Land Use</v>
      </c>
      <c r="G18" s="1791"/>
      <c r="H18" s="694" t="str">
        <f t="shared" si="1"/>
        <v>Fill initial LU</v>
      </c>
      <c r="I18" s="267"/>
      <c r="J18" s="1792" t="str">
        <f>'2.LUC'!K58</f>
        <v>NO</v>
      </c>
      <c r="K18" s="2896">
        <f>IF('2.LUC'!H210="",'2.LUC'!G210,'2.LUC'!H210)</f>
        <v>0</v>
      </c>
      <c r="L18" s="2896">
        <f>IF('2.LUC'!R210="",'2.LUC'!Q210,'2.LUC'!R210)</f>
        <v>0</v>
      </c>
      <c r="M18" s="2896">
        <f>IF('2.LUC'!J210="",'2.LUC'!I210,'2.LUC'!J210)</f>
        <v>0</v>
      </c>
      <c r="N18" s="2897">
        <f>IF('2.LUC'!T210="",'2.LUC'!S210,'2.LUC'!T210)</f>
        <v>0</v>
      </c>
      <c r="O18" s="1796">
        <f t="shared" si="2"/>
        <v>0</v>
      </c>
      <c r="P18" s="1796">
        <f t="shared" si="3"/>
        <v>0</v>
      </c>
      <c r="Q18" s="696">
        <f>IF(J18="yes",K18*2.5*VLOOKUP(D18,' IPCC'!$A$322:$B$331,2,)*VLOOKUP(D18,' IPCC'!$A$322:$E$331,4,),0)</f>
        <v>0</v>
      </c>
      <c r="R18" s="697">
        <f>IF(J18="yes",K18*2.5*VLOOKUP(D18,' IPCC'!$A$322:$B$331,2,)*VLOOKUP(D18,' IPCC'!$A$322:$E$331,5,),0)</f>
        <v>0</v>
      </c>
      <c r="S18" s="3567">
        <f>ABS(IF(P18&gt;=0,0,IF(AND(OR(D18="Grassland",D18="Set Aside"),(AND(F18&lt;&gt;"Grassland",F18&lt;&gt;"Set Aside"))),((P18*12/44)*1/' IPCC'!$B$1199)*1000,((P18*12/44)*1/' IPCC'!$B$1199)*1000)))</f>
        <v>0</v>
      </c>
      <c r="T18" s="3570">
        <f t="shared" si="0"/>
        <v>0</v>
      </c>
      <c r="U18" s="2416"/>
      <c r="V18" s="2423"/>
      <c r="W18" s="3520" t="s">
        <v>7401</v>
      </c>
      <c r="X18" s="3534"/>
      <c r="Y18" s="3535"/>
      <c r="Z18" s="3536"/>
      <c r="AA18" s="1914">
        <f>-P17*(IF(E39="immediate",IF(D39&gt;0,D39*MIN(20,time),0),D39*IF(time&gt;time+20,20,IF(time&lt;20,(time*VLOOKUP(E39,List!$E$35:$F$37,2,))+(time-time),((MIN(20,time)*VLOOKUP(E39,List!$E$35:$F$37,2,))+(time-MIN(20,time))-IF(E39="exponential",time-20+0.217*time*(EXP(4.606*(20-time)/time)-1),((time-20)^2)*(0.5/time)))))))</f>
        <v>0</v>
      </c>
      <c r="AB18" s="1914">
        <f>-P17*(IF(G39="immediate",IF(F39&gt;0,F39*MIN(20,time),0),F39*IF(time&gt;time+20,20,IF(time&lt;20,(time*VLOOKUP(G39,List!$E$35:$F$37,2,))+(time-time),((MIN(20,time)*VLOOKUP(G39,List!$E$35:$F$37,2,))+(time-MIN(20,time))-IF(G39="exponential",time-20+0.217*time*(EXP(4.606*(20-time)/time)-1),((time_tot-20)^2)*(0.5/time)))))))</f>
        <v>0</v>
      </c>
      <c r="AC18" s="2423"/>
      <c r="AD18" s="2416"/>
      <c r="AE18" s="2403"/>
      <c r="AF18" s="2403"/>
      <c r="AG18" s="2403"/>
      <c r="AH18" s="2403"/>
    </row>
    <row r="19" spans="1:35">
      <c r="A19" s="240"/>
      <c r="B19" s="271" t="s">
        <v>1207</v>
      </c>
      <c r="C19" s="757"/>
      <c r="D19" s="1784" t="s">
        <v>14</v>
      </c>
      <c r="E19" s="1785"/>
      <c r="F19" s="1784" t="s">
        <v>16</v>
      </c>
      <c r="G19" s="1785"/>
      <c r="H19" s="694" t="str">
        <f t="shared" si="1"/>
        <v>Fill initial LU</v>
      </c>
      <c r="I19" s="267"/>
      <c r="J19" s="1020" t="s">
        <v>354</v>
      </c>
      <c r="K19" s="697">
        <f>IF(D19=List!$A$119,0,HLOOKUP(D19,' IPCC'!$A$290:$J$302,1+MATCH(clim_full,' IPCC'!$A$291:$A$302,),))</f>
        <v>0</v>
      </c>
      <c r="L19" s="697">
        <f>IF(F19=List!$A$131,0,HLOOKUP(F19,' IPCC'!$B$125:$I$137,1+MATCH(clim_full,' IPCC'!$A$126:$A$137,),))</f>
        <v>0</v>
      </c>
      <c r="M19" s="697">
        <f>IF(D19=List!$A$119,0,VLOOKUP(clim_full,' IPCC'!$A$307:$J$318,1+MATCH(D19,' IPCC'!$B$306:$J$306,),)*Soil_Native)</f>
        <v>0</v>
      </c>
      <c r="N19" s="698">
        <f>IF(F19=List!$A$131,0,VLOOKUP(clim_full,' IPCC'!$A$156:$I$167,1+MATCH(F19,' IPCC'!$B$155:$I$155,),)*Soil_Native)</f>
        <v>0</v>
      </c>
      <c r="O19" s="1796">
        <f t="shared" si="2"/>
        <v>0</v>
      </c>
      <c r="P19" s="1796">
        <f t="shared" si="3"/>
        <v>0</v>
      </c>
      <c r="Q19" s="696">
        <f>IF(J19="yes",K19*2.5*VLOOKUP(D19,' IPCC'!$A$322:$B$331,2,)*VLOOKUP(D19,' IPCC'!$A$322:$E$331,4,),0)</f>
        <v>0</v>
      </c>
      <c r="R19" s="697">
        <f>IF(J19="yes",K19*2.5*VLOOKUP(D19,' IPCC'!$A$322:$B$331,2,)*VLOOKUP(D19,' IPCC'!$A$322:$E$331,5,),0)</f>
        <v>0</v>
      </c>
      <c r="S19" s="3567">
        <f>ABS(IF(P19&gt;=0,0,IF(AND(OR(D19="Grassland",D19="Set Aside"),(AND(F19&lt;&gt;"Grassland",F19&lt;&gt;"Set Aside"))),((P19*12/44)*1/' IPCC'!$B$1199)*1000,((P19*12/44)*1/' IPCC'!$B$1199)*1000)))</f>
        <v>0</v>
      </c>
      <c r="T19" s="3570">
        <f t="shared" si="0"/>
        <v>0</v>
      </c>
      <c r="U19" s="2416"/>
      <c r="V19" s="2423"/>
      <c r="W19" s="3522" t="s">
        <v>7400</v>
      </c>
      <c r="X19" s="2478"/>
      <c r="Y19" s="3533"/>
      <c r="Z19" s="3537"/>
      <c r="AA19" s="1914">
        <f>-P18*(IF(E40="immediate",IF(D40&gt;0,D40*MIN(20,time),0),D40*IF(time&gt;time+20,20,IF(time&lt;20,(time*VLOOKUP(E40,List!$E$35:$F$37,2,))+(time-time),((MIN(20,time)*VLOOKUP(E40,List!$E$35:$F$37,2,))+(time-MIN(20,time))-IF(E40="exponential",time-20+0.217*time*(EXP(4.606*(20-time)/time)-1),((time-20)^2)*(0.5/time)))))))</f>
        <v>0</v>
      </c>
      <c r="AB19" s="1914">
        <f>-P18*(IF(G40="immediate",IF(F40&gt;0,F40*MIN(20,time),0),F40*IF(time&gt;time+20,20,IF(time&lt;20,(time*VLOOKUP(G40,List!$E$35:$F$37,2,))+(time-time),((MIN(20,time)*VLOOKUP(G40,List!$E$35:$F$37,2,))+(time-MIN(20,time))-IF(G40="exponential",time-20+0.217*time*(EXP(4.606*(20-time)/time)-1),((time_tot-20)^2)*(0.5/time)))))))</f>
        <v>0</v>
      </c>
      <c r="AC19" s="2423"/>
      <c r="AD19" s="2416"/>
      <c r="AE19" s="2403"/>
      <c r="AF19" s="2403"/>
      <c r="AG19" s="2403"/>
      <c r="AH19" s="2403"/>
    </row>
    <row r="20" spans="1:35">
      <c r="A20" s="240"/>
      <c r="B20" s="271" t="s">
        <v>1208</v>
      </c>
      <c r="C20" s="757"/>
      <c r="D20" s="1784" t="s">
        <v>14</v>
      </c>
      <c r="E20" s="1785"/>
      <c r="F20" s="1784" t="s">
        <v>16</v>
      </c>
      <c r="G20" s="1785"/>
      <c r="H20" s="694" t="str">
        <f t="shared" si="1"/>
        <v>Fill initial LU</v>
      </c>
      <c r="I20" s="1019"/>
      <c r="J20" s="1020" t="s">
        <v>354</v>
      </c>
      <c r="K20" s="697">
        <f>IF(D20=List!$A$119,0,HLOOKUP(D20,' IPCC'!$A$290:$J$302,1+MATCH(clim_full,' IPCC'!$A$291:$A$302,),))</f>
        <v>0</v>
      </c>
      <c r="L20" s="697">
        <f>IF(F20=List!$A$131,0,HLOOKUP(F20,' IPCC'!$B$125:$I$137,1+MATCH(clim_full,' IPCC'!$A$126:$A$137,),))</f>
        <v>0</v>
      </c>
      <c r="M20" s="697">
        <f>IF(D20=List!$A$119,0,VLOOKUP(clim_full,' IPCC'!$A$307:$J$318,1+MATCH(D20,' IPCC'!$B$306:$J$306,),)*Soil_Native)</f>
        <v>0</v>
      </c>
      <c r="N20" s="698">
        <f>IF(F20=List!$A$131,0,VLOOKUP(clim_full,' IPCC'!$A$156:$I$167,1+MATCH(F20,' IPCC'!$B$155:$I$155,),)*Soil_Native)</f>
        <v>0</v>
      </c>
      <c r="O20" s="1796">
        <f t="shared" si="2"/>
        <v>0</v>
      </c>
      <c r="P20" s="1796">
        <f t="shared" si="3"/>
        <v>0</v>
      </c>
      <c r="Q20" s="696">
        <f>IF(J20="yes",K20*2.5*VLOOKUP(D20,' IPCC'!$A$322:$B$331,2,)*VLOOKUP(D20,' IPCC'!$A$322:$E$331,4,),0)</f>
        <v>0</v>
      </c>
      <c r="R20" s="697">
        <f>IF(J20="yes",K20*2.5*VLOOKUP(D20,' IPCC'!$A$322:$B$331,2,)*VLOOKUP(D20,' IPCC'!$A$322:$E$331,5,),0)</f>
        <v>0</v>
      </c>
      <c r="S20" s="3567">
        <f>ABS(IF(P20&gt;=0,0,IF(AND(OR(D20="Grassland",D20="Set Aside"),(AND(F20&lt;&gt;"Grassland",F20&lt;&gt;"Set Aside"))),((P20*12/44)*1/' IPCC'!$B$1199)*1000,((P20*12/44)*1/' IPCC'!$B$1199)*1000)))</f>
        <v>0</v>
      </c>
      <c r="T20" s="3570">
        <f t="shared" si="0"/>
        <v>0</v>
      </c>
      <c r="U20" s="2416"/>
      <c r="V20" s="2785"/>
      <c r="W20" s="3511">
        <v>0.01</v>
      </c>
      <c r="X20" s="3538"/>
      <c r="Y20" s="3539"/>
      <c r="Z20" s="3540"/>
      <c r="AA20" s="1914">
        <f>-P19*(IF(E41="immediate",IF(D41&gt;0,D41*MIN(20,time),0),D41*IF(time&gt;time+20,20,IF(time&lt;20,(time*VLOOKUP(E41,List!$E$35:$F$37,2,))+(time-time),((MIN(20,time)*VLOOKUP(E41,List!$E$35:$F$37,2,))+(time-MIN(20,time))-IF(E41="exponential",time-20+0.217*time*(EXP(4.606*(20-time)/time)-1),((time-20)^2)*(0.5/time)))))))</f>
        <v>0</v>
      </c>
      <c r="AB20" s="1914">
        <f>-P19*(IF(G41="immediate",IF(F41&gt;0,F41*MIN(20,time),0),F41*IF(time&gt;time+20,20,IF(time&lt;20,(time*VLOOKUP(G41,List!$E$35:$F$37,2,))+(time-time),((MIN(20,time)*VLOOKUP(G41,List!$E$35:$F$37,2,))+(time-MIN(20,time))-IF(G41="exponential",time-20+0.217*time*(EXP(4.606*(20-time)/time)-1),((time_tot-20)^2)*(0.5/time)))))))</f>
        <v>0</v>
      </c>
      <c r="AC20" s="2423"/>
      <c r="AD20" s="2416"/>
      <c r="AE20" s="2423"/>
      <c r="AF20" s="2416"/>
      <c r="AG20" s="2403"/>
      <c r="AH20" s="2403"/>
    </row>
    <row r="21" spans="1:35">
      <c r="A21" s="240"/>
      <c r="B21" s="271" t="s">
        <v>1209</v>
      </c>
      <c r="C21" s="757"/>
      <c r="D21" s="1784" t="s">
        <v>14</v>
      </c>
      <c r="E21" s="1785"/>
      <c r="F21" s="1784" t="s">
        <v>16</v>
      </c>
      <c r="G21" s="1785"/>
      <c r="H21" s="694" t="str">
        <f t="shared" si="1"/>
        <v>Fill initial LU</v>
      </c>
      <c r="I21" s="1019"/>
      <c r="J21" s="1020" t="s">
        <v>354</v>
      </c>
      <c r="K21" s="697">
        <f>IF(D21=List!$A$119,0,HLOOKUP(D21,' IPCC'!$A$290:$J$302,1+MATCH(clim_full,' IPCC'!$A$291:$A$302,),))</f>
        <v>0</v>
      </c>
      <c r="L21" s="697">
        <f>IF(F21=List!$A$131,0,HLOOKUP(F21,' IPCC'!$B$125:$I$137,1+MATCH(clim_full,' IPCC'!$A$126:$A$137,),))</f>
        <v>0</v>
      </c>
      <c r="M21" s="697">
        <f>IF(D21=List!$A$119,0,VLOOKUP(clim_full,' IPCC'!$A$307:$J$318,1+MATCH(D21,' IPCC'!$B$306:$J$306,),)*Soil_Native)</f>
        <v>0</v>
      </c>
      <c r="N21" s="698">
        <f>IF(F21=List!$A$131,0,VLOOKUP(clim_full,' IPCC'!$A$156:$I$167,1+MATCH(F21,' IPCC'!$B$155:$I$155,),)*Soil_Native)</f>
        <v>0</v>
      </c>
      <c r="O21" s="1796">
        <f t="shared" si="2"/>
        <v>0</v>
      </c>
      <c r="P21" s="1796">
        <f t="shared" si="3"/>
        <v>0</v>
      </c>
      <c r="Q21" s="696">
        <f>IF(J21="yes",K21*2.5*VLOOKUP(D21,' IPCC'!$A$322:$B$331,2,)*VLOOKUP(D21,' IPCC'!$A$322:$E$331,4,),0)</f>
        <v>0</v>
      </c>
      <c r="R21" s="697">
        <f>IF(J21="yes",K21*2.5*VLOOKUP(D21,' IPCC'!$A$322:$B$331,2,)*VLOOKUP(D21,' IPCC'!$A$322:$E$331,5,),0)</f>
        <v>0</v>
      </c>
      <c r="S21" s="3567">
        <f>ABS(IF(P21&gt;=0,0,IF(AND(OR(D21="Grassland",D21="Set Aside"),(AND(F21&lt;&gt;"Grassland",F21&lt;&gt;"Set Aside"))),((P21*12/44)*1/' IPCC'!$B$1199)*1000,((P21*12/44)*1/' IPCC'!$B$1199)*1000)))</f>
        <v>0</v>
      </c>
      <c r="T21" s="3570">
        <f t="shared" si="0"/>
        <v>0</v>
      </c>
      <c r="U21" s="2416"/>
      <c r="V21" s="2785"/>
      <c r="W21" s="2423"/>
      <c r="X21" s="2423"/>
      <c r="Y21" s="2416"/>
      <c r="Z21" s="2416"/>
      <c r="AA21" s="1914">
        <f>-P20*(IF(E42="immediate",IF(D42&gt;0,D42*MIN(20,time),0),D42*IF(time&gt;time+20,20,IF(time&lt;20,(time*VLOOKUP(E42,List!$E$35:$F$37,2,))+(time-time),((MIN(20,time)*VLOOKUP(E42,List!$E$35:$F$37,2,))+(time-MIN(20,time))-IF(E42="exponential",time-20+0.217*time*(EXP(4.606*(20-time)/time)-1),((time-20)^2)*(0.5/time)))))))</f>
        <v>0</v>
      </c>
      <c r="AB21" s="1914">
        <f>-P20*(IF(G42="immediate",IF(F42&gt;0,F42*MIN(20,time),0),F42*IF(time&gt;time+20,20,IF(time&lt;20,(time*VLOOKUP(G42,List!$E$35:$F$37,2,))+(time-time),((MIN(20,time)*VLOOKUP(G42,List!$E$35:$F$37,2,))+(time-MIN(20,time))-IF(G42="exponential",time-20+0.217*time*(EXP(4.606*(20-time)/time)-1),((time_tot-20)^2)*(0.5/time)))))))</f>
        <v>0</v>
      </c>
      <c r="AC21" s="2423"/>
      <c r="AD21" s="2416"/>
      <c r="AE21" s="2423"/>
      <c r="AF21" s="2416"/>
      <c r="AG21" s="2403"/>
      <c r="AH21" s="2403"/>
    </row>
    <row r="22" spans="1:35">
      <c r="A22" s="240"/>
      <c r="B22" s="271" t="s">
        <v>1210</v>
      </c>
      <c r="C22" s="757"/>
      <c r="D22" s="1784" t="s">
        <v>14</v>
      </c>
      <c r="E22" s="1785"/>
      <c r="F22" s="1784" t="s">
        <v>16</v>
      </c>
      <c r="G22" s="1785"/>
      <c r="H22" s="694" t="str">
        <f t="shared" si="1"/>
        <v>Fill initial LU</v>
      </c>
      <c r="I22" s="1019"/>
      <c r="J22" s="1020" t="s">
        <v>354</v>
      </c>
      <c r="K22" s="697">
        <f>IF(D22=List!$A$119,0,HLOOKUP(D22,' IPCC'!$A$290:$J$302,1+MATCH(clim_full,' IPCC'!$A$291:$A$302,),))</f>
        <v>0</v>
      </c>
      <c r="L22" s="697">
        <f>IF(F22=List!$A$131,0,HLOOKUP(F22,' IPCC'!$B$125:$I$137,1+MATCH(clim_full,' IPCC'!$A$126:$A$137,),))</f>
        <v>0</v>
      </c>
      <c r="M22" s="697">
        <f>IF(D22=List!$A$119,0,VLOOKUP(clim_full,' IPCC'!$A$307:$J$318,1+MATCH(D22,' IPCC'!$B$306:$J$306,),)*Soil_Native)</f>
        <v>0</v>
      </c>
      <c r="N22" s="698">
        <f>IF(F22=List!$A$131,0,VLOOKUP(clim_full,' IPCC'!$A$156:$I$167,1+MATCH(F22,' IPCC'!$B$155:$I$155,),)*Soil_Native)</f>
        <v>0</v>
      </c>
      <c r="O22" s="1796">
        <f t="shared" si="2"/>
        <v>0</v>
      </c>
      <c r="P22" s="1796">
        <f t="shared" si="3"/>
        <v>0</v>
      </c>
      <c r="Q22" s="696">
        <f>IF(J22="yes",K22*2.5*VLOOKUP(D22,' IPCC'!$A$322:$B$331,2,)*VLOOKUP(D22,' IPCC'!$A$322:$E$331,4,),0)</f>
        <v>0</v>
      </c>
      <c r="R22" s="697">
        <f>IF(J22="yes",K22*2.5*VLOOKUP(D22,' IPCC'!$A$322:$B$331,2,)*VLOOKUP(D22,' IPCC'!$A$322:$E$331,5,),0)</f>
        <v>0</v>
      </c>
      <c r="S22" s="3567">
        <f>ABS(IF(P22&gt;=0,0,IF(AND(OR(D22="Grassland",D22="Set Aside"),(AND(F22&lt;&gt;"Grassland",F22&lt;&gt;"Set Aside"))),((P22*12/44)*1/' IPCC'!$B$1199)*1000,((P22*12/44)*1/' IPCC'!$B$1199)*1000)))</f>
        <v>0</v>
      </c>
      <c r="T22" s="3570">
        <f t="shared" si="0"/>
        <v>0</v>
      </c>
      <c r="U22" s="2416"/>
      <c r="V22" s="2423"/>
      <c r="W22" s="2423"/>
      <c r="X22" s="2423"/>
      <c r="Y22" s="2416"/>
      <c r="Z22" s="2416"/>
      <c r="AA22" s="1914">
        <f>-P21*(IF(E43="immediate",IF(D43&gt;0,D43*MIN(20,time),0),D43*IF(time&gt;time+20,20,IF(time&lt;20,(time*VLOOKUP(E43,List!$E$35:$F$37,2,))+(time-time),((MIN(20,time)*VLOOKUP(E43,List!$E$35:$F$37,2,))+(time-MIN(20,time))-IF(E43="exponential",time-20+0.217*time*(EXP(4.606*(20-time)/time)-1),((time-20)^2)*(0.5/time)))))))</f>
        <v>0</v>
      </c>
      <c r="AB22" s="1914">
        <f>-P21*(IF(G43="immediate",IF(F43&gt;0,F43*MIN(20,time),0),F43*IF(time&gt;time+20,20,IF(time&lt;20,(time*VLOOKUP(G43,List!$E$35:$F$37,2,))+(time-time),((MIN(20,time)*VLOOKUP(G43,List!$E$35:$F$37,2,))+(time-MIN(20,time))-IF(G43="exponential",time-20+0.217*time*(EXP(4.606*(20-time)/time)-1),((time_tot-20)^2)*(0.5/time)))))))</f>
        <v>0</v>
      </c>
      <c r="AC22" s="2423"/>
      <c r="AD22" s="2416"/>
      <c r="AE22" s="2423"/>
      <c r="AF22" s="2416"/>
      <c r="AG22" s="2403"/>
      <c r="AH22" s="2403"/>
    </row>
    <row r="23" spans="1:35">
      <c r="A23" s="240"/>
      <c r="B23" s="271" t="s">
        <v>1211</v>
      </c>
      <c r="C23" s="757"/>
      <c r="D23" s="1784" t="s">
        <v>14</v>
      </c>
      <c r="E23" s="1785"/>
      <c r="F23" s="1784" t="s">
        <v>16</v>
      </c>
      <c r="G23" s="1785"/>
      <c r="H23" s="694" t="str">
        <f t="shared" si="1"/>
        <v>Fill initial LU</v>
      </c>
      <c r="I23" s="1019"/>
      <c r="J23" s="1020" t="s">
        <v>354</v>
      </c>
      <c r="K23" s="697">
        <f>IF(D23=List!$A$119,0,HLOOKUP(D23,' IPCC'!$A$290:$J$302,1+MATCH(clim_full,' IPCC'!$A$291:$A$302,),))</f>
        <v>0</v>
      </c>
      <c r="L23" s="697">
        <f>IF(F23=List!$A$131,0,HLOOKUP(F23,' IPCC'!$B$125:$I$137,1+MATCH(clim_full,' IPCC'!$A$126:$A$137,),))</f>
        <v>0</v>
      </c>
      <c r="M23" s="697">
        <f>IF(D23=List!$A$119,0,VLOOKUP(clim_full,' IPCC'!$A$307:$J$318,1+MATCH(D23,' IPCC'!$B$306:$J$306,),)*Soil_Native)</f>
        <v>0</v>
      </c>
      <c r="N23" s="698">
        <f>IF(F23=List!$A$131,0,VLOOKUP(clim_full,' IPCC'!$A$156:$I$167,1+MATCH(F23,' IPCC'!$B$155:$I$155,),)*Soil_Native)</f>
        <v>0</v>
      </c>
      <c r="O23" s="1796">
        <f t="shared" si="2"/>
        <v>0</v>
      </c>
      <c r="P23" s="1796">
        <f t="shared" si="3"/>
        <v>0</v>
      </c>
      <c r="Q23" s="696">
        <f>IF(J23="yes",K23*2.5*VLOOKUP(D23,' IPCC'!$A$322:$B$331,2,)*VLOOKUP(D23,' IPCC'!$A$322:$E$331,4,),0)</f>
        <v>0</v>
      </c>
      <c r="R23" s="697">
        <f>IF(J23="yes",K23*2.5*VLOOKUP(D23,' IPCC'!$A$322:$B$331,2,)*VLOOKUP(D23,' IPCC'!$A$322:$E$331,5,),0)</f>
        <v>0</v>
      </c>
      <c r="S23" s="3567">
        <f>ABS(IF(P23&gt;=0,0,IF(AND(OR(D23="Grassland",D23="Set Aside"),(AND(F23&lt;&gt;"Grassland",F23&lt;&gt;"Set Aside"))),((P23*12/44)*1/' IPCC'!$B$1199)*1000,((P23*12/44)*1/' IPCC'!$B$1199)*1000)))</f>
        <v>0</v>
      </c>
      <c r="T23" s="3570">
        <f t="shared" si="0"/>
        <v>0</v>
      </c>
      <c r="U23" s="2416"/>
      <c r="V23" s="2423"/>
      <c r="W23" s="2423"/>
      <c r="X23" s="2423"/>
      <c r="Y23" s="2416"/>
      <c r="Z23" s="2416"/>
      <c r="AA23" s="1914">
        <f>-P22*(IF(E44="immediate",IF(D44&gt;0,D44*MIN(20,time),0),D44*IF(time&gt;time+20,20,IF(time&lt;20,(time*VLOOKUP(E44,List!$E$35:$F$37,2,))+(time-time),((MIN(20,time)*VLOOKUP(E44,List!$E$35:$F$37,2,))+(time-MIN(20,time))-IF(E44="exponential",time-20+0.217*time*(EXP(4.606*(20-time)/time)-1),((time-20)^2)*(0.5/time)))))))</f>
        <v>0</v>
      </c>
      <c r="AB23" s="1914">
        <f>-P22*(IF(G44="immediate",IF(F44&gt;0,F44*MIN(20,time),0),F44*IF(time&gt;time+20,20,IF(time&lt;20,(time*VLOOKUP(G44,List!$E$35:$F$37,2,))+(time-time),((MIN(20,time)*VLOOKUP(G44,List!$E$35:$F$37,2,))+(time-MIN(20,time))-IF(G44="exponential",time-20+0.217*time*(EXP(4.606*(20-time)/time)-1),((time_tot-20)^2)*(0.5/time)))))))</f>
        <v>0</v>
      </c>
      <c r="AC23" s="2423"/>
      <c r="AD23" s="2416"/>
      <c r="AE23" s="2423"/>
      <c r="AF23" s="2416"/>
      <c r="AG23" s="2403"/>
      <c r="AH23" s="2403"/>
    </row>
    <row r="24" spans="1:35" ht="13.5" thickBot="1">
      <c r="A24" s="240"/>
      <c r="B24" s="272" t="s">
        <v>1212</v>
      </c>
      <c r="C24" s="758"/>
      <c r="D24" s="1786" t="s">
        <v>14</v>
      </c>
      <c r="E24" s="1787"/>
      <c r="F24" s="1786" t="s">
        <v>16</v>
      </c>
      <c r="G24" s="1787"/>
      <c r="H24" s="701" t="str">
        <f t="shared" si="1"/>
        <v>Fill initial LU</v>
      </c>
      <c r="I24" s="273"/>
      <c r="J24" s="1021" t="s">
        <v>354</v>
      </c>
      <c r="K24" s="1006">
        <f>IF(D24=List!$A$119,0,HLOOKUP(D24,' IPCC'!$A$290:$J$302,1+MATCH(clim_full,' IPCC'!$A$291:$A$302,),))</f>
        <v>0</v>
      </c>
      <c r="L24" s="1006">
        <f>IF(F24=List!$A$131,0,HLOOKUP(F24,' IPCC'!$B$125:$I$137,1+MATCH(clim_full,' IPCC'!$A$126:$A$137,),))</f>
        <v>0</v>
      </c>
      <c r="M24" s="1006">
        <f>IF(D24=List!$A$119,0,VLOOKUP(clim_full,' IPCC'!$A$307:$J$318,1+MATCH(D24,' IPCC'!$B$306:$J$306,),)*Soil_Native)</f>
        <v>0</v>
      </c>
      <c r="N24" s="1007">
        <f>IF(F24=List!$A$131,0,VLOOKUP(clim_full,' IPCC'!$A$156:$I$167,1+MATCH(F24,' IPCC'!$B$155:$I$155,),)*Soil_Native)</f>
        <v>0</v>
      </c>
      <c r="O24" s="1796">
        <f t="shared" si="2"/>
        <v>0</v>
      </c>
      <c r="P24" s="1796">
        <f t="shared" si="3"/>
        <v>0</v>
      </c>
      <c r="Q24" s="1005">
        <f>IF(J24="yes",K24*2.5*VLOOKUP(D24,' IPCC'!$A$322:$B$331,2,)*VLOOKUP(D24,' IPCC'!$A$322:$E$331,4,),0)</f>
        <v>0</v>
      </c>
      <c r="R24" s="1006">
        <f>IF(J24="yes",K24*2.5*VLOOKUP(D24,' IPCC'!$A$322:$B$331,2,)*VLOOKUP(D24,' IPCC'!$A$322:$E$331,5,),0)</f>
        <v>0</v>
      </c>
      <c r="S24" s="3568">
        <f>ABS(IF(P24&gt;=0,0,IF(AND(OR(D24="Grassland",D24="Set Aside"),(AND(F24&lt;&gt;"Grassland",F24&lt;&gt;"Set Aside"))),((P24*12/44)*1/' IPCC'!$B$1199)*1000,((P24*12/44)*1/' IPCC'!$B$1199)*1000)))</f>
        <v>0</v>
      </c>
      <c r="T24" s="3571">
        <f t="shared" si="0"/>
        <v>0</v>
      </c>
      <c r="U24" s="2416"/>
      <c r="V24" s="2423"/>
      <c r="W24" s="2423"/>
      <c r="X24" s="2416"/>
      <c r="Y24" s="2416"/>
      <c r="Z24" s="2416"/>
      <c r="AA24" s="1914">
        <f>-P23*(IF(E45="immediate",IF(D45&gt;0,D45*MIN(20,time),0),D45*IF(time&gt;time+20,20,IF(time&lt;20,(time*VLOOKUP(E45,List!$E$35:$F$37,2,))+(time-time),((MIN(20,time)*VLOOKUP(E45,List!$E$35:$F$37,2,))+(time-MIN(20,time))-IF(E45="exponential",time-20+0.217*time*(EXP(4.606*(20-time)/time)-1),((time-20)^2)*(0.5/time)))))))</f>
        <v>0</v>
      </c>
      <c r="AB24" s="1914">
        <f>-P23*(IF(G45="immediate",IF(F45&gt;0,F45*MIN(20,time),0),F45*IF(time&gt;time+20,20,IF(time&lt;20,(time*VLOOKUP(G45,List!$E$35:$F$37,2,))+(time-time),((MIN(20,time)*VLOOKUP(G45,List!$E$35:$F$37,2,))+(time-MIN(20,time))-IF(G45="exponential",time-20+0.217*time*(EXP(4.606*(20-time)/time)-1),((time_tot-20)^2)*(0.5/time)))))))</f>
        <v>0</v>
      </c>
      <c r="AC24" s="2423"/>
      <c r="AD24" s="2416"/>
      <c r="AE24" s="2423"/>
      <c r="AF24" s="2416"/>
      <c r="AG24" s="2403"/>
      <c r="AH24" s="2403"/>
    </row>
    <row r="25" spans="1:35">
      <c r="A25" s="240"/>
      <c r="B25" s="240"/>
      <c r="C25" s="240"/>
      <c r="D25" s="612"/>
      <c r="E25" s="464"/>
      <c r="F25" s="464"/>
      <c r="G25" s="464"/>
      <c r="H25" s="464"/>
      <c r="I25" s="243"/>
      <c r="J25" s="243"/>
      <c r="K25" s="242"/>
      <c r="L25" s="699" t="s">
        <v>1196</v>
      </c>
      <c r="M25" s="700"/>
      <c r="N25" s="1480">
        <f>VLOOKUP(clim_full,' IPCC'!$A$569:$I$581,1+MATCH(soil,soil_type,),)</f>
        <v>0</v>
      </c>
      <c r="P25" s="761" t="s">
        <v>883</v>
      </c>
      <c r="S25" s="243"/>
      <c r="T25" s="2784"/>
      <c r="U25" s="2784"/>
      <c r="V25" s="2784"/>
      <c r="W25" s="2423"/>
      <c r="X25" s="2416"/>
      <c r="Y25" s="2423"/>
      <c r="Z25" s="2423"/>
      <c r="AA25" s="1914">
        <f>-P24*(IF(E46="immediate",IF(D46&gt;0,D46*MIN(20,time),0),D46*IF(time&gt;time+20,20,IF(time&lt;20,(time*VLOOKUP(E46,List!$E$35:$F$37,2,))+(time-time),((MIN(20,time)*VLOOKUP(E46,List!$E$35:$F$37,2,))+(time-MIN(20,time))-IF(E46="exponential",time-20+0.217*time*(EXP(4.606*(20-time)/time)-1),((time-20)^2)*(0.5/time)))))))</f>
        <v>0</v>
      </c>
      <c r="AB25" s="1914">
        <f>-P24*(IF(G46="immediate",IF(F46&gt;0,F46*MIN(20,time),0),F46*IF(time&gt;time+20,20,IF(time&lt;20,(time*VLOOKUP(G46,List!$E$35:$F$37,2,))+(time-time),((MIN(20,time)*VLOOKUP(G46,List!$E$35:$F$37,2,))+(time-MIN(20,time))-IF(G46="exponential",time-20+0.217*time*(EXP(4.606*(20-time)/time)-1),((time_tot-20)^2)*(0.5/time)))))))</f>
        <v>0</v>
      </c>
      <c r="AC25" s="2423"/>
      <c r="AD25" s="2416"/>
      <c r="AE25" s="2423"/>
      <c r="AF25" s="2416"/>
      <c r="AG25" s="2403"/>
      <c r="AH25" s="2403"/>
    </row>
    <row r="26" spans="1:35">
      <c r="A26" s="240"/>
      <c r="B26" s="240"/>
      <c r="C26" s="240"/>
      <c r="D26" s="612"/>
      <c r="E26" s="612"/>
      <c r="F26" s="613"/>
      <c r="G26" s="464"/>
      <c r="H26" s="464"/>
      <c r="I26" s="432"/>
      <c r="J26" s="432"/>
      <c r="K26" s="433"/>
      <c r="L26" s="433"/>
      <c r="M26" s="242"/>
      <c r="N26" s="702"/>
      <c r="P26" s="568" t="s">
        <v>1268</v>
      </c>
      <c r="Q26" s="242"/>
      <c r="R26" s="242"/>
      <c r="S26" s="243"/>
      <c r="T26" s="2416"/>
      <c r="U26" s="2416"/>
      <c r="V26" s="2416"/>
      <c r="W26" s="2423"/>
      <c r="X26" s="2416"/>
      <c r="Y26" s="2423"/>
      <c r="Z26" s="2416"/>
      <c r="AA26" s="2410"/>
      <c r="AB26" s="2410"/>
      <c r="AC26" s="2403"/>
      <c r="AD26" s="2403"/>
      <c r="AE26" s="2403"/>
      <c r="AF26" s="2403"/>
      <c r="AG26" s="2403"/>
      <c r="AH26" s="2403"/>
    </row>
    <row r="27" spans="1:35">
      <c r="A27" s="240"/>
      <c r="B27" s="617" t="s">
        <v>1001</v>
      </c>
      <c r="C27" s="618"/>
      <c r="D27" s="618"/>
      <c r="E27" s="618"/>
      <c r="F27" s="618"/>
      <c r="G27" s="618"/>
      <c r="H27" s="619"/>
      <c r="I27" s="619"/>
      <c r="J27" s="619"/>
      <c r="K27" s="618"/>
      <c r="L27" s="52"/>
      <c r="M27" s="52"/>
      <c r="N27" s="618"/>
      <c r="O27" s="620"/>
      <c r="P27" s="620"/>
      <c r="Q27" s="242"/>
      <c r="R27" s="242"/>
      <c r="S27" s="242"/>
      <c r="T27" s="2423"/>
      <c r="U27" s="2416"/>
      <c r="V27" s="2410"/>
      <c r="W27" s="2410"/>
      <c r="X27" s="2410"/>
      <c r="Y27" s="2403"/>
      <c r="Z27" s="2403"/>
      <c r="AA27" s="2403"/>
      <c r="AB27" s="2403"/>
      <c r="AC27" s="2403"/>
      <c r="AD27" s="2403"/>
      <c r="AE27" s="2403"/>
      <c r="AF27" s="2403"/>
      <c r="AG27" s="2403"/>
      <c r="AH27" s="2403"/>
    </row>
    <row r="28" spans="1:35" s="600" customFormat="1" ht="13.5" thickBot="1">
      <c r="A28" s="240"/>
      <c r="B28" s="269" t="s">
        <v>490</v>
      </c>
      <c r="C28" s="270"/>
      <c r="D28" s="704" t="s">
        <v>1214</v>
      </c>
      <c r="E28" s="705"/>
      <c r="F28" s="705"/>
      <c r="G28" s="706"/>
      <c r="H28" s="3742" t="s">
        <v>1215</v>
      </c>
      <c r="I28" s="3743"/>
      <c r="J28" s="707" t="s">
        <v>1216</v>
      </c>
      <c r="K28" s="560"/>
      <c r="L28" s="558" t="s">
        <v>8735</v>
      </c>
      <c r="M28" s="560"/>
      <c r="N28" s="535" t="s">
        <v>671</v>
      </c>
      <c r="O28" s="536"/>
      <c r="P28" s="20" t="s">
        <v>343</v>
      </c>
      <c r="Q28" s="242"/>
      <c r="W28" s="232"/>
      <c r="X28" s="232"/>
      <c r="Y28" s="739"/>
      <c r="Z28" s="1069"/>
      <c r="AA28" s="1069"/>
      <c r="AB28" s="1069"/>
      <c r="AC28" s="1069"/>
      <c r="AD28" s="1069"/>
      <c r="AE28" s="1069"/>
      <c r="AF28" s="1069"/>
      <c r="AG28" s="1069"/>
      <c r="AH28" s="1069"/>
      <c r="AI28" s="1069"/>
    </row>
    <row r="29" spans="1:35" s="600" customFormat="1">
      <c r="A29" s="240"/>
      <c r="B29" s="271"/>
      <c r="C29" s="267"/>
      <c r="D29" s="624" t="s">
        <v>673</v>
      </c>
      <c r="E29" s="625"/>
      <c r="F29" s="626" t="s">
        <v>672</v>
      </c>
      <c r="G29" s="627"/>
      <c r="H29" s="628" t="s">
        <v>674</v>
      </c>
      <c r="I29" s="629" t="s">
        <v>675</v>
      </c>
      <c r="J29" s="628" t="s">
        <v>674</v>
      </c>
      <c r="K29" s="629" t="s">
        <v>675</v>
      </c>
      <c r="L29" s="628" t="s">
        <v>674</v>
      </c>
      <c r="M29" s="629" t="s">
        <v>675</v>
      </c>
      <c r="N29" s="628" t="s">
        <v>674</v>
      </c>
      <c r="O29" s="629" t="s">
        <v>675</v>
      </c>
      <c r="P29" s="171"/>
      <c r="Q29" s="242"/>
      <c r="U29" s="1901" t="s">
        <v>1572</v>
      </c>
      <c r="V29" s="1901"/>
      <c r="W29" s="232"/>
      <c r="X29" s="232"/>
      <c r="Y29" s="739"/>
      <c r="Z29" s="1069"/>
      <c r="AA29" s="1069"/>
      <c r="AB29" s="1069"/>
      <c r="AC29" s="1069"/>
      <c r="AD29" s="1069"/>
      <c r="AE29" s="1069"/>
      <c r="AF29" s="1069"/>
      <c r="AG29" s="1069"/>
      <c r="AH29" s="1069"/>
      <c r="AI29" s="1069"/>
    </row>
    <row r="30" spans="1:35" s="600" customFormat="1" ht="13.5" thickBot="1">
      <c r="A30" s="240"/>
      <c r="B30" s="271"/>
      <c r="C30" s="267"/>
      <c r="D30" s="631" t="s">
        <v>1217</v>
      </c>
      <c r="E30" s="632" t="s">
        <v>348</v>
      </c>
      <c r="F30" s="633" t="s">
        <v>1217</v>
      </c>
      <c r="G30" s="634" t="s">
        <v>348</v>
      </c>
      <c r="H30" s="637" t="s">
        <v>541</v>
      </c>
      <c r="I30" s="638" t="s">
        <v>541</v>
      </c>
      <c r="J30" s="637" t="s">
        <v>541</v>
      </c>
      <c r="K30" s="638" t="s">
        <v>541</v>
      </c>
      <c r="L30" s="637" t="s">
        <v>541</v>
      </c>
      <c r="M30" s="638" t="s">
        <v>541</v>
      </c>
      <c r="N30" s="637" t="s">
        <v>541</v>
      </c>
      <c r="O30" s="638" t="s">
        <v>541</v>
      </c>
      <c r="P30" s="1018" t="s">
        <v>541</v>
      </c>
      <c r="Q30" s="242"/>
      <c r="U30" s="1901" t="s">
        <v>54</v>
      </c>
      <c r="V30" s="1901" t="s">
        <v>274</v>
      </c>
      <c r="W30" s="232"/>
      <c r="X30" s="232"/>
      <c r="Y30" s="739"/>
      <c r="Z30" s="1069"/>
      <c r="AA30" s="1069"/>
      <c r="AB30" s="1069"/>
      <c r="AC30" s="1069"/>
      <c r="AD30" s="1069"/>
      <c r="AE30" s="1069"/>
      <c r="AF30" s="1069"/>
      <c r="AG30" s="1069"/>
      <c r="AH30" s="1069"/>
      <c r="AI30" s="1069"/>
    </row>
    <row r="31" spans="1:35" s="600" customFormat="1" ht="13.5" thickBot="1">
      <c r="A31" s="240"/>
      <c r="B31" s="269" t="str">
        <f>B9</f>
        <v>LUC-1</v>
      </c>
      <c r="C31" s="237" t="str">
        <f>IF(C9="","",C9)</f>
        <v/>
      </c>
      <c r="D31" s="1793">
        <f>'2.LUC'!M49</f>
        <v>0</v>
      </c>
      <c r="E31" s="2169" t="str">
        <f>VLOOKUP('2.LUC'!N49,List!$D$35:$E$37,2,)</f>
        <v>Linear</v>
      </c>
      <c r="F31" s="1793">
        <f>'2.LUC'!O49</f>
        <v>0</v>
      </c>
      <c r="G31" s="2169" t="str">
        <f>VLOOKUP('2.LUC'!P49,List!$D$35:$E$37,2,)</f>
        <v>Linear</v>
      </c>
      <c r="H31" s="1794">
        <f>IF($H9&lt;&gt;"",0,-O9*D31)</f>
        <v>0</v>
      </c>
      <c r="I31" s="1795">
        <f>IF($H9&lt;&gt;"",0,-F31*O9)</f>
        <v>0</v>
      </c>
      <c r="J31" s="1361">
        <f>-P9*(IF(E31="immediate",IF(D31&gt;0,D31*MIN(20,time_tot),0),D31*IF(time_tot&gt;time+20,20,IF(time_tot&lt;20,(time*VLOOKUP(E31,List!$E$35:$F$37,2,))+(time_tot-time),((MIN(20,time)*VLOOKUP(E31,List!$E$35:$F$37,2,))+(time_tot-MIN(20,time))-IF(E31="exponential",time_tot-20+0.217*time*(EXP(4.606*(20-time_tot)/time)-1),((time_tot-20)^2)*(0.5/time)))))))</f>
        <v>0</v>
      </c>
      <c r="K31" s="1477">
        <f>-P9*(IF(G31="immediate",IF(F31&gt;0,F31*MIN(20,time_tot),0),F31*IF(time_tot&gt;time+20,20,IF(time_tot&lt;20,(time*VLOOKUP(G31,List!$E$35:$F$37,2,))+(time_tot-time),((MIN(20,time)*VLOOKUP(G31,List!$E$35:$F$37,2,))+(time_tot-MIN(20,time))-IF(G31="exponential",time_tot-20+0.217*time*(EXP(4.606*(20-time_tot)/time)-1),((time_tot-20)^2)*(0.5/time)))))))</f>
        <v>0</v>
      </c>
      <c r="L31" s="3560">
        <f t="shared" ref="L31:L46" si="4">D31*(Q9*methane+(R9+T9)*Nitrous)/1000</f>
        <v>0</v>
      </c>
      <c r="M31" s="3561">
        <f t="shared" ref="M31:M46" si="5">F31*(Q9*methane+(R9+T9)*Nitrous)/1000</f>
        <v>0</v>
      </c>
      <c r="N31" s="1477">
        <f>H31+J31+L31</f>
        <v>0</v>
      </c>
      <c r="O31" s="1362">
        <f>I31+K31+M31</f>
        <v>0</v>
      </c>
      <c r="P31" s="1027">
        <f>O31-N31</f>
        <v>0</v>
      </c>
      <c r="Q31" s="242"/>
      <c r="U31" s="1901">
        <f>IF(Q9&gt;0,D31,0)</f>
        <v>0</v>
      </c>
      <c r="V31" s="1901">
        <f>IF(Q9&gt;0,F31,0)</f>
        <v>0</v>
      </c>
      <c r="W31" s="232"/>
      <c r="X31" s="232"/>
      <c r="Y31" s="739"/>
      <c r="Z31" s="1069"/>
      <c r="AA31" s="1069"/>
      <c r="AB31" s="1069"/>
      <c r="AC31" s="1069"/>
      <c r="AD31" s="1069"/>
      <c r="AE31" s="1069"/>
      <c r="AF31" s="1069"/>
      <c r="AG31" s="1069"/>
      <c r="AH31" s="1069"/>
      <c r="AI31" s="1069"/>
    </row>
    <row r="32" spans="1:35" s="600" customFormat="1" ht="13.5" thickBot="1">
      <c r="A32" s="240"/>
      <c r="B32" s="271" t="str">
        <f t="shared" ref="B32:B46" si="6">B10</f>
        <v>LUC-2</v>
      </c>
      <c r="C32" s="695" t="str">
        <f t="shared" ref="C32:C46" si="7">IF(C10="","",C10)</f>
        <v/>
      </c>
      <c r="D32" s="1793">
        <f>'2.LUC'!M50</f>
        <v>0</v>
      </c>
      <c r="E32" s="2169" t="str">
        <f>VLOOKUP('2.LUC'!N50,List!$D$35:$E$37,2,)</f>
        <v>Linear</v>
      </c>
      <c r="F32" s="1793">
        <f>'2.LUC'!O50</f>
        <v>0</v>
      </c>
      <c r="G32" s="2169" t="str">
        <f>VLOOKUP('2.LUC'!P50,List!$D$35:$E$37,2,)</f>
        <v>Linear</v>
      </c>
      <c r="H32" s="1794">
        <f t="shared" ref="H32:H46" si="8">IF($H10&lt;&gt;"",0,-O10*D32)</f>
        <v>0</v>
      </c>
      <c r="I32" s="1795">
        <f t="shared" ref="I32:I46" si="9">IF($H10&lt;&gt;"",0,-F32*O10)</f>
        <v>0</v>
      </c>
      <c r="J32" s="1439">
        <f>-P10*(IF(E32="immediate",IF(D32&gt;0,D32*MIN(20,time_tot),0),D32*IF(time_tot&gt;time+20,20,IF(time_tot&lt;20,(time*VLOOKUP(E32,List!$E$35:$F$37,2,))+(time_tot-time),((MIN(20,time)*VLOOKUP(E32,List!$E$35:$F$37,2,))+(time_tot-MIN(20,time))-IF(E32="exponential",time_tot-20+0.217*time*(EXP(4.606*(20-time_tot)/time)-1),((time_tot-20)^2)*(0.5/time)))))))</f>
        <v>0</v>
      </c>
      <c r="K32" s="1478">
        <f>-P10*(IF(G32="immediate",IF(F32&gt;0,F32*MIN(20,time_tot),0),F32*IF(time_tot&gt;time+20,20,IF(time_tot&lt;20,(time*VLOOKUP(G32,List!$E$35:$F$37,2,))+(time_tot-time),((MIN(20,time)*VLOOKUP(G32,List!$E$35:$F$37,2,))+(time_tot-MIN(20,time))-IF(G32="exponential",time_tot-20+0.217*time*(EXP(4.606*(20-time_tot)/time)-1),((time_tot-20)^2)*(0.5/time)))))))</f>
        <v>0</v>
      </c>
      <c r="L32" s="1439">
        <f t="shared" si="4"/>
        <v>0</v>
      </c>
      <c r="M32" s="1440">
        <f t="shared" si="5"/>
        <v>0</v>
      </c>
      <c r="N32" s="1478">
        <f t="shared" ref="N32:N46" si="10">H32+J32+L32</f>
        <v>0</v>
      </c>
      <c r="O32" s="1440">
        <f t="shared" ref="O32:O46" si="11">I32+K32+M32</f>
        <v>0</v>
      </c>
      <c r="P32" s="1028">
        <f>O32-N32</f>
        <v>0</v>
      </c>
      <c r="Q32" s="242"/>
      <c r="U32" s="1901">
        <f t="shared" ref="U32:U46" si="12">IF(Q10&gt;0,D32,0)</f>
        <v>0</v>
      </c>
      <c r="V32" s="1901">
        <f t="shared" ref="V32:V46" si="13">IF(Q10&gt;0,F32,0)</f>
        <v>0</v>
      </c>
      <c r="W32" s="232"/>
      <c r="X32" s="232"/>
      <c r="Y32" s="739"/>
      <c r="Z32" s="1069"/>
      <c r="AA32" s="1069"/>
      <c r="AB32" s="1069"/>
      <c r="AC32" s="1069"/>
      <c r="AD32" s="1069"/>
      <c r="AE32" s="1069"/>
      <c r="AF32" s="1069"/>
      <c r="AG32" s="1069"/>
      <c r="AH32" s="1069"/>
      <c r="AI32" s="1069"/>
    </row>
    <row r="33" spans="1:35" s="600" customFormat="1" ht="13.5" thickBot="1">
      <c r="A33" s="240"/>
      <c r="B33" s="271" t="str">
        <f t="shared" si="6"/>
        <v>LUC-3</v>
      </c>
      <c r="C33" s="695" t="str">
        <f t="shared" si="7"/>
        <v/>
      </c>
      <c r="D33" s="1793">
        <f>'2.LUC'!M51</f>
        <v>0</v>
      </c>
      <c r="E33" s="2169" t="str">
        <f>VLOOKUP('2.LUC'!N51,List!$D$35:$E$37,2,)</f>
        <v>Linear</v>
      </c>
      <c r="F33" s="1793">
        <f>'2.LUC'!O51</f>
        <v>0</v>
      </c>
      <c r="G33" s="2169" t="str">
        <f>VLOOKUP('2.LUC'!P51,List!$D$35:$E$37,2,)</f>
        <v>Linear</v>
      </c>
      <c r="H33" s="1794">
        <f t="shared" si="8"/>
        <v>0</v>
      </c>
      <c r="I33" s="1795">
        <f t="shared" si="9"/>
        <v>0</v>
      </c>
      <c r="J33" s="1439">
        <f>-P11*(IF(E33="immediate",IF(D33&gt;0,D33*MIN(20,time_tot),0),D33*IF(time_tot&gt;time+20,20,IF(time_tot&lt;20,(time*VLOOKUP(E33,List!$E$35:$F$37,2,))+(time_tot-time),((MIN(20,time)*VLOOKUP(E33,List!$E$35:$F$37,2,))+(time_tot-MIN(20,time))-IF(E33="exponential",time_tot-20+0.217*time*(EXP(4.606*(20-time_tot)/time)-1),((time_tot-20)^2)*(0.5/time)))))))</f>
        <v>0</v>
      </c>
      <c r="K33" s="1478">
        <f>-P11*(IF(G33="immediate",IF(F33&gt;0,F33*MIN(20,time_tot),0),F33*IF(time_tot&gt;time+20,20,IF(time_tot&lt;20,(time*VLOOKUP(G33,List!$E$35:$F$37,2,))+(time_tot-time),((MIN(20,time)*VLOOKUP(G33,List!$E$35:$F$37,2,))+(time_tot-MIN(20,time))-IF(G33="exponential",time_tot-20+0.217*time*(EXP(4.606*(20-time_tot)/time)-1),((time_tot-20)^2)*(0.5/time)))))))</f>
        <v>0</v>
      </c>
      <c r="L33" s="1439">
        <f t="shared" si="4"/>
        <v>0</v>
      </c>
      <c r="M33" s="1440">
        <f t="shared" si="5"/>
        <v>0</v>
      </c>
      <c r="N33" s="1478">
        <f t="shared" si="10"/>
        <v>0</v>
      </c>
      <c r="O33" s="1440">
        <f t="shared" si="11"/>
        <v>0</v>
      </c>
      <c r="P33" s="1028">
        <f>O33-N33</f>
        <v>0</v>
      </c>
      <c r="Q33" s="242"/>
      <c r="U33" s="1901">
        <f t="shared" si="12"/>
        <v>0</v>
      </c>
      <c r="V33" s="1901">
        <f t="shared" si="13"/>
        <v>0</v>
      </c>
      <c r="W33" s="232"/>
      <c r="X33" s="232"/>
      <c r="Y33" s="739"/>
      <c r="Z33" s="1069"/>
      <c r="AA33" s="1069"/>
      <c r="AB33" s="1069"/>
      <c r="AC33" s="1069"/>
      <c r="AD33" s="1069"/>
      <c r="AE33" s="1069"/>
      <c r="AF33" s="1069"/>
      <c r="AG33" s="1069"/>
      <c r="AH33" s="1069"/>
      <c r="AI33" s="1069"/>
    </row>
    <row r="34" spans="1:35" s="600" customFormat="1" ht="13.5" thickBot="1">
      <c r="A34" s="240"/>
      <c r="B34" s="271" t="str">
        <f t="shared" si="6"/>
        <v>LUC-4</v>
      </c>
      <c r="C34" s="695" t="str">
        <f t="shared" si="7"/>
        <v/>
      </c>
      <c r="D34" s="1793">
        <f>'2.LUC'!M52</f>
        <v>0</v>
      </c>
      <c r="E34" s="2169" t="str">
        <f>VLOOKUP('2.LUC'!N52,List!$D$35:$E$37,2,)</f>
        <v>Linear</v>
      </c>
      <c r="F34" s="1793">
        <f>'2.LUC'!O52</f>
        <v>0</v>
      </c>
      <c r="G34" s="2169" t="str">
        <f>VLOOKUP('2.LUC'!P52,List!$D$35:$E$37,2,)</f>
        <v>Linear</v>
      </c>
      <c r="H34" s="1794">
        <f>IF($H12&lt;&gt;"",0,-O12*D34)</f>
        <v>0</v>
      </c>
      <c r="I34" s="1795">
        <f t="shared" si="9"/>
        <v>0</v>
      </c>
      <c r="J34" s="1439">
        <f>-P12*(IF(E34="immediate",IF(D34&gt;0,D34*MIN(20,time_tot),0),D34*IF(time_tot&gt;time+20,20,IF(time_tot&lt;20,(time*VLOOKUP(E34,List!$E$35:$F$37,2,))+(time_tot-time),((MIN(20,time)*VLOOKUP(E34,List!$E$35:$F$37,2,))+(time_tot-MIN(20,time))-IF(E34="exponential",time_tot-20+0.217*time*(EXP(4.606*(20-time_tot)/time)-1),((time_tot-20)^2)*(0.5/time)))))))</f>
        <v>0</v>
      </c>
      <c r="K34" s="1478">
        <f>-P12*(IF(G34="immediate",IF(F34&gt;0,F34*MIN(20,time_tot),0),F34*IF(time_tot&gt;time+20,20,IF(time_tot&lt;20,(time*VLOOKUP(G34,List!$E$35:$F$37,2,))+(time_tot-time),((MIN(20,time)*VLOOKUP(G34,List!$E$35:$F$37,2,))+(time_tot-MIN(20,time))-IF(G34="exponential",time_tot-20+0.217*time*(EXP(4.606*(20-time_tot)/time)-1),((time_tot-20)^2)*(0.5/time)))))))</f>
        <v>0</v>
      </c>
      <c r="L34" s="1439">
        <f t="shared" si="4"/>
        <v>0</v>
      </c>
      <c r="M34" s="1440">
        <f t="shared" si="5"/>
        <v>0</v>
      </c>
      <c r="N34" s="1478">
        <f>H34+J34+L34</f>
        <v>0</v>
      </c>
      <c r="O34" s="1440">
        <f t="shared" si="11"/>
        <v>0</v>
      </c>
      <c r="P34" s="1028">
        <f>O34-N34</f>
        <v>0</v>
      </c>
      <c r="Q34" s="242"/>
      <c r="U34" s="1901">
        <f t="shared" si="12"/>
        <v>0</v>
      </c>
      <c r="V34" s="1901">
        <f t="shared" si="13"/>
        <v>0</v>
      </c>
      <c r="W34" s="232"/>
      <c r="X34" s="232"/>
      <c r="Y34" s="739"/>
      <c r="Z34" s="1069"/>
      <c r="AA34" s="1069"/>
      <c r="AB34" s="1069"/>
      <c r="AC34" s="1069"/>
      <c r="AD34" s="1069"/>
      <c r="AE34" s="1069"/>
      <c r="AF34" s="1069"/>
      <c r="AG34" s="1069"/>
      <c r="AH34" s="1069"/>
      <c r="AI34" s="1069"/>
    </row>
    <row r="35" spans="1:35" s="600" customFormat="1" ht="13.5" thickBot="1">
      <c r="A35" s="240"/>
      <c r="B35" s="271" t="str">
        <f t="shared" si="6"/>
        <v>LUC-5</v>
      </c>
      <c r="C35" s="695" t="str">
        <f t="shared" si="7"/>
        <v/>
      </c>
      <c r="D35" s="1793">
        <f>'2.LUC'!M53</f>
        <v>0</v>
      </c>
      <c r="E35" s="2169" t="str">
        <f>VLOOKUP('2.LUC'!N53,List!$D$35:$E$37,2,)</f>
        <v>Linear</v>
      </c>
      <c r="F35" s="1793">
        <f>'2.LUC'!O53</f>
        <v>0</v>
      </c>
      <c r="G35" s="2169" t="str">
        <f>VLOOKUP('2.LUC'!P53,List!$D$35:$E$37,2,)</f>
        <v>Linear</v>
      </c>
      <c r="H35" s="1794">
        <f t="shared" si="8"/>
        <v>0</v>
      </c>
      <c r="I35" s="1795">
        <f t="shared" si="9"/>
        <v>0</v>
      </c>
      <c r="J35" s="1439">
        <f>-P13*(IF(E35="immediate",IF(D35&gt;0,D35*MIN(20,time_tot),0),D35*IF(time_tot&gt;time+20,20,IF(time_tot&lt;20,(time*VLOOKUP(E35,List!$E$35:$F$37,2,))+(time_tot-time),((MIN(20,time)*VLOOKUP(E35,List!$E$35:$F$37,2,))+(time_tot-MIN(20,time))-IF(E35="exponential",time_tot-20+0.217*time*(EXP(4.606*(20-time_tot)/time)-1),((time_tot-20)^2)*(0.5/time)))))))</f>
        <v>0</v>
      </c>
      <c r="K35" s="1478">
        <f>-P13*(IF(G35="immediate",IF(F35&gt;0,F35*MIN(20,time_tot),0),F35*IF(time_tot&gt;time+20,20,IF(time_tot&lt;20,(time*VLOOKUP(G35,List!$E$35:$F$37,2,))+(time_tot-time),((MIN(20,time)*VLOOKUP(G35,List!$E$35:$F$37,2,))+(time_tot-MIN(20,time))-IF(G35="exponential",time_tot-20+0.217*time*(EXP(4.606*(20-time_tot)/time)-1),((time_tot-20)^2)*(0.5/time)))))))</f>
        <v>0</v>
      </c>
      <c r="L35" s="1439">
        <f t="shared" si="4"/>
        <v>0</v>
      </c>
      <c r="M35" s="1440">
        <f t="shared" si="5"/>
        <v>0</v>
      </c>
      <c r="N35" s="1478">
        <f t="shared" si="10"/>
        <v>0</v>
      </c>
      <c r="O35" s="1440">
        <f t="shared" si="11"/>
        <v>0</v>
      </c>
      <c r="P35" s="1028">
        <f>O35-N35</f>
        <v>0</v>
      </c>
      <c r="Q35" s="242"/>
      <c r="U35" s="1901">
        <f t="shared" si="12"/>
        <v>0</v>
      </c>
      <c r="V35" s="1901">
        <f t="shared" si="13"/>
        <v>0</v>
      </c>
      <c r="W35" s="232"/>
      <c r="X35" s="232"/>
      <c r="Y35" s="739"/>
      <c r="Z35" s="1069"/>
      <c r="AA35" s="1069"/>
      <c r="AB35" s="1069"/>
      <c r="AC35" s="1069"/>
      <c r="AD35" s="1069"/>
      <c r="AE35" s="1069"/>
      <c r="AF35" s="1069"/>
      <c r="AG35" s="1069"/>
      <c r="AH35" s="1069"/>
      <c r="AI35" s="1069"/>
    </row>
    <row r="36" spans="1:35" s="600" customFormat="1" ht="13.5" thickBot="1">
      <c r="A36" s="240"/>
      <c r="B36" s="271" t="str">
        <f t="shared" si="6"/>
        <v>LUC-6</v>
      </c>
      <c r="C36" s="695" t="str">
        <f t="shared" si="7"/>
        <v/>
      </c>
      <c r="D36" s="1793">
        <f>'2.LUC'!M54</f>
        <v>0</v>
      </c>
      <c r="E36" s="2169" t="str">
        <f>VLOOKUP('2.LUC'!N54,List!$D$35:$E$37,2,)</f>
        <v>Linear</v>
      </c>
      <c r="F36" s="1793">
        <f>'2.LUC'!O54</f>
        <v>0</v>
      </c>
      <c r="G36" s="2169" t="str">
        <f>VLOOKUP('2.LUC'!P54,List!$D$35:$E$37,2,)</f>
        <v>Linear</v>
      </c>
      <c r="H36" s="1794">
        <f t="shared" si="8"/>
        <v>0</v>
      </c>
      <c r="I36" s="1795">
        <f t="shared" si="9"/>
        <v>0</v>
      </c>
      <c r="J36" s="1439">
        <f>-P14*(IF(E36="immediate",IF(D36&gt;0,D36*MIN(20,time_tot),0),D36*IF(time_tot&gt;time+20,20,IF(time_tot&lt;20,(time*VLOOKUP(E36,List!$E$35:$F$37,2,))+(time_tot-time),((MIN(20,time)*VLOOKUP(E36,List!$E$35:$F$37,2,))+(time_tot-MIN(20,time))-IF(E36="exponential",time_tot-20+0.217*time*(EXP(4.606*(20-time_tot)/time)-1),((time_tot-20)^2)*(0.5/time)))))))</f>
        <v>0</v>
      </c>
      <c r="K36" s="1478">
        <f>-P14*(IF(G36="immediate",IF(F36&gt;0,F36*MIN(20,time_tot),0),F36*IF(time_tot&gt;time+20,20,IF(time_tot&lt;20,(time*VLOOKUP(G36,List!$E$35:$F$37,2,))+(time_tot-time),((MIN(20,time)*VLOOKUP(G36,List!$E$35:$F$37,2,))+(time_tot-MIN(20,time))-IF(G36="exponential",time_tot-20+0.217*time*(EXP(4.606*(20-time_tot)/time)-1),((time_tot-20)^2)*(0.5/time)))))))</f>
        <v>0</v>
      </c>
      <c r="L36" s="1439">
        <f t="shared" si="4"/>
        <v>0</v>
      </c>
      <c r="M36" s="1440">
        <f t="shared" si="5"/>
        <v>0</v>
      </c>
      <c r="N36" s="1478">
        <f t="shared" si="10"/>
        <v>0</v>
      </c>
      <c r="O36" s="1440">
        <f t="shared" si="11"/>
        <v>0</v>
      </c>
      <c r="P36" s="1028">
        <f t="shared" ref="P36:P46" si="14">O36-N36</f>
        <v>0</v>
      </c>
      <c r="Q36" s="242"/>
      <c r="U36" s="1901">
        <f t="shared" si="12"/>
        <v>0</v>
      </c>
      <c r="V36" s="1901">
        <f t="shared" si="13"/>
        <v>0</v>
      </c>
      <c r="W36" s="232"/>
      <c r="X36" s="232"/>
      <c r="Y36" s="739"/>
      <c r="Z36" s="1069"/>
      <c r="AA36" s="1069"/>
      <c r="AB36" s="1069"/>
      <c r="AC36" s="1069"/>
      <c r="AD36" s="1069"/>
      <c r="AE36" s="1069"/>
      <c r="AF36" s="1069"/>
      <c r="AG36" s="1069"/>
      <c r="AH36" s="1069"/>
      <c r="AI36" s="1069"/>
    </row>
    <row r="37" spans="1:35" s="600" customFormat="1" ht="13.5" thickBot="1">
      <c r="A37" s="240"/>
      <c r="B37" s="271" t="str">
        <f t="shared" si="6"/>
        <v>LUC-7</v>
      </c>
      <c r="C37" s="695" t="str">
        <f t="shared" si="7"/>
        <v/>
      </c>
      <c r="D37" s="1793">
        <f>'2.LUC'!M55</f>
        <v>0</v>
      </c>
      <c r="E37" s="2169" t="str">
        <f>VLOOKUP('2.LUC'!N55,List!$D$35:$E$37,2,)</f>
        <v>Linear</v>
      </c>
      <c r="F37" s="1793">
        <f>'2.LUC'!O55</f>
        <v>0</v>
      </c>
      <c r="G37" s="2169" t="str">
        <f>VLOOKUP('2.LUC'!P55,List!$D$35:$E$37,2,)</f>
        <v>Linear</v>
      </c>
      <c r="H37" s="1794">
        <f t="shared" si="8"/>
        <v>0</v>
      </c>
      <c r="I37" s="1795">
        <f t="shared" si="9"/>
        <v>0</v>
      </c>
      <c r="J37" s="1439">
        <f>-P15*(IF(E37="immediate",IF(D37&gt;0,D37*MIN(20,time_tot),0),D37*IF(time_tot&gt;time+20,20,IF(time_tot&lt;20,(time*VLOOKUP(E37,List!$E$35:$F$37,2,))+(time_tot-time),((MIN(20,time)*VLOOKUP(E37,List!$E$35:$F$37,2,))+(time_tot-MIN(20,time))-IF(E37="exponential",time_tot-20+0.217*time*(EXP(4.606*(20-time_tot)/time)-1),((time_tot-20)^2)*(0.5/time)))))))</f>
        <v>0</v>
      </c>
      <c r="K37" s="1478">
        <f>-P15*(IF(G37="immediate",IF(F37&gt;0,F37*MIN(20,time_tot),0),F37*IF(time_tot&gt;time+20,20,IF(time_tot&lt;20,(time*VLOOKUP(G37,List!$E$35:$F$37,2,))+(time_tot-time),((MIN(20,time)*VLOOKUP(G37,List!$E$35:$F$37,2,))+(time_tot-MIN(20,time))-IF(G37="exponential",time_tot-20+0.217*time*(EXP(4.606*(20-time_tot)/time)-1),((time_tot-20)^2)*(0.5/time)))))))</f>
        <v>0</v>
      </c>
      <c r="L37" s="1439">
        <f t="shared" si="4"/>
        <v>0</v>
      </c>
      <c r="M37" s="1440">
        <f t="shared" si="5"/>
        <v>0</v>
      </c>
      <c r="N37" s="1478">
        <f t="shared" si="10"/>
        <v>0</v>
      </c>
      <c r="O37" s="1440">
        <f t="shared" si="11"/>
        <v>0</v>
      </c>
      <c r="P37" s="1028">
        <f t="shared" si="14"/>
        <v>0</v>
      </c>
      <c r="Q37" s="242"/>
      <c r="U37" s="1901">
        <f t="shared" si="12"/>
        <v>0</v>
      </c>
      <c r="V37" s="1901">
        <f t="shared" si="13"/>
        <v>0</v>
      </c>
      <c r="W37" s="232"/>
      <c r="X37" s="232"/>
      <c r="Y37" s="739"/>
      <c r="Z37" s="1069"/>
      <c r="AA37" s="1069"/>
      <c r="AB37" s="1069"/>
      <c r="AC37" s="1069"/>
      <c r="AD37" s="1069"/>
      <c r="AE37" s="1069"/>
      <c r="AF37" s="1069"/>
      <c r="AG37" s="1069"/>
      <c r="AH37" s="1069"/>
      <c r="AI37" s="1069"/>
    </row>
    <row r="38" spans="1:35" s="600" customFormat="1" ht="13.5" thickBot="1">
      <c r="A38" s="240"/>
      <c r="B38" s="271" t="str">
        <f t="shared" si="6"/>
        <v>LUC-8</v>
      </c>
      <c r="C38" s="695" t="str">
        <f t="shared" si="7"/>
        <v/>
      </c>
      <c r="D38" s="1793">
        <f>'2.LUC'!M56</f>
        <v>0</v>
      </c>
      <c r="E38" s="2169" t="str">
        <f>VLOOKUP('2.LUC'!N56,List!$D$35:$E$37,2,)</f>
        <v>Linear</v>
      </c>
      <c r="F38" s="1793">
        <f>'2.LUC'!O56</f>
        <v>0</v>
      </c>
      <c r="G38" s="2169" t="str">
        <f>VLOOKUP('2.LUC'!P56,List!$D$35:$E$37,2,)</f>
        <v>Linear</v>
      </c>
      <c r="H38" s="1794">
        <f t="shared" si="8"/>
        <v>0</v>
      </c>
      <c r="I38" s="1795">
        <f t="shared" si="9"/>
        <v>0</v>
      </c>
      <c r="J38" s="1439">
        <f>-P16*(IF(E38="immediate",IF(D38&gt;0,D38*MIN(20,time_tot),0),D38*IF(time_tot&gt;time+20,20,IF(time_tot&lt;20,(time*VLOOKUP(E38,List!$E$35:$F$37,2,))+(time_tot-time),((MIN(20,time)*VLOOKUP(E38,List!$E$35:$F$37,2,))+(time_tot-MIN(20,time))-IF(E38="exponential",time_tot-20+0.217*time*(EXP(4.606*(20-time_tot)/time)-1),((time_tot-20)^2)*(0.5/time)))))))</f>
        <v>0</v>
      </c>
      <c r="K38" s="1478">
        <f>-P16*(IF(G38="immediate",IF(F38&gt;0,F38*MIN(20,time_tot),0),F38*IF(time_tot&gt;time+20,20,IF(time_tot&lt;20,(time*VLOOKUP(G38,List!$E$35:$F$37,2,))+(time_tot-time),((MIN(20,time)*VLOOKUP(G38,List!$E$35:$F$37,2,))+(time_tot-MIN(20,time))-IF(G38="exponential",time_tot-20+0.217*time*(EXP(4.606*(20-time_tot)/time)-1),((time_tot-20)^2)*(0.5/time)))))))</f>
        <v>0</v>
      </c>
      <c r="L38" s="1439">
        <f t="shared" si="4"/>
        <v>0</v>
      </c>
      <c r="M38" s="1440">
        <f t="shared" si="5"/>
        <v>0</v>
      </c>
      <c r="N38" s="1478">
        <f t="shared" si="10"/>
        <v>0</v>
      </c>
      <c r="O38" s="1440">
        <f t="shared" si="11"/>
        <v>0</v>
      </c>
      <c r="P38" s="1028">
        <f t="shared" si="14"/>
        <v>0</v>
      </c>
      <c r="Q38" s="242"/>
      <c r="U38" s="1901">
        <f t="shared" si="12"/>
        <v>0</v>
      </c>
      <c r="V38" s="1901">
        <f t="shared" si="13"/>
        <v>0</v>
      </c>
      <c r="W38" s="232"/>
      <c r="X38" s="232"/>
      <c r="Y38" s="739"/>
      <c r="Z38" s="1069"/>
      <c r="AA38" s="1069"/>
      <c r="AB38" s="1069"/>
      <c r="AC38" s="1069"/>
      <c r="AD38" s="1069"/>
      <c r="AE38" s="1069"/>
      <c r="AF38" s="1069"/>
      <c r="AG38" s="1069"/>
      <c r="AH38" s="1069"/>
      <c r="AI38" s="1069"/>
    </row>
    <row r="39" spans="1:35" ht="13.5" thickBot="1">
      <c r="A39" s="240"/>
      <c r="B39" s="271" t="str">
        <f t="shared" si="6"/>
        <v>LUC-9</v>
      </c>
      <c r="C39" s="695" t="str">
        <f t="shared" si="7"/>
        <v/>
      </c>
      <c r="D39" s="1793">
        <f>'2.LUC'!M57</f>
        <v>0</v>
      </c>
      <c r="E39" s="2169" t="str">
        <f>VLOOKUP('2.LUC'!N57,List!$D$35:$E$37,2,)</f>
        <v>Linear</v>
      </c>
      <c r="F39" s="1793">
        <f>'2.LUC'!O57</f>
        <v>0</v>
      </c>
      <c r="G39" s="2169" t="str">
        <f>VLOOKUP('2.LUC'!P57,List!$D$35:$E$37,2,)</f>
        <v>Linear</v>
      </c>
      <c r="H39" s="1794">
        <f t="shared" si="8"/>
        <v>0</v>
      </c>
      <c r="I39" s="1795">
        <f t="shared" si="9"/>
        <v>0</v>
      </c>
      <c r="J39" s="1439">
        <f>-P17*(IF(E39="immediate",IF(D39&gt;0,D39*MIN(20,time_tot),0),D39*IF(time_tot&gt;time+20,20,IF(time_tot&lt;20,(time*VLOOKUP(E39,List!$E$35:$F$37,2,))+(time_tot-time),((MIN(20,time)*VLOOKUP(E39,List!$E$35:$F$37,2,))+(time_tot-MIN(20,time))-IF(E39="exponential",time_tot-20+0.217*time*(EXP(4.606*(20-time_tot)/time)-1),((time_tot-20)^2)*(0.5/time)))))))</f>
        <v>0</v>
      </c>
      <c r="K39" s="1478">
        <f>-P17*(IF(G39="immediate",IF(F39&gt;0,F39*MIN(20,time_tot),0),F39*IF(time_tot&gt;time+20,20,IF(time_tot&lt;20,(time*VLOOKUP(G39,List!$E$35:$F$37,2,))+(time_tot-time),((MIN(20,time)*VLOOKUP(G39,List!$E$35:$F$37,2,))+(time_tot-MIN(20,time))-IF(G39="exponential",time_tot-20+0.217*time*(EXP(4.606*(20-time_tot)/time)-1),((time_tot-20)^2)*(0.5/time)))))))</f>
        <v>0</v>
      </c>
      <c r="L39" s="1439">
        <f t="shared" si="4"/>
        <v>0</v>
      </c>
      <c r="M39" s="1440">
        <f t="shared" si="5"/>
        <v>0</v>
      </c>
      <c r="N39" s="1478">
        <f t="shared" si="10"/>
        <v>0</v>
      </c>
      <c r="O39" s="1440">
        <f t="shared" si="11"/>
        <v>0</v>
      </c>
      <c r="P39" s="1028">
        <f t="shared" si="14"/>
        <v>0</v>
      </c>
      <c r="Q39" s="242"/>
      <c r="U39" s="1901">
        <f t="shared" si="12"/>
        <v>0</v>
      </c>
      <c r="V39" s="1901">
        <f t="shared" si="13"/>
        <v>0</v>
      </c>
      <c r="X39" s="232"/>
      <c r="Y39" s="739"/>
      <c r="Z39" s="1069"/>
      <c r="AA39" s="1069"/>
    </row>
    <row r="40" spans="1:35">
      <c r="A40" s="240"/>
      <c r="B40" s="271" t="str">
        <f t="shared" si="6"/>
        <v>LUC-10</v>
      </c>
      <c r="C40" s="695" t="str">
        <f t="shared" si="7"/>
        <v/>
      </c>
      <c r="D40" s="1793">
        <f>'2.LUC'!M58</f>
        <v>0</v>
      </c>
      <c r="E40" s="2169" t="str">
        <f>VLOOKUP('2.LUC'!N58,List!$D$35:$E$37,2,)</f>
        <v>Linear</v>
      </c>
      <c r="F40" s="1793">
        <f>'2.LUC'!O58</f>
        <v>0</v>
      </c>
      <c r="G40" s="2169" t="str">
        <f>VLOOKUP('2.LUC'!P58,List!$D$35:$E$37,2,)</f>
        <v>Linear</v>
      </c>
      <c r="H40" s="1794">
        <f t="shared" si="8"/>
        <v>0</v>
      </c>
      <c r="I40" s="1795">
        <f t="shared" si="9"/>
        <v>0</v>
      </c>
      <c r="J40" s="1439">
        <f>-P18*(IF(E40="immediate",IF(D40&gt;0,D40*MIN(20,time_tot),0),D40*IF(time_tot&gt;time+20,20,IF(time_tot&lt;20,(time*VLOOKUP(E40,List!$E$35:$F$37,2,))+(time_tot-time),((MIN(20,time)*VLOOKUP(E40,List!$E$35:$F$37,2,))+(time_tot-MIN(20,time))-IF(E40="exponential",time_tot-20+0.217*time*(EXP(4.606*(20-time_tot)/time)-1),((time_tot-20)^2)*(0.5/time)))))))</f>
        <v>0</v>
      </c>
      <c r="K40" s="1478">
        <f>-P18*(IF(G40="immediate",IF(F40&gt;0,F40*MIN(20,time_tot),0),F40*IF(time_tot&gt;time+20,20,IF(time_tot&lt;20,(time*VLOOKUP(G40,List!$E$35:$F$37,2,))+(time_tot-time),((MIN(20,time)*VLOOKUP(G40,List!$E$35:$F$37,2,))+(time_tot-MIN(20,time))-IF(G40="exponential",time_tot-20+0.217*time*(EXP(4.606*(20-time_tot)/time)-1),((time_tot-20)^2)*(0.5/time)))))))</f>
        <v>0</v>
      </c>
      <c r="L40" s="1439">
        <f t="shared" si="4"/>
        <v>0</v>
      </c>
      <c r="M40" s="1440">
        <f t="shared" si="5"/>
        <v>0</v>
      </c>
      <c r="N40" s="1478">
        <f t="shared" si="10"/>
        <v>0</v>
      </c>
      <c r="O40" s="1440">
        <f t="shared" si="11"/>
        <v>0</v>
      </c>
      <c r="P40" s="1028">
        <f t="shared" si="14"/>
        <v>0</v>
      </c>
      <c r="Q40" s="242"/>
      <c r="U40" s="1901">
        <f t="shared" si="12"/>
        <v>0</v>
      </c>
      <c r="V40" s="1901">
        <f t="shared" si="13"/>
        <v>0</v>
      </c>
      <c r="X40" s="232"/>
      <c r="Y40" s="739"/>
      <c r="Z40" s="1069"/>
      <c r="AA40" s="1069"/>
    </row>
    <row r="41" spans="1:35">
      <c r="A41" s="240"/>
      <c r="B41" s="271" t="str">
        <f t="shared" si="6"/>
        <v>LUC-11</v>
      </c>
      <c r="C41" s="695" t="str">
        <f t="shared" si="7"/>
        <v/>
      </c>
      <c r="D41" s="533">
        <v>0</v>
      </c>
      <c r="E41" s="676" t="s">
        <v>351</v>
      </c>
      <c r="F41" s="533">
        <v>0</v>
      </c>
      <c r="G41" s="686" t="s">
        <v>351</v>
      </c>
      <c r="H41" s="1794">
        <f t="shared" si="8"/>
        <v>0</v>
      </c>
      <c r="I41" s="1795">
        <f t="shared" si="9"/>
        <v>0</v>
      </c>
      <c r="J41" s="1439">
        <f>-P19*(IF(E41="immediate",IF(D41&gt;0,D41*MIN(20,time_tot),0),D41*IF(time_tot&gt;time+20,20,IF(time_tot&lt;20,(time*VLOOKUP(E41,List!$E$35:$F$37,2,))+(time_tot-time),((MIN(20,time)*VLOOKUP(E41,List!$E$35:$F$37,2,))+(time_tot-MIN(20,time))-IF(E41="exponential",time_tot-20+0.217*time*(EXP(4.606*(20-time_tot)/time)-1),((time_tot-20)^2)*(0.5/time)))))))</f>
        <v>0</v>
      </c>
      <c r="K41" s="1478">
        <f>-P19*(IF(G41="immediate",IF(F41&gt;0,F41*MIN(20,time_tot),0),F41*IF(time_tot&gt;time+20,20,IF(time_tot&lt;20,(time*VLOOKUP(G41,List!$E$35:$F$37,2,))+(time_tot-time),((MIN(20,time)*VLOOKUP(G41,List!$E$35:$F$37,2,))+(time_tot-MIN(20,time))-IF(G41="exponential",time_tot-20+0.217*time*(EXP(4.606*(20-time_tot)/time)-1),((time_tot-20)^2)*(0.5/time)))))))</f>
        <v>0</v>
      </c>
      <c r="L41" s="1439">
        <f t="shared" si="4"/>
        <v>0</v>
      </c>
      <c r="M41" s="1440">
        <f t="shared" si="5"/>
        <v>0</v>
      </c>
      <c r="N41" s="1478">
        <f t="shared" si="10"/>
        <v>0</v>
      </c>
      <c r="O41" s="1440">
        <f t="shared" si="11"/>
        <v>0</v>
      </c>
      <c r="P41" s="1028">
        <f t="shared" si="14"/>
        <v>0</v>
      </c>
      <c r="Q41" s="703"/>
      <c r="U41" s="1901">
        <f t="shared" si="12"/>
        <v>0</v>
      </c>
      <c r="V41" s="1901">
        <f t="shared" si="13"/>
        <v>0</v>
      </c>
      <c r="X41" s="232"/>
      <c r="Y41" s="739"/>
      <c r="Z41" s="1069"/>
      <c r="AA41" s="1069"/>
    </row>
    <row r="42" spans="1:35">
      <c r="A42" s="240"/>
      <c r="B42" s="271" t="str">
        <f t="shared" si="6"/>
        <v>LUC-12</v>
      </c>
      <c r="C42" s="695" t="str">
        <f t="shared" si="7"/>
        <v/>
      </c>
      <c r="D42" s="533">
        <v>0</v>
      </c>
      <c r="E42" s="676" t="s">
        <v>351</v>
      </c>
      <c r="F42" s="533">
        <v>0</v>
      </c>
      <c r="G42" s="686" t="s">
        <v>351</v>
      </c>
      <c r="H42" s="1794">
        <f t="shared" si="8"/>
        <v>0</v>
      </c>
      <c r="I42" s="1795">
        <f t="shared" si="9"/>
        <v>0</v>
      </c>
      <c r="J42" s="1439">
        <f>-P20*(IF(E42="immediate",IF(D42&gt;0,D42*MIN(20,time_tot),0),D42*IF(time_tot&gt;time+20,20,IF(time_tot&lt;20,(time*VLOOKUP(E42,List!$E$35:$F$37,2,))+(time_tot-time),((MIN(20,time)*VLOOKUP(E42,List!$E$35:$F$37,2,))+(time_tot-MIN(20,time))-IF(E42="exponential",time_tot-20+0.217*time*(EXP(4.606*(20-time_tot)/time)-1),((time_tot-20)^2)*(0.5/time)))))))</f>
        <v>0</v>
      </c>
      <c r="K42" s="1478">
        <f>-P20*(IF(G42="immediate",IF(F42&gt;0,F42*MIN(20,time_tot),0),F42*IF(time_tot&gt;time+20,20,IF(time_tot&lt;20,(time*VLOOKUP(G42,List!$E$35:$F$37,2,))+(time_tot-time),((MIN(20,time)*VLOOKUP(G42,List!$E$35:$F$37,2,))+(time_tot-MIN(20,time))-IF(G42="exponential",time_tot-20+0.217*time*(EXP(4.606*(20-time_tot)/time)-1),((time_tot-20)^2)*(0.5/time)))))))</f>
        <v>0</v>
      </c>
      <c r="L42" s="1439">
        <f t="shared" si="4"/>
        <v>0</v>
      </c>
      <c r="M42" s="1440">
        <f t="shared" si="5"/>
        <v>0</v>
      </c>
      <c r="N42" s="1478">
        <f t="shared" si="10"/>
        <v>0</v>
      </c>
      <c r="O42" s="1440">
        <f t="shared" si="11"/>
        <v>0</v>
      </c>
      <c r="P42" s="1028">
        <f t="shared" si="14"/>
        <v>0</v>
      </c>
      <c r="Q42" s="703"/>
      <c r="U42" s="1901">
        <f t="shared" si="12"/>
        <v>0</v>
      </c>
      <c r="V42" s="1901">
        <f t="shared" si="13"/>
        <v>0</v>
      </c>
      <c r="X42" s="232"/>
      <c r="Y42" s="739"/>
      <c r="Z42" s="1069"/>
      <c r="AA42" s="1069"/>
    </row>
    <row r="43" spans="1:35">
      <c r="A43" s="240"/>
      <c r="B43" s="271" t="str">
        <f t="shared" si="6"/>
        <v>LUC-13</v>
      </c>
      <c r="C43" s="695" t="str">
        <f t="shared" si="7"/>
        <v/>
      </c>
      <c r="D43" s="533">
        <v>0</v>
      </c>
      <c r="E43" s="676" t="s">
        <v>351</v>
      </c>
      <c r="F43" s="533">
        <v>0</v>
      </c>
      <c r="G43" s="686" t="s">
        <v>351</v>
      </c>
      <c r="H43" s="1794">
        <f t="shared" si="8"/>
        <v>0</v>
      </c>
      <c r="I43" s="1795">
        <f t="shared" si="9"/>
        <v>0</v>
      </c>
      <c r="J43" s="1439">
        <f>-P21*(IF(E43="immediate",IF(D43&gt;0,D43*MIN(20,time_tot),0),D43*IF(time_tot&gt;time+20,20,IF(time_tot&lt;20,(time*VLOOKUP(E43,List!$E$35:$F$37,2,))+(time_tot-time),((MIN(20,time)*VLOOKUP(E43,List!$E$35:$F$37,2,))+(time_tot-MIN(20,time))-IF(E43="exponential",time_tot-20+0.217*time*(EXP(4.606*(20-time_tot)/time)-1),((time_tot-20)^2)*(0.5/time)))))))</f>
        <v>0</v>
      </c>
      <c r="K43" s="1478">
        <f>-P21*(IF(G43="immediate",IF(F43&gt;0,F43*MIN(20,time_tot),0),F43*IF(time_tot&gt;time+20,20,IF(time_tot&lt;20,(time*VLOOKUP(G43,List!$E$35:$F$37,2,))+(time_tot-time),((MIN(20,time)*VLOOKUP(G43,List!$E$35:$F$37,2,))+(time_tot-MIN(20,time))-IF(G43="exponential",time_tot-20+0.217*time*(EXP(4.606*(20-time_tot)/time)-1),((time_tot-20)^2)*(0.5/time)))))))</f>
        <v>0</v>
      </c>
      <c r="L43" s="1439">
        <f t="shared" si="4"/>
        <v>0</v>
      </c>
      <c r="M43" s="1440">
        <f t="shared" si="5"/>
        <v>0</v>
      </c>
      <c r="N43" s="1478">
        <f t="shared" si="10"/>
        <v>0</v>
      </c>
      <c r="O43" s="1440">
        <f t="shared" si="11"/>
        <v>0</v>
      </c>
      <c r="P43" s="1028">
        <f t="shared" si="14"/>
        <v>0</v>
      </c>
      <c r="Q43" s="703"/>
      <c r="U43" s="1901">
        <f t="shared" si="12"/>
        <v>0</v>
      </c>
      <c r="V43" s="1901">
        <f t="shared" si="13"/>
        <v>0</v>
      </c>
      <c r="X43" s="232"/>
      <c r="Y43" s="739"/>
      <c r="Z43" s="1069"/>
      <c r="AA43" s="1069"/>
    </row>
    <row r="44" spans="1:35">
      <c r="A44" s="240"/>
      <c r="B44" s="271" t="str">
        <f t="shared" si="6"/>
        <v>LUC-14</v>
      </c>
      <c r="C44" s="695" t="str">
        <f t="shared" si="7"/>
        <v/>
      </c>
      <c r="D44" s="533">
        <v>0</v>
      </c>
      <c r="E44" s="676" t="s">
        <v>351</v>
      </c>
      <c r="F44" s="533">
        <v>0</v>
      </c>
      <c r="G44" s="686" t="s">
        <v>351</v>
      </c>
      <c r="H44" s="1794">
        <f t="shared" si="8"/>
        <v>0</v>
      </c>
      <c r="I44" s="1795">
        <f t="shared" si="9"/>
        <v>0</v>
      </c>
      <c r="J44" s="1439">
        <f>-P22*(IF(E44="immediate",IF(D44&gt;0,D44*MIN(20,time_tot),0),D44*IF(time_tot&gt;time+20,20,IF(time_tot&lt;20,(time*VLOOKUP(E44,List!$E$35:$F$37,2,))+(time_tot-time),((MIN(20,time)*VLOOKUP(E44,List!$E$35:$F$37,2,))+(time_tot-MIN(20,time))-IF(E44="exponential",time_tot-20+0.217*time*(EXP(4.606*(20-time_tot)/time)-1),((time_tot-20)^2)*(0.5/time)))))))</f>
        <v>0</v>
      </c>
      <c r="K44" s="1478">
        <f>-P22*(IF(G44="immediate",IF(F44&gt;0,F44*MIN(20,time_tot),0),F44*IF(time_tot&gt;time+20,20,IF(time_tot&lt;20,(time*VLOOKUP(G44,List!$E$35:$F$37,2,))+(time_tot-time),((MIN(20,time)*VLOOKUP(G44,List!$E$35:$F$37,2,))+(time_tot-MIN(20,time))-IF(G44="exponential",time_tot-20+0.217*time*(EXP(4.606*(20-time_tot)/time)-1),((time_tot-20)^2)*(0.5/time)))))))</f>
        <v>0</v>
      </c>
      <c r="L44" s="1439">
        <f t="shared" si="4"/>
        <v>0</v>
      </c>
      <c r="M44" s="1440">
        <f t="shared" si="5"/>
        <v>0</v>
      </c>
      <c r="N44" s="1478">
        <f t="shared" si="10"/>
        <v>0</v>
      </c>
      <c r="O44" s="1440">
        <f t="shared" si="11"/>
        <v>0</v>
      </c>
      <c r="P44" s="1028">
        <f t="shared" si="14"/>
        <v>0</v>
      </c>
      <c r="Q44" s="703"/>
      <c r="U44" s="1901">
        <f t="shared" si="12"/>
        <v>0</v>
      </c>
      <c r="V44" s="1901">
        <f t="shared" si="13"/>
        <v>0</v>
      </c>
      <c r="X44" s="232"/>
      <c r="Y44" s="739"/>
      <c r="Z44" s="1069"/>
      <c r="AA44" s="1069"/>
    </row>
    <row r="45" spans="1:35">
      <c r="A45" s="240"/>
      <c r="B45" s="271" t="str">
        <f>B23</f>
        <v>LUC-15</v>
      </c>
      <c r="C45" s="695" t="str">
        <f t="shared" si="7"/>
        <v/>
      </c>
      <c r="D45" s="533">
        <v>0</v>
      </c>
      <c r="E45" s="676" t="s">
        <v>351</v>
      </c>
      <c r="F45" s="533">
        <v>0</v>
      </c>
      <c r="G45" s="686" t="s">
        <v>351</v>
      </c>
      <c r="H45" s="1794">
        <f t="shared" si="8"/>
        <v>0</v>
      </c>
      <c r="I45" s="1795">
        <f t="shared" si="9"/>
        <v>0</v>
      </c>
      <c r="J45" s="1439">
        <f>-P23*(IF(E45="immediate",IF(D45&gt;0,D45*MIN(20,time_tot),0),D45*IF(time_tot&gt;time+20,20,IF(time_tot&lt;20,(time*VLOOKUP(E45,List!$E$35:$F$37,2,))+(time_tot-time),((MIN(20,time)*VLOOKUP(E45,List!$E$35:$F$37,2,))+(time_tot-MIN(20,time))-IF(E45="exponential",time_tot-20+0.217*time*(EXP(4.606*(20-time_tot)/time)-1),((time_tot-20)^2)*(0.5/time)))))))</f>
        <v>0</v>
      </c>
      <c r="K45" s="1478">
        <f>-P23*(IF(G45="immediate",IF(F45&gt;0,F45*MIN(20,time_tot),0),F45*IF(time_tot&gt;time+20,20,IF(time_tot&lt;20,(time*VLOOKUP(G45,List!$E$35:$F$37,2,))+(time_tot-time),((MIN(20,time)*VLOOKUP(G45,List!$E$35:$F$37,2,))+(time_tot-MIN(20,time))-IF(G45="exponential",time_tot-20+0.217*time*(EXP(4.606*(20-time_tot)/time)-1),((time_tot-20)^2)*(0.5/time)))))))</f>
        <v>0</v>
      </c>
      <c r="L45" s="1439">
        <f t="shared" si="4"/>
        <v>0</v>
      </c>
      <c r="M45" s="1440">
        <f t="shared" si="5"/>
        <v>0</v>
      </c>
      <c r="N45" s="1478">
        <f t="shared" si="10"/>
        <v>0</v>
      </c>
      <c r="O45" s="1440">
        <f t="shared" si="11"/>
        <v>0</v>
      </c>
      <c r="P45" s="1028">
        <f t="shared" si="14"/>
        <v>0</v>
      </c>
      <c r="Q45" s="703"/>
      <c r="U45" s="1901">
        <f t="shared" si="12"/>
        <v>0</v>
      </c>
      <c r="V45" s="1901">
        <f t="shared" si="13"/>
        <v>0</v>
      </c>
      <c r="X45" s="232"/>
      <c r="Y45" s="739"/>
      <c r="Z45" s="1069"/>
      <c r="AA45" s="1069"/>
    </row>
    <row r="46" spans="1:35" ht="13.5" thickBot="1">
      <c r="A46" s="240"/>
      <c r="B46" s="272" t="str">
        <f t="shared" si="6"/>
        <v>LUC-16</v>
      </c>
      <c r="C46" s="541" t="str">
        <f t="shared" si="7"/>
        <v/>
      </c>
      <c r="D46" s="534">
        <v>0</v>
      </c>
      <c r="E46" s="678" t="s">
        <v>351</v>
      </c>
      <c r="F46" s="534">
        <v>0</v>
      </c>
      <c r="G46" s="687" t="s">
        <v>351</v>
      </c>
      <c r="H46" s="1794">
        <f t="shared" si="8"/>
        <v>0</v>
      </c>
      <c r="I46" s="1795">
        <f t="shared" si="9"/>
        <v>0</v>
      </c>
      <c r="J46" s="1363">
        <f>-P24*(IF(E46="immediate",IF(D46&gt;0,D46*MIN(20,time_tot),0),D46*IF(time_tot&gt;time+20,20,IF(time_tot&lt;20,(time*VLOOKUP(E46,List!$E$35:$F$37,2,))+(time_tot-time),((MIN(20,time)*VLOOKUP(E46,List!$E$35:$F$37,2,))+(time_tot-MIN(20,time))-IF(E46="exponential",time_tot-20+0.217*time*(EXP(4.606*(20-time_tot)/time)-1),((time_tot-20)^2)*(0.5/time)))))))</f>
        <v>0</v>
      </c>
      <c r="K46" s="1479">
        <f>-P24*(IF(G46="immediate",IF(F46&gt;0,F46*MIN(20,time_tot),0),F46*IF(time_tot&gt;time+20,20,IF(time_tot&lt;20,(time*VLOOKUP(G46,List!$E$35:$F$37,2,))+(time_tot-time),((MIN(20,time)*VLOOKUP(G46,List!$E$35:$F$37,2,))+(time_tot-MIN(20,time))-IF(G46="exponential",time_tot-20+0.217*time*(EXP(4.606*(20-time_tot)/time)-1),((time_tot-20)^2)*(0.5/time)))))))</f>
        <v>0</v>
      </c>
      <c r="L46" s="3562">
        <f t="shared" si="4"/>
        <v>0</v>
      </c>
      <c r="M46" s="3563">
        <f t="shared" si="5"/>
        <v>0</v>
      </c>
      <c r="N46" s="1479">
        <f t="shared" si="10"/>
        <v>0</v>
      </c>
      <c r="O46" s="1364">
        <f t="shared" si="11"/>
        <v>0</v>
      </c>
      <c r="P46" s="1029">
        <f t="shared" si="14"/>
        <v>0</v>
      </c>
      <c r="Q46" s="703"/>
      <c r="U46" s="1901">
        <f t="shared" si="12"/>
        <v>0</v>
      </c>
      <c r="V46" s="1901">
        <f t="shared" si="13"/>
        <v>0</v>
      </c>
      <c r="X46" s="232"/>
      <c r="Y46" s="739"/>
      <c r="Z46" s="1069"/>
      <c r="AA46" s="1069"/>
    </row>
    <row r="47" spans="1:35" ht="13.5" thickBot="1">
      <c r="A47" s="240"/>
      <c r="B47" s="240"/>
      <c r="C47" s="240"/>
      <c r="D47" s="612"/>
      <c r="E47" s="612"/>
      <c r="F47" s="613"/>
      <c r="G47" s="464"/>
      <c r="H47" s="464"/>
      <c r="I47" s="432"/>
      <c r="J47" s="432"/>
      <c r="K47" s="433"/>
      <c r="L47" s="433"/>
      <c r="M47" s="242"/>
      <c r="N47" s="702"/>
      <c r="O47" s="242"/>
      <c r="P47" s="242"/>
      <c r="Q47" s="242"/>
      <c r="R47" s="242"/>
      <c r="S47" s="243"/>
      <c r="T47" s="703"/>
      <c r="U47" s="2416"/>
      <c r="V47" s="2416"/>
      <c r="W47" s="1110"/>
      <c r="X47" s="1236"/>
      <c r="Y47" s="1499"/>
      <c r="Z47" s="1071"/>
      <c r="AA47" s="1069"/>
    </row>
    <row r="48" spans="1:35" ht="13.5" thickBot="1">
      <c r="A48" s="240"/>
      <c r="B48" s="240"/>
      <c r="C48" s="240"/>
      <c r="D48" s="612"/>
      <c r="E48" s="612"/>
      <c r="F48" s="613"/>
      <c r="G48" s="464"/>
      <c r="H48" s="464"/>
      <c r="K48" s="649" t="s">
        <v>1218</v>
      </c>
      <c r="L48" s="650"/>
      <c r="M48" s="651"/>
      <c r="N48" s="652">
        <f>SUM(N31:N46)</f>
        <v>0</v>
      </c>
      <c r="O48" s="652">
        <f>SUM(O31:O46)</f>
        <v>0</v>
      </c>
      <c r="P48" s="1026">
        <f>SUM(P31:P46)</f>
        <v>0</v>
      </c>
      <c r="Q48" s="242"/>
      <c r="R48" s="242"/>
      <c r="S48" s="243"/>
      <c r="T48" s="703"/>
      <c r="U48" s="2417">
        <f>SUM(U31:U46)</f>
        <v>0</v>
      </c>
      <c r="V48" s="2417">
        <f>SUM(V31:V46)</f>
        <v>0</v>
      </c>
      <c r="W48" s="1110"/>
      <c r="X48" s="1236"/>
      <c r="Y48" s="1499"/>
      <c r="Z48" s="1071"/>
      <c r="AA48" s="1069"/>
    </row>
    <row r="49" spans="1:27">
      <c r="A49" s="240"/>
      <c r="B49" s="240"/>
      <c r="C49" s="240"/>
      <c r="D49" s="612"/>
      <c r="E49" s="612"/>
      <c r="F49" s="613"/>
      <c r="G49" s="464"/>
      <c r="H49" s="464"/>
      <c r="I49" s="432"/>
      <c r="J49" s="432"/>
      <c r="K49" s="433"/>
      <c r="L49" s="433"/>
      <c r="M49" s="242"/>
      <c r="N49" s="702"/>
      <c r="O49" s="242"/>
      <c r="P49" s="242"/>
      <c r="Q49" s="242"/>
      <c r="R49" s="242"/>
      <c r="S49" s="243"/>
      <c r="T49" s="703"/>
      <c r="U49" s="242"/>
      <c r="V49" s="242"/>
      <c r="W49" s="1110"/>
      <c r="X49" s="1236"/>
      <c r="Y49" s="1499"/>
      <c r="Z49" s="1071"/>
      <c r="AA49" s="1069"/>
    </row>
    <row r="50" spans="1:27">
      <c r="A50" s="240"/>
      <c r="C50" s="240"/>
      <c r="D50" s="612"/>
      <c r="E50" s="612"/>
      <c r="F50" s="613"/>
      <c r="G50" s="464"/>
      <c r="H50" s="464"/>
      <c r="I50" s="432"/>
      <c r="J50" s="432"/>
      <c r="K50" s="433"/>
      <c r="L50" s="656"/>
      <c r="M50" s="242"/>
      <c r="N50" s="702"/>
      <c r="O50" s="242"/>
      <c r="P50" s="242"/>
      <c r="Q50" s="242"/>
      <c r="R50" s="242"/>
      <c r="S50" s="243"/>
      <c r="T50" s="703"/>
      <c r="U50" s="242"/>
      <c r="V50" s="242"/>
      <c r="W50" s="1110"/>
      <c r="X50" s="1236"/>
      <c r="Y50" s="1499"/>
      <c r="Z50" s="1071"/>
      <c r="AA50" s="1069"/>
    </row>
    <row r="51" spans="1:27">
      <c r="A51" s="240"/>
      <c r="B51" s="240"/>
      <c r="C51" s="240"/>
      <c r="D51" s="612"/>
      <c r="E51" s="612"/>
      <c r="F51" s="613"/>
      <c r="G51" s="464"/>
      <c r="H51" s="464"/>
      <c r="I51" s="432"/>
      <c r="J51" s="432"/>
      <c r="K51" s="433"/>
      <c r="L51" s="656"/>
      <c r="M51" s="242"/>
      <c r="N51" s="702"/>
      <c r="O51" s="242"/>
      <c r="P51" s="242"/>
      <c r="Q51" s="242"/>
      <c r="R51" s="242"/>
      <c r="S51" s="243"/>
      <c r="T51" s="703"/>
      <c r="U51" s="242"/>
      <c r="V51" s="242"/>
      <c r="W51" s="1110"/>
      <c r="X51" s="1236"/>
      <c r="Y51" s="1499"/>
      <c r="Z51" s="1071"/>
      <c r="AA51" s="1069"/>
    </row>
    <row r="52" spans="1:27">
      <c r="A52" s="240"/>
      <c r="B52" s="240"/>
      <c r="C52" s="240"/>
      <c r="D52" s="612"/>
      <c r="E52" s="612"/>
      <c r="F52" s="613"/>
      <c r="G52" s="464"/>
      <c r="H52" s="464"/>
      <c r="I52" s="432"/>
      <c r="J52" s="432"/>
      <c r="K52" s="433"/>
      <c r="L52" s="656"/>
      <c r="M52" s="242"/>
      <c r="N52" s="702"/>
      <c r="O52" s="242"/>
      <c r="P52" s="242"/>
      <c r="Q52" s="242"/>
      <c r="R52" s="242"/>
      <c r="S52" s="243"/>
      <c r="T52" s="703"/>
      <c r="U52" s="242"/>
      <c r="V52" s="242"/>
      <c r="W52" s="1110"/>
      <c r="X52" s="1236"/>
      <c r="Y52" s="1499"/>
      <c r="Z52" s="1071"/>
    </row>
    <row r="53" spans="1:27">
      <c r="A53" s="240"/>
      <c r="B53" s="240"/>
      <c r="C53" s="240"/>
      <c r="D53" s="612"/>
      <c r="E53" s="612"/>
      <c r="F53" s="613"/>
      <c r="G53" s="464"/>
      <c r="H53" s="464"/>
      <c r="I53" s="432"/>
      <c r="J53" s="432"/>
      <c r="K53" s="433"/>
      <c r="L53" s="433"/>
      <c r="M53" s="242"/>
      <c r="N53" s="702"/>
      <c r="O53" s="242"/>
      <c r="P53" s="242"/>
      <c r="Q53" s="242"/>
      <c r="R53" s="242"/>
      <c r="S53" s="243"/>
      <c r="T53" s="703"/>
      <c r="U53" s="242"/>
      <c r="V53" s="242"/>
      <c r="W53" s="1110"/>
      <c r="X53" s="1236"/>
      <c r="Y53" s="1499"/>
      <c r="Z53" s="1071"/>
    </row>
    <row r="54" spans="1:27">
      <c r="A54" s="240"/>
      <c r="B54" s="240"/>
      <c r="C54" s="240"/>
      <c r="D54" s="612"/>
      <c r="E54" s="612"/>
      <c r="F54" s="613"/>
      <c r="G54" s="464"/>
      <c r="H54" s="464"/>
      <c r="I54" s="432"/>
      <c r="J54" s="432"/>
      <c r="K54" s="433"/>
      <c r="L54" s="433"/>
      <c r="M54" s="242"/>
      <c r="N54" s="702"/>
      <c r="O54" s="242"/>
      <c r="P54" s="242"/>
      <c r="Q54" s="242"/>
      <c r="R54" s="242"/>
      <c r="S54" s="243"/>
      <c r="T54" s="703"/>
      <c r="U54" s="242"/>
      <c r="V54" s="242"/>
      <c r="W54" s="1110"/>
      <c r="X54" s="1236"/>
      <c r="Y54" s="1499"/>
      <c r="Z54" s="1071"/>
      <c r="AA54" s="1069"/>
    </row>
    <row r="55" spans="1:27">
      <c r="A55" s="240"/>
      <c r="B55" s="240"/>
      <c r="C55" s="240"/>
      <c r="D55" s="612"/>
      <c r="E55" s="612"/>
      <c r="F55" s="613"/>
      <c r="G55" s="464"/>
      <c r="H55" s="464"/>
      <c r="I55" s="432"/>
      <c r="J55" s="432"/>
      <c r="K55" s="433"/>
      <c r="L55" s="433"/>
      <c r="M55" s="242"/>
      <c r="N55" s="702"/>
      <c r="O55" s="242"/>
      <c r="P55" s="242"/>
      <c r="Q55" s="242"/>
      <c r="R55" s="242"/>
      <c r="S55" s="243"/>
      <c r="T55" s="703"/>
      <c r="U55" s="242"/>
      <c r="V55" s="242"/>
      <c r="W55" s="1110"/>
      <c r="X55" s="1236"/>
      <c r="Y55" s="1499"/>
      <c r="Z55" s="1071"/>
    </row>
    <row r="56" spans="1:27">
      <c r="A56" s="240"/>
      <c r="B56" s="240"/>
      <c r="C56" s="240"/>
      <c r="D56" s="612"/>
      <c r="E56" s="612"/>
      <c r="F56" s="613"/>
      <c r="G56" s="464"/>
      <c r="H56" s="464"/>
      <c r="I56" s="432"/>
      <c r="J56" s="432"/>
      <c r="K56" s="433"/>
      <c r="L56" s="433"/>
      <c r="M56" s="242"/>
      <c r="N56" s="702"/>
      <c r="O56" s="242"/>
      <c r="P56" s="242"/>
      <c r="Q56" s="242"/>
      <c r="R56" s="242"/>
      <c r="S56" s="243"/>
      <c r="T56" s="703"/>
      <c r="U56" s="242"/>
      <c r="V56" s="242"/>
      <c r="W56" s="1110"/>
      <c r="X56" s="1236"/>
      <c r="Y56" s="1499"/>
      <c r="Z56" s="1071"/>
    </row>
    <row r="57" spans="1:27">
      <c r="A57" s="240"/>
      <c r="B57" s="240"/>
      <c r="C57" s="240"/>
      <c r="D57" s="612"/>
      <c r="E57" s="612"/>
      <c r="F57" s="613"/>
      <c r="G57" s="464"/>
      <c r="H57" s="464"/>
      <c r="I57" s="432"/>
      <c r="J57" s="432"/>
      <c r="K57" s="433"/>
      <c r="L57" s="433"/>
      <c r="M57" s="242"/>
      <c r="N57" s="702"/>
      <c r="O57" s="242"/>
      <c r="P57" s="242"/>
      <c r="Q57" s="242"/>
      <c r="R57" s="242"/>
      <c r="S57" s="243"/>
      <c r="T57" s="703"/>
      <c r="U57" s="242"/>
      <c r="V57" s="242"/>
      <c r="W57" s="1110"/>
      <c r="X57" s="1236"/>
      <c r="Y57" s="1499"/>
      <c r="Z57" s="1071"/>
    </row>
    <row r="58" spans="1:27">
      <c r="A58" s="240"/>
      <c r="B58" s="240"/>
      <c r="C58" s="240"/>
      <c r="D58" s="612"/>
      <c r="E58" s="612"/>
      <c r="F58" s="613"/>
      <c r="G58" s="464"/>
      <c r="H58" s="464"/>
      <c r="I58" s="432"/>
      <c r="J58" s="432"/>
      <c r="K58" s="433"/>
      <c r="L58" s="433"/>
      <c r="M58" s="242"/>
      <c r="N58" s="702"/>
      <c r="O58" s="242"/>
      <c r="P58" s="242"/>
      <c r="Q58" s="242"/>
      <c r="R58" s="242"/>
      <c r="S58" s="243"/>
      <c r="T58" s="703"/>
      <c r="U58" s="242"/>
      <c r="V58" s="242"/>
      <c r="W58" s="1110"/>
      <c r="X58" s="1236"/>
      <c r="Y58" s="1499"/>
      <c r="Z58" s="1071"/>
    </row>
    <row r="59" spans="1:27">
      <c r="A59" s="240"/>
      <c r="B59" s="240"/>
      <c r="C59" s="240"/>
      <c r="D59" s="612"/>
      <c r="E59" s="612"/>
      <c r="F59" s="613"/>
      <c r="G59" s="464"/>
      <c r="H59" s="464"/>
      <c r="I59" s="432"/>
      <c r="J59" s="432"/>
      <c r="K59" s="433"/>
      <c r="L59" s="433"/>
      <c r="M59" s="242"/>
      <c r="N59" s="702"/>
      <c r="O59" s="242"/>
      <c r="P59" s="242"/>
      <c r="Q59" s="242"/>
      <c r="R59" s="242"/>
      <c r="S59" s="243"/>
      <c r="T59" s="703"/>
      <c r="U59" s="242"/>
      <c r="V59" s="242"/>
      <c r="W59" s="1110"/>
      <c r="X59" s="1236"/>
      <c r="Y59" s="1499"/>
      <c r="Z59" s="1071"/>
    </row>
    <row r="60" spans="1:27">
      <c r="A60" s="240"/>
      <c r="B60" s="240"/>
      <c r="C60" s="240"/>
      <c r="D60" s="612"/>
      <c r="E60" s="612"/>
      <c r="F60" s="613"/>
      <c r="G60" s="464"/>
      <c r="H60" s="464"/>
      <c r="I60" s="432"/>
      <c r="J60" s="432"/>
      <c r="K60" s="433"/>
      <c r="L60" s="433"/>
      <c r="M60" s="242"/>
      <c r="N60" s="702"/>
      <c r="O60" s="242"/>
      <c r="P60" s="242"/>
      <c r="Q60" s="242"/>
      <c r="R60" s="242"/>
      <c r="S60" s="243"/>
      <c r="T60" s="703"/>
      <c r="U60" s="242"/>
      <c r="V60" s="242"/>
      <c r="W60" s="1110"/>
      <c r="X60" s="1236"/>
      <c r="Y60" s="1499"/>
      <c r="Z60" s="1071"/>
    </row>
    <row r="61" spans="1:27">
      <c r="A61" s="240"/>
      <c r="B61" s="240"/>
      <c r="C61" s="240"/>
      <c r="D61" s="612"/>
      <c r="E61" s="612"/>
      <c r="F61" s="613"/>
      <c r="G61" s="464"/>
      <c r="H61" s="464"/>
      <c r="I61" s="432"/>
      <c r="J61" s="432"/>
      <c r="K61" s="433"/>
      <c r="L61" s="433"/>
      <c r="M61" s="242"/>
      <c r="N61" s="702"/>
      <c r="O61" s="242"/>
      <c r="P61" s="242"/>
      <c r="Q61" s="242"/>
      <c r="R61" s="242"/>
      <c r="S61" s="243"/>
      <c r="T61" s="703"/>
      <c r="U61" s="242"/>
      <c r="V61" s="242"/>
      <c r="W61" s="1110"/>
      <c r="X61" s="1236"/>
      <c r="Y61" s="1499"/>
      <c r="Z61" s="1071"/>
    </row>
    <row r="62" spans="1:27">
      <c r="A62" s="240"/>
      <c r="B62" s="240"/>
      <c r="C62" s="240"/>
      <c r="D62" s="612"/>
      <c r="E62" s="612"/>
      <c r="F62" s="613"/>
      <c r="G62" s="464"/>
      <c r="H62" s="464"/>
      <c r="I62" s="432"/>
      <c r="J62" s="432"/>
      <c r="K62" s="433"/>
      <c r="L62" s="433"/>
      <c r="M62" s="242"/>
      <c r="N62" s="702"/>
      <c r="O62" s="242"/>
      <c r="P62" s="242"/>
      <c r="Q62" s="242"/>
      <c r="R62" s="242"/>
      <c r="S62" s="243"/>
      <c r="T62" s="703"/>
      <c r="U62" s="242"/>
      <c r="V62" s="242"/>
      <c r="W62" s="1110"/>
      <c r="X62" s="1236"/>
      <c r="Y62" s="1499"/>
      <c r="Z62" s="1071"/>
    </row>
    <row r="63" spans="1:27">
      <c r="A63" s="240"/>
      <c r="B63" s="240"/>
      <c r="C63" s="240"/>
      <c r="D63" s="612"/>
      <c r="E63" s="612"/>
      <c r="F63" s="613"/>
      <c r="G63" s="464"/>
      <c r="H63" s="464"/>
      <c r="I63" s="432"/>
      <c r="J63" s="432"/>
      <c r="K63" s="433"/>
      <c r="L63" s="433"/>
      <c r="M63" s="242"/>
      <c r="N63" s="702"/>
      <c r="O63" s="242"/>
      <c r="P63" s="242"/>
      <c r="Q63" s="242"/>
      <c r="R63" s="242"/>
      <c r="S63" s="243"/>
      <c r="T63" s="703"/>
      <c r="U63" s="242"/>
      <c r="V63" s="242"/>
      <c r="W63" s="1110"/>
      <c r="X63" s="1236"/>
      <c r="Y63" s="1499"/>
      <c r="Z63" s="1071"/>
    </row>
    <row r="64" spans="1:27">
      <c r="A64" s="240"/>
      <c r="B64" s="240"/>
      <c r="C64" s="240"/>
      <c r="D64" s="612"/>
      <c r="E64" s="612"/>
      <c r="F64" s="613"/>
      <c r="G64" s="464"/>
      <c r="H64" s="464"/>
      <c r="I64" s="432"/>
      <c r="J64" s="432"/>
      <c r="K64" s="433"/>
      <c r="L64" s="433"/>
      <c r="M64" s="242"/>
      <c r="N64" s="702"/>
      <c r="O64" s="242"/>
      <c r="P64" s="242"/>
      <c r="Q64" s="242"/>
      <c r="R64" s="242"/>
      <c r="S64" s="243"/>
      <c r="T64" s="703"/>
      <c r="U64" s="242"/>
      <c r="V64" s="242"/>
      <c r="W64" s="1110"/>
      <c r="X64" s="1236"/>
      <c r="Y64" s="1499"/>
      <c r="Z64" s="1071"/>
    </row>
    <row r="65" spans="1:26">
      <c r="A65" s="240"/>
      <c r="B65" s="240"/>
      <c r="C65" s="240"/>
      <c r="D65" s="612"/>
      <c r="E65" s="612"/>
      <c r="F65" s="613"/>
      <c r="G65" s="464"/>
      <c r="H65" s="464"/>
      <c r="I65" s="432"/>
      <c r="J65" s="432"/>
      <c r="K65" s="433"/>
      <c r="L65" s="433"/>
      <c r="M65" s="242"/>
      <c r="N65" s="702"/>
      <c r="O65" s="242"/>
      <c r="P65" s="242"/>
      <c r="Q65" s="242"/>
      <c r="R65" s="242"/>
      <c r="S65" s="243"/>
      <c r="T65" s="703"/>
      <c r="U65" s="242"/>
      <c r="V65" s="242"/>
      <c r="W65" s="1110"/>
      <c r="X65" s="1236"/>
      <c r="Y65" s="1499"/>
      <c r="Z65" s="1071"/>
    </row>
    <row r="66" spans="1:26">
      <c r="A66" s="240"/>
      <c r="B66" s="240"/>
      <c r="C66" s="240"/>
      <c r="D66" s="612"/>
      <c r="E66" s="612"/>
      <c r="F66" s="613"/>
      <c r="G66" s="464"/>
      <c r="H66" s="464"/>
      <c r="I66" s="432"/>
      <c r="J66" s="432"/>
      <c r="K66" s="433"/>
      <c r="L66" s="433"/>
      <c r="M66" s="242"/>
      <c r="N66" s="702"/>
      <c r="O66" s="242"/>
      <c r="P66" s="242"/>
      <c r="Q66" s="242"/>
      <c r="R66" s="242"/>
      <c r="S66" s="243"/>
      <c r="T66" s="703"/>
      <c r="U66" s="242"/>
      <c r="V66" s="242"/>
      <c r="W66" s="1110"/>
      <c r="X66" s="1236"/>
      <c r="Y66" s="1499"/>
      <c r="Z66" s="1071"/>
    </row>
    <row r="67" spans="1:26">
      <c r="A67" s="240"/>
      <c r="B67" s="240"/>
      <c r="C67" s="240"/>
      <c r="D67" s="612"/>
      <c r="E67" s="612"/>
      <c r="F67" s="613"/>
      <c r="G67" s="464"/>
      <c r="H67" s="464"/>
      <c r="I67" s="432"/>
      <c r="J67" s="432"/>
      <c r="K67" s="433"/>
      <c r="L67" s="433"/>
      <c r="M67" s="242"/>
      <c r="N67" s="702"/>
      <c r="O67" s="242"/>
      <c r="P67" s="242"/>
      <c r="Q67" s="242"/>
      <c r="R67" s="242"/>
      <c r="S67" s="243"/>
      <c r="T67" s="703"/>
      <c r="U67" s="242"/>
      <c r="V67" s="242"/>
      <c r="W67" s="1110"/>
      <c r="X67" s="1236"/>
      <c r="Y67" s="1499"/>
      <c r="Z67" s="1071"/>
    </row>
    <row r="68" spans="1:26">
      <c r="A68" s="240"/>
      <c r="B68" s="240"/>
      <c r="C68" s="240"/>
      <c r="D68" s="612"/>
      <c r="E68" s="612"/>
      <c r="F68" s="613"/>
      <c r="G68" s="464"/>
      <c r="H68" s="464"/>
      <c r="I68" s="432"/>
      <c r="J68" s="432"/>
      <c r="K68" s="433"/>
      <c r="L68" s="433"/>
      <c r="M68" s="242"/>
      <c r="N68" s="702"/>
      <c r="O68" s="242"/>
      <c r="P68" s="242"/>
      <c r="Q68" s="242"/>
      <c r="R68" s="242"/>
      <c r="S68" s="243"/>
      <c r="T68" s="703"/>
      <c r="U68" s="242"/>
      <c r="V68" s="242"/>
      <c r="W68" s="1110"/>
      <c r="X68" s="1236"/>
      <c r="Y68" s="1499"/>
      <c r="Z68" s="1071"/>
    </row>
    <row r="69" spans="1:26">
      <c r="A69" s="240"/>
      <c r="B69" s="240"/>
      <c r="C69" s="240"/>
      <c r="D69" s="612"/>
      <c r="E69" s="612"/>
      <c r="F69" s="613"/>
      <c r="G69" s="464"/>
      <c r="H69" s="464"/>
      <c r="I69" s="432"/>
      <c r="J69" s="432"/>
      <c r="K69" s="433"/>
      <c r="L69" s="433"/>
      <c r="M69" s="242"/>
      <c r="N69" s="702"/>
      <c r="O69" s="242"/>
      <c r="P69" s="242"/>
      <c r="Q69" s="242"/>
      <c r="R69" s="242"/>
      <c r="S69" s="243"/>
      <c r="T69" s="703"/>
      <c r="U69" s="242"/>
      <c r="V69" s="242"/>
      <c r="W69" s="1110"/>
      <c r="X69" s="1236"/>
      <c r="Y69" s="1499"/>
      <c r="Z69" s="1071"/>
    </row>
    <row r="70" spans="1:26">
      <c r="A70" s="240"/>
      <c r="B70" s="240"/>
      <c r="C70" s="240"/>
      <c r="D70" s="612"/>
      <c r="E70" s="612"/>
      <c r="F70" s="613"/>
      <c r="G70" s="464"/>
      <c r="H70" s="464"/>
      <c r="I70" s="432"/>
      <c r="J70" s="432"/>
      <c r="K70" s="433"/>
      <c r="L70" s="433"/>
      <c r="M70" s="242"/>
      <c r="N70" s="702"/>
      <c r="O70" s="242"/>
      <c r="P70" s="242"/>
      <c r="Q70" s="242"/>
      <c r="R70" s="242"/>
      <c r="S70" s="243"/>
      <c r="T70" s="703"/>
      <c r="U70" s="242"/>
      <c r="V70" s="242"/>
      <c r="W70" s="1110"/>
      <c r="X70" s="1236"/>
      <c r="Y70" s="1499"/>
      <c r="Z70" s="1071"/>
    </row>
    <row r="71" spans="1:26">
      <c r="A71" s="240"/>
      <c r="B71" s="240"/>
      <c r="C71" s="240"/>
      <c r="D71" s="612"/>
      <c r="E71" s="612"/>
      <c r="F71" s="613"/>
      <c r="G71" s="464"/>
      <c r="H71" s="464"/>
      <c r="I71" s="432"/>
      <c r="J71" s="432"/>
      <c r="K71" s="433"/>
      <c r="L71" s="433"/>
      <c r="M71" s="242"/>
      <c r="N71" s="702"/>
      <c r="O71" s="242"/>
      <c r="P71" s="242"/>
      <c r="Q71" s="242"/>
      <c r="R71" s="242"/>
      <c r="S71" s="243"/>
      <c r="T71" s="703"/>
      <c r="U71" s="242"/>
      <c r="V71" s="242"/>
      <c r="W71" s="1110"/>
      <c r="X71" s="1236"/>
      <c r="Y71" s="1499"/>
      <c r="Z71" s="1071"/>
    </row>
    <row r="72" spans="1:26">
      <c r="A72" s="240"/>
      <c r="B72" s="240"/>
      <c r="C72" s="240"/>
      <c r="D72" s="612"/>
      <c r="E72" s="612"/>
      <c r="F72" s="613"/>
      <c r="G72" s="464"/>
      <c r="H72" s="464"/>
      <c r="I72" s="432"/>
      <c r="J72" s="432"/>
      <c r="K72" s="433"/>
      <c r="L72" s="433"/>
      <c r="M72" s="242"/>
      <c r="N72" s="702"/>
      <c r="O72" s="242"/>
      <c r="P72" s="242"/>
      <c r="Q72" s="242"/>
      <c r="R72" s="242"/>
      <c r="S72" s="243"/>
      <c r="T72" s="703"/>
      <c r="U72" s="242"/>
      <c r="V72" s="242"/>
      <c r="W72" s="1110"/>
      <c r="X72" s="1236"/>
      <c r="Y72" s="1499"/>
      <c r="Z72" s="1071"/>
    </row>
    <row r="73" spans="1:26">
      <c r="A73" s="240"/>
      <c r="B73" s="240"/>
      <c r="C73" s="240"/>
      <c r="D73" s="612"/>
      <c r="E73" s="612"/>
      <c r="F73" s="613"/>
      <c r="G73" s="464"/>
      <c r="H73" s="464"/>
      <c r="I73" s="432"/>
      <c r="J73" s="432"/>
      <c r="K73" s="433"/>
      <c r="L73" s="433"/>
      <c r="M73" s="242"/>
      <c r="N73" s="702"/>
      <c r="O73" s="242"/>
      <c r="P73" s="242"/>
      <c r="Q73" s="242"/>
      <c r="R73" s="242"/>
      <c r="S73" s="243"/>
      <c r="T73" s="703"/>
      <c r="U73" s="242"/>
      <c r="V73" s="242"/>
      <c r="W73" s="1110"/>
      <c r="X73" s="1236"/>
      <c r="Y73" s="1499"/>
      <c r="Z73" s="1071"/>
    </row>
    <row r="74" spans="1:26">
      <c r="A74" s="240"/>
      <c r="B74" s="240"/>
      <c r="C74" s="240"/>
      <c r="D74" s="612"/>
      <c r="E74" s="612"/>
      <c r="F74" s="613"/>
      <c r="G74" s="464"/>
      <c r="H74" s="464"/>
      <c r="I74" s="432"/>
      <c r="J74" s="432"/>
      <c r="K74" s="433"/>
      <c r="L74" s="433"/>
      <c r="M74" s="242"/>
      <c r="N74" s="702"/>
      <c r="O74" s="242"/>
      <c r="P74" s="242"/>
      <c r="Q74" s="242"/>
      <c r="R74" s="242"/>
      <c r="S74" s="243"/>
      <c r="T74" s="703"/>
      <c r="U74" s="242"/>
      <c r="V74" s="242"/>
      <c r="W74" s="1110"/>
      <c r="X74" s="1236"/>
      <c r="Y74" s="1499"/>
      <c r="Z74" s="1071"/>
    </row>
    <row r="75" spans="1:26">
      <c r="A75" s="240"/>
      <c r="B75" s="240"/>
      <c r="C75" s="240"/>
      <c r="D75" s="612"/>
      <c r="E75" s="612"/>
      <c r="F75" s="613"/>
      <c r="G75" s="464"/>
      <c r="H75" s="464"/>
      <c r="I75" s="432"/>
      <c r="J75" s="432"/>
      <c r="K75" s="433"/>
      <c r="L75" s="433"/>
      <c r="M75" s="242"/>
      <c r="N75" s="702"/>
      <c r="O75" s="242"/>
      <c r="P75" s="242"/>
      <c r="Q75" s="242"/>
      <c r="R75" s="242"/>
      <c r="S75" s="243"/>
      <c r="T75" s="703"/>
      <c r="U75" s="242"/>
      <c r="V75" s="242"/>
      <c r="W75" s="1110"/>
      <c r="X75" s="1236"/>
      <c r="Y75" s="1499"/>
      <c r="Z75" s="1071"/>
    </row>
    <row r="76" spans="1:26">
      <c r="A76" s="240"/>
      <c r="B76" s="240"/>
      <c r="C76" s="240"/>
      <c r="D76" s="612"/>
      <c r="E76" s="612"/>
      <c r="F76" s="613"/>
      <c r="G76" s="464"/>
      <c r="H76" s="464"/>
      <c r="I76" s="432"/>
      <c r="J76" s="432"/>
      <c r="K76" s="433"/>
      <c r="L76" s="433"/>
      <c r="M76" s="242"/>
      <c r="N76" s="702"/>
      <c r="O76" s="242"/>
      <c r="P76" s="242"/>
      <c r="Q76" s="242"/>
      <c r="R76" s="242"/>
      <c r="S76" s="243"/>
      <c r="T76" s="703"/>
      <c r="U76" s="242"/>
      <c r="V76" s="242"/>
      <c r="W76" s="1110"/>
      <c r="X76" s="1236"/>
      <c r="Y76" s="1499"/>
      <c r="Z76" s="1071"/>
    </row>
    <row r="77" spans="1:26">
      <c r="A77" s="240"/>
      <c r="B77" s="240"/>
      <c r="C77" s="240"/>
      <c r="D77" s="612"/>
      <c r="E77" s="612"/>
      <c r="F77" s="613"/>
      <c r="G77" s="464"/>
      <c r="H77" s="464"/>
      <c r="I77" s="432"/>
      <c r="J77" s="432"/>
      <c r="K77" s="433"/>
      <c r="L77" s="433"/>
      <c r="M77" s="242"/>
      <c r="N77" s="702"/>
      <c r="O77" s="242"/>
      <c r="P77" s="242"/>
      <c r="Q77" s="242"/>
      <c r="R77" s="242"/>
      <c r="S77" s="243"/>
      <c r="T77" s="703"/>
      <c r="U77" s="242"/>
      <c r="V77" s="242"/>
      <c r="W77" s="1110"/>
      <c r="X77" s="1236"/>
      <c r="Y77" s="1499"/>
      <c r="Z77" s="1071"/>
    </row>
    <row r="78" spans="1:26">
      <c r="A78" s="240"/>
      <c r="B78" s="240"/>
      <c r="C78" s="240"/>
      <c r="D78" s="612"/>
      <c r="E78" s="612"/>
      <c r="F78" s="613"/>
      <c r="G78" s="464"/>
      <c r="H78" s="464"/>
      <c r="I78" s="432"/>
      <c r="J78" s="432"/>
      <c r="K78" s="433"/>
      <c r="L78" s="433"/>
      <c r="M78" s="242"/>
      <c r="N78" s="702"/>
      <c r="O78" s="242"/>
      <c r="P78" s="242"/>
      <c r="Q78" s="242"/>
      <c r="R78" s="242"/>
      <c r="S78" s="243"/>
      <c r="T78" s="703"/>
      <c r="U78" s="242"/>
      <c r="V78" s="242"/>
      <c r="W78" s="1110"/>
      <c r="X78" s="1236"/>
      <c r="Y78" s="1499"/>
      <c r="Z78" s="1071"/>
    </row>
    <row r="79" spans="1:26">
      <c r="A79" s="240"/>
      <c r="B79" s="240"/>
      <c r="C79" s="240"/>
      <c r="D79" s="612"/>
      <c r="E79" s="612"/>
      <c r="F79" s="613"/>
      <c r="G79" s="464"/>
      <c r="H79" s="464"/>
      <c r="I79" s="432"/>
      <c r="J79" s="432"/>
      <c r="K79" s="433"/>
      <c r="L79" s="433"/>
      <c r="M79" s="242"/>
      <c r="N79" s="702"/>
      <c r="O79" s="242"/>
      <c r="P79" s="242"/>
      <c r="Q79" s="242"/>
      <c r="R79" s="242"/>
      <c r="S79" s="243"/>
      <c r="T79" s="703"/>
      <c r="U79" s="242"/>
      <c r="V79" s="242"/>
      <c r="W79" s="1110"/>
      <c r="X79" s="1236"/>
      <c r="Y79" s="1499"/>
      <c r="Z79" s="1071"/>
    </row>
    <row r="80" spans="1:26">
      <c r="A80" s="240"/>
      <c r="B80" s="240"/>
      <c r="C80" s="240"/>
      <c r="D80" s="612"/>
      <c r="E80" s="612"/>
      <c r="F80" s="613"/>
      <c r="G80" s="464"/>
      <c r="H80" s="464"/>
      <c r="I80" s="432"/>
      <c r="J80" s="432"/>
      <c r="K80" s="433"/>
      <c r="L80" s="433"/>
      <c r="M80" s="242"/>
      <c r="N80" s="702"/>
      <c r="O80" s="242"/>
      <c r="P80" s="242"/>
      <c r="Q80" s="242"/>
      <c r="R80" s="242"/>
      <c r="S80" s="243"/>
      <c r="T80" s="703"/>
      <c r="U80" s="242"/>
      <c r="V80" s="242"/>
      <c r="W80" s="1110"/>
      <c r="X80" s="1236"/>
      <c r="Y80" s="1499"/>
      <c r="Z80" s="1071"/>
    </row>
    <row r="81" spans="1:26">
      <c r="A81" s="240"/>
      <c r="B81" s="240"/>
      <c r="C81" s="240"/>
      <c r="D81" s="612"/>
      <c r="E81" s="612"/>
      <c r="F81" s="613"/>
      <c r="G81" s="464"/>
      <c r="H81" s="464"/>
      <c r="I81" s="432"/>
      <c r="J81" s="432"/>
      <c r="K81" s="433"/>
      <c r="L81" s="433"/>
      <c r="M81" s="242"/>
      <c r="N81" s="702"/>
      <c r="O81" s="242"/>
      <c r="P81" s="242"/>
      <c r="Q81" s="242"/>
      <c r="R81" s="242"/>
      <c r="S81" s="243"/>
      <c r="T81" s="703"/>
      <c r="U81" s="242"/>
      <c r="V81" s="242"/>
      <c r="W81" s="1110"/>
      <c r="X81" s="1236"/>
      <c r="Y81" s="1499"/>
      <c r="Z81" s="1071"/>
    </row>
    <row r="82" spans="1:26">
      <c r="A82" s="240"/>
      <c r="B82" s="240"/>
      <c r="C82" s="240"/>
      <c r="D82" s="612"/>
      <c r="E82" s="612"/>
      <c r="F82" s="613"/>
      <c r="G82" s="464"/>
      <c r="H82" s="464"/>
      <c r="I82" s="432"/>
      <c r="J82" s="432"/>
      <c r="K82" s="433"/>
      <c r="L82" s="433"/>
      <c r="M82" s="242"/>
      <c r="N82" s="702"/>
      <c r="O82" s="242"/>
      <c r="P82" s="242"/>
      <c r="Q82" s="242"/>
      <c r="R82" s="242"/>
      <c r="S82" s="243"/>
      <c r="T82" s="703"/>
      <c r="U82" s="242"/>
      <c r="V82" s="242"/>
      <c r="W82" s="1110"/>
      <c r="X82" s="1236"/>
      <c r="Y82" s="1499"/>
      <c r="Z82" s="1071"/>
    </row>
    <row r="83" spans="1:26">
      <c r="A83" s="240"/>
      <c r="B83" s="240"/>
      <c r="C83" s="240"/>
      <c r="D83" s="612"/>
      <c r="E83" s="612"/>
      <c r="F83" s="613"/>
      <c r="G83" s="464"/>
      <c r="H83" s="464"/>
      <c r="I83" s="432"/>
      <c r="J83" s="432"/>
      <c r="K83" s="433"/>
      <c r="L83" s="433"/>
      <c r="M83" s="242"/>
      <c r="N83" s="702"/>
      <c r="O83" s="242"/>
      <c r="P83" s="242"/>
      <c r="Q83" s="242"/>
      <c r="R83" s="242"/>
      <c r="S83" s="243"/>
      <c r="T83" s="703"/>
      <c r="U83" s="242"/>
      <c r="V83" s="242"/>
      <c r="W83" s="1110"/>
      <c r="X83" s="1236"/>
      <c r="Y83" s="1499"/>
      <c r="Z83" s="1071"/>
    </row>
    <row r="84" spans="1:26">
      <c r="A84" s="240"/>
      <c r="B84" s="240"/>
      <c r="C84" s="240"/>
      <c r="D84" s="612"/>
      <c r="E84" s="612"/>
      <c r="F84" s="613"/>
      <c r="G84" s="464"/>
      <c r="H84" s="464"/>
      <c r="I84" s="432"/>
      <c r="J84" s="432"/>
      <c r="K84" s="433"/>
      <c r="L84" s="433"/>
      <c r="M84" s="242"/>
      <c r="N84" s="702"/>
      <c r="O84" s="242"/>
      <c r="P84" s="242"/>
      <c r="Q84" s="242"/>
      <c r="R84" s="242"/>
      <c r="S84" s="243"/>
      <c r="T84" s="703"/>
      <c r="U84" s="242"/>
      <c r="V84" s="242"/>
      <c r="W84" s="1110"/>
      <c r="X84" s="1236"/>
      <c r="Y84" s="1499"/>
      <c r="Z84" s="1071"/>
    </row>
    <row r="85" spans="1:26">
      <c r="A85" s="240"/>
      <c r="B85" s="240"/>
      <c r="C85" s="240"/>
      <c r="D85" s="612"/>
      <c r="E85" s="612"/>
      <c r="F85" s="613"/>
      <c r="G85" s="464"/>
      <c r="H85" s="464"/>
      <c r="I85" s="432"/>
      <c r="J85" s="432"/>
      <c r="K85" s="433"/>
      <c r="L85" s="433"/>
      <c r="M85" s="242"/>
      <c r="N85" s="702"/>
      <c r="O85" s="242"/>
      <c r="P85" s="242"/>
      <c r="Q85" s="242"/>
      <c r="R85" s="242"/>
      <c r="S85" s="243"/>
      <c r="T85" s="703"/>
      <c r="U85" s="242"/>
      <c r="V85" s="242"/>
      <c r="W85" s="1110"/>
      <c r="X85" s="1236"/>
      <c r="Y85" s="1499"/>
      <c r="Z85" s="1071"/>
    </row>
    <row r="86" spans="1:26">
      <c r="A86" s="240"/>
      <c r="B86" s="240"/>
      <c r="C86" s="240"/>
      <c r="D86" s="612"/>
      <c r="E86" s="612"/>
      <c r="F86" s="613"/>
      <c r="G86" s="464"/>
      <c r="H86" s="464"/>
      <c r="I86" s="432"/>
      <c r="J86" s="432"/>
      <c r="K86" s="433"/>
      <c r="L86" s="433"/>
      <c r="M86" s="242"/>
      <c r="N86" s="702"/>
      <c r="O86" s="242"/>
      <c r="P86" s="242"/>
      <c r="Q86" s="242"/>
      <c r="R86" s="242"/>
      <c r="S86" s="243"/>
      <c r="T86" s="703"/>
      <c r="U86" s="242"/>
      <c r="V86" s="242"/>
      <c r="W86" s="1110"/>
      <c r="X86" s="1236"/>
      <c r="Y86" s="1499"/>
      <c r="Z86" s="1071"/>
    </row>
    <row r="87" spans="1:26">
      <c r="A87" s="240"/>
      <c r="B87" s="240"/>
      <c r="C87" s="240"/>
      <c r="D87" s="612"/>
      <c r="E87" s="612"/>
      <c r="F87" s="613"/>
      <c r="G87" s="464"/>
      <c r="H87" s="464"/>
      <c r="I87" s="432"/>
      <c r="J87" s="432"/>
      <c r="K87" s="433"/>
      <c r="L87" s="433"/>
      <c r="M87" s="242"/>
      <c r="N87" s="702"/>
      <c r="O87" s="242"/>
      <c r="P87" s="242"/>
      <c r="Q87" s="242"/>
      <c r="R87" s="242"/>
      <c r="S87" s="243"/>
      <c r="T87" s="703"/>
      <c r="U87" s="242"/>
      <c r="V87" s="242"/>
      <c r="W87" s="1110"/>
      <c r="X87" s="1236"/>
      <c r="Y87" s="1499"/>
      <c r="Z87" s="1071"/>
    </row>
    <row r="88" spans="1:26">
      <c r="A88" s="240"/>
      <c r="B88" s="240"/>
      <c r="C88" s="240"/>
      <c r="D88" s="612"/>
      <c r="E88" s="612"/>
      <c r="F88" s="613"/>
      <c r="G88" s="464"/>
      <c r="H88" s="464"/>
      <c r="I88" s="432"/>
      <c r="J88" s="432"/>
      <c r="K88" s="433"/>
      <c r="L88" s="433"/>
      <c r="M88" s="242"/>
      <c r="N88" s="702"/>
      <c r="O88" s="242"/>
      <c r="P88" s="242"/>
      <c r="Q88" s="242"/>
      <c r="R88" s="242"/>
      <c r="S88" s="243"/>
      <c r="T88" s="703"/>
      <c r="U88" s="242"/>
      <c r="V88" s="242"/>
      <c r="W88" s="1110"/>
      <c r="X88" s="1236"/>
      <c r="Y88" s="1499"/>
      <c r="Z88" s="1071"/>
    </row>
    <row r="89" spans="1:26">
      <c r="A89" s="240"/>
      <c r="B89" s="240"/>
      <c r="C89" s="240"/>
      <c r="D89" s="612"/>
      <c r="E89" s="612"/>
      <c r="F89" s="613"/>
      <c r="G89" s="464"/>
      <c r="H89" s="464"/>
      <c r="I89" s="432"/>
      <c r="J89" s="432"/>
      <c r="K89" s="433"/>
      <c r="L89" s="433"/>
      <c r="M89" s="242"/>
      <c r="N89" s="702"/>
      <c r="O89" s="242"/>
      <c r="P89" s="242"/>
      <c r="Q89" s="242"/>
      <c r="R89" s="242"/>
      <c r="S89" s="243"/>
      <c r="T89" s="703"/>
      <c r="U89" s="242"/>
      <c r="V89" s="242"/>
      <c r="W89" s="1110"/>
      <c r="X89" s="1236"/>
      <c r="Y89" s="1499"/>
      <c r="Z89" s="1071"/>
    </row>
    <row r="90" spans="1:26">
      <c r="A90" s="240"/>
      <c r="B90" s="240"/>
      <c r="C90" s="240"/>
      <c r="D90" s="612"/>
      <c r="E90" s="612"/>
      <c r="F90" s="613"/>
      <c r="G90" s="464"/>
      <c r="H90" s="464"/>
      <c r="I90" s="432"/>
      <c r="J90" s="432"/>
      <c r="K90" s="433"/>
      <c r="L90" s="433"/>
      <c r="M90" s="242"/>
      <c r="N90" s="702"/>
      <c r="O90" s="242"/>
      <c r="P90" s="242"/>
      <c r="Q90" s="242"/>
      <c r="R90" s="242"/>
      <c r="S90" s="243"/>
      <c r="T90" s="703"/>
      <c r="U90" s="242"/>
      <c r="V90" s="242"/>
      <c r="W90" s="1110"/>
      <c r="X90" s="1236"/>
      <c r="Y90" s="1499"/>
      <c r="Z90" s="1071"/>
    </row>
    <row r="91" spans="1:26">
      <c r="A91" s="240"/>
      <c r="B91" s="240"/>
      <c r="C91" s="240"/>
      <c r="D91" s="612"/>
      <c r="E91" s="612"/>
      <c r="F91" s="613"/>
      <c r="G91" s="464"/>
      <c r="H91" s="464"/>
      <c r="I91" s="432"/>
      <c r="J91" s="432"/>
      <c r="K91" s="433"/>
      <c r="L91" s="433"/>
      <c r="M91" s="242"/>
      <c r="N91" s="702"/>
      <c r="O91" s="242"/>
      <c r="P91" s="242"/>
      <c r="Q91" s="242"/>
      <c r="R91" s="242"/>
      <c r="S91" s="243"/>
      <c r="T91" s="703"/>
      <c r="U91" s="242"/>
      <c r="V91" s="242"/>
      <c r="W91" s="1110"/>
      <c r="X91" s="1236"/>
      <c r="Y91" s="1499"/>
      <c r="Z91" s="1071"/>
    </row>
    <row r="92" spans="1:26">
      <c r="A92" s="240"/>
      <c r="B92" s="240"/>
      <c r="C92" s="240"/>
      <c r="D92" s="612"/>
      <c r="E92" s="612"/>
      <c r="F92" s="613"/>
      <c r="G92" s="464"/>
      <c r="H92" s="464"/>
      <c r="I92" s="432"/>
      <c r="J92" s="432"/>
      <c r="K92" s="433"/>
      <c r="L92" s="433"/>
      <c r="M92" s="242"/>
      <c r="N92" s="702"/>
      <c r="O92" s="242"/>
      <c r="P92" s="242"/>
      <c r="Q92" s="242"/>
      <c r="R92" s="242"/>
      <c r="S92" s="243"/>
      <c r="T92" s="703"/>
      <c r="U92" s="242"/>
      <c r="V92" s="242"/>
      <c r="W92" s="1110"/>
      <c r="X92" s="1236"/>
      <c r="Y92" s="1499"/>
      <c r="Z92" s="1071"/>
    </row>
    <row r="93" spans="1:26">
      <c r="A93" s="240"/>
      <c r="B93" s="240"/>
      <c r="C93" s="240"/>
      <c r="D93" s="612"/>
      <c r="E93" s="612"/>
      <c r="F93" s="613"/>
      <c r="G93" s="464"/>
      <c r="H93" s="464"/>
      <c r="I93" s="432"/>
      <c r="J93" s="432"/>
      <c r="K93" s="433"/>
      <c r="L93" s="433"/>
      <c r="M93" s="242"/>
      <c r="N93" s="702"/>
      <c r="O93" s="242"/>
      <c r="P93" s="242"/>
      <c r="Q93" s="242"/>
      <c r="R93" s="242"/>
      <c r="S93" s="243"/>
      <c r="T93" s="703"/>
      <c r="U93" s="242"/>
      <c r="V93" s="242"/>
      <c r="W93" s="1110"/>
      <c r="X93" s="1236"/>
      <c r="Y93" s="1499"/>
      <c r="Z93" s="1071"/>
    </row>
    <row r="94" spans="1:26">
      <c r="A94" s="240"/>
      <c r="B94" s="240"/>
      <c r="C94" s="240"/>
      <c r="D94" s="612"/>
      <c r="E94" s="612"/>
      <c r="F94" s="613"/>
      <c r="G94" s="464"/>
      <c r="H94" s="464"/>
      <c r="I94" s="432"/>
      <c r="J94" s="432"/>
      <c r="K94" s="433"/>
      <c r="L94" s="433"/>
      <c r="M94" s="242"/>
      <c r="N94" s="702"/>
      <c r="O94" s="242"/>
      <c r="P94" s="242"/>
      <c r="Q94" s="242"/>
      <c r="R94" s="242"/>
      <c r="S94" s="243"/>
      <c r="T94" s="703"/>
      <c r="U94" s="242"/>
      <c r="V94" s="242"/>
      <c r="W94" s="1110"/>
      <c r="X94" s="1236"/>
      <c r="Y94" s="1499"/>
      <c r="Z94" s="1071"/>
    </row>
    <row r="95" spans="1:26">
      <c r="A95" s="240"/>
      <c r="B95" s="240"/>
      <c r="C95" s="240"/>
      <c r="D95" s="612"/>
      <c r="E95" s="612"/>
      <c r="F95" s="613"/>
      <c r="G95" s="464"/>
      <c r="H95" s="464"/>
      <c r="I95" s="432"/>
      <c r="J95" s="432"/>
      <c r="K95" s="433"/>
      <c r="L95" s="433"/>
      <c r="M95" s="242"/>
      <c r="N95" s="702"/>
      <c r="O95" s="242"/>
      <c r="P95" s="242"/>
      <c r="Q95" s="242"/>
      <c r="R95" s="242"/>
      <c r="S95" s="243"/>
      <c r="T95" s="703"/>
      <c r="U95" s="242"/>
      <c r="V95" s="242"/>
      <c r="W95" s="1110"/>
      <c r="X95" s="1236"/>
      <c r="Y95" s="1499"/>
      <c r="Z95" s="1071"/>
    </row>
    <row r="96" spans="1:26">
      <c r="A96" s="240"/>
      <c r="B96" s="240"/>
      <c r="C96" s="240"/>
      <c r="D96" s="612"/>
      <c r="E96" s="612"/>
      <c r="F96" s="613"/>
      <c r="G96" s="464"/>
      <c r="H96" s="464"/>
      <c r="I96" s="432"/>
      <c r="J96" s="432"/>
      <c r="K96" s="433"/>
      <c r="L96" s="433"/>
      <c r="M96" s="242"/>
      <c r="N96" s="702"/>
      <c r="O96" s="242"/>
      <c r="P96" s="242"/>
      <c r="Q96" s="242"/>
      <c r="R96" s="242"/>
      <c r="S96" s="243"/>
      <c r="T96" s="703"/>
      <c r="U96" s="242"/>
      <c r="V96" s="242"/>
      <c r="W96" s="1110"/>
      <c r="X96" s="1236"/>
      <c r="Y96" s="1499"/>
      <c r="Z96" s="1071"/>
    </row>
    <row r="97" spans="1:26">
      <c r="A97" s="240"/>
      <c r="B97" s="240"/>
      <c r="C97" s="240"/>
      <c r="D97" s="612"/>
      <c r="E97" s="612"/>
      <c r="F97" s="613"/>
      <c r="G97" s="464"/>
      <c r="H97" s="464"/>
      <c r="I97" s="432"/>
      <c r="J97" s="432"/>
      <c r="K97" s="433"/>
      <c r="L97" s="433"/>
      <c r="M97" s="242"/>
      <c r="N97" s="702"/>
      <c r="O97" s="242"/>
      <c r="P97" s="242"/>
      <c r="Q97" s="242"/>
      <c r="R97" s="242"/>
      <c r="S97" s="243"/>
      <c r="T97" s="703"/>
      <c r="U97" s="242"/>
      <c r="V97" s="242"/>
      <c r="W97" s="1110"/>
      <c r="X97" s="1236"/>
      <c r="Y97" s="1499"/>
      <c r="Z97" s="1071"/>
    </row>
    <row r="98" spans="1:26">
      <c r="A98" s="240"/>
      <c r="B98" s="240"/>
      <c r="C98" s="240"/>
      <c r="D98" s="612"/>
      <c r="E98" s="612"/>
      <c r="F98" s="613"/>
      <c r="G98" s="464"/>
      <c r="H98" s="464"/>
      <c r="I98" s="432"/>
      <c r="J98" s="432"/>
      <c r="K98" s="433"/>
      <c r="L98" s="433"/>
      <c r="M98" s="242"/>
      <c r="N98" s="702"/>
      <c r="O98" s="242"/>
      <c r="P98" s="242"/>
      <c r="Q98" s="242"/>
      <c r="R98" s="242"/>
      <c r="S98" s="243"/>
      <c r="T98" s="703"/>
      <c r="U98" s="242"/>
      <c r="V98" s="242"/>
      <c r="W98" s="1110"/>
      <c r="X98" s="1236"/>
      <c r="Y98" s="1499"/>
      <c r="Z98" s="1071"/>
    </row>
    <row r="99" spans="1:26">
      <c r="A99" s="240"/>
      <c r="B99" s="240"/>
      <c r="C99" s="240"/>
      <c r="D99" s="612"/>
      <c r="E99" s="612"/>
      <c r="F99" s="613"/>
      <c r="G99" s="464"/>
      <c r="H99" s="464"/>
      <c r="I99" s="432"/>
      <c r="J99" s="432"/>
      <c r="K99" s="433"/>
      <c r="L99" s="433"/>
      <c r="M99" s="242"/>
      <c r="N99" s="702"/>
      <c r="O99" s="242"/>
      <c r="P99" s="242"/>
      <c r="Q99" s="242"/>
      <c r="R99" s="242"/>
      <c r="S99" s="243"/>
      <c r="T99" s="703"/>
      <c r="U99" s="242"/>
      <c r="V99" s="242"/>
      <c r="W99" s="1110"/>
      <c r="X99" s="1236"/>
      <c r="Y99" s="1499"/>
      <c r="Z99" s="1071"/>
    </row>
    <row r="100" spans="1:26">
      <c r="A100" s="240"/>
      <c r="B100" s="240"/>
      <c r="C100" s="240"/>
      <c r="D100" s="612"/>
      <c r="E100" s="612"/>
      <c r="F100" s="613"/>
      <c r="G100" s="464"/>
      <c r="H100" s="464"/>
      <c r="I100" s="432"/>
      <c r="J100" s="432"/>
      <c r="K100" s="433"/>
      <c r="L100" s="433"/>
      <c r="M100" s="242"/>
      <c r="N100" s="702"/>
      <c r="O100" s="242"/>
      <c r="P100" s="242"/>
      <c r="Q100" s="242"/>
      <c r="R100" s="242"/>
      <c r="S100" s="243"/>
      <c r="T100" s="703"/>
      <c r="U100" s="242"/>
      <c r="V100" s="242"/>
      <c r="W100" s="1110"/>
      <c r="X100" s="1236"/>
      <c r="Y100" s="1499"/>
      <c r="Z100" s="1071"/>
    </row>
    <row r="101" spans="1:26">
      <c r="A101" s="240"/>
      <c r="B101" s="240"/>
      <c r="C101" s="240"/>
      <c r="D101" s="612"/>
      <c r="E101" s="612"/>
      <c r="F101" s="613"/>
      <c r="G101" s="464"/>
      <c r="H101" s="464"/>
      <c r="I101" s="432"/>
      <c r="J101" s="432"/>
      <c r="K101" s="433"/>
      <c r="L101" s="433"/>
      <c r="M101" s="242"/>
      <c r="N101" s="702"/>
      <c r="O101" s="242"/>
      <c r="P101" s="242"/>
      <c r="Q101" s="242"/>
      <c r="R101" s="242"/>
      <c r="S101" s="243"/>
      <c r="T101" s="703"/>
      <c r="U101" s="242"/>
      <c r="V101" s="242"/>
      <c r="W101" s="1110"/>
      <c r="X101" s="1236"/>
      <c r="Y101" s="1499"/>
      <c r="Z101" s="1071"/>
    </row>
    <row r="102" spans="1:26">
      <c r="A102" s="240"/>
      <c r="B102" s="240"/>
      <c r="C102" s="240"/>
      <c r="D102" s="612"/>
      <c r="E102" s="612"/>
      <c r="F102" s="613"/>
      <c r="G102" s="464"/>
      <c r="H102" s="464"/>
      <c r="I102" s="432"/>
      <c r="J102" s="432"/>
      <c r="K102" s="433"/>
      <c r="L102" s="433"/>
      <c r="M102" s="242"/>
      <c r="N102" s="702"/>
      <c r="O102" s="242"/>
      <c r="P102" s="242"/>
      <c r="Q102" s="242"/>
      <c r="R102" s="242"/>
      <c r="S102" s="243"/>
      <c r="T102" s="703"/>
      <c r="U102" s="242"/>
      <c r="V102" s="242"/>
      <c r="W102" s="1110"/>
      <c r="X102" s="1236"/>
      <c r="Y102" s="1499"/>
      <c r="Z102" s="1071"/>
    </row>
    <row r="103" spans="1:26">
      <c r="A103" s="240"/>
      <c r="B103" s="240"/>
      <c r="C103" s="240"/>
      <c r="D103" s="612"/>
      <c r="E103" s="612"/>
      <c r="F103" s="613"/>
      <c r="G103" s="464"/>
      <c r="H103" s="464"/>
      <c r="I103" s="432"/>
      <c r="J103" s="432"/>
      <c r="K103" s="433"/>
      <c r="L103" s="433"/>
      <c r="M103" s="242"/>
      <c r="N103" s="702"/>
      <c r="O103" s="242"/>
      <c r="P103" s="242"/>
      <c r="Q103" s="242"/>
      <c r="R103" s="242"/>
      <c r="S103" s="243"/>
      <c r="T103" s="703"/>
      <c r="U103" s="242"/>
      <c r="V103" s="242"/>
      <c r="W103" s="1110"/>
      <c r="X103" s="1236"/>
      <c r="Y103" s="1499"/>
      <c r="Z103" s="1071"/>
    </row>
    <row r="104" spans="1:26">
      <c r="A104" s="240"/>
      <c r="B104" s="240"/>
      <c r="C104" s="240"/>
      <c r="D104" s="612"/>
      <c r="E104" s="612"/>
      <c r="F104" s="613"/>
      <c r="G104" s="464"/>
      <c r="H104" s="464"/>
      <c r="I104" s="432"/>
      <c r="J104" s="432"/>
      <c r="K104" s="433"/>
      <c r="L104" s="433"/>
      <c r="M104" s="242"/>
      <c r="N104" s="702"/>
      <c r="O104" s="242"/>
      <c r="P104" s="242"/>
      <c r="Q104" s="242"/>
      <c r="R104" s="242"/>
      <c r="S104" s="243"/>
      <c r="T104" s="703"/>
      <c r="U104" s="242"/>
      <c r="V104" s="242"/>
      <c r="W104" s="1110"/>
      <c r="X104" s="1236"/>
      <c r="Y104" s="1499"/>
      <c r="Z104" s="1071"/>
    </row>
    <row r="105" spans="1:26">
      <c r="A105" s="240"/>
      <c r="B105" s="240"/>
      <c r="C105" s="240"/>
      <c r="D105" s="612"/>
      <c r="E105" s="612"/>
      <c r="F105" s="613"/>
      <c r="G105" s="464"/>
      <c r="H105" s="464"/>
      <c r="I105" s="432"/>
      <c r="J105" s="432"/>
      <c r="K105" s="433"/>
      <c r="L105" s="433"/>
      <c r="M105" s="242"/>
      <c r="N105" s="702"/>
      <c r="O105" s="242"/>
      <c r="P105" s="242"/>
      <c r="Q105" s="242"/>
      <c r="R105" s="242"/>
      <c r="S105" s="243"/>
      <c r="T105" s="703"/>
      <c r="U105" s="242"/>
      <c r="V105" s="242"/>
      <c r="W105" s="1110"/>
      <c r="X105" s="1236"/>
      <c r="Y105" s="1499"/>
      <c r="Z105" s="1071"/>
    </row>
    <row r="106" spans="1:26">
      <c r="A106" s="240"/>
      <c r="B106" s="240"/>
      <c r="C106" s="240"/>
      <c r="D106" s="612"/>
      <c r="E106" s="612"/>
      <c r="F106" s="613"/>
      <c r="G106" s="464"/>
      <c r="H106" s="464"/>
      <c r="I106" s="432"/>
      <c r="J106" s="432"/>
      <c r="K106" s="433"/>
      <c r="L106" s="433"/>
      <c r="M106" s="242"/>
      <c r="N106" s="702"/>
      <c r="O106" s="242"/>
      <c r="P106" s="242"/>
      <c r="Q106" s="242"/>
      <c r="R106" s="242"/>
      <c r="S106" s="243"/>
      <c r="T106" s="703"/>
      <c r="U106" s="242"/>
      <c r="V106" s="242"/>
      <c r="W106" s="1110"/>
      <c r="X106" s="1236"/>
      <c r="Y106" s="1499"/>
      <c r="Z106" s="1071"/>
    </row>
    <row r="107" spans="1:26">
      <c r="A107" s="240"/>
      <c r="B107" s="240"/>
      <c r="C107" s="240"/>
      <c r="D107" s="612"/>
      <c r="E107" s="612"/>
      <c r="F107" s="613"/>
      <c r="G107" s="464"/>
      <c r="H107" s="464"/>
      <c r="I107" s="432"/>
      <c r="J107" s="432"/>
      <c r="K107" s="433"/>
      <c r="L107" s="433"/>
      <c r="M107" s="242"/>
      <c r="N107" s="702"/>
      <c r="O107" s="242"/>
      <c r="P107" s="242"/>
      <c r="Q107" s="242"/>
      <c r="R107" s="242"/>
      <c r="S107" s="243"/>
      <c r="T107" s="703"/>
      <c r="U107" s="242"/>
      <c r="V107" s="242"/>
      <c r="W107" s="1110"/>
      <c r="X107" s="1236"/>
      <c r="Y107" s="1499"/>
      <c r="Z107" s="1071"/>
    </row>
    <row r="108" spans="1:26">
      <c r="A108" s="240"/>
      <c r="B108" s="240"/>
      <c r="C108" s="240"/>
      <c r="D108" s="612"/>
      <c r="E108" s="612"/>
      <c r="F108" s="613"/>
      <c r="G108" s="464"/>
      <c r="H108" s="464"/>
      <c r="I108" s="432"/>
      <c r="J108" s="432"/>
      <c r="K108" s="433"/>
      <c r="L108" s="433"/>
      <c r="M108" s="242"/>
      <c r="N108" s="702"/>
      <c r="O108" s="242"/>
      <c r="P108" s="242"/>
      <c r="Q108" s="242"/>
      <c r="R108" s="242"/>
      <c r="S108" s="243"/>
      <c r="T108" s="703"/>
      <c r="U108" s="242"/>
      <c r="V108" s="242"/>
      <c r="W108" s="1110"/>
      <c r="X108" s="1236"/>
      <c r="Y108" s="1499"/>
      <c r="Z108" s="1071"/>
    </row>
    <row r="109" spans="1:26">
      <c r="A109" s="240"/>
      <c r="B109" s="240"/>
      <c r="C109" s="240"/>
      <c r="D109" s="612"/>
      <c r="E109" s="612"/>
      <c r="F109" s="613"/>
      <c r="G109" s="464"/>
      <c r="H109" s="464"/>
      <c r="I109" s="432"/>
      <c r="J109" s="432"/>
      <c r="K109" s="433"/>
      <c r="L109" s="433"/>
      <c r="M109" s="242"/>
      <c r="N109" s="702"/>
      <c r="O109" s="242"/>
      <c r="P109" s="242"/>
      <c r="Q109" s="242"/>
      <c r="R109" s="242"/>
      <c r="S109" s="243"/>
      <c r="T109" s="703"/>
      <c r="U109" s="242"/>
      <c r="V109" s="242"/>
      <c r="W109" s="1110"/>
      <c r="X109" s="1236"/>
      <c r="Y109" s="1499"/>
      <c r="Z109" s="1071"/>
    </row>
    <row r="110" spans="1:26">
      <c r="A110" s="240"/>
      <c r="B110" s="240"/>
      <c r="C110" s="240"/>
      <c r="D110" s="612"/>
      <c r="E110" s="612"/>
      <c r="F110" s="613"/>
      <c r="G110" s="464"/>
      <c r="H110" s="464"/>
      <c r="I110" s="432"/>
      <c r="J110" s="432"/>
      <c r="K110" s="433"/>
      <c r="L110" s="433"/>
      <c r="M110" s="242"/>
      <c r="N110" s="702"/>
      <c r="O110" s="242"/>
      <c r="P110" s="242"/>
      <c r="Q110" s="242"/>
      <c r="R110" s="242"/>
      <c r="S110" s="243"/>
      <c r="T110" s="703"/>
      <c r="U110" s="242"/>
      <c r="V110" s="242"/>
      <c r="W110" s="1110"/>
      <c r="X110" s="1236"/>
      <c r="Y110" s="1499"/>
      <c r="Z110" s="1071"/>
    </row>
    <row r="111" spans="1:26">
      <c r="A111" s="240"/>
      <c r="B111" s="240"/>
      <c r="C111" s="240"/>
      <c r="D111" s="612"/>
      <c r="E111" s="612"/>
      <c r="F111" s="613"/>
      <c r="G111" s="464"/>
      <c r="H111" s="464"/>
      <c r="I111" s="432"/>
      <c r="J111" s="432"/>
      <c r="K111" s="433"/>
      <c r="L111" s="433"/>
      <c r="M111" s="242"/>
      <c r="N111" s="702"/>
      <c r="O111" s="242"/>
      <c r="P111" s="242"/>
      <c r="Q111" s="242"/>
      <c r="R111" s="242"/>
      <c r="S111" s="243"/>
      <c r="T111" s="703"/>
      <c r="U111" s="242"/>
      <c r="V111" s="242"/>
      <c r="W111" s="1110"/>
      <c r="X111" s="1236"/>
      <c r="Y111" s="1499"/>
      <c r="Z111" s="1071"/>
    </row>
    <row r="112" spans="1:26">
      <c r="A112" s="240"/>
      <c r="B112" s="240"/>
      <c r="C112" s="240"/>
      <c r="D112" s="612"/>
      <c r="E112" s="612"/>
      <c r="F112" s="613"/>
      <c r="G112" s="464"/>
      <c r="H112" s="464"/>
      <c r="I112" s="432"/>
      <c r="J112" s="432"/>
      <c r="K112" s="433"/>
      <c r="L112" s="433"/>
      <c r="M112" s="242"/>
      <c r="N112" s="702"/>
      <c r="O112" s="242"/>
      <c r="P112" s="242"/>
      <c r="Q112" s="242"/>
      <c r="R112" s="242"/>
      <c r="S112" s="243"/>
      <c r="T112" s="703"/>
      <c r="U112" s="242"/>
      <c r="V112" s="242"/>
      <c r="W112" s="1110"/>
      <c r="X112" s="1236"/>
      <c r="Y112" s="1499"/>
      <c r="Z112" s="1071"/>
    </row>
    <row r="113" spans="1:26">
      <c r="A113" s="240"/>
      <c r="B113" s="240"/>
      <c r="C113" s="240"/>
      <c r="D113" s="612"/>
      <c r="E113" s="612"/>
      <c r="F113" s="613"/>
      <c r="G113" s="464"/>
      <c r="H113" s="464"/>
      <c r="I113" s="432"/>
      <c r="J113" s="432"/>
      <c r="K113" s="433"/>
      <c r="L113" s="433"/>
      <c r="M113" s="242"/>
      <c r="N113" s="702"/>
      <c r="O113" s="242"/>
      <c r="P113" s="242"/>
      <c r="Q113" s="242"/>
      <c r="R113" s="242"/>
      <c r="S113" s="243"/>
      <c r="T113" s="703"/>
      <c r="U113" s="242"/>
      <c r="V113" s="242"/>
      <c r="W113" s="1110"/>
      <c r="X113" s="1236"/>
      <c r="Y113" s="1499"/>
      <c r="Z113" s="1071"/>
    </row>
    <row r="114" spans="1:26">
      <c r="A114" s="240"/>
      <c r="B114" s="240"/>
      <c r="C114" s="240"/>
      <c r="D114" s="612"/>
      <c r="E114" s="612"/>
      <c r="F114" s="613"/>
      <c r="G114" s="464"/>
      <c r="H114" s="464"/>
      <c r="I114" s="432"/>
      <c r="J114" s="432"/>
      <c r="K114" s="433"/>
      <c r="L114" s="433"/>
      <c r="M114" s="242"/>
      <c r="N114" s="702"/>
      <c r="O114" s="242"/>
      <c r="P114" s="242"/>
      <c r="Q114" s="242"/>
      <c r="R114" s="242"/>
      <c r="S114" s="243"/>
      <c r="T114" s="703"/>
      <c r="U114" s="242"/>
      <c r="V114" s="242"/>
      <c r="W114" s="1110"/>
      <c r="X114" s="1236"/>
      <c r="Y114" s="1499"/>
      <c r="Z114" s="1071"/>
    </row>
    <row r="115" spans="1:26">
      <c r="A115" s="240"/>
      <c r="B115" s="240"/>
      <c r="C115" s="240"/>
      <c r="D115" s="612"/>
      <c r="E115" s="612"/>
      <c r="F115" s="613"/>
      <c r="G115" s="464"/>
      <c r="H115" s="464"/>
      <c r="I115" s="432"/>
      <c r="J115" s="432"/>
      <c r="K115" s="433"/>
      <c r="L115" s="433"/>
      <c r="M115" s="242"/>
      <c r="N115" s="702"/>
      <c r="O115" s="242"/>
      <c r="P115" s="242"/>
      <c r="Q115" s="242"/>
      <c r="R115" s="242"/>
      <c r="S115" s="243"/>
      <c r="T115" s="703"/>
      <c r="U115" s="242"/>
      <c r="V115" s="242"/>
      <c r="W115" s="1110"/>
      <c r="X115" s="1236"/>
      <c r="Y115" s="1499"/>
      <c r="Z115" s="1071"/>
    </row>
    <row r="116" spans="1:26">
      <c r="A116" s="240"/>
      <c r="B116" s="240"/>
      <c r="C116" s="240"/>
      <c r="D116" s="612"/>
      <c r="E116" s="612"/>
      <c r="F116" s="613"/>
      <c r="G116" s="464"/>
      <c r="H116" s="464"/>
      <c r="I116" s="432"/>
      <c r="J116" s="432"/>
      <c r="K116" s="433"/>
      <c r="L116" s="433"/>
      <c r="M116" s="242"/>
      <c r="N116" s="702"/>
      <c r="O116" s="242"/>
      <c r="P116" s="242"/>
      <c r="Q116" s="242"/>
      <c r="R116" s="242"/>
      <c r="S116" s="243"/>
      <c r="T116" s="703"/>
      <c r="U116" s="242"/>
      <c r="V116" s="242"/>
      <c r="W116" s="1110"/>
      <c r="X116" s="1236"/>
      <c r="Y116" s="1499"/>
      <c r="Z116" s="1071"/>
    </row>
    <row r="117" spans="1:26">
      <c r="A117" s="240"/>
      <c r="B117" s="240"/>
      <c r="C117" s="240"/>
      <c r="D117" s="612"/>
      <c r="E117" s="612"/>
      <c r="F117" s="613"/>
      <c r="G117" s="464"/>
      <c r="H117" s="464"/>
      <c r="I117" s="432"/>
      <c r="J117" s="432"/>
      <c r="K117" s="433"/>
      <c r="L117" s="433"/>
      <c r="M117" s="242"/>
      <c r="N117" s="702"/>
      <c r="O117" s="242"/>
      <c r="P117" s="242"/>
      <c r="Q117" s="242"/>
      <c r="R117" s="242"/>
      <c r="S117" s="243"/>
      <c r="T117" s="703"/>
      <c r="U117" s="242"/>
      <c r="V117" s="242"/>
      <c r="W117" s="1110"/>
      <c r="X117" s="1236"/>
      <c r="Y117" s="1499"/>
      <c r="Z117" s="1071"/>
    </row>
    <row r="118" spans="1:26">
      <c r="A118" s="240"/>
      <c r="B118" s="240"/>
      <c r="C118" s="240"/>
      <c r="D118" s="612"/>
      <c r="E118" s="612"/>
      <c r="F118" s="613"/>
      <c r="G118" s="464"/>
      <c r="H118" s="464"/>
      <c r="I118" s="432"/>
      <c r="J118" s="432"/>
      <c r="K118" s="433"/>
      <c r="L118" s="433"/>
      <c r="M118" s="242"/>
      <c r="N118" s="702"/>
      <c r="O118" s="242"/>
      <c r="P118" s="242"/>
      <c r="Q118" s="242"/>
      <c r="R118" s="242"/>
      <c r="S118" s="243"/>
      <c r="T118" s="703"/>
      <c r="U118" s="242"/>
      <c r="V118" s="242"/>
      <c r="W118" s="1110"/>
      <c r="X118" s="1236"/>
      <c r="Y118" s="1499"/>
      <c r="Z118" s="1071"/>
    </row>
    <row r="119" spans="1:26">
      <c r="A119" s="240"/>
      <c r="B119" s="240"/>
      <c r="C119" s="240"/>
      <c r="D119" s="612"/>
      <c r="E119" s="612"/>
      <c r="F119" s="613"/>
      <c r="G119" s="464"/>
      <c r="H119" s="464"/>
      <c r="I119" s="432"/>
      <c r="J119" s="432"/>
      <c r="K119" s="433"/>
      <c r="L119" s="433"/>
      <c r="M119" s="242"/>
      <c r="N119" s="702"/>
      <c r="O119" s="242"/>
      <c r="P119" s="242"/>
      <c r="Q119" s="242"/>
      <c r="R119" s="242"/>
      <c r="S119" s="243"/>
      <c r="T119" s="703"/>
      <c r="U119" s="242"/>
      <c r="V119" s="242"/>
      <c r="W119" s="1110"/>
      <c r="X119" s="1236"/>
      <c r="Y119" s="1499"/>
      <c r="Z119" s="1071"/>
    </row>
    <row r="120" spans="1:26">
      <c r="A120" s="240"/>
      <c r="B120" s="240"/>
      <c r="C120" s="240"/>
      <c r="D120" s="612"/>
      <c r="E120" s="612"/>
      <c r="F120" s="613"/>
      <c r="G120" s="464"/>
      <c r="H120" s="464"/>
      <c r="I120" s="432"/>
      <c r="J120" s="432"/>
      <c r="K120" s="433"/>
      <c r="L120" s="433"/>
      <c r="M120" s="242"/>
      <c r="N120" s="702"/>
      <c r="O120" s="242"/>
      <c r="P120" s="242"/>
      <c r="Q120" s="242"/>
      <c r="R120" s="242"/>
      <c r="S120" s="243"/>
      <c r="T120" s="703"/>
      <c r="U120" s="242"/>
      <c r="V120" s="242"/>
      <c r="W120" s="1110"/>
      <c r="X120" s="1236"/>
      <c r="Y120" s="1499"/>
      <c r="Z120" s="1071"/>
    </row>
    <row r="121" spans="1:26">
      <c r="A121" s="240"/>
      <c r="B121" s="240"/>
      <c r="C121" s="240"/>
      <c r="D121" s="612"/>
      <c r="E121" s="612"/>
      <c r="F121" s="613"/>
      <c r="G121" s="464"/>
      <c r="H121" s="464"/>
      <c r="I121" s="432"/>
      <c r="J121" s="432"/>
      <c r="K121" s="433"/>
      <c r="L121" s="433"/>
      <c r="M121" s="242"/>
      <c r="N121" s="702"/>
      <c r="O121" s="242"/>
      <c r="P121" s="242"/>
      <c r="Q121" s="242"/>
      <c r="R121" s="242"/>
      <c r="S121" s="243"/>
      <c r="T121" s="703"/>
      <c r="U121" s="242"/>
      <c r="V121" s="242"/>
      <c r="W121" s="1110"/>
      <c r="X121" s="1236"/>
      <c r="Y121" s="1499"/>
      <c r="Z121" s="1071"/>
    </row>
    <row r="122" spans="1:26">
      <c r="A122" s="240"/>
      <c r="B122" s="240"/>
      <c r="C122" s="240"/>
      <c r="D122" s="612"/>
      <c r="E122" s="612"/>
      <c r="F122" s="613"/>
      <c r="G122" s="464"/>
      <c r="H122" s="464"/>
      <c r="I122" s="432"/>
      <c r="J122" s="432"/>
      <c r="K122" s="433"/>
      <c r="L122" s="433"/>
      <c r="M122" s="242"/>
      <c r="N122" s="702"/>
      <c r="O122" s="242"/>
      <c r="P122" s="242"/>
      <c r="Q122" s="242"/>
      <c r="R122" s="242"/>
      <c r="S122" s="243"/>
      <c r="T122" s="703"/>
      <c r="U122" s="242"/>
      <c r="V122" s="242"/>
      <c r="W122" s="1110"/>
      <c r="X122" s="1236"/>
      <c r="Y122" s="1499"/>
      <c r="Z122" s="1071"/>
    </row>
    <row r="123" spans="1:26">
      <c r="A123" s="240"/>
      <c r="B123" s="240"/>
      <c r="C123" s="240"/>
      <c r="D123" s="612"/>
      <c r="E123" s="612"/>
      <c r="F123" s="613"/>
      <c r="G123" s="464"/>
      <c r="H123" s="464"/>
      <c r="I123" s="432"/>
      <c r="J123" s="432"/>
      <c r="K123" s="433"/>
      <c r="L123" s="433"/>
      <c r="M123" s="242"/>
      <c r="N123" s="702"/>
      <c r="O123" s="242"/>
      <c r="P123" s="242"/>
      <c r="Q123" s="242"/>
      <c r="R123" s="242"/>
      <c r="S123" s="243"/>
      <c r="T123" s="703"/>
      <c r="U123" s="242"/>
      <c r="V123" s="242"/>
      <c r="W123" s="1110"/>
      <c r="X123" s="1236"/>
      <c r="Y123" s="1499"/>
      <c r="Z123" s="1071"/>
    </row>
    <row r="124" spans="1:26">
      <c r="A124" s="240"/>
      <c r="B124" s="240"/>
      <c r="C124" s="240"/>
      <c r="D124" s="612"/>
      <c r="E124" s="612"/>
      <c r="F124" s="613"/>
      <c r="G124" s="464"/>
      <c r="H124" s="464"/>
      <c r="I124" s="432"/>
      <c r="J124" s="432"/>
      <c r="K124" s="433"/>
      <c r="L124" s="433"/>
      <c r="M124" s="242"/>
      <c r="N124" s="702"/>
      <c r="O124" s="242"/>
      <c r="P124" s="242"/>
      <c r="Q124" s="242"/>
      <c r="R124" s="242"/>
      <c r="S124" s="243"/>
      <c r="T124" s="703"/>
      <c r="U124" s="242"/>
      <c r="V124" s="242"/>
      <c r="W124" s="1110"/>
      <c r="X124" s="1236"/>
      <c r="Y124" s="1499"/>
      <c r="Z124" s="1071"/>
    </row>
    <row r="125" spans="1:26">
      <c r="A125" s="240"/>
      <c r="B125" s="240"/>
      <c r="C125" s="240"/>
      <c r="D125" s="612"/>
      <c r="E125" s="612"/>
      <c r="F125" s="613"/>
      <c r="G125" s="464"/>
      <c r="H125" s="464"/>
      <c r="I125" s="432"/>
      <c r="J125" s="432"/>
      <c r="K125" s="433"/>
      <c r="L125" s="433"/>
      <c r="M125" s="242"/>
      <c r="N125" s="702"/>
      <c r="O125" s="242"/>
      <c r="P125" s="242"/>
      <c r="Q125" s="242"/>
      <c r="R125" s="242"/>
      <c r="S125" s="243"/>
      <c r="T125" s="703"/>
      <c r="U125" s="242"/>
      <c r="V125" s="242"/>
      <c r="W125" s="1110"/>
      <c r="X125" s="1236"/>
      <c r="Y125" s="1499"/>
      <c r="Z125" s="1071"/>
    </row>
    <row r="126" spans="1:26">
      <c r="A126" s="240"/>
      <c r="B126" s="240"/>
      <c r="C126" s="240"/>
      <c r="D126" s="612"/>
      <c r="E126" s="612"/>
      <c r="F126" s="613"/>
      <c r="G126" s="464"/>
      <c r="H126" s="464"/>
      <c r="I126" s="432"/>
      <c r="J126" s="432"/>
      <c r="K126" s="433"/>
      <c r="L126" s="433"/>
      <c r="M126" s="242"/>
      <c r="N126" s="702"/>
      <c r="O126" s="242"/>
      <c r="P126" s="242"/>
      <c r="Q126" s="242"/>
      <c r="R126" s="242"/>
      <c r="S126" s="243"/>
      <c r="T126" s="703"/>
      <c r="U126" s="242"/>
      <c r="V126" s="242"/>
      <c r="W126" s="1110"/>
      <c r="X126" s="1236"/>
      <c r="Y126" s="1499"/>
      <c r="Z126" s="1071"/>
    </row>
    <row r="127" spans="1:26">
      <c r="A127" s="240"/>
      <c r="B127" s="240"/>
      <c r="C127" s="240"/>
      <c r="D127" s="612"/>
      <c r="E127" s="612"/>
      <c r="F127" s="613"/>
      <c r="G127" s="464"/>
      <c r="H127" s="464"/>
      <c r="I127" s="432"/>
      <c r="J127" s="432"/>
      <c r="K127" s="433"/>
      <c r="L127" s="433"/>
      <c r="M127" s="242"/>
      <c r="N127" s="702"/>
      <c r="O127" s="242"/>
      <c r="P127" s="242"/>
      <c r="Q127" s="242"/>
      <c r="R127" s="242"/>
      <c r="S127" s="243"/>
      <c r="T127" s="703"/>
      <c r="U127" s="242"/>
      <c r="V127" s="242"/>
      <c r="W127" s="1110"/>
      <c r="X127" s="1236"/>
      <c r="Y127" s="1499"/>
      <c r="Z127" s="1071"/>
    </row>
    <row r="128" spans="1:26">
      <c r="A128" s="240"/>
      <c r="B128" s="240"/>
      <c r="C128" s="240"/>
      <c r="D128" s="612"/>
      <c r="E128" s="612"/>
      <c r="F128" s="613"/>
      <c r="G128" s="464"/>
      <c r="H128" s="464"/>
      <c r="I128" s="432"/>
      <c r="J128" s="432"/>
      <c r="K128" s="433"/>
      <c r="L128" s="433"/>
      <c r="M128" s="242"/>
      <c r="N128" s="702"/>
      <c r="O128" s="242"/>
      <c r="P128" s="242"/>
      <c r="Q128" s="242"/>
      <c r="R128" s="242"/>
      <c r="S128" s="243"/>
      <c r="T128" s="703"/>
      <c r="U128" s="242"/>
      <c r="V128" s="242"/>
      <c r="W128" s="1110"/>
      <c r="X128" s="1236"/>
      <c r="Y128" s="1499"/>
      <c r="Z128" s="1071"/>
    </row>
    <row r="129" spans="1:26">
      <c r="A129" s="240"/>
      <c r="B129" s="240"/>
      <c r="C129" s="240"/>
      <c r="D129" s="612"/>
      <c r="E129" s="612"/>
      <c r="F129" s="613"/>
      <c r="G129" s="464"/>
      <c r="H129" s="464"/>
      <c r="I129" s="432"/>
      <c r="J129" s="432"/>
      <c r="K129" s="433"/>
      <c r="L129" s="433"/>
      <c r="M129" s="242"/>
      <c r="N129" s="702"/>
      <c r="O129" s="242"/>
      <c r="P129" s="242"/>
      <c r="Q129" s="242"/>
      <c r="R129" s="242"/>
      <c r="S129" s="243"/>
      <c r="T129" s="703"/>
      <c r="U129" s="242"/>
      <c r="V129" s="242"/>
      <c r="W129" s="1110"/>
      <c r="X129" s="1236"/>
      <c r="Y129" s="1499"/>
      <c r="Z129" s="1071"/>
    </row>
    <row r="130" spans="1:26">
      <c r="A130" s="240"/>
      <c r="B130" s="240"/>
      <c r="C130" s="240"/>
      <c r="D130" s="612"/>
      <c r="E130" s="612"/>
      <c r="F130" s="613"/>
      <c r="G130" s="464"/>
      <c r="H130" s="464"/>
      <c r="I130" s="432"/>
      <c r="J130" s="432"/>
      <c r="K130" s="433"/>
      <c r="L130" s="433"/>
      <c r="M130" s="242"/>
      <c r="N130" s="702"/>
      <c r="O130" s="242"/>
      <c r="P130" s="242"/>
      <c r="Q130" s="242"/>
      <c r="R130" s="242"/>
      <c r="S130" s="243"/>
      <c r="T130" s="703"/>
      <c r="U130" s="242"/>
      <c r="V130" s="242"/>
      <c r="W130" s="1110"/>
      <c r="X130" s="1236"/>
      <c r="Y130" s="1499"/>
      <c r="Z130" s="1071"/>
    </row>
    <row r="131" spans="1:26">
      <c r="A131" s="240"/>
      <c r="B131" s="240"/>
      <c r="C131" s="240"/>
      <c r="D131" s="612"/>
      <c r="E131" s="612"/>
      <c r="F131" s="613"/>
      <c r="G131" s="464"/>
      <c r="H131" s="464"/>
      <c r="I131" s="432"/>
      <c r="J131" s="432"/>
      <c r="K131" s="433"/>
      <c r="L131" s="433"/>
      <c r="M131" s="242"/>
      <c r="N131" s="702"/>
      <c r="O131" s="242"/>
      <c r="P131" s="242"/>
      <c r="Q131" s="242"/>
      <c r="R131" s="242"/>
      <c r="S131" s="243"/>
      <c r="T131" s="703"/>
      <c r="U131" s="242"/>
      <c r="V131" s="242"/>
      <c r="W131" s="1110"/>
      <c r="X131" s="1236"/>
      <c r="Y131" s="1499"/>
      <c r="Z131" s="1071"/>
    </row>
    <row r="132" spans="1:26">
      <c r="A132" s="240"/>
      <c r="B132" s="240"/>
      <c r="C132" s="240"/>
      <c r="D132" s="612"/>
      <c r="E132" s="612"/>
      <c r="F132" s="613"/>
      <c r="G132" s="464"/>
      <c r="H132" s="464"/>
      <c r="I132" s="432"/>
      <c r="J132" s="432"/>
      <c r="K132" s="433"/>
      <c r="L132" s="433"/>
      <c r="M132" s="242"/>
      <c r="N132" s="702"/>
      <c r="O132" s="242"/>
      <c r="P132" s="242"/>
      <c r="Q132" s="242"/>
      <c r="R132" s="242"/>
      <c r="S132" s="243"/>
      <c r="T132" s="703"/>
      <c r="U132" s="242"/>
      <c r="V132" s="242"/>
      <c r="W132" s="1110"/>
      <c r="X132" s="1236"/>
      <c r="Y132" s="1499"/>
      <c r="Z132" s="1071"/>
    </row>
    <row r="133" spans="1:26">
      <c r="A133" s="240"/>
      <c r="B133" s="240"/>
      <c r="C133" s="240"/>
      <c r="D133" s="612"/>
      <c r="E133" s="612"/>
      <c r="F133" s="613"/>
      <c r="G133" s="464"/>
      <c r="H133" s="464"/>
      <c r="I133" s="432"/>
      <c r="J133" s="432"/>
      <c r="K133" s="433"/>
      <c r="L133" s="433"/>
      <c r="M133" s="242"/>
      <c r="N133" s="702"/>
      <c r="O133" s="242"/>
      <c r="P133" s="242"/>
      <c r="Q133" s="242"/>
      <c r="R133" s="242"/>
      <c r="S133" s="243"/>
      <c r="T133" s="703"/>
      <c r="U133" s="242"/>
      <c r="V133" s="242"/>
      <c r="W133" s="1110"/>
      <c r="X133" s="1236"/>
      <c r="Y133" s="1499"/>
      <c r="Z133" s="1071"/>
    </row>
    <row r="134" spans="1:26">
      <c r="A134" s="240"/>
      <c r="B134" s="240"/>
      <c r="C134" s="240"/>
      <c r="D134" s="612"/>
      <c r="E134" s="612"/>
      <c r="F134" s="613"/>
      <c r="G134" s="464"/>
      <c r="H134" s="464"/>
      <c r="I134" s="432"/>
      <c r="J134" s="432"/>
      <c r="K134" s="433"/>
      <c r="L134" s="433"/>
      <c r="M134" s="242"/>
      <c r="N134" s="702"/>
      <c r="O134" s="242"/>
      <c r="P134" s="242"/>
      <c r="Q134" s="242"/>
      <c r="R134" s="242"/>
      <c r="S134" s="243"/>
      <c r="T134" s="703"/>
      <c r="U134" s="242"/>
      <c r="V134" s="242"/>
      <c r="W134" s="1110"/>
      <c r="X134" s="1236"/>
      <c r="Y134" s="1499"/>
      <c r="Z134" s="1071"/>
    </row>
    <row r="135" spans="1:26">
      <c r="A135" s="240"/>
      <c r="B135" s="240"/>
      <c r="C135" s="240"/>
      <c r="D135" s="612"/>
      <c r="E135" s="612"/>
      <c r="F135" s="613"/>
      <c r="G135" s="464"/>
      <c r="H135" s="464"/>
      <c r="I135" s="432"/>
      <c r="J135" s="432"/>
      <c r="K135" s="433"/>
      <c r="L135" s="433"/>
      <c r="M135" s="242"/>
      <c r="N135" s="702"/>
      <c r="O135" s="242"/>
      <c r="P135" s="242"/>
      <c r="Q135" s="242"/>
      <c r="R135" s="242"/>
      <c r="S135" s="243"/>
      <c r="T135" s="703"/>
      <c r="U135" s="242"/>
      <c r="V135" s="242"/>
      <c r="W135" s="1110"/>
      <c r="X135" s="1236"/>
      <c r="Y135" s="1499"/>
      <c r="Z135" s="1071"/>
    </row>
    <row r="136" spans="1:26">
      <c r="A136" s="240"/>
      <c r="B136" s="240"/>
      <c r="C136" s="240"/>
      <c r="D136" s="612"/>
      <c r="E136" s="612"/>
      <c r="F136" s="613"/>
      <c r="G136" s="464"/>
      <c r="H136" s="464"/>
      <c r="I136" s="432"/>
      <c r="J136" s="432"/>
      <c r="K136" s="433"/>
      <c r="L136" s="433"/>
      <c r="M136" s="242"/>
      <c r="N136" s="702"/>
      <c r="O136" s="242"/>
      <c r="P136" s="242"/>
      <c r="Q136" s="242"/>
      <c r="R136" s="242"/>
      <c r="S136" s="243"/>
      <c r="T136" s="703"/>
      <c r="U136" s="242"/>
      <c r="V136" s="242"/>
      <c r="W136" s="1110"/>
      <c r="X136" s="1236"/>
      <c r="Y136" s="1499"/>
      <c r="Z136" s="1071"/>
    </row>
    <row r="137" spans="1:26">
      <c r="A137" s="240"/>
      <c r="B137" s="240"/>
      <c r="C137" s="240"/>
      <c r="D137" s="612"/>
      <c r="E137" s="612"/>
      <c r="F137" s="613"/>
      <c r="G137" s="464"/>
      <c r="H137" s="464"/>
      <c r="I137" s="432"/>
      <c r="J137" s="432"/>
      <c r="K137" s="433"/>
      <c r="L137" s="433"/>
      <c r="M137" s="242"/>
      <c r="N137" s="702"/>
      <c r="O137" s="242"/>
      <c r="P137" s="242"/>
      <c r="Q137" s="242"/>
      <c r="R137" s="242"/>
      <c r="S137" s="243"/>
      <c r="T137" s="703"/>
      <c r="U137" s="242"/>
      <c r="V137" s="242"/>
      <c r="W137" s="1110"/>
      <c r="X137" s="1236"/>
      <c r="Y137" s="1499"/>
      <c r="Z137" s="1071"/>
    </row>
    <row r="138" spans="1:26">
      <c r="A138" s="240"/>
      <c r="B138" s="240"/>
      <c r="C138" s="240"/>
      <c r="D138" s="612"/>
      <c r="E138" s="612"/>
      <c r="F138" s="613"/>
      <c r="G138" s="464"/>
      <c r="H138" s="464"/>
      <c r="I138" s="432"/>
      <c r="J138" s="432"/>
      <c r="K138" s="433"/>
      <c r="L138" s="433"/>
      <c r="M138" s="242"/>
      <c r="N138" s="702"/>
      <c r="O138" s="242"/>
      <c r="P138" s="242"/>
      <c r="Q138" s="242"/>
      <c r="R138" s="242"/>
      <c r="S138" s="243"/>
      <c r="T138" s="703"/>
      <c r="U138" s="242"/>
      <c r="V138" s="242"/>
      <c r="W138" s="1110"/>
      <c r="X138" s="1236"/>
      <c r="Y138" s="1499"/>
      <c r="Z138" s="1071"/>
    </row>
    <row r="139" spans="1:26">
      <c r="A139" s="240"/>
      <c r="B139" s="240"/>
      <c r="C139" s="240"/>
      <c r="D139" s="612"/>
      <c r="E139" s="612"/>
      <c r="F139" s="613"/>
      <c r="G139" s="464"/>
      <c r="H139" s="464"/>
      <c r="I139" s="432"/>
      <c r="J139" s="432"/>
      <c r="K139" s="433"/>
      <c r="L139" s="433"/>
      <c r="M139" s="242"/>
      <c r="N139" s="702"/>
      <c r="O139" s="242"/>
      <c r="P139" s="242"/>
      <c r="Q139" s="242"/>
      <c r="R139" s="242"/>
      <c r="S139" s="243"/>
      <c r="T139" s="703"/>
      <c r="U139" s="242"/>
      <c r="V139" s="242"/>
      <c r="W139" s="1110"/>
      <c r="X139" s="1236"/>
      <c r="Y139" s="1499"/>
      <c r="Z139" s="1071"/>
    </row>
    <row r="140" spans="1:26">
      <c r="A140" s="240"/>
      <c r="B140" s="240"/>
      <c r="C140" s="240"/>
      <c r="D140" s="612"/>
      <c r="E140" s="612"/>
      <c r="F140" s="613"/>
      <c r="G140" s="464"/>
      <c r="H140" s="464"/>
      <c r="I140" s="432"/>
      <c r="J140" s="432"/>
      <c r="K140" s="433"/>
      <c r="L140" s="433"/>
      <c r="M140" s="242"/>
      <c r="N140" s="702"/>
      <c r="O140" s="242"/>
      <c r="P140" s="242"/>
      <c r="Q140" s="242"/>
      <c r="R140" s="242"/>
      <c r="S140" s="243"/>
      <c r="T140" s="703"/>
      <c r="U140" s="242"/>
      <c r="V140" s="242"/>
      <c r="W140" s="1110"/>
      <c r="X140" s="1236"/>
      <c r="Y140" s="1499"/>
      <c r="Z140" s="1071"/>
    </row>
    <row r="141" spans="1:26">
      <c r="A141" s="240"/>
      <c r="B141" s="240"/>
      <c r="C141" s="240"/>
      <c r="D141" s="612"/>
      <c r="E141" s="612"/>
      <c r="F141" s="613"/>
      <c r="G141" s="464"/>
      <c r="H141" s="464"/>
      <c r="I141" s="432"/>
      <c r="J141" s="432"/>
      <c r="K141" s="433"/>
      <c r="L141" s="433"/>
      <c r="M141" s="242"/>
      <c r="N141" s="702"/>
      <c r="O141" s="242"/>
      <c r="P141" s="242"/>
      <c r="Q141" s="242"/>
      <c r="R141" s="242"/>
      <c r="S141" s="243"/>
      <c r="T141" s="703"/>
      <c r="U141" s="242"/>
      <c r="V141" s="242"/>
      <c r="W141" s="1110"/>
      <c r="X141" s="1236"/>
      <c r="Y141" s="1499"/>
      <c r="Z141" s="1071"/>
    </row>
    <row r="142" spans="1:26">
      <c r="A142" s="240"/>
      <c r="B142" s="240"/>
      <c r="C142" s="240"/>
      <c r="D142" s="612"/>
      <c r="E142" s="612"/>
      <c r="F142" s="613"/>
      <c r="G142" s="464"/>
      <c r="H142" s="464"/>
      <c r="I142" s="432"/>
      <c r="J142" s="432"/>
      <c r="K142" s="433"/>
      <c r="L142" s="433"/>
      <c r="M142" s="242"/>
      <c r="N142" s="702"/>
      <c r="O142" s="242"/>
      <c r="P142" s="242"/>
      <c r="Q142" s="242"/>
      <c r="R142" s="242"/>
      <c r="S142" s="243"/>
      <c r="T142" s="703"/>
      <c r="U142" s="242"/>
      <c r="V142" s="242"/>
      <c r="W142" s="1110"/>
      <c r="X142" s="1236"/>
      <c r="Y142" s="1499"/>
      <c r="Z142" s="1071"/>
    </row>
    <row r="143" spans="1:26">
      <c r="A143" s="240"/>
      <c r="B143" s="240"/>
      <c r="C143" s="240"/>
      <c r="D143" s="612"/>
      <c r="E143" s="612"/>
      <c r="F143" s="613"/>
      <c r="G143" s="464"/>
      <c r="H143" s="464"/>
      <c r="I143" s="432"/>
      <c r="J143" s="432"/>
      <c r="K143" s="433"/>
      <c r="L143" s="433"/>
      <c r="M143" s="242"/>
      <c r="N143" s="702"/>
      <c r="O143" s="242"/>
      <c r="P143" s="242"/>
      <c r="Q143" s="242"/>
      <c r="R143" s="242"/>
      <c r="S143" s="243"/>
      <c r="T143" s="703"/>
      <c r="U143" s="242"/>
      <c r="V143" s="242"/>
      <c r="W143" s="1110"/>
      <c r="X143" s="1236"/>
      <c r="Y143" s="1499"/>
      <c r="Z143" s="1071"/>
    </row>
    <row r="144" spans="1:26">
      <c r="A144" s="240"/>
      <c r="B144" s="240"/>
      <c r="C144" s="240"/>
      <c r="D144" s="612"/>
      <c r="E144" s="612"/>
      <c r="F144" s="613"/>
      <c r="G144" s="464"/>
      <c r="H144" s="464"/>
      <c r="I144" s="432"/>
      <c r="J144" s="432"/>
      <c r="K144" s="433"/>
      <c r="L144" s="433"/>
      <c r="M144" s="242"/>
      <c r="N144" s="702"/>
      <c r="O144" s="242"/>
      <c r="P144" s="242"/>
      <c r="Q144" s="242"/>
      <c r="R144" s="242"/>
      <c r="S144" s="243"/>
      <c r="T144" s="703"/>
      <c r="U144" s="242"/>
      <c r="V144" s="242"/>
      <c r="W144" s="1110"/>
      <c r="X144" s="1236"/>
      <c r="Y144" s="1499"/>
      <c r="Z144" s="1071"/>
    </row>
    <row r="145" spans="1:26">
      <c r="A145" s="240"/>
      <c r="B145" s="240"/>
      <c r="C145" s="240"/>
      <c r="D145" s="612"/>
      <c r="E145" s="612"/>
      <c r="F145" s="613"/>
      <c r="G145" s="464"/>
      <c r="H145" s="464"/>
      <c r="I145" s="432"/>
      <c r="J145" s="432"/>
      <c r="K145" s="433"/>
      <c r="L145" s="433"/>
      <c r="M145" s="242"/>
      <c r="N145" s="702"/>
      <c r="O145" s="242"/>
      <c r="P145" s="242"/>
      <c r="Q145" s="242"/>
      <c r="R145" s="242"/>
      <c r="S145" s="243"/>
      <c r="T145" s="703"/>
      <c r="U145" s="242"/>
      <c r="V145" s="242"/>
      <c r="W145" s="1110"/>
      <c r="X145" s="1236"/>
      <c r="Y145" s="1499"/>
      <c r="Z145" s="1071"/>
    </row>
    <row r="146" spans="1:26">
      <c r="A146" s="240"/>
      <c r="B146" s="240"/>
      <c r="C146" s="240"/>
      <c r="D146" s="612"/>
      <c r="E146" s="612"/>
      <c r="F146" s="613"/>
      <c r="G146" s="464"/>
      <c r="H146" s="464"/>
      <c r="I146" s="432"/>
      <c r="J146" s="432"/>
      <c r="K146" s="433"/>
      <c r="L146" s="433"/>
      <c r="M146" s="242"/>
      <c r="N146" s="702"/>
      <c r="O146" s="242"/>
      <c r="P146" s="242"/>
      <c r="Q146" s="242"/>
      <c r="R146" s="242"/>
      <c r="S146" s="243"/>
      <c r="T146" s="703"/>
      <c r="U146" s="242"/>
      <c r="V146" s="242"/>
      <c r="W146" s="1110"/>
      <c r="X146" s="1236"/>
      <c r="Y146" s="1499"/>
      <c r="Z146" s="1071"/>
    </row>
    <row r="147" spans="1:26">
      <c r="A147" s="240"/>
      <c r="B147" s="240"/>
      <c r="C147" s="240"/>
      <c r="D147" s="612"/>
      <c r="E147" s="612"/>
      <c r="F147" s="613"/>
      <c r="G147" s="464"/>
      <c r="H147" s="464"/>
      <c r="I147" s="432"/>
      <c r="J147" s="432"/>
      <c r="K147" s="433"/>
      <c r="L147" s="433"/>
      <c r="M147" s="242"/>
      <c r="N147" s="702"/>
      <c r="O147" s="242"/>
      <c r="P147" s="242"/>
      <c r="Q147" s="242"/>
      <c r="R147" s="242"/>
      <c r="S147" s="243"/>
      <c r="T147" s="703"/>
      <c r="U147" s="242"/>
      <c r="V147" s="242"/>
      <c r="W147" s="1110"/>
      <c r="X147" s="1236"/>
      <c r="Y147" s="1499"/>
      <c r="Z147" s="1071"/>
    </row>
    <row r="148" spans="1:26">
      <c r="A148" s="240"/>
      <c r="B148" s="240"/>
      <c r="C148" s="240"/>
      <c r="D148" s="612"/>
      <c r="E148" s="612"/>
      <c r="F148" s="613"/>
      <c r="G148" s="464"/>
      <c r="H148" s="464"/>
      <c r="I148" s="432"/>
      <c r="J148" s="432"/>
      <c r="K148" s="433"/>
      <c r="L148" s="433"/>
      <c r="M148" s="242"/>
      <c r="N148" s="702"/>
      <c r="O148" s="242"/>
      <c r="P148" s="242"/>
      <c r="Q148" s="242"/>
      <c r="R148" s="242"/>
      <c r="S148" s="243"/>
      <c r="T148" s="703"/>
      <c r="U148" s="242"/>
      <c r="V148" s="242"/>
      <c r="W148" s="1110"/>
      <c r="X148" s="1236"/>
      <c r="Y148" s="1499"/>
      <c r="Z148" s="1071"/>
    </row>
    <row r="149" spans="1:26">
      <c r="A149" s="240"/>
      <c r="B149" s="240"/>
      <c r="C149" s="240"/>
      <c r="D149" s="612"/>
      <c r="E149" s="612"/>
      <c r="F149" s="613"/>
      <c r="G149" s="464"/>
      <c r="H149" s="464"/>
      <c r="I149" s="432"/>
      <c r="J149" s="432"/>
      <c r="K149" s="433"/>
      <c r="L149" s="433"/>
      <c r="M149" s="242"/>
      <c r="N149" s="702"/>
      <c r="O149" s="242"/>
      <c r="P149" s="242"/>
      <c r="Q149" s="242"/>
      <c r="R149" s="242"/>
      <c r="S149" s="243"/>
      <c r="T149" s="703"/>
      <c r="U149" s="242"/>
      <c r="V149" s="242"/>
      <c r="W149" s="1110"/>
      <c r="X149" s="1236"/>
      <c r="Y149" s="1499"/>
      <c r="Z149" s="1071"/>
    </row>
    <row r="150" spans="1:26">
      <c r="A150" s="240"/>
      <c r="B150" s="240"/>
      <c r="C150" s="240"/>
      <c r="D150" s="612"/>
      <c r="E150" s="612"/>
      <c r="F150" s="613"/>
      <c r="G150" s="464"/>
      <c r="H150" s="464"/>
      <c r="I150" s="432"/>
      <c r="J150" s="432"/>
      <c r="K150" s="433"/>
      <c r="L150" s="433"/>
      <c r="M150" s="242"/>
      <c r="N150" s="702"/>
      <c r="O150" s="242"/>
      <c r="P150" s="242"/>
      <c r="Q150" s="242"/>
      <c r="R150" s="242"/>
      <c r="S150" s="243"/>
      <c r="T150" s="703"/>
      <c r="U150" s="242"/>
      <c r="V150" s="242"/>
      <c r="W150" s="1110"/>
      <c r="X150" s="1236"/>
      <c r="Y150" s="1499"/>
      <c r="Z150" s="1071"/>
    </row>
    <row r="151" spans="1:26">
      <c r="A151" s="240"/>
      <c r="B151" s="240"/>
      <c r="C151" s="240"/>
      <c r="D151" s="612"/>
      <c r="E151" s="612"/>
      <c r="F151" s="613"/>
      <c r="G151" s="464"/>
      <c r="H151" s="464"/>
      <c r="I151" s="432"/>
      <c r="J151" s="432"/>
      <c r="K151" s="433"/>
      <c r="L151" s="433"/>
      <c r="M151" s="242"/>
      <c r="N151" s="702"/>
      <c r="O151" s="242"/>
      <c r="P151" s="242"/>
      <c r="Q151" s="242"/>
      <c r="R151" s="242"/>
      <c r="S151" s="243"/>
      <c r="T151" s="703"/>
      <c r="U151" s="242"/>
      <c r="V151" s="242"/>
      <c r="W151" s="1110"/>
      <c r="X151" s="1236"/>
      <c r="Y151" s="1499"/>
      <c r="Z151" s="1071"/>
    </row>
    <row r="152" spans="1:26">
      <c r="A152" s="240"/>
      <c r="B152" s="240"/>
      <c r="C152" s="240"/>
      <c r="D152" s="612"/>
      <c r="E152" s="612"/>
      <c r="F152" s="613"/>
      <c r="G152" s="464"/>
      <c r="H152" s="464"/>
      <c r="I152" s="432"/>
      <c r="J152" s="432"/>
      <c r="K152" s="433"/>
      <c r="L152" s="433"/>
      <c r="M152" s="242"/>
      <c r="N152" s="702"/>
      <c r="O152" s="242"/>
      <c r="P152" s="242"/>
      <c r="Q152" s="242"/>
      <c r="R152" s="242"/>
      <c r="S152" s="243"/>
      <c r="T152" s="703"/>
      <c r="U152" s="242"/>
      <c r="V152" s="242"/>
      <c r="W152" s="1110"/>
      <c r="X152" s="1236"/>
      <c r="Y152" s="1499"/>
      <c r="Z152" s="1071"/>
    </row>
    <row r="153" spans="1:26">
      <c r="A153" s="240"/>
      <c r="B153" s="240"/>
      <c r="C153" s="240"/>
      <c r="D153" s="612"/>
      <c r="E153" s="612"/>
      <c r="F153" s="613"/>
      <c r="G153" s="464"/>
      <c r="H153" s="464"/>
      <c r="I153" s="432"/>
      <c r="J153" s="432"/>
      <c r="K153" s="433"/>
      <c r="L153" s="433"/>
      <c r="M153" s="242"/>
      <c r="N153" s="702"/>
      <c r="O153" s="242"/>
      <c r="P153" s="242"/>
      <c r="Q153" s="242"/>
      <c r="R153" s="242"/>
      <c r="S153" s="243"/>
      <c r="T153" s="703"/>
      <c r="U153" s="242"/>
      <c r="V153" s="242"/>
      <c r="W153" s="1110"/>
      <c r="X153" s="1236"/>
      <c r="Y153" s="1499"/>
      <c r="Z153" s="1071"/>
    </row>
    <row r="154" spans="1:26">
      <c r="A154" s="240"/>
      <c r="B154" s="240"/>
      <c r="C154" s="240"/>
      <c r="D154" s="612"/>
      <c r="E154" s="612"/>
      <c r="F154" s="613"/>
      <c r="G154" s="464"/>
      <c r="H154" s="464"/>
      <c r="I154" s="432"/>
      <c r="J154" s="432"/>
      <c r="K154" s="433"/>
      <c r="L154" s="433"/>
      <c r="M154" s="242"/>
      <c r="N154" s="702"/>
      <c r="O154" s="242"/>
      <c r="P154" s="242"/>
      <c r="Q154" s="242"/>
      <c r="R154" s="242"/>
      <c r="S154" s="243"/>
      <c r="T154" s="703"/>
      <c r="U154" s="242"/>
      <c r="V154" s="242"/>
      <c r="W154" s="1110"/>
      <c r="X154" s="1236"/>
      <c r="Y154" s="1499"/>
      <c r="Z154" s="1071"/>
    </row>
    <row r="155" spans="1:26">
      <c r="A155" s="240"/>
      <c r="B155" s="240"/>
      <c r="C155" s="240"/>
      <c r="D155" s="612"/>
      <c r="E155" s="612"/>
      <c r="F155" s="613"/>
      <c r="G155" s="464"/>
      <c r="H155" s="464"/>
      <c r="I155" s="432"/>
      <c r="J155" s="432"/>
      <c r="K155" s="433"/>
      <c r="L155" s="433"/>
      <c r="M155" s="242"/>
      <c r="N155" s="702"/>
      <c r="O155" s="242"/>
      <c r="P155" s="242"/>
      <c r="Q155" s="242"/>
      <c r="R155" s="242"/>
      <c r="S155" s="243"/>
      <c r="T155" s="703"/>
      <c r="U155" s="242"/>
      <c r="V155" s="242"/>
      <c r="W155" s="1110"/>
      <c r="X155" s="1236"/>
      <c r="Y155" s="1499"/>
      <c r="Z155" s="1071"/>
    </row>
    <row r="156" spans="1:26">
      <c r="A156" s="240"/>
      <c r="B156" s="240"/>
      <c r="C156" s="240"/>
      <c r="D156" s="612"/>
      <c r="E156" s="612"/>
      <c r="F156" s="613"/>
      <c r="G156" s="464"/>
      <c r="H156" s="464"/>
      <c r="I156" s="432"/>
      <c r="J156" s="432"/>
      <c r="K156" s="433"/>
      <c r="L156" s="433"/>
      <c r="M156" s="242"/>
      <c r="N156" s="702"/>
      <c r="O156" s="242"/>
      <c r="P156" s="242"/>
      <c r="Q156" s="242"/>
      <c r="R156" s="242"/>
      <c r="S156" s="243"/>
      <c r="T156" s="703"/>
      <c r="U156" s="242"/>
      <c r="V156" s="242"/>
      <c r="W156" s="1110"/>
      <c r="X156" s="1236"/>
      <c r="Y156" s="1499"/>
      <c r="Z156" s="1071"/>
    </row>
    <row r="157" spans="1:26">
      <c r="A157" s="240"/>
      <c r="B157" s="240"/>
      <c r="C157" s="240"/>
      <c r="D157" s="612"/>
      <c r="E157" s="612"/>
      <c r="F157" s="613"/>
      <c r="G157" s="464"/>
      <c r="H157" s="464"/>
      <c r="I157" s="432"/>
      <c r="J157" s="432"/>
      <c r="K157" s="433"/>
      <c r="L157" s="433"/>
      <c r="M157" s="242"/>
      <c r="N157" s="702"/>
      <c r="O157" s="242"/>
      <c r="P157" s="242"/>
      <c r="Q157" s="242"/>
      <c r="R157" s="242"/>
      <c r="S157" s="243"/>
      <c r="T157" s="703"/>
      <c r="U157" s="242"/>
      <c r="V157" s="242"/>
      <c r="W157" s="1110"/>
      <c r="X157" s="1236"/>
      <c r="Y157" s="1499"/>
      <c r="Z157" s="1071"/>
    </row>
    <row r="158" spans="1:26">
      <c r="A158" s="240"/>
      <c r="B158" s="240"/>
      <c r="C158" s="240"/>
      <c r="D158" s="612"/>
      <c r="E158" s="612"/>
      <c r="F158" s="613"/>
      <c r="G158" s="464"/>
      <c r="H158" s="464"/>
      <c r="I158" s="432"/>
      <c r="J158" s="432"/>
      <c r="K158" s="433"/>
      <c r="L158" s="433"/>
      <c r="M158" s="242"/>
      <c r="N158" s="702"/>
      <c r="O158" s="242"/>
      <c r="P158" s="242"/>
      <c r="Q158" s="242"/>
      <c r="R158" s="242"/>
      <c r="S158" s="243"/>
      <c r="T158" s="703"/>
      <c r="U158" s="242"/>
      <c r="V158" s="242"/>
      <c r="W158" s="1110"/>
      <c r="X158" s="1236"/>
      <c r="Y158" s="1499"/>
      <c r="Z158" s="1071"/>
    </row>
    <row r="159" spans="1:26">
      <c r="A159" s="240"/>
      <c r="B159" s="240"/>
      <c r="C159" s="240"/>
      <c r="D159" s="612"/>
      <c r="E159" s="612"/>
      <c r="F159" s="613"/>
      <c r="G159" s="464"/>
      <c r="H159" s="464"/>
      <c r="I159" s="432"/>
      <c r="J159" s="432"/>
      <c r="K159" s="433"/>
      <c r="L159" s="433"/>
      <c r="M159" s="242"/>
      <c r="N159" s="702"/>
      <c r="O159" s="242"/>
      <c r="P159" s="242"/>
      <c r="Q159" s="242"/>
      <c r="R159" s="242"/>
      <c r="S159" s="243"/>
      <c r="T159" s="703"/>
      <c r="U159" s="242"/>
      <c r="V159" s="242"/>
      <c r="W159" s="1110"/>
      <c r="X159" s="1236"/>
      <c r="Y159" s="1499"/>
      <c r="Z159" s="1071"/>
    </row>
    <row r="160" spans="1:26">
      <c r="A160" s="240"/>
      <c r="B160" s="240"/>
      <c r="C160" s="240"/>
      <c r="D160" s="612"/>
      <c r="E160" s="612"/>
      <c r="F160" s="613"/>
      <c r="G160" s="464"/>
      <c r="H160" s="464"/>
      <c r="I160" s="432"/>
      <c r="J160" s="432"/>
      <c r="K160" s="433"/>
      <c r="L160" s="433"/>
      <c r="M160" s="242"/>
      <c r="N160" s="702"/>
      <c r="O160" s="242"/>
      <c r="P160" s="242"/>
      <c r="Q160" s="242"/>
      <c r="R160" s="242"/>
      <c r="S160" s="243"/>
      <c r="T160" s="703"/>
      <c r="U160" s="242"/>
      <c r="V160" s="242"/>
      <c r="W160" s="1110"/>
      <c r="X160" s="1236"/>
      <c r="Y160" s="1499"/>
      <c r="Z160" s="1071"/>
    </row>
    <row r="161" spans="1:26">
      <c r="A161" s="240"/>
      <c r="B161" s="240"/>
      <c r="C161" s="240"/>
      <c r="D161" s="612"/>
      <c r="E161" s="612"/>
      <c r="F161" s="613"/>
      <c r="G161" s="464"/>
      <c r="H161" s="464"/>
      <c r="I161" s="432"/>
      <c r="J161" s="432"/>
      <c r="K161" s="433"/>
      <c r="L161" s="433"/>
      <c r="M161" s="242"/>
      <c r="N161" s="702"/>
      <c r="O161" s="242"/>
      <c r="P161" s="242"/>
      <c r="Q161" s="242"/>
      <c r="R161" s="242"/>
      <c r="S161" s="243"/>
      <c r="T161" s="703"/>
      <c r="U161" s="242"/>
      <c r="V161" s="242"/>
      <c r="W161" s="1110"/>
      <c r="X161" s="1236"/>
      <c r="Y161" s="1499"/>
      <c r="Z161" s="1071"/>
    </row>
    <row r="162" spans="1:26">
      <c r="A162" s="240"/>
      <c r="B162" s="240"/>
      <c r="C162" s="240"/>
      <c r="D162" s="612"/>
      <c r="E162" s="612"/>
      <c r="F162" s="613"/>
      <c r="G162" s="464"/>
      <c r="H162" s="464"/>
      <c r="I162" s="432"/>
      <c r="J162" s="432"/>
      <c r="K162" s="433"/>
      <c r="L162" s="433"/>
      <c r="M162" s="242"/>
      <c r="N162" s="702"/>
      <c r="O162" s="242"/>
      <c r="P162" s="242"/>
      <c r="Q162" s="242"/>
      <c r="R162" s="242"/>
      <c r="S162" s="243"/>
      <c r="T162" s="703"/>
      <c r="U162" s="242"/>
      <c r="V162" s="242"/>
      <c r="W162" s="1110"/>
      <c r="X162" s="1236"/>
      <c r="Y162" s="1499"/>
      <c r="Z162" s="1071"/>
    </row>
    <row r="163" spans="1:26">
      <c r="A163" s="240"/>
      <c r="B163" s="240"/>
      <c r="C163" s="240"/>
      <c r="D163" s="612"/>
      <c r="E163" s="612"/>
      <c r="F163" s="613"/>
      <c r="G163" s="464"/>
      <c r="H163" s="464"/>
      <c r="I163" s="432"/>
      <c r="J163" s="432"/>
      <c r="K163" s="433"/>
      <c r="L163" s="433"/>
      <c r="M163" s="242"/>
      <c r="N163" s="702"/>
      <c r="O163" s="242"/>
      <c r="P163" s="242"/>
      <c r="Q163" s="242"/>
      <c r="R163" s="242"/>
      <c r="S163" s="243"/>
      <c r="T163" s="703"/>
      <c r="U163" s="242"/>
      <c r="V163" s="242"/>
      <c r="W163" s="1110"/>
      <c r="X163" s="1236"/>
      <c r="Y163" s="1499"/>
      <c r="Z163" s="1071"/>
    </row>
    <row r="164" spans="1:26">
      <c r="A164" s="240"/>
      <c r="B164" s="240"/>
      <c r="C164" s="240"/>
      <c r="D164" s="612"/>
      <c r="E164" s="612"/>
      <c r="F164" s="613"/>
      <c r="G164" s="464"/>
      <c r="H164" s="464"/>
      <c r="I164" s="432"/>
      <c r="J164" s="432"/>
      <c r="K164" s="433"/>
      <c r="L164" s="433"/>
      <c r="M164" s="242"/>
      <c r="N164" s="702"/>
      <c r="O164" s="242"/>
      <c r="P164" s="242"/>
      <c r="Q164" s="242"/>
      <c r="R164" s="242"/>
      <c r="S164" s="243"/>
      <c r="T164" s="703"/>
      <c r="U164" s="242"/>
      <c r="V164" s="242"/>
      <c r="W164" s="1110"/>
      <c r="X164" s="1236"/>
      <c r="Y164" s="1499"/>
      <c r="Z164" s="1071"/>
    </row>
    <row r="165" spans="1:26">
      <c r="A165" s="240"/>
      <c r="B165" s="240"/>
      <c r="C165" s="240"/>
      <c r="D165" s="612"/>
      <c r="E165" s="612"/>
      <c r="F165" s="613"/>
      <c r="G165" s="464"/>
      <c r="H165" s="464"/>
      <c r="I165" s="432"/>
      <c r="J165" s="432"/>
      <c r="K165" s="433"/>
      <c r="L165" s="433"/>
      <c r="M165" s="242"/>
      <c r="N165" s="702"/>
      <c r="O165" s="242"/>
      <c r="P165" s="242"/>
      <c r="Q165" s="242"/>
      <c r="R165" s="242"/>
      <c r="S165" s="243"/>
      <c r="T165" s="703"/>
      <c r="U165" s="242"/>
      <c r="V165" s="242"/>
      <c r="W165" s="1110"/>
      <c r="X165" s="1236"/>
      <c r="Y165" s="1499"/>
      <c r="Z165" s="1071"/>
    </row>
    <row r="166" spans="1:26">
      <c r="A166" s="240"/>
      <c r="B166" s="240"/>
      <c r="C166" s="240"/>
      <c r="D166" s="612"/>
      <c r="E166" s="612"/>
      <c r="F166" s="613"/>
      <c r="G166" s="464"/>
      <c r="H166" s="464"/>
      <c r="I166" s="432"/>
      <c r="J166" s="432"/>
      <c r="K166" s="433"/>
      <c r="L166" s="433"/>
      <c r="M166" s="242"/>
      <c r="N166" s="702"/>
      <c r="O166" s="242"/>
      <c r="P166" s="242"/>
      <c r="Q166" s="242"/>
      <c r="R166" s="242"/>
      <c r="S166" s="243"/>
      <c r="T166" s="703"/>
      <c r="U166" s="242"/>
      <c r="V166" s="242"/>
      <c r="W166" s="1110"/>
      <c r="X166" s="1236"/>
      <c r="Y166" s="1499"/>
      <c r="Z166" s="1071"/>
    </row>
    <row r="167" spans="1:26">
      <c r="A167" s="240"/>
      <c r="B167" s="240"/>
      <c r="C167" s="240"/>
      <c r="D167" s="612"/>
      <c r="E167" s="612"/>
      <c r="F167" s="613"/>
      <c r="G167" s="464"/>
      <c r="H167" s="464"/>
      <c r="I167" s="432"/>
      <c r="J167" s="432"/>
      <c r="K167" s="433"/>
      <c r="L167" s="433"/>
      <c r="M167" s="242"/>
      <c r="N167" s="702"/>
      <c r="O167" s="242"/>
      <c r="P167" s="242"/>
      <c r="Q167" s="242"/>
      <c r="R167" s="242"/>
      <c r="S167" s="243"/>
      <c r="T167" s="703"/>
      <c r="U167" s="242"/>
      <c r="V167" s="242"/>
      <c r="W167" s="1110"/>
      <c r="X167" s="1236"/>
      <c r="Y167" s="1499"/>
      <c r="Z167" s="1071"/>
    </row>
    <row r="168" spans="1:26">
      <c r="A168" s="240"/>
      <c r="B168" s="240"/>
      <c r="C168" s="240"/>
      <c r="D168" s="612"/>
      <c r="E168" s="612"/>
      <c r="F168" s="613"/>
      <c r="G168" s="464"/>
      <c r="H168" s="464"/>
      <c r="I168" s="432"/>
      <c r="J168" s="432"/>
      <c r="K168" s="433"/>
      <c r="L168" s="433"/>
      <c r="M168" s="242"/>
      <c r="N168" s="702"/>
      <c r="O168" s="242"/>
      <c r="P168" s="242"/>
      <c r="Q168" s="242"/>
      <c r="R168" s="242"/>
      <c r="S168" s="243"/>
      <c r="T168" s="703"/>
      <c r="U168" s="242"/>
      <c r="V168" s="242"/>
      <c r="W168" s="1110"/>
      <c r="X168" s="1236"/>
      <c r="Y168" s="1499"/>
      <c r="Z168" s="1071"/>
    </row>
    <row r="169" spans="1:26">
      <c r="A169" s="240"/>
      <c r="B169" s="240"/>
      <c r="C169" s="240"/>
      <c r="D169" s="612"/>
      <c r="E169" s="612"/>
      <c r="F169" s="613"/>
      <c r="G169" s="464"/>
      <c r="H169" s="464"/>
      <c r="I169" s="432"/>
      <c r="J169" s="432"/>
      <c r="K169" s="433"/>
      <c r="L169" s="433"/>
      <c r="M169" s="242"/>
      <c r="N169" s="702"/>
      <c r="O169" s="242"/>
      <c r="P169" s="242"/>
      <c r="Q169" s="242"/>
      <c r="R169" s="242"/>
      <c r="S169" s="243"/>
      <c r="T169" s="703"/>
      <c r="U169" s="242"/>
      <c r="V169" s="242"/>
      <c r="W169" s="1110"/>
      <c r="X169" s="1236"/>
      <c r="Y169" s="1499"/>
      <c r="Z169" s="1071"/>
    </row>
    <row r="170" spans="1:26">
      <c r="A170" s="240"/>
      <c r="B170" s="240"/>
      <c r="C170" s="240"/>
      <c r="D170" s="612"/>
      <c r="E170" s="612"/>
      <c r="F170" s="613"/>
      <c r="G170" s="464"/>
      <c r="H170" s="464"/>
      <c r="I170" s="432"/>
      <c r="J170" s="432"/>
      <c r="K170" s="433"/>
      <c r="L170" s="433"/>
      <c r="M170" s="242"/>
      <c r="N170" s="702"/>
      <c r="O170" s="242"/>
      <c r="P170" s="242"/>
      <c r="Q170" s="242"/>
      <c r="R170" s="242"/>
      <c r="S170" s="243"/>
      <c r="T170" s="703"/>
      <c r="U170" s="242"/>
      <c r="V170" s="242"/>
      <c r="W170" s="1110"/>
      <c r="X170" s="1236"/>
      <c r="Y170" s="1499"/>
      <c r="Z170" s="1071"/>
    </row>
    <row r="171" spans="1:26">
      <c r="A171" s="240"/>
      <c r="B171" s="240"/>
      <c r="C171" s="240"/>
      <c r="D171" s="612"/>
      <c r="E171" s="612"/>
      <c r="F171" s="613"/>
      <c r="G171" s="464"/>
      <c r="H171" s="464"/>
      <c r="I171" s="432"/>
      <c r="J171" s="432"/>
      <c r="K171" s="433"/>
      <c r="L171" s="433"/>
      <c r="M171" s="242"/>
      <c r="N171" s="702"/>
      <c r="O171" s="242"/>
      <c r="P171" s="242"/>
      <c r="Q171" s="242"/>
      <c r="R171" s="242"/>
      <c r="S171" s="243"/>
      <c r="T171" s="703"/>
      <c r="U171" s="242"/>
      <c r="V171" s="242"/>
      <c r="W171" s="1110"/>
      <c r="X171" s="1236"/>
      <c r="Y171" s="1499"/>
      <c r="Z171" s="1071"/>
    </row>
    <row r="172" spans="1:26">
      <c r="A172" s="240"/>
      <c r="B172" s="240"/>
      <c r="C172" s="240"/>
      <c r="D172" s="612"/>
      <c r="E172" s="612"/>
      <c r="F172" s="613"/>
      <c r="G172" s="464"/>
      <c r="H172" s="464"/>
      <c r="I172" s="432"/>
      <c r="J172" s="432"/>
      <c r="K172" s="433"/>
      <c r="L172" s="433"/>
      <c r="M172" s="242"/>
      <c r="N172" s="702"/>
      <c r="O172" s="242"/>
      <c r="P172" s="242"/>
      <c r="Q172" s="242"/>
      <c r="R172" s="242"/>
      <c r="S172" s="243"/>
      <c r="T172" s="703"/>
      <c r="U172" s="242"/>
      <c r="V172" s="242"/>
      <c r="W172" s="1110"/>
      <c r="X172" s="1236"/>
      <c r="Y172" s="1499"/>
      <c r="Z172" s="1071"/>
    </row>
    <row r="173" spans="1:26">
      <c r="A173" s="240"/>
      <c r="B173" s="240"/>
      <c r="C173" s="240"/>
      <c r="D173" s="612"/>
      <c r="E173" s="612"/>
      <c r="F173" s="613"/>
      <c r="G173" s="464"/>
      <c r="H173" s="464"/>
      <c r="I173" s="432"/>
      <c r="J173" s="432"/>
      <c r="K173" s="433"/>
      <c r="L173" s="433"/>
      <c r="M173" s="242"/>
      <c r="N173" s="702"/>
      <c r="O173" s="242"/>
      <c r="P173" s="242"/>
      <c r="Q173" s="242"/>
      <c r="R173" s="242"/>
      <c r="S173" s="243"/>
      <c r="T173" s="703"/>
      <c r="U173" s="242"/>
      <c r="V173" s="242"/>
      <c r="W173" s="1110"/>
      <c r="X173" s="1236"/>
      <c r="Y173" s="1499"/>
      <c r="Z173" s="1071"/>
    </row>
    <row r="174" spans="1:26">
      <c r="A174" s="240"/>
      <c r="B174" s="240"/>
      <c r="C174" s="240"/>
      <c r="D174" s="612"/>
      <c r="E174" s="612"/>
      <c r="F174" s="613"/>
      <c r="G174" s="464"/>
      <c r="H174" s="464"/>
      <c r="I174" s="432"/>
      <c r="J174" s="432"/>
      <c r="K174" s="433"/>
      <c r="L174" s="433"/>
      <c r="M174" s="242"/>
      <c r="N174" s="702"/>
      <c r="O174" s="242"/>
      <c r="P174" s="242"/>
      <c r="Q174" s="242"/>
      <c r="R174" s="242"/>
      <c r="S174" s="243"/>
      <c r="T174" s="703"/>
      <c r="U174" s="242"/>
      <c r="V174" s="242"/>
      <c r="W174" s="1110"/>
      <c r="X174" s="1236"/>
      <c r="Y174" s="1499"/>
      <c r="Z174" s="1071"/>
    </row>
    <row r="175" spans="1:26">
      <c r="A175" s="240"/>
      <c r="B175" s="240"/>
      <c r="C175" s="240"/>
      <c r="D175" s="612"/>
      <c r="E175" s="612"/>
      <c r="F175" s="613"/>
      <c r="G175" s="464"/>
      <c r="H175" s="464"/>
      <c r="I175" s="432"/>
      <c r="J175" s="432"/>
      <c r="K175" s="433"/>
      <c r="L175" s="433"/>
      <c r="M175" s="242"/>
      <c r="N175" s="702"/>
      <c r="O175" s="242"/>
      <c r="P175" s="242"/>
      <c r="Q175" s="242"/>
      <c r="R175" s="242"/>
      <c r="S175" s="243"/>
      <c r="T175" s="703"/>
      <c r="U175" s="242"/>
      <c r="V175" s="242"/>
      <c r="W175" s="1110"/>
      <c r="X175" s="1236"/>
      <c r="Y175" s="1499"/>
      <c r="Z175" s="1071"/>
    </row>
    <row r="176" spans="1:26">
      <c r="A176" s="240"/>
      <c r="B176" s="240"/>
      <c r="C176" s="240"/>
      <c r="D176" s="612"/>
      <c r="E176" s="612"/>
      <c r="F176" s="613"/>
      <c r="G176" s="464"/>
      <c r="H176" s="464"/>
      <c r="I176" s="432"/>
      <c r="J176" s="432"/>
      <c r="K176" s="433"/>
      <c r="L176" s="433"/>
      <c r="M176" s="242"/>
      <c r="N176" s="702"/>
      <c r="O176" s="242"/>
      <c r="P176" s="242"/>
      <c r="Q176" s="242"/>
      <c r="R176" s="242"/>
      <c r="S176" s="243"/>
      <c r="T176" s="703"/>
      <c r="U176" s="242"/>
      <c r="V176" s="242"/>
      <c r="W176" s="1110"/>
      <c r="X176" s="1236"/>
      <c r="Y176" s="1499"/>
      <c r="Z176" s="1071"/>
    </row>
    <row r="177" spans="1:26">
      <c r="A177" s="240"/>
      <c r="B177" s="240"/>
      <c r="C177" s="240"/>
      <c r="D177" s="612"/>
      <c r="E177" s="612"/>
      <c r="F177" s="613"/>
      <c r="G177" s="464"/>
      <c r="H177" s="464"/>
      <c r="I177" s="432"/>
      <c r="J177" s="432"/>
      <c r="K177" s="433"/>
      <c r="L177" s="433"/>
      <c r="M177" s="242"/>
      <c r="N177" s="702"/>
      <c r="O177" s="242"/>
      <c r="P177" s="242"/>
      <c r="Q177" s="242"/>
      <c r="R177" s="242"/>
      <c r="S177" s="243"/>
      <c r="T177" s="703"/>
      <c r="U177" s="242"/>
      <c r="V177" s="242"/>
      <c r="W177" s="1110"/>
      <c r="X177" s="1236"/>
      <c r="Y177" s="1499"/>
      <c r="Z177" s="1071"/>
    </row>
    <row r="178" spans="1:26">
      <c r="A178" s="240"/>
      <c r="B178" s="240"/>
      <c r="C178" s="240"/>
      <c r="D178" s="612"/>
      <c r="E178" s="612"/>
      <c r="F178" s="613"/>
      <c r="G178" s="464"/>
      <c r="H178" s="464"/>
      <c r="I178" s="432"/>
      <c r="J178" s="432"/>
      <c r="K178" s="433"/>
      <c r="L178" s="433"/>
      <c r="M178" s="242"/>
      <c r="N178" s="702"/>
      <c r="O178" s="242"/>
      <c r="P178" s="242"/>
      <c r="Q178" s="242"/>
      <c r="R178" s="242"/>
      <c r="S178" s="243"/>
      <c r="T178" s="703"/>
      <c r="U178" s="242"/>
      <c r="V178" s="242"/>
      <c r="W178" s="1110"/>
      <c r="X178" s="1236"/>
      <c r="Y178" s="1499"/>
      <c r="Z178" s="1071"/>
    </row>
    <row r="179" spans="1:26">
      <c r="A179" s="240"/>
      <c r="B179" s="240"/>
      <c r="C179" s="240"/>
      <c r="D179" s="612"/>
      <c r="E179" s="612"/>
      <c r="F179" s="613"/>
      <c r="G179" s="464"/>
      <c r="H179" s="464"/>
      <c r="I179" s="432"/>
      <c r="J179" s="432"/>
      <c r="K179" s="433"/>
      <c r="L179" s="433"/>
      <c r="M179" s="242"/>
      <c r="N179" s="702"/>
      <c r="O179" s="242"/>
      <c r="P179" s="242"/>
      <c r="Q179" s="242"/>
      <c r="R179" s="242"/>
      <c r="S179" s="243"/>
      <c r="T179" s="703"/>
      <c r="U179" s="242"/>
      <c r="V179" s="242"/>
      <c r="W179" s="1110"/>
      <c r="X179" s="1236"/>
      <c r="Y179" s="1499"/>
      <c r="Z179" s="1071"/>
    </row>
    <row r="180" spans="1:26">
      <c r="A180" s="240"/>
      <c r="B180" s="240"/>
      <c r="C180" s="240"/>
      <c r="D180" s="612"/>
      <c r="E180" s="612"/>
      <c r="F180" s="613"/>
      <c r="G180" s="464"/>
      <c r="H180" s="464"/>
      <c r="I180" s="432"/>
      <c r="J180" s="432"/>
      <c r="K180" s="433"/>
      <c r="L180" s="433"/>
      <c r="M180" s="242"/>
      <c r="N180" s="702"/>
      <c r="O180" s="242"/>
      <c r="P180" s="242"/>
      <c r="Q180" s="242"/>
      <c r="R180" s="242"/>
      <c r="S180" s="243"/>
      <c r="T180" s="703"/>
      <c r="U180" s="242"/>
      <c r="V180" s="242"/>
      <c r="W180" s="1110"/>
      <c r="X180" s="1236"/>
      <c r="Y180" s="1499"/>
      <c r="Z180" s="1071"/>
    </row>
    <row r="181" spans="1:26">
      <c r="A181" s="240"/>
      <c r="B181" s="240"/>
      <c r="C181" s="240"/>
      <c r="D181" s="612"/>
      <c r="E181" s="612"/>
      <c r="F181" s="613"/>
      <c r="G181" s="464"/>
      <c r="H181" s="464"/>
      <c r="I181" s="432"/>
      <c r="J181" s="432"/>
      <c r="K181" s="433"/>
      <c r="L181" s="433"/>
      <c r="M181" s="242"/>
      <c r="N181" s="702"/>
      <c r="O181" s="242"/>
      <c r="P181" s="242"/>
      <c r="Q181" s="242"/>
      <c r="R181" s="242"/>
      <c r="S181" s="243"/>
      <c r="T181" s="703"/>
      <c r="U181" s="242"/>
      <c r="V181" s="242"/>
      <c r="W181" s="1110"/>
      <c r="X181" s="1236"/>
      <c r="Y181" s="1499"/>
      <c r="Z181" s="1071"/>
    </row>
    <row r="182" spans="1:26">
      <c r="A182" s="240"/>
      <c r="B182" s="240"/>
      <c r="C182" s="240"/>
      <c r="D182" s="612"/>
      <c r="E182" s="612"/>
      <c r="F182" s="613"/>
      <c r="G182" s="464"/>
      <c r="H182" s="464"/>
      <c r="I182" s="432"/>
      <c r="J182" s="432"/>
      <c r="K182" s="433"/>
      <c r="L182" s="433"/>
      <c r="M182" s="242"/>
      <c r="N182" s="702"/>
      <c r="O182" s="242"/>
      <c r="P182" s="242"/>
      <c r="Q182" s="242"/>
      <c r="R182" s="242"/>
      <c r="S182" s="243"/>
      <c r="T182" s="703"/>
      <c r="U182" s="242"/>
      <c r="V182" s="242"/>
      <c r="W182" s="1110"/>
      <c r="X182" s="1236"/>
      <c r="Y182" s="1499"/>
      <c r="Z182" s="1071"/>
    </row>
    <row r="183" spans="1:26">
      <c r="A183" s="240"/>
      <c r="B183" s="240"/>
      <c r="C183" s="240"/>
      <c r="D183" s="612"/>
      <c r="E183" s="612"/>
      <c r="F183" s="613"/>
      <c r="G183" s="464"/>
      <c r="H183" s="464"/>
      <c r="I183" s="432"/>
      <c r="J183" s="432"/>
      <c r="K183" s="433"/>
      <c r="L183" s="433"/>
      <c r="M183" s="242"/>
      <c r="N183" s="702"/>
      <c r="O183" s="242"/>
      <c r="P183" s="242"/>
      <c r="Q183" s="242"/>
      <c r="R183" s="242"/>
      <c r="S183" s="243"/>
      <c r="T183" s="703"/>
      <c r="U183" s="242"/>
      <c r="V183" s="242"/>
      <c r="W183" s="1110"/>
      <c r="X183" s="1236"/>
      <c r="Y183" s="1499"/>
      <c r="Z183" s="1071"/>
    </row>
  </sheetData>
  <sheetProtection formatCells="0" formatColumns="0" formatRows="0"/>
  <mergeCells count="3">
    <mergeCell ref="H28:I28"/>
    <mergeCell ref="H5:I5"/>
    <mergeCell ref="S7:T7"/>
  </mergeCells>
  <phoneticPr fontId="11" type="noConversion"/>
  <dataValidations count="5">
    <dataValidation type="list" allowBlank="1" showInputMessage="1" showErrorMessage="1" sqref="E31:E46 G31:G46">
      <formula1>Rate</formula1>
    </dataValidation>
    <dataValidation type="list" allowBlank="1" showInputMessage="1" showErrorMessage="1" sqref="D19:D24">
      <formula1>LUC_ini</formula1>
    </dataValidation>
    <dataValidation type="list" allowBlank="1" showInputMessage="1" showErrorMessage="1" sqref="F19:F24">
      <formula1>LUC_fin</formula1>
    </dataValidation>
    <dataValidation type="list" allowBlank="1" showInputMessage="1" showErrorMessage="1" sqref="J9:J24">
      <formula1>YES_NO</formula1>
    </dataValidation>
    <dataValidation type="decimal" operator="greaterThanOrEqual" allowBlank="1" showInputMessage="1" showErrorMessage="1" sqref="D31:D46 F31:F46">
      <formula1>0</formula1>
    </dataValidation>
  </dataValidations>
  <hyperlinks>
    <hyperlink ref="H5" location="Description!A1" display="Back to Description"/>
  </hyperlinks>
  <pageMargins left="0.45" right="0.38" top="0.984251969" bottom="0.984251969" header="0.4921259845" footer="0.4921259845"/>
  <pageSetup paperSize="9" scale="59" orientation="landscape" horizontalDpi="1200" verticalDpi="1200" r:id="rId1"/>
  <headerFooter alignWithMargins="0">
    <oddHeader>Page &amp;P&amp;R&amp;A</oddHeader>
    <oddFooter>&amp;F</oddFooter>
  </headerFooter>
  <ignoredErrors>
    <ignoredError sqref="AE1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2"/>
    <pageSetUpPr fitToPage="1"/>
  </sheetPr>
  <dimension ref="A1:AS64"/>
  <sheetViews>
    <sheetView zoomScale="80" zoomScaleNormal="80" workbookViewId="0">
      <pane ySplit="5" topLeftCell="A6" activePane="bottomLeft" state="frozen"/>
      <selection pane="bottomLeft" activeCell="J19" sqref="J19"/>
    </sheetView>
  </sheetViews>
  <sheetFormatPr defaultColWidth="11.42578125" defaultRowHeight="12.75"/>
  <cols>
    <col min="1" max="1" width="15" style="233" customWidth="1"/>
    <col min="2" max="2" width="11.140625" style="233" customWidth="1"/>
    <col min="3" max="3" width="12.7109375" style="233" customWidth="1"/>
    <col min="4" max="4" width="14.7109375" style="233" customWidth="1"/>
    <col min="5" max="5" width="11.42578125" style="233"/>
    <col min="6" max="6" width="10.7109375" style="233" customWidth="1"/>
    <col min="7" max="7" width="8.42578125" style="233" customWidth="1"/>
    <col min="8" max="8" width="12.28515625" style="233" customWidth="1"/>
    <col min="9" max="9" width="11.5703125" style="234" customWidth="1"/>
    <col min="10" max="10" width="16.140625" style="234" customWidth="1"/>
    <col min="11" max="11" width="12.5703125" style="233" customWidth="1"/>
    <col min="12" max="12" width="11.42578125" style="233"/>
    <col min="13" max="13" width="11.28515625" style="233" customWidth="1"/>
    <col min="14" max="14" width="8.7109375" style="233" customWidth="1"/>
    <col min="15" max="15" width="9.42578125" style="234" customWidth="1"/>
    <col min="16" max="16" width="10.5703125" style="233" customWidth="1"/>
    <col min="17" max="17" width="10.140625" style="234" customWidth="1"/>
    <col min="18" max="18" width="13.85546875" style="234" customWidth="1"/>
    <col min="19" max="19" width="14.42578125" style="234" customWidth="1"/>
    <col min="20" max="20" width="13.85546875" style="233" customWidth="1"/>
    <col min="21" max="21" width="12" style="233" customWidth="1"/>
    <col min="22" max="22" width="1.85546875" style="234" customWidth="1"/>
    <col min="23" max="23" width="5.42578125" style="234" customWidth="1"/>
    <col min="24" max="24" width="7.42578125" style="234" customWidth="1"/>
    <col min="25" max="25" width="3.85546875" style="234" customWidth="1"/>
    <col min="26" max="28" width="11.42578125" style="233"/>
    <col min="29" max="29" width="11.42578125" style="739"/>
    <col min="30" max="30" width="11.42578125" style="2403"/>
    <col min="31" max="36" width="11.42578125" style="2404"/>
    <col min="37" max="40" width="11.42578125" style="739"/>
    <col min="41" max="45" width="11.42578125" style="1490"/>
    <col min="46" max="16384" width="11.42578125" style="233"/>
  </cols>
  <sheetData>
    <row r="1" spans="1:45" s="1644" customFormat="1" ht="22.9" customHeight="1">
      <c r="I1" s="1648"/>
      <c r="J1" s="1648"/>
      <c r="O1" s="1648"/>
      <c r="Q1" s="1648"/>
      <c r="R1" s="1648"/>
      <c r="S1" s="1648"/>
      <c r="V1" s="1648"/>
      <c r="W1" s="1648"/>
      <c r="X1" s="1648"/>
      <c r="Y1" s="1648"/>
      <c r="AC1" s="1692"/>
      <c r="AD1" s="2401"/>
      <c r="AE1" s="2402"/>
      <c r="AF1" s="2402"/>
      <c r="AG1" s="2402"/>
      <c r="AH1" s="2402"/>
      <c r="AI1" s="2402"/>
      <c r="AJ1" s="2402"/>
      <c r="AK1" s="1692"/>
      <c r="AL1" s="1692"/>
      <c r="AM1" s="1692"/>
      <c r="AN1" s="1692"/>
      <c r="AO1" s="1700"/>
      <c r="AP1" s="1700"/>
      <c r="AQ1" s="1700"/>
      <c r="AR1" s="1700"/>
      <c r="AS1" s="1700"/>
    </row>
    <row r="2" spans="1:45" s="1644" customFormat="1" ht="22.9" customHeight="1">
      <c r="I2" s="1648"/>
      <c r="J2" s="1648"/>
      <c r="O2" s="1648"/>
      <c r="Q2" s="1648"/>
      <c r="R2" s="1648"/>
      <c r="S2" s="1648"/>
      <c r="V2" s="1648"/>
      <c r="W2" s="1648"/>
      <c r="X2" s="1648"/>
      <c r="Y2" s="1648"/>
      <c r="AC2" s="1692"/>
      <c r="AD2" s="2401"/>
      <c r="AE2" s="2402"/>
      <c r="AF2" s="2402"/>
      <c r="AG2" s="2402"/>
      <c r="AH2" s="2402"/>
      <c r="AI2" s="2402"/>
      <c r="AJ2" s="2402"/>
      <c r="AK2" s="1692"/>
      <c r="AL2" s="1692"/>
      <c r="AM2" s="1692"/>
      <c r="AN2" s="1692"/>
      <c r="AO2" s="1700"/>
      <c r="AP2" s="1700"/>
      <c r="AQ2" s="1700"/>
      <c r="AR2" s="1700"/>
      <c r="AS2" s="1700"/>
    </row>
    <row r="3" spans="1:45" s="1644" customFormat="1" ht="22.9" customHeight="1">
      <c r="I3" s="1648"/>
      <c r="J3" s="1648"/>
      <c r="O3" s="1648"/>
      <c r="Q3" s="1648"/>
      <c r="R3" s="1648"/>
      <c r="S3" s="1648"/>
      <c r="V3" s="1648"/>
      <c r="W3" s="1648"/>
      <c r="X3" s="1648"/>
      <c r="Y3" s="1648"/>
      <c r="AC3" s="1692"/>
      <c r="AD3" s="2401"/>
      <c r="AE3" s="2402"/>
      <c r="AF3" s="2402"/>
      <c r="AG3" s="2402"/>
      <c r="AH3" s="2402"/>
      <c r="AI3" s="2402"/>
      <c r="AJ3" s="2402"/>
      <c r="AK3" s="1692"/>
      <c r="AL3" s="1692"/>
      <c r="AM3" s="1692"/>
      <c r="AN3" s="1692"/>
      <c r="AO3" s="1700"/>
      <c r="AP3" s="1700"/>
      <c r="AQ3" s="1700"/>
      <c r="AR3" s="1700"/>
      <c r="AS3" s="1700"/>
    </row>
    <row r="4" spans="1:45" s="1644" customFormat="1" ht="22.9" customHeight="1">
      <c r="I4" s="1648"/>
      <c r="J4" s="1648"/>
      <c r="O4" s="1648"/>
      <c r="Q4" s="1648"/>
      <c r="R4" s="1648"/>
      <c r="S4" s="1648"/>
      <c r="V4" s="1648"/>
      <c r="W4" s="1648"/>
      <c r="X4" s="1648"/>
      <c r="Y4" s="1648"/>
      <c r="AC4" s="1692"/>
      <c r="AD4" s="2401"/>
      <c r="AE4" s="2402"/>
      <c r="AF4" s="2402"/>
      <c r="AG4" s="2402"/>
      <c r="AH4" s="2402"/>
      <c r="AI4" s="2402"/>
      <c r="AJ4" s="2402"/>
      <c r="AK4" s="1692"/>
      <c r="AL4" s="1692"/>
      <c r="AM4" s="1692"/>
      <c r="AN4" s="1692"/>
      <c r="AO4" s="1700"/>
      <c r="AP4" s="1700"/>
      <c r="AQ4" s="1700"/>
      <c r="AR4" s="1700"/>
      <c r="AS4" s="1700"/>
    </row>
    <row r="5" spans="1:45" s="1644" customFormat="1" ht="22.9" customHeight="1">
      <c r="A5" s="1645" t="s">
        <v>578</v>
      </c>
      <c r="B5" s="1645"/>
      <c r="F5" s="3744" t="s">
        <v>470</v>
      </c>
      <c r="G5" s="3744"/>
      <c r="I5" s="1648"/>
      <c r="J5" s="1648"/>
      <c r="O5" s="1648"/>
      <c r="Q5" s="1648"/>
      <c r="R5" s="1648"/>
      <c r="S5" s="1648"/>
      <c r="V5" s="1648"/>
      <c r="W5" s="1648"/>
      <c r="X5" s="1648"/>
      <c r="Y5" s="1648"/>
      <c r="AC5" s="1692"/>
      <c r="AD5" s="2401"/>
      <c r="AE5" s="2402"/>
      <c r="AF5" s="2402"/>
      <c r="AG5" s="2402"/>
      <c r="AH5" s="2402"/>
      <c r="AI5" s="2402"/>
      <c r="AJ5" s="2402"/>
      <c r="AK5" s="1692"/>
      <c r="AL5" s="1692"/>
      <c r="AM5" s="1692"/>
      <c r="AN5" s="1692"/>
      <c r="AO5" s="1700"/>
      <c r="AP5" s="1700"/>
      <c r="AQ5" s="1700"/>
      <c r="AR5" s="1700"/>
      <c r="AS5" s="1700"/>
    </row>
    <row r="6" spans="1:45">
      <c r="A6" s="239"/>
      <c r="B6" s="239"/>
      <c r="F6" s="25"/>
      <c r="AF6" s="1903" t="s">
        <v>31</v>
      </c>
      <c r="AG6" s="1903"/>
      <c r="AH6" s="1871"/>
      <c r="AI6" s="1871"/>
    </row>
    <row r="7" spans="1:45">
      <c r="A7" s="239"/>
      <c r="B7" s="236" t="s">
        <v>547</v>
      </c>
      <c r="C7" s="270"/>
      <c r="D7" s="270"/>
      <c r="E7" s="270"/>
      <c r="F7" s="270"/>
      <c r="G7" s="237"/>
      <c r="I7" s="3753" t="s">
        <v>517</v>
      </c>
      <c r="J7" s="3766"/>
      <c r="K7" s="3766"/>
      <c r="L7" s="3766"/>
      <c r="M7" s="3766"/>
      <c r="N7" s="3766"/>
      <c r="O7" s="3766"/>
      <c r="P7" s="3766"/>
      <c r="Q7" s="3766"/>
      <c r="R7" s="3766"/>
      <c r="S7" s="3754"/>
      <c r="U7" s="537" t="s">
        <v>523</v>
      </c>
      <c r="V7" s="538"/>
      <c r="W7" s="538"/>
      <c r="X7" s="539"/>
      <c r="AF7" s="1903" t="s">
        <v>27</v>
      </c>
      <c r="AG7" s="1903" t="s">
        <v>28</v>
      </c>
      <c r="AH7" s="1871" t="s">
        <v>29</v>
      </c>
      <c r="AI7" s="1871" t="s">
        <v>30</v>
      </c>
    </row>
    <row r="8" spans="1:45">
      <c r="B8" s="540" t="s">
        <v>548</v>
      </c>
      <c r="C8" s="273"/>
      <c r="D8" s="273"/>
      <c r="E8" s="273"/>
      <c r="F8" s="273"/>
      <c r="G8" s="541"/>
      <c r="I8" s="3768" t="s">
        <v>483</v>
      </c>
      <c r="J8" s="3769"/>
      <c r="K8" s="267"/>
      <c r="L8" s="3767" t="s">
        <v>494</v>
      </c>
      <c r="M8" s="3767"/>
      <c r="N8" s="267"/>
      <c r="O8" s="543" t="s">
        <v>495</v>
      </c>
      <c r="P8" s="267"/>
      <c r="Q8" s="543" t="s">
        <v>496</v>
      </c>
      <c r="R8" s="545"/>
      <c r="S8" s="546" t="s">
        <v>497</v>
      </c>
      <c r="U8" s="547" t="s">
        <v>522</v>
      </c>
      <c r="V8" s="544"/>
      <c r="W8" s="544" t="s">
        <v>332</v>
      </c>
      <c r="X8" s="548" t="s">
        <v>333</v>
      </c>
      <c r="AF8" s="2405">
        <f t="shared" ref="AF8:AF17" si="0">IF(G28="yes",H43*Q28*methane/1000,0)</f>
        <v>0</v>
      </c>
      <c r="AG8" s="2405">
        <f t="shared" ref="AG8:AG17" si="1">IF(G28="yes",I43*Q28*methane/1000,0)</f>
        <v>0</v>
      </c>
      <c r="AH8" s="2406">
        <f t="shared" ref="AH8:AH17" si="2">H43*(R28+T28)*Nitrous/1000</f>
        <v>0</v>
      </c>
      <c r="AI8" s="2406">
        <f t="shared" ref="AI8:AI17" si="3">I43*(R28+T28)*Nitrous/1000</f>
        <v>0</v>
      </c>
    </row>
    <row r="9" spans="1:45">
      <c r="B9" s="272"/>
      <c r="C9" s="273"/>
      <c r="D9" s="549" t="s">
        <v>480</v>
      </c>
      <c r="E9" s="550"/>
      <c r="F9" s="708" t="s">
        <v>1048</v>
      </c>
      <c r="G9" s="551"/>
      <c r="I9" s="542" t="s">
        <v>492</v>
      </c>
      <c r="J9" s="543" t="s">
        <v>493</v>
      </c>
      <c r="K9" s="273"/>
      <c r="L9" s="543" t="s">
        <v>492</v>
      </c>
      <c r="M9" s="543" t="s">
        <v>493</v>
      </c>
      <c r="N9" s="273"/>
      <c r="O9" s="543" t="s">
        <v>493</v>
      </c>
      <c r="P9" s="273"/>
      <c r="Q9" s="543" t="s">
        <v>509</v>
      </c>
      <c r="R9" s="543"/>
      <c r="S9" s="546" t="s">
        <v>509</v>
      </c>
      <c r="U9" s="547" t="s">
        <v>524</v>
      </c>
      <c r="V9" s="552"/>
      <c r="W9" s="97" t="s">
        <v>40</v>
      </c>
      <c r="X9" s="553"/>
      <c r="Z9" s="3520" t="s">
        <v>7401</v>
      </c>
      <c r="AA9" s="3521"/>
      <c r="AF9" s="2405">
        <f t="shared" si="0"/>
        <v>0</v>
      </c>
      <c r="AG9" s="2405">
        <f t="shared" si="1"/>
        <v>0</v>
      </c>
      <c r="AH9" s="2406">
        <f t="shared" si="2"/>
        <v>0</v>
      </c>
      <c r="AI9" s="2406">
        <f t="shared" si="3"/>
        <v>0</v>
      </c>
    </row>
    <row r="10" spans="1:45" ht="12.75" customHeight="1">
      <c r="B10" s="3747" t="s">
        <v>491</v>
      </c>
      <c r="C10" s="554" t="s">
        <v>1281</v>
      </c>
      <c r="D10" s="555" t="str">
        <f>HLOOKUP(climate,' IPCC'!$B$7:$G$11,2,FALSE)</f>
        <v>Please specify the climate</v>
      </c>
      <c r="E10" s="526"/>
      <c r="F10" s="526"/>
      <c r="G10" s="527"/>
      <c r="I10" s="3193">
        <f>J10/0.47</f>
        <v>0</v>
      </c>
      <c r="J10" s="2120">
        <f>IF('2.LUC'!F102&lt;&gt;"",'2.LUC'!F102,'2.LUC'!E102)</f>
        <v>0</v>
      </c>
      <c r="K10" s="267"/>
      <c r="L10" s="3194">
        <f>M10/0.47</f>
        <v>0</v>
      </c>
      <c r="M10" s="2120">
        <f>IF('2.LUC'!H102&lt;&gt;"",'2.LUC'!H102,'2.LUC'!G102)</f>
        <v>0</v>
      </c>
      <c r="N10" s="267"/>
      <c r="O10" s="2119">
        <f>IF('2.LUC'!J102&lt;&gt;"",'2.LUC'!J102,'2.LUC'!I102)</f>
        <v>0</v>
      </c>
      <c r="P10" s="267"/>
      <c r="Q10" s="2119">
        <f>IF('2.LUC'!M102&lt;&gt;"",'2.LUC'!M102,'2.LUC'!K102)</f>
        <v>0</v>
      </c>
      <c r="R10" s="545"/>
      <c r="S10" s="2121">
        <f>IF('2.LUC'!Q102&lt;&gt;"",'2.LUC'!Q102,'2.LUC'!O102)</f>
        <v>0</v>
      </c>
      <c r="U10" s="558">
        <f>IF(forest1&lt;&gt;"",VLOOKUP(forest1,' IPCC'!$A$107:$E$122,2,),0)</f>
        <v>0</v>
      </c>
      <c r="V10" s="559"/>
      <c r="W10" s="559">
        <f>IF(forest1&lt;&gt;"",VLOOKUP(forest1,' IPCC'!$A$107:$E$122,4,),0)</f>
        <v>0</v>
      </c>
      <c r="X10" s="560">
        <f>IF(forest1&lt;&gt;"",VLOOKUP(forest1,' IPCC'!$A$107:$E$122,5,),0)</f>
        <v>0</v>
      </c>
      <c r="Z10" s="3522" t="s">
        <v>7400</v>
      </c>
      <c r="AA10" s="3523"/>
      <c r="AF10" s="2405">
        <f t="shared" si="0"/>
        <v>0</v>
      </c>
      <c r="AG10" s="2405">
        <f t="shared" si="1"/>
        <v>0</v>
      </c>
      <c r="AH10" s="2406">
        <f t="shared" si="2"/>
        <v>0</v>
      </c>
      <c r="AI10" s="2406">
        <f t="shared" si="3"/>
        <v>0</v>
      </c>
    </row>
    <row r="11" spans="1:45">
      <c r="B11" s="3748"/>
      <c r="C11" s="554" t="s">
        <v>1282</v>
      </c>
      <c r="D11" s="555" t="str">
        <f>HLOOKUP(climate,' IPCC'!$B$7:$G$11,3,FALSE)</f>
        <v>Please specify the climate</v>
      </c>
      <c r="E11" s="526"/>
      <c r="F11" s="526"/>
      <c r="G11" s="527"/>
      <c r="I11" s="3193">
        <f t="shared" ref="I11:I17" si="4">J11/0.47</f>
        <v>0</v>
      </c>
      <c r="J11" s="2120">
        <f>IF('2.LUC'!F103&lt;&gt;"",'2.LUC'!F103,'2.LUC'!E103)</f>
        <v>0</v>
      </c>
      <c r="K11" s="267"/>
      <c r="L11" s="3194">
        <f t="shared" ref="L11:L18" si="5">M11/0.47</f>
        <v>0</v>
      </c>
      <c r="M11" s="2120">
        <f>IF('2.LUC'!H103&lt;&gt;"",'2.LUC'!H103,'2.LUC'!G103)</f>
        <v>0</v>
      </c>
      <c r="N11" s="267"/>
      <c r="O11" s="2119">
        <f>IF('2.LUC'!J103&lt;&gt;"",'2.LUC'!J103,'2.LUC'!I103)</f>
        <v>0</v>
      </c>
      <c r="P11" s="267"/>
      <c r="Q11" s="2119">
        <f>IF('2.LUC'!M103&lt;&gt;"",'2.LUC'!M103,'2.LUC'!K103)</f>
        <v>0</v>
      </c>
      <c r="R11" s="545"/>
      <c r="S11" s="2121">
        <f>IF('2.LUC'!Q103&lt;&gt;"",'2.LUC'!Q103,'2.LUC'!O103)</f>
        <v>0</v>
      </c>
      <c r="U11" s="547">
        <f>IF(forest2&lt;&gt;"",VLOOKUP(forest2,' IPCC'!$A$107:$E$122,2,),0)</f>
        <v>0</v>
      </c>
      <c r="V11" s="545"/>
      <c r="W11" s="545">
        <f>IF(forest2&lt;&gt;"",VLOOKUP(forest2,' IPCC'!$A$107:$E$122,4,),0)</f>
        <v>0</v>
      </c>
      <c r="X11" s="557">
        <f>IF(forest2&lt;&gt;"",VLOOKUP(forest2,' IPCC'!$A$107:$E$122,5,),0)</f>
        <v>0</v>
      </c>
      <c r="Z11" s="3511">
        <v>0.01</v>
      </c>
      <c r="AA11" s="3524"/>
      <c r="AF11" s="2405">
        <f t="shared" si="0"/>
        <v>0</v>
      </c>
      <c r="AG11" s="2405">
        <f t="shared" si="1"/>
        <v>0</v>
      </c>
      <c r="AH11" s="2406">
        <f t="shared" si="2"/>
        <v>0</v>
      </c>
      <c r="AI11" s="2406">
        <f t="shared" si="3"/>
        <v>0</v>
      </c>
    </row>
    <row r="12" spans="1:45">
      <c r="B12" s="3748"/>
      <c r="C12" s="554" t="s">
        <v>1283</v>
      </c>
      <c r="D12" s="555" t="str">
        <f>HLOOKUP(climate,' IPCC'!$B$7:$G$11,4,FALSE)</f>
        <v>Please specify the climate</v>
      </c>
      <c r="E12" s="526"/>
      <c r="F12" s="526"/>
      <c r="G12" s="527"/>
      <c r="I12" s="3193">
        <f t="shared" si="4"/>
        <v>0</v>
      </c>
      <c r="J12" s="2120">
        <f>IF('2.LUC'!F104&lt;&gt;"",'2.LUC'!F104,'2.LUC'!E104)</f>
        <v>0</v>
      </c>
      <c r="K12" s="267"/>
      <c r="L12" s="3194">
        <f t="shared" si="5"/>
        <v>0</v>
      </c>
      <c r="M12" s="2120">
        <f>IF('2.LUC'!H104&lt;&gt;"",'2.LUC'!H104,'2.LUC'!G104)</f>
        <v>0</v>
      </c>
      <c r="N12" s="267"/>
      <c r="O12" s="2119">
        <f>IF('2.LUC'!J104&lt;&gt;"",'2.LUC'!J104,'2.LUC'!I104)</f>
        <v>0</v>
      </c>
      <c r="P12" s="267"/>
      <c r="Q12" s="2119">
        <f>IF('2.LUC'!M104&lt;&gt;"",'2.LUC'!M104,'2.LUC'!K104)</f>
        <v>0</v>
      </c>
      <c r="R12" s="545"/>
      <c r="S12" s="2121">
        <f>IF('2.LUC'!Q104&lt;&gt;"",'2.LUC'!Q104,'2.LUC'!O104)</f>
        <v>0</v>
      </c>
      <c r="U12" s="547">
        <f>IF(forest3&lt;&gt;"",VLOOKUP(forest3,' IPCC'!$A$107:$E$122,2,),0)</f>
        <v>0</v>
      </c>
      <c r="V12" s="545"/>
      <c r="W12" s="545">
        <f>IF(forest3&lt;&gt;"",VLOOKUP(forest3,' IPCC'!$A$107:$E$122,4,),0)</f>
        <v>0</v>
      </c>
      <c r="X12" s="557">
        <f>IF(forest3&lt;&gt;"",VLOOKUP(forest3,' IPCC'!$A$107:$E$122,5,),0)</f>
        <v>0</v>
      </c>
      <c r="AF12" s="2405">
        <f t="shared" si="0"/>
        <v>0</v>
      </c>
      <c r="AG12" s="2405">
        <f t="shared" si="1"/>
        <v>0</v>
      </c>
      <c r="AH12" s="2406">
        <f t="shared" si="2"/>
        <v>0</v>
      </c>
      <c r="AI12" s="2406">
        <f t="shared" si="3"/>
        <v>0</v>
      </c>
    </row>
    <row r="13" spans="1:45">
      <c r="B13" s="3749"/>
      <c r="C13" s="554" t="s">
        <v>1284</v>
      </c>
      <c r="D13" s="555" t="str">
        <f>HLOOKUP(climate,' IPCC'!$B$7:$G$11,5,)</f>
        <v>Please specify the climate</v>
      </c>
      <c r="E13" s="526"/>
      <c r="F13" s="526"/>
      <c r="G13" s="527"/>
      <c r="I13" s="3193">
        <f t="shared" si="4"/>
        <v>0</v>
      </c>
      <c r="J13" s="2120">
        <f>IF('2.LUC'!F105&lt;&gt;"",'2.LUC'!F105,'2.LUC'!E105)</f>
        <v>0</v>
      </c>
      <c r="K13" s="267"/>
      <c r="L13" s="3194">
        <f t="shared" si="5"/>
        <v>0</v>
      </c>
      <c r="M13" s="2120">
        <f>IF('2.LUC'!H105&lt;&gt;"",'2.LUC'!H105,'2.LUC'!G105)</f>
        <v>0</v>
      </c>
      <c r="N13" s="267"/>
      <c r="O13" s="2119">
        <f>IF('2.LUC'!J105&lt;&gt;"",'2.LUC'!J105,'2.LUC'!I105)</f>
        <v>0</v>
      </c>
      <c r="P13" s="267"/>
      <c r="Q13" s="2119">
        <f>IF('2.LUC'!M105&lt;&gt;"",'2.LUC'!M105,'2.LUC'!K105)</f>
        <v>0</v>
      </c>
      <c r="R13" s="545"/>
      <c r="S13" s="2121">
        <f>IF('2.LUC'!Q105&lt;&gt;"",'2.LUC'!Q105,'2.LUC'!O105)</f>
        <v>0</v>
      </c>
      <c r="U13" s="547">
        <f>IF(forest4&lt;&gt;"",VLOOKUP(forest4,' IPCC'!$A$107:$E$122,2,),0)</f>
        <v>0</v>
      </c>
      <c r="V13" s="545"/>
      <c r="W13" s="545">
        <f>IF(forest4&lt;&gt;"",VLOOKUP(forest4,' IPCC'!$A$107:$E$122,4,),0)</f>
        <v>0</v>
      </c>
      <c r="X13" s="557">
        <f>IF(forest4&lt;&gt;"",VLOOKUP(forest4,' IPCC'!$A$107:$E$122,5,),0)</f>
        <v>0</v>
      </c>
      <c r="AF13" s="2405">
        <f t="shared" si="0"/>
        <v>0</v>
      </c>
      <c r="AG13" s="2405">
        <f t="shared" si="1"/>
        <v>0</v>
      </c>
      <c r="AH13" s="2406">
        <f t="shared" si="2"/>
        <v>0</v>
      </c>
      <c r="AI13" s="2406">
        <f t="shared" si="3"/>
        <v>0</v>
      </c>
    </row>
    <row r="14" spans="1:45">
      <c r="B14" s="3750" t="s">
        <v>387</v>
      </c>
      <c r="C14" s="554" t="s">
        <v>1285</v>
      </c>
      <c r="D14" s="561" t="str">
        <f>HLOOKUP(climate,' IPCC'!$B$7:$G$11,2,FALSE)</f>
        <v>Please specify the climate</v>
      </c>
      <c r="E14" s="562"/>
      <c r="F14" s="562"/>
      <c r="G14" s="563"/>
      <c r="I14" s="3193">
        <f t="shared" si="4"/>
        <v>0</v>
      </c>
      <c r="J14" s="2120">
        <f>IF('2.LUC'!F106&lt;&gt;"",'2.LUC'!F106,'2.LUC'!E106)</f>
        <v>0</v>
      </c>
      <c r="K14" s="267"/>
      <c r="L14" s="3194">
        <f t="shared" si="5"/>
        <v>0</v>
      </c>
      <c r="M14" s="2120">
        <f>IF('2.LUC'!H106&lt;&gt;"",'2.LUC'!H106,'2.LUC'!G106)</f>
        <v>0</v>
      </c>
      <c r="N14" s="267"/>
      <c r="O14" s="2119">
        <f>IF('2.LUC'!J106&lt;&gt;"",'2.LUC'!J106,'2.LUC'!I106)</f>
        <v>0</v>
      </c>
      <c r="P14" s="267"/>
      <c r="Q14" s="2119">
        <f>IF('2.LUC'!M106&lt;&gt;"",'2.LUC'!M106,'2.LUC'!K106)</f>
        <v>0</v>
      </c>
      <c r="R14" s="545"/>
      <c r="S14" s="2121">
        <f>IF('2.LUC'!Q106&lt;&gt;"",'2.LUC'!Q106,'2.LUC'!O106)</f>
        <v>0</v>
      </c>
      <c r="U14" s="547">
        <f>IF(plantation1&lt;&gt;"",VLOOKUP(plantation1,' IPCC'!$A$107:$E$122,2,),0)</f>
        <v>0</v>
      </c>
      <c r="V14" s="545"/>
      <c r="W14" s="545">
        <f>IF(plantation1&lt;&gt;"",VLOOKUP(plantation1,' IPCC'!$A$107:$E$122,4,),0)</f>
        <v>0</v>
      </c>
      <c r="X14" s="557">
        <f>IF(plantation1&lt;&gt;"",VLOOKUP(plantation1,' IPCC'!$A$107:$E$122,5,),0)</f>
        <v>0</v>
      </c>
      <c r="AF14" s="2405">
        <f t="shared" si="0"/>
        <v>0</v>
      </c>
      <c r="AG14" s="2405">
        <f t="shared" si="1"/>
        <v>0</v>
      </c>
      <c r="AH14" s="2406">
        <f t="shared" si="2"/>
        <v>0</v>
      </c>
      <c r="AI14" s="2406">
        <f t="shared" si="3"/>
        <v>0</v>
      </c>
    </row>
    <row r="15" spans="1:45">
      <c r="B15" s="3751"/>
      <c r="C15" s="554" t="s">
        <v>1286</v>
      </c>
      <c r="D15" s="555" t="str">
        <f>HLOOKUP(climate,' IPCC'!$B$7:$G$11,3,FALSE)</f>
        <v>Please specify the climate</v>
      </c>
      <c r="E15" s="526"/>
      <c r="F15" s="526"/>
      <c r="G15" s="527"/>
      <c r="I15" s="3193">
        <f t="shared" si="4"/>
        <v>0</v>
      </c>
      <c r="J15" s="2120">
        <f>IF('2.LUC'!F107&lt;&gt;"",'2.LUC'!F107,'2.LUC'!E107)</f>
        <v>0</v>
      </c>
      <c r="K15" s="267"/>
      <c r="L15" s="3194">
        <f t="shared" si="5"/>
        <v>0</v>
      </c>
      <c r="M15" s="2120">
        <f>IF('2.LUC'!H107&lt;&gt;"",'2.LUC'!H107,'2.LUC'!G107)</f>
        <v>0</v>
      </c>
      <c r="N15" s="267"/>
      <c r="O15" s="2119">
        <f>IF('2.LUC'!J107&lt;&gt;"",'2.LUC'!J107,'2.LUC'!I107)</f>
        <v>0</v>
      </c>
      <c r="P15" s="267"/>
      <c r="Q15" s="2119">
        <f>IF('2.LUC'!M107&lt;&gt;"",'2.LUC'!M107,'2.LUC'!K107)</f>
        <v>0</v>
      </c>
      <c r="R15" s="545"/>
      <c r="S15" s="2121">
        <f>IF('2.LUC'!Q107&lt;&gt;"",'2.LUC'!Q107,'2.LUC'!O107)</f>
        <v>0</v>
      </c>
      <c r="U15" s="547">
        <f>IF(plantation2&lt;&gt;"",VLOOKUP(plantation2,' IPCC'!$A$107:$E$122,2,),0)</f>
        <v>0</v>
      </c>
      <c r="V15" s="545"/>
      <c r="W15" s="545">
        <f>IF(plantation2&lt;&gt;"",VLOOKUP(plantation2,' IPCC'!$A$107:$E$122,4,),0)</f>
        <v>0</v>
      </c>
      <c r="X15" s="557">
        <f>IF(plantation2&lt;&gt;"",VLOOKUP(plantation2,' IPCC'!$A$107:$E$122,5,),0)</f>
        <v>0</v>
      </c>
      <c r="AF15" s="2405">
        <f t="shared" si="0"/>
        <v>0</v>
      </c>
      <c r="AG15" s="2405">
        <f t="shared" si="1"/>
        <v>0</v>
      </c>
      <c r="AH15" s="2406">
        <f t="shared" si="2"/>
        <v>0</v>
      </c>
      <c r="AI15" s="2406">
        <f t="shared" si="3"/>
        <v>0</v>
      </c>
    </row>
    <row r="16" spans="1:45">
      <c r="B16" s="3751"/>
      <c r="C16" s="554" t="s">
        <v>1287</v>
      </c>
      <c r="D16" s="555" t="str">
        <f>HLOOKUP(climate,' IPCC'!$B$7:$G$11,4,FALSE)</f>
        <v>Please specify the climate</v>
      </c>
      <c r="E16" s="526"/>
      <c r="F16" s="526"/>
      <c r="G16" s="527"/>
      <c r="I16" s="3193">
        <f t="shared" si="4"/>
        <v>0</v>
      </c>
      <c r="J16" s="2120">
        <f>IF('2.LUC'!F108&lt;&gt;"",'2.LUC'!F108,'2.LUC'!E108)</f>
        <v>0</v>
      </c>
      <c r="K16" s="267"/>
      <c r="L16" s="3194">
        <f t="shared" si="5"/>
        <v>0</v>
      </c>
      <c r="M16" s="2120">
        <f>IF('2.LUC'!H108&lt;&gt;"",'2.LUC'!H108,'2.LUC'!G108)</f>
        <v>0</v>
      </c>
      <c r="N16" s="267"/>
      <c r="O16" s="2119">
        <f>IF('2.LUC'!J108&lt;&gt;"",'2.LUC'!J108,'2.LUC'!I108)</f>
        <v>0</v>
      </c>
      <c r="P16" s="267"/>
      <c r="Q16" s="2119">
        <f>IF('2.LUC'!M108&lt;&gt;"",'2.LUC'!M108,'2.LUC'!K108)</f>
        <v>0</v>
      </c>
      <c r="R16" s="545"/>
      <c r="S16" s="2121">
        <f>IF('2.LUC'!Q108&lt;&gt;"",'2.LUC'!Q108,'2.LUC'!O108)</f>
        <v>0</v>
      </c>
      <c r="U16" s="547">
        <f>IF(plantation3&lt;&gt;"",VLOOKUP(plantation3,' IPCC'!$A$107:$E$122,2,),0)</f>
        <v>0</v>
      </c>
      <c r="V16" s="545"/>
      <c r="W16" s="545">
        <f>IF(plantation3&lt;&gt;"",VLOOKUP(plantation3,' IPCC'!$A$107:$E$122,4,),0)</f>
        <v>0</v>
      </c>
      <c r="X16" s="557">
        <f>IF(plantation3&lt;&gt;"",VLOOKUP(plantation3,' IPCC'!$A$107:$E$122,5,),0)</f>
        <v>0</v>
      </c>
      <c r="AF16" s="2405">
        <f t="shared" si="0"/>
        <v>0</v>
      </c>
      <c r="AG16" s="2405">
        <f t="shared" si="1"/>
        <v>0</v>
      </c>
      <c r="AH16" s="2406">
        <f t="shared" si="2"/>
        <v>0</v>
      </c>
      <c r="AI16" s="2406">
        <f t="shared" si="3"/>
        <v>0</v>
      </c>
    </row>
    <row r="17" spans="1:45">
      <c r="B17" s="3752"/>
      <c r="C17" s="554" t="s">
        <v>1288</v>
      </c>
      <c r="D17" s="564" t="str">
        <f>HLOOKUP(climate,' IPCC'!$B$7:$G$11,5,FALSE)</f>
        <v>Please specify the climate</v>
      </c>
      <c r="E17" s="565"/>
      <c r="F17" s="565"/>
      <c r="G17" s="528"/>
      <c r="I17" s="3193">
        <f t="shared" si="4"/>
        <v>0</v>
      </c>
      <c r="J17" s="2120">
        <f>IF('2.LUC'!F109&lt;&gt;"",'2.LUC'!F109,'2.LUC'!E109)</f>
        <v>0</v>
      </c>
      <c r="K17" s="273"/>
      <c r="L17" s="3194">
        <f t="shared" si="5"/>
        <v>0</v>
      </c>
      <c r="M17" s="2120">
        <f>IF('2.LUC'!H109&lt;&gt;"",'2.LUC'!H109,'2.LUC'!G109)</f>
        <v>0</v>
      </c>
      <c r="N17" s="273"/>
      <c r="O17" s="2119">
        <f>IF('2.LUC'!J109&lt;&gt;"",'2.LUC'!J109,'2.LUC'!I109)</f>
        <v>0</v>
      </c>
      <c r="P17" s="273"/>
      <c r="Q17" s="2119">
        <f>IF('2.LUC'!M109&lt;&gt;"",'2.LUC'!M109,'2.LUC'!K109)</f>
        <v>0</v>
      </c>
      <c r="R17" s="543"/>
      <c r="S17" s="2121">
        <f>IF('2.LUC'!Q109&lt;&gt;"",'2.LUC'!Q109,'2.LUC'!O109)</f>
        <v>0</v>
      </c>
      <c r="U17" s="542">
        <f>IF(plantation4&lt;&gt;"",VLOOKUP(plantation4,' IPCC'!$A$107:$E$122,2,),0)</f>
        <v>0</v>
      </c>
      <c r="V17" s="543"/>
      <c r="W17" s="543">
        <f>IF(plantation4&lt;&gt;"",VLOOKUP(plantation4,' IPCC'!$A$107:$E$122,4,),0)</f>
        <v>0</v>
      </c>
      <c r="X17" s="546">
        <f>IF(plantation4&lt;&gt;"",VLOOKUP(plantation4,' IPCC'!$A$107:$E$122,5,),0)</f>
        <v>0</v>
      </c>
      <c r="AF17" s="2405">
        <f t="shared" si="0"/>
        <v>0</v>
      </c>
      <c r="AG17" s="2405">
        <f t="shared" si="1"/>
        <v>0</v>
      </c>
      <c r="AH17" s="2406">
        <f t="shared" si="2"/>
        <v>0</v>
      </c>
      <c r="AI17" s="2406">
        <f t="shared" si="3"/>
        <v>0</v>
      </c>
    </row>
    <row r="18" spans="1:45">
      <c r="B18" s="3184" t="s">
        <v>5652</v>
      </c>
      <c r="C18" s="772" t="s">
        <v>5652</v>
      </c>
      <c r="D18" s="555" t="str">
        <f>IF(climate=List!C20,"-",climate)</f>
        <v>-</v>
      </c>
      <c r="E18" s="526"/>
      <c r="F18" s="526"/>
      <c r="G18" s="526"/>
      <c r="I18" s="3193">
        <f>J18/0.451</f>
        <v>0</v>
      </c>
      <c r="J18" s="2120">
        <f>IF('2.LUC'!F110&lt;&gt;"",'2.LUC'!F110,'2.LUC'!E110)</f>
        <v>0</v>
      </c>
      <c r="K18" s="267"/>
      <c r="L18" s="3194">
        <f t="shared" si="5"/>
        <v>0</v>
      </c>
      <c r="M18" s="2120">
        <f>IF('2.LUC'!H110&lt;&gt;"",'2.LUC'!H110,'2.LUC'!G110)</f>
        <v>0</v>
      </c>
      <c r="N18" s="267"/>
      <c r="O18" s="2119">
        <f>IF('2.LUC'!J110&lt;&gt;"",'2.LUC'!J110,'2.LUC'!I110)</f>
        <v>0</v>
      </c>
      <c r="P18" s="267"/>
      <c r="Q18" s="2119">
        <f>IF('2.LUC'!M110&lt;&gt;"",'2.LUC'!M110,'2.LUC'!K110)</f>
        <v>0</v>
      </c>
      <c r="R18" s="3140"/>
      <c r="S18" s="2121">
        <f>IF('2.LUC'!Q110&lt;&gt;"",'2.LUC'!Q110,'2.LUC'!O110)</f>
        <v>0</v>
      </c>
      <c r="U18" s="3140">
        <f>U10</f>
        <v>0</v>
      </c>
      <c r="V18" s="3140"/>
      <c r="W18" s="3140">
        <f t="shared" ref="W18:X18" si="6">W10</f>
        <v>0</v>
      </c>
      <c r="X18" s="3140">
        <f t="shared" si="6"/>
        <v>0</v>
      </c>
      <c r="AF18" s="2405"/>
      <c r="AG18" s="2405"/>
      <c r="AH18" s="2406"/>
      <c r="AI18" s="2406"/>
    </row>
    <row r="19" spans="1:45" ht="13.5" thickBot="1">
      <c r="B19" s="567"/>
      <c r="D19" s="568"/>
      <c r="E19" s="240"/>
      <c r="F19" s="240"/>
      <c r="G19" s="240"/>
      <c r="I19" s="242"/>
      <c r="J19" s="242"/>
      <c r="K19" s="240"/>
      <c r="L19" s="569"/>
      <c r="M19" s="569"/>
      <c r="N19" s="240"/>
      <c r="O19" s="242"/>
      <c r="P19" s="240"/>
      <c r="Q19" s="242"/>
      <c r="R19" s="242"/>
      <c r="S19" s="242"/>
      <c r="U19" s="242"/>
      <c r="V19" s="242"/>
      <c r="W19" s="242"/>
      <c r="X19" s="242"/>
      <c r="AF19" s="2407"/>
      <c r="AG19" s="2407"/>
      <c r="AH19" s="2408"/>
      <c r="AI19" s="2408"/>
    </row>
    <row r="20" spans="1:45">
      <c r="B20" s="570" t="s">
        <v>1157</v>
      </c>
      <c r="D20" s="568"/>
      <c r="E20" s="240"/>
      <c r="F20" s="944" t="s">
        <v>1274</v>
      </c>
      <c r="G20" s="945"/>
      <c r="H20" s="270"/>
      <c r="I20" s="658">
        <v>0</v>
      </c>
      <c r="J20" s="571">
        <f>0.47*I20</f>
        <v>0</v>
      </c>
      <c r="K20" s="572"/>
      <c r="L20" s="915">
        <v>0</v>
      </c>
      <c r="M20" s="573">
        <f>0.47*L20</f>
        <v>0</v>
      </c>
      <c r="N20" s="572"/>
      <c r="O20" s="658">
        <v>0</v>
      </c>
      <c r="P20" s="572"/>
      <c r="Q20" s="658">
        <v>0</v>
      </c>
      <c r="R20" s="571"/>
      <c r="S20" s="658">
        <v>0</v>
      </c>
      <c r="U20" s="661">
        <f>U10</f>
        <v>0</v>
      </c>
      <c r="V20" s="662"/>
      <c r="W20" s="663">
        <f>W10</f>
        <v>0</v>
      </c>
      <c r="X20" s="664">
        <f>X10</f>
        <v>0</v>
      </c>
      <c r="AF20" s="2407"/>
      <c r="AG20" s="2407"/>
      <c r="AH20" s="2407"/>
      <c r="AI20" s="2407"/>
    </row>
    <row r="21" spans="1:45">
      <c r="D21" s="568"/>
      <c r="E21" s="240"/>
      <c r="F21" s="946" t="s">
        <v>9</v>
      </c>
      <c r="G21" s="947"/>
      <c r="H21" s="267"/>
      <c r="I21" s="659">
        <v>0</v>
      </c>
      <c r="J21" s="574">
        <f>0.47*I21</f>
        <v>0</v>
      </c>
      <c r="K21" s="575"/>
      <c r="L21" s="916">
        <v>0</v>
      </c>
      <c r="M21" s="576">
        <f>0.47*L21</f>
        <v>0</v>
      </c>
      <c r="N21" s="575"/>
      <c r="O21" s="659">
        <v>0</v>
      </c>
      <c r="P21" s="575"/>
      <c r="Q21" s="659">
        <v>0</v>
      </c>
      <c r="R21" s="574"/>
      <c r="S21" s="659">
        <v>0</v>
      </c>
      <c r="U21" s="665">
        <f>U20</f>
        <v>0</v>
      </c>
      <c r="V21" s="666"/>
      <c r="W21" s="667">
        <f t="shared" ref="W21:X23" si="7">W20</f>
        <v>0</v>
      </c>
      <c r="X21" s="668">
        <f t="shared" si="7"/>
        <v>0</v>
      </c>
      <c r="AF21" s="2407"/>
      <c r="AG21" s="2407"/>
      <c r="AH21" s="2407"/>
      <c r="AI21" s="2407"/>
    </row>
    <row r="22" spans="1:45">
      <c r="B22" s="567"/>
      <c r="C22" s="241"/>
      <c r="D22" s="568"/>
      <c r="E22" s="240"/>
      <c r="F22" s="946" t="s">
        <v>10</v>
      </c>
      <c r="G22" s="947"/>
      <c r="H22" s="267"/>
      <c r="I22" s="659">
        <v>0</v>
      </c>
      <c r="J22" s="574">
        <f>0.47*I22</f>
        <v>0</v>
      </c>
      <c r="K22" s="575"/>
      <c r="L22" s="916">
        <v>0</v>
      </c>
      <c r="M22" s="576">
        <f>0.47*L22</f>
        <v>0</v>
      </c>
      <c r="N22" s="575"/>
      <c r="O22" s="659">
        <v>0</v>
      </c>
      <c r="P22" s="575"/>
      <c r="Q22" s="659">
        <v>0</v>
      </c>
      <c r="R22" s="574"/>
      <c r="S22" s="659">
        <v>0</v>
      </c>
      <c r="U22" s="665">
        <f>U21</f>
        <v>0</v>
      </c>
      <c r="V22" s="666"/>
      <c r="W22" s="667">
        <f t="shared" si="7"/>
        <v>0</v>
      </c>
      <c r="X22" s="668">
        <f t="shared" si="7"/>
        <v>0</v>
      </c>
      <c r="AF22" s="2407"/>
      <c r="AG22" s="2407"/>
      <c r="AH22" s="2407"/>
      <c r="AI22" s="2407"/>
    </row>
    <row r="23" spans="1:45" ht="13.5" thickBot="1">
      <c r="B23" s="567"/>
      <c r="C23" s="241"/>
      <c r="D23" s="568"/>
      <c r="E23" s="240"/>
      <c r="F23" s="952" t="s">
        <v>11</v>
      </c>
      <c r="G23" s="949"/>
      <c r="H23" s="273"/>
      <c r="I23" s="660">
        <v>0</v>
      </c>
      <c r="J23" s="577">
        <f>0.47*I23</f>
        <v>0</v>
      </c>
      <c r="K23" s="578"/>
      <c r="L23" s="917">
        <v>0</v>
      </c>
      <c r="M23" s="579">
        <f>0.47*L23</f>
        <v>0</v>
      </c>
      <c r="N23" s="578"/>
      <c r="O23" s="660">
        <v>0</v>
      </c>
      <c r="P23" s="578"/>
      <c r="Q23" s="660">
        <v>0</v>
      </c>
      <c r="R23" s="577"/>
      <c r="S23" s="660">
        <v>0</v>
      </c>
      <c r="U23" s="669">
        <f>U22</f>
        <v>0</v>
      </c>
      <c r="V23" s="670"/>
      <c r="W23" s="671">
        <f t="shared" si="7"/>
        <v>0</v>
      </c>
      <c r="X23" s="672">
        <f t="shared" si="7"/>
        <v>0</v>
      </c>
      <c r="AB23" s="232" t="s">
        <v>54</v>
      </c>
      <c r="AC23" s="739" t="s">
        <v>274</v>
      </c>
      <c r="AF23" s="2407"/>
      <c r="AG23" s="2407" t="s">
        <v>26</v>
      </c>
      <c r="AH23" s="2407"/>
      <c r="AI23" s="2407"/>
    </row>
    <row r="24" spans="1:45">
      <c r="C24" s="241"/>
      <c r="D24" s="568"/>
      <c r="E24" s="240"/>
      <c r="F24" s="240"/>
      <c r="G24" s="240"/>
      <c r="I24" s="242"/>
      <c r="J24" s="242"/>
      <c r="K24" s="240"/>
      <c r="L24" s="240"/>
      <c r="M24" s="240"/>
      <c r="N24" s="240"/>
      <c r="O24" s="242"/>
      <c r="P24" s="240"/>
      <c r="Q24" s="242"/>
      <c r="R24" s="242"/>
      <c r="S24" s="242"/>
      <c r="X24" s="2701"/>
      <c r="Y24" s="2701"/>
      <c r="AB24" s="1334">
        <f>SUM(J43:J52)+SUM(L43:L52)</f>
        <v>0</v>
      </c>
      <c r="AC24" s="1334">
        <f>SUM(K43:K52)+SUM(M43:M52)</f>
        <v>0</v>
      </c>
      <c r="AF24" s="2407" t="s">
        <v>23</v>
      </c>
      <c r="AG24" s="2407" t="s">
        <v>516</v>
      </c>
      <c r="AH24" s="2407" t="s">
        <v>35</v>
      </c>
      <c r="AI24" s="2407" t="s">
        <v>36</v>
      </c>
    </row>
    <row r="25" spans="1:45" ht="12.75" customHeight="1">
      <c r="B25" s="580"/>
      <c r="C25" s="581" t="s">
        <v>977</v>
      </c>
      <c r="D25" s="552"/>
      <c r="E25" s="552"/>
      <c r="F25" s="552"/>
      <c r="G25" s="552"/>
      <c r="H25" s="552"/>
      <c r="I25" s="552"/>
      <c r="J25" s="552"/>
      <c r="K25" s="544"/>
      <c r="L25" s="581" t="s">
        <v>1186</v>
      </c>
      <c r="M25" s="552"/>
      <c r="N25" s="552"/>
      <c r="O25" s="552"/>
      <c r="P25" s="552"/>
      <c r="Q25" s="3765"/>
      <c r="R25" s="3765"/>
      <c r="S25" s="3527"/>
      <c r="T25" s="3527"/>
      <c r="U25" s="553"/>
      <c r="Y25" s="2701"/>
      <c r="AB25" s="1334">
        <f>SUM(N43:N52)</f>
        <v>0</v>
      </c>
      <c r="AC25" s="2761">
        <f>SUM(O43:O52)</f>
        <v>0</v>
      </c>
      <c r="AF25" s="2407" t="s">
        <v>24</v>
      </c>
      <c r="AG25" s="2407">
        <f>SUM(K43:K52)+SUM(M43:M52)-SUM(J43:J52)-SUM(L43:L52)</f>
        <v>0</v>
      </c>
      <c r="AH25" s="2407">
        <f>IF(time=0,0,AG25)</f>
        <v>0</v>
      </c>
      <c r="AI25" s="2407">
        <f>AG25-AH25</f>
        <v>0</v>
      </c>
    </row>
    <row r="26" spans="1:45" ht="24" customHeight="1">
      <c r="B26" s="582"/>
      <c r="C26" s="236" t="s">
        <v>490</v>
      </c>
      <c r="D26" s="583"/>
      <c r="E26" s="3753" t="s">
        <v>519</v>
      </c>
      <c r="F26" s="3754"/>
      <c r="G26" s="3753" t="s">
        <v>518</v>
      </c>
      <c r="H26" s="3754"/>
      <c r="I26" s="584" t="s">
        <v>668</v>
      </c>
      <c r="J26" s="585"/>
      <c r="K26" s="1349" t="s">
        <v>215</v>
      </c>
      <c r="L26" s="587" t="s">
        <v>535</v>
      </c>
      <c r="M26" s="588"/>
      <c r="N26" s="589" t="s">
        <v>540</v>
      </c>
      <c r="O26" s="587"/>
      <c r="P26" s="588"/>
      <c r="Q26" s="3528" t="s">
        <v>7428</v>
      </c>
      <c r="R26" s="3002" t="s">
        <v>7427</v>
      </c>
      <c r="S26" s="3745" t="s">
        <v>7420</v>
      </c>
      <c r="T26" s="3746"/>
      <c r="U26" s="3529" t="s">
        <v>7429</v>
      </c>
      <c r="Y26" s="2701"/>
      <c r="AB26" s="2766">
        <f>SUM(AF8:AF17)</f>
        <v>0</v>
      </c>
      <c r="AC26" s="2761">
        <f>SUM(AG8:AG17)</f>
        <v>0</v>
      </c>
      <c r="AF26" s="2407" t="s">
        <v>25</v>
      </c>
      <c r="AG26" s="2407">
        <f>SUM(O43:O52)-SUM(N43:N52)</f>
        <v>0</v>
      </c>
      <c r="AH26" s="2407">
        <f>IF(time=0,0,SUM(O43:O52)-SUM(N43:N52))</f>
        <v>0</v>
      </c>
      <c r="AI26" s="2407">
        <f>AG26-AH26</f>
        <v>0</v>
      </c>
    </row>
    <row r="27" spans="1:45" ht="30.75" thickBot="1">
      <c r="B27" s="591" t="s">
        <v>1124</v>
      </c>
      <c r="C27" s="592"/>
      <c r="D27" s="593"/>
      <c r="E27" s="547" t="s">
        <v>207</v>
      </c>
      <c r="F27" s="695" t="s">
        <v>208</v>
      </c>
      <c r="G27" s="547" t="s">
        <v>520</v>
      </c>
      <c r="H27" s="594" t="s">
        <v>522</v>
      </c>
      <c r="I27" s="592" t="s">
        <v>669</v>
      </c>
      <c r="J27" s="268"/>
      <c r="K27" s="595" t="s">
        <v>570</v>
      </c>
      <c r="L27" s="543" t="s">
        <v>493</v>
      </c>
      <c r="M27" s="546" t="s">
        <v>539</v>
      </c>
      <c r="N27" s="558" t="s">
        <v>542</v>
      </c>
      <c r="O27" s="559" t="s">
        <v>838</v>
      </c>
      <c r="P27" s="560" t="s">
        <v>839</v>
      </c>
      <c r="Q27" s="547" t="s">
        <v>537</v>
      </c>
      <c r="R27" s="728" t="s">
        <v>537</v>
      </c>
      <c r="S27" s="3526" t="s">
        <v>7422</v>
      </c>
      <c r="T27" s="3525" t="s">
        <v>7426</v>
      </c>
      <c r="U27" s="557" t="s">
        <v>538</v>
      </c>
      <c r="Y27" s="2701"/>
      <c r="Z27" s="234"/>
      <c r="AB27" s="1334">
        <f>SUM(AH8:AH17)</f>
        <v>0</v>
      </c>
      <c r="AC27" s="1334">
        <f>SUM(AI8:AI17)</f>
        <v>0</v>
      </c>
      <c r="AF27" s="2407" t="s">
        <v>332</v>
      </c>
      <c r="AG27" s="2407">
        <f>SUM(AG8:AG17)-SUM(AF8:AF17)</f>
        <v>0</v>
      </c>
      <c r="AH27" s="2407">
        <f>IF(time=0,0,AG27)</f>
        <v>0</v>
      </c>
      <c r="AI27" s="2407">
        <f>AG27-AH27</f>
        <v>0</v>
      </c>
    </row>
    <row r="28" spans="1:45" s="1743" customFormat="1" ht="13.5" thickBot="1">
      <c r="A28" s="233"/>
      <c r="B28" s="1734" t="s">
        <v>150</v>
      </c>
      <c r="C28" s="3757" t="str">
        <f>'2.LUC'!B12</f>
        <v>Select the vegetation</v>
      </c>
      <c r="D28" s="3758"/>
      <c r="E28" s="1985">
        <f>'2.LUC'!D12</f>
        <v>0</v>
      </c>
      <c r="F28" s="1735">
        <f>IF(C28=List!$A$50,0,IF(E28*0.47&gt;VLOOKUP($C28,$C$10:$X$18,8,),VLOOKUP($C28,$C$10:$X$18,8,),E28*0.47))</f>
        <v>0</v>
      </c>
      <c r="G28" s="1985" t="str">
        <f>'2.LUC'!E12</f>
        <v>NO</v>
      </c>
      <c r="H28" s="1736">
        <f>IF(C28=List!$A$50,0,IF(G28="yes",VLOOKUP(C28,$C$10:$X$18,19,),0))</f>
        <v>0</v>
      </c>
      <c r="I28" s="3759" t="str">
        <f>'2.LUC'!F12</f>
        <v>Select Use after deforestation</v>
      </c>
      <c r="J28" s="3760"/>
      <c r="K28" s="1737">
        <f>IF(I28=List!$A$62,0,HLOOKUP(I28,' IPCC'!$B$125:$I$137,1+MATCH(clim_full,' IPCC'!$A$126:$A$137,),))</f>
        <v>0</v>
      </c>
      <c r="L28" s="1738">
        <f>IF(C28=List!$A$50,0,(VLOOKUP($C28,$C$10:$X$18,8,)-$F28)+(VLOOKUP($C28,$C$10:$X$18,11,))+(VLOOKUP($C28,$C$10:$X$18,13,))+(VLOOKUP($C28,$C$10:$X$18,15,)))</f>
        <v>0</v>
      </c>
      <c r="M28" s="1739">
        <f>L28/12*44</f>
        <v>0</v>
      </c>
      <c r="N28" s="1740">
        <f>IF(I28=List!$A$62,0,VLOOKUP(clim_full,' IPCC'!$A$156:$I$167,1+MATCH($I28,' IPCC'!$B$155:$I$155,),))</f>
        <v>0</v>
      </c>
      <c r="O28" s="1738">
        <f>IF(C28=List!$A$50,0,(1-N28)*VLOOKUP($C28,$C$10:$X$18,17,))</f>
        <v>0</v>
      </c>
      <c r="P28" s="1741">
        <f>(O28/20)*44/12</f>
        <v>0</v>
      </c>
      <c r="Q28" s="1742">
        <f>IF(C28=List!$A$50,0,$H28*(VLOOKUP($C28,$C$10:$X$18,7,)-$E28)*VLOOKUP($C28,$C$10:$X$18,21,))</f>
        <v>0</v>
      </c>
      <c r="R28" s="3530">
        <f>IF(C28=List!$A$50,0,$H28*(VLOOKUP($C28,$C$10:$X$18,7,)-$E28)*VLOOKUP($C28,$C$10:$X$18,22,))</f>
        <v>0</v>
      </c>
      <c r="S28" s="1738">
        <f>IF(O28&lt;=0,0,((O28/20*1/' IPCC'!$B$1199)*1000))</f>
        <v>0</v>
      </c>
      <c r="T28" s="3530">
        <f t="shared" ref="T28:T37" si="8">S28*$Z$11*N2O_N_conversion</f>
        <v>0</v>
      </c>
      <c r="U28" s="1741">
        <f>(Q28*methane+(R28+T28)*Nitrous)/1000</f>
        <v>0</v>
      </c>
      <c r="Y28" s="3519"/>
      <c r="AD28" s="2403"/>
      <c r="AE28" s="2404"/>
      <c r="AF28" s="2407" t="s">
        <v>333</v>
      </c>
      <c r="AG28" s="2407">
        <f>SUM(AI8:AI17)-SUM(AH8:AH17)</f>
        <v>0</v>
      </c>
      <c r="AH28" s="2407">
        <f>IF(time=0,0,AG28)</f>
        <v>0</v>
      </c>
      <c r="AI28" s="2407">
        <f>AG28-AH28</f>
        <v>0</v>
      </c>
      <c r="AJ28" s="2404"/>
    </row>
    <row r="29" spans="1:45" s="1743" customFormat="1" ht="13.5" thickBot="1">
      <c r="A29" s="233"/>
      <c r="B29" s="1744" t="s">
        <v>151</v>
      </c>
      <c r="C29" s="3757" t="str">
        <f>'2.LUC'!B13</f>
        <v>Select the vegetation</v>
      </c>
      <c r="D29" s="3758"/>
      <c r="E29" s="1985">
        <f>'2.LUC'!D13</f>
        <v>0</v>
      </c>
      <c r="F29" s="1735">
        <f>IF(C29=List!$A$50,0,IF(E29*0.47&gt;VLOOKUP($C29,$C$10:$X$18,8,),VLOOKUP($C29,$C$10:$X$18,8,),E29*0.47))</f>
        <v>0</v>
      </c>
      <c r="G29" s="1985" t="str">
        <f>'2.LUC'!E13</f>
        <v>NO</v>
      </c>
      <c r="H29" s="1736">
        <f>IF(C29=List!$A$50,0,IF(G29="yes",VLOOKUP(C29,$C$10:$X$18,19,),0))</f>
        <v>0</v>
      </c>
      <c r="I29" s="3759" t="str">
        <f>'2.LUC'!F13</f>
        <v>Select Use after deforestation</v>
      </c>
      <c r="J29" s="3760"/>
      <c r="K29" s="1737">
        <f>IF(I29=List!$A$62,0,HLOOKUP(I29,' IPCC'!$B$125:$I$137,1+MATCH(clim_full,' IPCC'!$A$126:$A$137,),))</f>
        <v>0</v>
      </c>
      <c r="L29" s="1738">
        <f>IF(C29=List!$A$50,0,(VLOOKUP($C29,$C$10:$X$18,8,)-$F29)+(VLOOKUP($C29,$C$10:$X$18,11,))+(VLOOKUP($C29,$C$10:$X$18,13,))+(VLOOKUP($C29,$C$10:$X$18,15,)))</f>
        <v>0</v>
      </c>
      <c r="M29" s="1739">
        <f t="shared" ref="M29:M35" si="9">L29/12*44</f>
        <v>0</v>
      </c>
      <c r="N29" s="1740">
        <f>IF(I29=List!$A$62,0,VLOOKUP(clim_full,' IPCC'!$A$156:$I$167,1+MATCH($I29,' IPCC'!$B$155:$I$155,),))</f>
        <v>0</v>
      </c>
      <c r="O29" s="1738">
        <f>IF(C29=List!$A$50,0,(1-N29)*VLOOKUP($C29,$C$10:$X$18,17,))</f>
        <v>0</v>
      </c>
      <c r="P29" s="1741">
        <f t="shared" ref="P29:P35" si="10">(O29/20)*44/12</f>
        <v>0</v>
      </c>
      <c r="Q29" s="1742">
        <f>IF(C29=List!$A$50,0,$H29*(VLOOKUP($C29,$C$10:$X$18,7,)-$E29)*VLOOKUP($C29,$C$10:$X$18,21,))</f>
        <v>0</v>
      </c>
      <c r="R29" s="3530">
        <f>IF(C29=List!$A$50,0,$H29*(VLOOKUP($C29,$C$10:$X$18,7,)-$E29)*VLOOKUP($C29,$C$10:$X$18,22,))</f>
        <v>0</v>
      </c>
      <c r="S29" s="1738">
        <f>IF(O29&lt;=0,0,((O29/20*1/' IPCC'!$B$1199)*1000))</f>
        <v>0</v>
      </c>
      <c r="T29" s="3530">
        <f t="shared" si="8"/>
        <v>0</v>
      </c>
      <c r="U29" s="1741">
        <f>(Q29*methane+(R29+T29)*Nitrous)/1000</f>
        <v>0</v>
      </c>
      <c r="AD29" s="2403"/>
      <c r="AE29" s="2404"/>
      <c r="AF29" s="2407"/>
      <c r="AG29" s="2407">
        <f>SUM(AG25:AG28)</f>
        <v>0</v>
      </c>
      <c r="AH29" s="2407">
        <f>SUM(AH25:AH28)</f>
        <v>0</v>
      </c>
      <c r="AI29" s="2407">
        <f>SUM(AI25:AI28)</f>
        <v>0</v>
      </c>
      <c r="AJ29" s="2404"/>
    </row>
    <row r="30" spans="1:45" s="1743" customFormat="1" ht="13.5" thickBot="1">
      <c r="A30" s="233"/>
      <c r="B30" s="1744" t="s">
        <v>152</v>
      </c>
      <c r="C30" s="3757" t="str">
        <f>'2.LUC'!B14</f>
        <v>Select the vegetation</v>
      </c>
      <c r="D30" s="3758"/>
      <c r="E30" s="1985">
        <f>'2.LUC'!D14</f>
        <v>0</v>
      </c>
      <c r="F30" s="1735">
        <f>IF(C30=List!$A$50,0,IF(E30*0.47&gt;VLOOKUP($C30,$C$10:$X$18,8,),VLOOKUP($C30,$C$10:$X$18,8,),E30*0.47))</f>
        <v>0</v>
      </c>
      <c r="G30" s="1985" t="str">
        <f>'2.LUC'!E14</f>
        <v>NO</v>
      </c>
      <c r="H30" s="1736">
        <f>IF(C30=List!$A$50,0,IF(G30="yes",VLOOKUP(C30,$C$10:$X$18,19,),0))</f>
        <v>0</v>
      </c>
      <c r="I30" s="3759" t="str">
        <f>'2.LUC'!F14</f>
        <v>Select Use after deforestation</v>
      </c>
      <c r="J30" s="3760"/>
      <c r="K30" s="1737">
        <f>IF(I30=List!$A$62,0,HLOOKUP(I30,' IPCC'!$B$125:$I$137,1+MATCH(clim_full,' IPCC'!$A$126:$A$137,),))</f>
        <v>0</v>
      </c>
      <c r="L30" s="1738">
        <f>IF(C30=List!$A$50,0,(VLOOKUP($C30,$C$10:$X$18,8,)-$F30)+(VLOOKUP($C30,$C$10:$X$18,11,))+(VLOOKUP($C30,$C$10:$X$18,13,))+(VLOOKUP($C30,$C$10:$X$18,15,)))</f>
        <v>0</v>
      </c>
      <c r="M30" s="1739">
        <f t="shared" si="9"/>
        <v>0</v>
      </c>
      <c r="N30" s="1740">
        <f>IF(I30=List!$A$62,0,VLOOKUP(clim_full,' IPCC'!$A$156:$I$167,1+MATCH($I30,' IPCC'!$B$155:$I$155,),))</f>
        <v>0</v>
      </c>
      <c r="O30" s="1738">
        <f>IF(C30=List!$A$50,0,(1-N30)*VLOOKUP($C30,$C$10:$X$18,17,))</f>
        <v>0</v>
      </c>
      <c r="P30" s="1741">
        <f t="shared" si="10"/>
        <v>0</v>
      </c>
      <c r="Q30" s="1742">
        <f>IF(C30=List!$A$50,0,$H30*(VLOOKUP($C30,$C$10:$X$18,7,)-$E30)*VLOOKUP($C30,$C$10:$X$18,21,))</f>
        <v>0</v>
      </c>
      <c r="R30" s="3530">
        <f>IF(C30=List!$A$50,0,$H30*(VLOOKUP($C30,$C$10:$X$18,7,)-$E30)*VLOOKUP($C30,$C$10:$X$18,22,))</f>
        <v>0</v>
      </c>
      <c r="S30" s="1738">
        <f>IF(O30&lt;=0,0,((O30/20*1/' IPCC'!$B$1199)*1000))</f>
        <v>0</v>
      </c>
      <c r="T30" s="3530">
        <f t="shared" si="8"/>
        <v>0</v>
      </c>
      <c r="U30" s="1741">
        <f t="shared" ref="U30:U37" si="11">(Q30*methane+(R30+T30)*Nitrous)/1000</f>
        <v>0</v>
      </c>
      <c r="AD30" s="2403"/>
      <c r="AE30" s="2404"/>
      <c r="AF30" s="1903"/>
      <c r="AG30" s="1903"/>
      <c r="AH30" s="1903"/>
      <c r="AI30" s="1903"/>
      <c r="AJ30" s="2404"/>
    </row>
    <row r="31" spans="1:45" s="1743" customFormat="1" ht="13.5" thickBot="1">
      <c r="A31" s="233"/>
      <c r="B31" s="1744" t="s">
        <v>153</v>
      </c>
      <c r="C31" s="3757" t="str">
        <f>'2.LUC'!B15</f>
        <v>Select the vegetation</v>
      </c>
      <c r="D31" s="3758"/>
      <c r="E31" s="1985">
        <f>'2.LUC'!D15</f>
        <v>0</v>
      </c>
      <c r="F31" s="1735">
        <f>IF(C31=List!$A$50,0,IF(E31*0.47&gt;VLOOKUP($C31,$C$10:$X$18,8,),VLOOKUP($C31,$C$10:$X$18,8,),E31*0.47))</f>
        <v>0</v>
      </c>
      <c r="G31" s="1985" t="str">
        <f>'2.LUC'!E15</f>
        <v>NO</v>
      </c>
      <c r="H31" s="1736">
        <f>IF(C31=List!$A$50,0,IF(G31="yes",VLOOKUP(C31,$C$10:$X$18,19,),0))</f>
        <v>0</v>
      </c>
      <c r="I31" s="3759" t="str">
        <f>'2.LUC'!F15</f>
        <v>Select Use after deforestation</v>
      </c>
      <c r="J31" s="3760"/>
      <c r="K31" s="1737">
        <f>IF(I31=List!$A$62,0,HLOOKUP(I31,' IPCC'!$B$125:$I$137,1+MATCH(clim_full,' IPCC'!$A$126:$A$137,),))</f>
        <v>0</v>
      </c>
      <c r="L31" s="1738">
        <f>IF(C31=List!$A$50,0,(VLOOKUP($C31,$C$10:$X$18,8,)-$F31)+(VLOOKUP($C31,$C$10:$X$18,11,))+(VLOOKUP($C31,$C$10:$X$18,13,))+(VLOOKUP($C31,$C$10:$X$18,15,)))</f>
        <v>0</v>
      </c>
      <c r="M31" s="1739">
        <f t="shared" si="9"/>
        <v>0</v>
      </c>
      <c r="N31" s="1740">
        <f>IF(I31=List!$A$62,0,VLOOKUP(clim_full,' IPCC'!$A$156:$I$167,1+MATCH($I31,' IPCC'!$B$155:$I$155,),))</f>
        <v>0</v>
      </c>
      <c r="O31" s="1738">
        <f>IF(C31=List!$A$50,0,(1-N31)*VLOOKUP($C31,$C$10:$X$18,17,))</f>
        <v>0</v>
      </c>
      <c r="P31" s="1741">
        <f t="shared" si="10"/>
        <v>0</v>
      </c>
      <c r="Q31" s="1742">
        <f>IF(C31=List!$A$50,0,$H31*(VLOOKUP($C31,$C$10:$X$18,7,)-$E31)*VLOOKUP($C31,$C$10:$X$18,21,))</f>
        <v>0</v>
      </c>
      <c r="R31" s="3530">
        <f>IF(C31=List!$A$50,0,$H31*(VLOOKUP($C31,$C$10:$X$18,7,)-$E31)*VLOOKUP($C31,$C$10:$X$18,22,))</f>
        <v>0</v>
      </c>
      <c r="S31" s="1738">
        <f>IF(O31&lt;=0,0,((O31/20*1/' IPCC'!$B$1199)*1000))</f>
        <v>0</v>
      </c>
      <c r="T31" s="3530">
        <f t="shared" si="8"/>
        <v>0</v>
      </c>
      <c r="U31" s="1741">
        <f t="shared" si="11"/>
        <v>0</v>
      </c>
      <c r="AD31" s="2403"/>
      <c r="AE31" s="2404"/>
      <c r="AF31" s="1903"/>
      <c r="AG31" s="1903"/>
      <c r="AH31" s="1903"/>
      <c r="AI31" s="1903"/>
      <c r="AJ31" s="2404"/>
    </row>
    <row r="32" spans="1:45" s="600" customFormat="1" ht="13.5" thickBot="1">
      <c r="A32" s="233"/>
      <c r="B32" s="725" t="s">
        <v>154</v>
      </c>
      <c r="C32" s="3757" t="str">
        <f>'2.LUC'!B16</f>
        <v>Select the vegetation</v>
      </c>
      <c r="D32" s="3758"/>
      <c r="E32" s="1985">
        <f>'2.LUC'!D16</f>
        <v>0</v>
      </c>
      <c r="F32" s="1735">
        <f>IF(C32=List!$A$50,0,IF(E32*0.47&gt;VLOOKUP($C32,$C$10:$X$18,8,),VLOOKUP($C32,$C$10:$X$18,8,),E32*0.47))</f>
        <v>0</v>
      </c>
      <c r="G32" s="1985" t="str">
        <f>'2.LUC'!E16</f>
        <v>NO</v>
      </c>
      <c r="H32" s="1736">
        <f>IF(C32=List!$A$50,0,IF(G32="yes",VLOOKUP(C32,$C$10:$X$18,19,),0))</f>
        <v>0</v>
      </c>
      <c r="I32" s="3759" t="str">
        <f>'2.LUC'!F16</f>
        <v>Select Use after deforestation</v>
      </c>
      <c r="J32" s="3760"/>
      <c r="K32" s="1737">
        <f>IF(I32=List!$A$62,0,HLOOKUP(I32,' IPCC'!$B$125:$I$137,1+MATCH(clim_full,' IPCC'!$A$126:$A$137,),))</f>
        <v>0</v>
      </c>
      <c r="L32" s="1738">
        <f>IF(C32=List!$A$50,0,(VLOOKUP($C32,$C$10:$X$18,8,)-$F32)+(VLOOKUP($C32,$C$10:$X$18,11,))+(VLOOKUP($C32,$C$10:$X$18,13,))+(VLOOKUP($C32,$C$10:$X$18,15,)))</f>
        <v>0</v>
      </c>
      <c r="M32" s="1739">
        <f t="shared" si="9"/>
        <v>0</v>
      </c>
      <c r="N32" s="1740">
        <f>IF(I32=List!$A$62,0,VLOOKUP(clim_full,' IPCC'!$A$156:$I$167,1+MATCH($I32,' IPCC'!$B$155:$I$155,),))</f>
        <v>0</v>
      </c>
      <c r="O32" s="1738">
        <f>IF(C32=List!$A$50,0,(1-N32)*VLOOKUP($C32,$C$10:$X$18,17,))</f>
        <v>0</v>
      </c>
      <c r="P32" s="1741">
        <f t="shared" si="10"/>
        <v>0</v>
      </c>
      <c r="Q32" s="1742">
        <f>IF(C32=List!$A$50,0,$H32*(VLOOKUP($C32,$C$10:$X$18,7,)-$E32)*VLOOKUP($C32,$C$10:$X$18,21,))</f>
        <v>0</v>
      </c>
      <c r="R32" s="3530">
        <f>IF(C32=List!$A$50,0,$H32*(VLOOKUP($C32,$C$10:$X$18,7,)-$E32)*VLOOKUP($C32,$C$10:$X$18,22,))</f>
        <v>0</v>
      </c>
      <c r="S32" s="1738">
        <f>IF(O32&lt;=0,0,((O32/20*1/' IPCC'!$B$1199)*1000))</f>
        <v>0</v>
      </c>
      <c r="T32" s="3530">
        <f t="shared" si="8"/>
        <v>0</v>
      </c>
      <c r="U32" s="1741">
        <f t="shared" si="11"/>
        <v>0</v>
      </c>
      <c r="AC32" s="739"/>
      <c r="AD32" s="2403"/>
      <c r="AE32" s="2404"/>
      <c r="AF32" s="1871"/>
      <c r="AG32" s="1871"/>
      <c r="AH32" s="1903"/>
      <c r="AI32" s="1903"/>
      <c r="AJ32" s="2404"/>
      <c r="AK32" s="739"/>
      <c r="AL32" s="739"/>
      <c r="AM32" s="739"/>
      <c r="AN32" s="739"/>
      <c r="AO32" s="1490"/>
      <c r="AP32" s="1490"/>
      <c r="AQ32" s="1490"/>
      <c r="AR32" s="1490"/>
      <c r="AS32" s="1490"/>
    </row>
    <row r="33" spans="1:45" s="600" customFormat="1" ht="13.5" thickBot="1">
      <c r="A33" s="233"/>
      <c r="B33" s="725" t="s">
        <v>155</v>
      </c>
      <c r="C33" s="3757" t="str">
        <f>'2.LUC'!B17</f>
        <v>Select the vegetation</v>
      </c>
      <c r="D33" s="3758"/>
      <c r="E33" s="1985">
        <f>'2.LUC'!D17</f>
        <v>0</v>
      </c>
      <c r="F33" s="1735">
        <f>IF(C33=List!$A$50,0,IF(E33*0.47&gt;VLOOKUP($C33,$C$10:$X$18,8,),VLOOKUP($C33,$C$10:$X$18,8,),E33*0.47))</f>
        <v>0</v>
      </c>
      <c r="G33" s="1985" t="str">
        <f>'2.LUC'!E17</f>
        <v>NO</v>
      </c>
      <c r="H33" s="1736">
        <f>IF(C33=List!$A$50,0,IF(G33="yes",VLOOKUP(C33,$C$10:$X$18,19,),0))</f>
        <v>0</v>
      </c>
      <c r="I33" s="3759" t="str">
        <f>'2.LUC'!F17</f>
        <v>Select Use after deforestation</v>
      </c>
      <c r="J33" s="3760"/>
      <c r="K33" s="1737">
        <f>IF(I33=List!$A$62,0,HLOOKUP(I33,' IPCC'!$B$125:$I$137,1+MATCH(clim_full,' IPCC'!$A$126:$A$137,),))</f>
        <v>0</v>
      </c>
      <c r="L33" s="1738">
        <f>IF(C33=List!$A$50,0,(VLOOKUP($C33,$C$10:$X$18,8,)-$F33)+(VLOOKUP($C33,$C$10:$X$18,11,))+(VLOOKUP($C33,$C$10:$X$18,13,))+(VLOOKUP($C33,$C$10:$X$18,15,)))</f>
        <v>0</v>
      </c>
      <c r="M33" s="1739">
        <f t="shared" si="9"/>
        <v>0</v>
      </c>
      <c r="N33" s="1740">
        <f>IF(I33=List!$A$62,0,VLOOKUP(clim_full,' IPCC'!$A$156:$I$167,1+MATCH($I33,' IPCC'!$B$155:$I$155,),))</f>
        <v>0</v>
      </c>
      <c r="O33" s="1738">
        <f>IF(C33=List!$A$50,0,(1-N33)*VLOOKUP($C33,$C$10:$X$18,17,))</f>
        <v>0</v>
      </c>
      <c r="P33" s="1741">
        <f t="shared" si="10"/>
        <v>0</v>
      </c>
      <c r="Q33" s="1742">
        <f>IF(C33=List!$A$50,0,$H33*(VLOOKUP($C33,$C$10:$X$18,7,)-$E33)*VLOOKUP($C33,$C$10:$X$18,21,))</f>
        <v>0</v>
      </c>
      <c r="R33" s="3530">
        <f>IF(C33=List!$A$50,0,$H33*(VLOOKUP($C33,$C$10:$X$18,7,)-$E33)*VLOOKUP($C33,$C$10:$X$18,22,))</f>
        <v>0</v>
      </c>
      <c r="S33" s="1738">
        <f>IF(O33&lt;=0,0,((O33/20*1/' IPCC'!$B$1199)*1000))</f>
        <v>0</v>
      </c>
      <c r="T33" s="3530">
        <f t="shared" si="8"/>
        <v>0</v>
      </c>
      <c r="U33" s="1741">
        <f t="shared" si="11"/>
        <v>0</v>
      </c>
      <c r="AC33" s="739"/>
      <c r="AD33" s="2403"/>
      <c r="AE33" s="2404"/>
      <c r="AF33" s="1871"/>
      <c r="AG33" s="1871"/>
      <c r="AH33" s="1903" t="s">
        <v>37</v>
      </c>
      <c r="AI33" s="1903">
        <f>time_tot</f>
        <v>0</v>
      </c>
      <c r="AJ33" s="2404"/>
      <c r="AK33" s="739"/>
      <c r="AL33" s="739"/>
      <c r="AM33" s="739"/>
      <c r="AN33" s="739"/>
      <c r="AO33" s="1490"/>
      <c r="AP33" s="1490"/>
      <c r="AQ33" s="1490"/>
      <c r="AR33" s="1490"/>
      <c r="AS33" s="1490"/>
    </row>
    <row r="34" spans="1:45" s="600" customFormat="1" ht="13.5" thickBot="1">
      <c r="B34" s="601" t="s">
        <v>156</v>
      </c>
      <c r="C34" s="3757" t="str">
        <f>'2.LUC'!B18</f>
        <v>Select the vegetation</v>
      </c>
      <c r="D34" s="3758"/>
      <c r="E34" s="1985">
        <f>'2.LUC'!D18</f>
        <v>0</v>
      </c>
      <c r="F34" s="1735">
        <f>IF(C34=List!$A$50,0,IF(E34*0.47&gt;VLOOKUP($C34,$C$10:$X$18,8,),VLOOKUP($C34,$C$10:$X$18,8,),E34*0.47))</f>
        <v>0</v>
      </c>
      <c r="G34" s="1985" t="str">
        <f>'2.LUC'!E18</f>
        <v>NO</v>
      </c>
      <c r="H34" s="1736">
        <f>IF(C34=List!$A$50,0,IF(G34="yes",VLOOKUP(C34,$C$10:$X$18,19,),0))</f>
        <v>0</v>
      </c>
      <c r="I34" s="3759" t="str">
        <f>'2.LUC'!F18</f>
        <v>Select Use after deforestation</v>
      </c>
      <c r="J34" s="3760"/>
      <c r="K34" s="1737">
        <f>IF(I34=List!$A$62,0,HLOOKUP(I34,' IPCC'!$B$125:$I$137,1+MATCH(clim_full,' IPCC'!$A$126:$A$137,),))</f>
        <v>0</v>
      </c>
      <c r="L34" s="1738">
        <f>IF(C34=List!$A$50,0,(VLOOKUP($C34,$C$10:$X$18,8,)-$F34)+(VLOOKUP($C34,$C$10:$X$18,11,))+(VLOOKUP($C34,$C$10:$X$18,13,))+(VLOOKUP($C34,$C$10:$X$18,15,)))</f>
        <v>0</v>
      </c>
      <c r="M34" s="1739">
        <f t="shared" si="9"/>
        <v>0</v>
      </c>
      <c r="N34" s="1740">
        <f>IF(I34=List!$A$62,0,VLOOKUP(clim_full,' IPCC'!$A$156:$I$167,1+MATCH($I34,' IPCC'!$B$155:$I$155,),))</f>
        <v>0</v>
      </c>
      <c r="O34" s="1738">
        <f>IF(C34=List!$A$50,0,(1-N34)*VLOOKUP($C34,$C$10:$X$18,17,))</f>
        <v>0</v>
      </c>
      <c r="P34" s="1741">
        <f t="shared" si="10"/>
        <v>0</v>
      </c>
      <c r="Q34" s="1742">
        <f>IF(C34=List!$A$50,0,$H34*(VLOOKUP($C34,$C$10:$X$18,7,)-$E34)*VLOOKUP($C34,$C$10:$X$18,21,))</f>
        <v>0</v>
      </c>
      <c r="R34" s="3530">
        <f>IF(C34=List!$A$50,0,$H34*(VLOOKUP($C34,$C$10:$X$18,7,)-$E34)*VLOOKUP($C34,$C$10:$X$18,22,))</f>
        <v>0</v>
      </c>
      <c r="S34" s="1738">
        <f>IF(O34&lt;=0,0,((O34/20*1/' IPCC'!$B$1199)*1000))</f>
        <v>0</v>
      </c>
      <c r="T34" s="3530">
        <f t="shared" si="8"/>
        <v>0</v>
      </c>
      <c r="U34" s="1741">
        <f t="shared" si="11"/>
        <v>0</v>
      </c>
      <c r="AC34" s="739"/>
      <c r="AD34" s="2403"/>
      <c r="AE34" s="2404"/>
      <c r="AF34" s="2408"/>
      <c r="AG34" s="1903"/>
      <c r="AH34" s="1903" t="s">
        <v>38</v>
      </c>
      <c r="AI34" s="1903">
        <f>time2</f>
        <v>0</v>
      </c>
      <c r="AJ34" s="2404"/>
      <c r="AK34" s="739"/>
      <c r="AL34" s="739"/>
      <c r="AM34" s="739"/>
      <c r="AN34" s="739"/>
      <c r="AO34" s="1490"/>
      <c r="AP34" s="1490"/>
      <c r="AQ34" s="1490"/>
      <c r="AR34" s="1490"/>
      <c r="AS34" s="1490"/>
    </row>
    <row r="35" spans="1:45" s="600" customFormat="1">
      <c r="B35" s="601" t="s">
        <v>157</v>
      </c>
      <c r="C35" s="3757" t="str">
        <f>'2.LUC'!B19</f>
        <v>Select the vegetation</v>
      </c>
      <c r="D35" s="3758"/>
      <c r="E35" s="1985">
        <f>'2.LUC'!D19</f>
        <v>0</v>
      </c>
      <c r="F35" s="1735">
        <f>IF(C35=List!$A$50,0,IF(E35*0.47&gt;VLOOKUP($C35,$C$10:$X$18,8,),VLOOKUP($C35,$C$10:$X$18,8,),E35*0.47))</f>
        <v>0</v>
      </c>
      <c r="G35" s="1985" t="str">
        <f>'2.LUC'!E19</f>
        <v>NO</v>
      </c>
      <c r="H35" s="1736">
        <f>IF(C35=List!$A$50,0,IF(G35="yes",VLOOKUP(C35,$C$10:$X$18,19,),0))</f>
        <v>0</v>
      </c>
      <c r="I35" s="3759" t="str">
        <f>'2.LUC'!F19</f>
        <v>Select Use after deforestation</v>
      </c>
      <c r="J35" s="3760"/>
      <c r="K35" s="1737">
        <f>IF(I35=List!$A$62,0,HLOOKUP(I35,' IPCC'!$B$125:$I$137,1+MATCH(clim_full,' IPCC'!$A$126:$A$137,),))</f>
        <v>0</v>
      </c>
      <c r="L35" s="1738">
        <f>IF(C35=List!$A$50,0,(VLOOKUP($C35,$C$10:$X$18,8,)-$F35)+(VLOOKUP($C35,$C$10:$X$18,11,))+(VLOOKUP($C35,$C$10:$X$18,13,))+(VLOOKUP($C35,$C$10:$X$18,15,)))</f>
        <v>0</v>
      </c>
      <c r="M35" s="1739">
        <f t="shared" si="9"/>
        <v>0</v>
      </c>
      <c r="N35" s="1740">
        <f>IF(I35=List!$A$62,0,VLOOKUP(clim_full,' IPCC'!$A$156:$I$167,1+MATCH($I35,' IPCC'!$B$155:$I$155,),))</f>
        <v>0</v>
      </c>
      <c r="O35" s="1738">
        <f>IF(C35=List!$A$50,0,(1-N35)*VLOOKUP($C35,$C$10:$X$18,17,))</f>
        <v>0</v>
      </c>
      <c r="P35" s="1741">
        <f t="shared" si="10"/>
        <v>0</v>
      </c>
      <c r="Q35" s="1742">
        <f>IF(C35=List!$A$50,0,$H35*(VLOOKUP($C35,$C$10:$X$18,7,)-$E35)*VLOOKUP($C35,$C$10:$X$18,21,))</f>
        <v>0</v>
      </c>
      <c r="R35" s="3530">
        <f>IF(C35=List!$A$50,0,$H35*(VLOOKUP($C35,$C$10:$X$18,7,)-$E35)*VLOOKUP($C35,$C$10:$X$18,22,))</f>
        <v>0</v>
      </c>
      <c r="S35" s="1738">
        <f>IF(O35&lt;=0,0,((O35/20*1/' IPCC'!$B$1199)*1000))</f>
        <v>0</v>
      </c>
      <c r="T35" s="3530">
        <f t="shared" si="8"/>
        <v>0</v>
      </c>
      <c r="U35" s="1741">
        <f t="shared" si="11"/>
        <v>0</v>
      </c>
      <c r="AC35" s="739"/>
      <c r="AD35" s="2403"/>
      <c r="AE35" s="2404"/>
      <c r="AF35" s="1903"/>
      <c r="AG35" s="1871"/>
      <c r="AH35" s="1903" t="s">
        <v>39</v>
      </c>
      <c r="AI35" s="1903">
        <f>time</f>
        <v>0</v>
      </c>
      <c r="AJ35" s="2404"/>
      <c r="AK35" s="739"/>
      <c r="AL35" s="739"/>
      <c r="AM35" s="739"/>
      <c r="AN35" s="739"/>
      <c r="AO35" s="1490"/>
      <c r="AP35" s="1490"/>
      <c r="AQ35" s="1490"/>
      <c r="AR35" s="1490"/>
      <c r="AS35" s="1490"/>
    </row>
    <row r="36" spans="1:45" s="600" customFormat="1">
      <c r="B36" s="601" t="s">
        <v>158</v>
      </c>
      <c r="C36" s="605" t="str">
        <f>F22</f>
        <v>Specific Vegetation 3</v>
      </c>
      <c r="D36" s="605"/>
      <c r="E36" s="674"/>
      <c r="F36" s="927">
        <f>IF(E36*0.47&gt;J22,J22,E36*0.47)</f>
        <v>0</v>
      </c>
      <c r="G36" s="674" t="s">
        <v>354</v>
      </c>
      <c r="H36" s="463">
        <f>IF(G36="yes",U22,0)</f>
        <v>0</v>
      </c>
      <c r="I36" s="3761" t="s">
        <v>12</v>
      </c>
      <c r="J36" s="3762"/>
      <c r="K36" s="1030">
        <f>IF(I36=List!$A$62,0,HLOOKUP(I36,' IPCC'!$B$125:$I$137,1+MATCH(clim_full,' IPCC'!$A$126:$A$137,),))</f>
        <v>0</v>
      </c>
      <c r="L36" s="1590">
        <f>($J22+M22+O22+Q22-$F36)</f>
        <v>0</v>
      </c>
      <c r="M36" s="1593">
        <f t="shared" ref="M36:M37" si="12">L36/12*44</f>
        <v>0</v>
      </c>
      <c r="N36" s="1240">
        <f>IF(I36=List!$A$62,0,VLOOKUP(clim_full,' IPCC'!$A$156:$I$167,1+MATCH($I36,' IPCC'!$B$155:$I$155,),))</f>
        <v>0</v>
      </c>
      <c r="O36" s="606">
        <f>(1-N36)*S22</f>
        <v>0</v>
      </c>
      <c r="P36" s="1189">
        <f t="shared" ref="P36:P37" si="13">(O36/20)*44/12</f>
        <v>0</v>
      </c>
      <c r="Q36" s="607">
        <f t="shared" ref="Q36:R37" si="14">$H36*($I22-$E36)*W22</f>
        <v>0</v>
      </c>
      <c r="R36" s="3531">
        <f t="shared" si="14"/>
        <v>0</v>
      </c>
      <c r="S36" s="606">
        <f>IF(O36&lt;=0,0,((O36/20*1/' IPCC'!$B$1199)*1000))</f>
        <v>0</v>
      </c>
      <c r="T36" s="3531">
        <f t="shared" si="8"/>
        <v>0</v>
      </c>
      <c r="U36" s="1741">
        <f t="shared" si="11"/>
        <v>0</v>
      </c>
      <c r="AC36" s="739"/>
      <c r="AD36" s="2403"/>
      <c r="AE36" s="2404"/>
      <c r="AF36" s="2404"/>
      <c r="AG36" s="2404"/>
      <c r="AH36" s="2404"/>
      <c r="AI36" s="2404"/>
      <c r="AJ36" s="2404"/>
      <c r="AK36" s="739"/>
      <c r="AL36" s="739"/>
      <c r="AM36" s="739"/>
      <c r="AN36" s="739"/>
      <c r="AO36" s="1490"/>
      <c r="AP36" s="1490"/>
      <c r="AQ36" s="1490"/>
      <c r="AR36" s="1490"/>
      <c r="AS36" s="1490"/>
    </row>
    <row r="37" spans="1:45" s="600" customFormat="1" ht="13.5" thickBot="1">
      <c r="B37" s="1244" t="s">
        <v>159</v>
      </c>
      <c r="C37" s="609" t="str">
        <f>F23</f>
        <v>Specific Vegetation 4</v>
      </c>
      <c r="D37" s="609"/>
      <c r="E37" s="675"/>
      <c r="F37" s="928">
        <f>IF(E37*0.47&gt;J23,J23,E37*0.47)</f>
        <v>0</v>
      </c>
      <c r="G37" s="675" t="s">
        <v>354</v>
      </c>
      <c r="H37" s="1264">
        <f>IF(G37="yes",U23,0)</f>
        <v>0</v>
      </c>
      <c r="I37" s="3763" t="s">
        <v>12</v>
      </c>
      <c r="J37" s="3764"/>
      <c r="K37" s="1031">
        <f>IF(I37=List!$A$62,0,HLOOKUP(I37,' IPCC'!$B$125:$I$137,1+MATCH(clim_full,' IPCC'!$A$126:$A$137,),))</f>
        <v>0</v>
      </c>
      <c r="L37" s="1591">
        <f>($J23+M23+O23+Q23-$F37)</f>
        <v>0</v>
      </c>
      <c r="M37" s="1594">
        <f t="shared" si="12"/>
        <v>0</v>
      </c>
      <c r="N37" s="1241">
        <f>IF(I37=List!$A$62,0,VLOOKUP(clim_full,' IPCC'!$A$156:$I$167,1+MATCH($I37,' IPCC'!$B$155:$I$155,),))</f>
        <v>0</v>
      </c>
      <c r="O37" s="610">
        <f>(1-N37)*S23</f>
        <v>0</v>
      </c>
      <c r="P37" s="1190">
        <f t="shared" si="13"/>
        <v>0</v>
      </c>
      <c r="Q37" s="611">
        <f t="shared" si="14"/>
        <v>0</v>
      </c>
      <c r="R37" s="3532">
        <f t="shared" si="14"/>
        <v>0</v>
      </c>
      <c r="S37" s="610">
        <f>IF(O37&lt;=0,0,((O37/20*1/' IPCC'!$B$1199)*1000))</f>
        <v>0</v>
      </c>
      <c r="T37" s="3532">
        <f t="shared" si="8"/>
        <v>0</v>
      </c>
      <c r="U37" s="1741">
        <f t="shared" si="11"/>
        <v>0</v>
      </c>
      <c r="AC37" s="739"/>
      <c r="AD37" s="2403"/>
      <c r="AE37" s="2404"/>
      <c r="AF37" s="2404"/>
      <c r="AG37" s="2404"/>
      <c r="AH37" s="2404"/>
      <c r="AI37" s="2404"/>
      <c r="AJ37" s="2404"/>
      <c r="AK37" s="739"/>
      <c r="AL37" s="739"/>
      <c r="AM37" s="739"/>
      <c r="AN37" s="739"/>
      <c r="AO37" s="1490"/>
      <c r="AP37" s="1490"/>
      <c r="AQ37" s="1490"/>
      <c r="AR37" s="1490"/>
      <c r="AS37" s="1490"/>
    </row>
    <row r="38" spans="1:45" s="600" customFormat="1">
      <c r="B38" s="612"/>
      <c r="C38" s="613"/>
      <c r="D38" s="612"/>
      <c r="E38" s="612"/>
      <c r="F38" s="612"/>
      <c r="H38" s="614"/>
      <c r="I38" s="614"/>
      <c r="N38" s="614"/>
      <c r="O38" s="615"/>
      <c r="P38" s="615"/>
      <c r="Q38" s="616"/>
      <c r="R38" s="616"/>
      <c r="S38" s="616"/>
      <c r="T38" s="615"/>
      <c r="U38" s="234"/>
      <c r="V38" s="616"/>
      <c r="W38" s="616"/>
      <c r="X38" s="614"/>
      <c r="Y38" s="614"/>
      <c r="Z38" s="139"/>
      <c r="AC38" s="739"/>
      <c r="AD38" s="2403"/>
      <c r="AE38" s="1903"/>
      <c r="AF38" s="1903"/>
      <c r="AG38" s="2404"/>
      <c r="AH38" s="2404"/>
      <c r="AI38" s="2404"/>
      <c r="AJ38" s="2404"/>
      <c r="AK38" s="739"/>
      <c r="AL38" s="739"/>
      <c r="AM38" s="739"/>
      <c r="AN38" s="739"/>
      <c r="AO38" s="1490"/>
      <c r="AP38" s="1490"/>
      <c r="AQ38" s="1490"/>
      <c r="AR38" s="1490"/>
      <c r="AS38" s="1490"/>
    </row>
    <row r="39" spans="1:45">
      <c r="B39" s="617" t="s">
        <v>1001</v>
      </c>
      <c r="C39" s="618"/>
      <c r="D39" s="618"/>
      <c r="E39" s="618"/>
      <c r="F39" s="619"/>
      <c r="G39" s="618"/>
      <c r="H39" s="618"/>
      <c r="I39" s="619"/>
      <c r="J39" s="619"/>
      <c r="K39" s="619"/>
      <c r="L39" s="619"/>
      <c r="M39" s="619"/>
      <c r="N39" s="619"/>
      <c r="O39" s="618"/>
      <c r="P39" s="619"/>
      <c r="Q39" s="618"/>
      <c r="R39" s="618"/>
      <c r="S39" s="620"/>
      <c r="T39" s="620"/>
      <c r="X39" s="233"/>
      <c r="Y39" s="233"/>
      <c r="Z39" s="9"/>
      <c r="AE39" s="1903"/>
      <c r="AF39" s="1903"/>
    </row>
    <row r="40" spans="1:45" ht="13.5" thickBot="1">
      <c r="B40" s="269" t="s">
        <v>490</v>
      </c>
      <c r="C40" s="3755" t="s">
        <v>657</v>
      </c>
      <c r="D40" s="3755"/>
      <c r="E40" s="3755"/>
      <c r="F40" s="3755"/>
      <c r="G40" s="3756"/>
      <c r="H40" s="621" t="s">
        <v>534</v>
      </c>
      <c r="I40" s="237"/>
      <c r="J40" s="3742" t="s">
        <v>997</v>
      </c>
      <c r="K40" s="3743"/>
      <c r="L40" s="622" t="s">
        <v>1256</v>
      </c>
      <c r="M40" s="622"/>
      <c r="N40" s="707" t="s">
        <v>219</v>
      </c>
      <c r="O40" s="560"/>
      <c r="P40" s="3573" t="s">
        <v>8736</v>
      </c>
      <c r="Q40" s="560"/>
      <c r="R40" s="535" t="s">
        <v>671</v>
      </c>
      <c r="S40" s="536"/>
      <c r="T40" s="20" t="s">
        <v>343</v>
      </c>
      <c r="AE40" s="1903"/>
      <c r="AH40" s="1871"/>
    </row>
    <row r="41" spans="1:45">
      <c r="B41" s="271"/>
      <c r="C41" s="623" t="s">
        <v>340</v>
      </c>
      <c r="D41" s="624" t="s">
        <v>673</v>
      </c>
      <c r="E41" s="625"/>
      <c r="F41" s="626" t="s">
        <v>672</v>
      </c>
      <c r="G41" s="627"/>
      <c r="H41" s="628" t="s">
        <v>674</v>
      </c>
      <c r="I41" s="629" t="s">
        <v>675</v>
      </c>
      <c r="J41" s="628" t="s">
        <v>674</v>
      </c>
      <c r="K41" s="629" t="s">
        <v>675</v>
      </c>
      <c r="L41" s="628" t="s">
        <v>674</v>
      </c>
      <c r="M41" s="629" t="s">
        <v>675</v>
      </c>
      <c r="N41" s="628" t="s">
        <v>674</v>
      </c>
      <c r="O41" s="629" t="s">
        <v>675</v>
      </c>
      <c r="P41" s="628" t="s">
        <v>674</v>
      </c>
      <c r="Q41" s="629" t="s">
        <v>675</v>
      </c>
      <c r="R41" s="628" t="s">
        <v>674</v>
      </c>
      <c r="S41" s="629" t="s">
        <v>675</v>
      </c>
      <c r="T41" s="171"/>
      <c r="AE41" s="1903"/>
      <c r="AF41" s="1903" t="s">
        <v>1566</v>
      </c>
    </row>
    <row r="42" spans="1:45" ht="13.5" thickBot="1">
      <c r="B42" s="271"/>
      <c r="C42" s="630" t="s">
        <v>347</v>
      </c>
      <c r="D42" s="631" t="s">
        <v>341</v>
      </c>
      <c r="E42" s="632" t="s">
        <v>348</v>
      </c>
      <c r="F42" s="633" t="s">
        <v>341</v>
      </c>
      <c r="G42" s="634" t="s">
        <v>348</v>
      </c>
      <c r="H42" s="635"/>
      <c r="I42" s="636"/>
      <c r="J42" s="637" t="s">
        <v>541</v>
      </c>
      <c r="K42" s="638" t="s">
        <v>541</v>
      </c>
      <c r="L42" s="637" t="s">
        <v>541</v>
      </c>
      <c r="M42" s="638" t="s">
        <v>541</v>
      </c>
      <c r="N42" s="637" t="s">
        <v>541</v>
      </c>
      <c r="O42" s="638" t="s">
        <v>541</v>
      </c>
      <c r="P42" s="637" t="s">
        <v>541</v>
      </c>
      <c r="Q42" s="638" t="s">
        <v>541</v>
      </c>
      <c r="R42" s="637" t="s">
        <v>541</v>
      </c>
      <c r="S42" s="638" t="s">
        <v>541</v>
      </c>
      <c r="T42" s="1018" t="s">
        <v>541</v>
      </c>
      <c r="AE42" s="1903"/>
      <c r="AF42" s="1903" t="s">
        <v>347</v>
      </c>
      <c r="AG42" s="2404" t="s">
        <v>1567</v>
      </c>
      <c r="AH42" s="2404" t="s">
        <v>1568</v>
      </c>
    </row>
    <row r="43" spans="1:45" ht="13.5" thickBot="1">
      <c r="A43" s="1733" t="s">
        <v>1290</v>
      </c>
      <c r="B43" s="271" t="str">
        <f t="shared" ref="B43:B51" si="15">B28</f>
        <v>Def.1</v>
      </c>
      <c r="C43" s="1864">
        <f>'2.LUC'!J12</f>
        <v>0</v>
      </c>
      <c r="D43" s="1864">
        <f>'2.LUC'!K12</f>
        <v>0</v>
      </c>
      <c r="E43" s="2169" t="str">
        <f>VLOOKUP('2.LUC'!L12,List!$D$35:$E$37,2,)</f>
        <v>Linear</v>
      </c>
      <c r="F43" s="1793">
        <f>'2.LUC'!M12</f>
        <v>0</v>
      </c>
      <c r="G43" s="2169" t="str">
        <f>VLOOKUP('2.LUC'!N12,List!$D$35:$E$37,2,)</f>
        <v>Linear</v>
      </c>
      <c r="H43" s="640">
        <f>IF(D43&gt;C43,0,C43-D43)</f>
        <v>0</v>
      </c>
      <c r="I43" s="641">
        <f>IF(F43&gt;C43,0,C43-F43)</f>
        <v>0</v>
      </c>
      <c r="J43" s="1361">
        <f t="shared" ref="J43:J52" si="16">$H43*($M28)</f>
        <v>0</v>
      </c>
      <c r="K43" s="1477">
        <f t="shared" ref="K43:K52" si="17">$I43*($M28)</f>
        <v>0</v>
      </c>
      <c r="L43" s="1774">
        <f>IF(J43=0,0,IF(C28=List!$A$50,0,-($H43*$K28*44/12)))</f>
        <v>0</v>
      </c>
      <c r="M43" s="1773">
        <f>IF(K43=0,0,IF(C28=List!$A$50,0,-($I43*$K28*44/12)))</f>
        <v>0</v>
      </c>
      <c r="N43" s="1446">
        <f>$P28*(IF(E43="immediate",IF(H43&gt;0,H43*MIN(20,time_tot),0),H43*IF(time_tot&gt;time+20,20,IF(time_tot&lt;20,(time*VLOOKUP(E43,List!$E$35:$F$37,2,))+(time_tot-time),((MIN(20,time)*VLOOKUP(E43,List!$E$35:$F$37,2,))+(time_tot-MIN(20,time))-IF(E43="exponential",time_tot-20+0.217*time*(EXP(4.606*(20-time_tot)/time)-1),((time_tot-20)^2)*(0.5/time)))))))</f>
        <v>0</v>
      </c>
      <c r="O43" s="1447">
        <f>$P28*(IF(G43="immediate",IF(I43&gt;0,I43*MIN(20,time_tot),0),I43*IF(time_tot&gt;time+20,20,IF(time_tot&lt;20,(time*VLOOKUP(G43,List!$E$35:$F$37,2,))+(time_tot-time),((MIN(20,time)*VLOOKUP(G43,List!$E$35:$F$37,2,))+(time_tot-MIN(20,time))-IF(G43="exponential",time_tot-20+0.217*time*(EXP(4.606*(20-time_tot)/time)-1),((time_tot-20)^2)*(0.5/time)))))))</f>
        <v>0</v>
      </c>
      <c r="P43" s="1477">
        <f>IF(G28="yes",$H43*$U28,0)</f>
        <v>0</v>
      </c>
      <c r="Q43" s="1362">
        <f t="shared" ref="Q43:Q52" si="18">$I43*$U28</f>
        <v>0</v>
      </c>
      <c r="R43" s="1468">
        <f>J43+N43+P43+L43</f>
        <v>0</v>
      </c>
      <c r="S43" s="1447">
        <f t="shared" ref="S43:S52" si="19">K43+O43+Q43+M43</f>
        <v>0</v>
      </c>
      <c r="T43" s="282">
        <f>S43-R43</f>
        <v>0</v>
      </c>
      <c r="AE43" s="1903"/>
      <c r="AF43" s="1903">
        <v>0</v>
      </c>
      <c r="AG43" s="1903">
        <f>IF(H28&gt;0,H43,0)</f>
        <v>0</v>
      </c>
      <c r="AH43" s="1903">
        <f>IF(H28&gt;0,I43,0)</f>
        <v>0</v>
      </c>
      <c r="AI43" s="2409"/>
    </row>
    <row r="44" spans="1:45" ht="13.5" thickBot="1">
      <c r="A44" s="1733" t="s">
        <v>1290</v>
      </c>
      <c r="B44" s="271" t="str">
        <f t="shared" si="15"/>
        <v>Def.2</v>
      </c>
      <c r="C44" s="1864">
        <f>'2.LUC'!J13</f>
        <v>0</v>
      </c>
      <c r="D44" s="1864">
        <f>'2.LUC'!K13</f>
        <v>0</v>
      </c>
      <c r="E44" s="2169" t="str">
        <f>VLOOKUP('2.LUC'!L13,List!$D$35:$E$37,2,)</f>
        <v>Linear</v>
      </c>
      <c r="F44" s="1793">
        <f>'2.LUC'!M13</f>
        <v>0</v>
      </c>
      <c r="G44" s="2169" t="str">
        <f>VLOOKUP('2.LUC'!N13,List!$D$35:$E$37,2,)</f>
        <v>Linear</v>
      </c>
      <c r="H44" s="643">
        <f t="shared" ref="H44:H52" si="20">IF(D44&gt;C44,0,C44-D44)</f>
        <v>0</v>
      </c>
      <c r="I44" s="644">
        <f>IF(F44&gt;C44,0,C44-F44)</f>
        <v>0</v>
      </c>
      <c r="J44" s="1439">
        <f t="shared" si="16"/>
        <v>0</v>
      </c>
      <c r="K44" s="1478">
        <f t="shared" si="17"/>
        <v>0</v>
      </c>
      <c r="L44" s="1774">
        <f>IF(J44=0,0,IF(C29=List!$A$50,0,-($H44*$K29*44/12)))</f>
        <v>0</v>
      </c>
      <c r="M44" s="1773">
        <f>IF(K44=0,0,IF(C29=List!$A$50,0,-($I44*$K29*44/12)))</f>
        <v>0</v>
      </c>
      <c r="N44" s="1448">
        <f>$P29*(IF(E44="immediate",IF(H44&gt;0,H44*MIN(20,time_tot),0),H44*IF(time_tot&gt;time+20,20,IF(time_tot&lt;20,(time*VLOOKUP(E44,List!$E$35:$F$37,2,))+(time_tot-time),((MIN(20,time)*VLOOKUP(E44,List!$E$35:$F$37,2,))+(time_tot-MIN(20,time))-IF(E44="exponential",time_tot-20+0.217*time*(EXP(4.606*(20-time_tot)/time)-1),((time_tot-20)^2)*(0.5/time)))))))</f>
        <v>0</v>
      </c>
      <c r="O44" s="1449">
        <f>$P29*(IF(G44="immediate",IF(I44&gt;0,I44*MIN(20,time_tot),0),I44*IF(time_tot&gt;time+20,20,IF(time_tot&lt;20,(time*VLOOKUP(G44,List!$E$35:$F$37,2,))+(time_tot-time),((MIN(20,time)*VLOOKUP(G44,List!$E$35:$F$37,2,))+(time_tot-MIN(20,time))-IF(G44="exponential",time_tot-20+0.217*time*(EXP(4.606*(20-time_tot)/time)-1),((time_tot-20)^2)*(0.5/time)))))))</f>
        <v>0</v>
      </c>
      <c r="P44" s="1478">
        <f t="shared" ref="P44:P52" si="21">$H44*$U29</f>
        <v>0</v>
      </c>
      <c r="Q44" s="1440">
        <f>$I44*$U29</f>
        <v>0</v>
      </c>
      <c r="R44" s="1453">
        <f t="shared" ref="R44:R52" si="22">J44+N44+P44+L44</f>
        <v>0</v>
      </c>
      <c r="S44" s="1449">
        <f t="shared" si="19"/>
        <v>0</v>
      </c>
      <c r="T44" s="283">
        <f t="shared" ref="T44:T52" si="23">S44-R44</f>
        <v>0</v>
      </c>
      <c r="AE44" s="1903"/>
      <c r="AF44" s="1903">
        <v>0</v>
      </c>
      <c r="AG44" s="1903">
        <f>IF(H29&gt;0,H44,0)</f>
        <v>0</v>
      </c>
      <c r="AH44" s="1903">
        <f t="shared" ref="AH44:AH52" si="24">IF(H29&gt;0,I44,0)</f>
        <v>0</v>
      </c>
      <c r="AI44" s="2409"/>
    </row>
    <row r="45" spans="1:45" ht="13.5" thickBot="1">
      <c r="A45" s="1733" t="s">
        <v>1290</v>
      </c>
      <c r="B45" s="271" t="str">
        <f t="shared" si="15"/>
        <v>Def.3</v>
      </c>
      <c r="C45" s="1864">
        <f>'2.LUC'!J14</f>
        <v>0</v>
      </c>
      <c r="D45" s="1864">
        <f>'2.LUC'!K14</f>
        <v>0</v>
      </c>
      <c r="E45" s="2169" t="str">
        <f>VLOOKUP('2.LUC'!L14,List!$D$35:$E$37,2,)</f>
        <v>Linear</v>
      </c>
      <c r="F45" s="1793">
        <f>'2.LUC'!M14</f>
        <v>0</v>
      </c>
      <c r="G45" s="2169" t="str">
        <f>VLOOKUP('2.LUC'!N14,List!$D$35:$E$37,2,)</f>
        <v>Linear</v>
      </c>
      <c r="H45" s="643">
        <f t="shared" ref="H45:H47" si="25">IF(D45&gt;C45,0,C45-D45)</f>
        <v>0</v>
      </c>
      <c r="I45" s="644">
        <f t="shared" ref="I45:I47" si="26">IF(F45&gt;C45,0,C45-F45)</f>
        <v>0</v>
      </c>
      <c r="J45" s="1439">
        <f t="shared" si="16"/>
        <v>0</v>
      </c>
      <c r="K45" s="1478">
        <f t="shared" si="17"/>
        <v>0</v>
      </c>
      <c r="L45" s="1774">
        <f>IF(J45=0,0,IF(C30=List!$A$50,0,-($H45*$K30*44/12)))</f>
        <v>0</v>
      </c>
      <c r="M45" s="1773">
        <f>IF(K45=0,0,IF(C30=List!$A$50,0,-($I45*$K30*44/12)))</f>
        <v>0</v>
      </c>
      <c r="N45" s="1448">
        <f>$P30*(IF(E45="immediate",IF(H45&gt;0,H45*MIN(20,time_tot),0),H45*IF(time_tot&gt;time+20,20,IF(time_tot&lt;20,(time*VLOOKUP(E45,List!$E$35:$F$37,2,))+(time_tot-time),((MIN(20,time)*VLOOKUP(E45,List!$E$35:$F$37,2,))+(time_tot-MIN(20,time))-IF(E45="exponential",time_tot-20+0.217*time*(EXP(4.606*(20-time_tot)/time)-1),((time_tot-20)^2)*(0.5/time)))))))</f>
        <v>0</v>
      </c>
      <c r="O45" s="1449">
        <f>$P30*(IF(G45="immediate",IF(I45&gt;0,I45*MIN(20,time_tot),0),I45*IF(time_tot&gt;time+20,20,IF(time_tot&lt;20,(time*VLOOKUP(G45,List!$E$35:$F$37,2,))+(time_tot-time),((MIN(20,time)*VLOOKUP(G45,List!$E$35:$F$37,2,))+(time_tot-MIN(20,time))-IF(G45="exponential",time_tot-20+0.217*time*(EXP(4.606*(20-time_tot)/time)-1),((time_tot-20)^2)*(0.5/time)))))))</f>
        <v>0</v>
      </c>
      <c r="P45" s="1478">
        <f t="shared" si="21"/>
        <v>0</v>
      </c>
      <c r="Q45" s="1440">
        <f t="shared" si="18"/>
        <v>0</v>
      </c>
      <c r="R45" s="1453">
        <f t="shared" si="22"/>
        <v>0</v>
      </c>
      <c r="S45" s="1449">
        <f t="shared" si="19"/>
        <v>0</v>
      </c>
      <c r="T45" s="283">
        <f t="shared" si="23"/>
        <v>0</v>
      </c>
      <c r="AE45" s="1903"/>
      <c r="AF45" s="1903">
        <v>0</v>
      </c>
      <c r="AG45" s="1903">
        <f t="shared" ref="AG45:AG52" si="27">IF(H30&gt;0,H45,0)</f>
        <v>0</v>
      </c>
      <c r="AH45" s="1903">
        <f t="shared" si="24"/>
        <v>0</v>
      </c>
      <c r="AI45" s="2409"/>
    </row>
    <row r="46" spans="1:45" ht="13.5" thickBot="1">
      <c r="A46" s="1733" t="s">
        <v>1290</v>
      </c>
      <c r="B46" s="271" t="str">
        <f t="shared" si="15"/>
        <v>Def.4</v>
      </c>
      <c r="C46" s="1864">
        <f>'2.LUC'!J15</f>
        <v>0</v>
      </c>
      <c r="D46" s="1864">
        <f>'2.LUC'!K15</f>
        <v>0</v>
      </c>
      <c r="E46" s="2169" t="str">
        <f>VLOOKUP('2.LUC'!L15,List!$D$35:$E$37,2,)</f>
        <v>Linear</v>
      </c>
      <c r="F46" s="1793">
        <f>'2.LUC'!M15</f>
        <v>0</v>
      </c>
      <c r="G46" s="2169" t="str">
        <f>VLOOKUP('2.LUC'!N15,List!$D$35:$E$37,2,)</f>
        <v>Linear</v>
      </c>
      <c r="H46" s="643">
        <f t="shared" si="25"/>
        <v>0</v>
      </c>
      <c r="I46" s="644">
        <f t="shared" si="26"/>
        <v>0</v>
      </c>
      <c r="J46" s="1439">
        <f t="shared" si="16"/>
        <v>0</v>
      </c>
      <c r="K46" s="1478">
        <f t="shared" si="17"/>
        <v>0</v>
      </c>
      <c r="L46" s="1774">
        <f>IF(J46=0,0,IF(C31=List!$A$50,0,-($H46*$K31*44/12)))</f>
        <v>0</v>
      </c>
      <c r="M46" s="1773">
        <f>IF(K46=0,0,IF(C31=List!$A$50,0,-($I46*$K31*44/12)))</f>
        <v>0</v>
      </c>
      <c r="N46" s="1448">
        <f>$P31*(IF(E46="immediate",IF(H46&gt;0,H46*MIN(20,time_tot),0),H46*IF(time_tot&gt;time+20,20,IF(time_tot&lt;20,(time*VLOOKUP(E46,List!$E$35:$F$37,2,))+(time_tot-time),((MIN(20,time)*VLOOKUP(E46,List!$E$35:$F$37,2,))+(time_tot-MIN(20,time))-IF(E46="exponential",time_tot-20+0.217*time*(EXP(4.606*(20-time_tot)/time)-1),((time_tot-20)^2)*(0.5/time)))))))</f>
        <v>0</v>
      </c>
      <c r="O46" s="1449">
        <f>$P31*(IF(G46="immediate",IF(I46&gt;0,I46*MIN(20,time_tot),0),I46*IF(time_tot&gt;time+20,20,IF(time_tot&lt;20,(time*VLOOKUP(G46,List!$E$35:$F$37,2,))+(time_tot-time),((MIN(20,time)*VLOOKUP(G46,List!$E$35:$F$37,2,))+(time_tot-MIN(20,time))-IF(G46="exponential",time_tot-20+0.217*time*(EXP(4.606*(20-time_tot)/time)-1),((time_tot-20)^2)*(0.5/time)))))))</f>
        <v>0</v>
      </c>
      <c r="P46" s="1478">
        <f t="shared" si="21"/>
        <v>0</v>
      </c>
      <c r="Q46" s="1440">
        <f t="shared" si="18"/>
        <v>0</v>
      </c>
      <c r="R46" s="1453">
        <f t="shared" si="22"/>
        <v>0</v>
      </c>
      <c r="S46" s="1449">
        <f t="shared" si="19"/>
        <v>0</v>
      </c>
      <c r="T46" s="283">
        <f t="shared" si="23"/>
        <v>0</v>
      </c>
      <c r="AE46" s="1903"/>
      <c r="AF46" s="1903">
        <v>0</v>
      </c>
      <c r="AG46" s="1903">
        <f t="shared" si="27"/>
        <v>0</v>
      </c>
      <c r="AH46" s="1903">
        <f t="shared" si="24"/>
        <v>0</v>
      </c>
      <c r="AI46" s="2409"/>
    </row>
    <row r="47" spans="1:45" ht="13.5" thickBot="1">
      <c r="B47" s="271" t="str">
        <f t="shared" si="15"/>
        <v>Def.5</v>
      </c>
      <c r="C47" s="1864">
        <f>'2.LUC'!J16</f>
        <v>0</v>
      </c>
      <c r="D47" s="1864">
        <f>'2.LUC'!K16</f>
        <v>0</v>
      </c>
      <c r="E47" s="2169" t="str">
        <f>VLOOKUP('2.LUC'!L16,List!$D$35:$E$37,2,)</f>
        <v>Linear</v>
      </c>
      <c r="F47" s="1793">
        <f>'2.LUC'!M16</f>
        <v>0</v>
      </c>
      <c r="G47" s="2169" t="str">
        <f>VLOOKUP('2.LUC'!N16,List!$D$35:$E$37,2,)</f>
        <v>Linear</v>
      </c>
      <c r="H47" s="643">
        <f t="shared" si="25"/>
        <v>0</v>
      </c>
      <c r="I47" s="644">
        <f t="shared" si="26"/>
        <v>0</v>
      </c>
      <c r="J47" s="1439">
        <f t="shared" si="16"/>
        <v>0</v>
      </c>
      <c r="K47" s="1478">
        <f t="shared" si="17"/>
        <v>0</v>
      </c>
      <c r="L47" s="1774">
        <f>IF(J47=0,0,IF(C32=List!$A$50,0,-($H47*$K32*44/12)))</f>
        <v>0</v>
      </c>
      <c r="M47" s="1773">
        <f>IF(K47=0,0,IF(C32=List!$A$50,0,-($I47*$K32*44/12)))</f>
        <v>0</v>
      </c>
      <c r="N47" s="1448">
        <f>$P32*(IF(E47="immediate",IF(H47&gt;0,H47*MIN(20,time_tot),0),H47*IF(time_tot&gt;time+20,20,IF(time_tot&lt;20,(time*VLOOKUP(E47,List!$E$35:$F$37,2,))+(time_tot-time),((MIN(20,time)*VLOOKUP(E47,List!$E$35:$F$37,2,))+(time_tot-MIN(20,time))-IF(E47="exponential",time_tot-20+0.217*time*(EXP(4.606*(20-time_tot)/time)-1),((time_tot-20)^2)*(0.5/time)))))))</f>
        <v>0</v>
      </c>
      <c r="O47" s="1449">
        <f>$P32*(IF(G47="immediate",IF(I47&gt;0,I47*MIN(20,time_tot),0),I47*IF(time_tot&gt;time+20,20,IF(time_tot&lt;20,(time*VLOOKUP(G47,List!$E$35:$F$37,2,))+(time_tot-time),((MIN(20,time)*VLOOKUP(G47,List!$E$35:$F$37,2,))+(time_tot-MIN(20,time))-IF(G47="exponential",time_tot-20+0.217*time*(EXP(4.606*(20-time_tot)/time)-1),((time_tot-20)^2)*(0.5/time)))))))</f>
        <v>0</v>
      </c>
      <c r="P47" s="1478">
        <f t="shared" si="21"/>
        <v>0</v>
      </c>
      <c r="Q47" s="1440">
        <f t="shared" si="18"/>
        <v>0</v>
      </c>
      <c r="R47" s="1453">
        <f t="shared" si="22"/>
        <v>0</v>
      </c>
      <c r="S47" s="1449">
        <f t="shared" si="19"/>
        <v>0</v>
      </c>
      <c r="T47" s="283">
        <f t="shared" si="23"/>
        <v>0</v>
      </c>
      <c r="AE47" s="1903"/>
      <c r="AF47" s="1903">
        <v>0</v>
      </c>
      <c r="AG47" s="1903">
        <f t="shared" si="27"/>
        <v>0</v>
      </c>
      <c r="AH47" s="1903">
        <f t="shared" si="24"/>
        <v>0</v>
      </c>
      <c r="AI47" s="2409"/>
    </row>
    <row r="48" spans="1:45" ht="13.5" thickBot="1">
      <c r="B48" s="271" t="str">
        <f t="shared" si="15"/>
        <v>Def.6</v>
      </c>
      <c r="C48" s="1864">
        <f>'2.LUC'!J17</f>
        <v>0</v>
      </c>
      <c r="D48" s="1864">
        <f>'2.LUC'!K17</f>
        <v>0</v>
      </c>
      <c r="E48" s="2169" t="str">
        <f>VLOOKUP('2.LUC'!L17,List!$D$35:$E$37,2,)</f>
        <v>Linear</v>
      </c>
      <c r="F48" s="1793">
        <f>'2.LUC'!M17</f>
        <v>0</v>
      </c>
      <c r="G48" s="2169" t="str">
        <f>VLOOKUP('2.LUC'!N17,List!$D$35:$E$37,2,)</f>
        <v>Linear</v>
      </c>
      <c r="H48" s="643">
        <f t="shared" ref="H48:H50" si="28">IF(D48&gt;C48,0,C48-D48)</f>
        <v>0</v>
      </c>
      <c r="I48" s="644">
        <f t="shared" ref="I48:I50" si="29">IF(F48&gt;C48,0,C48-F48)</f>
        <v>0</v>
      </c>
      <c r="J48" s="1439">
        <f t="shared" si="16"/>
        <v>0</v>
      </c>
      <c r="K48" s="1478">
        <f t="shared" si="17"/>
        <v>0</v>
      </c>
      <c r="L48" s="1774">
        <f>IF(J48=0,0,IF(C33=List!$A$50,0,-($H48*$K33*44/12)))</f>
        <v>0</v>
      </c>
      <c r="M48" s="1773">
        <f>IF(K48=0,0,IF(C33=List!$A$50,0,-($I48*$K33*44/12)))</f>
        <v>0</v>
      </c>
      <c r="N48" s="1448">
        <f>$P33*(IF(E48="immediate",IF(H48&gt;0,H48*MIN(20,time_tot),0),H48*IF(time_tot&gt;time+20,20,IF(time_tot&lt;20,(time*VLOOKUP(E48,List!$E$35:$F$37,2,))+(time_tot-time),((MIN(20,time)*VLOOKUP(E48,List!$E$35:$F$37,2,))+(time_tot-MIN(20,time))-IF(E48="exponential",time_tot-20+0.217*time*(EXP(4.606*(20-time_tot)/time)-1),((time_tot-20)^2)*(0.5/time)))))))</f>
        <v>0</v>
      </c>
      <c r="O48" s="1449">
        <f>$P33*(IF(G48="immediate",IF(I48&gt;0,I48*MIN(20,time_tot),0),I48*IF(time_tot&gt;time+20,20,IF(time_tot&lt;20,(time*VLOOKUP(G48,List!$E$35:$F$37,2,))+(time_tot-time),((MIN(20,time)*VLOOKUP(G48,List!$E$35:$F$37,2,))+(time_tot-MIN(20,time))-IF(G48="exponential",time_tot-20+0.217*time*(EXP(4.606*(20-time_tot)/time)-1),((time_tot-20)^2)*(0.5/time)))))))</f>
        <v>0</v>
      </c>
      <c r="P48" s="1478">
        <f t="shared" si="21"/>
        <v>0</v>
      </c>
      <c r="Q48" s="1440">
        <f t="shared" si="18"/>
        <v>0</v>
      </c>
      <c r="R48" s="1453">
        <f t="shared" si="22"/>
        <v>0</v>
      </c>
      <c r="S48" s="1449">
        <f t="shared" si="19"/>
        <v>0</v>
      </c>
      <c r="T48" s="283">
        <f t="shared" si="23"/>
        <v>0</v>
      </c>
      <c r="AE48" s="1903"/>
      <c r="AF48" s="1903">
        <v>0</v>
      </c>
      <c r="AG48" s="1903">
        <f t="shared" si="27"/>
        <v>0</v>
      </c>
      <c r="AH48" s="1903">
        <f t="shared" si="24"/>
        <v>0</v>
      </c>
      <c r="AI48" s="2409"/>
    </row>
    <row r="49" spans="1:35" ht="13.5" thickBot="1">
      <c r="B49" s="271" t="str">
        <f t="shared" si="15"/>
        <v>Def.7</v>
      </c>
      <c r="C49" s="1864">
        <f>'2.LUC'!J18</f>
        <v>0</v>
      </c>
      <c r="D49" s="1864">
        <f>'2.LUC'!K18</f>
        <v>0</v>
      </c>
      <c r="E49" s="2169" t="str">
        <f>VLOOKUP('2.LUC'!L18,List!$D$35:$E$37,2,)</f>
        <v>Linear</v>
      </c>
      <c r="F49" s="1793">
        <f>'2.LUC'!M18</f>
        <v>0</v>
      </c>
      <c r="G49" s="2169" t="str">
        <f>VLOOKUP('2.LUC'!N18,List!$D$35:$E$37,2,)</f>
        <v>Linear</v>
      </c>
      <c r="H49" s="643">
        <f t="shared" si="28"/>
        <v>0</v>
      </c>
      <c r="I49" s="644">
        <f t="shared" si="29"/>
        <v>0</v>
      </c>
      <c r="J49" s="1439">
        <f t="shared" si="16"/>
        <v>0</v>
      </c>
      <c r="K49" s="1478">
        <f t="shared" si="17"/>
        <v>0</v>
      </c>
      <c r="L49" s="1774">
        <f>IF(J49=0,0,IF(C34=List!$A$50,0,-($H49*$K34*44/12)))</f>
        <v>0</v>
      </c>
      <c r="M49" s="1773">
        <f>IF(K49=0,0,IF(C34=List!$A$50,0,-($I49*$K34*44/12)))</f>
        <v>0</v>
      </c>
      <c r="N49" s="1448">
        <f>$P34*(IF(E49="immediate",IF(H49&gt;0,H49*MIN(20,time_tot),0),H49*IF(time_tot&gt;time+20,20,IF(time_tot&lt;20,(time*VLOOKUP(E49,List!$E$35:$F$37,2,))+(time_tot-time),((MIN(20,time)*VLOOKUP(E49,List!$E$35:$F$37,2,))+(time_tot-MIN(20,time))-IF(E49="exponential",time_tot-20+0.217*time*(EXP(4.606*(20-time_tot)/time)-1),((time_tot-20)^2)*(0.5/time)))))))</f>
        <v>0</v>
      </c>
      <c r="O49" s="1449">
        <f>$P34*(IF(G49="immediate",IF(I49&gt;0,I49*MIN(20,time_tot),0),I49*IF(time_tot&gt;time+20,20,IF(time_tot&lt;20,(time*VLOOKUP(G49,List!$E$35:$F$37,2,))+(time_tot-time),((MIN(20,time)*VLOOKUP(G49,List!$E$35:$F$37,2,))+(time_tot-MIN(20,time))-IF(G49="exponential",time_tot-20+0.217*time*(EXP(4.606*(20-time_tot)/time)-1),((time_tot-20)^2)*(0.5/time)))))))</f>
        <v>0</v>
      </c>
      <c r="P49" s="1478">
        <f t="shared" si="21"/>
        <v>0</v>
      </c>
      <c r="Q49" s="1440">
        <f t="shared" si="18"/>
        <v>0</v>
      </c>
      <c r="R49" s="1453">
        <f t="shared" ref="R49:R50" si="30">J49+N49+P49+L49</f>
        <v>0</v>
      </c>
      <c r="S49" s="1449">
        <f t="shared" ref="S49:S50" si="31">K49+O49+Q49+M49</f>
        <v>0</v>
      </c>
      <c r="T49" s="283">
        <f t="shared" ref="T49:T50" si="32">S49-R49</f>
        <v>0</v>
      </c>
      <c r="AE49" s="1903"/>
      <c r="AF49" s="1903">
        <v>0</v>
      </c>
      <c r="AG49" s="1903">
        <f t="shared" si="27"/>
        <v>0</v>
      </c>
      <c r="AH49" s="1903">
        <f t="shared" si="24"/>
        <v>0</v>
      </c>
      <c r="AI49" s="2409"/>
    </row>
    <row r="50" spans="1:35">
      <c r="B50" s="271" t="str">
        <f t="shared" si="15"/>
        <v>Def.8</v>
      </c>
      <c r="C50" s="1864">
        <f>'2.LUC'!J19</f>
        <v>0</v>
      </c>
      <c r="D50" s="1864">
        <f>'2.LUC'!K19</f>
        <v>0</v>
      </c>
      <c r="E50" s="2169" t="str">
        <f>VLOOKUP('2.LUC'!L19,List!$D$35:$E$37,2,)</f>
        <v>Linear</v>
      </c>
      <c r="F50" s="1793">
        <f>'2.LUC'!M19</f>
        <v>0</v>
      </c>
      <c r="G50" s="2169" t="str">
        <f>VLOOKUP('2.LUC'!N19,List!$D$35:$E$37,2,)</f>
        <v>Linear</v>
      </c>
      <c r="H50" s="643">
        <f t="shared" si="28"/>
        <v>0</v>
      </c>
      <c r="I50" s="644">
        <f t="shared" si="29"/>
        <v>0</v>
      </c>
      <c r="J50" s="1439">
        <f t="shared" si="16"/>
        <v>0</v>
      </c>
      <c r="K50" s="1478">
        <f t="shared" si="17"/>
        <v>0</v>
      </c>
      <c r="L50" s="1774">
        <f>IF(J50=0,0,IF(C35=List!$A$50,0,-($H50*$K35*44/12)))</f>
        <v>0</v>
      </c>
      <c r="M50" s="1773">
        <f>IF(K50=0,0,IF(C35=List!$A$50,0,-($I50*$K35*44/12)))</f>
        <v>0</v>
      </c>
      <c r="N50" s="1448">
        <f>$P35*(IF(E50="immediate",IF(H50&gt;0,H50*MIN(20,time_tot),0),H50*IF(time_tot&gt;time+20,20,IF(time_tot&lt;20,(time*VLOOKUP(E50,List!$E$35:$F$37,2,))+(time_tot-time),((MIN(20,time)*VLOOKUP(E50,List!$E$35:$F$37,2,))+(time_tot-MIN(20,time))-IF(E50="exponential",time_tot-20+0.217*time*(EXP(4.606*(20-time_tot)/time)-1),((time_tot-20)^2)*(0.5/time)))))))</f>
        <v>0</v>
      </c>
      <c r="O50" s="1449">
        <f>$P35*(IF(G50="immediate",IF(I50&gt;0,I50*MIN(20,time_tot),0),I50*IF(time_tot&gt;time+20,20,IF(time_tot&lt;20,(time*VLOOKUP(G50,List!$E$35:$F$37,2,))+(time_tot-time),((MIN(20,time)*VLOOKUP(G50,List!$E$35:$F$37,2,))+(time_tot-MIN(20,time))-IF(G50="exponential",time_tot-20+0.217*time*(EXP(4.606*(20-time_tot)/time)-1),((time_tot-20)^2)*(0.5/time)))))))</f>
        <v>0</v>
      </c>
      <c r="P50" s="1478">
        <f t="shared" si="21"/>
        <v>0</v>
      </c>
      <c r="Q50" s="1440">
        <f t="shared" si="18"/>
        <v>0</v>
      </c>
      <c r="R50" s="1453">
        <f t="shared" si="30"/>
        <v>0</v>
      </c>
      <c r="S50" s="1449">
        <f t="shared" si="31"/>
        <v>0</v>
      </c>
      <c r="T50" s="283">
        <f t="shared" si="32"/>
        <v>0</v>
      </c>
      <c r="AE50" s="1903"/>
      <c r="AF50" s="1903">
        <v>0</v>
      </c>
      <c r="AG50" s="1903">
        <f t="shared" si="27"/>
        <v>0</v>
      </c>
      <c r="AH50" s="1903">
        <f t="shared" si="24"/>
        <v>0</v>
      </c>
      <c r="AI50" s="2409"/>
    </row>
    <row r="51" spans="1:35">
      <c r="B51" s="271" t="str">
        <f t="shared" si="15"/>
        <v>Def.9</v>
      </c>
      <c r="C51" s="529">
        <v>0</v>
      </c>
      <c r="D51" s="530">
        <v>0</v>
      </c>
      <c r="E51" s="676" t="s">
        <v>351</v>
      </c>
      <c r="F51" s="533">
        <v>0</v>
      </c>
      <c r="G51" s="677" t="s">
        <v>351</v>
      </c>
      <c r="H51" s="643">
        <f>IF(D51&gt;C51,0,C51-D51)</f>
        <v>0</v>
      </c>
      <c r="I51" s="644">
        <f t="shared" ref="I51:I52" si="33">IF(F51&gt;C51,0,C51-F51)</f>
        <v>0</v>
      </c>
      <c r="J51" s="1439">
        <f t="shared" si="16"/>
        <v>0</v>
      </c>
      <c r="K51" s="1478">
        <f t="shared" si="17"/>
        <v>0</v>
      </c>
      <c r="L51" s="1439">
        <f>-($H51*$K36*44/12)</f>
        <v>0</v>
      </c>
      <c r="M51" s="1478">
        <f>-($I51*$K36*44/12)</f>
        <v>0</v>
      </c>
      <c r="N51" s="1448">
        <f>$P36*(IF(E51="immediate",IF(H51&gt;0,H51*MIN(20,time_tot),0),H51*IF(time_tot&gt;time+20,20,IF(time_tot&lt;20,(time*VLOOKUP(E51,List!$E$35:$F$37,2,))+(time_tot-time),((MIN(20,time)*VLOOKUP(E51,List!$E$35:$F$37,2,))+(time_tot-MIN(20,time))-IF(E51="exponential",time_tot-20+0.217*time*(EXP(4.606*(20-time_tot)/time)-1),((time_tot-20)^2)*(0.5/time)))))))</f>
        <v>0</v>
      </c>
      <c r="O51" s="1449">
        <f>$P36*(IF(G51="immediate",IF(I51&gt;0,I51*MIN(20,time_tot),0),I51*IF(time_tot&gt;time+20,20,IF(time_tot&lt;20,(time*VLOOKUP(G51,List!$E$35:$F$37,2,))+(time_tot-time),((MIN(20,time)*VLOOKUP(G51,List!$E$35:$F$37,2,))+(time_tot-MIN(20,time))-IF(G51="exponential",time_tot-20+0.217*time*(EXP(4.606*(20-time_tot)/time)-1),((time_tot-20)^2)*(0.5/time)))))))</f>
        <v>0</v>
      </c>
      <c r="P51" s="1478">
        <f t="shared" si="21"/>
        <v>0</v>
      </c>
      <c r="Q51" s="1440">
        <f t="shared" si="18"/>
        <v>0</v>
      </c>
      <c r="R51" s="1453">
        <f t="shared" si="22"/>
        <v>0</v>
      </c>
      <c r="S51" s="1449">
        <f t="shared" si="19"/>
        <v>0</v>
      </c>
      <c r="T51" s="283">
        <f t="shared" si="23"/>
        <v>0</v>
      </c>
      <c r="AE51" s="1903"/>
      <c r="AF51" s="1903">
        <f>IF(I36&gt;0,D51,0)</f>
        <v>0</v>
      </c>
      <c r="AG51" s="1903">
        <f t="shared" si="27"/>
        <v>0</v>
      </c>
      <c r="AH51" s="1903">
        <f t="shared" si="24"/>
        <v>0</v>
      </c>
      <c r="AI51" s="2409"/>
    </row>
    <row r="52" spans="1:35" ht="13.5" thickBot="1">
      <c r="B52" s="272" t="str">
        <f>B37</f>
        <v>Def.10</v>
      </c>
      <c r="C52" s="531">
        <v>0</v>
      </c>
      <c r="D52" s="532">
        <v>0</v>
      </c>
      <c r="E52" s="678" t="s">
        <v>351</v>
      </c>
      <c r="F52" s="534">
        <v>0</v>
      </c>
      <c r="G52" s="679" t="s">
        <v>351</v>
      </c>
      <c r="H52" s="647">
        <f t="shared" si="20"/>
        <v>0</v>
      </c>
      <c r="I52" s="648">
        <f t="shared" si="33"/>
        <v>0</v>
      </c>
      <c r="J52" s="1363">
        <f t="shared" si="16"/>
        <v>0</v>
      </c>
      <c r="K52" s="1479">
        <f t="shared" si="17"/>
        <v>0</v>
      </c>
      <c r="L52" s="1363">
        <f>-($H52*$K37*44/12)</f>
        <v>0</v>
      </c>
      <c r="M52" s="1479">
        <f>-($I52*$K37*44/12)</f>
        <v>0</v>
      </c>
      <c r="N52" s="1450">
        <f>$P37*(IF(E52="immediate",IF(H52&gt;0,H52*MIN(20,time_tot),0),H52*IF(time_tot&gt;time+20,20,IF(time_tot&lt;20,(time*VLOOKUP(E52,List!$E$35:$F$37,2,))+(time_tot-time),((MIN(20,time)*VLOOKUP(E52,List!$E$35:$F$37,2,))+(time_tot-MIN(20,time))-IF(E52="exponential",time_tot-20+0.217*time*(EXP(4.606*(20-time_tot)/time)-1),((time_tot-20)^2)*(0.5/time)))))))</f>
        <v>0</v>
      </c>
      <c r="O52" s="1451">
        <f>$P37*(IF(G52="immediate",IF(I52&gt;0,I52*MIN(20,time_tot),0),I52*IF(time_tot&gt;time+20,20,IF(time_tot&lt;20,(time*VLOOKUP(G52,List!$E$35:$F$37,2,))+(time_tot-time),((MIN(20,time)*VLOOKUP(G52,List!$E$35:$F$37,2,))+(time_tot-MIN(20,time))-IF(G52="exponential",time_tot-20+0.217*time*(EXP(4.606*(20-time_tot)/time)-1),((time_tot-20)^2)*(0.5/time)))))))</f>
        <v>0</v>
      </c>
      <c r="P52" s="1479">
        <f t="shared" si="21"/>
        <v>0</v>
      </c>
      <c r="Q52" s="1364">
        <f t="shared" si="18"/>
        <v>0</v>
      </c>
      <c r="R52" s="1454">
        <f t="shared" si="22"/>
        <v>0</v>
      </c>
      <c r="S52" s="1451">
        <f t="shared" si="19"/>
        <v>0</v>
      </c>
      <c r="T52" s="284">
        <f t="shared" si="23"/>
        <v>0</v>
      </c>
      <c r="AE52" s="1903"/>
      <c r="AF52" s="1903">
        <f>IF(I37&gt;0,D52,0)</f>
        <v>0</v>
      </c>
      <c r="AG52" s="1903">
        <f t="shared" si="27"/>
        <v>0</v>
      </c>
      <c r="AH52" s="1903">
        <f t="shared" si="24"/>
        <v>0</v>
      </c>
      <c r="AI52" s="2409"/>
    </row>
    <row r="53" spans="1:35" ht="13.5" thickBot="1">
      <c r="O53" s="233"/>
      <c r="R53" s="233"/>
      <c r="T53" s="234"/>
      <c r="Z53" s="9"/>
      <c r="AE53" s="1903"/>
      <c r="AF53" s="1903"/>
      <c r="AG53" s="1903"/>
    </row>
    <row r="54" spans="1:35" ht="13.5" thickBot="1">
      <c r="H54" s="234"/>
      <c r="I54" s="913"/>
      <c r="J54" s="233"/>
      <c r="O54" s="649" t="s">
        <v>545</v>
      </c>
      <c r="P54" s="650"/>
      <c r="Q54" s="651"/>
      <c r="R54" s="652">
        <f>SUM(R43:R52)</f>
        <v>0</v>
      </c>
      <c r="S54" s="653">
        <f>SUM(S43:S52)</f>
        <v>0</v>
      </c>
      <c r="T54" s="924">
        <f>S54-R54</f>
        <v>0</v>
      </c>
      <c r="Y54" s="233"/>
      <c r="Z54" s="914"/>
      <c r="AE54" s="1903"/>
      <c r="AF54" s="1903">
        <f>SUM(AF43:AF52)</f>
        <v>0</v>
      </c>
      <c r="AG54" s="1903">
        <f>SUM(AG43:AG52)</f>
        <v>0</v>
      </c>
      <c r="AH54" s="1903">
        <f>SUM(AH43:AH52)</f>
        <v>0</v>
      </c>
    </row>
    <row r="55" spans="1:35">
      <c r="O55" s="233"/>
      <c r="T55" s="234"/>
      <c r="U55" s="234"/>
      <c r="X55" s="233"/>
      <c r="Y55" s="233"/>
    </row>
    <row r="56" spans="1:35">
      <c r="B56" s="248" t="s">
        <v>1097</v>
      </c>
      <c r="C56" s="654"/>
      <c r="D56" s="654"/>
      <c r="E56" s="654"/>
      <c r="F56" s="654"/>
      <c r="G56" s="654"/>
      <c r="H56" s="654"/>
      <c r="I56" s="655"/>
      <c r="J56" s="656"/>
      <c r="K56" s="656" t="str">
        <f>IF(Matrix!F10&gt;0, "Annual-System A1",IF(Matrix!F27&gt;0,"Annual-System A1",""))</f>
        <v/>
      </c>
      <c r="L56" s="654"/>
      <c r="R56" s="913"/>
      <c r="S56" s="913"/>
      <c r="T56" s="234"/>
      <c r="U56" s="234"/>
    </row>
    <row r="57" spans="1:35">
      <c r="A57" s="239"/>
      <c r="B57" s="657"/>
      <c r="C57" s="657"/>
      <c r="D57" s="654"/>
      <c r="E57" s="654"/>
      <c r="F57" s="654"/>
      <c r="G57" s="654"/>
      <c r="H57" s="657"/>
      <c r="I57" s="655"/>
      <c r="J57" s="656"/>
      <c r="K57" s="656" t="str">
        <f>IF(Matrix!G10&gt;0,"Perennial-System P1",IF(Matrix!G27&gt;0,"Perennial-System P1",""))</f>
        <v/>
      </c>
      <c r="L57" s="654"/>
    </row>
    <row r="58" spans="1:35">
      <c r="J58" s="656"/>
      <c r="K58" s="656" t="str">
        <f>IF(Matrix!H10&gt;0,"Rice-System R1",IF(Matrix!H27&gt;0,"Rice-System R1",""))</f>
        <v/>
      </c>
    </row>
    <row r="59" spans="1:35">
      <c r="C59" s="233" t="s">
        <v>5576</v>
      </c>
      <c r="D59" s="233">
        <f>SUM('2.LUC'!F102:F110,'2.LUC'!H102:H110,'2.LUC'!J102:J110,'2.LUC'!M102:M110,'2.LUC'!Q102:Q110)</f>
        <v>0</v>
      </c>
      <c r="J59" s="656"/>
      <c r="K59" s="656" t="str">
        <f>IF(Matrix!I10&gt;0,"Grassland-System G1",IF(Matrix!I27&gt;0,"Grassland-System G1",""))</f>
        <v/>
      </c>
      <c r="R59" s="913"/>
      <c r="S59" s="913"/>
    </row>
    <row r="60" spans="1:35">
      <c r="J60" s="233"/>
    </row>
    <row r="61" spans="1:35">
      <c r="J61" s="233"/>
    </row>
    <row r="62" spans="1:35">
      <c r="J62" s="233"/>
    </row>
    <row r="63" spans="1:35">
      <c r="J63" s="233"/>
    </row>
    <row r="64" spans="1:35">
      <c r="J64" s="233"/>
    </row>
  </sheetData>
  <sheetProtection formatCells="0" formatColumns="0" formatRows="0"/>
  <mergeCells count="30">
    <mergeCell ref="Q25:R25"/>
    <mergeCell ref="S26:T26"/>
    <mergeCell ref="F5:G5"/>
    <mergeCell ref="I33:J33"/>
    <mergeCell ref="I34:J34"/>
    <mergeCell ref="I7:S7"/>
    <mergeCell ref="L8:M8"/>
    <mergeCell ref="I8:J8"/>
    <mergeCell ref="I29:J29"/>
    <mergeCell ref="I30:J30"/>
    <mergeCell ref="I31:J31"/>
    <mergeCell ref="G26:H26"/>
    <mergeCell ref="I28:J28"/>
    <mergeCell ref="J40:K40"/>
    <mergeCell ref="I35:J35"/>
    <mergeCell ref="I36:J36"/>
    <mergeCell ref="I37:J37"/>
    <mergeCell ref="I32:J32"/>
    <mergeCell ref="B10:B13"/>
    <mergeCell ref="B14:B17"/>
    <mergeCell ref="E26:F26"/>
    <mergeCell ref="C40:G40"/>
    <mergeCell ref="C32:D32"/>
    <mergeCell ref="C33:D33"/>
    <mergeCell ref="C31:D31"/>
    <mergeCell ref="C28:D28"/>
    <mergeCell ref="C29:D29"/>
    <mergeCell ref="C30:D30"/>
    <mergeCell ref="C34:D34"/>
    <mergeCell ref="C35:D35"/>
  </mergeCells>
  <phoneticPr fontId="11" type="noConversion"/>
  <dataValidations count="4">
    <dataValidation type="list" allowBlank="1" showInputMessage="1" showErrorMessage="1" sqref="E43:E52 G43:G52">
      <formula1>Rate</formula1>
    </dataValidation>
    <dataValidation type="decimal" operator="greaterThanOrEqual" allowBlank="1" showInputMessage="1" showErrorMessage="1" sqref="E28:E37 F43:F52 C43:D52">
      <formula1>0</formula1>
    </dataValidation>
    <dataValidation type="list" allowBlank="1" showInputMessage="1" showErrorMessage="1" sqref="G28:G37">
      <formula1>YES_NO</formula1>
    </dataValidation>
    <dataValidation type="list" allowBlank="1" showInputMessage="1" showErrorMessage="1" sqref="I28:I37">
      <formula1>finaluse</formula1>
    </dataValidation>
  </dataValidations>
  <hyperlinks>
    <hyperlink ref="F5" location="Description!A1" display="Back to Description"/>
    <hyperlink ref="F9" location="Ecol_Zones!A1" display="Ecol_Zone"/>
  </hyperlinks>
  <pageMargins left="0.33" right="0.26" top="0.984251969" bottom="0.984251969" header="0.4921259845" footer="0.4921259845"/>
  <pageSetup paperSize="9" scale="56" orientation="landscape" horizontalDpi="1200" verticalDpi="1200" r:id="rId1"/>
  <headerFooter alignWithMargins="0">
    <oddHeader>Page &amp;P&amp;R&amp;A</oddHeader>
    <oddFooter>&amp;F</oddFooter>
  </headerFooter>
  <ignoredErrors>
    <ignoredError sqref="U20:X23"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3"/>
    <pageSetUpPr fitToPage="1"/>
  </sheetPr>
  <dimension ref="A1:BE79"/>
  <sheetViews>
    <sheetView topLeftCell="A57" zoomScale="80" zoomScaleNormal="80" workbookViewId="0">
      <selection activeCell="G69" sqref="G69"/>
    </sheetView>
  </sheetViews>
  <sheetFormatPr defaultColWidth="11.42578125" defaultRowHeight="12.75"/>
  <cols>
    <col min="1" max="1" width="3.7109375" style="1" customWidth="1"/>
    <col min="2" max="2" width="22.28515625" style="1" customWidth="1"/>
    <col min="3" max="3" width="17.85546875" style="1" customWidth="1"/>
    <col min="4" max="4" width="8.7109375" style="1" customWidth="1"/>
    <col min="5" max="5" width="11.7109375" style="1" customWidth="1"/>
    <col min="6" max="6" width="12.85546875" style="1" customWidth="1"/>
    <col min="7" max="7" width="13.28515625" style="1" customWidth="1"/>
    <col min="8" max="8" width="14.42578125" style="1" customWidth="1"/>
    <col min="9" max="9" width="15.42578125" style="9" customWidth="1"/>
    <col min="10" max="10" width="11.7109375" style="1" customWidth="1"/>
    <col min="11" max="11" width="12.140625" style="1" customWidth="1"/>
    <col min="12" max="12" width="10.42578125" style="1" customWidth="1"/>
    <col min="13" max="13" width="10" style="1" customWidth="1"/>
    <col min="14" max="14" width="11.85546875" style="1" customWidth="1"/>
    <col min="15" max="15" width="4.140625" style="1" customWidth="1"/>
    <col min="16" max="16" width="7.85546875" style="1" customWidth="1"/>
    <col min="17" max="17" width="10.28515625" style="1" customWidth="1"/>
    <col min="18" max="18" width="14.7109375" style="1" customWidth="1"/>
    <col min="19" max="19" width="5.140625" style="1" customWidth="1"/>
    <col min="20" max="21" width="6.42578125" style="1" customWidth="1"/>
    <col min="22" max="23" width="6.28515625" style="1" customWidth="1"/>
    <col min="24" max="24" width="6.28515625" style="9" customWidth="1"/>
    <col min="25" max="29" width="11.42578125" style="1"/>
    <col min="30" max="30" width="11.42578125" style="1500"/>
    <col min="31" max="57" width="11.42578125" style="1105"/>
    <col min="58" max="16384" width="11.42578125" style="1"/>
  </cols>
  <sheetData>
    <row r="1" spans="1:57" s="1636" customFormat="1" ht="22.9" customHeight="1">
      <c r="I1" s="1637"/>
      <c r="X1" s="1637"/>
      <c r="AD1" s="1693"/>
      <c r="AE1" s="1669"/>
      <c r="AF1" s="1669"/>
      <c r="AG1" s="1669"/>
      <c r="AH1" s="1669"/>
      <c r="AI1" s="1669"/>
      <c r="AJ1" s="1669"/>
      <c r="AK1" s="1669"/>
      <c r="AL1" s="1669"/>
      <c r="AM1" s="1669"/>
      <c r="AN1" s="1669"/>
      <c r="AO1" s="1669"/>
      <c r="AP1" s="1669"/>
      <c r="AQ1" s="1669"/>
      <c r="AR1" s="1669"/>
      <c r="AS1" s="1669"/>
      <c r="AT1" s="1669"/>
      <c r="AU1" s="1669"/>
      <c r="AV1" s="1669"/>
      <c r="AW1" s="1669"/>
      <c r="AX1" s="1669"/>
      <c r="AY1" s="1669"/>
      <c r="AZ1" s="1669"/>
      <c r="BA1" s="1669"/>
      <c r="BB1" s="1669"/>
      <c r="BC1" s="1669"/>
      <c r="BD1" s="1669"/>
      <c r="BE1" s="1669"/>
    </row>
    <row r="2" spans="1:57" s="1636" customFormat="1" ht="22.9" customHeight="1">
      <c r="I2" s="1637"/>
      <c r="X2" s="1637"/>
      <c r="AD2" s="1693"/>
      <c r="AE2" s="1669"/>
      <c r="AF2" s="1669"/>
      <c r="AG2" s="1669"/>
      <c r="AH2" s="1669"/>
      <c r="AI2" s="1669"/>
      <c r="AJ2" s="1669"/>
      <c r="AK2" s="1669"/>
      <c r="AL2" s="1669"/>
      <c r="AM2" s="1669"/>
      <c r="AN2" s="1669"/>
      <c r="AO2" s="1669"/>
      <c r="AP2" s="1669"/>
      <c r="AQ2" s="1669"/>
      <c r="AR2" s="1669"/>
      <c r="AS2" s="1669"/>
      <c r="AT2" s="1669"/>
      <c r="AU2" s="1669"/>
      <c r="AV2" s="1669"/>
      <c r="AW2" s="1669"/>
      <c r="AX2" s="1669"/>
      <c r="AY2" s="1669"/>
      <c r="AZ2" s="1669"/>
      <c r="BA2" s="1669"/>
      <c r="BB2" s="1669"/>
      <c r="BC2" s="1669"/>
      <c r="BD2" s="1669"/>
      <c r="BE2" s="1669"/>
    </row>
    <row r="3" spans="1:57" s="1636" customFormat="1" ht="22.9" customHeight="1">
      <c r="I3" s="1637"/>
      <c r="X3" s="1637"/>
      <c r="AD3" s="1693"/>
      <c r="AE3" s="1669"/>
      <c r="AF3" s="1669"/>
      <c r="AG3" s="1669"/>
      <c r="AH3" s="1669"/>
      <c r="AI3" s="1669"/>
      <c r="AJ3" s="1669"/>
      <c r="AK3" s="1669"/>
      <c r="AL3" s="1669"/>
      <c r="AM3" s="1669"/>
      <c r="AN3" s="1669"/>
      <c r="AO3" s="1669"/>
      <c r="AP3" s="1669"/>
      <c r="AQ3" s="1669"/>
      <c r="AR3" s="1669"/>
      <c r="AS3" s="1669"/>
      <c r="AT3" s="1669"/>
      <c r="AU3" s="1669"/>
      <c r="AV3" s="1669"/>
      <c r="AW3" s="1669"/>
      <c r="AX3" s="1669"/>
      <c r="AY3" s="1669"/>
      <c r="AZ3" s="1669"/>
      <c r="BA3" s="1669"/>
      <c r="BB3" s="1669"/>
      <c r="BC3" s="1669"/>
      <c r="BD3" s="1669"/>
      <c r="BE3" s="1669"/>
    </row>
    <row r="4" spans="1:57" s="1636" customFormat="1" ht="22.9" customHeight="1">
      <c r="I4" s="1637"/>
      <c r="X4" s="1637"/>
      <c r="AD4" s="1693"/>
      <c r="AE4" s="1669"/>
      <c r="AF4" s="1669"/>
      <c r="AG4" s="1669"/>
      <c r="AH4" s="1669"/>
      <c r="AI4" s="1669"/>
      <c r="AJ4" s="1669"/>
      <c r="AK4" s="1669"/>
      <c r="AL4" s="1669"/>
      <c r="AM4" s="1669"/>
      <c r="AN4" s="1669"/>
      <c r="AO4" s="1669"/>
      <c r="AP4" s="1669"/>
      <c r="AQ4" s="1669"/>
      <c r="AR4" s="1669"/>
      <c r="AS4" s="1669"/>
      <c r="AT4" s="1669"/>
      <c r="AU4" s="1669"/>
      <c r="AV4" s="1669"/>
      <c r="AW4" s="1669"/>
      <c r="AX4" s="1669"/>
      <c r="AY4" s="1669"/>
      <c r="AZ4" s="1669"/>
      <c r="BA4" s="1669"/>
      <c r="BB4" s="1669"/>
      <c r="BC4" s="1669"/>
      <c r="BD4" s="1669"/>
      <c r="BE4" s="1669"/>
    </row>
    <row r="5" spans="1:57" s="1683" customFormat="1" ht="22.9" customHeight="1">
      <c r="A5" s="1683" t="s">
        <v>473</v>
      </c>
      <c r="E5" s="3744" t="s">
        <v>470</v>
      </c>
      <c r="F5" s="3744"/>
      <c r="I5" s="1684"/>
      <c r="X5" s="1684"/>
      <c r="AD5" s="1694"/>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row>
    <row r="6" spans="1:57" s="49" customFormat="1">
      <c r="E6" s="192"/>
      <c r="I6" s="46"/>
      <c r="L6" s="3770" t="s">
        <v>7407</v>
      </c>
      <c r="M6" s="3770"/>
      <c r="N6" s="3770"/>
      <c r="O6" s="2701"/>
      <c r="W6" s="3770" t="s">
        <v>7406</v>
      </c>
      <c r="X6" s="3771"/>
      <c r="Y6" s="3771"/>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105"/>
      <c r="AZ6" s="1105"/>
      <c r="BA6" s="1105"/>
      <c r="BB6" s="1105"/>
      <c r="BC6" s="1105"/>
      <c r="BD6" s="1105"/>
      <c r="BE6" s="1105"/>
    </row>
    <row r="7" spans="1:57" s="49" customFormat="1">
      <c r="B7" s="193"/>
      <c r="C7" s="219"/>
      <c r="D7" s="193" t="s">
        <v>1262</v>
      </c>
      <c r="E7" s="194"/>
      <c r="F7" s="196"/>
      <c r="G7" s="194" t="s">
        <v>964</v>
      </c>
      <c r="H7" s="194" t="s">
        <v>590</v>
      </c>
      <c r="I7" s="195" t="s">
        <v>1265</v>
      </c>
      <c r="J7" s="194" t="s">
        <v>592</v>
      </c>
      <c r="K7" s="196" t="s">
        <v>593</v>
      </c>
      <c r="L7" s="193" t="s">
        <v>663</v>
      </c>
      <c r="M7" s="255"/>
      <c r="N7" s="1811" t="s">
        <v>1309</v>
      </c>
      <c r="O7" s="2701"/>
      <c r="P7" s="193" t="s">
        <v>588</v>
      </c>
      <c r="Q7" s="194"/>
      <c r="R7" s="194"/>
      <c r="S7" s="194"/>
      <c r="T7" s="194"/>
      <c r="U7" s="194"/>
      <c r="V7" s="308" t="s">
        <v>1269</v>
      </c>
      <c r="W7" s="141" t="s">
        <v>332</v>
      </c>
      <c r="X7" s="206" t="s">
        <v>333</v>
      </c>
      <c r="Y7" s="255" t="s">
        <v>605</v>
      </c>
      <c r="AD7" s="1901"/>
      <c r="AE7" s="1901"/>
      <c r="AF7" s="1901"/>
      <c r="AG7" s="1901"/>
      <c r="AH7" s="1901"/>
      <c r="AI7" s="1901"/>
      <c r="AJ7" s="1901"/>
      <c r="AK7" s="1872" t="s">
        <v>63</v>
      </c>
      <c r="AL7" s="1901"/>
      <c r="AM7" s="1901"/>
      <c r="AN7" s="1902"/>
      <c r="AO7" s="1901"/>
      <c r="AP7" s="1901"/>
      <c r="AQ7" s="1901"/>
      <c r="AR7" s="1901"/>
      <c r="AS7" s="1901"/>
      <c r="AT7" s="1901"/>
      <c r="AU7" s="1901"/>
      <c r="AV7" s="1901"/>
      <c r="AW7" s="1901"/>
      <c r="AX7" s="1901"/>
      <c r="AY7" s="1105"/>
      <c r="AZ7" s="1105"/>
      <c r="BA7" s="1105"/>
      <c r="BB7" s="1105"/>
      <c r="BC7" s="1105"/>
      <c r="BD7" s="1105"/>
      <c r="BE7" s="1105"/>
    </row>
    <row r="8" spans="1:57" s="49" customFormat="1" ht="13.5" thickBot="1">
      <c r="B8" s="116"/>
      <c r="C8" s="411" t="s">
        <v>670</v>
      </c>
      <c r="D8" s="890"/>
      <c r="E8" s="278" t="s">
        <v>1124</v>
      </c>
      <c r="F8" s="893" t="s">
        <v>1263</v>
      </c>
      <c r="G8" s="1011" t="s">
        <v>965</v>
      </c>
      <c r="H8" s="186" t="s">
        <v>591</v>
      </c>
      <c r="I8" s="186" t="s">
        <v>591</v>
      </c>
      <c r="J8" s="186" t="s">
        <v>591</v>
      </c>
      <c r="K8" s="203" t="s">
        <v>594</v>
      </c>
      <c r="L8" s="254" t="s">
        <v>664</v>
      </c>
      <c r="M8" s="1397" t="s">
        <v>136</v>
      </c>
      <c r="N8" s="1810" t="s">
        <v>1311</v>
      </c>
      <c r="O8" s="2701"/>
      <c r="P8" s="254"/>
      <c r="Q8" s="186" t="s">
        <v>602</v>
      </c>
      <c r="R8" s="186"/>
      <c r="S8" s="186"/>
      <c r="T8" s="186"/>
      <c r="U8" s="186" t="s">
        <v>1264</v>
      </c>
      <c r="V8" s="203"/>
      <c r="W8" s="286" t="s">
        <v>1594</v>
      </c>
      <c r="X8" s="142" t="s">
        <v>1594</v>
      </c>
      <c r="Y8" s="892" t="s">
        <v>1311</v>
      </c>
      <c r="AD8" s="1901"/>
      <c r="AE8" s="1901"/>
      <c r="AF8" s="1901"/>
      <c r="AG8" s="1901"/>
      <c r="AH8" s="1901"/>
      <c r="AI8" s="1901"/>
      <c r="AJ8" s="1901"/>
      <c r="AK8" s="1872" t="s">
        <v>53</v>
      </c>
      <c r="AL8" s="2403"/>
      <c r="AM8" s="1901"/>
      <c r="AN8" s="1902"/>
      <c r="AO8" s="1901"/>
      <c r="AP8" s="1901"/>
      <c r="AQ8" s="1901"/>
      <c r="AR8" s="1901"/>
      <c r="AS8" s="1901"/>
      <c r="AT8" s="1901"/>
      <c r="AU8" s="1901"/>
      <c r="AV8" s="1901"/>
      <c r="AW8" s="1901"/>
      <c r="AX8" s="1901"/>
      <c r="AY8" s="1105"/>
      <c r="AZ8" s="1105"/>
      <c r="BA8" s="1105"/>
      <c r="BB8" s="1105"/>
      <c r="BC8" s="1105"/>
      <c r="BD8" s="1105"/>
      <c r="BE8" s="1105"/>
    </row>
    <row r="9" spans="1:57" s="49" customFormat="1" ht="13.5" thickBot="1">
      <c r="B9" s="891" t="s">
        <v>1103</v>
      </c>
      <c r="C9" s="921" t="s">
        <v>1096</v>
      </c>
      <c r="D9" s="895" t="s">
        <v>354</v>
      </c>
      <c r="E9" s="942"/>
      <c r="F9" s="942"/>
      <c r="G9" s="1808" t="str">
        <f>'3.Cropland'!E13</f>
        <v>?</v>
      </c>
      <c r="H9" s="1808" t="str">
        <f>'3.Cropland'!F13</f>
        <v>?</v>
      </c>
      <c r="I9" s="1808" t="str">
        <f>'3.Cropland'!G13</f>
        <v>?</v>
      </c>
      <c r="J9" s="1808" t="str">
        <f>'3.Cropland'!I13</f>
        <v>?</v>
      </c>
      <c r="K9" s="1808" t="str">
        <f>'3.Cropland'!J13</f>
        <v>?</v>
      </c>
      <c r="L9" s="1808" t="str">
        <f>IF('3.Cropland'!G13="Yes","Retained",'3.Cropland'!L13:M13)</f>
        <v>Please select</v>
      </c>
      <c r="M9" s="3472" t="e">
        <f>G63</f>
        <v>#N/A</v>
      </c>
      <c r="N9" s="1809">
        <f>'3.Cropland'!O13</f>
        <v>0</v>
      </c>
      <c r="O9" s="2701"/>
      <c r="P9" s="204">
        <f>IF(G9="yes",HLOOKUP(clim_simple,' IPCC'!$A$598:$F$603,2,),0)</f>
        <v>0</v>
      </c>
      <c r="Q9" s="205">
        <f>IF(H9="yes",HLOOKUP(clim_simple,' IPCC'!$A$598:$F$603,3,),0)</f>
        <v>0</v>
      </c>
      <c r="R9" s="205">
        <f>IF(I9="yes",HLOOKUP(clim_simple,' IPCC'!$A$598:$F$603,4,),0)</f>
        <v>0</v>
      </c>
      <c r="S9" s="205">
        <f>IF(J9="yes",HLOOKUP(clim_simple,' IPCC'!$A$598:$F$603,5,),0)</f>
        <v>0</v>
      </c>
      <c r="T9" s="205">
        <f>IF(K9="yes",HLOOKUP(clim_simple,' IPCC'!$A$598:$F$603,6,),0)</f>
        <v>0</v>
      </c>
      <c r="U9" s="297">
        <f t="shared" ref="U9:U22" si="0">F9*44/12</f>
        <v>0</v>
      </c>
      <c r="V9" s="2178">
        <f>IF('3.Cropland'!G129="",'3.Cropland'!F129,'3.Cropland'!G129)</f>
        <v>0</v>
      </c>
      <c r="W9" s="204">
        <f>(IF($L9="Burned",$M9*$AA$17,0)*$Z$17)+(IF(AND('3.Cropland'!O129="Burned",M63&lt;&gt;"None"), Annual!Q63*Annual!$AA$17,0)*Annual!$Z$17)</f>
        <v>0</v>
      </c>
      <c r="X9" s="197">
        <f>IF($L9="Burned",($M9*$AB$17*$Z$17),IF(L9="Retained",(K63*$AC$17*N2O_N_conversion),0))+IF(Annual!M63="None",0,IF('3.Cropland'!O129="Burned",(Annual!Q63*$AB$17*$Z$17),IF('3.Cropland'!O129="Retained",(Annual!U63*$AC$17*N2O_N_conversion),0)))</f>
        <v>0</v>
      </c>
      <c r="Y9" s="2611">
        <f>(W9*methane+X9*Nitrous)/1000</f>
        <v>0</v>
      </c>
      <c r="AD9" s="1901"/>
      <c r="AE9" s="1901"/>
      <c r="AF9" s="2790"/>
      <c r="AG9" s="1901" t="s">
        <v>332</v>
      </c>
      <c r="AH9" s="1901"/>
      <c r="AI9" s="1901" t="s">
        <v>48</v>
      </c>
      <c r="AJ9" s="1901"/>
      <c r="AK9" s="1901" t="s">
        <v>540</v>
      </c>
      <c r="AL9" s="2403"/>
      <c r="AM9" s="1901" t="s">
        <v>332</v>
      </c>
      <c r="AN9" s="1901"/>
      <c r="AO9" s="1901"/>
      <c r="AP9" s="1901" t="s">
        <v>48</v>
      </c>
      <c r="AQ9" s="1901"/>
      <c r="AR9" s="1901"/>
      <c r="AS9" s="1901"/>
      <c r="AT9" s="1901"/>
      <c r="AU9" s="1901"/>
      <c r="AV9" s="1901"/>
      <c r="AW9" s="1901"/>
      <c r="AX9" s="1901"/>
      <c r="AY9" s="1105"/>
      <c r="AZ9" s="1105"/>
      <c r="BA9" s="1105"/>
      <c r="BB9" s="1105"/>
      <c r="BC9" s="1105"/>
      <c r="BD9" s="1105"/>
      <c r="BE9" s="1105"/>
    </row>
    <row r="10" spans="1:57" s="49" customFormat="1" ht="13.5" thickBot="1">
      <c r="B10" s="18" t="s">
        <v>1104</v>
      </c>
      <c r="C10" s="922" t="s">
        <v>1149</v>
      </c>
      <c r="D10" s="943" t="s">
        <v>354</v>
      </c>
      <c r="E10" s="923"/>
      <c r="F10" s="923"/>
      <c r="G10" s="1808" t="str">
        <f>'3.Cropland'!E14</f>
        <v>?</v>
      </c>
      <c r="H10" s="1808" t="str">
        <f>'3.Cropland'!F14</f>
        <v>?</v>
      </c>
      <c r="I10" s="1808" t="str">
        <f>'3.Cropland'!G14</f>
        <v>?</v>
      </c>
      <c r="J10" s="1808" t="str">
        <f>'3.Cropland'!I14</f>
        <v>?</v>
      </c>
      <c r="K10" s="1808" t="str">
        <f>'3.Cropland'!J14</f>
        <v>?</v>
      </c>
      <c r="L10" s="1808" t="str">
        <f>IF('3.Cropland'!G14="Yes","Retained",'3.Cropland'!L14:M14)</f>
        <v>Please select</v>
      </c>
      <c r="M10" s="3472" t="e">
        <f t="shared" ref="M10:M22" si="1">G64</f>
        <v>#N/A</v>
      </c>
      <c r="N10" s="1809">
        <f>'3.Cropland'!O14</f>
        <v>0</v>
      </c>
      <c r="O10" s="2701"/>
      <c r="P10" s="147">
        <f>IF(G10="yes",HLOOKUP(clim_simple,' IPCC'!$A$598:$F$603,2,),0)</f>
        <v>0</v>
      </c>
      <c r="Q10" s="197">
        <f>IF(H10="yes",HLOOKUP(clim_simple,' IPCC'!$A$598:$F$603,3,),0)</f>
        <v>0</v>
      </c>
      <c r="R10" s="197">
        <f>IF(I10="yes",HLOOKUP(clim_simple,' IPCC'!$A$598:$F$603,4,),0)</f>
        <v>0</v>
      </c>
      <c r="S10" s="197">
        <f>IF(J10="yes",HLOOKUP(clim_simple,' IPCC'!$A$598:$F$603,5,),0)</f>
        <v>0</v>
      </c>
      <c r="T10" s="197">
        <f>IF(K10="yes",HLOOKUP(clim_simple,' IPCC'!$A$598:$F$603,6,),0)</f>
        <v>0</v>
      </c>
      <c r="U10" s="298">
        <f t="shared" si="0"/>
        <v>0</v>
      </c>
      <c r="V10" s="2178">
        <f>IF('3.Cropland'!G130="",'3.Cropland'!F130,'3.Cropland'!G130)</f>
        <v>0</v>
      </c>
      <c r="W10" s="147">
        <f>(IF($L10="Burned",$M10*$AA$17,0)*$Z$17)+(IF(AND('3.Cropland'!O130="Burned",M64&lt;&gt;"None"), Annual!Q64*Annual!$AA$17,0)*Annual!$Z$17)</f>
        <v>0</v>
      </c>
      <c r="X10" s="197">
        <f>IF($L10="Burned",($M10*$AB$17*$Z$17),IF(L10="Retained",(K64*$AC$17*N2O_N_conversion),0))+IF(Annual!M64="None",0,IF('3.Cropland'!O130="Burned",(Annual!Q64*$AB$17*$Z$17),IF('3.Cropland'!O130="Retained",(Annual!U64*$AC$17*N2O_N_conversion),0)))</f>
        <v>0</v>
      </c>
      <c r="Y10" s="929">
        <f t="shared" ref="Y10:Y14" si="2">(W10*methane+X10*Nitrous)/1000</f>
        <v>0</v>
      </c>
      <c r="AD10" s="1901"/>
      <c r="AE10" s="1901"/>
      <c r="AF10" s="1901" t="s">
        <v>49</v>
      </c>
      <c r="AG10" s="1901" t="s">
        <v>675</v>
      </c>
      <c r="AH10" s="1901" t="s">
        <v>50</v>
      </c>
      <c r="AI10" s="1901" t="s">
        <v>675</v>
      </c>
      <c r="AJ10" s="1901"/>
      <c r="AK10" s="2403" t="s">
        <v>54</v>
      </c>
      <c r="AL10" s="2403" t="s">
        <v>675</v>
      </c>
      <c r="AM10" s="1901" t="s">
        <v>49</v>
      </c>
      <c r="AN10" s="1901" t="s">
        <v>675</v>
      </c>
      <c r="AO10" s="1901" t="s">
        <v>50</v>
      </c>
      <c r="AP10" s="1901" t="s">
        <v>675</v>
      </c>
      <c r="AQ10" s="1901"/>
      <c r="AR10" s="1901"/>
      <c r="AS10" s="1901"/>
      <c r="AT10" s="1901"/>
      <c r="AU10" s="1901"/>
      <c r="AV10" s="1901"/>
      <c r="AW10" s="1901"/>
      <c r="AX10" s="1901"/>
      <c r="AY10" s="1105"/>
      <c r="AZ10" s="1105"/>
      <c r="BA10" s="1105"/>
      <c r="BB10" s="1105"/>
      <c r="BC10" s="1105"/>
      <c r="BD10" s="1105"/>
      <c r="BE10" s="1105"/>
    </row>
    <row r="11" spans="1:57" s="49" customFormat="1" ht="13.5" thickBot="1">
      <c r="B11" s="18" t="s">
        <v>1221</v>
      </c>
      <c r="C11" s="922" t="s">
        <v>69</v>
      </c>
      <c r="D11" s="943" t="s">
        <v>354</v>
      </c>
      <c r="E11" s="923"/>
      <c r="F11" s="923"/>
      <c r="G11" s="1808" t="str">
        <f>'3.Cropland'!E15</f>
        <v>?</v>
      </c>
      <c r="H11" s="1808" t="str">
        <f>'3.Cropland'!F15</f>
        <v>?</v>
      </c>
      <c r="I11" s="1808" t="str">
        <f>'3.Cropland'!G15</f>
        <v>?</v>
      </c>
      <c r="J11" s="1808" t="str">
        <f>'3.Cropland'!I15</f>
        <v>?</v>
      </c>
      <c r="K11" s="1808" t="str">
        <f>'3.Cropland'!J15</f>
        <v>?</v>
      </c>
      <c r="L11" s="1808" t="str">
        <f>IF('3.Cropland'!G15="Yes","Retained",'3.Cropland'!L15:M15)</f>
        <v>Please select</v>
      </c>
      <c r="M11" s="3472" t="e">
        <f t="shared" si="1"/>
        <v>#N/A</v>
      </c>
      <c r="N11" s="1809">
        <f>'3.Cropland'!O15</f>
        <v>0</v>
      </c>
      <c r="O11" s="2701"/>
      <c r="P11" s="147">
        <f>IF(G11="yes",HLOOKUP(clim_simple,' IPCC'!$A$598:$F$603,2,),0)</f>
        <v>0</v>
      </c>
      <c r="Q11" s="197">
        <f>IF(H11="yes",HLOOKUP(clim_simple,' IPCC'!$A$598:$F$603,3,),0)</f>
        <v>0</v>
      </c>
      <c r="R11" s="197">
        <f>IF(I11="yes",HLOOKUP(clim_simple,' IPCC'!$A$598:$F$603,4,),0)</f>
        <v>0</v>
      </c>
      <c r="S11" s="197">
        <f>IF(J11="yes",HLOOKUP(clim_simple,' IPCC'!$A$598:$F$603,5,),0)</f>
        <v>0</v>
      </c>
      <c r="T11" s="197">
        <f>IF(K11="yes",HLOOKUP(clim_simple,' IPCC'!$A$598:$F$603,6,),0)</f>
        <v>0</v>
      </c>
      <c r="U11" s="298">
        <f t="shared" si="0"/>
        <v>0</v>
      </c>
      <c r="V11" s="2178">
        <f>IF('3.Cropland'!G131="",'3.Cropland'!F131,'3.Cropland'!G131)</f>
        <v>0</v>
      </c>
      <c r="W11" s="147">
        <f>(IF($L11="Burned",$M11*$AA$17,0)*$Z$17)+(IF(AND('3.Cropland'!O131="Burned",M65&lt;&gt;"None"), Annual!Q65*Annual!$AA$17,0)*Annual!$Z$17)</f>
        <v>0</v>
      </c>
      <c r="X11" s="197">
        <f>IF($L11="Burned",($M11*$AB$17*$Z$17),IF(L11="Retained",(K65*$AC$17*N2O_N_conversion),0))+IF(Annual!M65="None",0,IF('3.Cropland'!O131="Burned",(Annual!Q65*$AB$17*$Z$17),IF('3.Cropland'!O131="Retained",(Annual!U65*$AC$17*N2O_N_conversion),0)))</f>
        <v>0</v>
      </c>
      <c r="Y11" s="929">
        <f t="shared" si="2"/>
        <v>0</v>
      </c>
      <c r="AD11" s="1901"/>
      <c r="AE11" s="1901"/>
      <c r="AF11" s="1901">
        <f>(MIN(C34,D34)*time_tot+ABS(D34-C34)*IF(D34&gt;C34,time2+time*(VLOOKUP(E34,List!$E$35:$F$37,2,)),time*(1-(VLOOKUP(E34,List!$E$35:$F$37,2,)))))*W9*methane/1000</f>
        <v>0</v>
      </c>
      <c r="AG11" s="1901">
        <f>(MIN(C34,F34)*time_tot+ABS(F34-C34)*IF(F34&gt;C34,time2+time*(VLOOKUP(G34,List!$E$35:$F$37,2,)),time*(1-(VLOOKUP(G34,List!$E$35:$F$37,2,)))))*W9*methane/1000</f>
        <v>0</v>
      </c>
      <c r="AH11" s="1901">
        <f>(MIN(C34,D34)*time_tot+ABS(D34-C34)*IF(D34&gt;C34,time2+time*(VLOOKUP(E34,List!$E$35:$F$37,2,)),time*(1-(VLOOKUP(E34,List!$E$35:$F$37,2,)))))*X9*Nitrous/1000</f>
        <v>0</v>
      </c>
      <c r="AI11" s="1901">
        <f>(MIN(C34,F34)*time_tot+ABS(F34-C34)*IF(F34&gt;C34,time2+time*(VLOOKUP(G34,List!$E$35:$F$37,2,)),time*(1-(VLOOKUP(G34,List!$E$35:$F$37,2,)))))*X9*Nitrous/1000</f>
        <v>0</v>
      </c>
      <c r="AJ11" s="1901"/>
      <c r="AK11" s="1914">
        <f>-$V9*((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L11" s="1914">
        <f>-$V9*((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M11" s="1914">
        <f>(MIN(C34,D34)*time+ABS(D34-C34)*IF(D34&gt;C34,time*(VLOOKUP(E34,List!$E$35:$F$37,2,)),time*(1-(VLOOKUP(E34,List!$E$35:$F$37,2,)))))*W9*methane/1000</f>
        <v>0</v>
      </c>
      <c r="AN11" s="1914">
        <f>(MIN(C34,F34)*time+ABS(F34-C34)*IF(F34&gt;C34,time*(VLOOKUP(G34,List!$E$35:$F$37,2,)),time*(1-(VLOOKUP(G34,List!$E$35:$F$37,2,)))))*W9*methane/1000</f>
        <v>0</v>
      </c>
      <c r="AO11" s="1914">
        <f>(MIN(C34,D34)*time+ABS(D34-C34)*IF(D34&gt;C34,time*(VLOOKUP(E34,List!$E$35:$F$37,2,)),time*(1-(VLOOKUP(E34,List!$E$35:$F$37,2,)))))*X9*Nitrous/1000</f>
        <v>0</v>
      </c>
      <c r="AP11" s="1914">
        <f>(MIN(C34,F34)*time+ABS(F34-C34)*IF(F34&gt;C34,time*(VLOOKUP(G34,List!$E$35:$F$37,2,)),time*(1-(VLOOKUP(G34,List!$E$35:$F$37,2,)))))*X9*Nitrous/1000</f>
        <v>0</v>
      </c>
      <c r="AQ11" s="1915" t="s">
        <v>23</v>
      </c>
      <c r="AR11" s="1915" t="s">
        <v>516</v>
      </c>
      <c r="AS11" s="1915" t="s">
        <v>35</v>
      </c>
      <c r="AT11" s="1915" t="s">
        <v>36</v>
      </c>
      <c r="AU11" s="1901"/>
      <c r="AV11" s="1901"/>
      <c r="AW11" s="1901"/>
      <c r="AX11" s="1901"/>
      <c r="AY11" s="1105"/>
      <c r="AZ11" s="1105"/>
      <c r="BA11" s="1105"/>
      <c r="BB11" s="1105"/>
      <c r="BC11" s="1105"/>
      <c r="BD11" s="1105"/>
      <c r="BE11" s="1105"/>
    </row>
    <row r="12" spans="1:57" s="49" customFormat="1" ht="13.5" thickBot="1">
      <c r="B12" s="18" t="s">
        <v>1222</v>
      </c>
      <c r="C12" s="1624" t="s">
        <v>1224</v>
      </c>
      <c r="D12" s="1625" t="s">
        <v>354</v>
      </c>
      <c r="E12" s="1626"/>
      <c r="F12" s="1626"/>
      <c r="G12" s="1808" t="str">
        <f>'3.Cropland'!E16</f>
        <v>?</v>
      </c>
      <c r="H12" s="1808" t="str">
        <f>'3.Cropland'!F16</f>
        <v>?</v>
      </c>
      <c r="I12" s="1808" t="str">
        <f>'3.Cropland'!G16</f>
        <v>?</v>
      </c>
      <c r="J12" s="1808" t="str">
        <f>'3.Cropland'!I16</f>
        <v>?</v>
      </c>
      <c r="K12" s="1808" t="str">
        <f>'3.Cropland'!J16</f>
        <v>?</v>
      </c>
      <c r="L12" s="1808" t="str">
        <f>IF('3.Cropland'!G16="Yes","Retained",'3.Cropland'!L16:M16)</f>
        <v>Please select</v>
      </c>
      <c r="M12" s="3472" t="e">
        <f t="shared" si="1"/>
        <v>#N/A</v>
      </c>
      <c r="N12" s="1809">
        <f>'3.Cropland'!O16</f>
        <v>0</v>
      </c>
      <c r="O12" s="2701"/>
      <c r="P12" s="148">
        <f>IF(G12="yes",HLOOKUP(clim_simple,' IPCC'!$A$598:$F$603,2,),0)</f>
        <v>0</v>
      </c>
      <c r="Q12" s="198">
        <f>IF(H12="yes",HLOOKUP(clim_simple,' IPCC'!$A$598:$F$603,3,),0)</f>
        <v>0</v>
      </c>
      <c r="R12" s="198">
        <f>IF(I12="yes",HLOOKUP(clim_simple,' IPCC'!$A$598:$F$603,4,),0)</f>
        <v>0</v>
      </c>
      <c r="S12" s="198">
        <f>IF(J12="yes",HLOOKUP(clim_simple,' IPCC'!$A$598:$F$603,5,),0)</f>
        <v>0</v>
      </c>
      <c r="T12" s="198">
        <f>IF(K12="yes",HLOOKUP(clim_simple,' IPCC'!$A$598:$F$603,6,),0)</f>
        <v>0</v>
      </c>
      <c r="U12" s="299">
        <f t="shared" si="0"/>
        <v>0</v>
      </c>
      <c r="V12" s="2612">
        <f>IF('3.Cropland'!G132="",'3.Cropland'!F132,'3.Cropland'!G132)</f>
        <v>0</v>
      </c>
      <c r="W12" s="147">
        <f>(IF($L12="Burned",$M12*$AA$17,0)*$Z$17)+(IF(AND('3.Cropland'!O132="Burned",M66&lt;&gt;"None"), Annual!Q66*Annual!$AA$17,0)*Annual!$Z$17)</f>
        <v>0</v>
      </c>
      <c r="X12" s="197">
        <f>IF($L12="Burned",($M12*$AB$17*$Z$17),IF(L12="Retained",(K66*$AC$17*N2O_N_conversion),0))+IF(Annual!M66="None",0,IF('3.Cropland'!O132="Burned",(Annual!Q66*$AB$17*$Z$17),IF('3.Cropland'!O132="Retained",(Annual!U66*$AC$17*N2O_N_conversion),0)))</f>
        <v>0</v>
      </c>
      <c r="Y12" s="930">
        <f t="shared" si="2"/>
        <v>0</v>
      </c>
      <c r="AD12" s="1901"/>
      <c r="AE12" s="1901"/>
      <c r="AF12" s="1901">
        <f>(MIN(C35,D35)*time_tot+ABS(D35-C35)*IF(D35&gt;C35,time2+time*(VLOOKUP(E35,List!$E$35:$F$37,2,)),time*(1-(VLOOKUP(E35,List!$E$35:$F$37,2,)))))*W10*methane/1000</f>
        <v>0</v>
      </c>
      <c r="AG12" s="1901">
        <f>(MIN(C35,F35)*time_tot+ABS(F35-C35)*IF(F35&gt;C35,time2+time*(VLOOKUP(G35,List!$E$35:$F$37,2,)),time*(1-(VLOOKUP(G35,List!$E$35:$F$37,2,)))))*W10*methane/1000</f>
        <v>0</v>
      </c>
      <c r="AH12" s="1901">
        <f>(MIN(C35,D35)*time_tot+ABS(D35-C35)*IF(D35&gt;C35,time2+time*(VLOOKUP(E35,List!$E$35:$F$37,2,)),time*(1-(VLOOKUP(E35,List!$E$35:$F$37,2,)))))*X10*Nitrous/1000</f>
        <v>0</v>
      </c>
      <c r="AI12" s="1901">
        <f>(MIN(C35,F35)*time_tot+ABS(F35-C35)*IF(F35&gt;C35,time2+time*(VLOOKUP(G35,List!$E$35:$F$37,2,)),time*(1-(VLOOKUP(G35,List!$E$35:$F$37,2,)))))*X10*Nitrous/1000</f>
        <v>0</v>
      </c>
      <c r="AJ12" s="1901"/>
      <c r="AK12" s="1914">
        <f>-$V10*((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L12" s="1914">
        <f>-$V10*((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M12" s="1914">
        <f>(MIN(C35,D35)*time+ABS(D35-C35)*IF(D35&gt;C35,time*(VLOOKUP(E35,List!$E$35:$F$37,2,)),time*(1-(VLOOKUP(E35,List!$E$35:$F$37,2,)))))*W10*methane/1000</f>
        <v>0</v>
      </c>
      <c r="AN12" s="1914">
        <f>(MIN(C35,F35)*time+ABS(F35-C35)*IF(F35&gt;C35,time*(VLOOKUP(G35,List!$E$35:$F$37,2,)),time*(1-(VLOOKUP(G35,List!$E$35:$F$37,2,)))))*W10*methane/1000</f>
        <v>0</v>
      </c>
      <c r="AO12" s="1914">
        <f>(MIN(C35,D35)*time+ABS(D35-C35)*IF(D35&gt;C35,time*(VLOOKUP(E35,List!$E$35:$F$37,2,)),time*(1-(VLOOKUP(E35,List!$E$35:$F$37,2,)))))*X10*Nitrous/1000</f>
        <v>0</v>
      </c>
      <c r="AP12" s="1914">
        <f>(MIN(C35,F35)*time+ABS(F35-C35)*IF(F35&gt;C35,time*(VLOOKUP(G35,List!$E$35:$F$37,2,)),time*(1-(VLOOKUP(G35,List!$E$35:$F$37,2,)))))*X10*Nitrous/1000</f>
        <v>0</v>
      </c>
      <c r="AQ12" s="1915" t="s">
        <v>24</v>
      </c>
      <c r="AR12" s="1915">
        <v>0</v>
      </c>
      <c r="AS12" s="1915">
        <v>0</v>
      </c>
      <c r="AT12" s="1915">
        <f>AR12-AS12</f>
        <v>0</v>
      </c>
      <c r="AU12" s="1901"/>
      <c r="AV12" s="1901"/>
      <c r="AW12" s="1901"/>
      <c r="AX12" s="1901"/>
      <c r="AY12" s="1105"/>
      <c r="AZ12" s="1105"/>
      <c r="BA12" s="1105"/>
      <c r="BB12" s="1105"/>
      <c r="BC12" s="1105"/>
      <c r="BD12" s="1105"/>
      <c r="BE12" s="1105"/>
    </row>
    <row r="13" spans="1:57" ht="13.5" thickBot="1">
      <c r="B13" s="1498" t="s">
        <v>1125</v>
      </c>
      <c r="C13" s="1627"/>
      <c r="D13" s="894" t="s">
        <v>354</v>
      </c>
      <c r="E13" s="1889"/>
      <c r="F13" s="1889"/>
      <c r="G13" s="1813" t="str">
        <f>'3.Cropland'!E22</f>
        <v>?</v>
      </c>
      <c r="H13" s="1813" t="str">
        <f>'3.Cropland'!F22</f>
        <v>?</v>
      </c>
      <c r="I13" s="1813" t="str">
        <f>'3.Cropland'!G22</f>
        <v>?</v>
      </c>
      <c r="J13" s="1813" t="str">
        <f>'3.Cropland'!I22</f>
        <v>?</v>
      </c>
      <c r="K13" s="1813" t="str">
        <f>'3.Cropland'!J22</f>
        <v>?</v>
      </c>
      <c r="L13" s="1813" t="str">
        <f>IF('3.Cropland'!G22="Yes","Retained",'3.Cropland'!L22:M22)</f>
        <v>Please select</v>
      </c>
      <c r="M13" s="3472" t="e">
        <f>G67</f>
        <v>#N/A</v>
      </c>
      <c r="N13" s="1814">
        <f>'3.Cropland'!O22</f>
        <v>0</v>
      </c>
      <c r="O13" s="2701"/>
      <c r="P13" s="147">
        <f>IF(G13="yes",HLOOKUP(clim_simple,' IPCC'!$A$598:$F$603,2,),0)</f>
        <v>0</v>
      </c>
      <c r="Q13" s="197">
        <f>IF(H13="yes",HLOOKUP(clim_simple,' IPCC'!$A$598:$F$603,3,),0)</f>
        <v>0</v>
      </c>
      <c r="R13" s="197">
        <f>IF(I13="yes",HLOOKUP(clim_simple,' IPCC'!$A$598:$F$603,4,),0)</f>
        <v>0</v>
      </c>
      <c r="S13" s="197">
        <f>IF(J13="yes",HLOOKUP(clim_simple,' IPCC'!$A$598:$F$603,5,),0)</f>
        <v>0</v>
      </c>
      <c r="T13" s="197">
        <f>IF(K13="yes",HLOOKUP(clim_simple,' IPCC'!$A$598:$F$603,6,),0)</f>
        <v>0</v>
      </c>
      <c r="U13" s="298">
        <f>F13*44/12</f>
        <v>0</v>
      </c>
      <c r="V13" s="2610">
        <f>IF('3.Cropland'!G134="",'3.Cropland'!F134,'3.Cropland'!G134)</f>
        <v>0</v>
      </c>
      <c r="W13" s="3518">
        <f>(IF($L13="Burned",$M13*$AA$17,0)*$Z$17)+(IF(AND('3.Cropland'!O134="Burned",M67&lt;&gt;"None"), Annual!Q67*Annual!$AA$17,0)*Annual!$Z$17)</f>
        <v>0</v>
      </c>
      <c r="X13" s="205">
        <f>IF($L13="Burned",($M13*$AB$17*$Z$17),IF(L13="Retained",(K67*$AC$17*N2O_N_conversion),0))+IF(Annual!M67="None",0,IF('3.Cropland'!O134="Burned",(Annual!Q67*$AB$17*$Z$17),IF('3.Cropland'!O134="Retained",(Annual!U67*$AC$17*N2O_N_conversion),0)))</f>
        <v>0</v>
      </c>
      <c r="Y13" s="929">
        <f>(W13*methane+X13*Nitrous)/1000</f>
        <v>0</v>
      </c>
      <c r="AD13" s="1901"/>
      <c r="AE13" s="1901"/>
      <c r="AF13" s="1901">
        <f>(MIN(C36,D36)*time_tot+ABS(D36-C36)*IF(D36&gt;C36,time2+time*(VLOOKUP(E36,List!$E$35:$F$37,2,)),time*(1-(VLOOKUP(E36,List!$E$35:$F$37,2,)))))*W11*methane/1000</f>
        <v>0</v>
      </c>
      <c r="AG13" s="1901">
        <f>(MIN(C36,F36)*time_tot+ABS(F36-C36)*IF(F36&gt;C36,time2+time*(VLOOKUP(G36,List!$E$35:$F$37,2,)),time*(1-(VLOOKUP(G36,List!$E$35:$F$37,2,)))))*W11*methane/1000</f>
        <v>0</v>
      </c>
      <c r="AH13" s="1901">
        <f>(MIN(C36,D36)*time_tot+ABS(D36-C36)*IF(D36&gt;C36,time2+time*(VLOOKUP(E36,List!$E$35:$F$37,2,)),time*(1-(VLOOKUP(E36,List!$E$35:$F$37,2,)))))*X11*Nitrous/1000</f>
        <v>0</v>
      </c>
      <c r="AI13" s="1901">
        <f>(MIN(C36,F36)*time_tot+ABS(F36-C36)*IF(F36&gt;C36,time2+time*(VLOOKUP(G36,List!$E$35:$F$37,2,)),time*(1-(VLOOKUP(G36,List!$E$35:$F$37,2,)))))*X11*Nitrous/1000</f>
        <v>0</v>
      </c>
      <c r="AJ13" s="1901"/>
      <c r="AK13" s="1914">
        <f>-$V11*((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L13" s="1914">
        <f>-$V11*((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M13" s="1914">
        <f>(MIN(C36,D36)*time+ABS(D36-C36)*IF(D36&gt;C36,time*(VLOOKUP(E36,List!$E$35:$F$37,2,)),time*(1-(VLOOKUP(E36,List!$E$35:$F$37,2,)))))*W11*methane/1000</f>
        <v>0</v>
      </c>
      <c r="AN13" s="1914">
        <f>(MIN(C36,F36)*time+ABS(F36-C36)*IF(F36&gt;C36,time*(VLOOKUP(G36,List!$E$35:$F$37,2,)),time*(1-(VLOOKUP(G36,List!$E$35:$F$37,2,)))))*W11*methane/1000</f>
        <v>0</v>
      </c>
      <c r="AO13" s="1914">
        <f>(MIN(C36,D36)*time+ABS(D36-C36)*IF(D36&gt;C36,time*(VLOOKUP(E36,List!$E$35:$F$37,2,)),time*(1-(VLOOKUP(E36,List!$E$35:$F$37,2,)))))*X11*Nitrous/1000</f>
        <v>0</v>
      </c>
      <c r="AP13" s="1914">
        <f>(MIN(C36,F36)*time+ABS(F36-C36)*IF(F36&gt;C36,time*(VLOOKUP(G36,List!$E$35:$F$37,2,)),time*(1-(VLOOKUP(G36,List!$E$35:$F$37,2,)))))*X11*Nitrous/1000</f>
        <v>0</v>
      </c>
      <c r="AQ13" s="1915" t="s">
        <v>25</v>
      </c>
      <c r="AR13" s="1915">
        <f>SUM(I34:I47)-SUM(H34:H47)</f>
        <v>0</v>
      </c>
      <c r="AS13" s="1915">
        <f>SUM(AL11:AL24)-SUM(AK11:AK24)</f>
        <v>0</v>
      </c>
      <c r="AT13" s="1915">
        <f>AR13-AS13</f>
        <v>0</v>
      </c>
      <c r="AU13" s="1901"/>
      <c r="AV13" s="1901"/>
      <c r="AW13" s="1901"/>
      <c r="AX13" s="1901"/>
    </row>
    <row r="14" spans="1:57" ht="13.5" thickBot="1">
      <c r="B14" s="88" t="s">
        <v>1126</v>
      </c>
      <c r="C14" s="896"/>
      <c r="D14" s="894" t="s">
        <v>354</v>
      </c>
      <c r="E14" s="888"/>
      <c r="F14" s="888"/>
      <c r="G14" s="1813" t="str">
        <f>'3.Cropland'!E23</f>
        <v>?</v>
      </c>
      <c r="H14" s="1813" t="str">
        <f>'3.Cropland'!F23</f>
        <v>?</v>
      </c>
      <c r="I14" s="1813" t="str">
        <f>'3.Cropland'!G23</f>
        <v>?</v>
      </c>
      <c r="J14" s="1813" t="str">
        <f>'3.Cropland'!I23</f>
        <v>?</v>
      </c>
      <c r="K14" s="1813" t="str">
        <f>'3.Cropland'!J23</f>
        <v>?</v>
      </c>
      <c r="L14" s="1813" t="str">
        <f>IF('3.Cropland'!G23="Yes","Retained",'3.Cropland'!L23:M23)</f>
        <v>Please select</v>
      </c>
      <c r="M14" s="3472" t="e">
        <f t="shared" si="1"/>
        <v>#N/A</v>
      </c>
      <c r="N14" s="1814">
        <f>'3.Cropland'!O23</f>
        <v>0</v>
      </c>
      <c r="O14" s="2701"/>
      <c r="P14" s="147">
        <f>IF(G14="yes",HLOOKUP(clim_simple,' IPCC'!$A$598:$F$603,2,),0)</f>
        <v>0</v>
      </c>
      <c r="Q14" s="197">
        <f>IF(H14="yes",HLOOKUP(clim_simple,' IPCC'!$A$598:$F$603,3,),0)</f>
        <v>0</v>
      </c>
      <c r="R14" s="197">
        <f>IF(I14="yes",HLOOKUP(clim_simple,' IPCC'!$A$598:$F$603,4,),0)</f>
        <v>0</v>
      </c>
      <c r="S14" s="197">
        <f>IF(J14="yes",HLOOKUP(clim_simple,' IPCC'!$A$598:$F$603,5,),0)</f>
        <v>0</v>
      </c>
      <c r="T14" s="197">
        <f>IF(K14="yes",HLOOKUP(clim_simple,' IPCC'!$A$598:$F$603,6,),0)</f>
        <v>0</v>
      </c>
      <c r="U14" s="298">
        <f t="shared" si="0"/>
        <v>0</v>
      </c>
      <c r="V14" s="2178">
        <f>IF('3.Cropland'!G135="",'3.Cropland'!F135,'3.Cropland'!G135)</f>
        <v>0</v>
      </c>
      <c r="W14" s="3473">
        <f>(IF($L14="Burned",$M14*$AA$17,0)*$Z$17)+(IF(AND('3.Cropland'!O135="Burned",M68&lt;&gt;"None"), Annual!Q68*Annual!$AA$17,0)*Annual!$Z$17)</f>
        <v>0</v>
      </c>
      <c r="X14" s="205">
        <f>IF($L14="Burned",($M14*$AB$17*$Z$17),IF(L14="Retained",(K68*$AC$17*N2O_N_conversion),0))+IF(Annual!M68="None",0,IF('3.Cropland'!O135="Burned",(Annual!Q68*$AB$17*$Z$17),IF('3.Cropland'!O135="Retained",(Annual!U68*$AC$17*N2O_N_conversion),0)))</f>
        <v>0</v>
      </c>
      <c r="Y14" s="929">
        <f t="shared" si="2"/>
        <v>0</v>
      </c>
      <c r="Z14" s="129" t="s">
        <v>523</v>
      </c>
      <c r="AA14" s="57"/>
      <c r="AB14" s="56"/>
      <c r="AC14" s="3480" t="s">
        <v>7399</v>
      </c>
      <c r="AD14" s="3481"/>
      <c r="AE14" s="1901"/>
      <c r="AF14" s="1901">
        <f>(MIN(C37,D37)*time_tot+ABS(D37-C37)*IF(D37&gt;C37,time2+time*(VLOOKUP(E37,List!$E$35:$F$37,2,)),time*(1-(VLOOKUP(E37,List!$E$35:$F$37,2,)))))*W12*methane/1000</f>
        <v>0</v>
      </c>
      <c r="AG14" s="1901">
        <f>(MIN(C37,F37)*time_tot+ABS(F37-C37)*IF(F37&gt;C37,time2+time*(VLOOKUP(G37,List!$E$35:$F$37,2,)),time*(1-(VLOOKUP(G37,List!$E$35:$F$37,2,)))))*W12*methane/1000</f>
        <v>0</v>
      </c>
      <c r="AH14" s="1901">
        <f>(MIN(C37,D37)*time_tot+ABS(D37-C37)*IF(D37&gt;C37,time2+time*(VLOOKUP(E37,List!$E$35:$F$37,2,)),time*(1-(VLOOKUP(E37,List!$E$35:$F$37,2,)))))*X12*Nitrous/1000</f>
        <v>0</v>
      </c>
      <c r="AI14" s="1901">
        <f>(MIN(C37,F37)*time_tot+ABS(F37-C37)*IF(F37&gt;C37,time2+time*(VLOOKUP(G37,List!$E$35:$F$37,2,)),time*(1-(VLOOKUP(G37,List!$E$35:$F$37,2,)))))*X12*Nitrous/1000</f>
        <v>0</v>
      </c>
      <c r="AJ14" s="1901"/>
      <c r="AK14" s="1914">
        <f>-$V12*((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L14" s="1914">
        <f>-$V12*((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M14" s="1914">
        <f>(MIN(C37,D37)*time+ABS(D37-C37)*IF(D37&gt;C37,time*(VLOOKUP(E37,List!$E$35:$F$37,2,)),time*(1-(VLOOKUP(E37,List!$E$35:$F$37,2,)))))*W12*methane/1000</f>
        <v>0</v>
      </c>
      <c r="AN14" s="1914">
        <f>(MIN(C37,F37)*time+ABS(F37-C37)*IF(F37&gt;C37,time*(VLOOKUP(G37,List!$E$35:$F$37,2,)),time*(1-(VLOOKUP(G37,List!$E$35:$F$37,2,)))))*W12*methane/1000</f>
        <v>0</v>
      </c>
      <c r="AO14" s="1914">
        <f>(MIN(C37,D37)*time+ABS(D37-C37)*IF(D37&gt;C37,time*(VLOOKUP(E37,List!$E$35:$F$37,2,)),time*(1-(VLOOKUP(E37,List!$E$35:$F$37,2,)))))*X12*Nitrous/1000</f>
        <v>0</v>
      </c>
      <c r="AP14" s="1914">
        <f>(MIN(C37,F37)*time+ABS(F37-C37)*IF(F37&gt;C37,time*(VLOOKUP(G37,List!$E$35:$F$37,2,)),time*(1-(VLOOKUP(G37,List!$E$35:$F$37,2,)))))*X12*Nitrous/1000</f>
        <v>0</v>
      </c>
      <c r="AQ14" s="1915" t="s">
        <v>332</v>
      </c>
      <c r="AR14" s="1915">
        <f>SUM(AG11:AG24)-SUM(AF11:AF24)</f>
        <v>0</v>
      </c>
      <c r="AS14" s="1915">
        <f>SUM(AN11:AN24)-SUM(AM11:AM24)</f>
        <v>0</v>
      </c>
      <c r="AT14" s="1915">
        <f>AR14-AS14</f>
        <v>0</v>
      </c>
      <c r="AU14" s="1901"/>
      <c r="AV14" s="1901"/>
      <c r="AW14" s="1901"/>
      <c r="AX14" s="1901"/>
    </row>
    <row r="15" spans="1:57" ht="13.5" thickBot="1">
      <c r="B15" s="88" t="s">
        <v>1127</v>
      </c>
      <c r="C15" s="896"/>
      <c r="D15" s="894" t="s">
        <v>354</v>
      </c>
      <c r="E15" s="888"/>
      <c r="F15" s="888"/>
      <c r="G15" s="1813" t="str">
        <f>'3.Cropland'!E24</f>
        <v>?</v>
      </c>
      <c r="H15" s="1813" t="str">
        <f>'3.Cropland'!F24</f>
        <v>?</v>
      </c>
      <c r="I15" s="1813" t="str">
        <f>'3.Cropland'!G24</f>
        <v>?</v>
      </c>
      <c r="J15" s="1813" t="str">
        <f>'3.Cropland'!I24</f>
        <v>?</v>
      </c>
      <c r="K15" s="1813" t="str">
        <f>'3.Cropland'!J24</f>
        <v>?</v>
      </c>
      <c r="L15" s="1813" t="str">
        <f>IF('3.Cropland'!G24="Yes","Retained",'3.Cropland'!L24:M24)</f>
        <v>Please select</v>
      </c>
      <c r="M15" s="3472" t="e">
        <f t="shared" si="1"/>
        <v>#N/A</v>
      </c>
      <c r="N15" s="1814">
        <f>'3.Cropland'!O24</f>
        <v>0</v>
      </c>
      <c r="O15" s="2701"/>
      <c r="P15" s="147">
        <f>IF(G15="yes",HLOOKUP(clim_simple,' IPCC'!$A$598:$F$603,2,),0)</f>
        <v>0</v>
      </c>
      <c r="Q15" s="197">
        <f>IF(H15="yes",HLOOKUP(clim_simple,' IPCC'!$A$598:$F$603,3,),0)</f>
        <v>0</v>
      </c>
      <c r="R15" s="197">
        <f>IF(I15="yes",HLOOKUP(clim_simple,' IPCC'!$A$598:$F$603,4,),0)</f>
        <v>0</v>
      </c>
      <c r="S15" s="197">
        <f>IF(J15="yes",HLOOKUP(clim_simple,' IPCC'!$A$598:$F$603,5,),0)</f>
        <v>0</v>
      </c>
      <c r="T15" s="197">
        <f>IF(K15="yes",HLOOKUP(clim_simple,' IPCC'!$A$598:$F$603,6,),0)</f>
        <v>0</v>
      </c>
      <c r="U15" s="298">
        <f t="shared" si="0"/>
        <v>0</v>
      </c>
      <c r="V15" s="2178">
        <f>IF('3.Cropland'!G136="",'3.Cropland'!F136,'3.Cropland'!G136)</f>
        <v>0</v>
      </c>
      <c r="W15" s="147">
        <f>(IF($L15="Burned",$M15*$AA$17,0)*$Z$17)+(IF(AND('3.Cropland'!O136="Burned",M69&lt;&gt;"None"), Annual!Q69*Annual!$AA$17,0)*Annual!$Z$17)</f>
        <v>0</v>
      </c>
      <c r="X15" s="205">
        <f>IF($L15="Burned",($M15*$AB$17*$Z$17),IF(L15="Retained",(K69*$AC$17*N2O_N_conversion),0))+IF(Annual!M69="None",0,IF('3.Cropland'!O136="Burned",(Annual!Q69*$AB$17*$Z$17),IF('3.Cropland'!O136="Retained",(Annual!U69*$AC$17*N2O_N_conversion),0)))</f>
        <v>0</v>
      </c>
      <c r="Y15" s="929">
        <f t="shared" ref="Y15:Y22" si="3">(W15*methane+X15*Nitrous)/1000</f>
        <v>0</v>
      </c>
      <c r="Z15" s="126" t="s">
        <v>522</v>
      </c>
      <c r="AA15" s="57" t="s">
        <v>332</v>
      </c>
      <c r="AB15" s="56" t="s">
        <v>333</v>
      </c>
      <c r="AC15" s="3478" t="s">
        <v>7401</v>
      </c>
      <c r="AD15" s="3482"/>
      <c r="AE15" s="1901"/>
      <c r="AF15" s="1901">
        <f>(MIN(C38,D38)*time_tot+ABS(D38-C38)*IF(D38&gt;C38,time2+time*(VLOOKUP(E38,List!$E$35:$F$37,2,)),time*(1-(VLOOKUP(E38,List!$E$35:$F$37,2,)))))*W13*methane/1000</f>
        <v>0</v>
      </c>
      <c r="AG15" s="1901">
        <f>(MIN(C38,F38)*time_tot+ABS(F38-C38)*IF(F38&gt;C38,time2+time*(VLOOKUP(G38,List!$E$35:$F$37,2,)),time*(1-(VLOOKUP(G38,List!$E$35:$F$37,2,)))))*W13*methane/1000</f>
        <v>0</v>
      </c>
      <c r="AH15" s="1901">
        <f>(MIN(C38,D38)*time_tot+ABS(D38-C38)*IF(D38&gt;C38,time2+time*(VLOOKUP(E38,List!$E$35:$F$37,2,)),time*(1-(VLOOKUP(E38,List!$E$35:$F$37,2,)))))*X13*Nitrous/1000</f>
        <v>0</v>
      </c>
      <c r="AI15" s="1901">
        <f>(MIN(C38,F38)*time_tot+ABS(F38-C38)*IF(F38&gt;C38,time2+time*(VLOOKUP(G38,List!$E$35:$F$37,2,)),time*(1-(VLOOKUP(G38,List!$E$35:$F$37,2,)))))*X13*Nitrous/1000</f>
        <v>0</v>
      </c>
      <c r="AJ15" s="1901"/>
      <c r="AK15" s="1914">
        <f>-$V13*((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L15" s="1914">
        <f>-$V13*((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M15" s="1914">
        <f>(MIN(C38,D38)*time+ABS(D38-C38)*IF(D38&gt;C38,time*(VLOOKUP(E38,List!$E$35:$F$37,2,)),time*(1-(VLOOKUP(E38,List!$E$35:$F$37,2,)))))*W13*methane/1000</f>
        <v>0</v>
      </c>
      <c r="AN15" s="1914">
        <f>(MIN(C38,F38)*time+ABS(F38-C38)*IF(F38&gt;C38,time*(VLOOKUP(G38,List!$E$35:$F$37,2,)),time*(1-(VLOOKUP(G38,List!$E$35:$F$37,2,)))))*W13*methane/1000</f>
        <v>0</v>
      </c>
      <c r="AO15" s="1914">
        <f>(MIN(C38,D38)*time+ABS(D38-C38)*IF(D38&gt;C38,time*(VLOOKUP(E38,List!$E$35:$F$37,2,)),time*(1-(VLOOKUP(E38,List!$E$35:$F$37,2,)))))*X13*Nitrous/1000</f>
        <v>0</v>
      </c>
      <c r="AP15" s="1914">
        <f>(MIN(C38,F38)*time+ABS(F38-C38)*IF(F38&gt;C38,time*(VLOOKUP(G38,List!$E$35:$F$37,2,)),time*(1-(VLOOKUP(G38,List!$E$35:$F$37,2,)))))*X13*Nitrous/1000</f>
        <v>0</v>
      </c>
      <c r="AQ15" s="1915" t="s">
        <v>333</v>
      </c>
      <c r="AR15" s="1915">
        <f>SUM(AI11:AI24)-SUM(AH11:AH24)</f>
        <v>0</v>
      </c>
      <c r="AS15" s="1915">
        <f>SUM(AP11:AP24)-SUM(AO11:AO24)</f>
        <v>0</v>
      </c>
      <c r="AT15" s="1915">
        <f>AR15-AS15</f>
        <v>0</v>
      </c>
      <c r="AU15" s="1901"/>
      <c r="AV15" s="1901"/>
      <c r="AW15" s="1901"/>
      <c r="AX15" s="1901"/>
    </row>
    <row r="16" spans="1:57" ht="13.5" thickBot="1">
      <c r="B16" s="88" t="s">
        <v>1128</v>
      </c>
      <c r="C16" s="896"/>
      <c r="D16" s="894" t="s">
        <v>354</v>
      </c>
      <c r="E16" s="888"/>
      <c r="F16" s="888"/>
      <c r="G16" s="1813" t="str">
        <f>'3.Cropland'!E25</f>
        <v>?</v>
      </c>
      <c r="H16" s="1813" t="str">
        <f>'3.Cropland'!F25</f>
        <v>?</v>
      </c>
      <c r="I16" s="1813" t="str">
        <f>'3.Cropland'!G25</f>
        <v>?</v>
      </c>
      <c r="J16" s="1813" t="str">
        <f>'3.Cropland'!I25</f>
        <v>?</v>
      </c>
      <c r="K16" s="1813" t="str">
        <f>'3.Cropland'!J25</f>
        <v>?</v>
      </c>
      <c r="L16" s="1813" t="str">
        <f>IF('3.Cropland'!G25="Yes","Retained",'3.Cropland'!L25:M25)</f>
        <v>Please select</v>
      </c>
      <c r="M16" s="3472" t="e">
        <f>G70</f>
        <v>#N/A</v>
      </c>
      <c r="N16" s="1814">
        <f>'3.Cropland'!O25</f>
        <v>0</v>
      </c>
      <c r="O16" s="2701"/>
      <c r="P16" s="147">
        <f>IF(G16="yes",HLOOKUP(clim_simple,' IPCC'!$A$598:$F$603,2,),0)</f>
        <v>0</v>
      </c>
      <c r="Q16" s="197">
        <f>IF(H16="yes",HLOOKUP(clim_simple,' IPCC'!$A$598:$F$603,3,),0)</f>
        <v>0</v>
      </c>
      <c r="R16" s="197">
        <f>IF(I16="yes",HLOOKUP(clim_simple,' IPCC'!$A$598:$F$603,4,),0)</f>
        <v>0</v>
      </c>
      <c r="S16" s="197">
        <f>IF(J16="yes",HLOOKUP(clim_simple,' IPCC'!$A$598:$F$603,5,),0)</f>
        <v>0</v>
      </c>
      <c r="T16" s="197">
        <f>IF(K16="yes",HLOOKUP(clim_simple,' IPCC'!$A$598:$F$603,6,),0)</f>
        <v>0</v>
      </c>
      <c r="U16" s="298">
        <f t="shared" si="0"/>
        <v>0</v>
      </c>
      <c r="V16" s="2178">
        <f>IF('3.Cropland'!G137="",'3.Cropland'!F137,'3.Cropland'!G137)</f>
        <v>0</v>
      </c>
      <c r="W16" s="147">
        <f>(IF($L16="Burned",$M16*$AA$17,0)*$Z$17)+(IF(AND('3.Cropland'!O137="Burned",M70&lt;&gt;"None"), Annual!Q70*Annual!$AA$17,0)*Annual!$Z$17)</f>
        <v>0</v>
      </c>
      <c r="X16" s="205">
        <f>IF($L16="Burned",($M16*$AB$17*$Z$17),IF(L16="Retained",(K70*$AC$17*N2O_N_conversion),0))+IF(Annual!M70="None",0,IF('3.Cropland'!O137="Burned",(Annual!Q70*$AB$17*$Z$17),IF('3.Cropland'!O137="Retained",(Annual!U70*$AC$17*N2O_N_conversion),0)))</f>
        <v>0</v>
      </c>
      <c r="Y16" s="929">
        <f t="shared" si="3"/>
        <v>0</v>
      </c>
      <c r="Z16" s="126" t="s">
        <v>524</v>
      </c>
      <c r="AA16" s="128" t="s">
        <v>525</v>
      </c>
      <c r="AB16" s="203"/>
      <c r="AC16" s="3479" t="s">
        <v>7400</v>
      </c>
      <c r="AD16" s="3483"/>
      <c r="AE16" s="1901"/>
      <c r="AF16" s="1901">
        <f>(MIN(C39,D39)*time_tot+ABS(D39-C39)*IF(D39&gt;C39,time2+time*(VLOOKUP(E39,List!$E$35:$F$37,2,)),time*(1-(VLOOKUP(E39,List!$E$35:$F$37,2,)))))*W14*methane/1000</f>
        <v>0</v>
      </c>
      <c r="AG16" s="1901">
        <f>(MIN(C39,F39)*time_tot+ABS(F39-C39)*IF(F39&gt;C39,time2+time*(VLOOKUP(G39,List!$E$35:$F$37,2,)),time*(1-(VLOOKUP(G39,List!$E$35:$F$37,2,)))))*W14*methane/1000</f>
        <v>0</v>
      </c>
      <c r="AH16" s="1901">
        <f>(MIN(C39,D39)*time_tot+ABS(D39-C39)*IF(D39&gt;C39,time2+time*(VLOOKUP(E39,List!$E$35:$F$37,2,)),time*(1-(VLOOKUP(E39,List!$E$35:$F$37,2,)))))*X14*Nitrous/1000</f>
        <v>0</v>
      </c>
      <c r="AI16" s="1901">
        <f>(MIN(C39,F39)*time_tot+ABS(F39-C39)*IF(F39&gt;C39,time2+time*(VLOOKUP(G39,List!$E$35:$F$37,2,)),time*(1-(VLOOKUP(G39,List!$E$35:$F$37,2,)))))*X14*Nitrous/1000</f>
        <v>0</v>
      </c>
      <c r="AJ16" s="1901"/>
      <c r="AK16" s="1914">
        <f>-$V14*((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L16" s="1914">
        <f>-$V14*((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M16" s="1914">
        <f>(MIN(C39,D39)*time+ABS(D39-C39)*IF(D39&gt;C39,time*(VLOOKUP(E39,List!$E$35:$F$37,2,)),time*(1-(VLOOKUP(E39,List!$E$35:$F$37,2,)))))*W14*methane/1000</f>
        <v>0</v>
      </c>
      <c r="AN16" s="1914">
        <f>(MIN(C39,F39)*time+ABS(F39-C39)*IF(F39&gt;C39,time*(VLOOKUP(G39,List!$E$35:$F$37,2,)),time*(1-(VLOOKUP(G39,List!$E$35:$F$37,2,)))))*W14*methane/1000</f>
        <v>0</v>
      </c>
      <c r="AO16" s="1914">
        <f>(MIN(C39,D39)*time+ABS(D39-C39)*IF(D39&gt;C39,time*(VLOOKUP(E39,List!$E$35:$F$37,2,)),time*(1-(VLOOKUP(E39,List!$E$35:$F$37,2,)))))*X14*Nitrous/1000</f>
        <v>0</v>
      </c>
      <c r="AP16" s="1914">
        <f>(MIN(C39,F39)*time+ABS(F39-C39)*IF(F39&gt;C39,time*(VLOOKUP(G39,List!$E$35:$F$37,2,)),time*(1-(VLOOKUP(G39,List!$E$35:$F$37,2,)))))*X14*Nitrous/1000</f>
        <v>0</v>
      </c>
      <c r="AQ16" s="1901"/>
      <c r="AR16" s="1915">
        <f>SUM(AR12:AR15)</f>
        <v>0</v>
      </c>
      <c r="AS16" s="1915">
        <f>SUM(AS12:AS15)</f>
        <v>0</v>
      </c>
      <c r="AT16" s="1915">
        <f>SUM(AT12:AT15)</f>
        <v>0</v>
      </c>
      <c r="AU16" s="1901"/>
      <c r="AV16" s="1901"/>
      <c r="AW16" s="1901"/>
      <c r="AX16" s="1901"/>
    </row>
    <row r="17" spans="2:52" ht="13.5" thickBot="1">
      <c r="B17" s="88" t="s">
        <v>1129</v>
      </c>
      <c r="C17" s="896"/>
      <c r="D17" s="894" t="s">
        <v>354</v>
      </c>
      <c r="E17" s="888"/>
      <c r="F17" s="888"/>
      <c r="G17" s="1813" t="str">
        <f>'3.Cropland'!E26</f>
        <v>?</v>
      </c>
      <c r="H17" s="1813" t="str">
        <f>'3.Cropland'!F26</f>
        <v>?</v>
      </c>
      <c r="I17" s="1813" t="str">
        <f>'3.Cropland'!G26</f>
        <v>?</v>
      </c>
      <c r="J17" s="1813" t="str">
        <f>'3.Cropland'!I26</f>
        <v>?</v>
      </c>
      <c r="K17" s="1813" t="str">
        <f>'3.Cropland'!J26</f>
        <v>?</v>
      </c>
      <c r="L17" s="1813" t="str">
        <f>IF('3.Cropland'!G26="Yes","Retained",'3.Cropland'!L26:M26)</f>
        <v>Please select</v>
      </c>
      <c r="M17" s="3472" t="e">
        <f t="shared" si="1"/>
        <v>#N/A</v>
      </c>
      <c r="N17" s="1814">
        <f>'3.Cropland'!O26</f>
        <v>0</v>
      </c>
      <c r="O17" s="2701"/>
      <c r="P17" s="147">
        <f>IF(G17="yes",HLOOKUP(clim_simple,' IPCC'!$A$598:$F$603,2,),0)</f>
        <v>0</v>
      </c>
      <c r="Q17" s="197">
        <f>IF(H17="yes",HLOOKUP(clim_simple,' IPCC'!$A$598:$F$603,3,),0)</f>
        <v>0</v>
      </c>
      <c r="R17" s="197">
        <f>IF(I17="yes",HLOOKUP(clim_simple,' IPCC'!$A$598:$F$603,4,),0)</f>
        <v>0</v>
      </c>
      <c r="S17" s="197">
        <f>IF(J17="yes",HLOOKUP(clim_simple,' IPCC'!$A$598:$F$603,5,),0)</f>
        <v>0</v>
      </c>
      <c r="T17" s="197">
        <f>IF(K17="yes",HLOOKUP(clim_simple,' IPCC'!$A$598:$F$603,6,),0)</f>
        <v>0</v>
      </c>
      <c r="U17" s="298">
        <f t="shared" si="0"/>
        <v>0</v>
      </c>
      <c r="V17" s="2178">
        <f>IF('3.Cropland'!G138="",'3.Cropland'!F138,'3.Cropland'!G138)</f>
        <v>0</v>
      </c>
      <c r="W17" s="147">
        <f>(IF($L17="Burned",$M17*$AA$17,0)*$Z$17)+(IF(AND('3.Cropland'!O138="Burned",M71&lt;&gt;"None"), Annual!Q71*Annual!$AA$17,0)*Annual!$Z$17)</f>
        <v>0</v>
      </c>
      <c r="X17" s="205">
        <f>IF($L17="Burned",($M17*$AB$17*$Z$17),IF(L17="Retained",(K71*$AC$17*N2O_N_conversion),0))+IF(Annual!M71="None",0,IF('3.Cropland'!O138="Burned",(Annual!Q71*$AB$17*$Z$17),IF('3.Cropland'!O138="Retained",(Annual!U71*$AC$17*N2O_N_conversion),0)))</f>
        <v>0</v>
      </c>
      <c r="Y17" s="929">
        <f t="shared" si="3"/>
        <v>0</v>
      </c>
      <c r="Z17" s="129">
        <v>0.8</v>
      </c>
      <c r="AA17" s="57">
        <v>2.7</v>
      </c>
      <c r="AB17" s="56">
        <v>7.0000000000000007E-2</v>
      </c>
      <c r="AC17" s="3484">
        <v>0.01</v>
      </c>
      <c r="AD17" s="3481"/>
      <c r="AE17" s="1901"/>
      <c r="AF17" s="1901">
        <f>(MIN(C40,D40)*time_tot+ABS(D40-C40)*IF(D40&gt;C40,time2+time*(VLOOKUP(E40,List!$E$35:$F$37,2,)),time*(1-(VLOOKUP(E40,List!$E$35:$F$37,2,)))))*W15*methane/1000</f>
        <v>0</v>
      </c>
      <c r="AG17" s="1901">
        <f>(MIN(C40,F40)*time_tot+ABS(F40-C40)*IF(F40&gt;C40,time2+time*(VLOOKUP(G40,List!$E$35:$F$37,2,)),time*(1-(VLOOKUP(G40,List!$E$35:$F$37,2,)))))*W15*methane/1000</f>
        <v>0</v>
      </c>
      <c r="AH17" s="1901">
        <f>(MIN(C40,D40)*time_tot+ABS(D40-C40)*IF(D40&gt;C40,time2+time*(VLOOKUP(E40,List!$E$35:$F$37,2,)),time*(1-(VLOOKUP(E40,List!$E$35:$F$37,2,)))))*X15*Nitrous/1000</f>
        <v>0</v>
      </c>
      <c r="AI17" s="1901">
        <f>(MIN(C40,F40)*time_tot+ABS(F40-C40)*IF(F40&gt;C40,time2+time*(VLOOKUP(G40,List!$E$35:$F$37,2,)),time*(1-(VLOOKUP(G40,List!$E$35:$F$37,2,)))))*X15*Nitrous/1000</f>
        <v>0</v>
      </c>
      <c r="AJ17" s="1901"/>
      <c r="AK17" s="1914">
        <f>-$V15*((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L17" s="1914">
        <f>-$V15*((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M17" s="1914">
        <f>(MIN(C40,D40)*time+ABS(D40-C40)*IF(D40&gt;C40,time*(VLOOKUP(E40,List!$E$35:$F$37,2,)),time*(1-(VLOOKUP(E40,List!$E$35:$F$37,2,)))))*W15*methane/1000</f>
        <v>0</v>
      </c>
      <c r="AN17" s="1914">
        <f>(MIN(C40,F40)*time+ABS(F40-C40)*IF(F40&gt;C40,time*(VLOOKUP(G40,List!$E$35:$F$37,2,)),time*(1-(VLOOKUP(G40,List!$E$35:$F$37,2,)))))*W15*methane/1000</f>
        <v>0</v>
      </c>
      <c r="AO17" s="1914">
        <f>(MIN(C40,D40)*time+ABS(D40-C40)*IF(D40&gt;C40,time*(VLOOKUP(E40,List!$E$35:$F$37,2,)),time*(1-(VLOOKUP(E40,List!$E$35:$F$37,2,)))))*X15*Nitrous/1000</f>
        <v>0</v>
      </c>
      <c r="AP17" s="1914">
        <f>(MIN(C40,F40)*time+ABS(F40-C40)*IF(F40&gt;C40,time*(VLOOKUP(G40,List!$E$35:$F$37,2,)),time*(1-(VLOOKUP(G40,List!$E$35:$F$37,2,)))))*X15*Nitrous/1000</f>
        <v>0</v>
      </c>
      <c r="AQ17" s="1901"/>
      <c r="AR17" s="1901"/>
      <c r="AS17" s="1901"/>
      <c r="AT17" s="1901"/>
      <c r="AU17" s="1901"/>
      <c r="AV17" s="1901"/>
      <c r="AW17" s="1901"/>
      <c r="AX17" s="1901"/>
    </row>
    <row r="18" spans="2:52" ht="13.5" thickBot="1">
      <c r="B18" s="88" t="s">
        <v>1130</v>
      </c>
      <c r="C18" s="896"/>
      <c r="D18" s="894" t="s">
        <v>354</v>
      </c>
      <c r="E18" s="888"/>
      <c r="F18" s="888"/>
      <c r="G18" s="1813" t="str">
        <f>'3.Cropland'!E27</f>
        <v>?</v>
      </c>
      <c r="H18" s="1813" t="str">
        <f>'3.Cropland'!F27</f>
        <v>?</v>
      </c>
      <c r="I18" s="1813" t="str">
        <f>'3.Cropland'!G27</f>
        <v>?</v>
      </c>
      <c r="J18" s="1813" t="str">
        <f>'3.Cropland'!I27</f>
        <v>?</v>
      </c>
      <c r="K18" s="1813" t="str">
        <f>'3.Cropland'!J27</f>
        <v>?</v>
      </c>
      <c r="L18" s="1813" t="str">
        <f>IF('3.Cropland'!G27="Yes","Retained",'3.Cropland'!L27:M27)</f>
        <v>Please select</v>
      </c>
      <c r="M18" s="3472" t="e">
        <f t="shared" si="1"/>
        <v>#N/A</v>
      </c>
      <c r="N18" s="1814">
        <f>'3.Cropland'!O27</f>
        <v>0</v>
      </c>
      <c r="O18" s="2701"/>
      <c r="P18" s="147">
        <f>IF(G18="yes",HLOOKUP(clim_simple,' IPCC'!$A$598:$F$603,2,),0)</f>
        <v>0</v>
      </c>
      <c r="Q18" s="197">
        <f>IF(H18="yes",HLOOKUP(clim_simple,' IPCC'!$A$598:$F$603,3,),0)</f>
        <v>0</v>
      </c>
      <c r="R18" s="197">
        <f>IF(I18="yes",HLOOKUP(clim_simple,' IPCC'!$A$598:$F$603,4,),0)</f>
        <v>0</v>
      </c>
      <c r="S18" s="197">
        <f>IF(J18="yes",HLOOKUP(clim_simple,' IPCC'!$A$598:$F$603,5,),0)</f>
        <v>0</v>
      </c>
      <c r="T18" s="197">
        <f>IF(K18="yes",HLOOKUP(clim_simple,' IPCC'!$A$598:$F$603,6,),0)</f>
        <v>0</v>
      </c>
      <c r="U18" s="298">
        <f t="shared" si="0"/>
        <v>0</v>
      </c>
      <c r="V18" s="2178">
        <f>IF('3.Cropland'!G139="",'3.Cropland'!F139,'3.Cropland'!G139)</f>
        <v>0</v>
      </c>
      <c r="W18" s="147">
        <f>(IF($L18="Burned",$M18*$AA$17,0)*$Z$17)+(IF(AND('3.Cropland'!O139="Burned",M72&lt;&gt;"None"), Annual!Q72*Annual!$AA$17,0)*Annual!$Z$17)</f>
        <v>0</v>
      </c>
      <c r="X18" s="205">
        <f>IF($L18="Burned",($M18*$AB$17*$Z$17),IF(L18="Retained",(K72*$AC$17*N2O_N_conversion),0))+IF(Annual!M72="None",0,IF('3.Cropland'!O139="Burned",(Annual!Q72*$AB$17*$Z$17),IF('3.Cropland'!O139="Retained",(Annual!U72*$AC$17*N2O_N_conversion),0)))</f>
        <v>0</v>
      </c>
      <c r="Y18" s="929">
        <f t="shared" si="3"/>
        <v>0</v>
      </c>
      <c r="AD18" s="1901"/>
      <c r="AE18" s="1901"/>
      <c r="AF18" s="1901">
        <f>(MIN(C41,D41)*time_tot+ABS(D41-C41)*IF(D41&gt;C41,time2+time*(VLOOKUP(E41,List!$E$35:$F$37,2,)),time*(1-(VLOOKUP(E41,List!$E$35:$F$37,2,)))))*W16*methane/1000</f>
        <v>0</v>
      </c>
      <c r="AG18" s="1901">
        <f>(MIN(C41,F41)*time_tot+ABS(F41-C41)*IF(F41&gt;C41,time2+time*(VLOOKUP(G41,List!$E$35:$F$37,2,)),time*(1-(VLOOKUP(G41,List!$E$35:$F$37,2,)))))*W16*methane/1000</f>
        <v>0</v>
      </c>
      <c r="AH18" s="1901">
        <f>(MIN(C41,D41)*time_tot+ABS(D41-C41)*IF(D41&gt;C41,time2+time*(VLOOKUP(E41,List!$E$35:$F$37,2,)),time*(1-(VLOOKUP(E41,List!$E$35:$F$37,2,)))))*X16*Nitrous/1000</f>
        <v>0</v>
      </c>
      <c r="AI18" s="1901">
        <f>(MIN(C41,F41)*time_tot+ABS(F41-C41)*IF(F41&gt;C41,time2+time*(VLOOKUP(G41,List!$E$35:$F$37,2,)),time*(1-(VLOOKUP(G41,List!$E$35:$F$37,2,)))))*X16*Nitrous/1000</f>
        <v>0</v>
      </c>
      <c r="AJ18" s="1901"/>
      <c r="AK18" s="1914">
        <f>-$V16*((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L18" s="1914">
        <f>-$V16*((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M18" s="1914">
        <f>(MIN(C41,D41)*time+ABS(D41-C41)*IF(D41&gt;C41,time*(VLOOKUP(E41,List!$E$35:$F$37,2,)),time*(1-(VLOOKUP(E41,List!$E$35:$F$37,2,)))))*W16*methane/1000</f>
        <v>0</v>
      </c>
      <c r="AN18" s="1914">
        <f>(MIN(C41,F41)*time+ABS(F41-C41)*IF(F41&gt;C41,time*(VLOOKUP(G41,List!$E$35:$F$37,2,)),time*(1-(VLOOKUP(G41,List!$E$35:$F$37,2,)))))*W16*methane/1000</f>
        <v>0</v>
      </c>
      <c r="AO18" s="1914">
        <f>(MIN(C41,D41)*time+ABS(D41-C41)*IF(D41&gt;C41,time*(VLOOKUP(E41,List!$E$35:$F$37,2,)),time*(1-(VLOOKUP(E41,List!$E$35:$F$37,2,)))))*X16*Nitrous/1000</f>
        <v>0</v>
      </c>
      <c r="AP18" s="1914">
        <f>(MIN(C41,F41)*time+ABS(F41-C41)*IF(F41&gt;C41,time*(VLOOKUP(G41,List!$E$35:$F$37,2,)),time*(1-(VLOOKUP(G41,List!$E$35:$F$37,2,)))))*X16*Nitrous/1000</f>
        <v>0</v>
      </c>
      <c r="AQ18" s="1901"/>
      <c r="AR18" s="1901"/>
      <c r="AS18" s="1901"/>
      <c r="AT18" s="1901"/>
      <c r="AU18" s="1901"/>
      <c r="AV18" s="1901"/>
      <c r="AW18" s="1901"/>
      <c r="AX18" s="1901"/>
    </row>
    <row r="19" spans="2:52" ht="13.5" thickBot="1">
      <c r="B19" s="88" t="s">
        <v>1131</v>
      </c>
      <c r="C19" s="896"/>
      <c r="D19" s="894" t="s">
        <v>354</v>
      </c>
      <c r="E19" s="888"/>
      <c r="F19" s="888"/>
      <c r="G19" s="1813" t="str">
        <f>'3.Cropland'!E28</f>
        <v>?</v>
      </c>
      <c r="H19" s="1813" t="str">
        <f>'3.Cropland'!F28</f>
        <v>?</v>
      </c>
      <c r="I19" s="1813" t="str">
        <f>'3.Cropland'!G28</f>
        <v>?</v>
      </c>
      <c r="J19" s="1813" t="str">
        <f>'3.Cropland'!I28</f>
        <v>?</v>
      </c>
      <c r="K19" s="1813" t="str">
        <f>'3.Cropland'!J28</f>
        <v>?</v>
      </c>
      <c r="L19" s="1813" t="str">
        <f>IF('3.Cropland'!G28="Yes","Retained",'3.Cropland'!L28:M28)</f>
        <v>Please select</v>
      </c>
      <c r="M19" s="3472" t="e">
        <f t="shared" si="1"/>
        <v>#N/A</v>
      </c>
      <c r="N19" s="1814">
        <f>'3.Cropland'!O28</f>
        <v>0</v>
      </c>
      <c r="O19" s="2701"/>
      <c r="P19" s="147">
        <f>IF(G19="yes",HLOOKUP(clim_simple,' IPCC'!$A$598:$F$603,2,),0)</f>
        <v>0</v>
      </c>
      <c r="Q19" s="197">
        <f>IF(H19="yes",HLOOKUP(clim_simple,' IPCC'!$A$598:$F$603,3,),0)</f>
        <v>0</v>
      </c>
      <c r="R19" s="197">
        <f>IF(I19="yes",HLOOKUP(clim_simple,' IPCC'!$A$598:$F$603,4,),0)</f>
        <v>0</v>
      </c>
      <c r="S19" s="197">
        <f>IF(J19="yes",HLOOKUP(clim_simple,' IPCC'!$A$598:$F$603,5,),0)</f>
        <v>0</v>
      </c>
      <c r="T19" s="197">
        <f>IF(K19="yes",HLOOKUP(clim_simple,' IPCC'!$A$598:$F$603,6,),0)</f>
        <v>0</v>
      </c>
      <c r="U19" s="298">
        <f t="shared" si="0"/>
        <v>0</v>
      </c>
      <c r="V19" s="2178">
        <f>IF('3.Cropland'!G140="",'3.Cropland'!F140,'3.Cropland'!G140)</f>
        <v>0</v>
      </c>
      <c r="W19" s="147">
        <f>(IF($L19="Burned",$M19*$AA$17,0)*$Z$17)+(IF(AND('3.Cropland'!O140="Burned",M73&lt;&gt;"None"), Annual!Q73*Annual!$AA$17,0)*Annual!$Z$17)</f>
        <v>0</v>
      </c>
      <c r="X19" s="205">
        <f>IF($L19="Burned",($M19*$AB$17*$Z$17),IF(L19="Retained",(K73*$AC$17*N2O_N_conversion),0))+IF(Annual!M73="None",0,IF('3.Cropland'!O140="Burned",(Annual!Q73*$AB$17*$Z$17),IF('3.Cropland'!O140="Retained",(Annual!U73*$AC$17*N2O_N_conversion),0)))</f>
        <v>0</v>
      </c>
      <c r="Y19" s="929">
        <f t="shared" si="3"/>
        <v>0</v>
      </c>
      <c r="AD19" s="1901"/>
      <c r="AE19" s="1901"/>
      <c r="AF19" s="1901">
        <f>(MIN(C42,D42)*time_tot+ABS(D42-C42)*IF(D42&gt;C42,time2+time*(VLOOKUP(E42,List!$E$35:$F$37,2,)),time*(1-(VLOOKUP(E42,List!$E$35:$F$37,2,)))))*W17*methane/1000</f>
        <v>0</v>
      </c>
      <c r="AG19" s="1901">
        <f>(MIN(C42,F42)*time_tot+ABS(F42-C42)*IF(F42&gt;C42,time2+time*(VLOOKUP(G42,List!$E$35:$F$37,2,)),time*(1-(VLOOKUP(G42,List!$E$35:$F$37,2,)))))*W17*methane/1000</f>
        <v>0</v>
      </c>
      <c r="AH19" s="1901">
        <f>(MIN(C42,D42)*time_tot+ABS(D42-C42)*IF(D42&gt;C42,time2+time*(VLOOKUP(E42,List!$E$35:$F$37,2,)),time*(1-(VLOOKUP(E42,List!$E$35:$F$37,2,)))))*X17*Nitrous/1000</f>
        <v>0</v>
      </c>
      <c r="AI19" s="1901">
        <f>(MIN(C42,F42)*time_tot+ABS(F42-C42)*IF(F42&gt;C42,time2+time*(VLOOKUP(G42,List!$E$35:$F$37,2,)),time*(1-(VLOOKUP(G42,List!$E$35:$F$37,2,)))))*X17*Nitrous/1000</f>
        <v>0</v>
      </c>
      <c r="AJ19" s="1901"/>
      <c r="AK19" s="1914">
        <f>-$V17*((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L19" s="1914">
        <f>-$V17*((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M19" s="1914">
        <f>(MIN(C42,D42)*time+ABS(D42-C42)*IF(D42&gt;C42,time*(VLOOKUP(E42,List!$E$35:$F$37,2,)),time*(1-(VLOOKUP(E42,List!$E$35:$F$37,2,)))))*W17*methane/1000</f>
        <v>0</v>
      </c>
      <c r="AN19" s="1914">
        <f>(MIN(C42,F42)*time+ABS(F42-C42)*IF(F42&gt;C42,time*(VLOOKUP(G42,List!$E$35:$F$37,2,)),time*(1-(VLOOKUP(G42,List!$E$35:$F$37,2,)))))*W17*methane/1000</f>
        <v>0</v>
      </c>
      <c r="AO19" s="1914">
        <f>(MIN(C42,D42)*time+ABS(D42-C42)*IF(D42&gt;C42,time*(VLOOKUP(E42,List!$E$35:$F$37,2,)),time*(1-(VLOOKUP(E42,List!$E$35:$F$37,2,)))))*X17*Nitrous/1000</f>
        <v>0</v>
      </c>
      <c r="AP19" s="1914">
        <f>(MIN(C42,F42)*time+ABS(F42-C42)*IF(F42&gt;C42,time*(VLOOKUP(G42,List!$E$35:$F$37,2,)),time*(1-(VLOOKUP(G42,List!$E$35:$F$37,2,)))))*X17*Nitrous/1000</f>
        <v>0</v>
      </c>
      <c r="AQ19" s="1915" t="s">
        <v>23</v>
      </c>
      <c r="AR19" s="1915" t="s">
        <v>674</v>
      </c>
      <c r="AS19" s="1901" t="s">
        <v>675</v>
      </c>
      <c r="AT19" s="1901"/>
      <c r="AU19" s="1901"/>
      <c r="AV19" s="1901"/>
      <c r="AW19" s="1901"/>
      <c r="AX19" s="1901"/>
    </row>
    <row r="20" spans="2:52" ht="13.5" thickBot="1">
      <c r="B20" s="88" t="s">
        <v>1132</v>
      </c>
      <c r="C20" s="896"/>
      <c r="D20" s="894" t="s">
        <v>354</v>
      </c>
      <c r="E20" s="888"/>
      <c r="F20" s="888"/>
      <c r="G20" s="1813" t="str">
        <f>'3.Cropland'!E29</f>
        <v>?</v>
      </c>
      <c r="H20" s="1813" t="str">
        <f>'3.Cropland'!F29</f>
        <v>?</v>
      </c>
      <c r="I20" s="1813" t="str">
        <f>'3.Cropland'!G29</f>
        <v>?</v>
      </c>
      <c r="J20" s="1813" t="str">
        <f>'3.Cropland'!I29</f>
        <v>?</v>
      </c>
      <c r="K20" s="1813" t="str">
        <f>'3.Cropland'!J29</f>
        <v>?</v>
      </c>
      <c r="L20" s="1813" t="str">
        <f>IF('3.Cropland'!G29="Yes","Retained",'3.Cropland'!L29:M29)</f>
        <v>Please select</v>
      </c>
      <c r="M20" s="3472" t="e">
        <f t="shared" si="1"/>
        <v>#N/A</v>
      </c>
      <c r="N20" s="1814">
        <f>'3.Cropland'!O29</f>
        <v>0</v>
      </c>
      <c r="O20" s="2701"/>
      <c r="P20" s="147">
        <f>IF(G20="yes",HLOOKUP(clim_simple,' IPCC'!$A$598:$F$603,2,),0)</f>
        <v>0</v>
      </c>
      <c r="Q20" s="197">
        <f>IF(H20="yes",HLOOKUP(clim_simple,' IPCC'!$A$598:$F$603,3,),0)</f>
        <v>0</v>
      </c>
      <c r="R20" s="197">
        <f>IF(I20="yes",HLOOKUP(clim_simple,' IPCC'!$A$598:$F$603,4,),0)</f>
        <v>0</v>
      </c>
      <c r="S20" s="197">
        <f>IF(J20="yes",HLOOKUP(clim_simple,' IPCC'!$A$598:$F$603,5,),0)</f>
        <v>0</v>
      </c>
      <c r="T20" s="197">
        <f>IF(K20="yes",HLOOKUP(clim_simple,' IPCC'!$A$598:$F$603,6,),0)</f>
        <v>0</v>
      </c>
      <c r="U20" s="298">
        <f t="shared" si="0"/>
        <v>0</v>
      </c>
      <c r="V20" s="2178">
        <f>IF('3.Cropland'!G141="",'3.Cropland'!F141,'3.Cropland'!G141)</f>
        <v>0</v>
      </c>
      <c r="W20" s="147">
        <f>(IF($L20="Burned",$M20*$AA$17,0)*$Z$17)+(IF(AND('3.Cropland'!O141="Burned",M74&lt;&gt;"None"), Annual!Q74*Annual!$AA$17,0)*Annual!$Z$17)</f>
        <v>0</v>
      </c>
      <c r="X20" s="205">
        <f>IF($L20="Burned",($M20*$AB$17*$Z$17),IF(L20="Retained",(K74*$AC$17*N2O_N_conversion),0))+IF(Annual!M74="None",0,IF('3.Cropland'!O141="Burned",(Annual!Q74*$AB$17*$Z$17),IF('3.Cropland'!O141="Retained",(Annual!U74*$AC$17*N2O_N_conversion),0)))</f>
        <v>0</v>
      </c>
      <c r="Y20" s="929">
        <f t="shared" si="3"/>
        <v>0</v>
      </c>
      <c r="AD20" s="1901"/>
      <c r="AE20" s="1901"/>
      <c r="AF20" s="1901">
        <f>(MIN(C43,D43)*time_tot+ABS(D43-C43)*IF(D43&gt;C43,time2+time*(VLOOKUP(E43,List!$E$35:$F$37,2,)),time*(1-(VLOOKUP(E43,List!$E$35:$F$37,2,)))))*W18*methane/1000</f>
        <v>0</v>
      </c>
      <c r="AG20" s="1901">
        <f>(MIN(C43,F43)*time_tot+ABS(F43-C43)*IF(F43&gt;C43,time2+time*(VLOOKUP(G43,List!$E$35:$F$37,2,)),time*(1-(VLOOKUP(G43,List!$E$35:$F$37,2,)))))*W18*methane/1000</f>
        <v>0</v>
      </c>
      <c r="AH20" s="1901">
        <f>(MIN(C43,D43)*time_tot+ABS(D43-C43)*IF(D43&gt;C43,time2+time*(VLOOKUP(E43,List!$E$35:$F$37,2,)),time*(1-(VLOOKUP(E43,List!$E$35:$F$37,2,)))))*X18*Nitrous/1000</f>
        <v>0</v>
      </c>
      <c r="AI20" s="1901">
        <f>(MIN(C43,F43)*time_tot+ABS(F43-C43)*IF(F43&gt;C43,time2+time*(VLOOKUP(G43,List!$E$35:$F$37,2,)),time*(1-(VLOOKUP(G43,List!$E$35:$F$37,2,)))))*X18*Nitrous/1000</f>
        <v>0</v>
      </c>
      <c r="AJ20" s="1901"/>
      <c r="AK20" s="1914">
        <f>-$V18*((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L20" s="1914">
        <f>-$V18*((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M20" s="1914">
        <f>(MIN(C43,D43)*time+ABS(D43-C43)*IF(D43&gt;C43,time*(VLOOKUP(E43,List!$E$35:$F$37,2,)),time*(1-(VLOOKUP(E43,List!$E$35:$F$37,2,)))))*W18*methane/1000</f>
        <v>0</v>
      </c>
      <c r="AN20" s="1914">
        <f>(MIN(C43,F43)*time+ABS(F43-C43)*IF(F43&gt;C43,time*(VLOOKUP(G43,List!$E$35:$F$37,2,)),time*(1-(VLOOKUP(G43,List!$E$35:$F$37,2,)))))*W18*methane/1000</f>
        <v>0</v>
      </c>
      <c r="AO20" s="1914">
        <f>(MIN(C43,D43)*time+ABS(D43-C43)*IF(D43&gt;C43,time*(VLOOKUP(E43,List!$E$35:$F$37,2,)),time*(1-(VLOOKUP(E43,List!$E$35:$F$37,2,)))))*X18*Nitrous/1000</f>
        <v>0</v>
      </c>
      <c r="AP20" s="1914">
        <f>(MIN(C43,F43)*time+ABS(F43-C43)*IF(F43&gt;C43,time*(VLOOKUP(G43,List!$E$35:$F$37,2,)),time*(1-(VLOOKUP(G43,List!$E$35:$F$37,2,)))))*X18*Nitrous/1000</f>
        <v>0</v>
      </c>
      <c r="AQ20" s="1915" t="s">
        <v>24</v>
      </c>
      <c r="AR20" s="1915">
        <v>0</v>
      </c>
      <c r="AS20" s="1901">
        <v>0</v>
      </c>
      <c r="AT20" s="1901"/>
      <c r="AU20" s="1901"/>
      <c r="AV20" s="1901"/>
      <c r="AW20" s="1901"/>
      <c r="AX20" s="1901"/>
    </row>
    <row r="21" spans="2:52" ht="13.5" thickBot="1">
      <c r="B21" s="88" t="s">
        <v>1133</v>
      </c>
      <c r="C21" s="896"/>
      <c r="D21" s="894" t="s">
        <v>354</v>
      </c>
      <c r="E21" s="888"/>
      <c r="F21" s="888"/>
      <c r="G21" s="1813" t="str">
        <f>'3.Cropland'!E30</f>
        <v>?</v>
      </c>
      <c r="H21" s="1813" t="str">
        <f>'3.Cropland'!F30</f>
        <v>?</v>
      </c>
      <c r="I21" s="1813" t="str">
        <f>'3.Cropland'!G30</f>
        <v>?</v>
      </c>
      <c r="J21" s="1813" t="str">
        <f>'3.Cropland'!I30</f>
        <v>?</v>
      </c>
      <c r="K21" s="1813" t="str">
        <f>'3.Cropland'!J30</f>
        <v>?</v>
      </c>
      <c r="L21" s="1813" t="str">
        <f>IF('3.Cropland'!G30="Yes","Retained",'3.Cropland'!L30:M30)</f>
        <v>Please select</v>
      </c>
      <c r="M21" s="3472" t="e">
        <f t="shared" si="1"/>
        <v>#N/A</v>
      </c>
      <c r="N21" s="1814">
        <f>'3.Cropland'!O30</f>
        <v>0</v>
      </c>
      <c r="O21" s="2701"/>
      <c r="P21" s="147">
        <f>IF(G21="yes",HLOOKUP(clim_simple,' IPCC'!$A$598:$F$603,2,),0)</f>
        <v>0</v>
      </c>
      <c r="Q21" s="197">
        <f>IF(H21="yes",HLOOKUP(clim_simple,' IPCC'!$A$598:$F$603,3,),0)</f>
        <v>0</v>
      </c>
      <c r="R21" s="197">
        <f>IF(I21="yes",HLOOKUP(clim_simple,' IPCC'!$A$598:$F$603,4,),0)</f>
        <v>0</v>
      </c>
      <c r="S21" s="197">
        <f>IF(J21="yes",HLOOKUP(clim_simple,' IPCC'!$A$598:$F$603,5,),0)</f>
        <v>0</v>
      </c>
      <c r="T21" s="197">
        <f>IF(K21="yes",HLOOKUP(clim_simple,' IPCC'!$A$598:$F$603,6,),0)</f>
        <v>0</v>
      </c>
      <c r="U21" s="298">
        <f t="shared" si="0"/>
        <v>0</v>
      </c>
      <c r="V21" s="2178">
        <f>IF('3.Cropland'!G142="",'3.Cropland'!F142,'3.Cropland'!G142)</f>
        <v>0</v>
      </c>
      <c r="W21" s="147">
        <f>(IF($L21="Burned",$M21*$AA$17,0)*$Z$17)+(IF(AND('3.Cropland'!O142="Burned",M75&lt;&gt;"None"), Annual!Q75*Annual!$AA$17,0)*Annual!$Z$17)</f>
        <v>0</v>
      </c>
      <c r="X21" s="205">
        <f>IF($L21="Burned",($M21*$AB$17*$Z$17),IF(L21="Retained",(K75*$AC$17*N2O_N_conversion),0))+IF(Annual!M75="None",0,IF('3.Cropland'!O142="Burned",(Annual!Q75*$AB$17*$Z$17),IF('3.Cropland'!O142="Retained",(Annual!U75*$AC$17*N2O_N_conversion),0)))</f>
        <v>0</v>
      </c>
      <c r="Y21" s="929">
        <f t="shared" si="3"/>
        <v>0</v>
      </c>
      <c r="AD21" s="1901"/>
      <c r="AE21" s="1901"/>
      <c r="AF21" s="1901">
        <f>(MIN(C44,D44)*time_tot+ABS(D44-C44)*IF(D44&gt;C44,time2+time*(VLOOKUP(E44,List!$E$35:$F$37,2,)),time*(1-(VLOOKUP(E44,List!$E$35:$F$37,2,)))))*W19*methane/1000</f>
        <v>0</v>
      </c>
      <c r="AG21" s="1901">
        <f>(MIN(C44,F44)*time_tot+ABS(F44-C44)*IF(F44&gt;C44,time2+time*(VLOOKUP(G44,List!$E$35:$F$37,2,)),time*(1-(VLOOKUP(G44,List!$E$35:$F$37,2,)))))*W19*methane/1000</f>
        <v>0</v>
      </c>
      <c r="AH21" s="1901">
        <f>(MIN(C44,D44)*time_tot+ABS(D44-C44)*IF(D44&gt;C44,time2+time*(VLOOKUP(E44,List!$E$35:$F$37,2,)),time*(1-(VLOOKUP(E44,List!$E$35:$F$37,2,)))))*X19*Nitrous/1000</f>
        <v>0</v>
      </c>
      <c r="AI21" s="1901">
        <f>(MIN(C44,F44)*time_tot+ABS(F44-C44)*IF(F44&gt;C44,time2+time*(VLOOKUP(G44,List!$E$35:$F$37,2,)),time*(1-(VLOOKUP(G44,List!$E$35:$F$37,2,)))))*X19*Nitrous/1000</f>
        <v>0</v>
      </c>
      <c r="AJ21" s="1901"/>
      <c r="AK21" s="1914">
        <f>-$V19*((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L21" s="1914">
        <f>-$V19*((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M21" s="1914">
        <f>(MIN(C44,D44)*time+ABS(D44-C44)*IF(D44&gt;C44,time*(VLOOKUP(E44,List!$E$35:$F$37,2,)),time*(1-(VLOOKUP(E44,List!$E$35:$F$37,2,)))))*W19*methane/1000</f>
        <v>0</v>
      </c>
      <c r="AN21" s="1914">
        <f>(MIN(C44,F44)*time+ABS(F44-C44)*IF(F44&gt;C44,time*(VLOOKUP(G44,List!$E$35:$F$37,2,)),time*(1-(VLOOKUP(G44,List!$E$35:$F$37,2,)))))*W19*methane/1000</f>
        <v>0</v>
      </c>
      <c r="AO21" s="1914">
        <f>(MIN(C44,D44)*time+ABS(D44-C44)*IF(D44&gt;C44,time*(VLOOKUP(E44,List!$E$35:$F$37,2,)),time*(1-(VLOOKUP(E44,List!$E$35:$F$37,2,)))))*X19*Nitrous/1000</f>
        <v>0</v>
      </c>
      <c r="AP21" s="1914">
        <f>(MIN(C44,F44)*time+ABS(F44-C44)*IF(F44&gt;C44,time*(VLOOKUP(G44,List!$E$35:$F$37,2,)),time*(1-(VLOOKUP(G44,List!$E$35:$F$37,2,)))))*X19*Nitrous/1000</f>
        <v>0</v>
      </c>
      <c r="AQ21" s="1915" t="s">
        <v>25</v>
      </c>
      <c r="AR21" s="1915">
        <f>SUM(H34:H47)</f>
        <v>0</v>
      </c>
      <c r="AS21" s="1901">
        <f>SUM(I34:I47)</f>
        <v>0</v>
      </c>
      <c r="AT21" s="1901"/>
      <c r="AU21" s="1901"/>
      <c r="AV21" s="1901"/>
      <c r="AW21" s="1901"/>
      <c r="AX21" s="1901"/>
    </row>
    <row r="22" spans="2:52" ht="13.5" thickBot="1">
      <c r="B22" s="162" t="s">
        <v>1134</v>
      </c>
      <c r="C22" s="897"/>
      <c r="D22" s="895" t="s">
        <v>354</v>
      </c>
      <c r="E22" s="887"/>
      <c r="F22" s="887"/>
      <c r="G22" s="1813" t="str">
        <f>'3.Cropland'!E31</f>
        <v>?</v>
      </c>
      <c r="H22" s="1813" t="str">
        <f>'3.Cropland'!F31</f>
        <v>?</v>
      </c>
      <c r="I22" s="1813" t="str">
        <f>'3.Cropland'!G31</f>
        <v>?</v>
      </c>
      <c r="J22" s="1813" t="str">
        <f>'3.Cropland'!I31</f>
        <v>?</v>
      </c>
      <c r="K22" s="1813" t="str">
        <f>'3.Cropland'!J31</f>
        <v>?</v>
      </c>
      <c r="L22" s="1813" t="str">
        <f>IF('3.Cropland'!G31="Yes","Retained",'3.Cropland'!L31:M31)</f>
        <v>Please select</v>
      </c>
      <c r="M22" s="3472" t="e">
        <f t="shared" si="1"/>
        <v>#N/A</v>
      </c>
      <c r="N22" s="1814">
        <f>'3.Cropland'!O31</f>
        <v>0</v>
      </c>
      <c r="O22" s="2701"/>
      <c r="P22" s="148">
        <f>IF(G22="yes",HLOOKUP(clim_simple,' IPCC'!$A$598:$F$603,2,),0)</f>
        <v>0</v>
      </c>
      <c r="Q22" s="198">
        <f>IF(H22="yes",HLOOKUP(clim_simple,' IPCC'!$A$598:$F$603,3,),0)</f>
        <v>0</v>
      </c>
      <c r="R22" s="198">
        <f>IF(I22="yes",HLOOKUP(clim_simple,' IPCC'!$A$598:$F$603,4,),0)</f>
        <v>0</v>
      </c>
      <c r="S22" s="198">
        <f>IF(J22="yes",HLOOKUP(clim_simple,' IPCC'!$A$598:$F$603,5,),0)</f>
        <v>0</v>
      </c>
      <c r="T22" s="198">
        <f>IF(K22="yes",HLOOKUP(clim_simple,' IPCC'!$A$598:$F$603,6,),0)</f>
        <v>0</v>
      </c>
      <c r="U22" s="299">
        <f t="shared" si="0"/>
        <v>0</v>
      </c>
      <c r="V22" s="2612">
        <f>IF('3.Cropland'!G143="",'3.Cropland'!F143,'3.Cropland'!G143)</f>
        <v>0</v>
      </c>
      <c r="W22" s="148">
        <f>(IF($L22="Burned",$M22*$AA$17,0)*$Z$17)+(IF(AND('3.Cropland'!O143="Burned",M76&lt;&gt;"None"), Annual!Q76*Annual!$AA$17,0)*Annual!$Z$17)</f>
        <v>0</v>
      </c>
      <c r="X22" s="205">
        <f>IF($L22="Burned",($M22*$AB$17*$Z$17),IF(L22="Retained",(K76*$AC$17*N2O_N_conversion),0))+IF(Annual!M76="None",0,IF('3.Cropland'!O143="Burned",(Annual!Q76*$AB$17*$Z$17),IF('3.Cropland'!O143="Retained",(Annual!U76*$AC$17*N2O_N_conversion),0)))</f>
        <v>0</v>
      </c>
      <c r="Y22" s="930">
        <f t="shared" si="3"/>
        <v>0</v>
      </c>
      <c r="AD22" s="1901"/>
      <c r="AE22" s="1901"/>
      <c r="AF22" s="1901">
        <f>(MIN(C45,D45)*time_tot+ABS(D45-C45)*IF(D45&gt;C45,time2+time*(VLOOKUP(E45,List!$E$35:$F$37,2,)),time*(1-(VLOOKUP(E45,List!$E$35:$F$37,2,)))))*W20*methane/1000</f>
        <v>0</v>
      </c>
      <c r="AG22" s="1901">
        <f>(MIN(C45,F45)*time_tot+ABS(F45-C45)*IF(F45&gt;C45,time2+time*(VLOOKUP(G45,List!$E$35:$F$37,2,)),time*(1-(VLOOKUP(G45,List!$E$35:$F$37,2,)))))*W20*methane/1000</f>
        <v>0</v>
      </c>
      <c r="AH22" s="1901">
        <f>(MIN(C45,D45)*time_tot+ABS(D45-C45)*IF(D45&gt;C45,time2+time*(VLOOKUP(E45,List!$E$35:$F$37,2,)),time*(1-(VLOOKUP(E45,List!$E$35:$F$37,2,)))))*X20*Nitrous/1000</f>
        <v>0</v>
      </c>
      <c r="AI22" s="1901">
        <f>(MIN(C45,F45)*time_tot+ABS(F45-C45)*IF(F45&gt;C45,time2+time*(VLOOKUP(G45,List!$E$35:$F$37,2,)),time*(1-(VLOOKUP(G45,List!$E$35:$F$37,2,)))))*X20*Nitrous/1000</f>
        <v>0</v>
      </c>
      <c r="AJ22" s="1901"/>
      <c r="AK22" s="1914">
        <f>-$V20*((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L22" s="1914">
        <f>-$V20*((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M22" s="1914">
        <f>(MIN(C45,D45)*time+ABS(D45-C45)*IF(D45&gt;C45,time*(VLOOKUP(E45,List!$E$35:$F$37,2,)),time*(1-(VLOOKUP(E45,List!$E$35:$F$37,2,)))))*W20*methane/1000</f>
        <v>0</v>
      </c>
      <c r="AN22" s="1914">
        <f>(MIN(C45,F45)*time+ABS(F45-C45)*IF(F45&gt;C45,time*(VLOOKUP(G45,List!$E$35:$F$37,2,)),time*(1-(VLOOKUP(G45,List!$E$35:$F$37,2,)))))*W20*methane/1000</f>
        <v>0</v>
      </c>
      <c r="AO22" s="1914">
        <f>(MIN(C45,D45)*time+ABS(D45-C45)*IF(D45&gt;C45,time*(VLOOKUP(E45,List!$E$35:$F$37,2,)),time*(1-(VLOOKUP(E45,List!$E$35:$F$37,2,)))))*X20*Nitrous/1000</f>
        <v>0</v>
      </c>
      <c r="AP22" s="1914">
        <f>(MIN(C45,F45)*time+ABS(F45-C45)*IF(F45&gt;C45,time*(VLOOKUP(G45,List!$E$35:$F$37,2,)),time*(1-(VLOOKUP(G45,List!$E$35:$F$37,2,)))))*X20*Nitrous/1000</f>
        <v>0</v>
      </c>
      <c r="AQ22" s="1915" t="s">
        <v>332</v>
      </c>
      <c r="AR22" s="1915">
        <f>SUM(AF11:AF24)</f>
        <v>0</v>
      </c>
      <c r="AS22" s="1901">
        <f>SUM(AG11:AG24)</f>
        <v>0</v>
      </c>
      <c r="AT22" s="1901"/>
      <c r="AU22" s="1901"/>
      <c r="AV22" s="1901"/>
      <c r="AW22" s="1901"/>
      <c r="AX22" s="1901"/>
    </row>
    <row r="23" spans="2:52">
      <c r="E23" s="568" t="s">
        <v>1268</v>
      </c>
      <c r="G23" s="199" t="s">
        <v>1049</v>
      </c>
      <c r="H23" s="889"/>
      <c r="I23" s="889"/>
      <c r="J23" s="200"/>
      <c r="M23" s="214" t="s">
        <v>624</v>
      </c>
      <c r="O23" s="2701"/>
      <c r="P23" s="1" t="s">
        <v>840</v>
      </c>
      <c r="X23" s="1"/>
      <c r="Y23" s="9"/>
      <c r="AD23" s="1901"/>
      <c r="AE23" s="1901"/>
      <c r="AF23" s="1901">
        <f>(MIN(C46,D46)*time_tot+ABS(D46-C46)*IF(D46&gt;C46,time2+time*(VLOOKUP(E46,List!$E$35:$F$37,2,)),time*(1-(VLOOKUP(E46,List!$E$35:$F$37,2,)))))*W21*methane/1000</f>
        <v>0</v>
      </c>
      <c r="AG23" s="1901">
        <f>(MIN(C46,F46)*time_tot+ABS(F46-C46)*IF(F46&gt;C46,time2+time*(VLOOKUP(G46,List!$E$35:$F$37,2,)),time*(1-(VLOOKUP(G46,List!$E$35:$F$37,2,)))))*W21*methane/1000</f>
        <v>0</v>
      </c>
      <c r="AH23" s="1901">
        <f>(MIN(C46,D46)*time_tot+ABS(D46-C46)*IF(D46&gt;C46,time2+time*(VLOOKUP(E46,List!$E$35:$F$37,2,)),time*(1-(VLOOKUP(E46,List!$E$35:$F$37,2,)))))*X21*Nitrous/1000</f>
        <v>0</v>
      </c>
      <c r="AI23" s="1901">
        <f>(MIN(C46,F46)*time_tot+ABS(F46-C46)*IF(F46&gt;C46,time2+time*(VLOOKUP(G46,List!$E$35:$F$37,2,)),time*(1-(VLOOKUP(G46,List!$E$35:$F$37,2,)))))*X21*Nitrous/1000</f>
        <v>0</v>
      </c>
      <c r="AJ23" s="1901"/>
      <c r="AK23" s="1914">
        <f>-$V21*((MIN($C46,D46)*MIN(20,time))+IF(E46="immediate",IF(D46&gt;$C46,D46*MIN(20,time),0),IF($C46&gt;D46,($C46-D46)*IF(time&gt;20,IF(E46="linear",time-((time-20)^2)/(2*time),(0.215*time)-(time/4.6)*(EXP(-92.1/time)-0.01)),time*(1-VLOOKUP(E46,List!$E$35:$F$37,2,))),(D46-$C46)*IF(time&gt;time+20,20,IF(time&lt;20,(time*VLOOKUP(E46,List!$E$35:$F$37,2,))+(time-time),((MIN(20,time)*VLOOKUP(E46,List!$E$35:$F$37,2,))+(time-MIN(20,time))-IF(E46="exponential",time-20+0.217*time*(EXP(4.606*(20-time)/time)-1),((time-20)^2)*(0.5/time))))))))</f>
        <v>0</v>
      </c>
      <c r="AL23" s="1914">
        <f>-$V21*((MIN($C46,F46)*MIN(20,time))+IF(G46="immediate",IF(F46&gt;$C46,F46*MIN(20,time),0),IF($C46&gt;F46,($C46-F46)*IF(time&gt;20,IF(G46="linear",time-((time-20)^2)/(2*time),(0.215*time)-(time/4.6)*(EXP(-92.1/time)-0.01)),time*(1-VLOOKUP(G46,List!$E$35:$F$37,2,))),(F46-$C46)*IF(time&gt;time+20,20,IF(time&lt;20,(time*VLOOKUP(G46,List!$E$35:$F$37,2,))+(time-time),((MIN(20,time)*VLOOKUP(G46,List!$E$35:$F$37,2,))+(time-MIN(20,time))-IF(G46="exponential",time-20+0.217*time*(EXP(4.606*(20-time)/time)-1),((time-20)^2)*(0.5/time))))))))</f>
        <v>0</v>
      </c>
      <c r="AM23" s="1914">
        <f>(MIN(C46,D46)*time+ABS(D46-C46)*IF(D46&gt;C46,time*(VLOOKUP(E46,List!$E$35:$F$37,2,)),time*(1-(VLOOKUP(E46,List!$E$35:$F$37,2,)))))*W21*methane/1000</f>
        <v>0</v>
      </c>
      <c r="AN23" s="1914">
        <f>(MIN(C46,F46)*time+ABS(F46-C46)*IF(F46&gt;C46,time*(VLOOKUP(G46,List!$E$35:$F$37,2,)),time*(1-(VLOOKUP(G46,List!$E$35:$F$37,2,)))))*W21*methane/1000</f>
        <v>0</v>
      </c>
      <c r="AO23" s="1914">
        <f>(MIN(C46,D46)*time+ABS(D46-C46)*IF(D46&gt;C46,time*(VLOOKUP(E46,List!$E$35:$F$37,2,)),time*(1-(VLOOKUP(E46,List!$E$35:$F$37,2,)))))*X21*Nitrous/1000</f>
        <v>0</v>
      </c>
      <c r="AP23" s="1914">
        <f>(MIN(C46,F46)*time+ABS(F46-C46)*IF(F46&gt;C46,time*(VLOOKUP(G46,List!$E$35:$F$37,2,)),time*(1-(VLOOKUP(G46,List!$E$35:$F$37,2,)))))*X21*Nitrous/1000</f>
        <v>0</v>
      </c>
      <c r="AQ23" s="1915" t="s">
        <v>333</v>
      </c>
      <c r="AR23" s="1915">
        <f>SUM(AH11:AH24)</f>
        <v>0</v>
      </c>
      <c r="AS23" s="1901">
        <f>SUM(AI11:AI24)</f>
        <v>0</v>
      </c>
      <c r="AT23" s="1901"/>
      <c r="AU23" s="1901"/>
      <c r="AV23" s="1901"/>
      <c r="AW23" s="1901"/>
      <c r="AX23" s="1901"/>
    </row>
    <row r="24" spans="2:52">
      <c r="G24" s="200" t="s">
        <v>595</v>
      </c>
      <c r="H24" s="200"/>
      <c r="I24" s="200" t="s">
        <v>596</v>
      </c>
      <c r="J24" s="200"/>
      <c r="P24" s="568" t="s">
        <v>1268</v>
      </c>
      <c r="X24" s="1"/>
      <c r="Y24" s="9"/>
      <c r="AD24" s="1901"/>
      <c r="AE24" s="1901"/>
      <c r="AF24" s="1901">
        <f>(MIN(C47,D47)*time_tot+ABS(D47-C47)*IF(D47&gt;C47,time2+time*(VLOOKUP(E47,List!$E$35:$F$37,2,)),time*(1-(VLOOKUP(E47,List!$E$35:$F$37,2,)))))*W22*methane/1000</f>
        <v>0</v>
      </c>
      <c r="AG24" s="1901">
        <f>(MIN(C47,F47)*time_tot+ABS(F47-C47)*IF(F47&gt;C47,time2+time*(VLOOKUP(G47,List!$E$35:$F$37,2,)),time*(1-(VLOOKUP(G47,List!$E$35:$F$37,2,)))))*W22*methane/1000</f>
        <v>0</v>
      </c>
      <c r="AH24" s="1901">
        <f>(MIN(C47,D47)*time_tot+ABS(D47-C47)*IF(D47&gt;C47,time2+time*(VLOOKUP(E47,List!$E$35:$F$37,2,)),time*(1-(VLOOKUP(E47,List!$E$35:$F$37,2,)))))*X22*Nitrous/1000</f>
        <v>0</v>
      </c>
      <c r="AI24" s="1901">
        <f>(MIN(C47,F47)*time_tot+ABS(F47-C47)*IF(F47&gt;C47,time2+time*(VLOOKUP(G47,List!$E$35:$F$37,2,)),time*(1-(VLOOKUP(G47,List!$E$35:$F$37,2,)))))*X22*Nitrous/1000</f>
        <v>0</v>
      </c>
      <c r="AJ24" s="1901"/>
      <c r="AK24" s="1914">
        <f>-$V22*((MIN($C47,D47)*MIN(20,time))+IF(E47="immediate",IF(D47&gt;$C47,D47*MIN(20,time),0),IF($C47&gt;D47,($C47-D47)*IF(time&gt;20,IF(E47="linear",time-((time-20)^2)/(2*time),(0.215*time)-(time/4.6)*(EXP(-92.1/time)-0.01)),time*(1-VLOOKUP(E47,List!$E$35:$F$37,2,))),(D47-$C47)*IF(time&gt;time+20,20,IF(time&lt;20,(time*VLOOKUP(E47,List!$E$35:$F$37,2,))+(time-time),((MIN(20,time)*VLOOKUP(E47,List!$E$35:$F$37,2,))+(time-MIN(20,time))-IF(E47="exponential",time-20+0.217*time*(EXP(4.606*(20-time)/time)-1),((time-20)^2)*(0.5/time))))))))</f>
        <v>0</v>
      </c>
      <c r="AL24" s="1914">
        <f>-$V22*((MIN($C47,F47)*MIN(20,time))+IF(G47="immediate",IF(F47&gt;$C47,F47*MIN(20,time),0),IF($C47&gt;F47,($C47-F47)*IF(time&gt;20,IF(G47="linear",time-((time-20)^2)/(2*time),(0.215*time)-(time/4.6)*(EXP(-92.1/time)-0.01)),time*(1-VLOOKUP(G47,List!$E$35:$F$37,2,))),(F47-$C47)*IF(time&gt;time+20,20,IF(time&lt;20,(time*VLOOKUP(G47,List!$E$35:$F$37,2,))+(time-time),((MIN(20,time)*VLOOKUP(G47,List!$E$35:$F$37,2,))+(time-MIN(20,time))-IF(G47="exponential",time-20+0.217*time*(EXP(4.606*(20-time)/time)-1),((time-20)^2)*(0.5/time))))))))</f>
        <v>0</v>
      </c>
      <c r="AM24" s="1914">
        <f>(MIN(C47,D47)*time+ABS(D47-C47)*IF(D47&gt;C47,time*(VLOOKUP(E47,List!$E$35:$F$37,2,)),time*(1-(VLOOKUP(E47,List!$E$35:$F$37,2,)))))*W22*methane/1000</f>
        <v>0</v>
      </c>
      <c r="AN24" s="1914">
        <f>(MIN(C47,F47)*time+ABS(F47-C47)*IF(F47&gt;C47,time*(VLOOKUP(G47,List!$E$35:$F$37,2,)),time*(1-(VLOOKUP(G47,List!$E$35:$F$37,2,)))))*W22*methane/1000</f>
        <v>0</v>
      </c>
      <c r="AO24" s="1914">
        <f>(MIN(C47,D47)*time+ABS(D47-C47)*IF(D47&gt;C47,time*(VLOOKUP(E47,List!$E$35:$F$37,2,)),time*(1-(VLOOKUP(E47,List!$E$35:$F$37,2,)))))*X22*Nitrous/1000</f>
        <v>0</v>
      </c>
      <c r="AP24" s="1914">
        <f>(MIN(C47,F47)*time+ABS(F47-C47)*IF(F47&gt;C47,time*(VLOOKUP(G47,List!$E$35:$F$37,2,)),time*(1-(VLOOKUP(G47,List!$E$35:$F$37,2,)))))*X22*Nitrous/1000</f>
        <v>0</v>
      </c>
      <c r="AQ24" s="1901" t="s">
        <v>3962</v>
      </c>
      <c r="AR24" s="1915">
        <f>SUM(AR20:AR23)</f>
        <v>0</v>
      </c>
      <c r="AS24" s="1915">
        <f>SUM(AS20:AS23)</f>
        <v>0</v>
      </c>
      <c r="AT24" s="1901"/>
      <c r="AU24" s="1901"/>
      <c r="AV24" s="1901"/>
      <c r="AW24" s="1901"/>
      <c r="AX24" s="1901"/>
    </row>
    <row r="25" spans="2:52">
      <c r="G25" s="200" t="s">
        <v>597</v>
      </c>
      <c r="H25" s="200"/>
      <c r="I25" s="200" t="s">
        <v>598</v>
      </c>
      <c r="J25" s="200"/>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row>
    <row r="26" spans="2:52">
      <c r="G26" s="200" t="s">
        <v>589</v>
      </c>
      <c r="H26" s="200"/>
      <c r="I26" s="200" t="s">
        <v>679</v>
      </c>
      <c r="J26" s="200"/>
      <c r="X26" s="3476"/>
      <c r="AD26" s="1901"/>
      <c r="AE26" s="1901"/>
      <c r="AF26" s="1901"/>
      <c r="AG26" s="1901"/>
      <c r="AH26" s="1901"/>
      <c r="AI26" s="1901"/>
      <c r="AJ26" s="1901"/>
      <c r="AK26" s="1901"/>
      <c r="AL26" s="1901"/>
      <c r="AM26" s="1901"/>
      <c r="AN26" s="1901"/>
      <c r="AO26" s="1901"/>
      <c r="AP26" s="1901"/>
      <c r="AQ26" s="1901"/>
      <c r="AR26" s="1901"/>
      <c r="AS26" s="1901"/>
      <c r="AT26" s="1901"/>
      <c r="AU26" s="1901"/>
      <c r="AV26" s="1901"/>
      <c r="AW26" s="1901"/>
      <c r="AX26" s="1901"/>
    </row>
    <row r="27" spans="2:52">
      <c r="G27" s="200" t="s">
        <v>599</v>
      </c>
      <c r="H27" s="200"/>
      <c r="I27" s="200" t="s">
        <v>600</v>
      </c>
      <c r="J27" s="200"/>
      <c r="X27" s="3476"/>
      <c r="AD27" s="1901"/>
      <c r="AE27" s="1901"/>
      <c r="AF27" s="1901"/>
      <c r="AG27" s="1901"/>
      <c r="AH27" s="1901"/>
      <c r="AI27" s="1901"/>
      <c r="AJ27" s="1901"/>
      <c r="AK27" s="1901"/>
      <c r="AL27" s="1901"/>
      <c r="AM27" s="1901"/>
      <c r="AN27" s="1901"/>
      <c r="AO27" s="1901"/>
      <c r="AP27" s="1901"/>
      <c r="AQ27" s="1901"/>
      <c r="AR27" s="1901"/>
      <c r="AS27" s="1901"/>
      <c r="AT27" s="1901"/>
      <c r="AU27" s="1901"/>
      <c r="AV27" s="1901"/>
      <c r="AW27" s="1901"/>
      <c r="AX27" s="1901"/>
    </row>
    <row r="28" spans="2:52">
      <c r="G28" s="200" t="s">
        <v>587</v>
      </c>
      <c r="H28" s="200"/>
      <c r="I28" s="200" t="s">
        <v>601</v>
      </c>
      <c r="J28" s="200"/>
      <c r="AD28" s="1901"/>
      <c r="AE28" s="1901"/>
      <c r="AF28" s="1901"/>
      <c r="AG28" s="1901"/>
      <c r="AH28" s="1901"/>
      <c r="AI28" s="1901"/>
      <c r="AJ28" s="1901"/>
      <c r="AK28" s="1901"/>
      <c r="AL28" s="1901"/>
      <c r="AM28" s="1901"/>
      <c r="AN28" s="1901"/>
      <c r="AO28" s="1901"/>
      <c r="AP28" s="1901"/>
      <c r="AQ28" s="1901"/>
      <c r="AR28" s="1901"/>
      <c r="AS28" s="1901"/>
      <c r="AT28" s="1901"/>
      <c r="AU28" s="1901"/>
      <c r="AV28" s="1901"/>
      <c r="AW28" s="1901"/>
      <c r="AX28" s="1901"/>
    </row>
    <row r="29" spans="2:52">
      <c r="AD29" s="1901"/>
      <c r="AE29" s="1901"/>
      <c r="AF29" s="1901"/>
      <c r="AG29" s="1901"/>
      <c r="AH29" s="1901"/>
      <c r="AI29" s="1901"/>
      <c r="AJ29" s="1901"/>
      <c r="AK29" s="1901"/>
      <c r="AL29" s="1901"/>
      <c r="AM29" s="1901"/>
      <c r="AN29" s="1901"/>
      <c r="AO29" s="1901"/>
      <c r="AP29" s="1901"/>
      <c r="AQ29" s="1901"/>
      <c r="AR29" s="1901"/>
      <c r="AS29" s="1901"/>
      <c r="AT29" s="1901"/>
      <c r="AU29" s="1901"/>
      <c r="AV29" s="1901"/>
      <c r="AW29" s="1901"/>
      <c r="AX29" s="1901"/>
    </row>
    <row r="30" spans="2:52" ht="12.75" customHeight="1">
      <c r="B30" s="50" t="s">
        <v>603</v>
      </c>
      <c r="C30" s="53"/>
      <c r="D30" s="52"/>
      <c r="E30" s="52"/>
      <c r="F30" s="53"/>
      <c r="G30" s="54"/>
      <c r="H30" s="51"/>
      <c r="I30" s="54"/>
      <c r="J30" s="54"/>
      <c r="K30" s="54"/>
      <c r="L30" s="54"/>
      <c r="M30" s="54"/>
      <c r="N30" s="54"/>
      <c r="P30" s="2037" t="s">
        <v>1486</v>
      </c>
      <c r="Q30" s="2033"/>
      <c r="R30" s="2039"/>
      <c r="AF30" s="1903" t="s">
        <v>1558</v>
      </c>
      <c r="AG30" s="1901"/>
      <c r="AH30" s="1901"/>
      <c r="AI30" s="1901"/>
      <c r="AJ30" s="1901"/>
      <c r="AK30" s="1901"/>
      <c r="AL30" s="1903" t="s">
        <v>1559</v>
      </c>
      <c r="AM30" s="2398"/>
      <c r="AN30" s="1901"/>
      <c r="AO30" s="1901"/>
      <c r="AP30" s="1901"/>
      <c r="AQ30" s="1901"/>
      <c r="AR30" s="1903" t="s">
        <v>1560</v>
      </c>
      <c r="AS30" s="1901"/>
      <c r="AT30" s="1901"/>
      <c r="AU30" s="1901"/>
      <c r="AV30" s="1901"/>
      <c r="AW30" s="1901"/>
      <c r="AX30" s="1901"/>
      <c r="AY30" s="1901"/>
      <c r="AZ30" s="1901"/>
    </row>
    <row r="31" spans="2:52">
      <c r="B31" s="150" t="s">
        <v>1050</v>
      </c>
      <c r="C31" s="270" t="s">
        <v>604</v>
      </c>
      <c r="D31" s="135"/>
      <c r="E31" s="178"/>
      <c r="F31" s="178"/>
      <c r="G31" s="178"/>
      <c r="H31" s="133" t="s">
        <v>213</v>
      </c>
      <c r="I31" s="28"/>
      <c r="J31" s="150" t="s">
        <v>8734</v>
      </c>
      <c r="K31" s="135"/>
      <c r="L31" s="3737" t="s">
        <v>671</v>
      </c>
      <c r="M31" s="3739"/>
      <c r="N31" s="20" t="s">
        <v>343</v>
      </c>
      <c r="P31" s="2032" t="s">
        <v>1487</v>
      </c>
      <c r="Q31" s="2029"/>
      <c r="R31" s="2035"/>
      <c r="AF31" s="1901" t="s">
        <v>1561</v>
      </c>
      <c r="AG31" s="1901"/>
      <c r="AH31" s="1901"/>
      <c r="AI31" s="1901"/>
      <c r="AJ31" s="1901"/>
      <c r="AK31" s="1901"/>
      <c r="AL31" s="1901" t="str">
        <f>AF31</f>
        <v>Surface under management option</v>
      </c>
      <c r="AM31" s="1901"/>
      <c r="AN31" s="1901"/>
      <c r="AO31" s="1901"/>
      <c r="AP31" s="1901"/>
      <c r="AQ31" s="1901"/>
      <c r="AR31" s="1901" t="str">
        <f>AL31</f>
        <v>Surface under management option</v>
      </c>
      <c r="AS31" s="1901"/>
      <c r="AT31" s="1901"/>
      <c r="AU31" s="1901"/>
      <c r="AV31" s="1901"/>
      <c r="AW31" s="1901"/>
      <c r="AX31" s="1901"/>
      <c r="AY31" s="1901"/>
      <c r="AZ31" s="1901"/>
    </row>
    <row r="32" spans="2:52">
      <c r="B32" s="113" t="s">
        <v>652</v>
      </c>
      <c r="C32" s="259" t="s">
        <v>1271</v>
      </c>
      <c r="D32" s="261" t="s">
        <v>676</v>
      </c>
      <c r="E32" s="201"/>
      <c r="F32" s="202" t="s">
        <v>672</v>
      </c>
      <c r="G32" s="202"/>
      <c r="H32" s="249" t="s">
        <v>674</v>
      </c>
      <c r="I32" s="250" t="s">
        <v>675</v>
      </c>
      <c r="J32" s="1473" t="s">
        <v>674</v>
      </c>
      <c r="K32" s="1474" t="s">
        <v>675</v>
      </c>
      <c r="L32" s="1475" t="s">
        <v>674</v>
      </c>
      <c r="M32" s="1476" t="s">
        <v>675</v>
      </c>
      <c r="N32" s="171"/>
      <c r="P32" s="2036" t="s">
        <v>674</v>
      </c>
      <c r="Q32" s="2038" t="s">
        <v>675</v>
      </c>
      <c r="R32" s="2031" t="s">
        <v>343</v>
      </c>
      <c r="AF32" s="1901" t="s">
        <v>964</v>
      </c>
      <c r="AG32" s="1901" t="s">
        <v>590</v>
      </c>
      <c r="AH32" s="1901" t="s">
        <v>1265</v>
      </c>
      <c r="AI32" s="1901" t="s">
        <v>592</v>
      </c>
      <c r="AJ32" s="1901" t="s">
        <v>593</v>
      </c>
      <c r="AK32" s="1901" t="s">
        <v>663</v>
      </c>
      <c r="AL32" s="1901" t="str">
        <f>AF32</f>
        <v>Improved agro-</v>
      </c>
      <c r="AM32" s="1901" t="str">
        <f t="shared" ref="AM32:AQ33" si="4">AG32</f>
        <v>Nutrient</v>
      </c>
      <c r="AN32" s="1901" t="str">
        <f t="shared" si="4"/>
        <v>NoTillage/residues</v>
      </c>
      <c r="AO32" s="1901" t="str">
        <f t="shared" si="4"/>
        <v xml:space="preserve">Water </v>
      </c>
      <c r="AP32" s="1901" t="str">
        <f t="shared" si="4"/>
        <v>Manure</v>
      </c>
      <c r="AQ32" s="1901" t="str">
        <f t="shared" si="4"/>
        <v>Residue/Biomass</v>
      </c>
      <c r="AR32" s="1901" t="str">
        <f>AL32</f>
        <v>Improved agro-</v>
      </c>
      <c r="AS32" s="1901" t="str">
        <f t="shared" ref="AS32:AW33" si="5">AM32</f>
        <v>Nutrient</v>
      </c>
      <c r="AT32" s="1901" t="str">
        <f t="shared" si="5"/>
        <v>NoTillage/residues</v>
      </c>
      <c r="AU32" s="1901" t="str">
        <f t="shared" si="5"/>
        <v xml:space="preserve">Water </v>
      </c>
      <c r="AV32" s="1901" t="str">
        <f t="shared" si="5"/>
        <v>Manure</v>
      </c>
      <c r="AW32" s="1901" t="str">
        <f t="shared" si="5"/>
        <v>Residue/Biomass</v>
      </c>
      <c r="AX32" s="1901"/>
      <c r="AY32" s="1901" t="s">
        <v>1562</v>
      </c>
      <c r="AZ32" s="1901"/>
    </row>
    <row r="33" spans="2:52">
      <c r="B33" s="113"/>
      <c r="C33" s="898" t="s">
        <v>347</v>
      </c>
      <c r="D33" s="151" t="s">
        <v>341</v>
      </c>
      <c r="E33" s="1527" t="s">
        <v>348</v>
      </c>
      <c r="F33" s="224" t="s">
        <v>341</v>
      </c>
      <c r="G33" s="399" t="s">
        <v>348</v>
      </c>
      <c r="H33" s="146" t="s">
        <v>541</v>
      </c>
      <c r="I33" s="149" t="s">
        <v>541</v>
      </c>
      <c r="J33" s="1475" t="s">
        <v>541</v>
      </c>
      <c r="K33" s="1476" t="s">
        <v>541</v>
      </c>
      <c r="L33" s="1475" t="s">
        <v>541</v>
      </c>
      <c r="M33" s="1476" t="s">
        <v>541</v>
      </c>
      <c r="N33" s="908" t="s">
        <v>541</v>
      </c>
      <c r="P33" s="2040" t="s">
        <v>1434</v>
      </c>
      <c r="Q33" s="2041" t="s">
        <v>1434</v>
      </c>
      <c r="R33" s="2030"/>
      <c r="AF33" s="1901" t="s">
        <v>965</v>
      </c>
      <c r="AG33" s="2398" t="s">
        <v>591</v>
      </c>
      <c r="AH33" s="2398" t="s">
        <v>591</v>
      </c>
      <c r="AI33" s="2398" t="s">
        <v>591</v>
      </c>
      <c r="AJ33" s="2398" t="s">
        <v>594</v>
      </c>
      <c r="AK33" s="2398" t="s">
        <v>664</v>
      </c>
      <c r="AL33" s="1901" t="str">
        <f>AF33</f>
        <v>-nomic practices</v>
      </c>
      <c r="AM33" s="1901" t="str">
        <f t="shared" si="4"/>
        <v>management</v>
      </c>
      <c r="AN33" s="1901" t="str">
        <f t="shared" si="4"/>
        <v>management</v>
      </c>
      <c r="AO33" s="1901" t="str">
        <f t="shared" si="4"/>
        <v>management</v>
      </c>
      <c r="AP33" s="1901" t="str">
        <f t="shared" si="4"/>
        <v>application</v>
      </c>
      <c r="AQ33" s="1901" t="str">
        <f t="shared" si="4"/>
        <v>Burning</v>
      </c>
      <c r="AR33" s="1901" t="str">
        <f>AL33</f>
        <v>-nomic practices</v>
      </c>
      <c r="AS33" s="1901" t="str">
        <f t="shared" si="5"/>
        <v>management</v>
      </c>
      <c r="AT33" s="1901" t="str">
        <f t="shared" si="5"/>
        <v>management</v>
      </c>
      <c r="AU33" s="1901" t="str">
        <f t="shared" si="5"/>
        <v>management</v>
      </c>
      <c r="AV33" s="1901" t="str">
        <f t="shared" si="5"/>
        <v>application</v>
      </c>
      <c r="AW33" s="1901" t="str">
        <f t="shared" si="5"/>
        <v>Burning</v>
      </c>
      <c r="AX33" s="1901"/>
      <c r="AY33" s="1901" t="s">
        <v>54</v>
      </c>
      <c r="AZ33" s="1901" t="s">
        <v>675</v>
      </c>
    </row>
    <row r="34" spans="2:52">
      <c r="B34" s="410" t="s">
        <v>1105</v>
      </c>
      <c r="C34" s="899">
        <v>0</v>
      </c>
      <c r="D34" s="400">
        <f>Matrix!X19</f>
        <v>0</v>
      </c>
      <c r="E34" s="1528" t="s">
        <v>351</v>
      </c>
      <c r="F34" s="400">
        <f>Matrix!F27</f>
        <v>0</v>
      </c>
      <c r="G34" s="1528" t="s">
        <v>351</v>
      </c>
      <c r="H34" s="1456">
        <f>-$V9*((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I34" s="1458">
        <f>-$V9*((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J34" s="1457">
        <f>(MIN(C34,D34)*time_tot+ABS(D34-C34)*IF(D34&gt;C34,time2+time*(VLOOKUP(E34,List!$E$35:$F$37,2,)),time*(1-(VLOOKUP(E34,List!$E$35:$F$37,2,)))))*Y9</f>
        <v>0</v>
      </c>
      <c r="K34" s="1458">
        <f>(MIN(C34,F34)*time_tot+ABS(F34-C34)*IF(F34&gt;C34,time2+time*(VLOOKUP(G34,List!$E$35:$F$37,2,)),time*(1-(VLOOKUP(G34,List!$E$35:$F$37,2,)))))*Y9</f>
        <v>0</v>
      </c>
      <c r="L34" s="1466">
        <f t="shared" ref="L34:M38" si="6">J34+H34</f>
        <v>0</v>
      </c>
      <c r="M34" s="1465">
        <f t="shared" si="6"/>
        <v>0</v>
      </c>
      <c r="N34" s="282">
        <f>M34-L34</f>
        <v>0</v>
      </c>
      <c r="P34" s="2043">
        <f>$N9*(time*((ABS(D34-C34)*(IF(C34&lt;=D34,VLOOKUP(E34,List!$E$35:$F$37,2,),1-VLOOKUP(E34,List!$E$35:$F$37,2,))))+MIN(D34,C34))+(D34*time2))</f>
        <v>0</v>
      </c>
      <c r="Q34" s="2043">
        <f>$N9*(time*((ABS(F34-C34)*(IF(C34&lt;=F34,VLOOKUP(G34,List!$E$35:$F$37,2,),1-VLOOKUP(G34,List!$E$35:$F$37,2,))))+MIN(F34,C34))+(F34*time2))</f>
        <v>0</v>
      </c>
      <c r="R34" s="2034">
        <f>Q34-P34</f>
        <v>0</v>
      </c>
      <c r="AF34" s="1902">
        <f t="shared" ref="AF34:AK34" si="7">IF(G9="Yes",$C34,0)</f>
        <v>0</v>
      </c>
      <c r="AG34" s="1902">
        <f t="shared" si="7"/>
        <v>0</v>
      </c>
      <c r="AH34" s="1902">
        <f t="shared" si="7"/>
        <v>0</v>
      </c>
      <c r="AI34" s="1902">
        <f t="shared" si="7"/>
        <v>0</v>
      </c>
      <c r="AJ34" s="1902">
        <f t="shared" si="7"/>
        <v>0</v>
      </c>
      <c r="AK34" s="1902">
        <f t="shared" si="7"/>
        <v>0</v>
      </c>
      <c r="AL34" s="1902">
        <f t="shared" ref="AL34:AQ34" si="8">IF(G9="Yes",$D34,0)</f>
        <v>0</v>
      </c>
      <c r="AM34" s="1902">
        <f t="shared" si="8"/>
        <v>0</v>
      </c>
      <c r="AN34" s="1902">
        <f t="shared" si="8"/>
        <v>0</v>
      </c>
      <c r="AO34" s="1902">
        <f t="shared" si="8"/>
        <v>0</v>
      </c>
      <c r="AP34" s="1902">
        <f t="shared" si="8"/>
        <v>0</v>
      </c>
      <c r="AQ34" s="1902">
        <f t="shared" si="8"/>
        <v>0</v>
      </c>
      <c r="AR34" s="1902">
        <f t="shared" ref="AR34:AW34" si="9">IF(G9="Yes",$F34,0)</f>
        <v>0</v>
      </c>
      <c r="AS34" s="1902">
        <f t="shared" si="9"/>
        <v>0</v>
      </c>
      <c r="AT34" s="1902">
        <f t="shared" si="9"/>
        <v>0</v>
      </c>
      <c r="AU34" s="1902">
        <f t="shared" si="9"/>
        <v>0</v>
      </c>
      <c r="AV34" s="1902">
        <f t="shared" si="9"/>
        <v>0</v>
      </c>
      <c r="AW34" s="1902">
        <f t="shared" si="9"/>
        <v>0</v>
      </c>
      <c r="AX34" s="1902"/>
      <c r="AY34" s="1902">
        <f>IF($Y9&gt;0,J34/$Y9,0)</f>
        <v>0</v>
      </c>
      <c r="AZ34" s="1902">
        <f>IF($Y9&gt;0,K34/$Y9,0)</f>
        <v>0</v>
      </c>
    </row>
    <row r="35" spans="2:52">
      <c r="B35" s="426" t="s">
        <v>1106</v>
      </c>
      <c r="C35" s="899">
        <f>MAX(Matrix!E28,Matrix!E11)</f>
        <v>0</v>
      </c>
      <c r="D35" s="400">
        <f>MAX(Matrix!E28,Matrix!E11)-Matrix!E11</f>
        <v>0</v>
      </c>
      <c r="E35" s="1528" t="s">
        <v>351</v>
      </c>
      <c r="F35" s="400">
        <f>MAX(Matrix!E28,Matrix!E11)-Matrix!E28</f>
        <v>0</v>
      </c>
      <c r="G35" s="1528" t="s">
        <v>351</v>
      </c>
      <c r="H35" s="1456">
        <f>-$V10*((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I35" s="1458">
        <f>-$V10*((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J35" s="1457">
        <f>(MIN(C35,D35)*time_tot+ABS(D35-C35)*IF(D35&gt;C35,time2+time*(VLOOKUP(E35,List!$E$35:$F$37,2,)),time*(1-(VLOOKUP(E35,List!$E$35:$F$37,2,)))))*Y10</f>
        <v>0</v>
      </c>
      <c r="K35" s="1458">
        <f>(MIN(C35,F35)*time_tot+ABS(F35-C35)*IF(F35&gt;C35,time2+time*(VLOOKUP(G35,List!$E$35:$F$37,2,)),time*(1-(VLOOKUP(G35,List!$E$35:$F$37,2,)))))*Y10</f>
        <v>0</v>
      </c>
      <c r="L35" s="1466">
        <f t="shared" si="6"/>
        <v>0</v>
      </c>
      <c r="M35" s="1465">
        <f t="shared" si="6"/>
        <v>0</v>
      </c>
      <c r="N35" s="283">
        <f t="shared" ref="N35:N47" si="10">M35-L35</f>
        <v>0</v>
      </c>
      <c r="P35" s="2043">
        <f>$N10*(time*((ABS(D35-C35)*(IF(C35&lt;=D35,VLOOKUP(E35,List!$E$35:$F$37,2,),1-VLOOKUP(E35,List!$E$35:$F$37,2,))))+MIN(D35,C35))+(D35*time2))</f>
        <v>0</v>
      </c>
      <c r="Q35" s="2043">
        <f>$N10*(time*((ABS(F35-C35)*(IF(C35&lt;=F35,VLOOKUP(G35,List!$E$35:$F$37,2,),1-VLOOKUP(G35,List!$E$35:$F$37,2,))))+MIN(F35,C35))+(F35*time2))</f>
        <v>0</v>
      </c>
      <c r="R35" s="2034">
        <f t="shared" ref="R35:R47" si="11">Q35-P35</f>
        <v>0</v>
      </c>
      <c r="AF35" s="1902">
        <f t="shared" ref="AF35:AF47" si="12">IF(G10="Yes",$C35,0)</f>
        <v>0</v>
      </c>
      <c r="AG35" s="1902">
        <f t="shared" ref="AG35:AG47" si="13">IF(H10="Yes",$C35,0)</f>
        <v>0</v>
      </c>
      <c r="AH35" s="1902">
        <f t="shared" ref="AH35:AH47" si="14">IF(I10="Yes",$C35,0)</f>
        <v>0</v>
      </c>
      <c r="AI35" s="1902">
        <f t="shared" ref="AI35:AI47" si="15">IF(J10="Yes",$C35,0)</f>
        <v>0</v>
      </c>
      <c r="AJ35" s="1902">
        <f t="shared" ref="AJ35:AJ47" si="16">IF(K10="Yes",$C35,0)</f>
        <v>0</v>
      </c>
      <c r="AK35" s="1902">
        <f t="shared" ref="AK35:AK47" si="17">IF(L10="Yes",$C35,0)</f>
        <v>0</v>
      </c>
      <c r="AL35" s="1902">
        <f t="shared" ref="AL35:AL45" si="18">IF(G10="Yes",$D35,0)</f>
        <v>0</v>
      </c>
      <c r="AM35" s="1902">
        <f t="shared" ref="AM35:AM45" si="19">IF(H10="Yes",$D35,0)</f>
        <v>0</v>
      </c>
      <c r="AN35" s="1902">
        <f t="shared" ref="AN35:AN45" si="20">IF(I10="Yes",$D35,0)</f>
        <v>0</v>
      </c>
      <c r="AO35" s="1902">
        <f t="shared" ref="AO35:AO45" si="21">IF(J10="Yes",$D35,0)</f>
        <v>0</v>
      </c>
      <c r="AP35" s="1902">
        <f t="shared" ref="AP35:AP45" si="22">IF(K10="Yes",$D35,0)</f>
        <v>0</v>
      </c>
      <c r="AQ35" s="1902">
        <f t="shared" ref="AQ35:AQ45" si="23">IF(L10="Yes",$D35,0)</f>
        <v>0</v>
      </c>
      <c r="AR35" s="1902">
        <f t="shared" ref="AR35:AR45" si="24">IF(G10="Yes",$F35,0)</f>
        <v>0</v>
      </c>
      <c r="AS35" s="1902">
        <f t="shared" ref="AS35:AS45" si="25">IF(H10="Yes",$F35,0)</f>
        <v>0</v>
      </c>
      <c r="AT35" s="1902">
        <f t="shared" ref="AT35:AT45" si="26">IF(I10="Yes",$F35,0)</f>
        <v>0</v>
      </c>
      <c r="AU35" s="1902">
        <f t="shared" ref="AU35:AU45" si="27">IF(J10="Yes",$F35,0)</f>
        <v>0</v>
      </c>
      <c r="AV35" s="1902">
        <f t="shared" ref="AV35:AV45" si="28">IF(K10="Yes",$F35,0)</f>
        <v>0</v>
      </c>
      <c r="AW35" s="1902">
        <f t="shared" ref="AW35:AW45" si="29">IF(L10="Yes",$F35,0)</f>
        <v>0</v>
      </c>
      <c r="AX35" s="1902"/>
      <c r="AY35" s="1902">
        <f t="shared" ref="AY35:AY47" si="30">IF($Y10&gt;0,J35/$Y10,0)</f>
        <v>0</v>
      </c>
      <c r="AZ35" s="1902">
        <f t="shared" ref="AZ35:AZ47" si="31">IF($Y10&gt;0,K35/$Y10,0)</f>
        <v>0</v>
      </c>
    </row>
    <row r="36" spans="2:52">
      <c r="B36" s="426" t="s">
        <v>1225</v>
      </c>
      <c r="C36" s="899">
        <v>0</v>
      </c>
      <c r="D36" s="400">
        <f>Matrix!AX22+Matrix!BE22+Matrix!BL22+Matrix!BS22+Matrix!BZ22+Matrix!CG22</f>
        <v>0</v>
      </c>
      <c r="E36" s="1528" t="s">
        <v>351</v>
      </c>
      <c r="F36" s="400">
        <f>Matrix!CG38+Matrix!BZ38+Matrix!BS38+Matrix!BL38+Matrix!BE38+Matrix!AX38</f>
        <v>0</v>
      </c>
      <c r="G36" s="1528" t="s">
        <v>351</v>
      </c>
      <c r="H36" s="1467">
        <f>-$V11*((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I36" s="1465">
        <f>-$V11*((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J36" s="1457">
        <f>(MIN(C36,D36)*time_tot+ABS(D36-C36)*IF(D36&gt;C36,time2+time*(VLOOKUP(E36,List!$E$35:$F$37,2,)),time*(1-(VLOOKUP(E36,List!$E$35:$F$37,2,)))))*Y11</f>
        <v>0</v>
      </c>
      <c r="K36" s="1458">
        <f>(MIN(C36,F36)*time_tot+ABS(F36-C36)*IF(F36&gt;C36,time2+time*(VLOOKUP(G36,List!$E$35:$F$37,2,)),time*(1-(VLOOKUP(G36,List!$E$35:$F$37,2,)))))*Y11</f>
        <v>0</v>
      </c>
      <c r="L36" s="1466">
        <f>J36+H36</f>
        <v>0</v>
      </c>
      <c r="M36" s="1465">
        <f>K36+I36</f>
        <v>0</v>
      </c>
      <c r="N36" s="283">
        <f t="shared" si="10"/>
        <v>0</v>
      </c>
      <c r="P36" s="2043">
        <f>$N11*(time*((ABS(D36-C36)*(IF(C36&lt;=D36,VLOOKUP(E36,List!$E$35:$F$37,2,),1-VLOOKUP(E36,List!$E$35:$F$37,2,))))+MIN(D36,C36))+(D36*time2))</f>
        <v>0</v>
      </c>
      <c r="Q36" s="2043">
        <f>$N11*(time*((ABS(F36-C36)*(IF(C36&lt;=F36,VLOOKUP(G36,List!$E$35:$F$37,2,),1-VLOOKUP(G36,List!$E$35:$F$37,2,))))+MIN(F36,C36))+(F36*time2))</f>
        <v>0</v>
      </c>
      <c r="R36" s="2034">
        <f t="shared" si="11"/>
        <v>0</v>
      </c>
      <c r="AF36" s="1902">
        <f t="shared" si="12"/>
        <v>0</v>
      </c>
      <c r="AG36" s="1902">
        <f t="shared" si="13"/>
        <v>0</v>
      </c>
      <c r="AH36" s="1902">
        <f t="shared" si="14"/>
        <v>0</v>
      </c>
      <c r="AI36" s="1902">
        <f t="shared" si="15"/>
        <v>0</v>
      </c>
      <c r="AJ36" s="1902">
        <f t="shared" si="16"/>
        <v>0</v>
      </c>
      <c r="AK36" s="1902">
        <f t="shared" si="17"/>
        <v>0</v>
      </c>
      <c r="AL36" s="1902">
        <f t="shared" si="18"/>
        <v>0</v>
      </c>
      <c r="AM36" s="1902">
        <f t="shared" si="19"/>
        <v>0</v>
      </c>
      <c r="AN36" s="1902">
        <f t="shared" si="20"/>
        <v>0</v>
      </c>
      <c r="AO36" s="1902">
        <f t="shared" si="21"/>
        <v>0</v>
      </c>
      <c r="AP36" s="1902">
        <f t="shared" si="22"/>
        <v>0</v>
      </c>
      <c r="AQ36" s="1902">
        <f t="shared" si="23"/>
        <v>0</v>
      </c>
      <c r="AR36" s="1902">
        <f t="shared" si="24"/>
        <v>0</v>
      </c>
      <c r="AS36" s="1902">
        <f t="shared" si="25"/>
        <v>0</v>
      </c>
      <c r="AT36" s="1902">
        <f t="shared" si="26"/>
        <v>0</v>
      </c>
      <c r="AU36" s="1902">
        <f t="shared" si="27"/>
        <v>0</v>
      </c>
      <c r="AV36" s="1902">
        <f t="shared" si="28"/>
        <v>0</v>
      </c>
      <c r="AW36" s="1902">
        <f t="shared" si="29"/>
        <v>0</v>
      </c>
      <c r="AX36" s="1902"/>
      <c r="AY36" s="1902">
        <f t="shared" si="30"/>
        <v>0</v>
      </c>
      <c r="AZ36" s="1902">
        <f t="shared" si="31"/>
        <v>0</v>
      </c>
    </row>
    <row r="37" spans="2:52">
      <c r="B37" s="295" t="s">
        <v>1226</v>
      </c>
      <c r="C37" s="204">
        <f>MAX(SUM(Matrix!AQ22:AV22),SUM(Matrix!AQ38:AV38))</f>
        <v>0</v>
      </c>
      <c r="D37" s="427">
        <f>MAX(SUM(Matrix!AQ22:AV22),SUM(Matrix!AQ38:AV38))-SUM(Matrix!AQ22:AV22)</f>
        <v>0</v>
      </c>
      <c r="E37" s="1528" t="s">
        <v>351</v>
      </c>
      <c r="F37" s="427">
        <f>MAX(SUM(Matrix!AQ22:AV22),SUM(Matrix!AQ38:AV38))-SUM(Matrix!AQ38:AV38)</f>
        <v>0</v>
      </c>
      <c r="G37" s="1528" t="s">
        <v>351</v>
      </c>
      <c r="H37" s="1461">
        <f>-$V12*((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I37" s="1462">
        <f>-$V12*((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J37" s="1457">
        <f>(MIN(C37,D37)*time_tot+ABS(D37-C37)*IF(D37&gt;C37,time2+time*(VLOOKUP(E37,List!$E$35:$F$37,2,)),time*(1-(VLOOKUP(E37,List!$E$35:$F$37,2,)))))*Y12</f>
        <v>0</v>
      </c>
      <c r="K37" s="1458">
        <f>(MIN(C37,F37)*time_tot+ABS(F37-C37)*IF(F37&gt;C37,time2+time*(VLOOKUP(G37,List!$E$35:$F$37,2,)),time*(1-(VLOOKUP(G37,List!$E$35:$F$37,2,)))))*Y12</f>
        <v>0</v>
      </c>
      <c r="L37" s="1466">
        <f>J37+H37</f>
        <v>0</v>
      </c>
      <c r="M37" s="1465">
        <f>K37+I37</f>
        <v>0</v>
      </c>
      <c r="N37" s="283">
        <f t="shared" si="10"/>
        <v>0</v>
      </c>
      <c r="P37" s="2043">
        <f>$N12*(time*((ABS(D37-C37)*(IF(C37&lt;=D37,VLOOKUP(E37,List!$E$35:$F$37,2,),1-VLOOKUP(E37,List!$E$35:$F$37,2,))))+MIN(D37,C37))+(D37*time2))</f>
        <v>0</v>
      </c>
      <c r="Q37" s="2043">
        <f>$N12*(time*((ABS(F37-C37)*(IF(C37&lt;=F37,VLOOKUP(G37,List!$E$35:$F$37,2,),1-VLOOKUP(G37,List!$E$35:$F$37,2,))))+MIN(F37,C37))+(F37*time2))</f>
        <v>0</v>
      </c>
      <c r="R37" s="2034">
        <f t="shared" si="11"/>
        <v>0</v>
      </c>
      <c r="AF37" s="1902">
        <f t="shared" si="12"/>
        <v>0</v>
      </c>
      <c r="AG37" s="1902">
        <f t="shared" si="13"/>
        <v>0</v>
      </c>
      <c r="AH37" s="1902">
        <f t="shared" si="14"/>
        <v>0</v>
      </c>
      <c r="AI37" s="1902">
        <f t="shared" si="15"/>
        <v>0</v>
      </c>
      <c r="AJ37" s="1902">
        <f t="shared" si="16"/>
        <v>0</v>
      </c>
      <c r="AK37" s="1902">
        <f t="shared" si="17"/>
        <v>0</v>
      </c>
      <c r="AL37" s="1902">
        <f t="shared" si="18"/>
        <v>0</v>
      </c>
      <c r="AM37" s="1902">
        <f t="shared" si="19"/>
        <v>0</v>
      </c>
      <c r="AN37" s="1902">
        <f t="shared" si="20"/>
        <v>0</v>
      </c>
      <c r="AO37" s="1902">
        <f t="shared" si="21"/>
        <v>0</v>
      </c>
      <c r="AP37" s="1902">
        <f t="shared" si="22"/>
        <v>0</v>
      </c>
      <c r="AQ37" s="1902">
        <f t="shared" si="23"/>
        <v>0</v>
      </c>
      <c r="AR37" s="1902">
        <f t="shared" si="24"/>
        <v>0</v>
      </c>
      <c r="AS37" s="1902">
        <f t="shared" si="25"/>
        <v>0</v>
      </c>
      <c r="AT37" s="1902">
        <f t="shared" si="26"/>
        <v>0</v>
      </c>
      <c r="AU37" s="1902">
        <f t="shared" si="27"/>
        <v>0</v>
      </c>
      <c r="AV37" s="1902">
        <f t="shared" si="28"/>
        <v>0</v>
      </c>
      <c r="AW37" s="1902">
        <f t="shared" si="29"/>
        <v>0</v>
      </c>
      <c r="AX37" s="1902"/>
      <c r="AY37" s="1902">
        <f t="shared" si="30"/>
        <v>0</v>
      </c>
      <c r="AZ37" s="1902">
        <f t="shared" si="31"/>
        <v>0</v>
      </c>
    </row>
    <row r="38" spans="2:52">
      <c r="B38" s="153" t="str">
        <f>B13</f>
        <v>Annual System1</v>
      </c>
      <c r="C38" s="1813">
        <f>'3.Cropland'!P22</f>
        <v>0</v>
      </c>
      <c r="D38" s="1813">
        <f>'3.Cropland'!Q22</f>
        <v>0</v>
      </c>
      <c r="E38" s="2179" t="str">
        <f>VLOOKUP('3.Cropland'!R22,List!$D$35:$E$37,2,)</f>
        <v>Linear</v>
      </c>
      <c r="F38" s="1815">
        <f>'3.Cropland'!S22</f>
        <v>0</v>
      </c>
      <c r="G38" s="2180" t="str">
        <f>VLOOKUP('3.Cropland'!U22,List!$D$35:$E$37,2,)</f>
        <v>Linear</v>
      </c>
      <c r="H38" s="1459">
        <f>-$V13*((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I38" s="1460">
        <f>-$V13*((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J38" s="1457">
        <f>(MIN(C38,D38)*time_tot+ABS(D38-C38)*IF(D38&gt;C38,time2+time*(VLOOKUP(E38,List!$E$35:$F$37,2,)),time*(1-(VLOOKUP(E38,List!$E$35:$F$37,2,)))))*Y13</f>
        <v>0</v>
      </c>
      <c r="K38" s="1458">
        <f>(MIN(C38,F38)*time_tot+ABS(F38-C38)*IF(F38&gt;C38,time2+time*(VLOOKUP(G38,List!$E$35:$F$37,2,)),time*(1-(VLOOKUP(G38,List!$E$35:$F$37,2,)))))*Y13</f>
        <v>0</v>
      </c>
      <c r="L38" s="1463">
        <f>J38+H38</f>
        <v>0</v>
      </c>
      <c r="M38" s="1460">
        <f t="shared" si="6"/>
        <v>0</v>
      </c>
      <c r="N38" s="283">
        <f t="shared" si="10"/>
        <v>0</v>
      </c>
      <c r="P38" s="2043">
        <f>$N13*(time*((ABS(D38-C38)*(IF(C38&lt;=D38,VLOOKUP(E38,List!$E$35:$F$37,2,),1-VLOOKUP(E38,List!$E$35:$F$37,2,))))+MIN(D38,C38))+(D38*time2))</f>
        <v>0</v>
      </c>
      <c r="Q38" s="2043">
        <f>$N13*(time*((ABS(F38-C38)*(IF(C38&lt;=F38,VLOOKUP(G38,List!$E$35:$F$37,2,),1-VLOOKUP(G38,List!$E$35:$F$37,2,))))+MIN(F38,C38))+(F38*time2))</f>
        <v>0</v>
      </c>
      <c r="R38" s="2034">
        <f t="shared" si="11"/>
        <v>0</v>
      </c>
      <c r="AF38" s="1902">
        <f t="shared" si="12"/>
        <v>0</v>
      </c>
      <c r="AG38" s="1902">
        <f t="shared" si="13"/>
        <v>0</v>
      </c>
      <c r="AH38" s="1902">
        <f t="shared" si="14"/>
        <v>0</v>
      </c>
      <c r="AI38" s="1902">
        <f t="shared" si="15"/>
        <v>0</v>
      </c>
      <c r="AJ38" s="1902">
        <f t="shared" si="16"/>
        <v>0</v>
      </c>
      <c r="AK38" s="1902">
        <f t="shared" si="17"/>
        <v>0</v>
      </c>
      <c r="AL38" s="1902">
        <f t="shared" si="18"/>
        <v>0</v>
      </c>
      <c r="AM38" s="1902">
        <f t="shared" si="19"/>
        <v>0</v>
      </c>
      <c r="AN38" s="1902">
        <f t="shared" si="20"/>
        <v>0</v>
      </c>
      <c r="AO38" s="1902">
        <f t="shared" si="21"/>
        <v>0</v>
      </c>
      <c r="AP38" s="1902">
        <f t="shared" si="22"/>
        <v>0</v>
      </c>
      <c r="AQ38" s="1902">
        <f t="shared" si="23"/>
        <v>0</v>
      </c>
      <c r="AR38" s="1902">
        <f t="shared" si="24"/>
        <v>0</v>
      </c>
      <c r="AS38" s="1902">
        <f t="shared" si="25"/>
        <v>0</v>
      </c>
      <c r="AT38" s="1902">
        <f t="shared" si="26"/>
        <v>0</v>
      </c>
      <c r="AU38" s="1902">
        <f t="shared" si="27"/>
        <v>0</v>
      </c>
      <c r="AV38" s="1902">
        <f t="shared" si="28"/>
        <v>0</v>
      </c>
      <c r="AW38" s="1902">
        <f t="shared" si="29"/>
        <v>0</v>
      </c>
      <c r="AX38" s="1902"/>
      <c r="AY38" s="1902">
        <f t="shared" si="30"/>
        <v>0</v>
      </c>
      <c r="AZ38" s="1902">
        <f t="shared" si="31"/>
        <v>0</v>
      </c>
    </row>
    <row r="39" spans="2:52">
      <c r="B39" s="153" t="str">
        <f>B14</f>
        <v>Annual System2</v>
      </c>
      <c r="C39" s="1813">
        <f>'3.Cropland'!P23</f>
        <v>0</v>
      </c>
      <c r="D39" s="1813">
        <f>'3.Cropland'!Q23</f>
        <v>0</v>
      </c>
      <c r="E39" s="2179" t="str">
        <f>VLOOKUP('3.Cropland'!R23,List!$D$35:$E$37,2,)</f>
        <v>Linear</v>
      </c>
      <c r="F39" s="1815">
        <f>'3.Cropland'!S23</f>
        <v>0</v>
      </c>
      <c r="G39" s="2180" t="str">
        <f>VLOOKUP('3.Cropland'!U23,List!$D$35:$E$37,2,)</f>
        <v>Linear</v>
      </c>
      <c r="H39" s="1459">
        <f>-$V14*((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I39" s="1460">
        <f>-$V14*((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J39" s="1463">
        <f>(MIN(C39,D39)*time_tot+ABS(D39-C39)*IF(D39&gt;C39,time2+time*(VLOOKUP(E39,List!$E$35:$F$37,2,)),time*(1-(VLOOKUP(E39,List!$E$35:$F$37,2,)))))*Y14</f>
        <v>0</v>
      </c>
      <c r="K39" s="1460">
        <f>(MIN(C39,F39)*time_tot+ABS(F39-C39)*IF(F39&gt;C39,time2+time*(VLOOKUP(G39,List!$E$35:$F$37,2,)),time*(1-(VLOOKUP(G39,List!$E$35:$F$37,2,)))))*Y14</f>
        <v>0</v>
      </c>
      <c r="L39" s="1463">
        <f>J39+H39</f>
        <v>0</v>
      </c>
      <c r="M39" s="1460">
        <f t="shared" ref="M39:M47" si="32">K39+I39</f>
        <v>0</v>
      </c>
      <c r="N39" s="283">
        <f t="shared" si="10"/>
        <v>0</v>
      </c>
      <c r="P39" s="2043">
        <f>$N14*(time*((ABS(D39-C39)*(IF(C39&lt;=D39,VLOOKUP(E39,List!$E$35:$F$37,2,),1-VLOOKUP(E39,List!$E$35:$F$37,2,))))+MIN(D39,C39))+(D39*time2))</f>
        <v>0</v>
      </c>
      <c r="Q39" s="2043">
        <f>$N14*(time*((ABS(F39-C39)*(IF(C39&lt;=F39,VLOOKUP(G39,List!$E$35:$F$37,2,),1-VLOOKUP(G39,List!$E$35:$F$37,2,))))+MIN(F39,C39))+(F39*time2))</f>
        <v>0</v>
      </c>
      <c r="R39" s="2034">
        <f t="shared" si="11"/>
        <v>0</v>
      </c>
      <c r="AF39" s="1902">
        <f t="shared" si="12"/>
        <v>0</v>
      </c>
      <c r="AG39" s="1902">
        <f t="shared" si="13"/>
        <v>0</v>
      </c>
      <c r="AH39" s="1902">
        <f t="shared" si="14"/>
        <v>0</v>
      </c>
      <c r="AI39" s="1902">
        <f t="shared" si="15"/>
        <v>0</v>
      </c>
      <c r="AJ39" s="1902">
        <f t="shared" si="16"/>
        <v>0</v>
      </c>
      <c r="AK39" s="1902">
        <f t="shared" si="17"/>
        <v>0</v>
      </c>
      <c r="AL39" s="1902">
        <f t="shared" si="18"/>
        <v>0</v>
      </c>
      <c r="AM39" s="1902">
        <f t="shared" si="19"/>
        <v>0</v>
      </c>
      <c r="AN39" s="1902">
        <f t="shared" si="20"/>
        <v>0</v>
      </c>
      <c r="AO39" s="1902">
        <f t="shared" si="21"/>
        <v>0</v>
      </c>
      <c r="AP39" s="1902">
        <f t="shared" si="22"/>
        <v>0</v>
      </c>
      <c r="AQ39" s="1902">
        <f t="shared" si="23"/>
        <v>0</v>
      </c>
      <c r="AR39" s="1902">
        <f t="shared" si="24"/>
        <v>0</v>
      </c>
      <c r="AS39" s="1902">
        <f t="shared" si="25"/>
        <v>0</v>
      </c>
      <c r="AT39" s="1902">
        <f t="shared" si="26"/>
        <v>0</v>
      </c>
      <c r="AU39" s="1902">
        <f t="shared" si="27"/>
        <v>0</v>
      </c>
      <c r="AV39" s="1902">
        <f t="shared" si="28"/>
        <v>0</v>
      </c>
      <c r="AW39" s="1902">
        <f t="shared" si="29"/>
        <v>0</v>
      </c>
      <c r="AX39" s="1902"/>
      <c r="AY39" s="1902">
        <f t="shared" si="30"/>
        <v>0</v>
      </c>
      <c r="AZ39" s="1902">
        <f t="shared" si="31"/>
        <v>0</v>
      </c>
    </row>
    <row r="40" spans="2:52">
      <c r="B40" s="153" t="str">
        <f t="shared" ref="B40:B46" si="33">B15</f>
        <v>Annual System3</v>
      </c>
      <c r="C40" s="1813">
        <f>'3.Cropland'!P24</f>
        <v>0</v>
      </c>
      <c r="D40" s="1813">
        <f>'3.Cropland'!Q24</f>
        <v>0</v>
      </c>
      <c r="E40" s="2179" t="str">
        <f>VLOOKUP('3.Cropland'!R24,List!$D$35:$E$37,2,)</f>
        <v>Linear</v>
      </c>
      <c r="F40" s="1815">
        <f>'3.Cropland'!S24</f>
        <v>0</v>
      </c>
      <c r="G40" s="2180" t="str">
        <f>VLOOKUP('3.Cropland'!U24,List!$D$35:$E$37,2,)</f>
        <v>Linear</v>
      </c>
      <c r="H40" s="1459">
        <f>-$V15*((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I40" s="1460">
        <f>-$V15*((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J40" s="1463">
        <f>(MIN(C40,D40)*time_tot+ABS(D40-C40)*IF(D40&gt;C40,time2+time*(VLOOKUP(E40,List!$E$35:$F$37,2,)),time*(1-(VLOOKUP(E40,List!$E$35:$F$37,2,)))))*Y15</f>
        <v>0</v>
      </c>
      <c r="K40" s="1460">
        <f>(MIN(C40,F40)*time_tot+ABS(F40-C40)*IF(F40&gt;C40,time2+time*(VLOOKUP(G40,List!$E$35:$F$37,2,)),time*(1-(VLOOKUP(G40,List!$E$35:$F$37,2,)))))*Y15</f>
        <v>0</v>
      </c>
      <c r="L40" s="1463">
        <f t="shared" ref="L40:L47" si="34">J40+H40</f>
        <v>0</v>
      </c>
      <c r="M40" s="1460">
        <f t="shared" si="32"/>
        <v>0</v>
      </c>
      <c r="N40" s="283">
        <f t="shared" si="10"/>
        <v>0</v>
      </c>
      <c r="P40" s="2043">
        <f>$N15*(time*((ABS(D40-C40)*(IF(C40&lt;=D40,VLOOKUP(E40,List!$E$35:$F$37,2,),1-VLOOKUP(E40,List!$E$35:$F$37,2,))))+MIN(D40,C40))+(D40*time2))</f>
        <v>0</v>
      </c>
      <c r="Q40" s="2043">
        <f>$N15*(time*((ABS(F40-C40)*(IF(C40&lt;=F40,VLOOKUP(G40,List!$E$35:$F$37,2,),1-VLOOKUP(G40,List!$E$35:$F$37,2,))))+MIN(F40,C40))+(F40*time2))</f>
        <v>0</v>
      </c>
      <c r="R40" s="2034">
        <f t="shared" si="11"/>
        <v>0</v>
      </c>
      <c r="AF40" s="1902">
        <f t="shared" si="12"/>
        <v>0</v>
      </c>
      <c r="AG40" s="1902">
        <f t="shared" si="13"/>
        <v>0</v>
      </c>
      <c r="AH40" s="1902">
        <f t="shared" si="14"/>
        <v>0</v>
      </c>
      <c r="AI40" s="1902">
        <f t="shared" si="15"/>
        <v>0</v>
      </c>
      <c r="AJ40" s="1902">
        <f t="shared" si="16"/>
        <v>0</v>
      </c>
      <c r="AK40" s="1902">
        <f t="shared" si="17"/>
        <v>0</v>
      </c>
      <c r="AL40" s="1902">
        <f t="shared" si="18"/>
        <v>0</v>
      </c>
      <c r="AM40" s="1902">
        <f t="shared" si="19"/>
        <v>0</v>
      </c>
      <c r="AN40" s="1902">
        <f t="shared" si="20"/>
        <v>0</v>
      </c>
      <c r="AO40" s="1902">
        <f t="shared" si="21"/>
        <v>0</v>
      </c>
      <c r="AP40" s="1902">
        <f t="shared" si="22"/>
        <v>0</v>
      </c>
      <c r="AQ40" s="1902">
        <f t="shared" si="23"/>
        <v>0</v>
      </c>
      <c r="AR40" s="1902">
        <f t="shared" si="24"/>
        <v>0</v>
      </c>
      <c r="AS40" s="1902">
        <f t="shared" si="25"/>
        <v>0</v>
      </c>
      <c r="AT40" s="1902">
        <f t="shared" si="26"/>
        <v>0</v>
      </c>
      <c r="AU40" s="1902">
        <f t="shared" si="27"/>
        <v>0</v>
      </c>
      <c r="AV40" s="1902">
        <f t="shared" si="28"/>
        <v>0</v>
      </c>
      <c r="AW40" s="1902">
        <f t="shared" si="29"/>
        <v>0</v>
      </c>
      <c r="AX40" s="1902"/>
      <c r="AY40" s="1902">
        <f t="shared" si="30"/>
        <v>0</v>
      </c>
      <c r="AZ40" s="1902">
        <f t="shared" si="31"/>
        <v>0</v>
      </c>
    </row>
    <row r="41" spans="2:52">
      <c r="B41" s="153" t="str">
        <f t="shared" si="33"/>
        <v>Annual System4</v>
      </c>
      <c r="C41" s="1813">
        <f>'3.Cropland'!P25</f>
        <v>0</v>
      </c>
      <c r="D41" s="1813">
        <f>'3.Cropland'!Q25</f>
        <v>0</v>
      </c>
      <c r="E41" s="2179" t="str">
        <f>VLOOKUP('3.Cropland'!R25,List!$D$35:$E$37,2,)</f>
        <v>Linear</v>
      </c>
      <c r="F41" s="1815">
        <f>'3.Cropland'!S25</f>
        <v>0</v>
      </c>
      <c r="G41" s="2180" t="str">
        <f>VLOOKUP('3.Cropland'!U25,List!$D$35:$E$37,2,)</f>
        <v>Linear</v>
      </c>
      <c r="H41" s="1459">
        <f>-$V16*((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I41" s="1460">
        <f>-$V16*((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J41" s="1463">
        <f>(MIN(C41,D41)*time_tot+ABS(D41-C41)*IF(D41&gt;C41,time2+time*(VLOOKUP(E41,List!$E$35:$F$37,2,)),time*(1-(VLOOKUP(E41,List!$E$35:$F$37,2,)))))*Y16</f>
        <v>0</v>
      </c>
      <c r="K41" s="1460">
        <f>(MIN(C41,F41)*time_tot+ABS(F41-C41)*IF(F41&gt;C41,time2+time*(VLOOKUP(G41,List!$E$35:$F$37,2,)),time*(1-(VLOOKUP(G41,List!$E$35:$F$37,2,)))))*Y16</f>
        <v>0</v>
      </c>
      <c r="L41" s="1463">
        <f t="shared" si="34"/>
        <v>0</v>
      </c>
      <c r="M41" s="1460">
        <f t="shared" si="32"/>
        <v>0</v>
      </c>
      <c r="N41" s="283">
        <f t="shared" si="10"/>
        <v>0</v>
      </c>
      <c r="P41" s="2043">
        <f>$N16*(time*((ABS(D41-C41)*(IF(C41&lt;=D41,VLOOKUP(E41,List!$E$35:$F$37,2,),1-VLOOKUP(E41,List!$E$35:$F$37,2,))))+MIN(D41,C41))+(D41*time2))</f>
        <v>0</v>
      </c>
      <c r="Q41" s="2043">
        <f>$N16*(time*((ABS(F41-C41)*(IF(C41&lt;=F41,VLOOKUP(G41,List!$E$35:$F$37,2,),1-VLOOKUP(G41,List!$E$35:$F$37,2,))))+MIN(F41,C41))+(F41*time2))</f>
        <v>0</v>
      </c>
      <c r="R41" s="2034">
        <f t="shared" si="11"/>
        <v>0</v>
      </c>
      <c r="AF41" s="1902">
        <f t="shared" si="12"/>
        <v>0</v>
      </c>
      <c r="AG41" s="1902">
        <f t="shared" si="13"/>
        <v>0</v>
      </c>
      <c r="AH41" s="1902">
        <f t="shared" si="14"/>
        <v>0</v>
      </c>
      <c r="AI41" s="1902">
        <f t="shared" si="15"/>
        <v>0</v>
      </c>
      <c r="AJ41" s="1902">
        <f t="shared" si="16"/>
        <v>0</v>
      </c>
      <c r="AK41" s="1902">
        <f t="shared" si="17"/>
        <v>0</v>
      </c>
      <c r="AL41" s="1902">
        <f t="shared" si="18"/>
        <v>0</v>
      </c>
      <c r="AM41" s="1902">
        <f t="shared" si="19"/>
        <v>0</v>
      </c>
      <c r="AN41" s="1902">
        <f t="shared" si="20"/>
        <v>0</v>
      </c>
      <c r="AO41" s="1902">
        <f t="shared" si="21"/>
        <v>0</v>
      </c>
      <c r="AP41" s="1902">
        <f t="shared" si="22"/>
        <v>0</v>
      </c>
      <c r="AQ41" s="1902">
        <f t="shared" si="23"/>
        <v>0</v>
      </c>
      <c r="AR41" s="1902">
        <f t="shared" si="24"/>
        <v>0</v>
      </c>
      <c r="AS41" s="1902">
        <f t="shared" si="25"/>
        <v>0</v>
      </c>
      <c r="AT41" s="1902">
        <f t="shared" si="26"/>
        <v>0</v>
      </c>
      <c r="AU41" s="1902">
        <f t="shared" si="27"/>
        <v>0</v>
      </c>
      <c r="AV41" s="1902">
        <f t="shared" si="28"/>
        <v>0</v>
      </c>
      <c r="AW41" s="1902">
        <f t="shared" si="29"/>
        <v>0</v>
      </c>
      <c r="AX41" s="1902"/>
      <c r="AY41" s="1902">
        <f t="shared" si="30"/>
        <v>0</v>
      </c>
      <c r="AZ41" s="1902">
        <f t="shared" si="31"/>
        <v>0</v>
      </c>
    </row>
    <row r="42" spans="2:52">
      <c r="B42" s="153" t="str">
        <f t="shared" si="33"/>
        <v>Annual System5</v>
      </c>
      <c r="C42" s="1813">
        <f>'3.Cropland'!P26</f>
        <v>0</v>
      </c>
      <c r="D42" s="1813">
        <f>'3.Cropland'!Q26</f>
        <v>0</v>
      </c>
      <c r="E42" s="2179" t="str">
        <f>VLOOKUP('3.Cropland'!R26,List!$D$35:$E$37,2,)</f>
        <v>Linear</v>
      </c>
      <c r="F42" s="1815">
        <f>'3.Cropland'!S26</f>
        <v>0</v>
      </c>
      <c r="G42" s="2180" t="str">
        <f>VLOOKUP('3.Cropland'!U26,List!$D$35:$E$37,2,)</f>
        <v>Linear</v>
      </c>
      <c r="H42" s="1459">
        <f>-$V17*((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I42" s="1460">
        <f>-$V17*((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J42" s="1463">
        <f>(MIN(C42,D42)*time_tot+ABS(D42-C42)*IF(D42&gt;C42,time2+time*(VLOOKUP(E42,List!$E$35:$F$37,2,)),time*(1-(VLOOKUP(E42,List!$E$35:$F$37,2,)))))*Y17</f>
        <v>0</v>
      </c>
      <c r="K42" s="1460">
        <f>(MIN(C42,F42)*time_tot+ABS(F42-C42)*IF(F42&gt;C42,time2+time*(VLOOKUP(G42,List!$E$35:$F$37,2,)),time*(1-(VLOOKUP(G42,List!$E$35:$F$37,2,)))))*Y17</f>
        <v>0</v>
      </c>
      <c r="L42" s="1463">
        <f t="shared" si="34"/>
        <v>0</v>
      </c>
      <c r="M42" s="1460">
        <f t="shared" si="32"/>
        <v>0</v>
      </c>
      <c r="N42" s="283">
        <f t="shared" si="10"/>
        <v>0</v>
      </c>
      <c r="P42" s="2043">
        <f>$N17*(time*((ABS(D42-C42)*(IF(C42&lt;=D42,VLOOKUP(E42,List!$E$35:$F$37,2,),1-VLOOKUP(E42,List!$E$35:$F$37,2,))))+MIN(D42,C42))+(D42*time2))</f>
        <v>0</v>
      </c>
      <c r="Q42" s="2043">
        <f>$N17*(time*((ABS(F42-C42)*(IF(C42&lt;=F42,VLOOKUP(G42,List!$E$35:$F$37,2,),1-VLOOKUP(G42,List!$E$35:$F$37,2,))))+MIN(F42,C42))+(F42*time2))</f>
        <v>0</v>
      </c>
      <c r="R42" s="2034">
        <f t="shared" si="11"/>
        <v>0</v>
      </c>
      <c r="AF42" s="1902">
        <f t="shared" si="12"/>
        <v>0</v>
      </c>
      <c r="AG42" s="1902">
        <f t="shared" si="13"/>
        <v>0</v>
      </c>
      <c r="AH42" s="1902">
        <f t="shared" si="14"/>
        <v>0</v>
      </c>
      <c r="AI42" s="1902">
        <f t="shared" si="15"/>
        <v>0</v>
      </c>
      <c r="AJ42" s="1902">
        <f t="shared" si="16"/>
        <v>0</v>
      </c>
      <c r="AK42" s="1902">
        <f t="shared" si="17"/>
        <v>0</v>
      </c>
      <c r="AL42" s="1902">
        <f t="shared" si="18"/>
        <v>0</v>
      </c>
      <c r="AM42" s="1902">
        <f t="shared" si="19"/>
        <v>0</v>
      </c>
      <c r="AN42" s="1902">
        <f t="shared" si="20"/>
        <v>0</v>
      </c>
      <c r="AO42" s="1902">
        <f t="shared" si="21"/>
        <v>0</v>
      </c>
      <c r="AP42" s="1902">
        <f t="shared" si="22"/>
        <v>0</v>
      </c>
      <c r="AQ42" s="1902">
        <f t="shared" si="23"/>
        <v>0</v>
      </c>
      <c r="AR42" s="1902">
        <f t="shared" si="24"/>
        <v>0</v>
      </c>
      <c r="AS42" s="1902">
        <f t="shared" si="25"/>
        <v>0</v>
      </c>
      <c r="AT42" s="1902">
        <f t="shared" si="26"/>
        <v>0</v>
      </c>
      <c r="AU42" s="1902">
        <f t="shared" si="27"/>
        <v>0</v>
      </c>
      <c r="AV42" s="1902">
        <f t="shared" si="28"/>
        <v>0</v>
      </c>
      <c r="AW42" s="1902">
        <f t="shared" si="29"/>
        <v>0</v>
      </c>
      <c r="AX42" s="1902"/>
      <c r="AY42" s="1902">
        <f t="shared" si="30"/>
        <v>0</v>
      </c>
      <c r="AZ42" s="1902">
        <f t="shared" si="31"/>
        <v>0</v>
      </c>
    </row>
    <row r="43" spans="2:52">
      <c r="B43" s="153" t="str">
        <f t="shared" si="33"/>
        <v>Annual System6</v>
      </c>
      <c r="C43" s="1813">
        <f>'3.Cropland'!P27</f>
        <v>0</v>
      </c>
      <c r="D43" s="1813">
        <f>'3.Cropland'!Q27</f>
        <v>0</v>
      </c>
      <c r="E43" s="2179" t="str">
        <f>VLOOKUP('3.Cropland'!R27,List!$D$35:$E$37,2,)</f>
        <v>Linear</v>
      </c>
      <c r="F43" s="1815">
        <f>'3.Cropland'!S27</f>
        <v>0</v>
      </c>
      <c r="G43" s="2180" t="str">
        <f>VLOOKUP('3.Cropland'!U27,List!$D$35:$E$37,2,)</f>
        <v>Linear</v>
      </c>
      <c r="H43" s="1459">
        <f>-$V18*((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I43" s="1460">
        <f>-$V18*((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J43" s="1463">
        <f>(MIN(C43,D43)*time_tot+ABS(D43-C43)*IF(D43&gt;C43,time2+time*(VLOOKUP(E43,List!$E$35:$F$37,2,)),time*(1-(VLOOKUP(E43,List!$E$35:$F$37,2,)))))*Y18</f>
        <v>0</v>
      </c>
      <c r="K43" s="1460">
        <f>(MIN(C43,F43)*time_tot+ABS(F43-C43)*IF(F43&gt;C43,time2+time*(VLOOKUP(G43,List!$E$35:$F$37,2,)),time*(1-(VLOOKUP(G43,List!$E$35:$F$37,2,)))))*Y18</f>
        <v>0</v>
      </c>
      <c r="L43" s="1463">
        <f t="shared" si="34"/>
        <v>0</v>
      </c>
      <c r="M43" s="1460">
        <f t="shared" si="32"/>
        <v>0</v>
      </c>
      <c r="N43" s="283">
        <f t="shared" si="10"/>
        <v>0</v>
      </c>
      <c r="P43" s="2043">
        <f>$N18*(time*((ABS(D43-C43)*(IF(C43&lt;=D43,VLOOKUP(E43,List!$E$35:$F$37,2,),1-VLOOKUP(E43,List!$E$35:$F$37,2,))))+MIN(D43,C43))+(D43*time2))</f>
        <v>0</v>
      </c>
      <c r="Q43" s="2043">
        <f>$N18*(time*((ABS(F43-C43)*(IF(C43&lt;=F43,VLOOKUP(G43,List!$E$35:$F$37,2,),1-VLOOKUP(G43,List!$E$35:$F$37,2,))))+MIN(F43,C43))+(F43*time2))</f>
        <v>0</v>
      </c>
      <c r="R43" s="2034">
        <f t="shared" si="11"/>
        <v>0</v>
      </c>
      <c r="AF43" s="1902">
        <f t="shared" si="12"/>
        <v>0</v>
      </c>
      <c r="AG43" s="1902">
        <f t="shared" si="13"/>
        <v>0</v>
      </c>
      <c r="AH43" s="1902">
        <f t="shared" si="14"/>
        <v>0</v>
      </c>
      <c r="AI43" s="1902">
        <f t="shared" si="15"/>
        <v>0</v>
      </c>
      <c r="AJ43" s="1902">
        <f t="shared" si="16"/>
        <v>0</v>
      </c>
      <c r="AK43" s="1902">
        <f t="shared" si="17"/>
        <v>0</v>
      </c>
      <c r="AL43" s="1902">
        <f t="shared" si="18"/>
        <v>0</v>
      </c>
      <c r="AM43" s="1902">
        <f t="shared" si="19"/>
        <v>0</v>
      </c>
      <c r="AN43" s="1902">
        <f t="shared" si="20"/>
        <v>0</v>
      </c>
      <c r="AO43" s="1902">
        <f t="shared" si="21"/>
        <v>0</v>
      </c>
      <c r="AP43" s="1902">
        <f t="shared" si="22"/>
        <v>0</v>
      </c>
      <c r="AQ43" s="1902">
        <f t="shared" si="23"/>
        <v>0</v>
      </c>
      <c r="AR43" s="1902">
        <f t="shared" si="24"/>
        <v>0</v>
      </c>
      <c r="AS43" s="1902">
        <f t="shared" si="25"/>
        <v>0</v>
      </c>
      <c r="AT43" s="1902">
        <f t="shared" si="26"/>
        <v>0</v>
      </c>
      <c r="AU43" s="1902">
        <f t="shared" si="27"/>
        <v>0</v>
      </c>
      <c r="AV43" s="1902">
        <f t="shared" si="28"/>
        <v>0</v>
      </c>
      <c r="AW43" s="1902">
        <f t="shared" si="29"/>
        <v>0</v>
      </c>
      <c r="AX43" s="1902"/>
      <c r="AY43" s="1902">
        <f t="shared" si="30"/>
        <v>0</v>
      </c>
      <c r="AZ43" s="1902">
        <f t="shared" si="31"/>
        <v>0</v>
      </c>
    </row>
    <row r="44" spans="2:52">
      <c r="B44" s="153" t="str">
        <f t="shared" si="33"/>
        <v>Annual System7</v>
      </c>
      <c r="C44" s="1813">
        <f>'3.Cropland'!P28</f>
        <v>0</v>
      </c>
      <c r="D44" s="1813">
        <f>'3.Cropland'!Q28</f>
        <v>0</v>
      </c>
      <c r="E44" s="2179" t="str">
        <f>VLOOKUP('3.Cropland'!R28,List!$D$35:$E$37,2,)</f>
        <v>Linear</v>
      </c>
      <c r="F44" s="1815">
        <f>'3.Cropland'!S28</f>
        <v>0</v>
      </c>
      <c r="G44" s="2180" t="str">
        <f>VLOOKUP('3.Cropland'!U28,List!$D$35:$E$37,2,)</f>
        <v>Linear</v>
      </c>
      <c r="H44" s="1459">
        <f>-$V19*((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I44" s="1460">
        <f>-$V19*((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J44" s="1463">
        <f>(MIN(C44,D44)*time_tot+ABS(D44-C44)*IF(D44&gt;C44,time2+time*(VLOOKUP(E44,List!$E$35:$F$37,2,)),time*(1-(VLOOKUP(E44,List!$E$35:$F$37,2,)))))*Y19</f>
        <v>0</v>
      </c>
      <c r="K44" s="1460">
        <f>(MIN(C44,F44)*time_tot+ABS(F44-C44)*IF(F44&gt;C44,time2+time*(VLOOKUP(G44,List!$E$35:$F$37,2,)),time*(1-(VLOOKUP(G44,List!$E$35:$F$37,2,)))))*Y19</f>
        <v>0</v>
      </c>
      <c r="L44" s="1463">
        <f t="shared" si="34"/>
        <v>0</v>
      </c>
      <c r="M44" s="1460">
        <f t="shared" si="32"/>
        <v>0</v>
      </c>
      <c r="N44" s="283">
        <f t="shared" si="10"/>
        <v>0</v>
      </c>
      <c r="P44" s="2043">
        <f>$N19*(time*((ABS(D44-C44)*(IF(C44&lt;=D44,VLOOKUP(E44,List!$E$35:$F$37,2,),1-VLOOKUP(E44,List!$E$35:$F$37,2,))))+MIN(D44,C44))+(D44*time2))</f>
        <v>0</v>
      </c>
      <c r="Q44" s="2043">
        <f>$N19*(time*((ABS(F44-C44)*(IF(C44&lt;=F44,VLOOKUP(G44,List!$E$35:$F$37,2,),1-VLOOKUP(G44,List!$E$35:$F$37,2,))))+MIN(F44,C44))+(F44*time2))</f>
        <v>0</v>
      </c>
      <c r="R44" s="2034">
        <f t="shared" si="11"/>
        <v>0</v>
      </c>
      <c r="AF44" s="1902">
        <f t="shared" si="12"/>
        <v>0</v>
      </c>
      <c r="AG44" s="1902">
        <f t="shared" si="13"/>
        <v>0</v>
      </c>
      <c r="AH44" s="1902">
        <f t="shared" si="14"/>
        <v>0</v>
      </c>
      <c r="AI44" s="1902">
        <f t="shared" si="15"/>
        <v>0</v>
      </c>
      <c r="AJ44" s="1902">
        <f t="shared" si="16"/>
        <v>0</v>
      </c>
      <c r="AK44" s="1902">
        <f t="shared" si="17"/>
        <v>0</v>
      </c>
      <c r="AL44" s="1902">
        <f t="shared" si="18"/>
        <v>0</v>
      </c>
      <c r="AM44" s="1902">
        <f t="shared" si="19"/>
        <v>0</v>
      </c>
      <c r="AN44" s="1902">
        <f t="shared" si="20"/>
        <v>0</v>
      </c>
      <c r="AO44" s="1902">
        <f t="shared" si="21"/>
        <v>0</v>
      </c>
      <c r="AP44" s="1902">
        <f t="shared" si="22"/>
        <v>0</v>
      </c>
      <c r="AQ44" s="1902">
        <f t="shared" si="23"/>
        <v>0</v>
      </c>
      <c r="AR44" s="1902">
        <f t="shared" si="24"/>
        <v>0</v>
      </c>
      <c r="AS44" s="1902">
        <f t="shared" si="25"/>
        <v>0</v>
      </c>
      <c r="AT44" s="1902">
        <f t="shared" si="26"/>
        <v>0</v>
      </c>
      <c r="AU44" s="1902">
        <f t="shared" si="27"/>
        <v>0</v>
      </c>
      <c r="AV44" s="1902">
        <f t="shared" si="28"/>
        <v>0</v>
      </c>
      <c r="AW44" s="1902">
        <f t="shared" si="29"/>
        <v>0</v>
      </c>
      <c r="AX44" s="1902"/>
      <c r="AY44" s="1902">
        <f t="shared" si="30"/>
        <v>0</v>
      </c>
      <c r="AZ44" s="1902">
        <f t="shared" si="31"/>
        <v>0</v>
      </c>
    </row>
    <row r="45" spans="2:52">
      <c r="B45" s="153" t="str">
        <f t="shared" si="33"/>
        <v>Annual System8</v>
      </c>
      <c r="C45" s="1813">
        <f>'3.Cropland'!P29</f>
        <v>0</v>
      </c>
      <c r="D45" s="1813">
        <f>'3.Cropland'!Q29</f>
        <v>0</v>
      </c>
      <c r="E45" s="2179" t="str">
        <f>VLOOKUP('3.Cropland'!R29,List!$D$35:$E$37,2,)</f>
        <v>Linear</v>
      </c>
      <c r="F45" s="1815">
        <f>'3.Cropland'!S29</f>
        <v>0</v>
      </c>
      <c r="G45" s="2180" t="str">
        <f>VLOOKUP('3.Cropland'!U29,List!$D$35:$E$37,2,)</f>
        <v>Linear</v>
      </c>
      <c r="H45" s="1459">
        <f>-$V20*((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I45" s="1460">
        <f>-$V20*((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J45" s="1463">
        <f>(MIN(C45,D45)*time_tot+ABS(D45-C45)*IF(D45&gt;C45,time2+time*(VLOOKUP(E45,List!$E$35:$F$37,2,)),time*(1-(VLOOKUP(E45,List!$E$35:$F$37,2,)))))*Y20</f>
        <v>0</v>
      </c>
      <c r="K45" s="1460">
        <f>(MIN(C45,F45)*time_tot+ABS(F45-C45)*IF(F45&gt;C45,time2+time*(VLOOKUP(G45,List!$E$35:$F$37,2,)),time*(1-(VLOOKUP(G45,List!$E$35:$F$37,2,)))))*Y20</f>
        <v>0</v>
      </c>
      <c r="L45" s="1463">
        <f t="shared" si="34"/>
        <v>0</v>
      </c>
      <c r="M45" s="1460">
        <f t="shared" si="32"/>
        <v>0</v>
      </c>
      <c r="N45" s="283">
        <f t="shared" si="10"/>
        <v>0</v>
      </c>
      <c r="P45" s="2043">
        <f>$N20*(time*((ABS(D45-C45)*(IF(C45&lt;=D45,VLOOKUP(E45,List!$E$35:$F$37,2,),1-VLOOKUP(E45,List!$E$35:$F$37,2,))))+MIN(D45,C45))+(D45*time2))</f>
        <v>0</v>
      </c>
      <c r="Q45" s="2043">
        <f>$N20*(time*((ABS(F45-C45)*(IF(C45&lt;=F45,VLOOKUP(G45,List!$E$35:$F$37,2,),1-VLOOKUP(G45,List!$E$35:$F$37,2,))))+MIN(F45,C45))+(F45*time2))</f>
        <v>0</v>
      </c>
      <c r="R45" s="2034">
        <f t="shared" si="11"/>
        <v>0</v>
      </c>
      <c r="AF45" s="1902">
        <f t="shared" si="12"/>
        <v>0</v>
      </c>
      <c r="AG45" s="1902">
        <f t="shared" si="13"/>
        <v>0</v>
      </c>
      <c r="AH45" s="1902">
        <f t="shared" si="14"/>
        <v>0</v>
      </c>
      <c r="AI45" s="1902">
        <f t="shared" si="15"/>
        <v>0</v>
      </c>
      <c r="AJ45" s="1902">
        <f t="shared" si="16"/>
        <v>0</v>
      </c>
      <c r="AK45" s="1902">
        <f t="shared" si="17"/>
        <v>0</v>
      </c>
      <c r="AL45" s="1902">
        <f t="shared" si="18"/>
        <v>0</v>
      </c>
      <c r="AM45" s="1902">
        <f t="shared" si="19"/>
        <v>0</v>
      </c>
      <c r="AN45" s="1902">
        <f t="shared" si="20"/>
        <v>0</v>
      </c>
      <c r="AO45" s="1902">
        <f t="shared" si="21"/>
        <v>0</v>
      </c>
      <c r="AP45" s="1902">
        <f t="shared" si="22"/>
        <v>0</v>
      </c>
      <c r="AQ45" s="1902">
        <f t="shared" si="23"/>
        <v>0</v>
      </c>
      <c r="AR45" s="1902">
        <f t="shared" si="24"/>
        <v>0</v>
      </c>
      <c r="AS45" s="1902">
        <f t="shared" si="25"/>
        <v>0</v>
      </c>
      <c r="AT45" s="1902">
        <f t="shared" si="26"/>
        <v>0</v>
      </c>
      <c r="AU45" s="1902">
        <f t="shared" si="27"/>
        <v>0</v>
      </c>
      <c r="AV45" s="1902">
        <f t="shared" si="28"/>
        <v>0</v>
      </c>
      <c r="AW45" s="1902">
        <f t="shared" si="29"/>
        <v>0</v>
      </c>
      <c r="AX45" s="1902"/>
      <c r="AY45" s="1902">
        <f t="shared" si="30"/>
        <v>0</v>
      </c>
      <c r="AZ45" s="1902">
        <f t="shared" si="31"/>
        <v>0</v>
      </c>
    </row>
    <row r="46" spans="2:52">
      <c r="B46" s="153" t="str">
        <f t="shared" si="33"/>
        <v>Annual System9</v>
      </c>
      <c r="C46" s="1813">
        <f>'3.Cropland'!P30</f>
        <v>0</v>
      </c>
      <c r="D46" s="1813">
        <f>'3.Cropland'!Q30</f>
        <v>0</v>
      </c>
      <c r="E46" s="2179" t="str">
        <f>VLOOKUP('3.Cropland'!R30,List!$D$35:$E$37,2,)</f>
        <v>Linear</v>
      </c>
      <c r="F46" s="1815">
        <f>'3.Cropland'!S30</f>
        <v>0</v>
      </c>
      <c r="G46" s="2180" t="str">
        <f>VLOOKUP('3.Cropland'!U30,List!$D$35:$E$37,2,)</f>
        <v>Linear</v>
      </c>
      <c r="H46" s="1459">
        <f>-$V21*((MIN($C46,D46)*MIN(20,time_tot))+IF(E46="immediate",IF(D46&gt;$C46,D46*MIN(20,time_tot),0),IF($C46&gt;D46,($C46-D46)*IF(time&gt;20,IF(E46="linear",time-((time-20)^2)/(2*time),(0.215*time)-(time/4.6)*(EXP(-92.1/time)-0.01)),time*(1-VLOOKUP(E46,List!$E$35:$F$37,2,))),(D46-$C46)*IF(time_tot&gt;time+20,20,IF(time_tot&lt;20,(time*VLOOKUP(E46,List!$E$35:$F$37,2,))+(time_tot-time),((MIN(20,time)*VLOOKUP(E46,List!$E$35:$F$37,2,))+(time_tot-MIN(20,time))-IF(E46="exponential",time_tot-20+0.217*time*(EXP(4.606*(20-time_tot)/time)-1),((time_tot-20)^2)*(0.5/time))))))))</f>
        <v>0</v>
      </c>
      <c r="I46" s="1460">
        <f>-$V21*((MIN($C46,F46)*MIN(20,time_tot))+IF(G46="immediate",IF(F46&gt;$C46,F46*MIN(20,time_tot),0),IF($C46&gt;F46,($C46-F46)*IF(time&gt;20,IF(G46="linear",time-((time-20)^2)/(2*time),(0.215*time)-(time/4.6)*(EXP(-92.1/time)-0.01)),time*(1-VLOOKUP(G46,List!$E$35:$F$37,2,))),(F46-$C46)*IF(time_tot&gt;time+20,20,IF(time_tot&lt;20,(time*VLOOKUP(G46,List!$E$35:$F$37,2,))+(time_tot-time),((MIN(20,time)*VLOOKUP(G46,List!$E$35:$F$37,2,))+(time_tot-MIN(20,time))-IF(G46="exponential",time_tot-20+0.217*time*(EXP(4.606*(20-time_tot)/time)-1),((time_tot-20)^2)*(0.5/time))))))))</f>
        <v>0</v>
      </c>
      <c r="J46" s="1463">
        <f>(MIN(C46,D46)*time_tot+ABS(D46-C46)*IF(D46&gt;C46,time2+time*(VLOOKUP(E46,List!$E$35:$F$37,2,)),time*(1-(VLOOKUP(E46,List!$E$35:$F$37,2,)))))*Y21</f>
        <v>0</v>
      </c>
      <c r="K46" s="1460">
        <f>(MIN(C46,F46)*time_tot+ABS(F46-C46)*IF(F46&gt;C46,time2+time*(VLOOKUP(G46,List!$E$35:$F$37,2,)),time*(1-(VLOOKUP(G46,List!$E$35:$F$37,2,)))))*Y21</f>
        <v>0</v>
      </c>
      <c r="L46" s="1463">
        <f t="shared" si="34"/>
        <v>0</v>
      </c>
      <c r="M46" s="1460">
        <f t="shared" si="32"/>
        <v>0</v>
      </c>
      <c r="N46" s="283">
        <f t="shared" si="10"/>
        <v>0</v>
      </c>
      <c r="P46" s="2043">
        <f>$N21*(time*((ABS(D46-C46)*(IF(C46&lt;=D46,VLOOKUP(E46,List!$E$35:$F$37,2,),1-VLOOKUP(E46,List!$E$35:$F$37,2,))))+MIN(D46,C46))+(D46*time2))</f>
        <v>0</v>
      </c>
      <c r="Q46" s="2043">
        <f>$N21*(time*((ABS(F46-C46)*(IF(C46&lt;=F46,VLOOKUP(G46,List!$E$35:$F$37,2,),1-VLOOKUP(G46,List!$E$35:$F$37,2,))))+MIN(F46,C46))+(F46*time2))</f>
        <v>0</v>
      </c>
      <c r="R46" s="2034">
        <f t="shared" si="11"/>
        <v>0</v>
      </c>
      <c r="AF46" s="1902">
        <f t="shared" si="12"/>
        <v>0</v>
      </c>
      <c r="AG46" s="1902">
        <f t="shared" si="13"/>
        <v>0</v>
      </c>
      <c r="AH46" s="1902">
        <f t="shared" si="14"/>
        <v>0</v>
      </c>
      <c r="AI46" s="1902">
        <f t="shared" si="15"/>
        <v>0</v>
      </c>
      <c r="AJ46" s="1902">
        <f t="shared" si="16"/>
        <v>0</v>
      </c>
      <c r="AK46" s="1902">
        <f t="shared" si="17"/>
        <v>0</v>
      </c>
      <c r="AL46" s="1902">
        <f t="shared" ref="AL46:AQ47" si="35">IF(G21="Yes",$D46,0)</f>
        <v>0</v>
      </c>
      <c r="AM46" s="1902">
        <f t="shared" si="35"/>
        <v>0</v>
      </c>
      <c r="AN46" s="1902">
        <f t="shared" si="35"/>
        <v>0</v>
      </c>
      <c r="AO46" s="1902">
        <f t="shared" si="35"/>
        <v>0</v>
      </c>
      <c r="AP46" s="1902">
        <f t="shared" si="35"/>
        <v>0</v>
      </c>
      <c r="AQ46" s="1902">
        <f t="shared" si="35"/>
        <v>0</v>
      </c>
      <c r="AR46" s="1902">
        <f t="shared" ref="AR46:AW47" si="36">IF(G21="Yes",$F46,0)</f>
        <v>0</v>
      </c>
      <c r="AS46" s="1902">
        <f t="shared" si="36"/>
        <v>0</v>
      </c>
      <c r="AT46" s="1902">
        <f t="shared" si="36"/>
        <v>0</v>
      </c>
      <c r="AU46" s="1902">
        <f t="shared" si="36"/>
        <v>0</v>
      </c>
      <c r="AV46" s="1902">
        <f t="shared" si="36"/>
        <v>0</v>
      </c>
      <c r="AW46" s="1902">
        <f t="shared" si="36"/>
        <v>0</v>
      </c>
      <c r="AX46" s="1902"/>
      <c r="AY46" s="1902">
        <f t="shared" si="30"/>
        <v>0</v>
      </c>
      <c r="AZ46" s="1902">
        <f t="shared" si="31"/>
        <v>0</v>
      </c>
    </row>
    <row r="47" spans="2:52">
      <c r="B47" s="153" t="str">
        <f>B22</f>
        <v>Annual System10</v>
      </c>
      <c r="C47" s="1813">
        <f>'3.Cropland'!P31</f>
        <v>0</v>
      </c>
      <c r="D47" s="1813">
        <f>'3.Cropland'!Q31</f>
        <v>0</v>
      </c>
      <c r="E47" s="2179" t="str">
        <f>VLOOKUP('3.Cropland'!R31,List!$D$35:$E$37,2,)</f>
        <v>Linear</v>
      </c>
      <c r="F47" s="1815">
        <f>'3.Cropland'!S31</f>
        <v>0</v>
      </c>
      <c r="G47" s="2180" t="str">
        <f>VLOOKUP('3.Cropland'!U31,List!$D$35:$E$37,2,)</f>
        <v>Linear</v>
      </c>
      <c r="H47" s="1461">
        <f>-$V22*((MIN($C47,D47)*MIN(20,time_tot))+IF(E47="immediate",IF(D47&gt;$C47,D47*MIN(20,time_tot),0),IF($C47&gt;D47,($C47-D47)*IF(time&gt;20,IF(E47="linear",time-((time-20)^2)/(2*time),(0.215*time)-(time/4.6)*(EXP(-92.1/time)-0.01)),time*(1-VLOOKUP(E47,List!$E$35:$F$37,2,))),(D47-$C47)*IF(time_tot&gt;time+20,20,IF(time_tot&lt;20,(time*VLOOKUP(E47,List!$E$35:$F$37,2,))+(time_tot-time),((MIN(20,time)*VLOOKUP(E47,List!$E$35:$F$37,2,))+(time_tot-MIN(20,time))-IF(E47="exponential",time_tot-20+0.217*time*(EXP(4.606*(20-time_tot)/time)-1),((time_tot-20)^2)*(0.5/time))))))))</f>
        <v>0</v>
      </c>
      <c r="I47" s="1462">
        <f>-$V22*((MIN($C47,F47)*MIN(20,time_tot))+IF(G47="immediate",IF(F47&gt;$C47,F47*MIN(20,time_tot),0),IF($C47&gt;F47,($C47-F47)*IF(time&gt;20,IF(G47="linear",time-((time-20)^2)/(2*time),(0.215*time)-(time/4.6)*(EXP(-92.1/time)-0.01)),time*(1-VLOOKUP(G47,List!$E$35:$F$37,2,))),(F47-$C47)*IF(time_tot&gt;time+20,20,IF(time_tot&lt;20,(time*VLOOKUP(G47,List!$E$35:$F$37,2,))+(time_tot-time),((MIN(20,time)*VLOOKUP(G47,List!$E$35:$F$37,2,))+(time_tot-MIN(20,time))-IF(G47="exponential",time_tot-20+0.217*time*(EXP(4.606*(20-time_tot)/time)-1),((time_tot-20)^2)*(0.5/time))))))))</f>
        <v>0</v>
      </c>
      <c r="J47" s="1464">
        <f>(MIN(C47,D47)*time_tot+ABS(D47-C47)*IF(D47&gt;C47,time2+time*(VLOOKUP(E47,List!$E$35:$F$37,2,)),time*(1-(VLOOKUP(E47,List!$E$35:$F$37,2,)))))*Y22</f>
        <v>0</v>
      </c>
      <c r="K47" s="1462">
        <f>(MIN(C47,F47)*time_tot+ABS(F47-C47)*IF(F47&gt;C47,time2+time*(VLOOKUP(G47,List!$E$35:$F$37,2,)),time*(1-(VLOOKUP(G47,List!$E$35:$F$37,2,)))))*Y22</f>
        <v>0</v>
      </c>
      <c r="L47" s="1464">
        <f t="shared" si="34"/>
        <v>0</v>
      </c>
      <c r="M47" s="1462">
        <f t="shared" si="32"/>
        <v>0</v>
      </c>
      <c r="N47" s="284">
        <f t="shared" si="10"/>
        <v>0</v>
      </c>
      <c r="P47" s="2043">
        <f>$N22*(time*((ABS(D47-C47)*(IF(C47&lt;=D47,VLOOKUP(E47,List!$E$35:$F$37,2,),1-VLOOKUP(E47,List!$E$35:$F$37,2,))))+MIN(D47,C47))+(D47*time2))</f>
        <v>0</v>
      </c>
      <c r="Q47" s="2043">
        <f>$N22*(time*((ABS(F47-C47)*(IF(C47&lt;=F47,VLOOKUP(G47,List!$E$35:$F$37,2,),1-VLOOKUP(G47,List!$E$35:$F$37,2,))))+MIN(F47,C47))+(F47*time2))</f>
        <v>0</v>
      </c>
      <c r="R47" s="2034">
        <f t="shared" si="11"/>
        <v>0</v>
      </c>
      <c r="AF47" s="1902">
        <f t="shared" si="12"/>
        <v>0</v>
      </c>
      <c r="AG47" s="1902">
        <f t="shared" si="13"/>
        <v>0</v>
      </c>
      <c r="AH47" s="1902">
        <f t="shared" si="14"/>
        <v>0</v>
      </c>
      <c r="AI47" s="1902">
        <f t="shared" si="15"/>
        <v>0</v>
      </c>
      <c r="AJ47" s="1902">
        <f t="shared" si="16"/>
        <v>0</v>
      </c>
      <c r="AK47" s="1902">
        <f t="shared" si="17"/>
        <v>0</v>
      </c>
      <c r="AL47" s="1902">
        <f t="shared" si="35"/>
        <v>0</v>
      </c>
      <c r="AM47" s="1902">
        <f t="shared" si="35"/>
        <v>0</v>
      </c>
      <c r="AN47" s="1902">
        <f t="shared" si="35"/>
        <v>0</v>
      </c>
      <c r="AO47" s="1902">
        <f t="shared" si="35"/>
        <v>0</v>
      </c>
      <c r="AP47" s="1902">
        <f t="shared" si="35"/>
        <v>0</v>
      </c>
      <c r="AQ47" s="1902">
        <f t="shared" si="35"/>
        <v>0</v>
      </c>
      <c r="AR47" s="1902">
        <f t="shared" si="36"/>
        <v>0</v>
      </c>
      <c r="AS47" s="1902">
        <f t="shared" si="36"/>
        <v>0</v>
      </c>
      <c r="AT47" s="1902">
        <f t="shared" si="36"/>
        <v>0</v>
      </c>
      <c r="AU47" s="1902">
        <f t="shared" si="36"/>
        <v>0</v>
      </c>
      <c r="AV47" s="1902">
        <f t="shared" si="36"/>
        <v>0</v>
      </c>
      <c r="AW47" s="1902">
        <f t="shared" si="36"/>
        <v>0</v>
      </c>
      <c r="AX47" s="1902"/>
      <c r="AY47" s="1902">
        <f t="shared" si="30"/>
        <v>0</v>
      </c>
      <c r="AZ47" s="1902">
        <f t="shared" si="31"/>
        <v>0</v>
      </c>
    </row>
    <row r="48" spans="2:52" ht="13.5" thickBot="1">
      <c r="B48" s="292" t="s">
        <v>1101</v>
      </c>
      <c r="C48" s="905">
        <f>SUM(C38:C47)</f>
        <v>0</v>
      </c>
      <c r="D48" s="905">
        <f>SUM(D38:D47)</f>
        <v>0</v>
      </c>
      <c r="E48" s="906"/>
      <c r="F48" s="905">
        <f>SUM(F38:F47)</f>
        <v>0</v>
      </c>
      <c r="G48" s="294" t="str">
        <f>IF(C48=D48,IF(D48=F48,"","Check areas !"),"Check areas !")</f>
        <v/>
      </c>
      <c r="H48" s="9"/>
      <c r="N48" s="907"/>
      <c r="P48" s="2028"/>
      <c r="Q48" s="2028"/>
      <c r="R48" s="2028"/>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row>
    <row r="49" spans="2:52" ht="13.5" thickBot="1">
      <c r="H49" s="9"/>
      <c r="I49" s="155" t="s">
        <v>607</v>
      </c>
      <c r="J49" s="156"/>
      <c r="K49" s="157"/>
      <c r="L49" s="158">
        <f>SUM(L34:L47)</f>
        <v>0</v>
      </c>
      <c r="M49" s="159">
        <f>SUM(M34:M47)</f>
        <v>0</v>
      </c>
      <c r="N49" s="924">
        <f>SUM(N34:N47)</f>
        <v>0</v>
      </c>
      <c r="P49" s="2042">
        <f>SUM(P34:P47)</f>
        <v>0</v>
      </c>
      <c r="Q49" s="2042">
        <f>SUM(Q34:Q47)</f>
        <v>0</v>
      </c>
      <c r="R49" s="2042">
        <f>SUM(R34:R47)</f>
        <v>0</v>
      </c>
      <c r="AF49" s="1902">
        <f t="shared" ref="AF49:AK49" si="37">SUM(AF34:AF47)</f>
        <v>0</v>
      </c>
      <c r="AG49" s="1902">
        <f t="shared" si="37"/>
        <v>0</v>
      </c>
      <c r="AH49" s="1902">
        <f t="shared" si="37"/>
        <v>0</v>
      </c>
      <c r="AI49" s="1902">
        <f t="shared" si="37"/>
        <v>0</v>
      </c>
      <c r="AJ49" s="1902">
        <f t="shared" si="37"/>
        <v>0</v>
      </c>
      <c r="AK49" s="1902">
        <f t="shared" si="37"/>
        <v>0</v>
      </c>
      <c r="AL49" s="1902">
        <f t="shared" ref="AL49:AZ49" si="38">SUM(AL34:AL47)</f>
        <v>0</v>
      </c>
      <c r="AM49" s="1902">
        <f t="shared" si="38"/>
        <v>0</v>
      </c>
      <c r="AN49" s="1902">
        <f t="shared" si="38"/>
        <v>0</v>
      </c>
      <c r="AO49" s="1902">
        <f t="shared" si="38"/>
        <v>0</v>
      </c>
      <c r="AP49" s="1902">
        <f t="shared" si="38"/>
        <v>0</v>
      </c>
      <c r="AQ49" s="1902">
        <f t="shared" si="38"/>
        <v>0</v>
      </c>
      <c r="AR49" s="1902">
        <f t="shared" si="38"/>
        <v>0</v>
      </c>
      <c r="AS49" s="1902">
        <f t="shared" si="38"/>
        <v>0</v>
      </c>
      <c r="AT49" s="1902">
        <f t="shared" si="38"/>
        <v>0</v>
      </c>
      <c r="AU49" s="1902">
        <f t="shared" si="38"/>
        <v>0</v>
      </c>
      <c r="AV49" s="1902">
        <f t="shared" si="38"/>
        <v>0</v>
      </c>
      <c r="AW49" s="1902">
        <f t="shared" si="38"/>
        <v>0</v>
      </c>
      <c r="AX49" s="1902"/>
      <c r="AY49" s="1902">
        <f t="shared" si="38"/>
        <v>0</v>
      </c>
      <c r="AZ49" s="1902">
        <f t="shared" si="38"/>
        <v>0</v>
      </c>
    </row>
    <row r="50" spans="2:52">
      <c r="H50" s="9"/>
      <c r="I50" s="1"/>
    </row>
    <row r="52" spans="2:52">
      <c r="B52" s="401" t="s">
        <v>662</v>
      </c>
      <c r="M52" s="80"/>
    </row>
    <row r="53" spans="2:52">
      <c r="B53" s="401" t="s">
        <v>841</v>
      </c>
      <c r="F53" s="9"/>
      <c r="G53" s="711" t="s">
        <v>842</v>
      </c>
    </row>
    <row r="54" spans="2:52">
      <c r="G54" s="712" t="s">
        <v>843</v>
      </c>
    </row>
    <row r="56" spans="2:52">
      <c r="B56" s="3042"/>
    </row>
    <row r="57" spans="2:52">
      <c r="M57" s="1876"/>
      <c r="N57" s="1876"/>
      <c r="O57" s="1876"/>
      <c r="P57" s="1876"/>
      <c r="Q57" s="1876"/>
      <c r="R57" s="1876"/>
      <c r="S57" s="1876"/>
      <c r="T57" s="1876"/>
      <c r="U57" s="1876"/>
      <c r="V57" s="1876"/>
      <c r="W57" s="1876"/>
      <c r="X57" s="1876"/>
      <c r="Y57" s="1876"/>
    </row>
    <row r="58" spans="2:52">
      <c r="B58" s="2037" t="s">
        <v>7403</v>
      </c>
      <c r="C58" s="50"/>
      <c r="D58" s="50"/>
      <c r="E58" s="50"/>
      <c r="F58" s="50"/>
      <c r="G58" s="50"/>
      <c r="H58" s="50"/>
      <c r="I58" s="50"/>
      <c r="J58" s="50"/>
      <c r="K58" s="50"/>
      <c r="L58" s="50"/>
      <c r="M58" s="50"/>
      <c r="N58" s="50"/>
      <c r="O58" s="50"/>
      <c r="P58" s="50"/>
      <c r="Q58" s="50"/>
      <c r="R58" s="50"/>
      <c r="S58" s="50"/>
      <c r="T58" s="50"/>
      <c r="U58" s="50"/>
      <c r="V58" s="1876"/>
      <c r="W58" s="1876"/>
      <c r="X58" s="1876"/>
      <c r="Y58" s="1876"/>
    </row>
    <row r="59" spans="2:52" ht="12.75" customHeight="1">
      <c r="B59" s="186"/>
      <c r="C59" s="3775" t="s">
        <v>7255</v>
      </c>
      <c r="D59" s="3775"/>
      <c r="E59" s="3775"/>
      <c r="F59" s="3775"/>
      <c r="G59" s="3775"/>
      <c r="H59" s="3775"/>
      <c r="I59" s="3775"/>
      <c r="J59" s="3775"/>
      <c r="K59" s="3776"/>
      <c r="L59" s="3486"/>
      <c r="M59" s="3777" t="s">
        <v>7256</v>
      </c>
      <c r="N59" s="3775"/>
      <c r="O59" s="3775"/>
      <c r="P59" s="3775"/>
      <c r="Q59" s="3775"/>
      <c r="R59" s="3775"/>
      <c r="S59" s="3775"/>
      <c r="T59" s="3775"/>
      <c r="U59" s="3776"/>
      <c r="V59" s="1876"/>
      <c r="W59" s="1876"/>
      <c r="X59" s="1876"/>
      <c r="Y59" s="1876"/>
    </row>
    <row r="60" spans="2:52" ht="12.75" customHeight="1">
      <c r="B60" s="186"/>
      <c r="C60" s="3787" t="s">
        <v>7277</v>
      </c>
      <c r="D60" s="3778" t="s">
        <v>7281</v>
      </c>
      <c r="E60" s="3781" t="s">
        <v>7402</v>
      </c>
      <c r="F60" s="3782"/>
      <c r="G60" s="3785" t="s">
        <v>7398</v>
      </c>
      <c r="H60" s="3778" t="s">
        <v>7395</v>
      </c>
      <c r="I60" s="3778" t="s">
        <v>7405</v>
      </c>
      <c r="J60" s="3778" t="s">
        <v>7396</v>
      </c>
      <c r="K60" s="3772" t="s">
        <v>7397</v>
      </c>
      <c r="L60" s="3486"/>
      <c r="M60" s="3778" t="s">
        <v>7277</v>
      </c>
      <c r="N60" s="3778" t="s">
        <v>7281</v>
      </c>
      <c r="O60" s="3781" t="s">
        <v>7402</v>
      </c>
      <c r="P60" s="3782"/>
      <c r="Q60" s="3785" t="s">
        <v>7398</v>
      </c>
      <c r="R60" s="3778" t="s">
        <v>7395</v>
      </c>
      <c r="S60" s="3778" t="s">
        <v>7394</v>
      </c>
      <c r="T60" s="3778" t="s">
        <v>7396</v>
      </c>
      <c r="U60" s="3772" t="s">
        <v>7397</v>
      </c>
      <c r="V60" s="1876"/>
      <c r="W60" s="1876"/>
      <c r="X60" s="1876"/>
      <c r="Y60" s="1876"/>
    </row>
    <row r="61" spans="2:52">
      <c r="B61" s="186"/>
      <c r="C61" s="3788"/>
      <c r="D61" s="3779"/>
      <c r="E61" s="3783"/>
      <c r="F61" s="3784"/>
      <c r="G61" s="3786"/>
      <c r="H61" s="3779"/>
      <c r="I61" s="3779"/>
      <c r="J61" s="3779"/>
      <c r="K61" s="3773"/>
      <c r="L61" s="3486"/>
      <c r="M61" s="3779"/>
      <c r="N61" s="3779"/>
      <c r="O61" s="3783"/>
      <c r="P61" s="3784"/>
      <c r="Q61" s="3786"/>
      <c r="R61" s="3779"/>
      <c r="S61" s="3779"/>
      <c r="T61" s="3779"/>
      <c r="U61" s="3773"/>
      <c r="V61" s="1876"/>
      <c r="W61" s="1876"/>
      <c r="X61" s="1876"/>
      <c r="Y61" s="1876"/>
    </row>
    <row r="62" spans="2:52" ht="114.75">
      <c r="B62" s="186"/>
      <c r="C62" s="3789"/>
      <c r="D62" s="3780"/>
      <c r="E62" s="3487" t="s">
        <v>7392</v>
      </c>
      <c r="F62" s="3488" t="s">
        <v>7278</v>
      </c>
      <c r="G62" s="3489" t="s">
        <v>7393</v>
      </c>
      <c r="H62" s="3780"/>
      <c r="I62" s="3780"/>
      <c r="J62" s="3780"/>
      <c r="K62" s="3774"/>
      <c r="L62" s="3486"/>
      <c r="M62" s="3780"/>
      <c r="N62" s="3780"/>
      <c r="O62" s="3487" t="s">
        <v>7392</v>
      </c>
      <c r="P62" s="3488" t="s">
        <v>7278</v>
      </c>
      <c r="Q62" s="3489" t="s">
        <v>7393</v>
      </c>
      <c r="R62" s="3780"/>
      <c r="S62" s="3780"/>
      <c r="T62" s="3780"/>
      <c r="U62" s="3774"/>
      <c r="V62" s="1876"/>
      <c r="W62" s="1876"/>
      <c r="X62" s="1876"/>
      <c r="Y62" s="1876"/>
    </row>
    <row r="63" spans="2:52">
      <c r="B63" s="153" t="s">
        <v>1105</v>
      </c>
      <c r="C63" s="3490" t="str">
        <f>'3.Cropland'!C13</f>
        <v>Default</v>
      </c>
      <c r="D63" s="3490" t="str">
        <f>IF(C63&lt;&gt;"Default",CONCATENATE(continent_selected,VLOOKUP(C63,List_Yield!$G$19:$H$29,2,FALSE)),CONCATENATE(continent_selected,$C$79))</f>
        <v>Please selectCereals,Total + (Total)</v>
      </c>
      <c r="E63" s="3490" t="e">
        <f>(VLOOKUP(D63,Stats_yield!$E$3:$BF$1651,53,FALSE))*1000</f>
        <v>#N/A</v>
      </c>
      <c r="F63" s="3490" t="e">
        <f>IF('3.Cropland'!O13&lt;&gt;"",'3.Cropland'!O13*1000,Annual!E63)</f>
        <v>#N/A</v>
      </c>
      <c r="G63" s="3491" t="e">
        <f>IF('3.Cropland'!R129&lt;&gt;"",'3.Cropland'!R129,(IF(C63&lt;&gt;"Default",((F63/1000)*VLOOKUP(C63,' IPCC'!$A$1173:$G$1188,3,FALSE)+VLOOKUP(C63,' IPCC'!$A$1173:$G$1188,4,FALSE)),((F63/1000)*VLOOKUP($C$78,' IPCC'!$A$1173:$G$1188,3,FALSE)+VLOOKUP($C$78,' IPCC'!$A$1173:$G$1188,4,FALSE)))))</f>
        <v>#N/A</v>
      </c>
      <c r="H63" s="3490">
        <f>IF(C63&lt;&gt;"Default",VLOOKUP(C63,' IPCC'!$A$1173:$G$1188,5,FALSE),(VLOOKUP($C$78,' IPCC'!$A$1173:$G$1188,5,FALSE)))</f>
        <v>6.0000000000000001E-3</v>
      </c>
      <c r="I63" s="3492">
        <f>IF(C63&lt;&gt;"Default", VLOOKUP(C63,' IPCC'!$A$1173:$G$1188,6,FALSE), VLOOKUP($C$78,' IPCC'!$A$1173:$G$1188,6,FALSE))</f>
        <v>0.22</v>
      </c>
      <c r="J63" s="3490">
        <f>IF(C63&lt;&gt;"Default", VLOOKUP(C63,' IPCC'!$A$1173:$G$1188,7,FALSE), VLOOKUP($C$78,' IPCC'!$A$1173:$G$1188,7,FALSE))</f>
        <v>8.9999999999999993E-3</v>
      </c>
      <c r="K63" s="3641" t="e">
        <f>G63*H63+(G63*1000+F63)*I63*J63</f>
        <v>#N/A</v>
      </c>
      <c r="L63" s="186"/>
      <c r="M63" s="3490" t="str">
        <f>'3.Cropland'!J129</f>
        <v>None</v>
      </c>
      <c r="N63" s="3490" t="e">
        <f>IF(M63&lt;&gt;"Default",CONCATENATE(continent_selected,VLOOKUP(M63,List_Yield!$G$19:$H$29,2,FALSE)),CONCATENATE(continent_selected,$C$79))</f>
        <v>#N/A</v>
      </c>
      <c r="O63" s="3490" t="e">
        <f>(VLOOKUP(N63,Stats_yield!$E$3:$BF$1651,53,FALSE))*1000</f>
        <v>#N/A</v>
      </c>
      <c r="P63" s="3493" t="e">
        <f>IF('3.Cropland'!L129&lt;&gt;"",'3.Cropland'!L129*1000,Annual!O63)</f>
        <v>#N/A</v>
      </c>
      <c r="Q63" s="3490" t="e">
        <f>IF('3.Cropland'!W129&lt;&gt;"",'3.Cropland'!W129,(IF(M63&lt;&gt;"Default",((P63/1000)*VLOOKUP(M63,' IPCC'!$A$1173:$G$1188,3,FALSE)+VLOOKUP(M63,' IPCC'!$A$1173:$G$1188,4,FALSE)),((P63/1000)*VLOOKUP($C$78,' IPCC'!$A$1173:$G$1188,3,FALSE)+VLOOKUP($C$78,' IPCC'!$A$1173:$G$1188,4,FALSE)))))</f>
        <v>#N/A</v>
      </c>
      <c r="R63" s="3490" t="e">
        <f>IF(M63&lt;&gt;"Default",VLOOKUP(M63,' IPCC'!$A$1173:$G$1188,5,FALSE),(VLOOKUP($C$78,' IPCC'!$A$1173:$G$1188,5,FALSE)))</f>
        <v>#N/A</v>
      </c>
      <c r="S63" s="3492" t="e">
        <f>IF(M63&lt;&gt;"Default", VLOOKUP(M63,' IPCC'!$A$1173:$G$1188,6,FALSE), VLOOKUP($C$78,' IPCC'!$A$1173:$G$1188,6,FALSE))</f>
        <v>#N/A</v>
      </c>
      <c r="T63" s="3490" t="e">
        <f>IF(M63&lt;&gt;"Default", VLOOKUP(M63,' IPCC'!$A$1173:$G$1188,7,FALSE), VLOOKUP($C$78,' IPCC'!$A$1173:$G$1188,7,FALSE))</f>
        <v>#N/A</v>
      </c>
      <c r="U63" s="3490" t="e">
        <f>Q63*R63+(Q63*1000+P63)*S63*T63</f>
        <v>#N/A</v>
      </c>
      <c r="V63" s="1876"/>
      <c r="W63" s="1876"/>
      <c r="X63" s="1876"/>
      <c r="Y63" s="1876"/>
    </row>
    <row r="64" spans="2:52">
      <c r="B64" s="153" t="s">
        <v>1106</v>
      </c>
      <c r="C64" s="3490" t="str">
        <f>'3.Cropland'!C14</f>
        <v>Default</v>
      </c>
      <c r="D64" s="3490" t="str">
        <f>IF(C64&lt;&gt;"Default",CONCATENATE(continent_selected,VLOOKUP(C64,List_Yield!$G$19:$H$29,2,FALSE)),CONCATENATE(continent_selected,$C$79))</f>
        <v>Please selectCereals,Total + (Total)</v>
      </c>
      <c r="E64" s="3490" t="e">
        <f>(VLOOKUP(D64,Stats_yield!$E$3:$BF$1651,53,FALSE))*1000</f>
        <v>#N/A</v>
      </c>
      <c r="F64" s="3490" t="e">
        <f>IF('3.Cropland'!O14&lt;&gt;"",'3.Cropland'!O14*1000,Annual!E64)</f>
        <v>#N/A</v>
      </c>
      <c r="G64" s="3491" t="e">
        <f>IF('3.Cropland'!R130&lt;&gt;"",'3.Cropland'!R130,(IF(C64&lt;&gt;"Default",((F64/1000)*VLOOKUP(C64,' IPCC'!$A$1173:$G$1188,3,FALSE)+VLOOKUP(C64,' IPCC'!$A$1173:$G$1188,4,FALSE)),((F64/1000)*VLOOKUP($C$78,' IPCC'!$A$1173:$G$1188,3,FALSE)+VLOOKUP($C$78,' IPCC'!$A$1173:$G$1188,4,FALSE)))))</f>
        <v>#N/A</v>
      </c>
      <c r="H64" s="3490">
        <f>IF(C64&lt;&gt;"Default",VLOOKUP(C64,' IPCC'!$A$1173:$G$1188,5,FALSE),(VLOOKUP($C$78,' IPCC'!$A$1173:$G$1188,5,FALSE)))</f>
        <v>6.0000000000000001E-3</v>
      </c>
      <c r="I64" s="3492">
        <f>IF(C64&lt;&gt;"Default", VLOOKUP(C64,' IPCC'!$A$1173:$G$1188,6,FALSE), VLOOKUP($C$78,' IPCC'!$A$1173:$G$1188,6,FALSE))</f>
        <v>0.22</v>
      </c>
      <c r="J64" s="3490">
        <f>IF(C64&lt;&gt;"Default", VLOOKUP(C64,' IPCC'!$A$1173:$G$1188,7,FALSE), VLOOKUP($C$78,' IPCC'!$A$1173:$G$1188,7,FALSE))</f>
        <v>8.9999999999999993E-3</v>
      </c>
      <c r="K64" s="3641" t="e">
        <f>G64*H64+(G64*1000+F64)*I64*J64</f>
        <v>#N/A</v>
      </c>
      <c r="L64" s="186"/>
      <c r="M64" s="3490" t="str">
        <f>'3.Cropland'!J130</f>
        <v>None</v>
      </c>
      <c r="N64" s="3490" t="e">
        <f>IF(M64&lt;&gt;"Default",CONCATENATE(continent_selected,VLOOKUP(M64,List_Yield!$G$19:$H$29,2,FALSE)),CONCATENATE(continent_selected,$C$79))</f>
        <v>#N/A</v>
      </c>
      <c r="O64" s="3490" t="e">
        <f>(VLOOKUP(N64,Stats_yield!$E$3:$BF$1651,53,FALSE))*1000</f>
        <v>#N/A</v>
      </c>
      <c r="P64" s="3493" t="e">
        <f>IF('3.Cropland'!L130&lt;&gt;"",'3.Cropland'!L130*1000,Annual!O64)</f>
        <v>#N/A</v>
      </c>
      <c r="Q64" s="3490" t="e">
        <f>IF('3.Cropland'!W130&lt;&gt;"",'3.Cropland'!W130,(IF(M64&lt;&gt;"Default",((P64/1000)*VLOOKUP(M64,' IPCC'!$A$1173:$G$1188,3,FALSE)+VLOOKUP(M64,' IPCC'!$A$1173:$G$1188,4,FALSE)),((P64/1000)*VLOOKUP($C$78,' IPCC'!$A$1173:$G$1188,3,FALSE)+VLOOKUP($C$78,' IPCC'!$A$1173:$G$1188,4,FALSE)))))</f>
        <v>#N/A</v>
      </c>
      <c r="R64" s="3490" t="e">
        <f>IF(M64&lt;&gt;"Default",VLOOKUP(M64,' IPCC'!$A$1173:$G$1188,5,FALSE),(VLOOKUP($C$78,' IPCC'!$A$1173:$G$1188,5,FALSE)))</f>
        <v>#N/A</v>
      </c>
      <c r="S64" s="3492" t="e">
        <f>IF(M64&lt;&gt;"Default", VLOOKUP(M64,' IPCC'!$A$1173:$G$1188,6,FALSE), VLOOKUP($C$78,' IPCC'!$A$1173:$G$1188,6,FALSE))</f>
        <v>#N/A</v>
      </c>
      <c r="T64" s="3490" t="e">
        <f>IF(M64&lt;&gt;"Default", VLOOKUP(M64,' IPCC'!$A$1173:$G$1188,7,FALSE), VLOOKUP($C$78,' IPCC'!$A$1173:$G$1188,7,FALSE))</f>
        <v>#N/A</v>
      </c>
      <c r="U64" s="3490" t="e">
        <f t="shared" ref="U64:U69" si="39">Q64*R64+(Q64*1000+P64)*S64*T64</f>
        <v>#N/A</v>
      </c>
      <c r="V64" s="1876"/>
      <c r="W64" s="1876"/>
      <c r="X64" s="1876"/>
      <c r="Y64" s="1876"/>
    </row>
    <row r="65" spans="2:25">
      <c r="B65" s="153" t="s">
        <v>1225</v>
      </c>
      <c r="C65" s="3490" t="str">
        <f>'3.Cropland'!C15</f>
        <v>Default</v>
      </c>
      <c r="D65" s="3490" t="str">
        <f>IF(C65&lt;&gt;"Default",CONCATENATE(continent_selected,VLOOKUP(C65,List_Yield!$G$19:$H$29,2,FALSE)),CONCATENATE(continent_selected,$C$79))</f>
        <v>Please selectCereals,Total + (Total)</v>
      </c>
      <c r="E65" s="3490" t="e">
        <f>(VLOOKUP(D65,Stats_yield!$E$3:$BF$1651,53,FALSE))*1000</f>
        <v>#N/A</v>
      </c>
      <c r="F65" s="3490" t="e">
        <f>IF('3.Cropland'!O15&lt;&gt;"",'3.Cropland'!O15*1000,Annual!E65)</f>
        <v>#N/A</v>
      </c>
      <c r="G65" s="3491" t="e">
        <f>IF('3.Cropland'!R131&lt;&gt;"",'3.Cropland'!R131,(IF(C65&lt;&gt;"Default",((F65/1000)*VLOOKUP(C65,' IPCC'!$A$1173:$G$1188,3,FALSE)+VLOOKUP(C65,' IPCC'!$A$1173:$G$1188,4,FALSE)),((F65/1000)*VLOOKUP($C$78,' IPCC'!$A$1173:$G$1188,3,FALSE)+VLOOKUP($C$78,' IPCC'!$A$1173:$G$1188,4,FALSE)))))</f>
        <v>#N/A</v>
      </c>
      <c r="H65" s="3490">
        <f>IF(C65&lt;&gt;"Default",VLOOKUP(C65,' IPCC'!$A$1173:$G$1188,5,FALSE),(VLOOKUP($C$78,' IPCC'!$A$1173:$G$1188,5,FALSE)))</f>
        <v>6.0000000000000001E-3</v>
      </c>
      <c r="I65" s="3492">
        <f>IF(C65&lt;&gt;"Default", VLOOKUP(C65,' IPCC'!$A$1173:$G$1188,6,FALSE), VLOOKUP($C$78,' IPCC'!$A$1173:$G$1188,6,FALSE))</f>
        <v>0.22</v>
      </c>
      <c r="J65" s="3490">
        <f>IF(C65&lt;&gt;"Default", VLOOKUP(C65,' IPCC'!$A$1173:$G$1188,7,FALSE), VLOOKUP($C$78,' IPCC'!$A$1173:$G$1188,7,FALSE))</f>
        <v>8.9999999999999993E-3</v>
      </c>
      <c r="K65" s="3641" t="e">
        <f t="shared" ref="K65:K76" si="40">G65*H65+(G65*1000+F65)*I65*J65</f>
        <v>#N/A</v>
      </c>
      <c r="L65" s="186"/>
      <c r="M65" s="3490" t="str">
        <f>'3.Cropland'!J131</f>
        <v>None</v>
      </c>
      <c r="N65" s="3490" t="e">
        <f>IF(M65&lt;&gt;"Default",CONCATENATE(continent_selected,VLOOKUP(M65,List_Yield!$G$19:$H$29,2,FALSE)),CONCATENATE(continent_selected,$C$79))</f>
        <v>#N/A</v>
      </c>
      <c r="O65" s="3490" t="e">
        <f>(VLOOKUP(N65,Stats_yield!$E$3:$BF$1651,53,FALSE))*1000</f>
        <v>#N/A</v>
      </c>
      <c r="P65" s="3493" t="e">
        <f>IF('3.Cropland'!L131&lt;&gt;"",'3.Cropland'!L131*1000,Annual!O65)</f>
        <v>#N/A</v>
      </c>
      <c r="Q65" s="3490" t="e">
        <f>IF('3.Cropland'!W131&lt;&gt;"",'3.Cropland'!W131,(IF(M65&lt;&gt;"Default",((P65/1000)*VLOOKUP(M65,' IPCC'!$A$1173:$G$1188,3,FALSE)+VLOOKUP(M65,' IPCC'!$A$1173:$G$1188,4,FALSE)),((P65/1000)*VLOOKUP($C$78,' IPCC'!$A$1173:$G$1188,3,FALSE)+VLOOKUP($C$78,' IPCC'!$A$1173:$G$1188,4,FALSE)))))</f>
        <v>#N/A</v>
      </c>
      <c r="R65" s="3490" t="e">
        <f>IF(M65&lt;&gt;"Default",VLOOKUP(M65,' IPCC'!$A$1173:$G$1188,5,FALSE),(VLOOKUP($C$78,' IPCC'!$A$1173:$G$1188,5,FALSE)))</f>
        <v>#N/A</v>
      </c>
      <c r="S65" s="3492" t="e">
        <f>IF(M65&lt;&gt;"Default", VLOOKUP(M65,' IPCC'!$A$1173:$G$1188,6,FALSE), VLOOKUP($C$78,' IPCC'!$A$1173:$G$1188,6,FALSE))</f>
        <v>#N/A</v>
      </c>
      <c r="T65" s="3490" t="e">
        <f>IF(M65&lt;&gt;"Default", VLOOKUP(M65,' IPCC'!$A$1173:$G$1188,7,FALSE), VLOOKUP($C$78,' IPCC'!$A$1173:$G$1188,7,FALSE))</f>
        <v>#N/A</v>
      </c>
      <c r="U65" s="3493" t="e">
        <f t="shared" si="39"/>
        <v>#N/A</v>
      </c>
      <c r="V65" s="1876"/>
      <c r="W65" s="1876"/>
      <c r="X65" s="1876"/>
      <c r="Y65" s="1876"/>
    </row>
    <row r="66" spans="2:25" ht="13.5" thickBot="1">
      <c r="B66" s="153" t="s">
        <v>1226</v>
      </c>
      <c r="C66" s="3494" t="str">
        <f>'3.Cropland'!C16</f>
        <v>Default</v>
      </c>
      <c r="D66" s="3494" t="str">
        <f>IF(C66&lt;&gt;"Default",CONCATENATE(continent_selected,VLOOKUP(C66,List_Yield!$G$19:$H$29,2,FALSE)),CONCATENATE(continent_selected,$C$79))</f>
        <v>Please selectCereals,Total + (Total)</v>
      </c>
      <c r="E66" s="3494" t="e">
        <f>(VLOOKUP(D66,Stats_yield!$E$3:$BF$1651,53,FALSE))*1000</f>
        <v>#N/A</v>
      </c>
      <c r="F66" s="3494" t="e">
        <f>IF('3.Cropland'!O16&lt;&gt;"",'3.Cropland'!O16*1000,Annual!E66)</f>
        <v>#N/A</v>
      </c>
      <c r="G66" s="3491" t="e">
        <f>IF('3.Cropland'!R132&lt;&gt;"",'3.Cropland'!R132,(IF(C66&lt;&gt;"Default",((F66/1000)*VLOOKUP(C66,' IPCC'!$A$1173:$G$1188,3,FALSE)+VLOOKUP(C66,' IPCC'!$A$1173:$G$1188,4,FALSE)),((F66/1000)*VLOOKUP($C$78,' IPCC'!$A$1173:$G$1188,3,FALSE)+VLOOKUP($C$78,' IPCC'!$A$1173:$G$1188,4,FALSE)))))</f>
        <v>#N/A</v>
      </c>
      <c r="H66" s="3494">
        <f>IF(C66&lt;&gt;"Default",VLOOKUP(C66,' IPCC'!$A$1173:$G$1188,5,FALSE),(VLOOKUP($C$78,' IPCC'!$A$1173:$G$1188,5,FALSE)))</f>
        <v>6.0000000000000001E-3</v>
      </c>
      <c r="I66" s="3495">
        <f>IF(C66&lt;&gt;"Default", VLOOKUP(C66,' IPCC'!$A$1173:$G$1188,6,FALSE), VLOOKUP($C$78,' IPCC'!$A$1173:$G$1188,6,FALSE))</f>
        <v>0.22</v>
      </c>
      <c r="J66" s="3494">
        <f>IF(C66&lt;&gt;"Default", VLOOKUP(C66,' IPCC'!$A$1173:$G$1188,7,FALSE), VLOOKUP($C$78,' IPCC'!$A$1173:$G$1188,7,FALSE))</f>
        <v>8.9999999999999993E-3</v>
      </c>
      <c r="K66" s="3642" t="e">
        <f t="shared" si="40"/>
        <v>#N/A</v>
      </c>
      <c r="L66" s="186"/>
      <c r="M66" s="3494" t="str">
        <f>'3.Cropland'!J132</f>
        <v>None</v>
      </c>
      <c r="N66" s="3490" t="e">
        <f>IF(M66&lt;&gt;"Default",CONCATENATE(continent_selected,VLOOKUP(M66,List_Yield!$G$19:$H$29,2,FALSE)),CONCATENATE(continent_selected,$C$79))</f>
        <v>#N/A</v>
      </c>
      <c r="O66" s="3494" t="e">
        <f>(VLOOKUP(N66,Stats_yield!$E$3:$BF$1651,53,FALSE))*1000</f>
        <v>#N/A</v>
      </c>
      <c r="P66" s="3496" t="e">
        <f>IF('3.Cropland'!L132&lt;&gt;"",'3.Cropland'!L132*1000,Annual!O66)</f>
        <v>#N/A</v>
      </c>
      <c r="Q66" s="3490" t="e">
        <f>IF('3.Cropland'!W132&lt;&gt;"",'3.Cropland'!W132,(IF(M66&lt;&gt;"Default",((P66/1000)*VLOOKUP(M66,' IPCC'!$A$1173:$G$1188,3,FALSE)+VLOOKUP(M66,' IPCC'!$A$1173:$G$1188,4,FALSE)),((P66/1000)*VLOOKUP($C$78,' IPCC'!$A$1173:$G$1188,3,FALSE)+VLOOKUP($C$78,' IPCC'!$A$1173:$G$1188,4,FALSE)))))</f>
        <v>#N/A</v>
      </c>
      <c r="R66" s="3494" t="e">
        <f>IF(M66&lt;&gt;"Default",VLOOKUP(M66,' IPCC'!$A$1173:$G$1188,5,FALSE),(VLOOKUP($C$78,' IPCC'!$A$1173:$G$1188,5,FALSE)))</f>
        <v>#N/A</v>
      </c>
      <c r="S66" s="3495" t="e">
        <f>IF(M66&lt;&gt;"Default", VLOOKUP(M66,' IPCC'!$A$1173:$G$1188,6,FALSE), VLOOKUP($C$78,' IPCC'!$A$1173:$G$1188,6,FALSE))</f>
        <v>#N/A</v>
      </c>
      <c r="T66" s="3494" t="e">
        <f>IF(M66&lt;&gt;"Default", VLOOKUP(M66,' IPCC'!$A$1173:$G$1188,7,FALSE), VLOOKUP($C$78,' IPCC'!$A$1173:$G$1188,7,FALSE))</f>
        <v>#N/A</v>
      </c>
      <c r="U66" s="3496" t="e">
        <f t="shared" si="39"/>
        <v>#N/A</v>
      </c>
      <c r="V66" s="1876"/>
      <c r="W66" s="1876"/>
      <c r="X66" s="1876"/>
      <c r="Y66" s="1876"/>
    </row>
    <row r="67" spans="2:25" ht="13.5" thickTop="1">
      <c r="B67" s="3475" t="str">
        <f t="shared" ref="B67:B76" si="41">B38</f>
        <v>Annual System1</v>
      </c>
      <c r="C67" s="3497" t="str">
        <f>'3.Cropland'!C22</f>
        <v>Default</v>
      </c>
      <c r="D67" s="3497" t="str">
        <f>IF(C67&lt;&gt;"Default",CONCATENATE(continent_selected,VLOOKUP(C67,List_Yield!$G$19:$H$29,2,FALSE)),CONCATENATE(continent_selected,$C$79))</f>
        <v>Please selectCereals,Total + (Total)</v>
      </c>
      <c r="E67" s="3497" t="e">
        <f>(VLOOKUP(D67,Stats_yield!$E$3:$BF$1651,53,FALSE))*1000</f>
        <v>#N/A</v>
      </c>
      <c r="F67" s="3497" t="e">
        <f>IF('3.Cropland'!O22&lt;&gt;"",'3.Cropland'!O22*1000,Annual!E67)</f>
        <v>#N/A</v>
      </c>
      <c r="G67" s="3498" t="e">
        <f>IF('3.Cropland'!R134&lt;&gt;"",'3.Cropland'!R134,(IF(C67&lt;&gt;"Default",((F67/1000)*VLOOKUP(C67,' IPCC'!$A$1173:$G$1188,3,FALSE)+VLOOKUP(C67,' IPCC'!$A$1173:$G$1188,4,FALSE)),((F67/1000)*VLOOKUP($C$78,' IPCC'!$A$1173:$G$1188,3,FALSE)+VLOOKUP($C$78,' IPCC'!$A$1173:$G$1188,4,FALSE)))))</f>
        <v>#N/A</v>
      </c>
      <c r="H67" s="3497">
        <f>IF(C67&lt;&gt;"Default",VLOOKUP(C67,' IPCC'!$A$1173:$G$1188,5,FALSE),(VLOOKUP($C$78,' IPCC'!$A$1173:$G$1188,5,FALSE)))</f>
        <v>6.0000000000000001E-3</v>
      </c>
      <c r="I67" s="3499">
        <f>IF(C67&lt;&gt;"Default", VLOOKUP(C67,' IPCC'!$A$1173:$G$1188,6,FALSE), VLOOKUP($C$78,' IPCC'!$A$1173:$G$1188,6,FALSE))</f>
        <v>0.22</v>
      </c>
      <c r="J67" s="3497">
        <f>IF(C67&lt;&gt;"Default", VLOOKUP(C67,' IPCC'!$A$1173:$G$1188,7,FALSE), VLOOKUP($C$78,' IPCC'!$A$1173:$G$1188,7,FALSE))</f>
        <v>8.9999999999999993E-3</v>
      </c>
      <c r="K67" s="3643" t="e">
        <f t="shared" si="40"/>
        <v>#N/A</v>
      </c>
      <c r="L67" s="186"/>
      <c r="M67" s="3497" t="str">
        <f>'3.Cropland'!J134</f>
        <v>None</v>
      </c>
      <c r="N67" s="3497" t="e">
        <f>IF(M67&lt;&gt;"Default",CONCATENATE(continent_selected,VLOOKUP(M67,List_Yield!$G$19:$H$29,2,FALSE)),CONCATENATE(continent_selected,$C$79))</f>
        <v>#N/A</v>
      </c>
      <c r="O67" s="3497" t="e">
        <f>(VLOOKUP(N67,Stats_yield!$E$3:$BF$1651,53,FALSE))*1000</f>
        <v>#N/A</v>
      </c>
      <c r="P67" s="3500" t="e">
        <f>IF('3.Cropland'!L134&lt;&gt;"",'3.Cropland'!L134*1000,Annual!O67)</f>
        <v>#N/A</v>
      </c>
      <c r="Q67" s="3498" t="e">
        <f>IF('3.Cropland'!W134&lt;&gt;"",'3.Cropland'!W134,(IF(M67&lt;&gt;"Default",((P67/1000)*VLOOKUP(M67,' IPCC'!$A$1173:$G$1188,3,FALSE)+VLOOKUP(M67,' IPCC'!$A$1173:$G$1188,4,FALSE)),((P67/1000)*VLOOKUP($C$78,' IPCC'!$A$1173:$G$1188,3,FALSE)+VLOOKUP($C$78,' IPCC'!$A$1173:$G$1188,4,FALSE)))))</f>
        <v>#N/A</v>
      </c>
      <c r="R67" s="3497" t="e">
        <f>IF(M67&lt;&gt;"Default",VLOOKUP(M67,' IPCC'!$A$1173:$G$1188,5,FALSE),(VLOOKUP($C$78,' IPCC'!$A$1173:$G$1188,5,FALSE)))</f>
        <v>#N/A</v>
      </c>
      <c r="S67" s="3499" t="e">
        <f>IF(M67&lt;&gt;"Default", VLOOKUP(M67,' IPCC'!$A$1173:$G$1188,6,FALSE), VLOOKUP($C$78,' IPCC'!$A$1173:$G$1188,6,FALSE))</f>
        <v>#N/A</v>
      </c>
      <c r="T67" s="3497" t="e">
        <f>IF(M67&lt;&gt;"Default", VLOOKUP(M67,' IPCC'!$A$1173:$G$1188,7,FALSE), VLOOKUP($C$78,' IPCC'!$A$1173:$G$1188,7,FALSE))</f>
        <v>#N/A</v>
      </c>
      <c r="U67" s="3500" t="e">
        <f t="shared" si="39"/>
        <v>#N/A</v>
      </c>
      <c r="V67" s="1876"/>
      <c r="W67" s="1876"/>
      <c r="X67" s="1876"/>
      <c r="Y67" s="1876"/>
    </row>
    <row r="68" spans="2:25">
      <c r="B68" s="153" t="str">
        <f t="shared" si="41"/>
        <v>Annual System2</v>
      </c>
      <c r="C68" s="3490" t="str">
        <f>'3.Cropland'!C23</f>
        <v>Default</v>
      </c>
      <c r="D68" s="3490" t="str">
        <f>IF(C68&lt;&gt;"Default",CONCATENATE(continent_selected,VLOOKUP(C68,List_Yield!$G$19:$H$29,2,FALSE)),CONCATENATE(continent_selected,$C$79))</f>
        <v>Please selectCereals,Total + (Total)</v>
      </c>
      <c r="E68" s="3490" t="e">
        <f>(VLOOKUP(D68,Stats_yield!$E$3:$BF$1651,53,FALSE))*1000</f>
        <v>#N/A</v>
      </c>
      <c r="F68" s="3490" t="e">
        <f>IF('3.Cropland'!O23&lt;&gt;"",'3.Cropland'!O23*1000,Annual!E68)</f>
        <v>#N/A</v>
      </c>
      <c r="G68" s="3491" t="e">
        <f>IF('3.Cropland'!R135&lt;&gt;"",'3.Cropland'!R135,(IF(C68&lt;&gt;"Default",((F68/1000)*VLOOKUP(C68,' IPCC'!$A$1173:$G$1188,3,FALSE)+VLOOKUP(C68,' IPCC'!$A$1173:$G$1188,4,FALSE)),((F68/1000)*VLOOKUP($C$78,' IPCC'!$A$1173:$G$1188,3,FALSE)+VLOOKUP($C$78,' IPCC'!$A$1173:$G$1188,4,FALSE)))))</f>
        <v>#N/A</v>
      </c>
      <c r="H68" s="3490">
        <f>IF(C68&lt;&gt;"Default",VLOOKUP(C68,' IPCC'!$A$1173:$G$1188,5,FALSE),(VLOOKUP($C$78,' IPCC'!$A$1173:$G$1188,5,FALSE)))</f>
        <v>6.0000000000000001E-3</v>
      </c>
      <c r="I68" s="3492">
        <f>IF(C68&lt;&gt;"Default", VLOOKUP(C68,' IPCC'!$A$1173:$G$1188,6,FALSE), VLOOKUP($C$78,' IPCC'!$A$1173:$G$1188,6,FALSE))</f>
        <v>0.22</v>
      </c>
      <c r="J68" s="3490">
        <f>IF(C68&lt;&gt;"Default", VLOOKUP(C68,' IPCC'!$A$1173:$G$1188,7,FALSE), VLOOKUP($C$78,' IPCC'!$A$1173:$G$1188,7,FALSE))</f>
        <v>8.9999999999999993E-3</v>
      </c>
      <c r="K68" s="3641" t="e">
        <f>G68*H68+(G68*1000+F68)*I68*J68</f>
        <v>#N/A</v>
      </c>
      <c r="L68" s="186"/>
      <c r="M68" s="3490" t="str">
        <f>'3.Cropland'!J135</f>
        <v>None</v>
      </c>
      <c r="N68" s="3490" t="e">
        <f>IF(M68&lt;&gt;"Default",CONCATENATE(continent_selected,VLOOKUP(M68,List_Yield!$G$19:$H$29,2,FALSE)),CONCATENATE(continent_selected,$C$79))</f>
        <v>#N/A</v>
      </c>
      <c r="O68" s="3490" t="e">
        <f>(VLOOKUP(N68,Stats_yield!$E$3:$BF$1651,53,FALSE))*1000</f>
        <v>#N/A</v>
      </c>
      <c r="P68" s="3493" t="e">
        <f>IF('3.Cropland'!L135&lt;&gt;"",'3.Cropland'!L135*1000,Annual!O68)</f>
        <v>#N/A</v>
      </c>
      <c r="Q68" s="3491" t="e">
        <f>IF('3.Cropland'!W135&lt;&gt;"",'3.Cropland'!W135,(IF(M68&lt;&gt;"Default",((P68/1000)*VLOOKUP(M68,' IPCC'!$A$1173:$G$1188,3,FALSE)+VLOOKUP(M68,' IPCC'!$A$1173:$G$1188,4,FALSE)),((P68/1000)*VLOOKUP($C$78,' IPCC'!$A$1173:$G$1188,3,FALSE)+VLOOKUP($C$78,' IPCC'!$A$1173:$G$1188,4,FALSE)))))</f>
        <v>#N/A</v>
      </c>
      <c r="R68" s="3490" t="e">
        <f>IF(M68&lt;&gt;"Default",VLOOKUP(M68,' IPCC'!$A$1173:$G$1188,5,FALSE),(VLOOKUP($C$78,' IPCC'!$A$1173:$G$1188,5,FALSE)))</f>
        <v>#N/A</v>
      </c>
      <c r="S68" s="3492" t="e">
        <f>IF(M68&lt;&gt;"Default", VLOOKUP(M68,' IPCC'!$A$1173:$G$1188,6,FALSE), VLOOKUP($C$78,' IPCC'!$A$1173:$G$1188,6,FALSE))</f>
        <v>#N/A</v>
      </c>
      <c r="T68" s="3490" t="e">
        <f>IF(M68&lt;&gt;"Default", VLOOKUP(M68,' IPCC'!$A$1173:$G$1188,7,FALSE), VLOOKUP($C$78,' IPCC'!$A$1173:$G$1188,7,FALSE))</f>
        <v>#N/A</v>
      </c>
      <c r="U68" s="3493" t="e">
        <f t="shared" si="39"/>
        <v>#N/A</v>
      </c>
      <c r="V68" s="1876"/>
      <c r="W68" s="1876"/>
      <c r="X68" s="1876"/>
      <c r="Y68" s="1876"/>
    </row>
    <row r="69" spans="2:25">
      <c r="B69" s="153" t="str">
        <f t="shared" si="41"/>
        <v>Annual System3</v>
      </c>
      <c r="C69" s="3490" t="str">
        <f>'3.Cropland'!C24</f>
        <v>Default</v>
      </c>
      <c r="D69" s="3490" t="str">
        <f>IF(C69&lt;&gt;"Default",CONCATENATE(continent_selected,VLOOKUP(C69,List_Yield!$G$19:$H$29,2,FALSE)),CONCATENATE(continent_selected,$C$79))</f>
        <v>Please selectCereals,Total + (Total)</v>
      </c>
      <c r="E69" s="3490" t="e">
        <f>(VLOOKUP(D69,Stats_yield!$E$3:$BF$1651,53,FALSE))*1000</f>
        <v>#N/A</v>
      </c>
      <c r="F69" s="3490" t="e">
        <f>IF('3.Cropland'!O24&lt;&gt;"",'3.Cropland'!O24*1000,Annual!E69)</f>
        <v>#N/A</v>
      </c>
      <c r="G69" s="3491" t="e">
        <f>IF('3.Cropland'!R136&lt;&gt;"",'3.Cropland'!R136,(IF(C69&lt;&gt;"Default",((F69/1000)*VLOOKUP(C69,' IPCC'!$A$1173:$G$1188,3,FALSE)+VLOOKUP(C69,' IPCC'!$A$1173:$G$1188,4,FALSE)),((F69/1000)*VLOOKUP($C$78,' IPCC'!$A$1173:$G$1188,3,FALSE)+VLOOKUP($C$78,' IPCC'!$A$1173:$G$1188,4,FALSE)))))</f>
        <v>#N/A</v>
      </c>
      <c r="H69" s="3490">
        <f>IF(C69&lt;&gt;"Default",VLOOKUP(C69,' IPCC'!$A$1173:$G$1188,5,FALSE),(VLOOKUP($C$78,' IPCC'!$A$1173:$G$1188,5,FALSE)))</f>
        <v>6.0000000000000001E-3</v>
      </c>
      <c r="I69" s="3492">
        <f>IF(C69&lt;&gt;"Default", VLOOKUP(C69,' IPCC'!$A$1173:$G$1188,6,FALSE), VLOOKUP($C$78,' IPCC'!$A$1173:$G$1188,6,FALSE))</f>
        <v>0.22</v>
      </c>
      <c r="J69" s="3490">
        <f>IF(C69&lt;&gt;"Default", VLOOKUP(C69,' IPCC'!$A$1173:$G$1188,7,FALSE), VLOOKUP($C$78,' IPCC'!$A$1173:$G$1188,7,FALSE))</f>
        <v>8.9999999999999993E-3</v>
      </c>
      <c r="K69" s="3641" t="e">
        <f t="shared" si="40"/>
        <v>#N/A</v>
      </c>
      <c r="L69" s="186"/>
      <c r="M69" s="3490" t="str">
        <f>'3.Cropland'!J136</f>
        <v>None</v>
      </c>
      <c r="N69" s="3490" t="e">
        <f>IF(M69&lt;&gt;"Default",CONCATENATE(continent_selected,VLOOKUP(M69,List_Yield!$G$19:$H$29,2,FALSE)),CONCATENATE(continent_selected,$C$79))</f>
        <v>#N/A</v>
      </c>
      <c r="O69" s="3490" t="e">
        <f>(VLOOKUP(N69,Stats_yield!$E$3:$BF$1651,53,FALSE))*1000</f>
        <v>#N/A</v>
      </c>
      <c r="P69" s="3493" t="e">
        <f>IF('3.Cropland'!L136&lt;&gt;"",'3.Cropland'!L136*1000,Annual!O69)</f>
        <v>#N/A</v>
      </c>
      <c r="Q69" s="3491" t="e">
        <f>IF('3.Cropland'!W136&lt;&gt;"",'3.Cropland'!W136,(IF(M69&lt;&gt;"Default",((P69/1000)*VLOOKUP(M69,' IPCC'!$A$1173:$G$1188,3,FALSE)+VLOOKUP(M69,' IPCC'!$A$1173:$G$1188,4,FALSE)),((P69/1000)*VLOOKUP($C$78,' IPCC'!$A$1173:$G$1188,3,FALSE)+VLOOKUP($C$78,' IPCC'!$A$1173:$G$1188,4,FALSE)))))</f>
        <v>#N/A</v>
      </c>
      <c r="R69" s="3490" t="e">
        <f>IF(M69&lt;&gt;"Default",VLOOKUP(M69,' IPCC'!$A$1173:$G$1188,5,FALSE),(VLOOKUP($C$78,' IPCC'!$A$1173:$G$1188,5,FALSE)))</f>
        <v>#N/A</v>
      </c>
      <c r="S69" s="3492" t="e">
        <f>IF(M69&lt;&gt;"Default", VLOOKUP(M69,' IPCC'!$A$1173:$G$1188,6,FALSE), VLOOKUP($C$78,' IPCC'!$A$1173:$G$1188,6,FALSE))</f>
        <v>#N/A</v>
      </c>
      <c r="T69" s="3490" t="e">
        <f>IF(M69&lt;&gt;"Default", VLOOKUP(M69,' IPCC'!$A$1173:$G$1188,7,FALSE), VLOOKUP($C$78,' IPCC'!$A$1173:$G$1188,7,FALSE))</f>
        <v>#N/A</v>
      </c>
      <c r="U69" s="3493" t="e">
        <f t="shared" si="39"/>
        <v>#N/A</v>
      </c>
      <c r="V69" s="1876"/>
      <c r="W69" s="1876"/>
      <c r="X69" s="1876"/>
      <c r="Y69" s="1876"/>
    </row>
    <row r="70" spans="2:25">
      <c r="B70" s="153" t="str">
        <f t="shared" si="41"/>
        <v>Annual System4</v>
      </c>
      <c r="C70" s="3490" t="str">
        <f>'3.Cropland'!C25</f>
        <v>Default</v>
      </c>
      <c r="D70" s="3490" t="str">
        <f>IF(C70&lt;&gt;"Default",CONCATENATE(continent_selected,VLOOKUP(C70,List_Yield!$G$19:$H$29,2,FALSE)),CONCATENATE(continent_selected,$C$79))</f>
        <v>Please selectCereals,Total + (Total)</v>
      </c>
      <c r="E70" s="3490" t="e">
        <f>(VLOOKUP(D70,Stats_yield!$E$3:$BF$1651,53,FALSE))*1000</f>
        <v>#N/A</v>
      </c>
      <c r="F70" s="3490" t="e">
        <f>IF('3.Cropland'!O25&lt;&gt;"",'3.Cropland'!O25*1000,Annual!E70)</f>
        <v>#N/A</v>
      </c>
      <c r="G70" s="3491" t="e">
        <f>IF('3.Cropland'!R137&lt;&gt;"",'3.Cropland'!R137,(IF(C70&lt;&gt;"Default",((F70/1000)*VLOOKUP(C70,' IPCC'!$A$1173:$G$1188,3,FALSE)+VLOOKUP(C70,' IPCC'!$A$1173:$G$1188,4,FALSE)),((F70/1000)*VLOOKUP($C$78,' IPCC'!$A$1173:$G$1188,3,FALSE)+VLOOKUP($C$78,' IPCC'!$A$1173:$G$1188,4,FALSE)))))</f>
        <v>#N/A</v>
      </c>
      <c r="H70" s="3490">
        <f>IF(C70&lt;&gt;"Default",VLOOKUP(C70,' IPCC'!$A$1173:$G$1188,5,FALSE),(VLOOKUP($C$78,' IPCC'!$A$1173:$G$1188,5,FALSE)))</f>
        <v>6.0000000000000001E-3</v>
      </c>
      <c r="I70" s="3492">
        <f>IF(C70&lt;&gt;"Default", VLOOKUP(C70,' IPCC'!$A$1173:$G$1188,6,FALSE), VLOOKUP($C$78,' IPCC'!$A$1173:$G$1188,6,FALSE))</f>
        <v>0.22</v>
      </c>
      <c r="J70" s="3490">
        <f>IF(C70&lt;&gt;"Default", VLOOKUP(C70,' IPCC'!$A$1173:$G$1188,7,FALSE), VLOOKUP($C$78,' IPCC'!$A$1173:$G$1188,7,FALSE))</f>
        <v>8.9999999999999993E-3</v>
      </c>
      <c r="K70" s="3641" t="e">
        <f>G70*H70+(G70*1000+F70)*I70*J70</f>
        <v>#N/A</v>
      </c>
      <c r="L70" s="186"/>
      <c r="M70" s="3490" t="str">
        <f>'3.Cropland'!J137</f>
        <v>None</v>
      </c>
      <c r="N70" s="3490" t="e">
        <f>IF(M70&lt;&gt;"Default",CONCATENATE(continent_selected,VLOOKUP(M70,List_Yield!$G$19:$H$29,2,FALSE)),CONCATENATE(continent_selected,$C$79))</f>
        <v>#N/A</v>
      </c>
      <c r="O70" s="3490" t="e">
        <f>(VLOOKUP(N70,Stats_yield!$E$3:$BF$1651,53,FALSE))*1000</f>
        <v>#N/A</v>
      </c>
      <c r="P70" s="3493" t="e">
        <f>IF('3.Cropland'!L137&lt;&gt;"",'3.Cropland'!L137*1000,Annual!O70)</f>
        <v>#N/A</v>
      </c>
      <c r="Q70" s="3491" t="e">
        <f>IF('3.Cropland'!W137&lt;&gt;"",'3.Cropland'!W137,(IF(M70&lt;&gt;"Default",((P70/1000)*VLOOKUP(M70,' IPCC'!$A$1173:$G$1188,3,FALSE)+VLOOKUP(M70,' IPCC'!$A$1173:$G$1188,4,FALSE)),((P70/1000)*VLOOKUP($C$78,' IPCC'!$A$1173:$G$1188,3,FALSE)+VLOOKUP($C$78,' IPCC'!$A$1173:$G$1188,4,FALSE)))))</f>
        <v>#N/A</v>
      </c>
      <c r="R70" s="3490" t="e">
        <f>IF(M70&lt;&gt;"Default",VLOOKUP(M70,' IPCC'!$A$1173:$G$1188,5,FALSE),(VLOOKUP($C$78,' IPCC'!$A$1173:$G$1188,5,FALSE)))</f>
        <v>#N/A</v>
      </c>
      <c r="S70" s="3492" t="e">
        <f>IF(M70&lt;&gt;"Default", VLOOKUP(M70,' IPCC'!$A$1173:$G$1188,6,FALSE), VLOOKUP($C$78,' IPCC'!$A$1173:$G$1188,6,FALSE))</f>
        <v>#N/A</v>
      </c>
      <c r="T70" s="3490" t="e">
        <f>IF(M70&lt;&gt;"Default", VLOOKUP(M70,' IPCC'!$A$1173:$G$1188,7,FALSE), VLOOKUP($C$78,' IPCC'!$A$1173:$G$1188,7,FALSE))</f>
        <v>#N/A</v>
      </c>
      <c r="U70" s="3493" t="e">
        <f>Q70*R70+(Q70*1000+P70)*S70*T70</f>
        <v>#N/A</v>
      </c>
      <c r="V70" s="1876"/>
      <c r="W70" s="1876"/>
      <c r="X70" s="1876"/>
      <c r="Y70" s="1876"/>
    </row>
    <row r="71" spans="2:25">
      <c r="B71" s="153" t="str">
        <f t="shared" si="41"/>
        <v>Annual System5</v>
      </c>
      <c r="C71" s="3490" t="str">
        <f>'3.Cropland'!C26</f>
        <v>Default</v>
      </c>
      <c r="D71" s="3490" t="str">
        <f>IF(C71&lt;&gt;"Default",CONCATENATE(continent_selected,VLOOKUP(C71,List_Yield!$G$19:$H$29,2,FALSE)),CONCATENATE(continent_selected,$C$79))</f>
        <v>Please selectCereals,Total + (Total)</v>
      </c>
      <c r="E71" s="3490" t="e">
        <f>(VLOOKUP(D71,Stats_yield!$E$3:$BF$1651,53,FALSE))*1000</f>
        <v>#N/A</v>
      </c>
      <c r="F71" s="3490" t="e">
        <f>IF('3.Cropland'!O26&lt;&gt;"",'3.Cropland'!O26*1000,Annual!E71)</f>
        <v>#N/A</v>
      </c>
      <c r="G71" s="3491" t="e">
        <f>IF('3.Cropland'!R138&lt;&gt;"",'3.Cropland'!R138,(IF(C71&lt;&gt;"Default",((F71/1000)*VLOOKUP(C71,' IPCC'!$A$1173:$G$1188,3,FALSE)+VLOOKUP(C71,' IPCC'!$A$1173:$G$1188,4,FALSE)),((F71/1000)*VLOOKUP($C$78,' IPCC'!$A$1173:$G$1188,3,FALSE)+VLOOKUP($C$78,' IPCC'!$A$1173:$G$1188,4,FALSE)))))</f>
        <v>#N/A</v>
      </c>
      <c r="H71" s="3490">
        <f>IF(C71&lt;&gt;"Default",VLOOKUP(C71,' IPCC'!$A$1173:$G$1188,5,FALSE),(VLOOKUP($C$78,' IPCC'!$A$1173:$G$1188,5,FALSE)))</f>
        <v>6.0000000000000001E-3</v>
      </c>
      <c r="I71" s="3492">
        <f>IF(C71&lt;&gt;"Default", VLOOKUP(C71,' IPCC'!$A$1173:$G$1188,6,FALSE), VLOOKUP($C$78,' IPCC'!$A$1173:$G$1188,6,FALSE))</f>
        <v>0.22</v>
      </c>
      <c r="J71" s="3490">
        <f>IF(C71&lt;&gt;"Default", VLOOKUP(C71,' IPCC'!$A$1173:$G$1188,7,FALSE), VLOOKUP($C$78,' IPCC'!$A$1173:$G$1188,7,FALSE))</f>
        <v>8.9999999999999993E-3</v>
      </c>
      <c r="K71" s="3641" t="e">
        <f t="shared" si="40"/>
        <v>#N/A</v>
      </c>
      <c r="L71" s="186"/>
      <c r="M71" s="3490" t="str">
        <f>'3.Cropland'!J138</f>
        <v>None</v>
      </c>
      <c r="N71" s="3490" t="e">
        <f>IF(M71&lt;&gt;"Default",CONCATENATE(continent_selected,VLOOKUP(M71,List_Yield!$G$19:$H$29,2,FALSE)),CONCATENATE(continent_selected,$C$79))</f>
        <v>#N/A</v>
      </c>
      <c r="O71" s="3490" t="e">
        <f>(VLOOKUP(N71,Stats_yield!$E$3:$BF$1651,53,FALSE))*1000</f>
        <v>#N/A</v>
      </c>
      <c r="P71" s="3493" t="e">
        <f>IF('3.Cropland'!L138&lt;&gt;"",'3.Cropland'!L138*1000,Annual!O71)</f>
        <v>#N/A</v>
      </c>
      <c r="Q71" s="3491" t="e">
        <f>IF('3.Cropland'!W138&lt;&gt;"",'3.Cropland'!W138,(IF(M71&lt;&gt;"Default",((P71/1000)*VLOOKUP(M71,' IPCC'!$A$1173:$G$1188,3,FALSE)+VLOOKUP(M71,' IPCC'!$A$1173:$G$1188,4,FALSE)),((P71/1000)*VLOOKUP($C$78,' IPCC'!$A$1173:$G$1188,3,FALSE)+VLOOKUP($C$78,' IPCC'!$A$1173:$G$1188,4,FALSE)))))</f>
        <v>#N/A</v>
      </c>
      <c r="R71" s="3490" t="e">
        <f>IF(M71&lt;&gt;"Default",VLOOKUP(M71,' IPCC'!$A$1173:$G$1188,5,FALSE),(VLOOKUP($C$78,' IPCC'!$A$1173:$G$1188,5,FALSE)))</f>
        <v>#N/A</v>
      </c>
      <c r="S71" s="3492" t="e">
        <f>IF(M71&lt;&gt;"Default", VLOOKUP(M71,' IPCC'!$A$1173:$G$1188,6,FALSE), VLOOKUP($C$78,' IPCC'!$A$1173:$G$1188,6,FALSE))</f>
        <v>#N/A</v>
      </c>
      <c r="T71" s="3490" t="e">
        <f>IF(M71&lt;&gt;"Default", VLOOKUP(M71,' IPCC'!$A$1173:$G$1188,7,FALSE), VLOOKUP($C$78,' IPCC'!$A$1173:$G$1188,7,FALSE))</f>
        <v>#N/A</v>
      </c>
      <c r="U71" s="3490" t="e">
        <f t="shared" ref="U71:U76" si="42">Q71*R71+(Q71*1000+P71)*S71*T71</f>
        <v>#N/A</v>
      </c>
      <c r="V71" s="1876"/>
      <c r="W71" s="1876"/>
      <c r="X71" s="1876"/>
      <c r="Y71" s="1876"/>
    </row>
    <row r="72" spans="2:25">
      <c r="B72" s="153" t="str">
        <f t="shared" si="41"/>
        <v>Annual System6</v>
      </c>
      <c r="C72" s="3490" t="str">
        <f>'3.Cropland'!C27</f>
        <v>Default</v>
      </c>
      <c r="D72" s="3490" t="str">
        <f>IF(C72&lt;&gt;"Default",CONCATENATE(continent_selected,VLOOKUP(C72,List_Yield!$G$19:$H$29,2,FALSE)),CONCATENATE(continent_selected,$C$79))</f>
        <v>Please selectCereals,Total + (Total)</v>
      </c>
      <c r="E72" s="3490" t="e">
        <f>(VLOOKUP(D72,Stats_yield!$E$3:$BF$1651,53,FALSE))*1000</f>
        <v>#N/A</v>
      </c>
      <c r="F72" s="3490" t="e">
        <f>IF('3.Cropland'!O27&lt;&gt;"",'3.Cropland'!O27*1000,Annual!E72)</f>
        <v>#N/A</v>
      </c>
      <c r="G72" s="3491" t="e">
        <f>IF('3.Cropland'!R139&lt;&gt;"",'3.Cropland'!R139,(IF(C72&lt;&gt;"Default",((F72/1000)*VLOOKUP(C72,' IPCC'!$A$1173:$G$1188,3,FALSE)+VLOOKUP(C72,' IPCC'!$A$1173:$G$1188,4,FALSE)),((F72/1000)*VLOOKUP($C$78,' IPCC'!$A$1173:$G$1188,3,FALSE)+VLOOKUP($C$78,' IPCC'!$A$1173:$G$1188,4,FALSE)))))</f>
        <v>#N/A</v>
      </c>
      <c r="H72" s="3490">
        <f>IF(C72&lt;&gt;"Default",VLOOKUP(C72,' IPCC'!$A$1173:$G$1188,5,FALSE),(VLOOKUP($C$78,' IPCC'!$A$1173:$G$1188,5,FALSE)))</f>
        <v>6.0000000000000001E-3</v>
      </c>
      <c r="I72" s="3492">
        <f>IF(C72&lt;&gt;"Default", VLOOKUP(C72,' IPCC'!$A$1173:$G$1188,6,FALSE), VLOOKUP($C$78,' IPCC'!$A$1173:$G$1188,6,FALSE))</f>
        <v>0.22</v>
      </c>
      <c r="J72" s="3490">
        <f>IF(C72&lt;&gt;"Default", VLOOKUP(C72,' IPCC'!$A$1173:$G$1188,7,FALSE), VLOOKUP($C$78,' IPCC'!$A$1173:$G$1188,7,FALSE))</f>
        <v>8.9999999999999993E-3</v>
      </c>
      <c r="K72" s="3641" t="e">
        <f t="shared" si="40"/>
        <v>#N/A</v>
      </c>
      <c r="L72" s="186"/>
      <c r="M72" s="3490" t="str">
        <f>'3.Cropland'!J139</f>
        <v>None</v>
      </c>
      <c r="N72" s="3490" t="e">
        <f>IF(M72&lt;&gt;"Default",CONCATENATE(continent_selected,VLOOKUP(M72,List_Yield!$G$19:$H$29,2,FALSE)),CONCATENATE(continent_selected,$C$79))</f>
        <v>#N/A</v>
      </c>
      <c r="O72" s="3490" t="e">
        <f>(VLOOKUP(N72,Stats_yield!$E$3:$BF$1651,53,FALSE))*1000</f>
        <v>#N/A</v>
      </c>
      <c r="P72" s="3493" t="e">
        <f>IF('3.Cropland'!L139&lt;&gt;"",'3.Cropland'!L139*1000,Annual!O72)</f>
        <v>#N/A</v>
      </c>
      <c r="Q72" s="3491" t="e">
        <f>IF('3.Cropland'!W139&lt;&gt;"",'3.Cropland'!W139,(IF(M72&lt;&gt;"Default",((P72/1000)*VLOOKUP(M72,' IPCC'!$A$1173:$G$1188,3,FALSE)+VLOOKUP(M72,' IPCC'!$A$1173:$G$1188,4,FALSE)),((P72/1000)*VLOOKUP($C$78,' IPCC'!$A$1173:$G$1188,3,FALSE)+VLOOKUP($C$78,' IPCC'!$A$1173:$G$1188,4,FALSE)))))</f>
        <v>#N/A</v>
      </c>
      <c r="R72" s="3490" t="e">
        <f>IF(M72&lt;&gt;"Default",VLOOKUP(M72,' IPCC'!$A$1173:$G$1188,5,FALSE),(VLOOKUP($C$78,' IPCC'!$A$1173:$G$1188,5,FALSE)))</f>
        <v>#N/A</v>
      </c>
      <c r="S72" s="3492" t="e">
        <f>IF(M72&lt;&gt;"Default", VLOOKUP(M72,' IPCC'!$A$1173:$G$1188,6,FALSE), VLOOKUP($C$78,' IPCC'!$A$1173:$G$1188,6,FALSE))</f>
        <v>#N/A</v>
      </c>
      <c r="T72" s="3490" t="e">
        <f>IF(M72&lt;&gt;"Default", VLOOKUP(M72,' IPCC'!$A$1173:$G$1188,7,FALSE), VLOOKUP($C$78,' IPCC'!$A$1173:$G$1188,7,FALSE))</f>
        <v>#N/A</v>
      </c>
      <c r="U72" s="3490" t="e">
        <f t="shared" si="42"/>
        <v>#N/A</v>
      </c>
      <c r="V72" s="1876"/>
      <c r="W72" s="1876"/>
      <c r="X72" s="1876"/>
      <c r="Y72" s="1876"/>
    </row>
    <row r="73" spans="2:25">
      <c r="B73" s="153" t="str">
        <f t="shared" si="41"/>
        <v>Annual System7</v>
      </c>
      <c r="C73" s="3490" t="str">
        <f>'3.Cropland'!C28</f>
        <v>Default</v>
      </c>
      <c r="D73" s="3490" t="str">
        <f>IF(C73&lt;&gt;"Default",CONCATENATE(continent_selected,VLOOKUP(C73,List_Yield!$G$19:$H$29,2,FALSE)),CONCATENATE(continent_selected,$C$79))</f>
        <v>Please selectCereals,Total + (Total)</v>
      </c>
      <c r="E73" s="3490" t="e">
        <f>(VLOOKUP(D73,Stats_yield!$E$3:$BF$1651,53,FALSE))*1000</f>
        <v>#N/A</v>
      </c>
      <c r="F73" s="3490" t="e">
        <f>IF('3.Cropland'!O28&lt;&gt;"",'3.Cropland'!O28*1000,Annual!E73)</f>
        <v>#N/A</v>
      </c>
      <c r="G73" s="3491" t="e">
        <f>IF('3.Cropland'!R140&lt;&gt;"",'3.Cropland'!R140,(IF(C73&lt;&gt;"Default",((F73/1000)*VLOOKUP(C73,' IPCC'!$A$1173:$G$1188,3,FALSE)+VLOOKUP(C73,' IPCC'!$A$1173:$G$1188,4,FALSE)),((F73/1000)*VLOOKUP($C$78,' IPCC'!$A$1173:$G$1188,3,FALSE)+VLOOKUP($C$78,' IPCC'!$A$1173:$G$1188,4,FALSE)))))</f>
        <v>#N/A</v>
      </c>
      <c r="H73" s="3490">
        <f>IF(C73&lt;&gt;"Default",VLOOKUP(C73,' IPCC'!$A$1173:$G$1188,5,FALSE),(VLOOKUP($C$78,' IPCC'!$A$1173:$G$1188,5,FALSE)))</f>
        <v>6.0000000000000001E-3</v>
      </c>
      <c r="I73" s="3492">
        <f>IF(C73&lt;&gt;"Default", VLOOKUP(C73,' IPCC'!$A$1173:$G$1188,6,FALSE), VLOOKUP($C$78,' IPCC'!$A$1173:$G$1188,6,FALSE))</f>
        <v>0.22</v>
      </c>
      <c r="J73" s="3490">
        <f>IF(C73&lt;&gt;"Default", VLOOKUP(C73,' IPCC'!$A$1173:$G$1188,7,FALSE), VLOOKUP($C$78,' IPCC'!$A$1173:$G$1188,7,FALSE))</f>
        <v>8.9999999999999993E-3</v>
      </c>
      <c r="K73" s="3641" t="e">
        <f t="shared" si="40"/>
        <v>#N/A</v>
      </c>
      <c r="L73" s="186"/>
      <c r="M73" s="3490" t="str">
        <f>'3.Cropland'!J140</f>
        <v>None</v>
      </c>
      <c r="N73" s="3490" t="e">
        <f>IF(M73&lt;&gt;"Default",CONCATENATE(continent_selected,VLOOKUP(M73,List_Yield!$G$19:$H$29,2,FALSE)),CONCATENATE(continent_selected,$C$79))</f>
        <v>#N/A</v>
      </c>
      <c r="O73" s="3490" t="e">
        <f>(VLOOKUP(N73,Stats_yield!$E$3:$BF$1651,53,FALSE))*1000</f>
        <v>#N/A</v>
      </c>
      <c r="P73" s="3493" t="e">
        <f>IF('3.Cropland'!L140&lt;&gt;"",'3.Cropland'!L140*1000,Annual!O73)</f>
        <v>#N/A</v>
      </c>
      <c r="Q73" s="3491" t="e">
        <f>IF('3.Cropland'!W140&lt;&gt;"",'3.Cropland'!W140,(IF(M73&lt;&gt;"Default",((P73/1000)*VLOOKUP(M73,' IPCC'!$A$1173:$G$1188,3,FALSE)+VLOOKUP(M73,' IPCC'!$A$1173:$G$1188,4,FALSE)),((P73/1000)*VLOOKUP($C$78,' IPCC'!$A$1173:$G$1188,3,FALSE)+VLOOKUP($C$78,' IPCC'!$A$1173:$G$1188,4,FALSE)))))</f>
        <v>#N/A</v>
      </c>
      <c r="R73" s="3490" t="e">
        <f>IF(M73&lt;&gt;"Default",VLOOKUP(M73,' IPCC'!$A$1173:$G$1188,5,FALSE),(VLOOKUP($C$78,' IPCC'!$A$1173:$G$1188,5,FALSE)))</f>
        <v>#N/A</v>
      </c>
      <c r="S73" s="3492" t="e">
        <f>IF(M73&lt;&gt;"Default", VLOOKUP(M73,' IPCC'!$A$1173:$G$1188,6,FALSE), VLOOKUP($C$78,' IPCC'!$A$1173:$G$1188,6,FALSE))</f>
        <v>#N/A</v>
      </c>
      <c r="T73" s="3490" t="e">
        <f>IF(M73&lt;&gt;"Default", VLOOKUP(M73,' IPCC'!$A$1173:$G$1188,7,FALSE), VLOOKUP($C$78,' IPCC'!$A$1173:$G$1188,7,FALSE))</f>
        <v>#N/A</v>
      </c>
      <c r="U73" s="3490" t="e">
        <f t="shared" si="42"/>
        <v>#N/A</v>
      </c>
      <c r="V73" s="1876"/>
      <c r="W73" s="1876"/>
      <c r="X73" s="1876"/>
      <c r="Y73" s="1876"/>
    </row>
    <row r="74" spans="2:25">
      <c r="B74" s="153" t="str">
        <f t="shared" si="41"/>
        <v>Annual System8</v>
      </c>
      <c r="C74" s="3490" t="str">
        <f>'3.Cropland'!C29</f>
        <v>Default</v>
      </c>
      <c r="D74" s="3490" t="str">
        <f>IF(C74&lt;&gt;"Default",CONCATENATE(continent_selected,VLOOKUP(C74,List_Yield!$G$19:$H$29,2,FALSE)),CONCATENATE(continent_selected,$C$79))</f>
        <v>Please selectCereals,Total + (Total)</v>
      </c>
      <c r="E74" s="3490" t="e">
        <f>(VLOOKUP(D74,Stats_yield!$E$3:$BF$1651,53,FALSE))*1000</f>
        <v>#N/A</v>
      </c>
      <c r="F74" s="3490" t="e">
        <f>IF('3.Cropland'!O29&lt;&gt;"",'3.Cropland'!O29*1000,Annual!E74)</f>
        <v>#N/A</v>
      </c>
      <c r="G74" s="3491" t="e">
        <f>IF('3.Cropland'!R141&lt;&gt;"",'3.Cropland'!R141,(IF(C74&lt;&gt;"Default",((F74/1000)*VLOOKUP(C74,' IPCC'!$A$1173:$G$1188,3,FALSE)+VLOOKUP(C74,' IPCC'!$A$1173:$G$1188,4,FALSE)),((F74/1000)*VLOOKUP($C$78,' IPCC'!$A$1173:$G$1188,3,FALSE)+VLOOKUP($C$78,' IPCC'!$A$1173:$G$1188,4,FALSE)))))</f>
        <v>#N/A</v>
      </c>
      <c r="H74" s="3490">
        <f>IF(C74&lt;&gt;"Default",VLOOKUP(C74,' IPCC'!$A$1173:$G$1188,5,FALSE),(VLOOKUP($C$78,' IPCC'!$A$1173:$G$1188,5,FALSE)))</f>
        <v>6.0000000000000001E-3</v>
      </c>
      <c r="I74" s="3492">
        <f>IF(C74&lt;&gt;"Default", VLOOKUP(C74,' IPCC'!$A$1173:$G$1188,6,FALSE), VLOOKUP($C$78,' IPCC'!$A$1173:$G$1188,6,FALSE))</f>
        <v>0.22</v>
      </c>
      <c r="J74" s="3490">
        <f>IF(C74&lt;&gt;"Default", VLOOKUP(C74,' IPCC'!$A$1173:$G$1188,7,FALSE), VLOOKUP($C$78,' IPCC'!$A$1173:$G$1188,7,FALSE))</f>
        <v>8.9999999999999993E-3</v>
      </c>
      <c r="K74" s="3641" t="e">
        <f t="shared" si="40"/>
        <v>#N/A</v>
      </c>
      <c r="L74" s="186"/>
      <c r="M74" s="3490" t="str">
        <f>'3.Cropland'!J141</f>
        <v>None</v>
      </c>
      <c r="N74" s="3490" t="e">
        <f>IF(M74&lt;&gt;"Default",CONCATENATE(continent_selected,VLOOKUP(M74,List_Yield!$G$19:$H$29,2,FALSE)),CONCATENATE(continent_selected,$C$79))</f>
        <v>#N/A</v>
      </c>
      <c r="O74" s="3490" t="e">
        <f>(VLOOKUP(N74,Stats_yield!$E$3:$BF$1651,53,FALSE))*1000</f>
        <v>#N/A</v>
      </c>
      <c r="P74" s="3493" t="e">
        <f>IF('3.Cropland'!L141&lt;&gt;"",'3.Cropland'!L141*1000,Annual!O74)</f>
        <v>#N/A</v>
      </c>
      <c r="Q74" s="3491" t="e">
        <f>IF('3.Cropland'!W141&lt;&gt;"",'3.Cropland'!W141,(IF(M74&lt;&gt;"Default",((P74/1000)*VLOOKUP(M74,' IPCC'!$A$1173:$G$1188,3,FALSE)+VLOOKUP(M74,' IPCC'!$A$1173:$G$1188,4,FALSE)),((P74/1000)*VLOOKUP($C$78,' IPCC'!$A$1173:$G$1188,3,FALSE)+VLOOKUP($C$78,' IPCC'!$A$1173:$G$1188,4,FALSE)))))</f>
        <v>#N/A</v>
      </c>
      <c r="R74" s="3490" t="e">
        <f>IF(M74&lt;&gt;"Default",VLOOKUP(M74,' IPCC'!$A$1173:$G$1188,5,FALSE),(VLOOKUP($C$78,' IPCC'!$A$1173:$G$1188,5,FALSE)))</f>
        <v>#N/A</v>
      </c>
      <c r="S74" s="3492" t="e">
        <f>IF(M74&lt;&gt;"Default", VLOOKUP(M74,' IPCC'!$A$1173:$G$1188,6,FALSE), VLOOKUP($C$78,' IPCC'!$A$1173:$G$1188,6,FALSE))</f>
        <v>#N/A</v>
      </c>
      <c r="T74" s="3490" t="e">
        <f>IF(M74&lt;&gt;"Default", VLOOKUP(M74,' IPCC'!$A$1173:$G$1188,7,FALSE), VLOOKUP($C$78,' IPCC'!$A$1173:$G$1188,7,FALSE))</f>
        <v>#N/A</v>
      </c>
      <c r="U74" s="3490" t="e">
        <f t="shared" si="42"/>
        <v>#N/A</v>
      </c>
      <c r="V74" s="1876"/>
      <c r="W74" s="1876"/>
      <c r="X74" s="1876"/>
      <c r="Y74" s="1876"/>
    </row>
    <row r="75" spans="2:25">
      <c r="B75" s="153" t="str">
        <f t="shared" si="41"/>
        <v>Annual System9</v>
      </c>
      <c r="C75" s="3490" t="str">
        <f>'3.Cropland'!C30</f>
        <v>Default</v>
      </c>
      <c r="D75" s="3490" t="str">
        <f>IF(C75&lt;&gt;"Default",CONCATENATE(continent_selected,VLOOKUP(C75,List_Yield!$G$19:$H$29,2,FALSE)),CONCATENATE(continent_selected,$C$79))</f>
        <v>Please selectCereals,Total + (Total)</v>
      </c>
      <c r="E75" s="3490" t="e">
        <f>(VLOOKUP(D75,Stats_yield!$E$3:$BF$1651,53,FALSE))*1000</f>
        <v>#N/A</v>
      </c>
      <c r="F75" s="3490" t="e">
        <f>IF('3.Cropland'!O30&lt;&gt;"",'3.Cropland'!O30*1000,Annual!E75)</f>
        <v>#N/A</v>
      </c>
      <c r="G75" s="3491" t="e">
        <f>IF('3.Cropland'!R142&lt;&gt;"",'3.Cropland'!R142,(IF(C75&lt;&gt;"Default",((F75/1000)*VLOOKUP(C75,' IPCC'!$A$1173:$G$1188,3,FALSE)+VLOOKUP(C75,' IPCC'!$A$1173:$G$1188,4,FALSE)),((F75/1000)*VLOOKUP($C$78,' IPCC'!$A$1173:$G$1188,3,FALSE)+VLOOKUP($C$78,' IPCC'!$A$1173:$G$1188,4,FALSE)))))</f>
        <v>#N/A</v>
      </c>
      <c r="H75" s="3490">
        <f>IF(C75&lt;&gt;"Default",VLOOKUP(C75,' IPCC'!$A$1173:$G$1188,5,FALSE),(VLOOKUP($C$78,' IPCC'!$A$1173:$G$1188,5,FALSE)))</f>
        <v>6.0000000000000001E-3</v>
      </c>
      <c r="I75" s="3492">
        <f>IF(C75&lt;&gt;"Default", VLOOKUP(C75,' IPCC'!$A$1173:$G$1188,6,FALSE), VLOOKUP($C$78,' IPCC'!$A$1173:$G$1188,6,FALSE))</f>
        <v>0.22</v>
      </c>
      <c r="J75" s="3490">
        <f>IF(C75&lt;&gt;"Default", VLOOKUP(C75,' IPCC'!$A$1173:$G$1188,7,FALSE), VLOOKUP($C$78,' IPCC'!$A$1173:$G$1188,7,FALSE))</f>
        <v>8.9999999999999993E-3</v>
      </c>
      <c r="K75" s="3641" t="e">
        <f t="shared" si="40"/>
        <v>#N/A</v>
      </c>
      <c r="L75" s="186"/>
      <c r="M75" s="3490" t="str">
        <f>'3.Cropland'!J142</f>
        <v>None</v>
      </c>
      <c r="N75" s="3490" t="e">
        <f>IF(M75&lt;&gt;"Default",CONCATENATE(continent_selected,VLOOKUP(M75,List_Yield!$G$19:$H$29,2,FALSE)),CONCATENATE(continent_selected,$C$79))</f>
        <v>#N/A</v>
      </c>
      <c r="O75" s="3490" t="e">
        <f>(VLOOKUP(N75,Stats_yield!$E$3:$BF$1651,53,FALSE))*1000</f>
        <v>#N/A</v>
      </c>
      <c r="P75" s="3493" t="e">
        <f>IF('3.Cropland'!L142&lt;&gt;"",'3.Cropland'!L142*1000,Annual!O75)</f>
        <v>#N/A</v>
      </c>
      <c r="Q75" s="3491" t="e">
        <f>IF('3.Cropland'!W142&lt;&gt;"",'3.Cropland'!W142,(IF(M75&lt;&gt;"Default",((P75/1000)*VLOOKUP(M75,' IPCC'!$A$1173:$G$1188,3,FALSE)+VLOOKUP(M75,' IPCC'!$A$1173:$G$1188,4,FALSE)),((P75/1000)*VLOOKUP($C$78,' IPCC'!$A$1173:$G$1188,3,FALSE)+VLOOKUP($C$78,' IPCC'!$A$1173:$G$1188,4,FALSE)))))</f>
        <v>#N/A</v>
      </c>
      <c r="R75" s="3490" t="e">
        <f>IF(M75&lt;&gt;"Default",VLOOKUP(M75,' IPCC'!$A$1173:$G$1188,5,FALSE),(VLOOKUP($C$78,' IPCC'!$A$1173:$G$1188,5,FALSE)))</f>
        <v>#N/A</v>
      </c>
      <c r="S75" s="3492" t="e">
        <f>IF(M75&lt;&gt;"Default", VLOOKUP(M75,' IPCC'!$A$1173:$G$1188,6,FALSE), VLOOKUP($C$78,' IPCC'!$A$1173:$G$1188,6,FALSE))</f>
        <v>#N/A</v>
      </c>
      <c r="T75" s="3490" t="e">
        <f>IF(M75&lt;&gt;"Default", VLOOKUP(M75,' IPCC'!$A$1173:$G$1188,7,FALSE), VLOOKUP($C$78,' IPCC'!$A$1173:$G$1188,7,FALSE))</f>
        <v>#N/A</v>
      </c>
      <c r="U75" s="3490" t="e">
        <f t="shared" si="42"/>
        <v>#N/A</v>
      </c>
      <c r="V75" s="1876"/>
      <c r="W75" s="1876"/>
      <c r="X75" s="1876"/>
      <c r="Y75" s="1876"/>
    </row>
    <row r="76" spans="2:25">
      <c r="B76" s="153" t="str">
        <f t="shared" si="41"/>
        <v>Annual System10</v>
      </c>
      <c r="C76" s="3490" t="str">
        <f>'3.Cropland'!C31</f>
        <v>Default</v>
      </c>
      <c r="D76" s="3490" t="str">
        <f>IF(C76&lt;&gt;"Default",CONCATENATE(continent_selected,VLOOKUP(C76,List_Yield!$G$19:$H$29,2,FALSE)),CONCATENATE(continent_selected,$C$79))</f>
        <v>Please selectCereals,Total + (Total)</v>
      </c>
      <c r="E76" s="3490" t="e">
        <f>(VLOOKUP(D76,Stats_yield!$E$3:$BF$1651,53,FALSE))*1000</f>
        <v>#N/A</v>
      </c>
      <c r="F76" s="3490" t="e">
        <f>IF('3.Cropland'!O31&lt;&gt;"",'3.Cropland'!O31*1000,Annual!E76)</f>
        <v>#N/A</v>
      </c>
      <c r="G76" s="3491" t="e">
        <f>IF('3.Cropland'!R143&lt;&gt;"",'3.Cropland'!R143,(IF(C76&lt;&gt;"Default",((F76/1000)*VLOOKUP(C76,' IPCC'!$A$1173:$G$1188,3,FALSE)+VLOOKUP(C76,' IPCC'!$A$1173:$G$1188,4,FALSE)),((F76/1000)*VLOOKUP($C$78,' IPCC'!$A$1173:$G$1188,3,FALSE)+VLOOKUP($C$78,' IPCC'!$A$1173:$G$1188,4,FALSE)))))</f>
        <v>#N/A</v>
      </c>
      <c r="H76" s="3490">
        <f>IF(C76&lt;&gt;"Default",VLOOKUP(C76,' IPCC'!$A$1173:$G$1188,5,FALSE),(VLOOKUP($C$78,' IPCC'!$A$1173:$G$1188,5,FALSE)))</f>
        <v>6.0000000000000001E-3</v>
      </c>
      <c r="I76" s="3492">
        <f>IF(C76&lt;&gt;"Default", VLOOKUP(C76,' IPCC'!$A$1173:$G$1188,6,FALSE), VLOOKUP($C$78,' IPCC'!$A$1173:$G$1188,6,FALSE))</f>
        <v>0.22</v>
      </c>
      <c r="J76" s="3490">
        <f>IF(C76&lt;&gt;"Default", VLOOKUP(C76,' IPCC'!$A$1173:$G$1188,7,FALSE), VLOOKUP($C$78,' IPCC'!$A$1173:$G$1188,7,FALSE))</f>
        <v>8.9999999999999993E-3</v>
      </c>
      <c r="K76" s="3641" t="e">
        <f t="shared" si="40"/>
        <v>#N/A</v>
      </c>
      <c r="L76" s="186"/>
      <c r="M76" s="3490" t="str">
        <f>'3.Cropland'!J143</f>
        <v>None</v>
      </c>
      <c r="N76" s="3490" t="e">
        <f>IF(M76&lt;&gt;"Default",CONCATENATE(continent_selected,VLOOKUP(M76,List_Yield!$G$19:$H$29,2,FALSE)),CONCATENATE(continent_selected,$C$79))</f>
        <v>#N/A</v>
      </c>
      <c r="O76" s="3490" t="e">
        <f>(VLOOKUP(N76,Stats_yield!$E$3:$BF$1651,53,FALSE))*1000</f>
        <v>#N/A</v>
      </c>
      <c r="P76" s="3493" t="e">
        <f>IF('3.Cropland'!L143&lt;&gt;"",'3.Cropland'!L143*1000,Annual!O76)</f>
        <v>#N/A</v>
      </c>
      <c r="Q76" s="3491" t="e">
        <f>IF('3.Cropland'!W143&lt;&gt;"",'3.Cropland'!W143,(IF(M76&lt;&gt;"Default",((P76/1000)*VLOOKUP(M76,' IPCC'!$A$1173:$G$1188,3,FALSE)+VLOOKUP(M76,' IPCC'!$A$1173:$G$1188,4,FALSE)),((P76/1000)*VLOOKUP($C$78,' IPCC'!$A$1173:$G$1188,3,FALSE)+VLOOKUP($C$78,' IPCC'!$A$1173:$G$1188,4,FALSE)))))</f>
        <v>#N/A</v>
      </c>
      <c r="R76" s="3490" t="e">
        <f>IF(M76&lt;&gt;"Default",VLOOKUP(M76,' IPCC'!$A$1173:$G$1188,5,FALSE),(VLOOKUP($C$78,' IPCC'!$A$1173:$G$1188,5,FALSE)))</f>
        <v>#N/A</v>
      </c>
      <c r="S76" s="3492" t="e">
        <f>IF(M76&lt;&gt;"Default", VLOOKUP(M76,' IPCC'!$A$1173:$G$1188,6,FALSE), VLOOKUP($C$78,' IPCC'!$A$1173:$G$1188,6,FALSE))</f>
        <v>#N/A</v>
      </c>
      <c r="T76" s="3490" t="e">
        <f>IF(M76&lt;&gt;"Default", VLOOKUP(M76,' IPCC'!$A$1173:$G$1188,7,FALSE), VLOOKUP($C$78,' IPCC'!$A$1173:$G$1188,7,FALSE))</f>
        <v>#N/A</v>
      </c>
      <c r="U76" s="3490" t="e">
        <f t="shared" si="42"/>
        <v>#N/A</v>
      </c>
      <c r="V76" s="1876"/>
      <c r="W76" s="1876"/>
      <c r="X76" s="1876"/>
      <c r="Y76" s="1876"/>
    </row>
    <row r="77" spans="2:25">
      <c r="C77" s="3477" t="s">
        <v>7404</v>
      </c>
      <c r="G77" s="3474"/>
      <c r="M77" s="1876"/>
      <c r="N77" s="1876"/>
      <c r="O77" s="1876"/>
      <c r="P77" s="1876"/>
      <c r="Q77" s="1876"/>
      <c r="R77" s="1876"/>
      <c r="S77" s="1876"/>
      <c r="T77" s="1876"/>
      <c r="U77" s="1876"/>
      <c r="V77" s="1876"/>
      <c r="W77" s="1876"/>
      <c r="X77" s="1876"/>
      <c r="Y77" s="1876"/>
    </row>
    <row r="78" spans="2:25">
      <c r="C78" s="3477" t="s">
        <v>7230</v>
      </c>
      <c r="D78" s="1876"/>
      <c r="M78" s="1876"/>
      <c r="N78" s="1876"/>
      <c r="O78" s="1876"/>
      <c r="P78" s="1876"/>
      <c r="Q78" s="1876"/>
      <c r="R78" s="1876"/>
      <c r="S78" s="1876"/>
      <c r="T78" s="1876"/>
      <c r="U78" s="1876"/>
      <c r="V78" s="1876"/>
      <c r="W78" s="1876"/>
      <c r="X78" s="1876"/>
      <c r="Y78" s="1876"/>
    </row>
    <row r="79" spans="2:25">
      <c r="C79" s="2046" t="s">
        <v>7231</v>
      </c>
      <c r="M79" s="1876"/>
      <c r="N79" s="1876"/>
      <c r="O79" s="1876"/>
      <c r="P79" s="1876"/>
      <c r="Q79" s="1876"/>
      <c r="R79" s="1876"/>
      <c r="S79" s="1876"/>
      <c r="T79" s="1876"/>
      <c r="U79" s="1876"/>
      <c r="V79" s="1876"/>
      <c r="W79" s="1876"/>
      <c r="X79" s="1876"/>
      <c r="Y79" s="1876"/>
    </row>
  </sheetData>
  <sheetProtection formatCells="0" formatColumns="0" formatRows="0"/>
  <mergeCells count="22">
    <mergeCell ref="D60:D62"/>
    <mergeCell ref="G60:G61"/>
    <mergeCell ref="H60:H62"/>
    <mergeCell ref="L31:M31"/>
    <mergeCell ref="E5:F5"/>
    <mergeCell ref="L6:N6"/>
    <mergeCell ref="W6:Y6"/>
    <mergeCell ref="K60:K62"/>
    <mergeCell ref="C59:K59"/>
    <mergeCell ref="M59:U59"/>
    <mergeCell ref="M60:M62"/>
    <mergeCell ref="N60:N62"/>
    <mergeCell ref="O60:P61"/>
    <mergeCell ref="Q60:Q61"/>
    <mergeCell ref="R60:R62"/>
    <mergeCell ref="S60:S62"/>
    <mergeCell ref="T60:T62"/>
    <mergeCell ref="U60:U62"/>
    <mergeCell ref="J60:J62"/>
    <mergeCell ref="E60:F61"/>
    <mergeCell ref="I60:I62"/>
    <mergeCell ref="C60:C62"/>
  </mergeCells>
  <phoneticPr fontId="11" type="noConversion"/>
  <dataValidations count="5">
    <dataValidation type="list" allowBlank="1" showInputMessage="1" showErrorMessage="1" sqref="E34:E47 G34:G47">
      <formula1>Rate</formula1>
    </dataValidation>
    <dataValidation type="list" allowBlank="1" showInputMessage="1" showErrorMessage="1" sqref="D9:D22">
      <formula1>YES_NO</formula1>
    </dataValidation>
    <dataValidation type="list" allowBlank="1" showInputMessage="1" showErrorMessage="1" sqref="G9:K22">
      <formula1>Yes_No_Annual</formula1>
    </dataValidation>
    <dataValidation type="decimal" operator="greaterThanOrEqual" allowBlank="1" showInputMessage="1" showErrorMessage="1" sqref="C38:D47">
      <formula1>0</formula1>
    </dataValidation>
    <dataValidation type="decimal" operator="greaterThanOrEqual" showInputMessage="1" showErrorMessage="1" sqref="F38:F47">
      <formula1>0</formula1>
    </dataValidation>
  </dataValidations>
  <hyperlinks>
    <hyperlink ref="E5" location="Description!A1" display="Back to Description"/>
    <hyperlink ref="G53" location="Inputs!A1" display="Go to &quot;Inputs&quot;"/>
    <hyperlink ref="G54" location="'Other investments'!A1" display="Go to &quot;Investment&quot;"/>
  </hyperlinks>
  <pageMargins left="0.24" right="0.44" top="0.984251969" bottom="0.984251969" header="0.4921259845" footer="0.4921259845"/>
  <pageSetup paperSize="9" scale="57" orientation="landscape" horizontalDpi="1200" verticalDpi="1200" r:id="rId1"/>
  <headerFooter alignWithMargins="0">
    <oddHeader>Page &amp;P&amp;R&amp;A</oddHeader>
    <oddFooter>&amp;F</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3"/>
    <pageSetUpPr fitToPage="1"/>
  </sheetPr>
  <dimension ref="A1:BA52"/>
  <sheetViews>
    <sheetView zoomScale="74" zoomScaleNormal="74" workbookViewId="0">
      <selection activeCell="R20" sqref="R20"/>
    </sheetView>
  </sheetViews>
  <sheetFormatPr defaultColWidth="11.42578125" defaultRowHeight="12.75"/>
  <cols>
    <col min="1" max="1" width="4.85546875" style="233" customWidth="1"/>
    <col min="2" max="2" width="23.140625" style="233" customWidth="1"/>
    <col min="3" max="3" width="20.85546875" style="233" customWidth="1"/>
    <col min="4" max="4" width="11.42578125" style="233"/>
    <col min="5" max="6" width="10.7109375" style="233" customWidth="1"/>
    <col min="7" max="7" width="13.42578125" style="233" customWidth="1"/>
    <col min="8" max="8" width="10.5703125" style="233" customWidth="1"/>
    <col min="9" max="9" width="13.7109375" style="234" customWidth="1"/>
    <col min="10" max="10" width="12.140625" style="234" bestFit="1" customWidth="1"/>
    <col min="11" max="11" width="10" style="233" customWidth="1"/>
    <col min="12" max="12" width="11" style="233" customWidth="1"/>
    <col min="13" max="13" width="10.42578125" style="233" customWidth="1"/>
    <col min="14" max="14" width="8.7109375" style="234" customWidth="1"/>
    <col min="15" max="15" width="11.28515625" style="234" customWidth="1"/>
    <col min="16" max="16" width="12" style="234" customWidth="1"/>
    <col min="17" max="17" width="6.5703125" style="234" customWidth="1"/>
    <col min="18" max="18" width="11.85546875" style="234" customWidth="1"/>
    <col min="19" max="19" width="9" style="234" customWidth="1"/>
    <col min="20" max="20" width="9" style="233" customWidth="1"/>
    <col min="21" max="21" width="9" style="1501" customWidth="1"/>
    <col min="22" max="22" width="9" style="1502" customWidth="1"/>
    <col min="23" max="25" width="9" style="2410" customWidth="1"/>
    <col min="26" max="27" width="9" style="2403" customWidth="1"/>
    <col min="28" max="28" width="10.28515625" style="2403" customWidth="1"/>
    <col min="29" max="32" width="9" style="2403" customWidth="1"/>
    <col min="33" max="47" width="11.42578125" style="2403"/>
    <col min="48" max="53" width="11.42578125" style="1069"/>
    <col min="54" max="16384" width="11.42578125" style="233"/>
  </cols>
  <sheetData>
    <row r="1" spans="1:53" s="1644" customFormat="1" ht="22.9" customHeight="1">
      <c r="I1" s="1648"/>
      <c r="J1" s="1648"/>
      <c r="N1" s="1648"/>
      <c r="O1" s="1648"/>
      <c r="P1" s="1648"/>
      <c r="Q1" s="1648"/>
      <c r="R1" s="1648"/>
      <c r="S1" s="1648"/>
      <c r="U1" s="1687"/>
      <c r="V1" s="1688"/>
      <c r="W1" s="2769"/>
      <c r="X1" s="2769"/>
      <c r="Y1" s="2769"/>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1691"/>
      <c r="AW1" s="1691"/>
      <c r="AX1" s="1691"/>
      <c r="AY1" s="1691"/>
      <c r="AZ1" s="1691"/>
      <c r="BA1" s="1691"/>
    </row>
    <row r="2" spans="1:53" s="1644" customFormat="1" ht="22.9" customHeight="1">
      <c r="I2" s="1648"/>
      <c r="J2" s="1648"/>
      <c r="N2" s="1648"/>
      <c r="O2" s="1648"/>
      <c r="P2" s="1648"/>
      <c r="Q2" s="1648"/>
      <c r="R2" s="1648"/>
      <c r="S2" s="1648"/>
      <c r="U2" s="1687"/>
      <c r="V2" s="1688"/>
      <c r="W2" s="2769"/>
      <c r="X2" s="2769"/>
      <c r="Y2" s="2769"/>
      <c r="Z2" s="2401"/>
      <c r="AA2" s="2401"/>
      <c r="AB2" s="2401"/>
      <c r="AC2" s="2401"/>
      <c r="AD2" s="2401"/>
      <c r="AE2" s="2401"/>
      <c r="AF2" s="2401"/>
      <c r="AG2" s="2401"/>
      <c r="AH2" s="2401"/>
      <c r="AI2" s="2401"/>
      <c r="AJ2" s="2401"/>
      <c r="AK2" s="2401"/>
      <c r="AL2" s="2401"/>
      <c r="AM2" s="2401"/>
      <c r="AN2" s="2401"/>
      <c r="AO2" s="2401"/>
      <c r="AP2" s="2401"/>
      <c r="AQ2" s="2401"/>
      <c r="AR2" s="2401"/>
      <c r="AS2" s="2401"/>
      <c r="AT2" s="2401"/>
      <c r="AU2" s="2401"/>
      <c r="AV2" s="1691"/>
      <c r="AW2" s="1691"/>
      <c r="AX2" s="1691"/>
      <c r="AY2" s="1691"/>
      <c r="AZ2" s="1691"/>
      <c r="BA2" s="1691"/>
    </row>
    <row r="3" spans="1:53" s="1644" customFormat="1" ht="22.9" customHeight="1">
      <c r="I3" s="1648"/>
      <c r="J3" s="1648"/>
      <c r="N3" s="1648"/>
      <c r="O3" s="1648"/>
      <c r="P3" s="1648"/>
      <c r="Q3" s="1648"/>
      <c r="R3" s="1648"/>
      <c r="S3" s="1648"/>
      <c r="U3" s="1687"/>
      <c r="V3" s="1688"/>
      <c r="W3" s="2769"/>
      <c r="X3" s="2769"/>
      <c r="Y3" s="2769"/>
      <c r="Z3" s="2401"/>
      <c r="AA3" s="2401"/>
      <c r="AB3" s="2401"/>
      <c r="AC3" s="2401"/>
      <c r="AD3" s="2401"/>
      <c r="AE3" s="2401"/>
      <c r="AF3" s="2401"/>
      <c r="AG3" s="2401"/>
      <c r="AH3" s="2401"/>
      <c r="AI3" s="2401"/>
      <c r="AJ3" s="2401"/>
      <c r="AK3" s="2401"/>
      <c r="AL3" s="2401"/>
      <c r="AM3" s="2401"/>
      <c r="AN3" s="2401"/>
      <c r="AO3" s="2401"/>
      <c r="AP3" s="2401"/>
      <c r="AQ3" s="2401"/>
      <c r="AR3" s="2401"/>
      <c r="AS3" s="2401"/>
      <c r="AT3" s="2401"/>
      <c r="AU3" s="2401"/>
      <c r="AV3" s="1691"/>
      <c r="AW3" s="1691"/>
      <c r="AX3" s="1691"/>
      <c r="AY3" s="1691"/>
      <c r="AZ3" s="1691"/>
      <c r="BA3" s="1691"/>
    </row>
    <row r="4" spans="1:53" s="1644" customFormat="1" ht="22.9" customHeight="1">
      <c r="I4" s="1648"/>
      <c r="J4" s="1648"/>
      <c r="N4" s="1648"/>
      <c r="O4" s="1648"/>
      <c r="P4" s="1648"/>
      <c r="Q4" s="1648"/>
      <c r="R4" s="1648"/>
      <c r="S4" s="1648"/>
      <c r="U4" s="1687"/>
      <c r="V4" s="1688"/>
      <c r="W4" s="2769"/>
      <c r="X4" s="2769"/>
      <c r="Y4" s="2769"/>
      <c r="Z4" s="2401"/>
      <c r="AA4" s="2401"/>
      <c r="AB4" s="2401"/>
      <c r="AC4" s="2401"/>
      <c r="AD4" s="2401"/>
      <c r="AE4" s="2401"/>
      <c r="AF4" s="2401"/>
      <c r="AG4" s="2401"/>
      <c r="AH4" s="2401"/>
      <c r="AI4" s="2401"/>
      <c r="AJ4" s="2401"/>
      <c r="AK4" s="2401"/>
      <c r="AL4" s="2401"/>
      <c r="AM4" s="2401"/>
      <c r="AN4" s="2401"/>
      <c r="AO4" s="2401"/>
      <c r="AP4" s="2401"/>
      <c r="AQ4" s="2401"/>
      <c r="AR4" s="2401"/>
      <c r="AS4" s="2401"/>
      <c r="AT4" s="2401"/>
      <c r="AU4" s="2401"/>
      <c r="AV4" s="1691"/>
      <c r="AW4" s="1691"/>
      <c r="AX4" s="1691"/>
      <c r="AY4" s="1691"/>
      <c r="AZ4" s="1691"/>
      <c r="BA4" s="1691"/>
    </row>
    <row r="5" spans="1:53" s="1644" customFormat="1" ht="22.9" customHeight="1">
      <c r="A5" s="1645" t="s">
        <v>1102</v>
      </c>
      <c r="E5" s="3744" t="s">
        <v>470</v>
      </c>
      <c r="F5" s="3744"/>
      <c r="N5" s="1648"/>
      <c r="O5" s="1648"/>
      <c r="P5" s="1648"/>
      <c r="U5" s="1687"/>
      <c r="V5" s="1687"/>
      <c r="W5" s="2401"/>
      <c r="X5" s="2401"/>
      <c r="Y5" s="2401"/>
      <c r="Z5" s="2401"/>
      <c r="AA5" s="2401"/>
      <c r="AB5" s="2401"/>
      <c r="AC5" s="2401"/>
      <c r="AD5" s="2401"/>
      <c r="AE5" s="2401"/>
      <c r="AF5" s="2401"/>
      <c r="AG5" s="2401"/>
      <c r="AH5" s="2401"/>
      <c r="AI5" s="2401"/>
      <c r="AJ5" s="2401"/>
      <c r="AK5" s="2401"/>
      <c r="AL5" s="2401"/>
      <c r="AM5" s="2401"/>
      <c r="AN5" s="2401"/>
      <c r="AO5" s="2401"/>
      <c r="AP5" s="2401"/>
      <c r="AQ5" s="2401"/>
      <c r="AR5" s="2401"/>
      <c r="AS5" s="2401"/>
      <c r="AT5" s="2401"/>
      <c r="AU5" s="2401"/>
      <c r="AV5" s="1691"/>
      <c r="AW5" s="1691"/>
      <c r="AX5" s="1691"/>
      <c r="AY5" s="1691"/>
      <c r="AZ5" s="1691"/>
      <c r="BA5" s="1691"/>
    </row>
    <row r="6" spans="1:53">
      <c r="B6" s="600"/>
      <c r="C6" s="600"/>
      <c r="D6" s="614"/>
      <c r="E6" s="614"/>
      <c r="F6" s="600"/>
      <c r="G6" s="600"/>
      <c r="H6" s="600"/>
      <c r="I6" s="600"/>
      <c r="J6" s="600"/>
      <c r="K6" s="600"/>
      <c r="L6" s="600"/>
      <c r="M6" s="600"/>
      <c r="N6" s="614"/>
      <c r="O6" s="614"/>
      <c r="Q6" s="233"/>
      <c r="T6" s="234"/>
      <c r="X6" s="2403"/>
      <c r="Y6" s="2403"/>
      <c r="AA6" s="2410"/>
      <c r="AB6" s="2410"/>
      <c r="AC6" s="2410"/>
      <c r="AD6" s="1872" t="s">
        <v>63</v>
      </c>
      <c r="AE6" s="2410"/>
      <c r="AF6" s="2410"/>
      <c r="AG6" s="1901"/>
      <c r="AH6" s="1901"/>
      <c r="AI6" s="1902"/>
      <c r="AJ6" s="1901"/>
      <c r="AK6" s="1901"/>
    </row>
    <row r="7" spans="1:53">
      <c r="B7" s="719"/>
      <c r="C7" s="596"/>
      <c r="D7" s="3790" t="s">
        <v>663</v>
      </c>
      <c r="E7" s="3791"/>
      <c r="F7" s="3792"/>
      <c r="G7" s="3790" t="s">
        <v>1147</v>
      </c>
      <c r="H7" s="3791"/>
      <c r="I7" s="3793" t="s">
        <v>1242</v>
      </c>
      <c r="J7" s="3743"/>
      <c r="K7" s="596" t="s">
        <v>1015</v>
      </c>
      <c r="L7" s="3790" t="s">
        <v>1267</v>
      </c>
      <c r="M7" s="3792"/>
      <c r="N7" s="722" t="s">
        <v>332</v>
      </c>
      <c r="O7" s="723" t="s">
        <v>333</v>
      </c>
      <c r="P7" s="721" t="s">
        <v>605</v>
      </c>
      <c r="Q7" s="1729" t="s">
        <v>1399</v>
      </c>
      <c r="R7" s="537" t="s">
        <v>523</v>
      </c>
      <c r="S7" s="544"/>
      <c r="T7" s="548"/>
      <c r="W7" s="2403"/>
      <c r="AA7" s="2410"/>
      <c r="AB7" s="2410"/>
      <c r="AC7" s="2410"/>
      <c r="AD7" s="2420" t="s">
        <v>53</v>
      </c>
      <c r="AE7" s="2413"/>
      <c r="AF7" s="2413"/>
      <c r="AG7" s="2413"/>
      <c r="AH7" s="1914"/>
      <c r="AI7" s="1914"/>
      <c r="AJ7" s="1914"/>
      <c r="AK7" s="1914"/>
    </row>
    <row r="8" spans="1:53">
      <c r="B8" s="725"/>
      <c r="C8" s="601" t="s">
        <v>670</v>
      </c>
      <c r="D8" s="1213" t="s">
        <v>664</v>
      </c>
      <c r="E8" s="1214"/>
      <c r="F8" s="727" t="s">
        <v>206</v>
      </c>
      <c r="G8" s="3794" t="s">
        <v>214</v>
      </c>
      <c r="H8" s="3795"/>
      <c r="I8" s="3796" t="s">
        <v>214</v>
      </c>
      <c r="J8" s="3797"/>
      <c r="K8" s="1220" t="s">
        <v>339</v>
      </c>
      <c r="L8" s="725"/>
      <c r="M8" s="725"/>
      <c r="N8" s="590"/>
      <c r="O8" s="728"/>
      <c r="P8" s="727"/>
      <c r="Q8" s="1851"/>
      <c r="R8" s="558"/>
      <c r="S8" s="544"/>
      <c r="T8" s="548"/>
      <c r="W8" s="2403"/>
      <c r="Z8" s="2411"/>
      <c r="AA8" s="1914" t="s">
        <v>332</v>
      </c>
      <c r="AB8" s="1914"/>
      <c r="AC8" s="1914" t="s">
        <v>48</v>
      </c>
      <c r="AD8" s="2413" t="s">
        <v>535</v>
      </c>
      <c r="AE8" s="2413"/>
      <c r="AF8" s="1914" t="s">
        <v>540</v>
      </c>
      <c r="AG8" s="2413"/>
      <c r="AH8" s="1914" t="s">
        <v>332</v>
      </c>
      <c r="AI8" s="1914"/>
      <c r="AJ8" s="1914"/>
      <c r="AK8" s="1914" t="s">
        <v>48</v>
      </c>
      <c r="AL8" s="2413"/>
      <c r="AM8" s="2413"/>
      <c r="AN8" s="2413"/>
      <c r="AO8" s="2413"/>
    </row>
    <row r="9" spans="1:53" ht="13.5" thickBot="1">
      <c r="B9" s="725"/>
      <c r="C9" s="601"/>
      <c r="D9" s="725"/>
      <c r="E9" s="726" t="s">
        <v>133</v>
      </c>
      <c r="F9" s="727"/>
      <c r="G9" s="547" t="s">
        <v>339</v>
      </c>
      <c r="H9" s="545" t="s">
        <v>338</v>
      </c>
      <c r="I9" s="545" t="s">
        <v>339</v>
      </c>
      <c r="J9" s="557" t="s">
        <v>338</v>
      </c>
      <c r="K9" s="601" t="s">
        <v>1270</v>
      </c>
      <c r="L9" s="725"/>
      <c r="M9" s="725" t="s">
        <v>1273</v>
      </c>
      <c r="N9" s="590" t="s">
        <v>537</v>
      </c>
      <c r="O9" s="728" t="s">
        <v>537</v>
      </c>
      <c r="P9" s="727" t="s">
        <v>606</v>
      </c>
      <c r="Q9" s="1851"/>
      <c r="R9" s="547" t="s">
        <v>522</v>
      </c>
      <c r="S9" s="544" t="s">
        <v>332</v>
      </c>
      <c r="T9" s="548" t="s">
        <v>333</v>
      </c>
      <c r="W9" s="2403"/>
      <c r="Z9" s="1914" t="s">
        <v>49</v>
      </c>
      <c r="AA9" s="1914" t="s">
        <v>675</v>
      </c>
      <c r="AB9" s="1914" t="s">
        <v>50</v>
      </c>
      <c r="AC9" s="1914" t="s">
        <v>675</v>
      </c>
      <c r="AD9" s="2413" t="s">
        <v>674</v>
      </c>
      <c r="AE9" s="2413" t="s">
        <v>675</v>
      </c>
      <c r="AF9" s="2413" t="s">
        <v>54</v>
      </c>
      <c r="AG9" s="2413" t="s">
        <v>675</v>
      </c>
      <c r="AH9" s="1914" t="s">
        <v>49</v>
      </c>
      <c r="AI9" s="1914" t="s">
        <v>675</v>
      </c>
      <c r="AJ9" s="1914" t="s">
        <v>50</v>
      </c>
      <c r="AK9" s="1914" t="s">
        <v>675</v>
      </c>
      <c r="AL9" s="2413"/>
      <c r="AM9" s="2413"/>
      <c r="AN9" s="2413"/>
      <c r="AO9" s="2413"/>
    </row>
    <row r="10" spans="1:53" ht="13.5" thickBot="1">
      <c r="B10" s="731" t="s">
        <v>1135</v>
      </c>
      <c r="C10" s="925" t="s">
        <v>1253</v>
      </c>
      <c r="D10" s="1846" t="str">
        <f>'3.Cropland'!K44</f>
        <v>NO</v>
      </c>
      <c r="E10" s="2217">
        <f>IF('3.Cropland'!U173="",'3.Cropland'!T173,'3.Cropland'!U173)</f>
        <v>1</v>
      </c>
      <c r="F10" s="2219">
        <f>IF('3.Cropland'!Q173="",'3.Cropland'!P173,'3.Cropland'!Q173)</f>
        <v>10</v>
      </c>
      <c r="G10" s="732">
        <f>VLOOKUP(clim_full,' IPCC'!$A$126:$C$137,3,)</f>
        <v>0</v>
      </c>
      <c r="H10" s="2217">
        <f>IF('3.Cropland'!G173&lt;&gt;"",'3.Cropland'!G173,G10)</f>
        <v>0</v>
      </c>
      <c r="I10" s="651">
        <v>0</v>
      </c>
      <c r="J10" s="2217">
        <f>IF('3.Cropland'!J173&lt;&gt;"",'3.Cropland'!J173,I10)</f>
        <v>0</v>
      </c>
      <c r="K10" s="732">
        <f>HLOOKUP(clim_simple,' IPCC'!$A$598:$F$604,7,)</f>
        <v>0</v>
      </c>
      <c r="L10" s="713" t="s">
        <v>350</v>
      </c>
      <c r="M10" s="2218">
        <f>IF('3.Cropland'!O173="",K10,'3.Cropland'!O173)</f>
        <v>0</v>
      </c>
      <c r="N10" s="732">
        <f t="shared" ref="N10:N23" si="0">IF($D10="yes",$F10*$S$11,0)*$R$11/$E10</f>
        <v>0</v>
      </c>
      <c r="O10" s="733">
        <f t="shared" ref="O10:O23" si="1">IF($D10="yes",$F10*$T$11,0)*$R$11/$E10</f>
        <v>0</v>
      </c>
      <c r="P10" s="1218">
        <f>(N10*methane+O10*Nitrous)/1000</f>
        <v>0</v>
      </c>
      <c r="Q10" s="1851">
        <f>'3.Cropland'!O44</f>
        <v>0</v>
      </c>
      <c r="R10" s="730" t="s">
        <v>524</v>
      </c>
      <c r="S10" s="605" t="s">
        <v>525</v>
      </c>
      <c r="T10" s="729"/>
      <c r="W10" s="2403"/>
      <c r="Z10" s="1914">
        <f>(MIN(C32,D32)*time_tot+ABS(D32-C32)*IF(D32&gt;C32,time2+time*(VLOOKUP(E32,List!$E$35:$F$37,2,)),time*(1-(VLOOKUP(E32,List!$E$35:$F$37,2,)))))*N10*methane/1000</f>
        <v>0</v>
      </c>
      <c r="AA10" s="1914">
        <f>(MIN(C32,F32)*time_tot+ABS(F32-C32)*IF(F32&gt;C32,time2+time*(VLOOKUP(G32,List!$E$35:$F$37,2,)),time*(1-(VLOOKUP(G32,List!$E$35:$F$37,2,)))))*N10*methane/1000</f>
        <v>0</v>
      </c>
      <c r="AB10" s="1914">
        <f>(MIN(C32,D32)*time_tot+ABS(D32-C32)*IF(D32&gt;C32,time2+time*(VLOOKUP(E32,List!$E$35:$F$37,2,)),time*(1-(VLOOKUP(E32,List!$E$35:$F$37,2,)))))*O10*Nitrous/1000</f>
        <v>0</v>
      </c>
      <c r="AC10" s="1914">
        <f>(MIN(C32,F32)*time_tot+ABS(F32-C32)*IF(F32&gt;C32,time2+time*(VLOOKUP(G32,List!$E$35:$F$37,2,)),time*(1-(VLOOKUP(G32,List!$E$35:$F$37,2,)))))*O10*Nitrous/1000</f>
        <v>0</v>
      </c>
      <c r="AD10" s="2413">
        <f>-(MIN(C32,D32)*time+ABS(D32-C32)*IF(D32&gt;C32,(time-1)*(VLOOKUP(E32,List!$E$35:$F$37,2,)),(time-1)*(1-(VLOOKUP(E32,List!$E$35:$F$37,2,)))))*(IF($H10&gt;0,$H10,$G10)+IF($J10&gt;0,$J10,$I10))*(44/12)</f>
        <v>0</v>
      </c>
      <c r="AE10" s="2413">
        <f>-(MIN(C32,F32)*time+ABS(F32-C32)*IF(F32&gt;C32,(time-1)*(VLOOKUP(G32,List!$E$35:$F$37,2,)),(time-1)*(1-(VLOOKUP(G32,List!$E$35:$F$37,2,)))))*(IF($H10&gt;0,$H10,$G10)+IF($J10&gt;0,$J10,$I10))*44/12</f>
        <v>0</v>
      </c>
      <c r="AF10" s="1914">
        <f>-IF(L10="yes",$M10,$K10)*((MIN($C32,D32)*MIN(20,time))+IF(E32="immediate",IF(D32&gt;$C32,D32*MIN(20,time),0),IF($C32&gt;D32,($C32-D32)*IF(time&gt;20,IF(E32="linear",time-((time-20)^2)/(2*time),(0.215*time)-(time/4.6)*(EXP(-92.1/time)-0.01)),time*(1-VLOOKUP(E32,List!$E$35:$F$37,2,))),(D32-$C32)*IF(time&gt;time+20,20,IF(time&lt;20,(time*VLOOKUP(E32,List!$E$35:$F$37,2,))+(time-time),((MIN(20,time)*VLOOKUP(E32,List!$E$35:$F$37,2,))+(time-MIN(20,time))-IF(E32="exponential",time-20+0.217*time*(EXP(4.606*(20-time)/time)-1),((time-20)^2)*(0.5/time))))))))</f>
        <v>0</v>
      </c>
      <c r="AG10" s="1914">
        <f>-IF(L10="yes",$M10,$K10)*((MIN($C32,F32)*MIN(20,time))+IF(G32="immediate",IF(F32&gt;$C32,F32*MIN(20,time),0),IF($C32&gt;F32,($C32-F32)*IF(time&gt;20,IF(G32="linear",time-((time-20)^2)/(2*time),(0.215*time)-(time/4.6)*(EXP(-92.1/time)-0.01)),time*(1-VLOOKUP(G32,List!$E$35:$F$37,2,))),(F32-$C32)*IF(time&gt;time+20,20,IF(time&lt;20,(time*VLOOKUP(G32,List!$E$35:$F$37,2,))+(time-time),((MIN(20,time)*VLOOKUP(G32,List!$E$35:$F$37,2,))+(time-MIN(20,time))-IF(G32="exponential",time-20+0.217*time*(EXP(4.606*(20-time)/time)-1),((time-20)^2)*(0.5/time))))))))</f>
        <v>0</v>
      </c>
      <c r="AH10" s="1914">
        <f>(MIN(C32,D32)*time+ABS(D32-C32)*IF(D32&gt;C32,time*(VLOOKUP(E32,List!$E$35:$F$37,2,)),time*(1-(VLOOKUP(E32,List!$E$35:$F$37,2,)))))*N10*methane/1000</f>
        <v>0</v>
      </c>
      <c r="AI10" s="1914">
        <f>(MIN(C32,F32)*time+ABS(F32-C32)*IF(F32&gt;C32,time*(VLOOKUP(G32,List!$E$35:$F$37,2,)),time*(1-(VLOOKUP(G32,List!$E$35:$F$37,2,)))))*N10*methane/1000</f>
        <v>0</v>
      </c>
      <c r="AJ10" s="1914">
        <f>(MIN(C32,D32)*time+ABS(D32-C32)*IF(D32&gt;C32,time*(VLOOKUP(E32,List!$E$35:$F$37,2,)),time*(1-(VLOOKUP(E32,List!$E$35:$F$37,2,)))))*O10*Nitrous/1000</f>
        <v>0</v>
      </c>
      <c r="AK10" s="1914">
        <f>(MIN(C32,F32)*time+ABS(F32-C32)*IF(F32&gt;C32,time*(VLOOKUP(G32,List!$E$35:$F$37,2,)),time*(1-(VLOOKUP(G32,List!$E$35:$F$37,2,)))))*O10*Nitrous/1000</f>
        <v>0</v>
      </c>
      <c r="AL10" s="1914" t="s">
        <v>23</v>
      </c>
      <c r="AM10" s="1914" t="s">
        <v>516</v>
      </c>
      <c r="AN10" s="1914" t="s">
        <v>35</v>
      </c>
      <c r="AO10" s="1914" t="s">
        <v>36</v>
      </c>
    </row>
    <row r="11" spans="1:53" ht="13.5" thickBot="1">
      <c r="B11" s="731" t="s">
        <v>1136</v>
      </c>
      <c r="C11" s="925" t="s">
        <v>1149</v>
      </c>
      <c r="D11" s="1846" t="str">
        <f>'3.Cropland'!K45</f>
        <v>NO</v>
      </c>
      <c r="E11" s="2217">
        <f>IF('3.Cropland'!U174="",'3.Cropland'!T174,'3.Cropland'!U174)</f>
        <v>1</v>
      </c>
      <c r="F11" s="2219">
        <f>IF('3.Cropland'!Q174="",'3.Cropland'!P174,'3.Cropland'!Q174)</f>
        <v>10</v>
      </c>
      <c r="G11" s="732">
        <v>0</v>
      </c>
      <c r="H11" s="2217">
        <f>IF('3.Cropland'!G174&lt;&gt;"",'3.Cropland'!G174,G11)</f>
        <v>0</v>
      </c>
      <c r="I11" s="651">
        <v>0</v>
      </c>
      <c r="J11" s="2217">
        <f>IF('3.Cropland'!J174&lt;&gt;"",'3.Cropland'!J174,I11)</f>
        <v>0</v>
      </c>
      <c r="K11" s="732">
        <f>HLOOKUP(clim_simple,' IPCC'!$A$598:$F$604,7,)</f>
        <v>0</v>
      </c>
      <c r="L11" s="713" t="s">
        <v>350</v>
      </c>
      <c r="M11" s="2218">
        <f>IF('3.Cropland'!O174="",K11,'3.Cropland'!O174)</f>
        <v>0</v>
      </c>
      <c r="N11" s="732">
        <f t="shared" si="0"/>
        <v>0</v>
      </c>
      <c r="O11" s="733">
        <f t="shared" si="1"/>
        <v>0</v>
      </c>
      <c r="P11" s="1218">
        <f t="shared" ref="P11:P16" si="2">(N11*methane+O11*Nitrous)/1000</f>
        <v>0</v>
      </c>
      <c r="Q11" s="1851">
        <f>'3.Cropland'!O45</f>
        <v>0</v>
      </c>
      <c r="R11" s="724">
        <v>0.8</v>
      </c>
      <c r="S11" s="544">
        <v>2.2999999999999998</v>
      </c>
      <c r="T11" s="548">
        <v>0.21</v>
      </c>
      <c r="W11" s="2403"/>
      <c r="Z11" s="1914">
        <f>(MIN(C33,D33)*time_tot+ABS(D33-C33)*IF(D33&gt;C33,time2+time*(VLOOKUP(E33,List!$E$35:$F$37,2,)),time*(1-(VLOOKUP(E33,List!$E$35:$F$37,2,)))))*N11*methane/1000</f>
        <v>0</v>
      </c>
      <c r="AA11" s="1914">
        <f>(($C33*time)+((F33-$C33))*(VLOOKUP(G33,List!$E$35:$F$37,2,)*time)+(F33*time2))*N11*methane/1000</f>
        <v>0</v>
      </c>
      <c r="AB11" s="1914">
        <f>(MIN(C33,D33)*time_tot+ABS(D33-C33)*IF(D33&gt;C33,time2+time*(VLOOKUP(E33,List!$E$35:$F$37,2,)),time*(1-(VLOOKUP(E33,List!$E$35:$F$37,2,)))))*O11*Nitrous/1000</f>
        <v>0</v>
      </c>
      <c r="AC11" s="1914">
        <f>(MIN(C33,F33)*time_tot+ABS(F33-C33)*IF(F33&gt;C33,time2+time*(VLOOKUP(G33,List!$E$35:$F$37,2,)),time*(1-(VLOOKUP(G33,List!$E$35:$F$37,2,)))))*O11*Nitrous/1000</f>
        <v>0</v>
      </c>
      <c r="AD11" s="2413">
        <f>-(MIN(C33,D33)*time+ABS(D33-C33)*IF(D33&gt;C33,time*(VLOOKUP(E33,List!$E$35:$F$37,2,)),time*(1-(VLOOKUP(E33,List!$E$35:$F$37,2,)))))*(IF($H11&gt;0,$H11,$G11)+IF($J11&gt;0,$J11,$I11))*(44/12)</f>
        <v>0</v>
      </c>
      <c r="AE11" s="2413">
        <f>-(MIN(C33,F33)*time+ABS(F33-C33)*IF(F33&gt;C33,time*(VLOOKUP(G33,List!$E$35:$F$37,2,)),time*(1-(VLOOKUP(G33,List!$E$35:$F$37,2,)))))*(IF($H11&gt;0,$H11,$G11)+IF($J11&gt;0,$J11,$I11))*44/12</f>
        <v>0</v>
      </c>
      <c r="AF11" s="1914">
        <f>-IF(L11="yes",$M11,$K11)*((MIN($C33,D33)*MIN(20,time))+IF(E33="immediate",IF(D33&gt;$C33,D33*MIN(20,time),0),IF($C33&gt;D33,($C33-D33)*IF(time&gt;20,IF(E33="linear",time-((time-20)^2)/(2*time),(0.215*time)-(time/4.6)*(EXP(-92.1/time)-0.01)),time*(1-VLOOKUP(E33,List!$E$35:$F$37,2,))),(D33-$C33)*IF(time&gt;time+20,20,IF(time&lt;20,(time*VLOOKUP(E33,List!$E$35:$F$37,2,))+(time-time),((MIN(20,time)*VLOOKUP(E33,List!$E$35:$F$37,2,))+(time-MIN(20,time))-IF(E33="exponential",time-20+0.217*time*(EXP(4.606*(20-time)/time)-1),((time-20)^2)*(0.5/time))))))))</f>
        <v>0</v>
      </c>
      <c r="AG11" s="1914">
        <f>-IF(L11="yes",$M11,$K11)*((MIN($C33,F33)*MIN(20,time))+IF(G33="immediate",IF(F33&gt;$C33,F33*MIN(20,time),0),IF($C33&gt;F33,($C33-F33)*IF(time&gt;20,IF(G33="linear",time-((time-20)^2)/(2*time),(0.215*time)-(time/4.6)*(EXP(-92.1/time)-0.01)),time*(1-VLOOKUP(G33,List!$E$35:$F$37,2,))),(F33-$C33)*IF(time&gt;time+20,20,IF(time&lt;20,(time*VLOOKUP(G33,List!$E$35:$F$37,2,))+(time-time),((MIN(20,time)*VLOOKUP(G33,List!$E$35:$F$37,2,))+(time-MIN(20,time))-IF(G33="exponential",time-20+0.217*time*(EXP(4.606*(20-time)/time)-1),((time-20)^2)*(0.5/time))))))))</f>
        <v>0</v>
      </c>
      <c r="AH11" s="1914">
        <f>(MIN(C33,D33)*time+ABS(D33-C33)*IF(D33&gt;C33,time*(VLOOKUP(E33,List!$E$35:$F$37,2,)),time*(1-(VLOOKUP(E33,List!$E$35:$F$37,2,)))))*N11*methane/1000</f>
        <v>0</v>
      </c>
      <c r="AI11" s="1914">
        <f>(MIN(C33,F33)*time+ABS(F33-C33)*IF(F33&gt;C33,time*(VLOOKUP(G33,List!$E$35:$F$37,2,)),time*(1-(VLOOKUP(G33,List!$E$35:$F$37,2,)))))*N11*methane/1000</f>
        <v>0</v>
      </c>
      <c r="AJ11" s="1914">
        <f>(MIN(C33,D33)*time+ABS(D33-C33)*IF(D33&gt;C33,time*(VLOOKUP(E33,List!$E$35:$F$37,2,)),time*(1-(VLOOKUP(E33,List!$E$35:$F$37,2,)))))*O11*Nitrous/1000</f>
        <v>0</v>
      </c>
      <c r="AK11" s="1914">
        <f>(MIN(C33,F33)*time+ABS(F33-C33)*IF(F33&gt;C33,time*(VLOOKUP(G33,List!$E$35:$F$37,2,)),time*(1-(VLOOKUP(G33,List!$E$35:$F$37,2,)))))*O11*Nitrous/1000</f>
        <v>0</v>
      </c>
      <c r="AL11" s="1914" t="s">
        <v>24</v>
      </c>
      <c r="AM11" s="1914">
        <f>SUM(I32:I45)-SUM(H32:H45)</f>
        <v>0</v>
      </c>
      <c r="AN11" s="1914">
        <f>IF(time=0,0,SUM(AE10:AE23)-SUM(AD10:AD23))</f>
        <v>0</v>
      </c>
      <c r="AO11" s="1914">
        <f>AM11-AN11</f>
        <v>0</v>
      </c>
    </row>
    <row r="12" spans="1:53" ht="13.5" thickBot="1">
      <c r="B12" s="734" t="s">
        <v>1228</v>
      </c>
      <c r="C12" s="926" t="s">
        <v>70</v>
      </c>
      <c r="D12" s="1846" t="str">
        <f>'3.Cropland'!K46</f>
        <v>NO</v>
      </c>
      <c r="E12" s="2217">
        <f>IF('3.Cropland'!U175="",'3.Cropland'!T175,'3.Cropland'!U175)</f>
        <v>1</v>
      </c>
      <c r="F12" s="2219">
        <f>IF('3.Cropland'!Q175="",'3.Cropland'!P175,'3.Cropland'!Q175)</f>
        <v>10</v>
      </c>
      <c r="G12" s="735">
        <f>VLOOKUP(clim_full,' IPCC'!$A$126:$C$137,3,)</f>
        <v>0</v>
      </c>
      <c r="H12" s="2217">
        <f>IF('3.Cropland'!G175&lt;&gt;"",'3.Cropland'!G175,G12)</f>
        <v>0</v>
      </c>
      <c r="I12" s="736">
        <v>0</v>
      </c>
      <c r="J12" s="2217">
        <f>IF('3.Cropland'!J175&lt;&gt;"",'3.Cropland'!J175,I12)</f>
        <v>0</v>
      </c>
      <c r="K12" s="735">
        <f>HLOOKUP(clim_simple,' IPCC'!$A$598:$F$604,7,)</f>
        <v>0</v>
      </c>
      <c r="L12" s="713" t="s">
        <v>350</v>
      </c>
      <c r="M12" s="2218">
        <f>IF('3.Cropland'!O175="",K12,'3.Cropland'!O175)</f>
        <v>0</v>
      </c>
      <c r="N12" s="735">
        <f t="shared" si="0"/>
        <v>0</v>
      </c>
      <c r="O12" s="737">
        <f t="shared" si="1"/>
        <v>0</v>
      </c>
      <c r="P12" s="1219">
        <f>(N12*methane+O12*Nitrous)/1000</f>
        <v>0</v>
      </c>
      <c r="Q12" s="1851">
        <f>'3.Cropland'!O46</f>
        <v>0</v>
      </c>
      <c r="R12" s="233"/>
      <c r="S12" s="233"/>
      <c r="T12" s="234"/>
      <c r="W12" s="2403"/>
      <c r="Z12" s="1914">
        <f>(MIN(C34,D34)*time_tot+ABS(D34-C34)*IF(D34&gt;C34,time2+time*(VLOOKUP(E34,List!$E$35:$F$37,2,)),time*(1-(VLOOKUP(E34,List!$E$35:$F$37,2,)))))*N12*methane/1000</f>
        <v>0</v>
      </c>
      <c r="AA12" s="1914">
        <f>(($C34*time)+((F34-$C34))*(VLOOKUP(G34,List!$E$35:$F$37,2,)*time)+(F34*time2))*N12*methane/1000</f>
        <v>0</v>
      </c>
      <c r="AB12" s="1914">
        <f>(MIN(C34,D34)*time_tot+ABS(D34-C34)*IF(D34&gt;C34,time2+time*(VLOOKUP(E34,List!$E$35:$F$37,2,)),time*(1-(VLOOKUP(E34,List!$E$35:$F$37,2,)))))*O12*Nitrous/1000</f>
        <v>0</v>
      </c>
      <c r="AC12" s="1914">
        <f>(MIN(C34,F34)*time_tot+ABS(F34-C34)*IF(F34&gt;C34,time2+time*(VLOOKUP(G34,List!$E$35:$F$37,2,)),time*(1-(VLOOKUP(G34,List!$E$35:$F$37,2,)))))*O12*Nitrous/1000</f>
        <v>0</v>
      </c>
      <c r="AD12" s="2413">
        <f>-(MIN(C34,D34)*time+ABS(D34-C34)*IF(D34&gt;C34,(time-1)*(VLOOKUP(E34,List!$E$35:$F$37,2,)),(time-1)*(1-(VLOOKUP(E34,List!$E$35:$F$37,2,)))))*(IF($H12&gt;0,$H12,$G12)+IF($J12&gt;0,$J12,$I12))*(44/12)</f>
        <v>0</v>
      </c>
      <c r="AE12" s="2413">
        <f>-(MIN(C34,F34)*time+ABS(F34-C34)*IF(F34&gt;C34,(time-1)*(VLOOKUP(G34,List!$E$35:$F$37,2,)),(time-1)*(1-(VLOOKUP(G34,List!$E$35:$F$37,2,)))))*(IF($H12&gt;0,$H12,$G12)+IF($J12&gt;0,$J12,$I12))*44/12</f>
        <v>0</v>
      </c>
      <c r="AF12" s="1914">
        <f>-IF(L12="yes",$M12,$K12)*((MIN($C34,D34)*MIN(20,time))+IF(E34="immediate",IF(D34&gt;$C34,D34*MIN(20,time),0),IF($C34&gt;D34,($C34-D34)*IF(time&gt;20,IF(E34="linear",time-((time-20)^2)/(2*time),(0.215*time)-(time/4.6)*(EXP(-92.1/time)-0.01)),time*(1-VLOOKUP(E34,List!$E$35:$F$37,2,))),(D34-$C34)*IF(time&gt;time+20,20,IF(time&lt;20,(time*VLOOKUP(E34,List!$E$35:$F$37,2,))+(time-time),((MIN(20,time)*VLOOKUP(E34,List!$E$35:$F$37,2,))+(time-MIN(20,time))-IF(E34="exponential",time-20+0.217*time*(EXP(4.606*(20-time)/time)-1),((time-20)^2)*(0.5/time))))))))</f>
        <v>0</v>
      </c>
      <c r="AG12" s="1914">
        <f>-IF(L12="yes",$M12,$K12)*((MIN($C34,F34)*MIN(20,time))+IF(G34="immediate",IF(F34&gt;$C34,F34*MIN(20,time),0),IF($C34&gt;F34,($C34-F34)*IF(time&gt;20,IF(G34="linear",time-((time-20)^2)/(2*time),(0.215*time)-(time/4.6)*(EXP(-92.1/time)-0.01)),time*(1-VLOOKUP(G34,List!$E$35:$F$37,2,))),(F34-$C34)*IF(time&gt;time+20,20,IF(time&lt;20,(time*VLOOKUP(G34,List!$E$35:$F$37,2,))+(time-time),((MIN(20,time)*VLOOKUP(G34,List!$E$35:$F$37,2,))+(time-MIN(20,time))-IF(G34="exponential",time-20+0.217*time*(EXP(4.606*(20-time)/time)-1),((time-20)^2)*(0.5/time))))))))</f>
        <v>0</v>
      </c>
      <c r="AH12" s="1914">
        <f>(MIN(C34,D34)*time+ABS(D34-C34)*IF(D34&gt;C34,time*(VLOOKUP(E34,List!$E$35:$F$37,2,)),time*(1-(VLOOKUP(E34,List!$E$35:$F$37,2,)))))*N12*methane/1000</f>
        <v>0</v>
      </c>
      <c r="AI12" s="1914">
        <f>(MIN(C34,F34)*time+ABS(F34-C34)*IF(F34&gt;C34,time*(VLOOKUP(G34,List!$E$35:$F$37,2,)),time*(1-(VLOOKUP(G34,List!$E$35:$F$37,2,)))))*N12*methane/1000</f>
        <v>0</v>
      </c>
      <c r="AJ12" s="1914">
        <f>(MIN(C34,D34)*time+ABS(D34-C34)*IF(D34&gt;C34,time*(VLOOKUP(E34,List!$E$35:$F$37,2,)),time*(1-(VLOOKUP(E34,List!$E$35:$F$37,2,)))))*O12*Nitrous/1000</f>
        <v>0</v>
      </c>
      <c r="AK12" s="1914">
        <f>(MIN(C34,F34)*time+ABS(F34-C34)*IF(F34&gt;C34,time*(VLOOKUP(G34,List!$E$35:$F$37,2,)),time*(1-(VLOOKUP(G34,List!$E$35:$F$37,2,)))))*O12*Nitrous/1000</f>
        <v>0</v>
      </c>
      <c r="AL12" s="1914" t="s">
        <v>25</v>
      </c>
      <c r="AM12" s="1914">
        <f>SUM(K32:K45)-SUM(J32:J45)</f>
        <v>0</v>
      </c>
      <c r="AN12" s="1914">
        <f>SUM(AG10:AG23)-SUM(AF10:AF23)</f>
        <v>0</v>
      </c>
      <c r="AO12" s="1914">
        <f>AM12-AN12</f>
        <v>0</v>
      </c>
    </row>
    <row r="13" spans="1:53" ht="13.5" thickBot="1">
      <c r="B13" s="731" t="s">
        <v>1229</v>
      </c>
      <c r="C13" s="926" t="s">
        <v>76</v>
      </c>
      <c r="D13" s="1846" t="str">
        <f>'3.Cropland'!K47</f>
        <v>NO</v>
      </c>
      <c r="E13" s="2217">
        <f>IF('3.Cropland'!U176="",'3.Cropland'!T176,'3.Cropland'!U176)</f>
        <v>1</v>
      </c>
      <c r="F13" s="2219">
        <f>IF('3.Cropland'!Q176="",'3.Cropland'!P176,'3.Cropland'!Q176)</f>
        <v>10</v>
      </c>
      <c r="G13" s="732">
        <v>0</v>
      </c>
      <c r="H13" s="2217">
        <f>IF('3.Cropland'!G176&lt;&gt;"",'3.Cropland'!G176,G13)</f>
        <v>0</v>
      </c>
      <c r="I13" s="651">
        <v>0</v>
      </c>
      <c r="J13" s="2217">
        <f>IF('3.Cropland'!J176&lt;&gt;"",'3.Cropland'!J176,I13)</f>
        <v>0</v>
      </c>
      <c r="K13" s="732">
        <f>HLOOKUP(clim_simple,' IPCC'!$A$598:$F$604,7,)</f>
        <v>0</v>
      </c>
      <c r="L13" s="713" t="s">
        <v>350</v>
      </c>
      <c r="M13" s="2218">
        <f>IF('3.Cropland'!O176="",K13,'3.Cropland'!O176)</f>
        <v>0</v>
      </c>
      <c r="N13" s="732">
        <f t="shared" si="0"/>
        <v>0</v>
      </c>
      <c r="O13" s="733">
        <f t="shared" si="1"/>
        <v>0</v>
      </c>
      <c r="P13" s="1218">
        <f>(N13*methane+O13*Nitrous)/1000</f>
        <v>0</v>
      </c>
      <c r="Q13" s="1851">
        <f>'3.Cropland'!O47</f>
        <v>0</v>
      </c>
      <c r="R13" s="233"/>
      <c r="S13" s="233"/>
      <c r="T13" s="234"/>
      <c r="U13" s="1502"/>
      <c r="W13" s="2403"/>
      <c r="Z13" s="1914">
        <f>(MIN(C35,D35)*time_tot+ABS(D35-C35)*IF(D35&gt;C35,time2+time*(VLOOKUP(E35,List!$E$35:$F$37,2,)),time*(1-(VLOOKUP(E35,List!$E$35:$F$37,2,)))))*N13*methane/1000</f>
        <v>0</v>
      </c>
      <c r="AA13" s="1914">
        <f>(($C35*time)+((F35-$C35))*(VLOOKUP(G35,List!$E$35:$F$37,2,)*time)+(F35*time2))*N13*methane/1000</f>
        <v>0</v>
      </c>
      <c r="AB13" s="1914">
        <f>(MIN(C35,D35)*time_tot+ABS(D35-C35)*IF(D35&gt;C35,time2+time*(VLOOKUP(E35,List!$E$35:$F$37,2,)),time*(1-(VLOOKUP(E35,List!$E$35:$F$37,2,)))))*O13*Nitrous/1000</f>
        <v>0</v>
      </c>
      <c r="AC13" s="1914">
        <f>(MIN(C35,F35)*time_tot+ABS(F35-C35)*IF(F35&gt;C35,time2+time*(VLOOKUP(G35,List!$E$35:$F$37,2,)),time*(1-(VLOOKUP(G35,List!$E$35:$F$37,2,)))))*O13*Nitrous/1000</f>
        <v>0</v>
      </c>
      <c r="AD13" s="2413">
        <f>-(MIN(C35,D35)*time+ABS(D35-C35)*IF(D35&gt;C35,time*(VLOOKUP(E35,List!$E$35:$F$37,2,)),time*(1-(VLOOKUP(E35,List!$E$35:$F$37,2,)))))*(IF($H13&gt;0,$H13,$G13)+IF($J13&gt;0,$J13,$I13))*(44/12)</f>
        <v>0</v>
      </c>
      <c r="AE13" s="2413">
        <f>-(MIN(C35,F35)*time+ABS(F35-C35)*IF(F35&gt;C35,time*(VLOOKUP(G35,List!$E$35:$F$37,2,)),time*(1-(VLOOKUP(G35,List!$E$35:$F$37,2,)))))*(IF($H13&gt;0,$H13,$G13)+IF($J13&gt;0,$J13,$I13))*44/12</f>
        <v>0</v>
      </c>
      <c r="AF13" s="1914">
        <f>-IF(L13="yes",$M13,$K13)*((MIN($C35,D35)*MIN(20,time))+IF(E35="immediate",IF(D35&gt;$C35,D35*MIN(20,time),0),IF($C35&gt;D35,($C35-D35)*IF(time&gt;20,IF(E35="linear",time-((time-20)^2)/(2*time),(0.215*time)-(time/4.6)*(EXP(-92.1/time)-0.01)),time*(1-VLOOKUP(E35,List!$E$35:$F$37,2,))),(D35-$C35)*IF(time&gt;time+20,20,IF(time&lt;20,(time*VLOOKUP(E35,List!$E$35:$F$37,2,))+(time-time),((MIN(20,time)*VLOOKUP(E35,List!$E$35:$F$37,2,))+(time-MIN(20,time))-IF(E35="exponential",time-20+0.217*time*(EXP(4.606*(20-time)/time)-1),((time-20)^2)*(0.5/time))))))))</f>
        <v>0</v>
      </c>
      <c r="AG13" s="1914">
        <f>-IF(L13="yes",$M13,$K13)*((MIN($C35,F35)*MIN(20,time))+IF(G35="immediate",IF(F35&gt;$C35,F35*MIN(20,time),0),IF($C35&gt;F35,($C35-F35)*IF(time&gt;20,IF(G35="linear",time-((time-20)^2)/(2*time),(0.215*time)-(time/4.6)*(EXP(-92.1/time)-0.01)),time*(1-VLOOKUP(G35,List!$E$35:$F$37,2,))),(F35-$C35)*IF(time&gt;time+20,20,IF(time&lt;20,(time*VLOOKUP(G35,List!$E$35:$F$37,2,))+(time-time),((MIN(20,time)*VLOOKUP(G35,List!$E$35:$F$37,2,))+(time-MIN(20,time))-IF(G35="exponential",time-20+0.217*time*(EXP(4.606*(20-time)/time)-1),((time-20)^2)*(0.5/time))))))))</f>
        <v>0</v>
      </c>
      <c r="AH13" s="1914">
        <f>(MIN(C35,D35)*time+ABS(D35-C35)*IF(D35&gt;C35,time*(VLOOKUP(E35,List!$E$35:$F$37,2,)),time*(1-(VLOOKUP(E35,List!$E$35:$F$37,2,)))))*N13*methane/1000</f>
        <v>0</v>
      </c>
      <c r="AI13" s="1914">
        <f>(MIN(C35,F35)*time+ABS(F35-C35)*IF(F35&gt;C35,time*(VLOOKUP(G35,List!$E$35:$F$37,2,)),time*(1-(VLOOKUP(G35,List!$E$35:$F$37,2,)))))*N13*methane/1000</f>
        <v>0</v>
      </c>
      <c r="AJ13" s="1914">
        <f>(MIN(C35,D35)*time+ABS(D35-C35)*IF(D35&gt;C35,time*(VLOOKUP(E35,List!$E$35:$F$37,2,)),time*(1-(VLOOKUP(E35,List!$E$35:$F$37,2,)))))*O13*Nitrous/1000</f>
        <v>0</v>
      </c>
      <c r="AK13" s="1914">
        <f>(MIN(C35,F35)*time+ABS(F35-C35)*IF(F35&gt;C35,time*(VLOOKUP(G35,List!$E$35:$F$37,2,)),time*(1-(VLOOKUP(G35,List!$E$35:$F$37,2,)))))*O13*Nitrous/1000</f>
        <v>0</v>
      </c>
      <c r="AL13" s="1914" t="s">
        <v>332</v>
      </c>
      <c r="AM13" s="1914">
        <f>SUM(AA10:AA23)-SUM(Z10:Z23)</f>
        <v>0</v>
      </c>
      <c r="AN13" s="1914">
        <f>SUM(AI10:AI23)-SUM(AH10:AH23)</f>
        <v>0</v>
      </c>
      <c r="AO13" s="1914">
        <f>AM13-AN13</f>
        <v>0</v>
      </c>
    </row>
    <row r="14" spans="1:53" ht="13.5" thickBot="1">
      <c r="B14" s="592" t="s">
        <v>1108</v>
      </c>
      <c r="C14" s="709"/>
      <c r="D14" s="1846" t="str">
        <f>'3.Cropland'!K52</f>
        <v>NO</v>
      </c>
      <c r="E14" s="2217">
        <f>IF('3.Cropland'!U178="",'3.Cropland'!T178,'3.Cropland'!U178)</f>
        <v>1</v>
      </c>
      <c r="F14" s="2219">
        <f>IF('3.Cropland'!Q178="",'3.Cropland'!P178,'3.Cropland'!Q178)</f>
        <v>10</v>
      </c>
      <c r="G14" s="642">
        <v>0</v>
      </c>
      <c r="H14" s="2217">
        <f>IF('3.Cropland'!G178&lt;&gt;"",'3.Cropland'!G178,G14)</f>
        <v>0</v>
      </c>
      <c r="I14" s="454">
        <v>0</v>
      </c>
      <c r="J14" s="2217">
        <f>IF('3.Cropland'!J178&lt;&gt;"",'3.Cropland'!J178,I14)</f>
        <v>0</v>
      </c>
      <c r="K14" s="642">
        <f>HLOOKUP(clim_simple,' IPCC'!$A$598:$F$604,7,)</f>
        <v>0</v>
      </c>
      <c r="L14" s="713" t="s">
        <v>350</v>
      </c>
      <c r="M14" s="2218">
        <f>IF('3.Cropland'!O178="",K14,'3.Cropland'!O178)</f>
        <v>0</v>
      </c>
      <c r="N14" s="642">
        <f>IF($D14="yes",$F14*$S$11,0)*$R$11/$E14</f>
        <v>0</v>
      </c>
      <c r="O14" s="738">
        <f t="shared" si="1"/>
        <v>0</v>
      </c>
      <c r="P14" s="698">
        <f t="shared" si="2"/>
        <v>0</v>
      </c>
      <c r="Q14" s="1851">
        <f>'3.Cropland'!O52</f>
        <v>0</v>
      </c>
      <c r="R14" s="233"/>
      <c r="S14" s="233"/>
      <c r="T14" s="234"/>
      <c r="U14" s="1502"/>
      <c r="W14" s="2403"/>
      <c r="Z14" s="1914">
        <f>(MIN(C36,D36)*time_tot+ABS(D36-C36)*IF(D36&gt;C36,time2+time*(VLOOKUP(E36,List!$E$35:$F$37,2,)),time*(1-(VLOOKUP(E36,List!$E$35:$F$37,2,)))))*N14*methane/1000</f>
        <v>0</v>
      </c>
      <c r="AA14" s="1914">
        <f>(($C36*time)+((F36-$C36))*(VLOOKUP(G36,List!$E$35:$F$37,2,)*time)+(F36*time2))*N14*methane/1000</f>
        <v>0</v>
      </c>
      <c r="AB14" s="1914">
        <f>(MIN(C36,D36)*time_tot+ABS(D36-C36)*IF(D36&gt;C36,time2+time*(VLOOKUP(E36,List!$E$35:$F$37,2,)),time*(1-(VLOOKUP(E36,List!$E$35:$F$37,2,)))))*O14*Nitrous/1000</f>
        <v>0</v>
      </c>
      <c r="AC14" s="1914">
        <f>(MIN(C36,F36)*time_tot+ABS(F36-C36)*IF(F36&gt;C36,time2+time*(VLOOKUP(G36,List!$E$35:$F$37,2,)),time*(1-(VLOOKUP(G36,List!$E$35:$F$37,2,)))))*O14*Nitrous/1000</f>
        <v>0</v>
      </c>
      <c r="AD14" s="2413">
        <f>-(MIN(C36,D36)*time+ABS(D36-C36)*IF(D36&gt;C36,time*(VLOOKUP(E36,List!$E$35:$F$37,2,)),time*(1-(VLOOKUP(E36,List!$E$35:$F$37,2,)))))*(IF($H14&gt;0,$H14,$G14)+IF($J14&gt;0,$J14,$I14))*(44/12)</f>
        <v>0</v>
      </c>
      <c r="AE14" s="2413">
        <f>-(MIN(C36,F36)*time+ABS(F36-C36)*IF(F36&gt;C36,time*(VLOOKUP(G36,List!$E$35:$F$37,2,)),time*(1-(VLOOKUP(G36,List!$E$35:$F$37,2,)))))*(IF($H14&gt;0,$H14,$G14)+IF($J14&gt;0,$J14,$I14))*44/12</f>
        <v>0</v>
      </c>
      <c r="AF14" s="1914">
        <f>-IF(L14="yes",$M13,$K14)*((MIN($C36,D36)*MIN(20,time))+IF(E36="immediate",IF(D36&gt;$C36,D36*MIN(20,time),0),IF($C36&gt;D36,($C36-D36)*IF(time&gt;20,IF(E36="linear",time-((time-20)^2)/(2*time),(0.215*time)-(time/4.6)*(EXP(-92.1/time)-0.01)),time*(1-VLOOKUP(E36,List!$E$35:$F$37,2,))),(D36-$C36)*IF(time&gt;time+20,20,IF(time&lt;20,(time*VLOOKUP(E36,List!$E$35:$F$37,2,))+(time-time),((MIN(20,time)*VLOOKUP(E36,List!$E$35:$F$37,2,))+(time-MIN(20,time))-IF(E36="exponential",time-20+0.217*time*(EXP(4.606*(20-time)/time)-1),((time-20)^2)*(0.5/time))))))))</f>
        <v>0</v>
      </c>
      <c r="AG14" s="1914">
        <f>-IF(L14="yes",$M13,$K14)*((MIN($C36,F36)*MIN(20,time))+IF(G36="immediate",IF(F36&gt;$C36,F36*MIN(20,time),0),IF($C36&gt;F36,($C36-F36)*IF(time&gt;20,IF(G36="linear",time-((time-20)^2)/(2*time),(0.215*time)-(time/4.6)*(EXP(-92.1/time)-0.01)),time*(1-VLOOKUP(G36,List!$E$35:$F$37,2,))),(F36-$C36)*IF(time&gt;time+20,20,IF(time&lt;20,(time*VLOOKUP(G36,List!$E$35:$F$37,2,))+(time-time),((MIN(20,time)*VLOOKUP(G36,List!$E$35:$F$37,2,))+(time-MIN(20,time))-IF(G36="exponential",time-20+0.217*time*(EXP(4.606*(20-time)/time)-1),((time-20)^2)*(0.5/time))))))))</f>
        <v>0</v>
      </c>
      <c r="AH14" s="1914">
        <f>(MIN(C36,D36)*time+ABS(D36-C36)*IF(D36&gt;C36,time*(VLOOKUP(E36,List!$E$35:$F$37,2,)),time*(1-(VLOOKUP(E36,List!$E$35:$F$37,2,)))))*N14*methane/1000</f>
        <v>0</v>
      </c>
      <c r="AI14" s="1914">
        <f>(MIN(C36,F36)*time+ABS(F36-C36)*IF(F36&gt;C36,time*(VLOOKUP(G36,List!$E$35:$F$37,2,)),time*(1-(VLOOKUP(G36,List!$E$35:$F$37,2,)))))*N14*methane/1000</f>
        <v>0</v>
      </c>
      <c r="AJ14" s="1914">
        <f>(MIN(C36,D36)*time+ABS(D36-C36)*IF(D36&gt;C36,time*(VLOOKUP(E36,List!$E$35:$F$37,2,)),time*(1-(VLOOKUP(E36,List!$E$35:$F$37,2,)))))*O14*Nitrous/1000</f>
        <v>0</v>
      </c>
      <c r="AK14" s="1914">
        <f>(MIN(C36,F36)*time+ABS(F36-C36)*IF(F36&gt;C36,time*(VLOOKUP(G36,List!$E$35:$F$37,2,)),time*(1-(VLOOKUP(G36,List!$E$35:$F$37,2,)))))*O14*Nitrous/1000</f>
        <v>0</v>
      </c>
      <c r="AL14" s="1914" t="s">
        <v>333</v>
      </c>
      <c r="AM14" s="1914">
        <f>SUM(AC10:AC23)-SUM(AB10:AB23)</f>
        <v>0</v>
      </c>
      <c r="AN14" s="1914">
        <f>SUM(AK10:AK23)-SUM(AJ10:AJ23)</f>
        <v>0</v>
      </c>
      <c r="AO14" s="1914">
        <f>AM14-AN14</f>
        <v>0</v>
      </c>
    </row>
    <row r="15" spans="1:53" ht="13.5" thickBot="1">
      <c r="B15" s="592" t="s">
        <v>1109</v>
      </c>
      <c r="C15" s="709"/>
      <c r="D15" s="1846" t="str">
        <f>'3.Cropland'!K53</f>
        <v>NO</v>
      </c>
      <c r="E15" s="2217">
        <f>IF('3.Cropland'!U179="",'3.Cropland'!T179,'3.Cropland'!U179)</f>
        <v>1</v>
      </c>
      <c r="F15" s="2219">
        <f>IF('3.Cropland'!Q179="",'3.Cropland'!P179,'3.Cropland'!Q179)</f>
        <v>10</v>
      </c>
      <c r="G15" s="642">
        <v>0</v>
      </c>
      <c r="H15" s="2217">
        <f>IF('3.Cropland'!G179&lt;&gt;"",'3.Cropland'!G179,G15)</f>
        <v>0</v>
      </c>
      <c r="I15" s="454">
        <v>0</v>
      </c>
      <c r="J15" s="2217">
        <f>IF('3.Cropland'!J179&lt;&gt;"",'3.Cropland'!J179,I15)</f>
        <v>0</v>
      </c>
      <c r="K15" s="642">
        <f>HLOOKUP(clim_simple,' IPCC'!$A$598:$F$604,7,)</f>
        <v>0</v>
      </c>
      <c r="L15" s="713" t="s">
        <v>350</v>
      </c>
      <c r="M15" s="2218">
        <f>IF('3.Cropland'!O179="",K15,'3.Cropland'!O179)</f>
        <v>0</v>
      </c>
      <c r="N15" s="642">
        <f t="shared" si="0"/>
        <v>0</v>
      </c>
      <c r="O15" s="738">
        <f t="shared" si="1"/>
        <v>0</v>
      </c>
      <c r="P15" s="698">
        <f t="shared" si="2"/>
        <v>0</v>
      </c>
      <c r="Q15" s="1851">
        <f>'3.Cropland'!O53</f>
        <v>0</v>
      </c>
      <c r="R15" s="233"/>
      <c r="S15" s="233"/>
      <c r="T15" s="234"/>
      <c r="U15" s="1502"/>
      <c r="W15" s="2403"/>
      <c r="Z15" s="1914">
        <f>(MIN(C37,D37)*time_tot+ABS(D37-C37)*IF(D37&gt;C37,time2+time*(VLOOKUP(E37,List!$E$35:$F$37,2,)),time*(1-(VLOOKUP(E37,List!$E$35:$F$37,2,)))))*N15*methane/1000</f>
        <v>0</v>
      </c>
      <c r="AA15" s="1914">
        <f>(($C37*time)+((F37-$C37))*(VLOOKUP(G37,List!$E$35:$F$37,2,)*time)+(F37*time2))*N15*methane/1000</f>
        <v>0</v>
      </c>
      <c r="AB15" s="1914">
        <f>(MIN(C37,D37)*time_tot+ABS(D37-C37)*IF(D37&gt;C37,time2+time*(VLOOKUP(E37,List!$E$35:$F$37,2,)),time*(1-(VLOOKUP(E37,List!$E$35:$F$37,2,)))))*O15*Nitrous/1000</f>
        <v>0</v>
      </c>
      <c r="AC15" s="1914">
        <f>(MIN(C37,F37)*time_tot+ABS(F37-C37)*IF(F37&gt;C37,time2+time*(VLOOKUP(G37,List!$E$35:$F$37,2,)),time*(1-(VLOOKUP(G37,List!$E$35:$F$37,2,)))))*O15*Nitrous/1000</f>
        <v>0</v>
      </c>
      <c r="AD15" s="2413">
        <f>-(MIN(C37,D37)*time+ABS(D37-C37)*IF(D37&gt;C37,time*(VLOOKUP(E37,List!$E$35:$F$37,2,)),time*(1-(VLOOKUP(E37,List!$E$35:$F$37,2,)))))*(IF($H15&gt;0,$H15,$G15)+IF($J15&gt;0,$J15,$I15))*(44/12)</f>
        <v>0</v>
      </c>
      <c r="AE15" s="2413">
        <f>-(MIN(C37,F37)*time+ABS(F37-C37)*IF(F37&gt;C37,time*(VLOOKUP(G37,List!$E$35:$F$37,2,)),time*(1-(VLOOKUP(G37,List!$E$35:$F$37,2,)))))*(IF($H15&gt;0,$H15,$G15)+IF($J15&gt;0,$J15,$I15))*44/12</f>
        <v>0</v>
      </c>
      <c r="AF15" s="1914">
        <f>-IF(L15="yes",$M14,$K15)*((MIN($C37,D37)*MIN(20,time))+IF(E37="immediate",IF(D37&gt;$C37,D37*MIN(20,time),0),IF($C37&gt;D37,($C37-D37)*IF(time&gt;20,IF(E37="linear",time-((time-20)^2)/(2*time),(0.215*time)-(time/4.6)*(EXP(-92.1/time)-0.01)),time*(1-VLOOKUP(E37,List!$E$35:$F$37,2,))),(D37-$C37)*IF(time&gt;time+20,20,IF(time&lt;20,(time*VLOOKUP(E37,List!$E$35:$F$37,2,))+(time-time),((MIN(20,time)*VLOOKUP(E37,List!$E$35:$F$37,2,))+(time-MIN(20,time))-IF(E37="exponential",time-20+0.217*time*(EXP(4.606*(20-time)/time)-1),((time-20)^2)*(0.5/time))))))))</f>
        <v>0</v>
      </c>
      <c r="AG15" s="1914">
        <f>-IF(L15="yes",$M14,$K15)*((MIN($C37,F37)*MIN(20,time))+IF(G37="immediate",IF(F37&gt;$C37,F37*MIN(20,time),0),IF($C37&gt;F37,($C37-F37)*IF(time&gt;20,IF(G37="linear",time-((time-20)^2)/(2*time),(0.215*time)-(time/4.6)*(EXP(-92.1/time)-0.01)),time*(1-VLOOKUP(G37,List!$E$35:$F$37,2,))),(F37-$C37)*IF(time&gt;time+20,20,IF(time&lt;20,(time*VLOOKUP(G37,List!$E$35:$F$37,2,))+(time-time),((MIN(20,time)*VLOOKUP(G37,List!$E$35:$F$37,2,))+(time-MIN(20,time))-IF(G37="exponential",time-20+0.217*time*(EXP(4.606*(20-time)/time)-1),((time-20)^2)*(0.5/time))))))))</f>
        <v>0</v>
      </c>
      <c r="AH15" s="1914">
        <f>(MIN(C37,D37)*time+ABS(D37-C37)*IF(D37&gt;C37,time*(VLOOKUP(E37,List!$E$35:$F$37,2,)),time*(1-(VLOOKUP(E37,List!$E$35:$F$37,2,)))))*N15*methane/1000</f>
        <v>0</v>
      </c>
      <c r="AI15" s="1914">
        <f>(MIN(C37,F37)*time+ABS(F37-C37)*IF(F37&gt;C37,time*(VLOOKUP(G37,List!$E$35:$F$37,2,)),time*(1-(VLOOKUP(G37,List!$E$35:$F$37,2,)))))*N15*methane/1000</f>
        <v>0</v>
      </c>
      <c r="AJ15" s="1914">
        <f>(MIN(C37,D37)*time+ABS(D37-C37)*IF(D37&gt;C37,time*(VLOOKUP(E37,List!$E$35:$F$37,2,)),time*(1-(VLOOKUP(E37,List!$E$35:$F$37,2,)))))*O15*Nitrous/1000</f>
        <v>0</v>
      </c>
      <c r="AK15" s="1914">
        <f>(MIN(C37,F37)*time+ABS(F37-C37)*IF(F37&gt;C37,time*(VLOOKUP(G37,List!$E$35:$F$37,2,)),time*(1-(VLOOKUP(G37,List!$E$35:$F$37,2,)))))*O15*Nitrous/1000</f>
        <v>0</v>
      </c>
      <c r="AL15" s="1914"/>
      <c r="AM15" s="1914">
        <f>SUM(AM11:AM14)</f>
        <v>0</v>
      </c>
      <c r="AN15" s="1914">
        <f>SUM(AN11:AN14)</f>
        <v>0</v>
      </c>
      <c r="AO15" s="1914">
        <f>SUM(AO11:AO14)</f>
        <v>0</v>
      </c>
    </row>
    <row r="16" spans="1:53" ht="13.5" thickBot="1">
      <c r="B16" s="592" t="s">
        <v>1110</v>
      </c>
      <c r="C16" s="709"/>
      <c r="D16" s="1846" t="str">
        <f>'3.Cropland'!K54</f>
        <v>NO</v>
      </c>
      <c r="E16" s="2217">
        <f>IF('3.Cropland'!U180="",'3.Cropland'!T180,'3.Cropland'!U180)</f>
        <v>1</v>
      </c>
      <c r="F16" s="2219">
        <f>IF('3.Cropland'!Q180="",'3.Cropland'!P180,'3.Cropland'!Q180)</f>
        <v>10</v>
      </c>
      <c r="G16" s="642">
        <v>0</v>
      </c>
      <c r="H16" s="2217">
        <f>IF('3.Cropland'!G180&lt;&gt;"",'3.Cropland'!G180,G16)</f>
        <v>0</v>
      </c>
      <c r="I16" s="454">
        <v>0</v>
      </c>
      <c r="J16" s="2217">
        <f>IF('3.Cropland'!J180&lt;&gt;"",'3.Cropland'!J180,I16)</f>
        <v>0</v>
      </c>
      <c r="K16" s="642">
        <f>HLOOKUP(clim_simple,' IPCC'!$A$598:$F$604,7,)</f>
        <v>0</v>
      </c>
      <c r="L16" s="713" t="s">
        <v>350</v>
      </c>
      <c r="M16" s="2218">
        <f>IF('3.Cropland'!O180="",K16,'3.Cropland'!O180)</f>
        <v>0</v>
      </c>
      <c r="N16" s="642">
        <f t="shared" si="0"/>
        <v>0</v>
      </c>
      <c r="O16" s="738">
        <f t="shared" si="1"/>
        <v>0</v>
      </c>
      <c r="P16" s="698">
        <f t="shared" si="2"/>
        <v>0</v>
      </c>
      <c r="Q16" s="1851">
        <f>'3.Cropland'!O54</f>
        <v>0</v>
      </c>
      <c r="R16" s="233"/>
      <c r="S16" s="233"/>
      <c r="T16" s="234"/>
      <c r="U16" s="1502"/>
      <c r="W16" s="2403"/>
      <c r="Z16" s="1914">
        <f>(MIN(C38,D38)*time_tot+ABS(D38-C38)*IF(D38&gt;C38,time2+time*(VLOOKUP(E38,List!$E$35:$F$37,2,)),time*(1-(VLOOKUP(E38,List!$E$35:$F$37,2,)))))*N16*methane/1000</f>
        <v>0</v>
      </c>
      <c r="AA16" s="1914">
        <f>(($C38*time)+((F38-$C38))*(VLOOKUP(G38,List!$E$35:$F$37,2,)*time)+(F38*time2))*N16*methane/1000</f>
        <v>0</v>
      </c>
      <c r="AB16" s="1914">
        <f>(MIN(C38,D38)*time_tot+ABS(D38-C38)*IF(D38&gt;C38,time2+time*(VLOOKUP(E38,List!$E$35:$F$37,2,)),time*(1-(VLOOKUP(E38,List!$E$35:$F$37,2,)))))*O16*Nitrous/1000</f>
        <v>0</v>
      </c>
      <c r="AC16" s="1914">
        <f>(MIN(C38,F38)*time_tot+ABS(F38-C38)*IF(F38&gt;C38,time2+time*(VLOOKUP(G38,List!$E$35:$F$37,2,)),time*(1-(VLOOKUP(G38,List!$E$35:$F$37,2,)))))*O16*Nitrous/1000</f>
        <v>0</v>
      </c>
      <c r="AD16" s="2413">
        <f>-(MIN(C38,D38)*time+ABS(D38-C38)*IF(D38&gt;C38,time*(VLOOKUP(E38,List!$E$35:$F$37,2,)),time*(1-(VLOOKUP(E38,List!$E$35:$F$37,2,)))))*(IF($H16&gt;0,$H16,$G16)+IF($J16&gt;0,$J16,$I16))*(44/12)</f>
        <v>0</v>
      </c>
      <c r="AE16" s="2413">
        <f>-(MIN(C38,F38)*time+ABS(F38-C38)*IF(F38&gt;C38,time*(VLOOKUP(G38,List!$E$35:$F$37,2,)),time*(1-(VLOOKUP(G38,List!$E$35:$F$37,2,)))))*(IF($H16&gt;0,$H16,$G16)+IF($J16&gt;0,$J16,$I16))*44/12</f>
        <v>0</v>
      </c>
      <c r="AF16" s="1914">
        <f>-IF(L16="yes",$M15,$K16)*((MIN($C38,D38)*MIN(20,time))+IF(E38="immediate",IF(D38&gt;$C38,D38*MIN(20,time),0),IF($C38&gt;D38,($C38-D38)*IF(time&gt;20,IF(E38="linear",time-((time-20)^2)/(2*time),(0.215*time)-(time/4.6)*(EXP(-92.1/time)-0.01)),time*(1-VLOOKUP(E38,List!$E$35:$F$37,2,))),(D38-$C38)*IF(time&gt;time+20,20,IF(time&lt;20,(time*VLOOKUP(E38,List!$E$35:$F$37,2,))+(time-time),((MIN(20,time)*VLOOKUP(E38,List!$E$35:$F$37,2,))+(time-MIN(20,time))-IF(E38="exponential",time-20+0.217*time*(EXP(4.606*(20-time)/time)-1),((time-20)^2)*(0.5/time))))))))</f>
        <v>0</v>
      </c>
      <c r="AG16" s="1914">
        <f>-IF(L16="yes",$M15,$K16)*((MIN($C38,F38)*MIN(20,time))+IF(G38="immediate",IF(F38&gt;$C38,F38*MIN(20,time),0),IF($C38&gt;F38,($C38-F38)*IF(time&gt;20,IF(G38="linear",time-((time-20)^2)/(2*time),(0.215*time)-(time/4.6)*(EXP(-92.1/time)-0.01)),time*(1-VLOOKUP(G38,List!$E$35:$F$37,2,))),(F38-$C38)*IF(time&gt;time+20,20,IF(time&lt;20,(time*VLOOKUP(G38,List!$E$35:$F$37,2,))+(time-time),((MIN(20,time)*VLOOKUP(G38,List!$E$35:$F$37,2,))+(time-MIN(20,time))-IF(G38="exponential",time-20+0.217*time*(EXP(4.606*(20-time)/time)-1),((time-20)^2)*(0.5/time))))))))</f>
        <v>0</v>
      </c>
      <c r="AH16" s="1914">
        <f>(MIN(C38,D38)*time+ABS(D38-C38)*IF(D38&gt;C38,time*(VLOOKUP(E38,List!$E$35:$F$37,2,)),time*(1-(VLOOKUP(E38,List!$E$35:$F$37,2,)))))*N16*methane/1000</f>
        <v>0</v>
      </c>
      <c r="AI16" s="1914">
        <f>(MIN(C38,F38)*time+ABS(F38-C38)*IF(F38&gt;C38,time*(VLOOKUP(G38,List!$E$35:$F$37,2,)),time*(1-(VLOOKUP(G38,List!$E$35:$F$37,2,)))))*N16*methane/1000</f>
        <v>0</v>
      </c>
      <c r="AJ16" s="1914">
        <f>(MIN(C38,D38)*time+ABS(D38-C38)*IF(D38&gt;C38,time*(VLOOKUP(E38,List!$E$35:$F$37,2,)),time*(1-(VLOOKUP(E38,List!$E$35:$F$37,2,)))))*O16*Nitrous/1000</f>
        <v>0</v>
      </c>
      <c r="AK16" s="1914">
        <f>(MIN(C38,F38)*time+ABS(F38-C38)*IF(F38&gt;C38,time*(VLOOKUP(G38,List!$E$35:$F$37,2,)),time*(1-(VLOOKUP(G38,List!$E$35:$F$37,2,)))))*O16*Nitrous/1000</f>
        <v>0</v>
      </c>
      <c r="AL16" s="2413"/>
      <c r="AM16" s="2413"/>
      <c r="AN16" s="2413"/>
      <c r="AO16" s="2413"/>
    </row>
    <row r="17" spans="2:41" ht="13.5" thickBot="1">
      <c r="B17" s="592" t="s">
        <v>1111</v>
      </c>
      <c r="C17" s="709"/>
      <c r="D17" s="1846" t="str">
        <f>'3.Cropland'!K55</f>
        <v>NO</v>
      </c>
      <c r="E17" s="2217">
        <f>IF('3.Cropland'!U181="",'3.Cropland'!T181,'3.Cropland'!U181)</f>
        <v>1</v>
      </c>
      <c r="F17" s="2219">
        <f>IF('3.Cropland'!Q181="",'3.Cropland'!P181,'3.Cropland'!Q181)</f>
        <v>10</v>
      </c>
      <c r="G17" s="642">
        <v>0</v>
      </c>
      <c r="H17" s="2217">
        <f>IF('3.Cropland'!G181&lt;&gt;"",'3.Cropland'!G181,G17)</f>
        <v>0</v>
      </c>
      <c r="I17" s="454">
        <v>0</v>
      </c>
      <c r="J17" s="2217">
        <f>IF('3.Cropland'!J181&lt;&gt;"",'3.Cropland'!J181,I17)</f>
        <v>0</v>
      </c>
      <c r="K17" s="642">
        <f>HLOOKUP(clim_simple,' IPCC'!$A$598:$F$604,7,)</f>
        <v>0</v>
      </c>
      <c r="L17" s="713" t="s">
        <v>350</v>
      </c>
      <c r="M17" s="2218">
        <f>IF('3.Cropland'!O181="",K17,'3.Cropland'!O181)</f>
        <v>0</v>
      </c>
      <c r="N17" s="642">
        <f t="shared" si="0"/>
        <v>0</v>
      </c>
      <c r="O17" s="738">
        <f t="shared" si="1"/>
        <v>0</v>
      </c>
      <c r="P17" s="698">
        <f t="shared" ref="P17:P23" si="3">(N17*methane+O17*Nitrous)/1000</f>
        <v>0</v>
      </c>
      <c r="Q17" s="1851">
        <f>'3.Cropland'!O55</f>
        <v>0</v>
      </c>
      <c r="R17" s="233"/>
      <c r="S17" s="233"/>
      <c r="T17" s="234"/>
      <c r="U17" s="1502"/>
      <c r="W17" s="2403"/>
      <c r="Z17" s="1914">
        <f>(MIN(C39,D39)*time_tot+ABS(D39-C39)*IF(D39&gt;C39,time2+time*(VLOOKUP(E39,List!$E$35:$F$37,2,)),time*(1-(VLOOKUP(E39,List!$E$35:$F$37,2,)))))*N17*methane/1000</f>
        <v>0</v>
      </c>
      <c r="AA17" s="1914">
        <f>(($C39*time)+((F39-$C39))*(VLOOKUP(G39,List!$E$35:$F$37,2,)*time)+(F39*time2))*N17*methane/1000</f>
        <v>0</v>
      </c>
      <c r="AB17" s="1914">
        <f>(MIN(C39,D39)*time_tot+ABS(D39-C39)*IF(D39&gt;C39,time2+time*(VLOOKUP(E39,List!$E$35:$F$37,2,)),time*(1-(VLOOKUP(E39,List!$E$35:$F$37,2,)))))*O17*Nitrous/1000</f>
        <v>0</v>
      </c>
      <c r="AC17" s="1914">
        <f>(MIN(C39,F39)*time_tot+ABS(F39-C39)*IF(F39&gt;C39,time2+time*(VLOOKUP(G39,List!$E$35:$F$37,2,)),time*(1-(VLOOKUP(G39,List!$E$35:$F$37,2,)))))*O17*Nitrous/1000</f>
        <v>0</v>
      </c>
      <c r="AD17" s="2413">
        <f>-(MIN(C39,D39)*time+ABS(D39-C39)*IF(D39&gt;C39,time*(VLOOKUP(E39,List!$E$35:$F$37,2,)),time*(1-(VLOOKUP(E39,List!$E$35:$F$37,2,)))))*(IF($H17&gt;0,$H17,$G17)+IF($J17&gt;0,$J17,$I17))*(44/12)</f>
        <v>0</v>
      </c>
      <c r="AE17" s="2413">
        <f>-(MIN(C39,F39)*time+ABS(F39-C39)*IF(F39&gt;C39,time*(VLOOKUP(G39,List!$E$35:$F$37,2,)),time*(1-(VLOOKUP(G39,List!$E$35:$F$37,2,)))))*(IF($H17&gt;0,$H17,$G17)+IF($J17&gt;0,$J17,$I17))*44/12</f>
        <v>0</v>
      </c>
      <c r="AF17" s="1914">
        <f>-IF(L17="yes",$M16,$K17)*((MIN($C39,D39)*MIN(20,time))+IF(E39="immediate",IF(D39&gt;$C39,D39*MIN(20,time),0),IF($C39&gt;D39,($C39-D39)*IF(time&gt;20,IF(E39="linear",time-((time-20)^2)/(2*time),(0.215*time)-(time/4.6)*(EXP(-92.1/time)-0.01)),time*(1-VLOOKUP(E39,List!$E$35:$F$37,2,))),(D39-$C39)*IF(time&gt;time+20,20,IF(time&lt;20,(time*VLOOKUP(E39,List!$E$35:$F$37,2,))+(time-time),((MIN(20,time)*VLOOKUP(E39,List!$E$35:$F$37,2,))+(time-MIN(20,time))-IF(E39="exponential",time-20+0.217*time*(EXP(4.606*(20-time)/time)-1),((time-20)^2)*(0.5/time))))))))</f>
        <v>0</v>
      </c>
      <c r="AG17" s="1914">
        <f>-IF(L17="yes",$M16,$K17)*((MIN($C39,F39)*MIN(20,time))+IF(G39="immediate",IF(F39&gt;$C39,F39*MIN(20,time),0),IF($C39&gt;F39,($C39-F39)*IF(time&gt;20,IF(G39="linear",time-((time-20)^2)/(2*time),(0.215*time)-(time/4.6)*(EXP(-92.1/time)-0.01)),time*(1-VLOOKUP(G39,List!$E$35:$F$37,2,))),(F39-$C39)*IF(time&gt;time+20,20,IF(time&lt;20,(time*VLOOKUP(G39,List!$E$35:$F$37,2,))+(time-time),((MIN(20,time)*VLOOKUP(G39,List!$E$35:$F$37,2,))+(time-MIN(20,time))-IF(G39="exponential",time-20+0.217*time*(EXP(4.606*(20-time)/time)-1),((time-20)^2)*(0.5/time))))))))</f>
        <v>0</v>
      </c>
      <c r="AH17" s="1914">
        <f>(MIN(C39,D39)*time+ABS(D39-C39)*IF(D39&gt;C39,time*(VLOOKUP(E39,List!$E$35:$F$37,2,)),time*(1-(VLOOKUP(E39,List!$E$35:$F$37,2,)))))*N17*methane/1000</f>
        <v>0</v>
      </c>
      <c r="AI17" s="1914">
        <f>(MIN(C39,F39)*time+ABS(F39-C39)*IF(F39&gt;C39,time*(VLOOKUP(G39,List!$E$35:$F$37,2,)),time*(1-(VLOOKUP(G39,List!$E$35:$F$37,2,)))))*N17*methane/1000</f>
        <v>0</v>
      </c>
      <c r="AJ17" s="1914">
        <f>(MIN(C39,D39)*time+ABS(D39-C39)*IF(D39&gt;C39,time*(VLOOKUP(E39,List!$E$35:$F$37,2,)),time*(1-(VLOOKUP(E39,List!$E$35:$F$37,2,)))))*O17*Nitrous/1000</f>
        <v>0</v>
      </c>
      <c r="AK17" s="1914">
        <f>(MIN(C39,F39)*time+ABS(F39-C39)*IF(F39&gt;C39,time*(VLOOKUP(G39,List!$E$35:$F$37,2,)),time*(1-(VLOOKUP(G39,List!$E$35:$F$37,2,)))))*O17*Nitrous/1000</f>
        <v>0</v>
      </c>
      <c r="AL17" s="2413"/>
      <c r="AM17" s="2413"/>
      <c r="AN17" s="2413"/>
      <c r="AO17" s="2413"/>
    </row>
    <row r="18" spans="2:41" ht="13.5" thickBot="1">
      <c r="B18" s="592" t="s">
        <v>1112</v>
      </c>
      <c r="C18" s="709"/>
      <c r="D18" s="1846" t="str">
        <f>'3.Cropland'!K56</f>
        <v>NO</v>
      </c>
      <c r="E18" s="2217">
        <f>IF('3.Cropland'!U182="",'3.Cropland'!T182,'3.Cropland'!U182)</f>
        <v>1</v>
      </c>
      <c r="F18" s="2219">
        <f>IF('3.Cropland'!Q182="",'3.Cropland'!P182,'3.Cropland'!Q182)</f>
        <v>10</v>
      </c>
      <c r="G18" s="642">
        <v>0</v>
      </c>
      <c r="H18" s="2217">
        <f>IF('3.Cropland'!G182&lt;&gt;"",'3.Cropland'!G182,G18)</f>
        <v>0</v>
      </c>
      <c r="I18" s="454">
        <v>0</v>
      </c>
      <c r="J18" s="2217">
        <f>IF('3.Cropland'!J182&lt;&gt;"",'3.Cropland'!J182,I18)</f>
        <v>0</v>
      </c>
      <c r="K18" s="642">
        <f>HLOOKUP(clim_simple,' IPCC'!$A$598:$F$604,7,)</f>
        <v>0</v>
      </c>
      <c r="L18" s="713" t="s">
        <v>350</v>
      </c>
      <c r="M18" s="2218">
        <f>IF('3.Cropland'!O182="",K18,'3.Cropland'!O182)</f>
        <v>0</v>
      </c>
      <c r="N18" s="642">
        <f t="shared" si="0"/>
        <v>0</v>
      </c>
      <c r="O18" s="738">
        <f t="shared" si="1"/>
        <v>0</v>
      </c>
      <c r="P18" s="698">
        <f t="shared" si="3"/>
        <v>0</v>
      </c>
      <c r="Q18" s="1851">
        <f>'3.Cropland'!O56</f>
        <v>0</v>
      </c>
      <c r="R18" s="233"/>
      <c r="S18" s="233"/>
      <c r="T18" s="234"/>
      <c r="U18" s="1502"/>
      <c r="W18" s="2403"/>
      <c r="Z18" s="1914">
        <f>(MIN(C40,D40)*time_tot+ABS(D40-C40)*IF(D40&gt;C40,time2+time*(VLOOKUP(E40,List!$E$35:$F$37,2,)),time*(1-(VLOOKUP(E40,List!$E$35:$F$37,2,)))))*N18*methane/1000</f>
        <v>0</v>
      </c>
      <c r="AA18" s="1914">
        <f>(($C40*time)+((F40-$C40))*(VLOOKUP(G40,List!$E$35:$F$37,2,)*time)+(F40*time2))*N18*methane/1000</f>
        <v>0</v>
      </c>
      <c r="AB18" s="1914">
        <f>(MIN(C40,D40)*time_tot+ABS(D40-C40)*IF(D40&gt;C40,time2+time*(VLOOKUP(E40,List!$E$35:$F$37,2,)),time*(1-(VLOOKUP(E40,List!$E$35:$F$37,2,)))))*O18*Nitrous/1000</f>
        <v>0</v>
      </c>
      <c r="AC18" s="1914">
        <f>(MIN(C40,F40)*time_tot+ABS(F40-C40)*IF(F40&gt;C40,time2+time*(VLOOKUP(G40,List!$E$35:$F$37,2,)),time*(1-(VLOOKUP(G40,List!$E$35:$F$37,2,)))))*O18*Nitrous/1000</f>
        <v>0</v>
      </c>
      <c r="AD18" s="2413">
        <f>-(MIN(C40,D40)*time+ABS(D40-C40)*IF(D40&gt;C40,time*(VLOOKUP(E40,List!$E$35:$F$37,2,)),time*(1-(VLOOKUP(E40,List!$E$35:$F$37,2,)))))*(IF($H18&gt;0,$H18,$G18)+IF($J18&gt;0,$J18,$I18))*(44/12)</f>
        <v>0</v>
      </c>
      <c r="AE18" s="2413">
        <f>-(MIN(C40,F40)*time+ABS(F40-C40)*IF(F40&gt;C40,time*(VLOOKUP(G40,List!$E$35:$F$37,2,)),time*(1-(VLOOKUP(G40,List!$E$35:$F$37,2,)))))*(IF($H18&gt;0,$H18,$G18)+IF($J18&gt;0,$J18,$I18))*44/12</f>
        <v>0</v>
      </c>
      <c r="AF18" s="1914">
        <f>-IF(L18="yes",$M17,$K18)*((MIN($C40,D40)*MIN(20,time))+IF(E40="immediate",IF(D40&gt;$C40,D40*MIN(20,time),0),IF($C40&gt;D40,($C40-D40)*IF(time&gt;20,IF(E40="linear",time-((time-20)^2)/(2*time),(0.215*time)-(time/4.6)*(EXP(-92.1/time)-0.01)),time*(1-VLOOKUP(E40,List!$E$35:$F$37,2,))),(D40-$C40)*IF(time&gt;time+20,20,IF(time&lt;20,(time*VLOOKUP(E40,List!$E$35:$F$37,2,))+(time-time),((MIN(20,time)*VLOOKUP(E40,List!$E$35:$F$37,2,))+(time-MIN(20,time))-IF(E40="exponential",time-20+0.217*time*(EXP(4.606*(20-time)/time)-1),((time-20)^2)*(0.5/time))))))))</f>
        <v>0</v>
      </c>
      <c r="AG18" s="1914">
        <f>-IF(L18="yes",$M17,$K18)*((MIN($C40,F40)*MIN(20,time))+IF(G40="immediate",IF(F40&gt;$C40,F40*MIN(20,time),0),IF($C40&gt;F40,($C40-F40)*IF(time&gt;20,IF(G40="linear",time-((time-20)^2)/(2*time),(0.215*time)-(time/4.6)*(EXP(-92.1/time)-0.01)),time*(1-VLOOKUP(G40,List!$E$35:$F$37,2,))),(F40-$C40)*IF(time&gt;time+20,20,IF(time&lt;20,(time*VLOOKUP(G40,List!$E$35:$F$37,2,))+(time-time),((MIN(20,time)*VLOOKUP(G40,List!$E$35:$F$37,2,))+(time-MIN(20,time))-IF(G40="exponential",time-20+0.217*time*(EXP(4.606*(20-time)/time)-1),((time-20)^2)*(0.5/time))))))))</f>
        <v>0</v>
      </c>
      <c r="AH18" s="1914">
        <f>(MIN(C40,D40)*time+ABS(D40-C40)*IF(D40&gt;C40,time*(VLOOKUP(E40,List!$E$35:$F$37,2,)),time*(1-(VLOOKUP(E40,List!$E$35:$F$37,2,)))))*N18*methane/1000</f>
        <v>0</v>
      </c>
      <c r="AI18" s="1914">
        <f>(MIN(C40,F40)*time+ABS(F40-C40)*IF(F40&gt;C40,time*(VLOOKUP(G40,List!$E$35:$F$37,2,)),time*(1-(VLOOKUP(G40,List!$E$35:$F$37,2,)))))*N18*methane/1000</f>
        <v>0</v>
      </c>
      <c r="AJ18" s="1914">
        <f>(MIN(C40,D40)*time+ABS(D40-C40)*IF(D40&gt;C40,time*(VLOOKUP(E40,List!$E$35:$F$37,2,)),time*(1-(VLOOKUP(E40,List!$E$35:$F$37,2,)))))*O18*Nitrous/1000</f>
        <v>0</v>
      </c>
      <c r="AK18" s="1914">
        <f>(MIN(C40,F40)*time+ABS(F40-C40)*IF(F40&gt;C40,time*(VLOOKUP(G40,List!$E$35:$F$37,2,)),time*(1-(VLOOKUP(G40,List!$E$35:$F$37,2,)))))*O18*Nitrous/1000</f>
        <v>0</v>
      </c>
      <c r="AL18" s="2413"/>
      <c r="AM18" s="2413"/>
      <c r="AN18" s="2413"/>
      <c r="AO18" s="2413"/>
    </row>
    <row r="19" spans="2:41" ht="13.5" thickBot="1">
      <c r="B19" s="592" t="s">
        <v>4813</v>
      </c>
      <c r="C19" s="709"/>
      <c r="D19" s="1846" t="str">
        <f>'3.Cropland'!K57</f>
        <v>NO</v>
      </c>
      <c r="E19" s="2217">
        <f>IF('3.Cropland'!U183="",'3.Cropland'!T183,'3.Cropland'!U183)</f>
        <v>1</v>
      </c>
      <c r="F19" s="2219">
        <f>IF('3.Cropland'!Q183="",'3.Cropland'!P183,'3.Cropland'!Q183)</f>
        <v>10</v>
      </c>
      <c r="G19" s="642">
        <v>0</v>
      </c>
      <c r="H19" s="2217">
        <f>IF('3.Cropland'!G183&lt;&gt;"",'3.Cropland'!G183,G19)</f>
        <v>0</v>
      </c>
      <c r="I19" s="454">
        <v>0</v>
      </c>
      <c r="J19" s="2217">
        <f>IF('3.Cropland'!J183&lt;&gt;"",'3.Cropland'!J183,I19)</f>
        <v>0</v>
      </c>
      <c r="K19" s="642">
        <f>HLOOKUP(clim_simple,' IPCC'!$A$598:$F$604,7,)</f>
        <v>0</v>
      </c>
      <c r="L19" s="713" t="s">
        <v>350</v>
      </c>
      <c r="M19" s="2218">
        <f>IF('3.Cropland'!O183="",K19,'3.Cropland'!O183)</f>
        <v>0</v>
      </c>
      <c r="N19" s="642">
        <f t="shared" si="0"/>
        <v>0</v>
      </c>
      <c r="O19" s="738">
        <f t="shared" si="1"/>
        <v>0</v>
      </c>
      <c r="P19" s="698">
        <f t="shared" si="3"/>
        <v>0</v>
      </c>
      <c r="Q19" s="1851">
        <f>'3.Cropland'!O57</f>
        <v>0</v>
      </c>
      <c r="R19" s="233"/>
      <c r="S19" s="233"/>
      <c r="T19" s="234"/>
      <c r="U19" s="1502"/>
      <c r="W19" s="2403"/>
      <c r="Z19" s="1914">
        <f>(MIN(C41,D41)*time_tot+ABS(D41-C41)*IF(D41&gt;C41,time2+time*(VLOOKUP(E41,List!$E$35:$F$37,2,)),time*(1-(VLOOKUP(E41,List!$E$35:$F$37,2,)))))*N19*methane/1000</f>
        <v>0</v>
      </c>
      <c r="AA19" s="1914">
        <f>(($C41*time)+((F41-$C41))*(VLOOKUP(G41,List!$E$35:$F$37,2,)*time)+(F41*time2))*N19*methane/1000</f>
        <v>0</v>
      </c>
      <c r="AB19" s="1914">
        <f>(MIN(C41,D41)*time_tot+ABS(D41-C41)*IF(D41&gt;C41,time2+time*(VLOOKUP(E41,List!$E$35:$F$37,2,)),time*(1-(VLOOKUP(E41,List!$E$35:$F$37,2,)))))*O19*Nitrous/1000</f>
        <v>0</v>
      </c>
      <c r="AC19" s="1914">
        <f>(MIN(C41,F41)*time_tot+ABS(F41-C41)*IF(F41&gt;C41,time2+time*(VLOOKUP(G41,List!$E$35:$F$37,2,)),time*(1-(VLOOKUP(G41,List!$E$35:$F$37,2,)))))*O19*Nitrous/1000</f>
        <v>0</v>
      </c>
      <c r="AD19" s="2413">
        <f>-(MIN(C41,D41)*time+ABS(D41-C41)*IF(D41&gt;C41,time*(VLOOKUP(E41,List!$E$35:$F$37,2,)),time*(1-(VLOOKUP(E41,List!$E$35:$F$37,2,)))))*(IF($H19&gt;0,$H19,$G19)+IF($J19&gt;0,$J19,$I19))*(44/12)</f>
        <v>0</v>
      </c>
      <c r="AE19" s="2413">
        <f>-(MIN(C41,F41)*time+ABS(F41-C41)*IF(F41&gt;C41,time*(VLOOKUP(G41,List!$E$35:$F$37,2,)),time*(1-(VLOOKUP(G41,List!$E$35:$F$37,2,)))))*(IF($H19&gt;0,$H19,$G19)+IF($J19&gt;0,$J19,$I19))*44/12</f>
        <v>0</v>
      </c>
      <c r="AF19" s="1914">
        <f>-IF(L19="yes",$M18,$K19)*((MIN($C41,D41)*MIN(20,time))+IF(E41="immediate",IF(D41&gt;$C41,D41*MIN(20,time),0),IF($C41&gt;D41,($C41-D41)*IF(time&gt;20,IF(E41="linear",time-((time-20)^2)/(2*time),(0.215*time)-(time/4.6)*(EXP(-92.1/time)-0.01)),time*(1-VLOOKUP(E41,List!$E$35:$F$37,2,))),(D41-$C41)*IF(time&gt;time+20,20,IF(time&lt;20,(time*VLOOKUP(E41,List!$E$35:$F$37,2,))+(time-time),((MIN(20,time)*VLOOKUP(E41,List!$E$35:$F$37,2,))+(time-MIN(20,time))-IF(E41="exponential",time-20+0.217*time*(EXP(4.606*(20-time)/time)-1),((time-20)^2)*(0.5/time))))))))</f>
        <v>0</v>
      </c>
      <c r="AG19" s="1914">
        <f>-IF(L19="yes",$M18,$K19)*((MIN($C41,F41)*MIN(20,time))+IF(G41="immediate",IF(F41&gt;$C41,F41*MIN(20,time),0),IF($C41&gt;F41,($C41-F41)*IF(time&gt;20,IF(G41="linear",time-((time-20)^2)/(2*time),(0.215*time)-(time/4.6)*(EXP(-92.1/time)-0.01)),time*(1-VLOOKUP(G41,List!$E$35:$F$37,2,))),(F41-$C41)*IF(time&gt;time+20,20,IF(time&lt;20,(time*VLOOKUP(G41,List!$E$35:$F$37,2,))+(time-time),((MIN(20,time)*VLOOKUP(G41,List!$E$35:$F$37,2,))+(time-MIN(20,time))-IF(G41="exponential",time-20+0.217*time*(EXP(4.606*(20-time)/time)-1),((time-20)^2)*(0.5/time))))))))</f>
        <v>0</v>
      </c>
      <c r="AH19" s="1914">
        <f>(MIN(C41,D41)*time+ABS(D41-C41)*IF(D41&gt;C41,time*(VLOOKUP(E41,List!$E$35:$F$37,2,)),time*(1-(VLOOKUP(E41,List!$E$35:$F$37,2,)))))*N19*methane/1000</f>
        <v>0</v>
      </c>
      <c r="AI19" s="1914">
        <f>(MIN(C41,F41)*time+ABS(F41-C41)*IF(F41&gt;C41,time*(VLOOKUP(G41,List!$E$35:$F$37,2,)),time*(1-(VLOOKUP(G41,List!$E$35:$F$37,2,)))))*N19*methane/1000</f>
        <v>0</v>
      </c>
      <c r="AJ19" s="1914">
        <f>(MIN(C41,D41)*time+ABS(D41-C41)*IF(D41&gt;C41,time*(VLOOKUP(E41,List!$E$35:$F$37,2,)),time*(1-(VLOOKUP(E41,List!$E$35:$F$37,2,)))))*O19*Nitrous/1000</f>
        <v>0</v>
      </c>
      <c r="AK19" s="1914">
        <f>(MIN(C41,F41)*time+ABS(F41-C41)*IF(F41&gt;C41,time*(VLOOKUP(G41,List!$E$35:$F$37,2,)),time*(1-(VLOOKUP(G41,List!$E$35:$F$37,2,)))))*O19*Nitrous/1000</f>
        <v>0</v>
      </c>
      <c r="AL19" s="2413"/>
      <c r="AM19" s="2413"/>
      <c r="AN19" s="2413"/>
      <c r="AO19" s="2413"/>
    </row>
    <row r="20" spans="2:41" ht="13.5" thickBot="1">
      <c r="B20" s="592" t="s">
        <v>4814</v>
      </c>
      <c r="C20" s="709"/>
      <c r="D20" s="1846" t="str">
        <f>'3.Cropland'!K58</f>
        <v>NO</v>
      </c>
      <c r="E20" s="2217">
        <f>IF('3.Cropland'!U184="",'3.Cropland'!T184,'3.Cropland'!U184)</f>
        <v>1</v>
      </c>
      <c r="F20" s="2219">
        <f>IF('3.Cropland'!Q184="",'3.Cropland'!P184,'3.Cropland'!Q184)</f>
        <v>10</v>
      </c>
      <c r="G20" s="642">
        <v>0</v>
      </c>
      <c r="H20" s="2217">
        <f>IF('3.Cropland'!G184&lt;&gt;"",'3.Cropland'!G184,G20)</f>
        <v>0</v>
      </c>
      <c r="I20" s="454">
        <v>0</v>
      </c>
      <c r="J20" s="2217">
        <f>IF('3.Cropland'!J184&lt;&gt;"",'3.Cropland'!J184,I20)</f>
        <v>0</v>
      </c>
      <c r="K20" s="642">
        <f>HLOOKUP(clim_simple,' IPCC'!$A$598:$F$604,7,)</f>
        <v>0</v>
      </c>
      <c r="L20" s="713" t="s">
        <v>350</v>
      </c>
      <c r="M20" s="2218">
        <f>IF('3.Cropland'!O184="",K20,'3.Cropland'!O184)</f>
        <v>0</v>
      </c>
      <c r="N20" s="642">
        <f t="shared" si="0"/>
        <v>0</v>
      </c>
      <c r="O20" s="738">
        <f t="shared" si="1"/>
        <v>0</v>
      </c>
      <c r="P20" s="698">
        <f t="shared" si="3"/>
        <v>0</v>
      </c>
      <c r="Q20" s="1851">
        <f>'3.Cropland'!O58</f>
        <v>0</v>
      </c>
      <c r="R20" s="233"/>
      <c r="S20" s="233"/>
      <c r="T20" s="234"/>
      <c r="U20" s="1502"/>
      <c r="W20" s="2403"/>
      <c r="Z20" s="1914">
        <f>(MIN(C42,D42)*time_tot+ABS(D42-C42)*IF(D42&gt;C42,time2+time*(VLOOKUP(E42,List!$E$35:$F$37,2,)),time*(1-(VLOOKUP(E42,List!$E$35:$F$37,2,)))))*N20*methane/1000</f>
        <v>0</v>
      </c>
      <c r="AA20" s="1914">
        <f>(($C42*time)+((F42-$C42))*(VLOOKUP(G42,List!$E$35:$F$37,2,)*time)+(F42*time2))*N20*methane/1000</f>
        <v>0</v>
      </c>
      <c r="AB20" s="1914">
        <f>(MIN(C42,D42)*time_tot+ABS(D42-C42)*IF(D42&gt;C42,time2+time*(VLOOKUP(E42,List!$E$35:$F$37,2,)),time*(1-(VLOOKUP(E42,List!$E$35:$F$37,2,)))))*O20*Nitrous/1000</f>
        <v>0</v>
      </c>
      <c r="AC20" s="1914">
        <f>(MIN(C42,F42)*time_tot+ABS(F42-C42)*IF(F42&gt;C42,time2+time*(VLOOKUP(G42,List!$E$35:$F$37,2,)),time*(1-(VLOOKUP(G42,List!$E$35:$F$37,2,)))))*O20*Nitrous/1000</f>
        <v>0</v>
      </c>
      <c r="AD20" s="2413">
        <f>-(MIN(C42,D42)*time+ABS(D42-C42)*IF(D42&gt;C42,time*(VLOOKUP(E42,List!$E$35:$F$37,2,)),time*(1-(VLOOKUP(E42,List!$E$35:$F$37,2,)))))*(IF($H20&gt;0,$H20,$G20)+IF($J20&gt;0,$J20,$I20))*(44/12)</f>
        <v>0</v>
      </c>
      <c r="AE20" s="2413">
        <f>-(MIN(C42,F42)*time+ABS(F42-C42)*IF(F42&gt;C42,time*(VLOOKUP(G42,List!$E$35:$F$37,2,)),time*(1-(VLOOKUP(G42,List!$E$35:$F$37,2,)))))*(IF($H20&gt;0,$H20,$G20)+IF($J20&gt;0,$J20,$I20))*44/12</f>
        <v>0</v>
      </c>
      <c r="AF20" s="1914">
        <f>-IF(L20="yes",$M19,$K20)*((MIN($C42,D42)*MIN(20,time))+IF(E42="immediate",IF(D42&gt;$C42,D42*MIN(20,time),0),IF($C42&gt;D42,($C42-D42)*IF(time&gt;20,IF(E42="linear",time-((time-20)^2)/(2*time),(0.215*time)-(time/4.6)*(EXP(-92.1/time)-0.01)),time*(1-VLOOKUP(E42,List!$E$35:$F$37,2,))),(D42-$C42)*IF(time&gt;time+20,20,IF(time&lt;20,(time*VLOOKUP(E42,List!$E$35:$F$37,2,))+(time-time),((MIN(20,time)*VLOOKUP(E42,List!$E$35:$F$37,2,))+(time-MIN(20,time))-IF(E42="exponential",time-20+0.217*time*(EXP(4.606*(20-time)/time)-1),((time-20)^2)*(0.5/time))))))))</f>
        <v>0</v>
      </c>
      <c r="AG20" s="1914">
        <f>-IF(L20="yes",$M19,$K20)*((MIN($C42,F42)*MIN(20,time))+IF(G42="immediate",IF(F42&gt;$C42,F42*MIN(20,time),0),IF($C42&gt;F42,($C42-F42)*IF(time&gt;20,IF(G42="linear",time-((time-20)^2)/(2*time),(0.215*time)-(time/4.6)*(EXP(-92.1/time)-0.01)),time*(1-VLOOKUP(G42,List!$E$35:$F$37,2,))),(F42-$C42)*IF(time&gt;time+20,20,IF(time&lt;20,(time*VLOOKUP(G42,List!$E$35:$F$37,2,))+(time-time),((MIN(20,time)*VLOOKUP(G42,List!$E$35:$F$37,2,))+(time-MIN(20,time))-IF(G42="exponential",time-20+0.217*time*(EXP(4.606*(20-time)/time)-1),((time-20)^2)*(0.5/time))))))))</f>
        <v>0</v>
      </c>
      <c r="AH20" s="1914">
        <f>(MIN(C42,D42)*time+ABS(D42-C42)*IF(D42&gt;C42,time*(VLOOKUP(E42,List!$E$35:$F$37,2,)),time*(1-(VLOOKUP(E42,List!$E$35:$F$37,2,)))))*N20*methane/1000</f>
        <v>0</v>
      </c>
      <c r="AI20" s="1914">
        <f>(MIN(C42,F42)*time+ABS(F42-C42)*IF(F42&gt;C42,time*(VLOOKUP(G42,List!$E$35:$F$37,2,)),time*(1-(VLOOKUP(G42,List!$E$35:$F$37,2,)))))*N20*methane/1000</f>
        <v>0</v>
      </c>
      <c r="AJ20" s="1914">
        <f>(MIN(C42,D42)*time+ABS(D42-C42)*IF(D42&gt;C42,time*(VLOOKUP(E42,List!$E$35:$F$37,2,)),time*(1-(VLOOKUP(E42,List!$E$35:$F$37,2,)))))*O20*Nitrous/1000</f>
        <v>0</v>
      </c>
      <c r="AK20" s="1914">
        <f>(MIN(C42,F42)*time+ABS(F42-C42)*IF(F42&gt;C42,time*(VLOOKUP(G42,List!$E$35:$F$37,2,)),time*(1-(VLOOKUP(G42,List!$E$35:$F$37,2,)))))*O20*Nitrous/1000</f>
        <v>0</v>
      </c>
      <c r="AL20" s="2413"/>
      <c r="AM20" s="2413"/>
      <c r="AN20" s="2413"/>
      <c r="AO20" s="2413"/>
    </row>
    <row r="21" spans="2:41" ht="13.5" thickBot="1">
      <c r="B21" s="592" t="s">
        <v>4815</v>
      </c>
      <c r="C21" s="709"/>
      <c r="D21" s="1846" t="str">
        <f>'3.Cropland'!K59</f>
        <v>NO</v>
      </c>
      <c r="E21" s="2217">
        <f>IF('3.Cropland'!U185="",'3.Cropland'!T185,'3.Cropland'!U185)</f>
        <v>1</v>
      </c>
      <c r="F21" s="2219">
        <f>IF('3.Cropland'!Q185="",'3.Cropland'!P185,'3.Cropland'!Q185)</f>
        <v>10</v>
      </c>
      <c r="G21" s="642">
        <v>0</v>
      </c>
      <c r="H21" s="2217">
        <f>IF('3.Cropland'!G185&lt;&gt;"",'3.Cropland'!G185,G21)</f>
        <v>0</v>
      </c>
      <c r="I21" s="454">
        <v>0</v>
      </c>
      <c r="J21" s="2217">
        <f>IF('3.Cropland'!J185&lt;&gt;"",'3.Cropland'!J185,I21)</f>
        <v>0</v>
      </c>
      <c r="K21" s="642">
        <f>HLOOKUP(clim_simple,' IPCC'!$A$598:$F$604,7,)</f>
        <v>0</v>
      </c>
      <c r="L21" s="713" t="s">
        <v>350</v>
      </c>
      <c r="M21" s="2218">
        <f>IF('3.Cropland'!O185="",K21,'3.Cropland'!O185)</f>
        <v>0</v>
      </c>
      <c r="N21" s="642">
        <f t="shared" si="0"/>
        <v>0</v>
      </c>
      <c r="O21" s="738">
        <f t="shared" si="1"/>
        <v>0</v>
      </c>
      <c r="P21" s="698">
        <f t="shared" si="3"/>
        <v>0</v>
      </c>
      <c r="Q21" s="1851">
        <f>'3.Cropland'!O59</f>
        <v>0</v>
      </c>
      <c r="R21" s="233"/>
      <c r="S21" s="233"/>
      <c r="T21" s="234"/>
      <c r="U21" s="1502"/>
      <c r="W21" s="2403"/>
      <c r="Z21" s="1914">
        <f>(MIN(C43,D43)*time_tot+ABS(D43-C43)*IF(D43&gt;C43,time2+time*(VLOOKUP(E43,List!$E$35:$F$37,2,)),time*(1-(VLOOKUP(E43,List!$E$35:$F$37,2,)))))*N21*methane/1000</f>
        <v>0</v>
      </c>
      <c r="AA21" s="1914">
        <f>(($C43*time)+((F43-$C43))*(VLOOKUP(G43,List!$E$35:$F$37,2,)*time)+(F43*time2))*N21*methane/1000</f>
        <v>0</v>
      </c>
      <c r="AB21" s="1914">
        <f>(MIN(C43,D43)*time_tot+ABS(D43-C43)*IF(D43&gt;C43,time2+time*(VLOOKUP(E43,List!$E$35:$F$37,2,)),time*(1-(VLOOKUP(E43,List!$E$35:$F$37,2,)))))*O21*Nitrous/1000</f>
        <v>0</v>
      </c>
      <c r="AC21" s="1914">
        <f>(MIN(C43,F43)*time_tot+ABS(F43-C43)*IF(F43&gt;C43,time2+time*(VLOOKUP(G43,List!$E$35:$F$37,2,)),time*(1-(VLOOKUP(G43,List!$E$35:$F$37,2,)))))*O21*Nitrous/1000</f>
        <v>0</v>
      </c>
      <c r="AD21" s="2413">
        <f>-(MIN(C43,D43)*time+ABS(D43-C43)*IF(D43&gt;C43,time*(VLOOKUP(E43,List!$E$35:$F$37,2,)),time*(1-(VLOOKUP(E43,List!$E$35:$F$37,2,)))))*(IF($H21&gt;0,$H21,$G21)+IF($J21&gt;0,$J21,$I21))*(44/12)</f>
        <v>0</v>
      </c>
      <c r="AE21" s="2413">
        <f>-(MIN(C43,F43)*time+ABS(F43-C43)*IF(F43&gt;C43,time*(VLOOKUP(G43,List!$E$35:$F$37,2,)),time*(1-(VLOOKUP(G43,List!$E$35:$F$37,2,)))))*(IF($H21&gt;0,$H21,$G21)+IF($J21&gt;0,$J21,$I21))*44/12</f>
        <v>0</v>
      </c>
      <c r="AF21" s="1914">
        <f>-IF(L21="yes",$M20,$K21)*((MIN($C43,D43)*MIN(20,time))+IF(E43="immediate",IF(D43&gt;$C43,D43*MIN(20,time),0),IF($C43&gt;D43,($C43-D43)*IF(time&gt;20,IF(E43="linear",time-((time-20)^2)/(2*time),(0.215*time)-(time/4.6)*(EXP(-92.1/time)-0.01)),time*(1-VLOOKUP(E43,List!$E$35:$F$37,2,))),(D43-$C43)*IF(time&gt;time+20,20,IF(time&lt;20,(time*VLOOKUP(E43,List!$E$35:$F$37,2,))+(time-time),((MIN(20,time)*VLOOKUP(E43,List!$E$35:$F$37,2,))+(time-MIN(20,time))-IF(E43="exponential",time-20+0.217*time*(EXP(4.606*(20-time)/time)-1),((time-20)^2)*(0.5/time))))))))</f>
        <v>0</v>
      </c>
      <c r="AG21" s="1914">
        <f>-IF(L21="yes",$M20,$K21)*((MIN($C43,F43)*MIN(20,time))+IF(G43="immediate",IF(F43&gt;$C43,F43*MIN(20,time),0),IF($C43&gt;F43,($C43-F43)*IF(time&gt;20,IF(G43="linear",time-((time-20)^2)/(2*time),(0.215*time)-(time/4.6)*(EXP(-92.1/time)-0.01)),time*(1-VLOOKUP(G43,List!$E$35:$F$37,2,))),(F43-$C43)*IF(time&gt;time+20,20,IF(time&lt;20,(time*VLOOKUP(G43,List!$E$35:$F$37,2,))+(time-time),((MIN(20,time)*VLOOKUP(G43,List!$E$35:$F$37,2,))+(time-MIN(20,time))-IF(G43="exponential",time-20+0.217*time*(EXP(4.606*(20-time)/time)-1),((time-20)^2)*(0.5/time))))))))</f>
        <v>0</v>
      </c>
      <c r="AH21" s="1914">
        <f>(MIN(C43,D43)*time+ABS(D43-C43)*IF(D43&gt;C43,time*(VLOOKUP(E43,List!$E$35:$F$37,2,)),time*(1-(VLOOKUP(E43,List!$E$35:$F$37,2,)))))*N21*methane/1000</f>
        <v>0</v>
      </c>
      <c r="AI21" s="1914">
        <f>(MIN(C43,F43)*time+ABS(F43-C43)*IF(F43&gt;C43,time*(VLOOKUP(G43,List!$E$35:$F$37,2,)),time*(1-(VLOOKUP(G43,List!$E$35:$F$37,2,)))))*N21*methane/1000</f>
        <v>0</v>
      </c>
      <c r="AJ21" s="1914">
        <f>(MIN(C43,D43)*time+ABS(D43-C43)*IF(D43&gt;C43,time*(VLOOKUP(E43,List!$E$35:$F$37,2,)),time*(1-(VLOOKUP(E43,List!$E$35:$F$37,2,)))))*O21*Nitrous/1000</f>
        <v>0</v>
      </c>
      <c r="AK21" s="1914">
        <f>(MIN(C43,F43)*time+ABS(F43-C43)*IF(F43&gt;C43,time*(VLOOKUP(G43,List!$E$35:$F$37,2,)),time*(1-(VLOOKUP(G43,List!$E$35:$F$37,2,)))))*O21*Nitrous/1000</f>
        <v>0</v>
      </c>
      <c r="AL21" s="2413"/>
      <c r="AM21" s="2413"/>
      <c r="AN21" s="2413"/>
      <c r="AO21" s="2413"/>
    </row>
    <row r="22" spans="2:41" ht="13.5" thickBot="1">
      <c r="B22" s="592" t="s">
        <v>4816</v>
      </c>
      <c r="C22" s="709"/>
      <c r="D22" s="1846" t="str">
        <f>'3.Cropland'!K60</f>
        <v>NO</v>
      </c>
      <c r="E22" s="2217">
        <f>IF('3.Cropland'!U186="",'3.Cropland'!T186,'3.Cropland'!U186)</f>
        <v>1</v>
      </c>
      <c r="F22" s="2219">
        <f>IF('3.Cropland'!Q186="",'3.Cropland'!P186,'3.Cropland'!Q186)</f>
        <v>10</v>
      </c>
      <c r="G22" s="642">
        <v>0</v>
      </c>
      <c r="H22" s="2217">
        <f>IF('3.Cropland'!G186&lt;&gt;"",'3.Cropland'!G186,G22)</f>
        <v>0</v>
      </c>
      <c r="I22" s="454">
        <v>0</v>
      </c>
      <c r="J22" s="2217">
        <f>IF('3.Cropland'!J186&lt;&gt;"",'3.Cropland'!J186,I22)</f>
        <v>0</v>
      </c>
      <c r="K22" s="642">
        <f>HLOOKUP(clim_simple,' IPCC'!$A$598:$F$604,7,)</f>
        <v>0</v>
      </c>
      <c r="L22" s="713" t="s">
        <v>350</v>
      </c>
      <c r="M22" s="2218">
        <f>IF('3.Cropland'!O186="",K22,'3.Cropland'!O186)</f>
        <v>0</v>
      </c>
      <c r="N22" s="642">
        <f t="shared" si="0"/>
        <v>0</v>
      </c>
      <c r="O22" s="738">
        <f t="shared" si="1"/>
        <v>0</v>
      </c>
      <c r="P22" s="698">
        <f t="shared" si="3"/>
        <v>0</v>
      </c>
      <c r="Q22" s="1851">
        <f>'3.Cropland'!O60</f>
        <v>0</v>
      </c>
      <c r="R22" s="233"/>
      <c r="S22" s="233"/>
      <c r="T22" s="234"/>
      <c r="U22" s="1502"/>
      <c r="W22" s="2403"/>
      <c r="Z22" s="1914">
        <f>(MIN(C44,D44)*time_tot+ABS(D44-C44)*IF(D44&gt;C44,time2+time*(VLOOKUP(E44,List!$E$35:$F$37,2,)),time*(1-(VLOOKUP(E44,List!$E$35:$F$37,2,)))))*N22*methane/1000</f>
        <v>0</v>
      </c>
      <c r="AA22" s="1914">
        <f>(($C44*time)+((F44-$C44))*(VLOOKUP(G44,List!$E$35:$F$37,2,)*time)+(F44*time2))*N22*methane/1000</f>
        <v>0</v>
      </c>
      <c r="AB22" s="1914">
        <f>(MIN(C44,D44)*time_tot+ABS(D44-C44)*IF(D44&gt;C44,time2+time*(VLOOKUP(E44,List!$E$35:$F$37,2,)),time*(1-(VLOOKUP(E44,List!$E$35:$F$37,2,)))))*O22*Nitrous/1000</f>
        <v>0</v>
      </c>
      <c r="AC22" s="1914">
        <f>(MIN(C44,F44)*time_tot+ABS(F44-C44)*IF(F44&gt;C44,time2+time*(VLOOKUP(G44,List!$E$35:$F$37,2,)),time*(1-(VLOOKUP(G44,List!$E$35:$F$37,2,)))))*O22*Nitrous/1000</f>
        <v>0</v>
      </c>
      <c r="AD22" s="2413">
        <f>-(MIN(C44,D44)*time+ABS(D44-C44)*IF(D44&gt;C44,time*(VLOOKUP(E44,List!$E$35:$F$37,2,)),time*(1-(VLOOKUP(E44,List!$E$35:$F$37,2,)))))*(IF($H22&gt;0,$H22,$G22)+IF($J22&gt;0,$J22,$I22))*(44/12)</f>
        <v>0</v>
      </c>
      <c r="AE22" s="2413">
        <f>-(MIN(C44,F44)*time+ABS(F44-C44)*IF(F44&gt;C44,time*(VLOOKUP(G44,List!$E$35:$F$37,2,)),time*(1-(VLOOKUP(G44,List!$E$35:$F$37,2,)))))*(IF($H22&gt;0,$H22,$G22)+IF($J22&gt;0,$J22,$I22))*44/12</f>
        <v>0</v>
      </c>
      <c r="AF22" s="1914">
        <f>-IF(L22="yes",$M21,$K22)*((MIN($C44,D44)*MIN(20,time))+IF(E44="immediate",IF(D44&gt;$C44,D44*MIN(20,time),0),IF($C44&gt;D44,($C44-D44)*IF(time&gt;20,IF(E44="linear",time-((time-20)^2)/(2*time),(0.215*time)-(time/4.6)*(EXP(-92.1/time)-0.01)),time*(1-VLOOKUP(E44,List!$E$35:$F$37,2,))),(D44-$C44)*IF(time&gt;time+20,20,IF(time&lt;20,(time*VLOOKUP(E44,List!$E$35:$F$37,2,))+(time-time),((MIN(20,time)*VLOOKUP(E44,List!$E$35:$F$37,2,))+(time-MIN(20,time))-IF(E44="exponential",time-20+0.217*time*(EXP(4.606*(20-time)/time)-1),((time-20)^2)*(0.5/time))))))))</f>
        <v>0</v>
      </c>
      <c r="AG22" s="1914">
        <f>-IF(L22="yes",$M21,$K22)*((MIN($C44,F44)*MIN(20,time))+IF(G44="immediate",IF(F44&gt;$C44,F44*MIN(20,time),0),IF($C44&gt;F44,($C44-F44)*IF(time&gt;20,IF(G44="linear",time-((time-20)^2)/(2*time),(0.215*time)-(time/4.6)*(EXP(-92.1/time)-0.01)),time*(1-VLOOKUP(G44,List!$E$35:$F$37,2,))),(F44-$C44)*IF(time&gt;time+20,20,IF(time&lt;20,(time*VLOOKUP(G44,List!$E$35:$F$37,2,))+(time-time),((MIN(20,time)*VLOOKUP(G44,List!$E$35:$F$37,2,))+(time-MIN(20,time))-IF(G44="exponential",time-20+0.217*time*(EXP(4.606*(20-time)/time)-1),((time-20)^2)*(0.5/time))))))))</f>
        <v>0</v>
      </c>
      <c r="AH22" s="1914">
        <f>(MIN(C44,D44)*time+ABS(D44-C44)*IF(D44&gt;C44,time*(VLOOKUP(E44,List!$E$35:$F$37,2,)),time*(1-(VLOOKUP(E44,List!$E$35:$F$37,2,)))))*N22*methane/1000</f>
        <v>0</v>
      </c>
      <c r="AI22" s="1914">
        <f>(MIN(C44,F44)*time+ABS(F44-C44)*IF(F44&gt;C44,time*(VLOOKUP(G44,List!$E$35:$F$37,2,)),time*(1-(VLOOKUP(G44,List!$E$35:$F$37,2,)))))*N22*methane/1000</f>
        <v>0</v>
      </c>
      <c r="AJ22" s="1914">
        <f>(MIN(C44,D44)*time+ABS(D44-C44)*IF(D44&gt;C44,time*(VLOOKUP(E44,List!$E$35:$F$37,2,)),time*(1-(VLOOKUP(E44,List!$E$35:$F$37,2,)))))*O22*Nitrous/1000</f>
        <v>0</v>
      </c>
      <c r="AK22" s="1914">
        <f>(MIN(C44,F44)*time+ABS(F44-C44)*IF(F44&gt;C44,time*(VLOOKUP(G44,List!$E$35:$F$37,2,)),time*(1-(VLOOKUP(G44,List!$E$35:$F$37,2,)))))*O22*Nitrous/1000</f>
        <v>0</v>
      </c>
      <c r="AL22" s="1914" t="s">
        <v>23</v>
      </c>
      <c r="AM22" s="1914" t="s">
        <v>674</v>
      </c>
      <c r="AN22" s="1914" t="s">
        <v>675</v>
      </c>
      <c r="AO22" s="1914"/>
    </row>
    <row r="23" spans="2:41" ht="13.5" thickBot="1">
      <c r="B23" s="592" t="s">
        <v>4817</v>
      </c>
      <c r="C23" s="710"/>
      <c r="D23" s="1846" t="str">
        <f>'3.Cropland'!K61</f>
        <v>NO</v>
      </c>
      <c r="E23" s="2217">
        <f>IF('3.Cropland'!U187="",'3.Cropland'!T187,'3.Cropland'!U187)</f>
        <v>1</v>
      </c>
      <c r="F23" s="2219">
        <f>IF('3.Cropland'!Q187="",'3.Cropland'!P187,'3.Cropland'!Q187)</f>
        <v>10</v>
      </c>
      <c r="G23" s="642">
        <v>0</v>
      </c>
      <c r="H23" s="2217">
        <f>IF('3.Cropland'!G187&lt;&gt;"",'3.Cropland'!G187,G23)</f>
        <v>0</v>
      </c>
      <c r="I23" s="454">
        <v>0</v>
      </c>
      <c r="J23" s="2217">
        <f>IF('3.Cropland'!J187&lt;&gt;"",'3.Cropland'!J187,I23)</f>
        <v>0</v>
      </c>
      <c r="K23" s="642">
        <f>HLOOKUP(clim_simple,' IPCC'!$A$598:$F$604,7,)</f>
        <v>0</v>
      </c>
      <c r="L23" s="713" t="s">
        <v>350</v>
      </c>
      <c r="M23" s="2218">
        <f>IF('3.Cropland'!O187="",K23,'3.Cropland'!O187)</f>
        <v>0</v>
      </c>
      <c r="N23" s="642">
        <f t="shared" si="0"/>
        <v>0</v>
      </c>
      <c r="O23" s="738">
        <f t="shared" si="1"/>
        <v>0</v>
      </c>
      <c r="P23" s="698">
        <f t="shared" si="3"/>
        <v>0</v>
      </c>
      <c r="Q23" s="1851">
        <f>'3.Cropland'!O61</f>
        <v>0</v>
      </c>
      <c r="R23" s="233"/>
      <c r="S23" s="233"/>
      <c r="T23" s="234"/>
      <c r="U23" s="1502"/>
      <c r="W23" s="2403"/>
      <c r="Z23" s="1914">
        <f>(MIN(C45,D45)*time_tot+ABS(D45-C45)*IF(D45&gt;C45,time2+time*(VLOOKUP(E45,List!$E$35:$F$37,2,)),time*(1-(VLOOKUP(E45,List!$E$35:$F$37,2,)))))*N23*methane/1000</f>
        <v>0</v>
      </c>
      <c r="AA23" s="1914">
        <f>(($C45*time)+((F45-$C45))*(VLOOKUP(G45,List!$E$35:$F$37,2,)*time)+(F45*time2))*N23*methane/1000</f>
        <v>0</v>
      </c>
      <c r="AB23" s="1914">
        <f>(MIN(C45,D45)*time_tot+ABS(D45-C45)*IF(D45&gt;C45,time2+time*(VLOOKUP(E45,List!$E$35:$F$37,2,)),time*(1-(VLOOKUP(E45,List!$E$35:$F$37,2,)))))*O23*Nitrous/1000</f>
        <v>0</v>
      </c>
      <c r="AC23" s="1914">
        <f>(MIN(C45,F45)*time_tot+ABS(F45-C45)*IF(F45&gt;C45,time2+time*(VLOOKUP(G45,List!$E$35:$F$37,2,)),time*(1-(VLOOKUP(G45,List!$E$35:$F$37,2,)))))*O23*Nitrous/1000</f>
        <v>0</v>
      </c>
      <c r="AD23" s="2413">
        <f>-(MIN(C45,D45)*time+ABS(D45-C45)*IF(D45&gt;C45,time*(VLOOKUP(E45,List!$E$35:$F$37,2,)),time*(1-(VLOOKUP(E45,List!$E$35:$F$37,2,)))))*(IF($H23&gt;0,$H23,$G23)+IF($J23&gt;0,$J23,$I23))*(44/12)</f>
        <v>0</v>
      </c>
      <c r="AE23" s="2413">
        <f>-(MIN(C45,F45)*time+ABS(F45-C45)*IF(F45&gt;C45,time*(VLOOKUP(G45,List!$E$35:$F$37,2,)),time*(1-(VLOOKUP(G45,List!$E$35:$F$37,2,)))))*(IF($H23&gt;0,$H23,$G23)+IF($J23&gt;0,$J23,$I23))*44/12</f>
        <v>0</v>
      </c>
      <c r="AF23" s="1914">
        <f>-IF(L23="yes",$M22,$K23)*((MIN($C45,D45)*MIN(20,time))+IF(E45="immediate",IF(D45&gt;$C45,D45*MIN(20,time),0),IF($C45&gt;D45,($C45-D45)*IF(time&gt;20,IF(E45="linear",time-((time-20)^2)/(2*time),(0.215*time)-(time/4.6)*(EXP(-92.1/time)-0.01)),time*(1-VLOOKUP(E45,List!$E$35:$F$37,2,))),(D45-$C45)*IF(time&gt;time+20,20,IF(time&lt;20,(time*VLOOKUP(E45,List!$E$35:$F$37,2,))+(time-time),((MIN(20,time)*VLOOKUP(E45,List!$E$35:$F$37,2,))+(time-MIN(20,time))-IF(E45="exponential",time-20+0.217*time*(EXP(4.606*(20-time)/time)-1),((time-20)^2)*(0.5/time))))))))</f>
        <v>0</v>
      </c>
      <c r="AG23" s="1914">
        <f>-IF(L23="yes",$M22,$K23)*((MIN($C45,F45)*MIN(20,time))+IF(G45="immediate",IF(F45&gt;$C45,F45*MIN(20,time),0),IF($C45&gt;F45,($C45-F45)*IF(time&gt;20,IF(G45="linear",time-((time-20)^2)/(2*time),(0.215*time)-(time/4.6)*(EXP(-92.1/time)-0.01)),time*(1-VLOOKUP(G45,List!$E$35:$F$37,2,))),(F45-$C45)*IF(time&gt;time+20,20,IF(time&lt;20,(time*VLOOKUP(G45,List!$E$35:$F$37,2,))+(time-time),((MIN(20,time)*VLOOKUP(G45,List!$E$35:$F$37,2,))+(time-MIN(20,time))-IF(G45="exponential",time-20+0.217*time*(EXP(4.606*(20-time)/time)-1),((time-20)^2)*(0.5/time))))))))</f>
        <v>0</v>
      </c>
      <c r="AH23" s="1914">
        <f>(MIN(C45,D45)*time+ABS(D45-C45)*IF(D45&gt;C45,time*(VLOOKUP(E45,List!$E$35:$F$37,2,)),time*(1-(VLOOKUP(E45,List!$E$35:$F$37,2,)))))*N23*methane/1000</f>
        <v>0</v>
      </c>
      <c r="AI23" s="1914">
        <f>(MIN(C45,F45)*time+ABS(F45-C45)*IF(F45&gt;C45,time*(VLOOKUP(G45,List!$E$35:$F$37,2,)),time*(1-(VLOOKUP(G45,List!$E$35:$F$37,2,)))))*N23*methane/1000</f>
        <v>0</v>
      </c>
      <c r="AJ23" s="1914">
        <f>(MIN(C45,D45)*time+ABS(D45-C45)*IF(D45&gt;C45,time*(VLOOKUP(E45,List!$E$35:$F$37,2,)),time*(1-(VLOOKUP(E45,List!$E$35:$F$37,2,)))))*O23*Nitrous/1000</f>
        <v>0</v>
      </c>
      <c r="AK23" s="1914">
        <f>(MIN(C45,F45)*time+ABS(F45-C45)*IF(F45&gt;C45,time*(VLOOKUP(G45,List!$E$35:$F$37,2,)),time*(1-(VLOOKUP(G45,List!$E$35:$F$37,2,)))))*O23*Nitrous/1000</f>
        <v>0</v>
      </c>
      <c r="AL23" s="1914" t="s">
        <v>24</v>
      </c>
      <c r="AM23" s="1914">
        <f>SUM(H32:H45)</f>
        <v>0</v>
      </c>
      <c r="AN23" s="1914">
        <f>SUM(I32:I45)</f>
        <v>0</v>
      </c>
      <c r="AO23" s="1914"/>
    </row>
    <row r="24" spans="2:41">
      <c r="B24" s="241"/>
      <c r="C24" s="241"/>
      <c r="D24" s="241"/>
      <c r="E24" s="242"/>
      <c r="G24" s="232" t="s">
        <v>7249</v>
      </c>
      <c r="J24" s="242"/>
      <c r="K24" s="568" t="s">
        <v>1268</v>
      </c>
      <c r="L24" s="242"/>
      <c r="M24" s="242"/>
      <c r="N24" s="242"/>
      <c r="O24" s="1215"/>
      <c r="Q24" s="233"/>
      <c r="R24" s="233"/>
      <c r="T24" s="234"/>
      <c r="U24" s="1502"/>
      <c r="V24" s="1501"/>
      <c r="Y24" s="2403"/>
      <c r="AL24" s="1914" t="s">
        <v>25</v>
      </c>
      <c r="AM24" s="1914">
        <f>SUM(J32:J45)</f>
        <v>0</v>
      </c>
      <c r="AN24" s="1914">
        <f>SUM(K32:K45)</f>
        <v>0</v>
      </c>
      <c r="AO24" s="1914"/>
    </row>
    <row r="25" spans="2:41">
      <c r="B25" s="241"/>
      <c r="C25" s="241"/>
      <c r="D25" s="241"/>
      <c r="E25" s="242"/>
      <c r="G25" s="233" t="s">
        <v>1107</v>
      </c>
      <c r="J25" s="242"/>
      <c r="K25" s="242"/>
      <c r="L25" s="242"/>
      <c r="M25" s="569"/>
      <c r="U25" s="1502"/>
      <c r="W25" s="2403"/>
      <c r="X25" s="2403"/>
      <c r="Y25" s="2403"/>
      <c r="AL25" s="1914" t="s">
        <v>332</v>
      </c>
      <c r="AM25" s="1914">
        <f>SUM(Z10:Z23)</f>
        <v>0</v>
      </c>
      <c r="AN25" s="1914">
        <f>SUM(AA10:AA23)</f>
        <v>0</v>
      </c>
      <c r="AO25" s="1914"/>
    </row>
    <row r="26" spans="2:41">
      <c r="B26" s="241"/>
      <c r="C26" s="241"/>
      <c r="D26" s="241"/>
      <c r="E26" s="242"/>
      <c r="G26" s="739" t="s">
        <v>1254</v>
      </c>
      <c r="J26" s="242"/>
      <c r="K26" s="242"/>
      <c r="L26" s="242"/>
      <c r="M26" s="569"/>
      <c r="U26" s="1502"/>
      <c r="W26" s="2403"/>
      <c r="X26" s="2403"/>
      <c r="Y26" s="2403"/>
      <c r="AL26" s="1914" t="s">
        <v>333</v>
      </c>
      <c r="AM26" s="1914">
        <f>SUM(AB10:AB23)</f>
        <v>0</v>
      </c>
      <c r="AN26" s="1914">
        <f>SUM(AC10:AC23)</f>
        <v>0</v>
      </c>
      <c r="AO26" s="1914"/>
    </row>
    <row r="27" spans="2:41">
      <c r="J27" s="233"/>
      <c r="U27" s="1502"/>
      <c r="W27" s="2403"/>
      <c r="X27" s="2403"/>
      <c r="Y27" s="2403"/>
      <c r="AL27" s="1914"/>
      <c r="AM27" s="1914">
        <f>SUM(AM23:AM26)</f>
        <v>0</v>
      </c>
      <c r="AN27" s="1914">
        <f>SUM(AN23:AN26)</f>
        <v>0</v>
      </c>
      <c r="AO27" s="1914"/>
    </row>
    <row r="28" spans="2:41">
      <c r="B28" s="617" t="s">
        <v>603</v>
      </c>
      <c r="C28" s="619"/>
      <c r="D28" s="618"/>
      <c r="E28" s="618"/>
      <c r="F28" s="619"/>
      <c r="G28" s="740"/>
      <c r="H28" s="740"/>
      <c r="I28" s="740"/>
      <c r="J28" s="741"/>
      <c r="K28" s="740"/>
      <c r="L28" s="740"/>
      <c r="M28" s="740"/>
      <c r="N28" s="741"/>
      <c r="O28" s="741"/>
      <c r="P28" s="741"/>
      <c r="Q28" s="233"/>
      <c r="R28" s="2037" t="s">
        <v>1486</v>
      </c>
      <c r="S28" s="2033"/>
      <c r="T28" s="2039"/>
      <c r="AD28" s="2403" t="s">
        <v>280</v>
      </c>
    </row>
    <row r="29" spans="2:41" ht="15.75">
      <c r="B29" s="269" t="s">
        <v>490</v>
      </c>
      <c r="C29" s="270" t="s">
        <v>604</v>
      </c>
      <c r="D29" s="270"/>
      <c r="E29" s="742"/>
      <c r="F29" s="742"/>
      <c r="G29" s="742"/>
      <c r="H29" s="743" t="s">
        <v>216</v>
      </c>
      <c r="I29" s="536"/>
      <c r="J29" s="774" t="s">
        <v>217</v>
      </c>
      <c r="K29" s="1355"/>
      <c r="L29" s="269" t="s">
        <v>1255</v>
      </c>
      <c r="M29" s="270"/>
      <c r="N29" s="3753" t="s">
        <v>671</v>
      </c>
      <c r="O29" s="3754"/>
      <c r="P29" s="1216" t="s">
        <v>343</v>
      </c>
      <c r="Q29" s="233"/>
      <c r="R29" s="2032" t="s">
        <v>1487</v>
      </c>
      <c r="S29" s="2029"/>
      <c r="T29" s="2035"/>
    </row>
    <row r="30" spans="2:41">
      <c r="B30" s="271"/>
      <c r="C30" s="259" t="s">
        <v>1271</v>
      </c>
      <c r="D30" s="744" t="s">
        <v>676</v>
      </c>
      <c r="E30" s="745"/>
      <c r="F30" s="900" t="s">
        <v>672</v>
      </c>
      <c r="G30" s="746"/>
      <c r="H30" s="628" t="s">
        <v>674</v>
      </c>
      <c r="I30" s="629" t="s">
        <v>675</v>
      </c>
      <c r="J30" s="1356" t="s">
        <v>674</v>
      </c>
      <c r="K30" s="1357" t="s">
        <v>675</v>
      </c>
      <c r="L30" s="1469" t="s">
        <v>674</v>
      </c>
      <c r="M30" s="1470" t="s">
        <v>675</v>
      </c>
      <c r="N30" s="1471" t="s">
        <v>674</v>
      </c>
      <c r="O30" s="1472" t="s">
        <v>675</v>
      </c>
      <c r="P30" s="1018"/>
      <c r="Q30" s="233"/>
      <c r="R30" s="2036" t="s">
        <v>674</v>
      </c>
      <c r="S30" s="2038" t="s">
        <v>675</v>
      </c>
      <c r="T30" s="2031" t="s">
        <v>343</v>
      </c>
      <c r="Z30" s="2410"/>
      <c r="AA30" s="2403" t="s">
        <v>1573</v>
      </c>
    </row>
    <row r="31" spans="2:41" ht="15.75">
      <c r="B31" s="271"/>
      <c r="C31" s="898" t="s">
        <v>347</v>
      </c>
      <c r="D31" s="631" t="s">
        <v>341</v>
      </c>
      <c r="E31" s="747" t="s">
        <v>348</v>
      </c>
      <c r="F31" s="748" t="s">
        <v>341</v>
      </c>
      <c r="G31" s="749" t="s">
        <v>348</v>
      </c>
      <c r="H31" s="637"/>
      <c r="I31" s="638"/>
      <c r="J31" s="1358"/>
      <c r="K31" s="1359"/>
      <c r="L31" s="1471"/>
      <c r="M31" s="1472"/>
      <c r="N31" s="1471" t="s">
        <v>218</v>
      </c>
      <c r="O31" s="1472" t="s">
        <v>218</v>
      </c>
      <c r="P31" s="908" t="s">
        <v>859</v>
      </c>
      <c r="Q31" s="233"/>
      <c r="R31" s="2040" t="s">
        <v>1434</v>
      </c>
      <c r="S31" s="2041" t="s">
        <v>1434</v>
      </c>
      <c r="T31" s="2030"/>
      <c r="Z31" s="2410"/>
      <c r="AA31" s="2403" t="s">
        <v>674</v>
      </c>
      <c r="AB31" s="2403" t="s">
        <v>675</v>
      </c>
    </row>
    <row r="32" spans="2:41">
      <c r="B32" s="750" t="s">
        <v>1137</v>
      </c>
      <c r="C32" s="901">
        <v>0</v>
      </c>
      <c r="D32" s="751">
        <f>Matrix!G10</f>
        <v>0</v>
      </c>
      <c r="E32" s="752" t="s">
        <v>351</v>
      </c>
      <c r="F32" s="751">
        <f>Matrix!G27</f>
        <v>0</v>
      </c>
      <c r="G32" s="1350" t="s">
        <v>351</v>
      </c>
      <c r="H32" s="1488">
        <f>-(MIN(C32,D32)*time_tot+ABS(D32-C32)*IF(D32&gt;C32,time2+(time-1)*(VLOOKUP(E32,List!$E$35:$F$37,2,)),(time-1)*(1-(VLOOKUP(E32,List!$E$35:$F$37,2,)))))*(IF($H10&gt;0,$H10,$G10)+IF($J10&gt;0,$J10,$I10))*(44/12)</f>
        <v>0</v>
      </c>
      <c r="I32" s="1452">
        <f>-(MIN(C32,F32)*time_tot+ABS(F32-C32)*IF(F32&gt;C32,time2+(time-1)*(VLOOKUP(G32,List!$E$35:$F$37,2,)),(time-1)*(1-(VLOOKUP(G32,List!$E$35:$F$37,2,)))))*(IF($H10&gt;0,$H10,$G10)+IF($J10&gt;0,$J10,$I10))*44/12</f>
        <v>0</v>
      </c>
      <c r="J32" s="1477">
        <f>-IF(L10="yes",$M10,$K10)*((MIN($C32,D32)*MIN(20,time_tot))+IF(E32="immediate",IF(D32&gt;$C32,D32*MIN(20,time_tot),0),IF($C32&gt;D32,($C32-D32)*IF(time&gt;20,IF(E32="linear",time-((time-20)^2)/(2*time),(0.215*time)-(time/4.6)*(EXP(-92.1/time)-0.01)),time*(1-VLOOKUP(E32,List!$E$35:$F$37,2,))),(D32-$C32)*IF(time_tot&gt;time+20,20,IF(time_tot&lt;20,(time*VLOOKUP(E32,List!$E$35:$F$37,2,))+(time_tot-time),((MIN(20,time)*VLOOKUP(E32,List!$E$35:$F$37,2,))+(time_tot-MIN(20,time))-IF(E32="exponential",time_tot-20+0.217*time*(EXP(4.606*(20-time_tot)/time)-1),((time_tot-20)^2)*(0.5/time))))))))</f>
        <v>0</v>
      </c>
      <c r="K32" s="1362">
        <f>-IF(L10="yes",$M10,$K10)*((MIN($C32,F32)*MIN(20,time_tot))+IF(G32="immediate",IF(F32&gt;$C32,F32*MIN(20,time_tot),0),IF($C32&gt;F32,($C32-F32)*IF(time&gt;20,IF(G32="linear",time-((time-20)^2)/(2*time),(0.215*time)-(time/4.6)*(EXP(-92.1/time)-0.01)),time*(1-VLOOKUP(G32,List!$E$35:$F$37,2,))),(F32-$C32)*IF(time_tot&gt;time+20,20,IF(time_tot&lt;20,(time*VLOOKUP(G32,List!$E$35:$F$37,2,))+(time_tot-time),((MIN(20,time)*VLOOKUP(G32,List!$E$35:$F$37,2,))+(time_tot-MIN(20,time))-IF(G32="exponential",time_tot-20+0.217*time*(EXP(4.606*(20-time_tot)/time)-1),((time_tot-20)^2)*(0.5/time))))))))</f>
        <v>0</v>
      </c>
      <c r="L32" s="1455">
        <f>(MIN(C32,D32)*time_tot+ABS(D32-C32)*IF(D32&gt;C32,time2+time*(VLOOKUP(E32,List!$E$35:$F$37,2,)),time*(1-(VLOOKUP(E32,List!$E$35:$F$37,2,)))))*$P10</f>
        <v>0</v>
      </c>
      <c r="M32" s="1452">
        <f>(MIN(C32,F32)*time_tot+ABS(F32-C32)*IF(F32&gt;C32,time2+time*(VLOOKUP(G32,List!$E$35:$F$37,2,)),time*(1-(VLOOKUP(G32,List!$E$35:$F$37,2,)))))*$P10</f>
        <v>0</v>
      </c>
      <c r="N32" s="1455">
        <f>L32+J32+H32</f>
        <v>0</v>
      </c>
      <c r="O32" s="1452">
        <f>M32+K32+I32</f>
        <v>0</v>
      </c>
      <c r="P32" s="282">
        <f>O32-N32</f>
        <v>0</v>
      </c>
      <c r="Q32" s="233"/>
      <c r="R32" s="2043">
        <f>$Q10*(time*((ABS(D32-C32)*(IF(C32&lt;=D32,VLOOKUP(E32,List!$E$35:$F$37,2,),1-VLOOKUP(E32,List!$E$35:$F$37,2,))))+MIN(D32,C32))+(D32*time2))</f>
        <v>0</v>
      </c>
      <c r="S32" s="2043">
        <f>$Q10*(time*((ABS(F32-C32)*(IF(C32&lt;=F32,VLOOKUP(G32,List!$E$35:$F$37,2,),1-VLOOKUP(G32,List!$E$35:$F$37,2,))))+MIN(F32,C32))+(F32*time2))</f>
        <v>0</v>
      </c>
      <c r="T32" s="2034">
        <f>S32-R32</f>
        <v>0</v>
      </c>
      <c r="Z32" s="2410"/>
      <c r="AA32" s="2403">
        <f t="shared" ref="AA32:AA38" si="4">IF($P10&gt;0,L32/$P10,0)/E10</f>
        <v>0</v>
      </c>
      <c r="AB32" s="2403">
        <f t="shared" ref="AB32:AB38" si="5">IF($P10&gt;0,M32/$P10,0)/E10</f>
        <v>0</v>
      </c>
    </row>
    <row r="33" spans="2:28">
      <c r="B33" s="753" t="s">
        <v>1138</v>
      </c>
      <c r="C33" s="901">
        <f>MAX(Matrix!E29,Matrix!E12)</f>
        <v>0</v>
      </c>
      <c r="D33" s="751">
        <f>MAX(Matrix!E29,Matrix!E12)-Matrix!E12</f>
        <v>0</v>
      </c>
      <c r="E33" s="752" t="s">
        <v>351</v>
      </c>
      <c r="F33" s="751">
        <f>MAX(Matrix!E29,Matrix!E12)-Matrix!E29</f>
        <v>0</v>
      </c>
      <c r="G33" s="1350" t="s">
        <v>351</v>
      </c>
      <c r="H33" s="1488">
        <f>-(MIN(C33,D33)*time_tot+ABS(D33-C33)*IF(D33&gt;C33,time2+time*(VLOOKUP(E33,List!$E$35:$F$37,2,)),time*(1-(VLOOKUP(E33,List!$E$35:$F$37,2,)))))*(IF($H11&gt;0,$H11,$G11)+IF($J11&gt;0,$J11,$I11))*(44/12)</f>
        <v>0</v>
      </c>
      <c r="I33" s="1452">
        <f>-(MIN(C33,F33)*time_tot+ABS(F33-C33)*IF(F33&gt;C33,time2+time*(VLOOKUP(G33,List!$E$35:$F$37,2,)),time*(1-(VLOOKUP(G33,List!$E$35:$F$37,2,)))))*(IF($H11&gt;0,$H11,$G11)+IF($J11&gt;0,$J11,$I11))*44/12</f>
        <v>0</v>
      </c>
      <c r="J33" s="1477">
        <f>-IF(L11="yes",$M11,$K11)*((MIN($C33,D33)*MIN(20,time_tot))+IF(E33="immediate",IF(D33&gt;$C33,D33*MIN(20,time_tot),0),IF($C33&gt;D33,($C33-D33)*IF(time&gt;20,IF(E33="linear",time-((time-20)^2)/(2*time),(0.215*time)-(time/4.6)*(EXP(-92.1/time)-0.01)),time*(1-VLOOKUP(E33,List!$E$35:$F$37,2,))),(D33-$C33)*IF(time_tot&gt;time+20,20,IF(time_tot&lt;20,(time*VLOOKUP(E33,List!$E$35:$F$37,2,))+(time_tot-time),((MIN(20,time)*VLOOKUP(E33,List!$E$35:$F$37,2,))+(time_tot-MIN(20,time))-IF(E33="exponential",time_tot-20+0.217*time*(EXP(4.606*(20-time_tot)/time)-1),((time_tot-20)^2)*(0.5/time))))))))</f>
        <v>0</v>
      </c>
      <c r="K33" s="1362">
        <f>-IF(L11="yes",$M11,$K11)*((MIN($C33,F33)*MIN(20,time_tot))+IF(G33="immediate",IF(F33&gt;$C33,F33*MIN(20,time_tot),0),IF($C33&gt;F33,($C33-F33)*IF(time&gt;20,IF(G33="linear",time-((time-20)^2)/(2*time),(0.215*time)-(time/4.6)*(EXP(-92.1/time)-0.01)),time*(1-VLOOKUP(G33,List!$E$35:$F$37,2,))),(F33-$C33)*IF(time_tot&gt;time+20,20,IF(time_tot&lt;20,(time*VLOOKUP(G33,List!$E$35:$F$37,2,))+(time_tot-time),((MIN(20,time)*VLOOKUP(G33,List!$E$35:$F$37,2,))+(time_tot-MIN(20,time))-IF(G33="exponential",time_tot-20+0.217*time*(EXP(4.606*(20-time_tot)/time)-1),((time_tot-20)^2)*(0.5/time))))))))</f>
        <v>0</v>
      </c>
      <c r="L33" s="1455">
        <f>(MIN(C33,D33)*time_tot+ABS(D33-C33)*IF(D33&gt;C33,time2+time*(VLOOKUP(E33,List!$E$35:$F$37,2,)),time*(1-(VLOOKUP(E33,List!$E$35:$F$37,2,)))))*$P11</f>
        <v>0</v>
      </c>
      <c r="M33" s="1452">
        <f>(MIN(C33,F33)*time_tot+ABS(F33-C33)*IF(F33&gt;C33,time2+time*(VLOOKUP(G33,List!$E$35:$F$37,2,)),time*(1-(VLOOKUP(G33,List!$E$35:$F$37,2,)))))*$P11</f>
        <v>0</v>
      </c>
      <c r="N33" s="1455">
        <f t="shared" ref="N33:N35" si="6">L33+J33+H33</f>
        <v>0</v>
      </c>
      <c r="O33" s="1452">
        <f t="shared" ref="O33:O35" si="7">M33+K33+I33</f>
        <v>0</v>
      </c>
      <c r="P33" s="283">
        <f t="shared" ref="P33:P35" si="8">O33-N33</f>
        <v>0</v>
      </c>
      <c r="Q33" s="233"/>
      <c r="R33" s="2043">
        <f>$Q11*(time*((ABS(D33-C33)*(IF(C33&lt;=D33,VLOOKUP(E33,List!$E$35:$F$37,2,),1-VLOOKUP(E33,List!$E$35:$F$37,2,))))+MIN(D33,C33))+(D33*time2))</f>
        <v>0</v>
      </c>
      <c r="S33" s="2043">
        <f>$Q11*(time*((ABS(F33-C33)*(IF(C33&lt;=F33,VLOOKUP(G33,List!$E$35:$F$37,2,),1-VLOOKUP(G33,List!$E$35:$F$37,2,))))+MIN(F33,C33))+(F33*time2))</f>
        <v>0</v>
      </c>
      <c r="T33" s="2034">
        <f t="shared" ref="T33:T38" si="9">S33-R33</f>
        <v>0</v>
      </c>
      <c r="Z33" s="2410"/>
      <c r="AA33" s="2403">
        <f t="shared" si="4"/>
        <v>0</v>
      </c>
      <c r="AB33" s="2403">
        <f t="shared" si="5"/>
        <v>0</v>
      </c>
    </row>
    <row r="34" spans="2:28">
      <c r="B34" s="753" t="s">
        <v>1231</v>
      </c>
      <c r="C34" s="901">
        <v>0</v>
      </c>
      <c r="D34" s="751">
        <f>Matrix!AQ22+Matrix!BF22+Matrix!BM22+Matrix!BT22+Matrix!CA22+Matrix!CH22</f>
        <v>0</v>
      </c>
      <c r="E34" s="752" t="s">
        <v>351</v>
      </c>
      <c r="F34" s="751">
        <f>Matrix!CH38+Matrix!CA38+Matrix!BT38+Matrix!BM38+Matrix!BF38+Matrix!AQ38</f>
        <v>0</v>
      </c>
      <c r="G34" s="1350" t="s">
        <v>351</v>
      </c>
      <c r="H34" s="1488">
        <f>-(MIN(C34,D34)*time_tot+ABS(D34-C34)*IF(D34&gt;C34,time2+(time-1)*(VLOOKUP(E34,List!$E$35:$F$37,2,)),(time-1)*(1-(VLOOKUP(E34,List!$E$35:$F$37,2,)))))*(IF($H12&gt;0,$H12,$G12)+IF($J12&gt;0,$J12,$I12))*(44/12)</f>
        <v>0</v>
      </c>
      <c r="I34" s="1452">
        <f>-(MIN(C34,F34)*time_tot+ABS(F34-C34)*IF(F34&gt;C34,time2+(time-1)*(VLOOKUP(G34,List!$E$35:$F$37,2,)),(time-1)*(1-(VLOOKUP(G34,List!$E$35:$F$37,2,)))))*(IF($H12&gt;0,$H12,$G12)+IF($J12&gt;0,$J12,$I12))*44/12</f>
        <v>0</v>
      </c>
      <c r="J34" s="1489">
        <f>-IF(L12="yes",$M12,$K12)*((MIN($C34,D34)*MIN(20,time_tot))+IF(E34="immediate",IF(D34&gt;$C34,D34*MIN(20,time_tot),0),IF($C34&gt;D34,($C34-D34)*IF(time&gt;20,IF(E34="linear",time-((time-20)^2)/(2*time),(0.215*time)-(time/4.6)*(EXP(-92.1/time)-0.01)),time*(1-VLOOKUP(E34,List!$E$35:$F$37,2,))),(D34-$C34)*IF(time_tot&gt;time+20,20,IF(time_tot&lt;20,(time*VLOOKUP(E34,List!$E$35:$F$37,2,))+(time_tot-time),((MIN(20,time)*VLOOKUP(E34,List!$E$35:$F$37,2,))+(time_tot-MIN(20,time))-IF(E34="exponential",time_tot-20+0.217*time*(EXP(4.606*(20-time_tot)/time)-1),((time_tot-20)^2)*(0.5/time))))))))</f>
        <v>0</v>
      </c>
      <c r="K34" s="1442">
        <f>-IF(L12="yes",$M12,$K12)*((MIN($C34,F34)*MIN(20,time_tot))+IF(G34="immediate",IF(F34&gt;$C34,F34*MIN(20,time_tot),0),IF($C34&gt;F34,($C34-F34)*IF(time&gt;20,IF(G34="linear",time-((time-20)^2)/(2*time),(0.215*time)-(time/4.6)*(EXP(-92.1/time)-0.01)),time*(1-VLOOKUP(G34,List!$E$35:$F$37,2,))),(F34-$C34)*IF(time_tot&gt;time+20,20,IF(time_tot&lt;20,(time*VLOOKUP(G34,List!$E$35:$F$37,2,))+(time_tot-time),((MIN(20,time)*VLOOKUP(G34,List!$E$35:$F$37,2,))+(time_tot-MIN(20,time))-IF(G34="exponential",time_tot-20+0.217*time*(EXP(4.606*(20-time_tot)/time)-1),((time_tot-20)^2)*(0.5/time))))))))</f>
        <v>0</v>
      </c>
      <c r="L34" s="1455">
        <f>(MIN(C34,D34)*time_tot+ABS(D34-C34)*IF(D34&gt;C34,time2+time*(VLOOKUP(E34,List!$E$35:$F$37,2,)),time*(1-(VLOOKUP(E34,List!$E$35:$F$37,2,)))))*$P12</f>
        <v>0</v>
      </c>
      <c r="M34" s="1452">
        <f>(MIN(C34,F34)*time_tot+ABS(F34-C34)*IF(F34&gt;C34,time2+time*(VLOOKUP(G34,List!$E$35:$F$37,2,)),time*(1-(VLOOKUP(G34,List!$E$35:$F$37,2,)))))*$P12</f>
        <v>0</v>
      </c>
      <c r="N34" s="1455">
        <f t="shared" si="6"/>
        <v>0</v>
      </c>
      <c r="O34" s="1452">
        <f t="shared" si="7"/>
        <v>0</v>
      </c>
      <c r="P34" s="283">
        <f t="shared" si="8"/>
        <v>0</v>
      </c>
      <c r="Q34" s="233"/>
      <c r="R34" s="2043">
        <f>$Q12*(time*((ABS(D34-C34)*(IF(C34&lt;=D34,VLOOKUP(E34,List!$E$35:$F$37,2,),1-VLOOKUP(E34,List!$E$35:$F$37,2,))))+MIN(D34,C34))+(D34*time2))</f>
        <v>0</v>
      </c>
      <c r="S34" s="2043">
        <f>$Q12*(time*((ABS(F34-C34)*(IF(C34&lt;=F34,VLOOKUP(G34,List!$E$35:$F$37,2,),1-VLOOKUP(G34,List!$E$35:$F$37,2,))))+MIN(F34,C34))+(F34*time2))</f>
        <v>0</v>
      </c>
      <c r="T34" s="2034">
        <f t="shared" si="9"/>
        <v>0</v>
      </c>
      <c r="Z34" s="2410"/>
      <c r="AA34" s="2403">
        <f t="shared" si="4"/>
        <v>0</v>
      </c>
      <c r="AB34" s="2403">
        <f t="shared" si="5"/>
        <v>0</v>
      </c>
    </row>
    <row r="35" spans="2:28" ht="13.5" thickBot="1">
      <c r="B35" s="754" t="s">
        <v>1232</v>
      </c>
      <c r="C35" s="639">
        <f>MAX(SUM(Matrix!AX22:BC22),SUM(Matrix!AX38:BC38))</f>
        <v>0</v>
      </c>
      <c r="D35" s="902">
        <f>MAX(SUM(Matrix!AX22:BC22),SUM(Matrix!AX38:BC38))-SUM(Matrix!AX22:BC22)</f>
        <v>0</v>
      </c>
      <c r="E35" s="752" t="s">
        <v>351</v>
      </c>
      <c r="F35" s="902">
        <f>MAX(SUM(Matrix!AX22:BC22),SUM(Matrix!AX38:BC38))-SUM(Matrix!AX38:BC38)</f>
        <v>0</v>
      </c>
      <c r="G35" s="1350" t="s">
        <v>351</v>
      </c>
      <c r="H35" s="1488">
        <f>-(MIN(C35,D35)*time_tot+ABS(D35-C35)*IF(D35&gt;C35,time2+time*(VLOOKUP(E35,List!$E$35:$F$37,2,)),time*(1-(VLOOKUP(E35,List!$E$35:$F$37,2,)))))*(IF($H13&gt;0,$H13,$G13)+IF($J13&gt;0,$J13,$I13))*(44/12)</f>
        <v>0</v>
      </c>
      <c r="I35" s="1452">
        <f>-(MIN(C35,F35)*time_tot+ABS(F35-C35)*IF(F35&gt;C35,time2+time*(VLOOKUP(G35,List!$E$35:$F$37,2,)),time*(1-(VLOOKUP(G35,List!$E$35:$F$37,2,)))))*(IF($H13&gt;0,$H13,$G13)+IF($J13&gt;0,$J13,$I13))*44/12</f>
        <v>0</v>
      </c>
      <c r="J35" s="1479">
        <f>-IF(L13="yes",$M13,$K13)*((MIN($C35,D35)*MIN(20,time_tot))+IF(E35="immediate",IF(D35&gt;$C35,D35*MIN(20,time_tot),0),IF($C35&gt;D35,($C35-D35)*IF(time&gt;20,IF(E35="linear",time-((time-20)^2)/(2*time),(0.215*time)-(time/4.6)*(EXP(-92.1/time)-0.01)),time*(1-VLOOKUP(E35,List!$E$35:$F$37,2,))),(D35-$C35)*IF(time_tot&gt;time+20,20,IF(time_tot&lt;=20,(time*VLOOKUP(E35,List!$E$35:$F$37,2,))+(time_tot-time),((MIN(20,time)*VLOOKUP(E35,List!$E$35:$F$37,2,))+(time_tot-MIN(20,time))-IF(E35="exponential",time_tot-20+0.217*time*(EXP(4.606*(20-time_tot)/time)-1),((time_tot-20)^2)*(0.5/time))))))))</f>
        <v>0</v>
      </c>
      <c r="K35" s="1364">
        <f>-IF(L13="yes",$M13,$K13)*((MIN($C35,F35)*MIN(20,time_tot))+IF(G35="immediate",IF(F35&gt;$C35,F35*MIN(20,time_tot),0),IF($C35&gt;F35,($C35-F35)*IF(time&gt;20,IF(G35="linear",time-((time-20)^2)/(2*time),(0.215*time)-(time/4.6)*(EXP(-92.1/time)-0.01)),time*(1-VLOOKUP(G35,List!$E$35:$F$37,2,))),(F35-$C35)*IF(time_tot&gt;time+20,20,IF(time_tot&lt;=20,(time*VLOOKUP(G35,List!$E$35:$F$37,2,))+(time_tot-time),((MIN(20,time)*VLOOKUP(G35,List!$E$35:$F$37,2,))+(time_tot-MIN(20,time))-IF(G35="exponential",time_tot-20+0.217*time*(EXP(4.606*(20-time_tot)/time)-1),((time_tot-20)^2)*(0.5/time))))))))</f>
        <v>0</v>
      </c>
      <c r="L35" s="1455">
        <f>(MIN(C35,D35)*time_tot+ABS(D35-C35)*IF(D35&gt;C35,time2+time*(VLOOKUP(E35,List!$E$35:$F$37,2,)),time*(1-(VLOOKUP(E35,List!$E$35:$F$37,2,)))))*$P13</f>
        <v>0</v>
      </c>
      <c r="M35" s="1452">
        <f>(MIN(C35,F35)*time_tot+ABS(F35-C35)*IF(F35&gt;C35,time2+time*(VLOOKUP(G35,List!$E$35:$F$37,2,)),time*(1-(VLOOKUP(G35,List!$E$35:$F$37,2,)))))*$P13</f>
        <v>0</v>
      </c>
      <c r="N35" s="1468">
        <f t="shared" si="6"/>
        <v>0</v>
      </c>
      <c r="O35" s="1447">
        <f t="shared" si="7"/>
        <v>0</v>
      </c>
      <c r="P35" s="283">
        <f t="shared" si="8"/>
        <v>0</v>
      </c>
      <c r="Q35" s="233"/>
      <c r="R35" s="2043">
        <f>$Q13*(time*((ABS(D35-C35)*(IF(C35&lt;=D35,VLOOKUP(E35,List!$E$35:$F$37,2,),1-VLOOKUP(E35,List!$E$35:$F$37,2,))))+MIN(D35,C35))+(D35*time2))</f>
        <v>0</v>
      </c>
      <c r="S35" s="2043">
        <f>$Q13*(time*((ABS(F35-C35)*(IF(C35&lt;=F35,VLOOKUP(G35,List!$E$35:$F$37,2,),1-VLOOKUP(G35,List!$E$35:$F$37,2,))))+MIN(F35,C35))+(F35*time2))</f>
        <v>0</v>
      </c>
      <c r="T35" s="2034">
        <f t="shared" si="9"/>
        <v>0</v>
      </c>
      <c r="Z35" s="2410"/>
      <c r="AA35" s="2403">
        <f t="shared" si="4"/>
        <v>0</v>
      </c>
      <c r="AB35" s="2403">
        <f t="shared" si="5"/>
        <v>0</v>
      </c>
    </row>
    <row r="36" spans="2:28" ht="13.5" thickBot="1">
      <c r="B36" s="755" t="str">
        <f>B14</f>
        <v>Perennial Syst 1</v>
      </c>
      <c r="C36" s="1847">
        <f>'3.Cropland'!P52</f>
        <v>0</v>
      </c>
      <c r="D36" s="1847">
        <f>'3.Cropland'!Q52</f>
        <v>0</v>
      </c>
      <c r="E36" s="2179" t="str">
        <f>VLOOKUP('3.Cropland'!R52,List!$D$35:$E$37,2,)</f>
        <v>Linear</v>
      </c>
      <c r="F36" s="1793">
        <f>'3.Cropland'!S52</f>
        <v>0</v>
      </c>
      <c r="G36" s="2179" t="str">
        <f>VLOOKUP('3.Cropland'!U52,List!$D$35:$E$37,2,)</f>
        <v>Linear</v>
      </c>
      <c r="H36" s="1488">
        <f>-(MIN(C36,D36)*time_tot+ABS(D36-C36)*IF(D36&gt;C36,time2+time*(VLOOKUP(E36,List!$E$35:$F$37,2,)),time*(1-(VLOOKUP(E36,List!$E$35:$F$37,2,)))))*(IF($H14&gt;0,$H14,$G14)+IF($J14&gt;0,$J14,$I14))*(44/12)</f>
        <v>0</v>
      </c>
      <c r="I36" s="1452">
        <f>-(MIN(C36,F36)*time_tot+ABS(F36-C36)*IF(F36&gt;C36,time2+time*(VLOOKUP(G36,List!$E$35:$F$37,2,)),time*(1-(VLOOKUP(G36,List!$E$35:$F$37,2,)))))*(IF($H14&gt;0,$H14,$G14)+IF($J14&gt;0,$J14,$I14))*44/12</f>
        <v>0</v>
      </c>
      <c r="J36" s="1479">
        <f>-IF(L14="yes",$M14,$K14)*((MIN($C36,D36)*MIN(20,time_tot))+IF(E36="immediate",IF(D36&gt;$C36,D36*MIN(20,time_tot),0),IF($C36&gt;D36,($C36-D36)*IF(time&gt;20,IF(E36="linear",time-((time-20)^2)/(2*time),(0.215*time)-(time/4.6)*(EXP(-92.1/time)-0.01)),time*(1-VLOOKUP(E36,List!$E$35:$F$37,2,))),(D36-$C36)*IF(time_tot&gt;time+20,20,IF(time_tot&lt;20,(time*VLOOKUP(E36,List!$E$35:$F$37,2,))+(time_tot-time),((MIN(20,time)*VLOOKUP(E36,List!$E$35:$F$37,2,))+(time_tot-MIN(20,time))-IF(E36="exponential",time_tot-20+0.217*time*(EXP(4.606*(20-time_tot)/time)-1),((time_tot-20)^2)*(0.5/time))))))))</f>
        <v>0</v>
      </c>
      <c r="K36" s="2158">
        <f>-IF(L14="yes",$M14,$K14)*((MIN($C36,F36)*MIN(20,time_tot))+IF(G36="immediate",IF(F36&gt;$C36,F36*MIN(20,time_tot),0),IF($C36&gt;F36,($C36-F36)*IF(time&gt;20,IF(G36="linear",time-((time-20)^2)/(2*time),(0.215*time)-(time/4.6)*(EXP(-92.1/time)-0.01)),time*(1-VLOOKUP(G36,List!$E$35:$F$37,2,))),(F36-$C36)*IF(time_tot&gt;time+20,20,IF(time_tot&lt;20,(time*VLOOKUP(G36,List!$E$35:$F$37,2,))+(time_tot-time),((MIN(20,time)*VLOOKUP(G36,List!$E$35:$F$37,2,))+(time_tot-MIN(20,time))-IF(G36="exponential",time_tot-20+0.217*time*(EXP(4.606*(20-time_tot)/time)-1),((time_tot-20)^2)*(0.5/time))))))))</f>
        <v>0</v>
      </c>
      <c r="L36" s="1455">
        <f>(MIN(C36,D36)*time_tot+ABS(D36-C36)*IF(D36&gt;C36,time2+time*(VLOOKUP(E36,List!$E$35:$F$37,2,)),time*(1-(VLOOKUP(E36,List!$E$35:$F$37,2,)))))*$P14</f>
        <v>0</v>
      </c>
      <c r="M36" s="1452">
        <f>(MIN(C36,F36)*time_tot+ABS(F36-C36)*IF(F36&gt;C36,time2+time*(VLOOKUP(G36,List!$E$35:$F$37,2,)),time*(1-(VLOOKUP(G36,List!$E$35:$F$37,2,)))))*$P14</f>
        <v>0</v>
      </c>
      <c r="N36" s="1454">
        <f t="shared" ref="N36:O38" si="10">L36+J36+H36</f>
        <v>0</v>
      </c>
      <c r="O36" s="1451">
        <f t="shared" si="10"/>
        <v>0</v>
      </c>
      <c r="P36" s="284">
        <f>O36-N36</f>
        <v>0</v>
      </c>
      <c r="Q36" s="233"/>
      <c r="R36" s="2043">
        <f>$Q14*(time*((ABS(D36-C36)*(IF(C36&lt;=D36,VLOOKUP(E36,List!$E$35:$F$37,2,),1-VLOOKUP(E36,List!$E$35:$F$37,2,))))+MIN(D36,C36))+(D36*time2))</f>
        <v>0</v>
      </c>
      <c r="S36" s="2043">
        <f>$Q14*(time*((ABS(F36-C36)*(IF(C36&lt;=F36,VLOOKUP(G36,List!$E$35:$F$37,2,),1-VLOOKUP(G36,List!$E$35:$F$37,2,))))+MIN(F36,C36))+(F36*time2))</f>
        <v>0</v>
      </c>
      <c r="T36" s="2034">
        <f t="shared" si="9"/>
        <v>0</v>
      </c>
      <c r="Z36" s="2410"/>
      <c r="AA36" s="2403">
        <f t="shared" si="4"/>
        <v>0</v>
      </c>
      <c r="AB36" s="2403">
        <f t="shared" si="5"/>
        <v>0</v>
      </c>
    </row>
    <row r="37" spans="2:28" ht="13.5" thickBot="1">
      <c r="B37" s="755" t="str">
        <f>B15</f>
        <v>Perennial Syst 2</v>
      </c>
      <c r="C37" s="1847">
        <f>'3.Cropland'!P53</f>
        <v>0</v>
      </c>
      <c r="D37" s="1847">
        <f>'3.Cropland'!Q53</f>
        <v>0</v>
      </c>
      <c r="E37" s="2179" t="str">
        <f>VLOOKUP('3.Cropland'!R53,List!$D$35:$E$37,2,)</f>
        <v>Linear</v>
      </c>
      <c r="F37" s="1793">
        <f>'3.Cropland'!S53</f>
        <v>0</v>
      </c>
      <c r="G37" s="2179" t="str">
        <f>VLOOKUP('3.Cropland'!U53,List!$D$35:$E$37,2,)</f>
        <v>Linear</v>
      </c>
      <c r="H37" s="1488">
        <f>-(MIN(C37,D37)*time_tot+ABS(D37-C37)*IF(D37&gt;C37,time2+time*(VLOOKUP(E37,List!$E$35:$F$37,2,)),time*(1-(VLOOKUP(E37,List!$E$35:$F$37,2,)))))*(IF($H15&gt;0,$H15,$G15)+IF($J15&gt;0,$J15,$I15))*(44/12)</f>
        <v>0</v>
      </c>
      <c r="I37" s="1452">
        <f>-(MIN(C37,F37)*time_tot+ABS(F37-C37)*IF(F37&gt;C37,time2+time*(VLOOKUP(G37,List!$E$35:$F$37,2,)),time*(1-(VLOOKUP(G37,List!$E$35:$F$37,2,)))))*(IF($H15&gt;0,$H15,$G15)+IF($J15&gt;0,$J15,$I15))*44/12</f>
        <v>0</v>
      </c>
      <c r="J37" s="1479">
        <f>-IF(L15="yes",$M15,$K15)*((MIN($C37,D37)*MIN(20,time_tot))+IF(E37="immediate",IF(D37&gt;$C37,D37*MIN(20,time_tot),0),IF($C37&gt;D37,($C37-D37)*IF(time&gt;20,IF(E37="linear",time-((time-20)^2)/(2*time),(0.215*time)-(time/4.6)*(EXP(-92.1/time)-0.01)),time*(1-VLOOKUP(E37,List!$E$35:$F$37,2,))),(D37-$C37)*IF(time_tot&gt;time+20,20,IF(time_tot&lt;20,(time*VLOOKUP(E37,List!$E$35:$F$37,2,))+(time_tot-time),((MIN(20,time)*VLOOKUP(E37,List!$E$35:$F$37,2,))+(time_tot-MIN(20,time))-IF(E37="exponential",time_tot-20+0.217*time*(EXP(4.606*(20-time_tot)/time)-1),((time_tot-20)^2)*(0.5/time))))))))</f>
        <v>0</v>
      </c>
      <c r="K37" s="2158">
        <f>-IF(L15="yes",$M15,$K15)*((MIN($C37,F37)*MIN(20,time_tot))+IF(G37="immediate",IF(F37&gt;$C37,F37*MIN(20,time_tot),0),IF($C37&gt;F37,($C37-F37)*IF(time&gt;20,IF(G37="linear",time-((time-20)^2)/(2*time),(0.215*time)-(time/4.6)*(EXP(-92.1/time)-0.01)),time*(1-VLOOKUP(G37,List!$E$35:$F$37,2,))),(F37-$C37)*IF(time_tot&gt;time+20,20,IF(time_tot&lt;20,(time*VLOOKUP(G37,List!$E$35:$F$37,2,))+(time_tot-time),((MIN(20,time)*VLOOKUP(G37,List!$E$35:$F$37,2,))+(time_tot-MIN(20,time))-IF(G37="exponential",time_tot-20+0.217*time*(EXP(4.606*(20-time_tot)/time)-1),((time_tot-20)^2)*(0.5/time))))))))</f>
        <v>0</v>
      </c>
      <c r="L37" s="1455">
        <f>(MIN(C37,D37)*time_tot+ABS(D37-C37)*IF(D37&gt;C37,time2+time*(VLOOKUP(E37,List!$E$35:$F$37,2,)),time*(1-(VLOOKUP(E37,List!$E$35:$F$37,2,)))))*$P15</f>
        <v>0</v>
      </c>
      <c r="M37" s="1452">
        <f>(MIN(C37,F37)*time_tot+ABS(F37-C37)*IF(F37&gt;C37,time2+time*(VLOOKUP(G37,List!$E$35:$F$37,2,)),time*(1-(VLOOKUP(G37,List!$E$35:$F$37,2,)))))*$P15</f>
        <v>0</v>
      </c>
      <c r="N37" s="1454">
        <f t="shared" si="10"/>
        <v>0</v>
      </c>
      <c r="O37" s="1451">
        <f t="shared" si="10"/>
        <v>0</v>
      </c>
      <c r="P37" s="284">
        <f>O37-N37</f>
        <v>0</v>
      </c>
      <c r="Q37" s="233"/>
      <c r="R37" s="2043">
        <f>$Q15*(time*((ABS(D37-C37)*(IF(C37&lt;=D37,VLOOKUP(E37,List!$E$35:$F$37,2,),1-VLOOKUP(E37,List!$E$35:$F$37,2,))))+MIN(D37,C37))+(D37*time2))</f>
        <v>0</v>
      </c>
      <c r="S37" s="2043">
        <f>$Q15*(time*((ABS(F37-C37)*(IF(C37&lt;=F37,VLOOKUP(G37,List!$E$35:$F$37,2,),1-VLOOKUP(G37,List!$E$35:$F$37,2,))))+MIN(F37,C37))+(F37*time2))</f>
        <v>0</v>
      </c>
      <c r="T37" s="2034">
        <f t="shared" si="9"/>
        <v>0</v>
      </c>
      <c r="Z37" s="2410"/>
      <c r="AA37" s="2403">
        <f t="shared" si="4"/>
        <v>0</v>
      </c>
      <c r="AB37" s="2403">
        <f t="shared" si="5"/>
        <v>0</v>
      </c>
    </row>
    <row r="38" spans="2:28" ht="13.5" thickBot="1">
      <c r="B38" s="755" t="str">
        <f>B16</f>
        <v>Perennial Syst 3</v>
      </c>
      <c r="C38" s="1847">
        <f>'3.Cropland'!P54</f>
        <v>0</v>
      </c>
      <c r="D38" s="1847">
        <f>'3.Cropland'!Q54</f>
        <v>0</v>
      </c>
      <c r="E38" s="2179" t="str">
        <f>VLOOKUP('3.Cropland'!R54,List!$D$35:$E$37,2,)</f>
        <v>Linear</v>
      </c>
      <c r="F38" s="1793">
        <f>'3.Cropland'!S54</f>
        <v>0</v>
      </c>
      <c r="G38" s="2179" t="str">
        <f>VLOOKUP('3.Cropland'!U54,List!$D$35:$E$37,2,)</f>
        <v>Linear</v>
      </c>
      <c r="H38" s="1488">
        <f>-(MIN(C38,D38)*time_tot+ABS(D38-C38)*IF(D38&gt;C38,time2+time*(VLOOKUP(E38,List!$E$35:$F$37,2,)),time*(1-(VLOOKUP(E38,List!$E$35:$F$37,2,)))))*(IF($H16&gt;0,$H16,$G16)+IF($J16&gt;0,$J16,$I16))*(44/12)</f>
        <v>0</v>
      </c>
      <c r="I38" s="1452">
        <f>-(MIN(C38,F38)*time_tot+ABS(F38-C38)*IF(F38&gt;C38,time2+time*(VLOOKUP(G38,List!$E$35:$F$37,2,)),time*(1-(VLOOKUP(G38,List!$E$35:$F$37,2,)))))*(IF($H16&gt;0,$H16,$G16)+IF($J16&gt;0,$J16,$I16))*44/12</f>
        <v>0</v>
      </c>
      <c r="J38" s="1479">
        <f>-IF(L16="yes",$M16,$K16)*((MIN($C38,D38)*MIN(20,time_tot))+IF(E38="immediate",IF(D38&gt;$C38,D38*MIN(20,time_tot),0),IF($C38&gt;D38,($C38-D38)*IF(time&gt;20,IF(E38="linear",time-((time-20)^2)/(2*time),(0.215*time)-(time/4.6)*(EXP(-92.1/time)-0.01)),time*(1-VLOOKUP(E38,List!$E$35:$F$37,2,))),(D38-$C38)*IF(time_tot&gt;time+20,20,IF(time_tot&lt;20,(time*VLOOKUP(E38,List!$E$35:$F$37,2,))+(time_tot-time),((MIN(20,time)*VLOOKUP(E38,List!$E$35:$F$37,2,))+(time_tot-MIN(20,time))-IF(E38="exponential",time_tot-20+0.217*time*(EXP(4.606*(20-time_tot)/time)-1),((time_tot-20)^2)*(0.5/time))))))))</f>
        <v>0</v>
      </c>
      <c r="K38" s="2158">
        <f>-IF(L16="yes",$M16,$K16)*((MIN($C38,F38)*MIN(20,time_tot))+IF(G38="immediate",IF(F38&gt;$C38,F38*MIN(20,time_tot),0),IF($C38&gt;F38,($C38-F38)*IF(time&gt;20,IF(G38="linear",time-((time-20)^2)/(2*time),(0.215*time)-(time/4.6)*(EXP(-92.1/time)-0.01)),time*(1-VLOOKUP(G38,List!$E$35:$F$37,2,))),(F38-$C38)*IF(time_tot&gt;time+20,20,IF(time_tot&lt;20,(time*VLOOKUP(G38,List!$E$35:$F$37,2,))+(time_tot-time),((MIN(20,time)*VLOOKUP(G38,List!$E$35:$F$37,2,))+(time_tot-MIN(20,time))-IF(G38="exponential",time_tot-20+0.217*time*(EXP(4.606*(20-time_tot)/time)-1),((time_tot-20)^2)*(0.5/time))))))))</f>
        <v>0</v>
      </c>
      <c r="L38" s="1455">
        <f>(MIN(C38,D38)*time_tot+ABS(D38-C38)*IF(D38&gt;C38,time2+time*(VLOOKUP(E38,List!$E$35:$F$37,2,)),time*(1-(VLOOKUP(E38,List!$E$35:$F$37,2,)))))*$P16</f>
        <v>0</v>
      </c>
      <c r="M38" s="1452">
        <f>(MIN(C38,F38)*time_tot+ABS(F38-C38)*IF(F38&gt;C38,time2+time*(VLOOKUP(G38,List!$E$35:$F$37,2,)),time*(1-(VLOOKUP(G38,List!$E$35:$F$37,2,)))))*$P16</f>
        <v>0</v>
      </c>
      <c r="N38" s="1454">
        <f t="shared" si="10"/>
        <v>0</v>
      </c>
      <c r="O38" s="1451">
        <f t="shared" si="10"/>
        <v>0</v>
      </c>
      <c r="P38" s="284">
        <f>O38-N38</f>
        <v>0</v>
      </c>
      <c r="Q38" s="233"/>
      <c r="R38" s="2043">
        <f>$Q16*(time*((ABS(D38-C38)*(IF(C38&lt;=D38,VLOOKUP(E38,List!$E$35:$F$37,2,),1-VLOOKUP(E38,List!$E$35:$F$37,2,))))+MIN(D38,C38))+(D38*time2))</f>
        <v>0</v>
      </c>
      <c r="S38" s="2043">
        <f>$Q16*(time*((ABS(F38-C38)*(IF(C38&lt;=F38,VLOOKUP(G38,List!$E$35:$F$37,2,),1-VLOOKUP(G38,List!$E$35:$F$37,2,))))+MIN(F38,C38))+(F38*time2))</f>
        <v>0</v>
      </c>
      <c r="T38" s="2034">
        <f t="shared" si="9"/>
        <v>0</v>
      </c>
      <c r="Z38" s="2410"/>
      <c r="AA38" s="2403">
        <f t="shared" si="4"/>
        <v>0</v>
      </c>
      <c r="AB38" s="2403">
        <f t="shared" si="5"/>
        <v>0</v>
      </c>
    </row>
    <row r="39" spans="2:28" ht="13.5" thickBot="1">
      <c r="B39" s="755" t="str">
        <f t="shared" ref="B39:B45" si="11">B17</f>
        <v>Perennial Syst 4</v>
      </c>
      <c r="C39" s="1847">
        <f>'3.Cropland'!P55</f>
        <v>0</v>
      </c>
      <c r="D39" s="1847">
        <f>'3.Cropland'!Q55</f>
        <v>0</v>
      </c>
      <c r="E39" s="2179" t="str">
        <f>VLOOKUP('3.Cropland'!R55,List!$D$35:$E$37,2,)</f>
        <v>Linear</v>
      </c>
      <c r="F39" s="1793">
        <f>'3.Cropland'!S55</f>
        <v>0</v>
      </c>
      <c r="G39" s="2179" t="str">
        <f>VLOOKUP('3.Cropland'!U55,List!$D$35:$E$37,2,)</f>
        <v>Linear</v>
      </c>
      <c r="H39" s="1488">
        <f>-(MIN(C39,D39)*time_tot+ABS(D39-C39)*IF(D39&gt;C39,time2+time*(VLOOKUP(E39,List!$E$35:$F$37,2,)),time*(1-(VLOOKUP(E39,List!$E$35:$F$37,2,)))))*(IF($H17&gt;0,$H17,$G17)+IF($J17&gt;0,$J17,$I17))*(44/12)</f>
        <v>0</v>
      </c>
      <c r="I39" s="1452">
        <f>-(MIN(C39,F39)*time_tot+ABS(F39-C39)*IF(F39&gt;C39,time2+time*(VLOOKUP(G39,List!$E$35:$F$37,2,)),time*(1-(VLOOKUP(G39,List!$E$35:$F$37,2,)))))*(IF($H17&gt;0,$H17,$G17)+IF($J17&gt;0,$J17,$I17))*44/12</f>
        <v>0</v>
      </c>
      <c r="J39" s="1479">
        <f>-IF(L17="yes",$M17,$K17)*((MIN($C39,D39)*MIN(20,time_tot))+IF(E39="immediate",IF(D39&gt;$C39,D39*MIN(20,time_tot),0),IF($C39&gt;D39,($C39-D39)*IF(time&gt;20,IF(E39="linear",time-((time-20)^2)/(2*time),(0.215*time)-(time/4.6)*(EXP(-92.1/time)-0.01)),time*(1-VLOOKUP(E39,List!$E$35:$F$37,2,))),(D39-$C39)*IF(time_tot&gt;time+20,20,IF(time_tot&lt;20,(time*VLOOKUP(E39,List!$E$35:$F$37,2,))+(time_tot-time),((MIN(20,time)*VLOOKUP(E39,List!$E$35:$F$37,2,))+(time_tot-MIN(20,time))-IF(E39="exponential",time_tot-20+0.217*time*(EXP(4.606*(20-time_tot)/time)-1),((time_tot-20)^2)*(0.5/time))))))))</f>
        <v>0</v>
      </c>
      <c r="K39" s="2858">
        <f>-IF(L17="yes",$M17,$K17)*((MIN($C39,F39)*MIN(20,time_tot))+IF(G39="immediate",IF(F39&gt;$C39,F39*MIN(20,time_tot),0),IF($C39&gt;F39,($C39-F39)*IF(time&gt;20,IF(G39="linear",time-((time-20)^2)/(2*time),(0.215*time)-(time/4.6)*(EXP(-92.1/time)-0.01)),time*(1-VLOOKUP(G39,List!$E$35:$F$37,2,))),(F39-$C39)*IF(time_tot&gt;time+20,20,IF(time_tot&lt;20,(time*VLOOKUP(G39,List!$E$35:$F$37,2,))+(time_tot-time),((MIN(20,time)*VLOOKUP(G39,List!$E$35:$F$37,2,))+(time_tot-MIN(20,time))-IF(G39="exponential",time_tot-20+0.217*time*(EXP(4.606*(20-time_tot)/time)-1),((time_tot-20)^2)*(0.5/time))))))))</f>
        <v>0</v>
      </c>
      <c r="L39" s="1455">
        <f>(MIN(C39,D39)*time_tot+ABS(D39-C39)*IF(D39&gt;C39,time2+time*(VLOOKUP(E39,List!$E$35:$F$37,2,)),time*(1-(VLOOKUP(E39,List!$E$35:$F$37,2,)))))*$P17</f>
        <v>0</v>
      </c>
      <c r="M39" s="1452">
        <f>(MIN(C39,F39)*time_tot+ABS(F39-C39)*IF(F39&gt;C39,time2+time*(VLOOKUP(G39,List!$E$35:$F$37,2,)),time*(1-(VLOOKUP(G39,List!$E$35:$F$37,2,)))))*$P17</f>
        <v>0</v>
      </c>
      <c r="N39" s="1454">
        <f t="shared" ref="N39:N45" si="12">L39+J39+H39</f>
        <v>0</v>
      </c>
      <c r="O39" s="1451">
        <f t="shared" ref="O39:O45" si="13">M39+K39+I39</f>
        <v>0</v>
      </c>
      <c r="P39" s="284">
        <f t="shared" ref="P39:P45" si="14">O39-N39</f>
        <v>0</v>
      </c>
      <c r="Q39" s="233"/>
      <c r="R39" s="2043">
        <f>$Q17*(time*((ABS(D39-C39)*(IF(C39&lt;=D39,VLOOKUP(E39,List!$E$35:$F$37,2,),1-VLOOKUP(E39,List!$E$35:$F$37,2,))))+MIN(D39,C39))+(D39*time2))</f>
        <v>0</v>
      </c>
      <c r="S39" s="2043">
        <f>$Q17*(time*((ABS(F39-C39)*(IF(C39&lt;=F39,VLOOKUP(G39,List!$E$35:$F$37,2,),1-VLOOKUP(G39,List!$E$35:$F$37,2,))))+MIN(F39,C39))+(F39*time2))</f>
        <v>0</v>
      </c>
      <c r="T39" s="2034">
        <f t="shared" ref="T39:T45" si="15">S39-R39</f>
        <v>0</v>
      </c>
      <c r="Z39" s="2410"/>
      <c r="AA39" s="2403">
        <f t="shared" ref="AA39:AA45" si="16">IF($P17&gt;0,L39/$P17,0)/E17</f>
        <v>0</v>
      </c>
      <c r="AB39" s="2403">
        <f t="shared" ref="AB39:AB45" si="17">IF($P17&gt;0,M39/$P17,0)/E17</f>
        <v>0</v>
      </c>
    </row>
    <row r="40" spans="2:28" ht="13.5" thickBot="1">
      <c r="B40" s="755" t="str">
        <f t="shared" si="11"/>
        <v>Perennial Syst 5</v>
      </c>
      <c r="C40" s="1847">
        <f>'3.Cropland'!P56</f>
        <v>0</v>
      </c>
      <c r="D40" s="1847">
        <f>'3.Cropland'!Q56</f>
        <v>0</v>
      </c>
      <c r="E40" s="2179" t="str">
        <f>VLOOKUP('3.Cropland'!R56,List!$D$35:$E$37,2,)</f>
        <v>Linear</v>
      </c>
      <c r="F40" s="1793">
        <f>'3.Cropland'!S56</f>
        <v>0</v>
      </c>
      <c r="G40" s="2179" t="str">
        <f>VLOOKUP('3.Cropland'!U56,List!$D$35:$E$37,2,)</f>
        <v>Linear</v>
      </c>
      <c r="H40" s="1488">
        <f>-(MIN(C40,D40)*time_tot+ABS(D40-C40)*IF(D40&gt;C40,time2+time*(VLOOKUP(E40,List!$E$35:$F$37,2,)),time*(1-(VLOOKUP(E40,List!$E$35:$F$37,2,)))))*(IF($H18&gt;0,$H18,$G18)+IF($J18&gt;0,$J18,$I18))*(44/12)</f>
        <v>0</v>
      </c>
      <c r="I40" s="1452">
        <f>-(MIN(C40,F40)*time_tot+ABS(F40-C40)*IF(F40&gt;C40,time2+time*(VLOOKUP(G40,List!$E$35:$F$37,2,)),time*(1-(VLOOKUP(G40,List!$E$35:$F$37,2,)))))*(IF($H18&gt;0,$H18,$G18)+IF($J18&gt;0,$J18,$I18))*44/12</f>
        <v>0</v>
      </c>
      <c r="J40" s="1479">
        <f>-IF(L18="yes",$M18,$K18)*((MIN($C40,D40)*MIN(20,time_tot))+IF(E40="immediate",IF(D40&gt;$C40,D40*MIN(20,time_tot),0),IF($C40&gt;D40,($C40-D40)*IF(time&gt;20,IF(E40="linear",time-((time-20)^2)/(2*time),(0.215*time)-(time/4.6)*(EXP(-92.1/time)-0.01)),time*(1-VLOOKUP(E40,List!$E$35:$F$37,2,))),(D40-$C40)*IF(time_tot&gt;time+20,20,IF(time_tot&lt;20,(time*VLOOKUP(E40,List!$E$35:$F$37,2,))+(time_tot-time),((MIN(20,time)*VLOOKUP(E40,List!$E$35:$F$37,2,))+(time_tot-MIN(20,time))-IF(E40="exponential",time_tot-20+0.217*time*(EXP(4.606*(20-time_tot)/time)-1),((time_tot-20)^2)*(0.5/time))))))))</f>
        <v>0</v>
      </c>
      <c r="K40" s="2858">
        <f>-IF(L18="yes",$M18,$K18)*((MIN($C40,F40)*MIN(20,time_tot))+IF(G40="immediate",IF(F40&gt;$C40,F40*MIN(20,time_tot),0),IF($C40&gt;F40,($C40-F40)*IF(time&gt;20,IF(G40="linear",time-((time-20)^2)/(2*time),(0.215*time)-(time/4.6)*(EXP(-92.1/time)-0.01)),time*(1-VLOOKUP(G40,List!$E$35:$F$37,2,))),(F40-$C40)*IF(time_tot&gt;time+20,20,IF(time_tot&lt;20,(time*VLOOKUP(G40,List!$E$35:$F$37,2,))+(time_tot-time),((MIN(20,time)*VLOOKUP(G40,List!$E$35:$F$37,2,))+(time_tot-MIN(20,time))-IF(G40="exponential",time_tot-20+0.217*time*(EXP(4.606*(20-time_tot)/time)-1),((time_tot-20)^2)*(0.5/time))))))))</f>
        <v>0</v>
      </c>
      <c r="L40" s="1455">
        <f>(MIN(C40,D40)*time_tot+ABS(D40-C40)*IF(D40&gt;C40,time2+time*(VLOOKUP(E40,List!$E$35:$F$37,2,)),time*(1-(VLOOKUP(E40,List!$E$35:$F$37,2,)))))*$P18</f>
        <v>0</v>
      </c>
      <c r="M40" s="1452">
        <f>(MIN(C40,F40)*time_tot+ABS(F40-C40)*IF(F40&gt;C40,time2+time*(VLOOKUP(G40,List!$E$35:$F$37,2,)),time*(1-(VLOOKUP(G40,List!$E$35:$F$37,2,)))))*$P18</f>
        <v>0</v>
      </c>
      <c r="N40" s="1454">
        <f t="shared" si="12"/>
        <v>0</v>
      </c>
      <c r="O40" s="1451">
        <f t="shared" si="13"/>
        <v>0</v>
      </c>
      <c r="P40" s="284">
        <f t="shared" si="14"/>
        <v>0</v>
      </c>
      <c r="Q40" s="233"/>
      <c r="R40" s="2043">
        <f>$Q18*(time*((ABS(D40-C40)*(IF(C40&lt;=D40,VLOOKUP(E40,List!$E$35:$F$37,2,),1-VLOOKUP(E40,List!$E$35:$F$37,2,))))+MIN(D40,C40))+(D40*time2))</f>
        <v>0</v>
      </c>
      <c r="S40" s="2043">
        <f>$Q18*(time*((ABS(F40-C40)*(IF(C40&lt;=F40,VLOOKUP(G40,List!$E$35:$F$37,2,),1-VLOOKUP(G40,List!$E$35:$F$37,2,))))+MIN(F40,C40))+(F40*time2))</f>
        <v>0</v>
      </c>
      <c r="T40" s="2034">
        <f t="shared" si="15"/>
        <v>0</v>
      </c>
      <c r="Z40" s="2410"/>
      <c r="AA40" s="2403">
        <f t="shared" si="16"/>
        <v>0</v>
      </c>
      <c r="AB40" s="2403">
        <f t="shared" si="17"/>
        <v>0</v>
      </c>
    </row>
    <row r="41" spans="2:28" ht="13.5" thickBot="1">
      <c r="B41" s="755" t="str">
        <f t="shared" si="11"/>
        <v>Perennial Syst 6</v>
      </c>
      <c r="C41" s="1847">
        <f>'3.Cropland'!P57</f>
        <v>0</v>
      </c>
      <c r="D41" s="1847">
        <f>'3.Cropland'!Q57</f>
        <v>0</v>
      </c>
      <c r="E41" s="2179" t="str">
        <f>VLOOKUP('3.Cropland'!R57,List!$D$35:$E$37,2,)</f>
        <v>Linear</v>
      </c>
      <c r="F41" s="1793">
        <f>'3.Cropland'!S57</f>
        <v>0</v>
      </c>
      <c r="G41" s="2179" t="str">
        <f>VLOOKUP('3.Cropland'!U57,List!$D$35:$E$37,2,)</f>
        <v>Linear</v>
      </c>
      <c r="H41" s="1488">
        <f>-(MIN(C41,D41)*time_tot+ABS(D41-C41)*IF(D41&gt;C41,time2+time*(VLOOKUP(E41,List!$E$35:$F$37,2,)),time*(1-(VLOOKUP(E41,List!$E$35:$F$37,2,)))))*(IF($H19&gt;0,$H19,$G19)+IF($J19&gt;0,$J19,$I19))*(44/12)</f>
        <v>0</v>
      </c>
      <c r="I41" s="1452">
        <f>-(MIN(C41,F41)*time_tot+ABS(F41-C41)*IF(F41&gt;C41,time2+time*(VLOOKUP(G41,List!$E$35:$F$37,2,)),time*(1-(VLOOKUP(G41,List!$E$35:$F$37,2,)))))*(IF($H19&gt;0,$H19,$G19)+IF($J19&gt;0,$J19,$I19))*44/12</f>
        <v>0</v>
      </c>
      <c r="J41" s="1479">
        <f>-IF(L19="yes",$M19,$K19)*((MIN($C41,D41)*MIN(20,time_tot))+IF(E41="immediate",IF(D41&gt;$C41,D41*MIN(20,time_tot),0),IF($C41&gt;D41,($C41-D41)*IF(time&gt;20,IF(E41="linear",time-((time-20)^2)/(2*time),(0.215*time)-(time/4.6)*(EXP(-92.1/time)-0.01)),time*(1-VLOOKUP(E41,List!$E$35:$F$37,2,))),(D41-$C41)*IF(time_tot&gt;time+20,20,IF(time_tot&lt;20,(time*VLOOKUP(E41,List!$E$35:$F$37,2,))+(time_tot-time),((MIN(20,time)*VLOOKUP(E41,List!$E$35:$F$37,2,))+(time_tot-MIN(20,time))-IF(E41="exponential",time_tot-20+0.217*time*(EXP(4.606*(20-time_tot)/time)-1),((time_tot-20)^2)*(0.5/time))))))))</f>
        <v>0</v>
      </c>
      <c r="K41" s="2858">
        <f>-IF(L19="yes",$M19,$K19)*((MIN($C41,F41)*MIN(20,time_tot))+IF(G41="immediate",IF(F41&gt;$C41,F41*MIN(20,time_tot),0),IF($C41&gt;F41,($C41-F41)*IF(time&gt;20,IF(G41="linear",time-((time-20)^2)/(2*time),(0.215*time)-(time/4.6)*(EXP(-92.1/time)-0.01)),time*(1-VLOOKUP(G41,List!$E$35:$F$37,2,))),(F41-$C41)*IF(time_tot&gt;time+20,20,IF(time_tot&lt;20,(time*VLOOKUP(G41,List!$E$35:$F$37,2,))+(time_tot-time),((MIN(20,time)*VLOOKUP(G41,List!$E$35:$F$37,2,))+(time_tot-MIN(20,time))-IF(G41="exponential",time_tot-20+0.217*time*(EXP(4.606*(20-time_tot)/time)-1),((time_tot-20)^2)*(0.5/time))))))))</f>
        <v>0</v>
      </c>
      <c r="L41" s="1455">
        <f>(MIN(C41,D41)*time_tot+ABS(D41-C41)*IF(D41&gt;C41,time2+time*(VLOOKUP(E41,List!$E$35:$F$37,2,)),time*(1-(VLOOKUP(E41,List!$E$35:$F$37,2,)))))*$P19</f>
        <v>0</v>
      </c>
      <c r="M41" s="1452">
        <f>(MIN(C41,F41)*time_tot+ABS(F41-C41)*IF(F41&gt;C41,time2+time*(VLOOKUP(G41,List!$E$35:$F$37,2,)),time*(1-(VLOOKUP(G41,List!$E$35:$F$37,2,)))))*$P19</f>
        <v>0</v>
      </c>
      <c r="N41" s="1454">
        <f t="shared" si="12"/>
        <v>0</v>
      </c>
      <c r="O41" s="1451">
        <f t="shared" si="13"/>
        <v>0</v>
      </c>
      <c r="P41" s="284">
        <f t="shared" si="14"/>
        <v>0</v>
      </c>
      <c r="Q41" s="233"/>
      <c r="R41" s="2043">
        <f>$Q19*(time*((ABS(D41-C41)*(IF(C41&lt;=D41,VLOOKUP(E41,List!$E$35:$F$37,2,),1-VLOOKUP(E41,List!$E$35:$F$37,2,))))+MIN(D41,C41))+(D41*time2))</f>
        <v>0</v>
      </c>
      <c r="S41" s="2043">
        <f>$Q19*(time*((ABS(F41-C41)*(IF(C41&lt;=F41,VLOOKUP(G41,List!$E$35:$F$37,2,),1-VLOOKUP(G41,List!$E$35:$F$37,2,))))+MIN(F41,C41))+(F41*time2))</f>
        <v>0</v>
      </c>
      <c r="T41" s="2034">
        <f t="shared" si="15"/>
        <v>0</v>
      </c>
      <c r="Z41" s="2410"/>
      <c r="AA41" s="2403">
        <f t="shared" si="16"/>
        <v>0</v>
      </c>
      <c r="AB41" s="2403">
        <f t="shared" si="17"/>
        <v>0</v>
      </c>
    </row>
    <row r="42" spans="2:28" ht="13.5" thickBot="1">
      <c r="B42" s="755" t="str">
        <f t="shared" si="11"/>
        <v>Perennial Syst 7</v>
      </c>
      <c r="C42" s="1847">
        <f>'3.Cropland'!P58</f>
        <v>0</v>
      </c>
      <c r="D42" s="1847">
        <f>'3.Cropland'!Q58</f>
        <v>0</v>
      </c>
      <c r="E42" s="2179" t="str">
        <f>VLOOKUP('3.Cropland'!R58,List!$D$35:$E$37,2,)</f>
        <v>Linear</v>
      </c>
      <c r="F42" s="1793">
        <f>'3.Cropland'!S58</f>
        <v>0</v>
      </c>
      <c r="G42" s="2179" t="str">
        <f>VLOOKUP('3.Cropland'!U58,List!$D$35:$E$37,2,)</f>
        <v>Linear</v>
      </c>
      <c r="H42" s="1488">
        <f>-(MIN(C42,D42)*time_tot+ABS(D42-C42)*IF(D42&gt;C42,time2+time*(VLOOKUP(E42,List!$E$35:$F$37,2,)),time*(1-(VLOOKUP(E42,List!$E$35:$F$37,2,)))))*(IF($H20&gt;0,$H20,$G20)+IF($J20&gt;0,$J20,$I20))*(44/12)</f>
        <v>0</v>
      </c>
      <c r="I42" s="1452">
        <f>-(MIN(C42,F42)*time_tot+ABS(F42-C42)*IF(F42&gt;C42,time2+time*(VLOOKUP(G42,List!$E$35:$F$37,2,)),time*(1-(VLOOKUP(G42,List!$E$35:$F$37,2,)))))*(IF($H20&gt;0,$H20,$G20)+IF($J20&gt;0,$J20,$I20))*44/12</f>
        <v>0</v>
      </c>
      <c r="J42" s="1479">
        <f>-IF(L20="yes",$M20,$K20)*((MIN($C42,D42)*MIN(20,time_tot))+IF(E42="immediate",IF(D42&gt;$C42,D42*MIN(20,time_tot),0),IF($C42&gt;D42,($C42-D42)*IF(time&gt;20,IF(E42="linear",time-((time-20)^2)/(2*time),(0.215*time)-(time/4.6)*(EXP(-92.1/time)-0.01)),time*(1-VLOOKUP(E42,List!$E$35:$F$37,2,))),(D42-$C42)*IF(time_tot&gt;time+20,20,IF(time_tot&lt;20,(time*VLOOKUP(E42,List!$E$35:$F$37,2,))+(time_tot-time),((MIN(20,time)*VLOOKUP(E42,List!$E$35:$F$37,2,))+(time_tot-MIN(20,time))-IF(E42="exponential",time_tot-20+0.217*time*(EXP(4.606*(20-time_tot)/time)-1),((time_tot-20)^2)*(0.5/time))))))))</f>
        <v>0</v>
      </c>
      <c r="K42" s="2858">
        <f>-IF(L20="yes",$M20,$K20)*((MIN($C42,F42)*MIN(20,time_tot))+IF(G42="immediate",IF(F42&gt;$C42,F42*MIN(20,time_tot),0),IF($C42&gt;F42,($C42-F42)*IF(time&gt;20,IF(G42="linear",time-((time-20)^2)/(2*time),(0.215*time)-(time/4.6)*(EXP(-92.1/time)-0.01)),time*(1-VLOOKUP(G42,List!$E$35:$F$37,2,))),(F42-$C42)*IF(time_tot&gt;time+20,20,IF(time_tot&lt;20,(time*VLOOKUP(G42,List!$E$35:$F$37,2,))+(time_tot-time),((MIN(20,time)*VLOOKUP(G42,List!$E$35:$F$37,2,))+(time_tot-MIN(20,time))-IF(G42="exponential",time_tot-20+0.217*time*(EXP(4.606*(20-time_tot)/time)-1),((time_tot-20)^2)*(0.5/time))))))))</f>
        <v>0</v>
      </c>
      <c r="L42" s="1455">
        <f>(MIN(C42,D42)*time_tot+ABS(D42-C42)*IF(D42&gt;C42,time2+time*(VLOOKUP(E42,List!$E$35:$F$37,2,)),time*(1-(VLOOKUP(E42,List!$E$35:$F$37,2,)))))*$P20</f>
        <v>0</v>
      </c>
      <c r="M42" s="1452">
        <f>(MIN(C42,F42)*time_tot+ABS(F42-C42)*IF(F42&gt;C42,time2+time*(VLOOKUP(G42,List!$E$35:$F$37,2,)),time*(1-(VLOOKUP(G42,List!$E$35:$F$37,2,)))))*$P20</f>
        <v>0</v>
      </c>
      <c r="N42" s="1454">
        <f t="shared" si="12"/>
        <v>0</v>
      </c>
      <c r="O42" s="1451">
        <f t="shared" si="13"/>
        <v>0</v>
      </c>
      <c r="P42" s="284">
        <f t="shared" si="14"/>
        <v>0</v>
      </c>
      <c r="Q42" s="233"/>
      <c r="R42" s="2043">
        <f>$Q20*(time*((ABS(D42-C42)*(IF(C42&lt;=D42,VLOOKUP(E42,List!$E$35:$F$37,2,),1-VLOOKUP(E42,List!$E$35:$F$37,2,))))+MIN(D42,C42))+(D42*time2))</f>
        <v>0</v>
      </c>
      <c r="S42" s="2043">
        <f>$Q20*(time*((ABS(F42-C42)*(IF(C42&lt;=F42,VLOOKUP(G42,List!$E$35:$F$37,2,),1-VLOOKUP(G42,List!$E$35:$F$37,2,))))+MIN(F42,C42))+(F42*time2))</f>
        <v>0</v>
      </c>
      <c r="T42" s="2034">
        <f t="shared" si="15"/>
        <v>0</v>
      </c>
      <c r="Z42" s="2410"/>
      <c r="AA42" s="2403">
        <f t="shared" si="16"/>
        <v>0</v>
      </c>
      <c r="AB42" s="2403">
        <f t="shared" si="17"/>
        <v>0</v>
      </c>
    </row>
    <row r="43" spans="2:28" ht="13.5" thickBot="1">
      <c r="B43" s="755" t="str">
        <f t="shared" si="11"/>
        <v>Perennial Syst 8</v>
      </c>
      <c r="C43" s="1847">
        <f>'3.Cropland'!P59</f>
        <v>0</v>
      </c>
      <c r="D43" s="1847">
        <f>'3.Cropland'!Q59</f>
        <v>0</v>
      </c>
      <c r="E43" s="2179" t="str">
        <f>VLOOKUP('3.Cropland'!R59,List!$D$35:$E$37,2,)</f>
        <v>Linear</v>
      </c>
      <c r="F43" s="1793">
        <f>'3.Cropland'!S59</f>
        <v>0</v>
      </c>
      <c r="G43" s="2179" t="str">
        <f>VLOOKUP('3.Cropland'!U59,List!$D$35:$E$37,2,)</f>
        <v>Linear</v>
      </c>
      <c r="H43" s="1488">
        <f>-(MIN(C43,D43)*time_tot+ABS(D43-C43)*IF(D43&gt;C43,time2+time*(VLOOKUP(E43,List!$E$35:$F$37,2,)),time*(1-(VLOOKUP(E43,List!$E$35:$F$37,2,)))))*(IF($H21&gt;0,$H21,$G21)+IF($J21&gt;0,$J21,$I21))*(44/12)</f>
        <v>0</v>
      </c>
      <c r="I43" s="1452">
        <f>-(MIN(C43,F43)*time_tot+ABS(F43-C43)*IF(F43&gt;C43,time2+time*(VLOOKUP(G43,List!$E$35:$F$37,2,)),time*(1-(VLOOKUP(G43,List!$E$35:$F$37,2,)))))*(IF($H21&gt;0,$H21,$G21)+IF($J21&gt;0,$J21,$I21))*44/12</f>
        <v>0</v>
      </c>
      <c r="J43" s="1479">
        <f>-IF(L21="yes",$M21,$K21)*((MIN($C43,D43)*MIN(20,time_tot))+IF(E43="immediate",IF(D43&gt;$C43,D43*MIN(20,time_tot),0),IF($C43&gt;D43,($C43-D43)*IF(time&gt;20,IF(E43="linear",time-((time-20)^2)/(2*time),(0.215*time)-(time/4.6)*(EXP(-92.1/time)-0.01)),time*(1-VLOOKUP(E43,List!$E$35:$F$37,2,))),(D43-$C43)*IF(time_tot&gt;time+20,20,IF(time_tot&lt;20,(time*VLOOKUP(E43,List!$E$35:$F$37,2,))+(time_tot-time),((MIN(20,time)*VLOOKUP(E43,List!$E$35:$F$37,2,))+(time_tot-MIN(20,time))-IF(E43="exponential",time_tot-20+0.217*time*(EXP(4.606*(20-time_tot)/time)-1),((time_tot-20)^2)*(0.5/time))))))))</f>
        <v>0</v>
      </c>
      <c r="K43" s="2858">
        <f>-IF(L21="yes",$M21,$K21)*((MIN($C43,F43)*MIN(20,time_tot))+IF(G43="immediate",IF(F43&gt;$C43,F43*MIN(20,time_tot),0),IF($C43&gt;F43,($C43-F43)*IF(time&gt;20,IF(G43="linear",time-((time-20)^2)/(2*time),(0.215*time)-(time/4.6)*(EXP(-92.1/time)-0.01)),time*(1-VLOOKUP(G43,List!$E$35:$F$37,2,))),(F43-$C43)*IF(time_tot&gt;time+20,20,IF(time_tot&lt;20,(time*VLOOKUP(G43,List!$E$35:$F$37,2,))+(time_tot-time),((MIN(20,time)*VLOOKUP(G43,List!$E$35:$F$37,2,))+(time_tot-MIN(20,time))-IF(G43="exponential",time_tot-20+0.217*time*(EXP(4.606*(20-time_tot)/time)-1),((time_tot-20)^2)*(0.5/time))))))))</f>
        <v>0</v>
      </c>
      <c r="L43" s="1455">
        <f>(MIN(C43,D43)*time_tot+ABS(D43-C43)*IF(D43&gt;C43,time2+time*(VLOOKUP(E43,List!$E$35:$F$37,2,)),time*(1-(VLOOKUP(E43,List!$E$35:$F$37,2,)))))*$P21</f>
        <v>0</v>
      </c>
      <c r="M43" s="1452">
        <f>(MIN(C43,F43)*time_tot+ABS(F43-C43)*IF(F43&gt;C43,time2+time*(VLOOKUP(G43,List!$E$35:$F$37,2,)),time*(1-(VLOOKUP(G43,List!$E$35:$F$37,2,)))))*$P21</f>
        <v>0</v>
      </c>
      <c r="N43" s="1454">
        <f t="shared" si="12"/>
        <v>0</v>
      </c>
      <c r="O43" s="1451">
        <f t="shared" si="13"/>
        <v>0</v>
      </c>
      <c r="P43" s="284">
        <f t="shared" si="14"/>
        <v>0</v>
      </c>
      <c r="Q43" s="233"/>
      <c r="R43" s="2043">
        <f>$Q21*(time*((ABS(D43-C43)*(IF(C43&lt;=D43,VLOOKUP(E43,List!$E$35:$F$37,2,),1-VLOOKUP(E43,List!$E$35:$F$37,2,))))+MIN(D43,C43))+(D43*time2))</f>
        <v>0</v>
      </c>
      <c r="S43" s="2043">
        <f>$Q21*(time*((ABS(F43-C43)*(IF(C43&lt;=F43,VLOOKUP(G43,List!$E$35:$F$37,2,),1-VLOOKUP(G43,List!$E$35:$F$37,2,))))+MIN(F43,C43))+(F43*time2))</f>
        <v>0</v>
      </c>
      <c r="T43" s="2034">
        <f t="shared" si="15"/>
        <v>0</v>
      </c>
      <c r="Z43" s="2410"/>
      <c r="AA43" s="2403">
        <f t="shared" si="16"/>
        <v>0</v>
      </c>
      <c r="AB43" s="2403">
        <f t="shared" si="17"/>
        <v>0</v>
      </c>
    </row>
    <row r="44" spans="2:28" ht="13.5" thickBot="1">
      <c r="B44" s="755" t="str">
        <f t="shared" si="11"/>
        <v>Perennial Syst 9</v>
      </c>
      <c r="C44" s="1847">
        <f>'3.Cropland'!P60</f>
        <v>0</v>
      </c>
      <c r="D44" s="1847">
        <f>'3.Cropland'!Q60</f>
        <v>0</v>
      </c>
      <c r="E44" s="2179" t="str">
        <f>VLOOKUP('3.Cropland'!R60,List!$D$35:$E$37,2,)</f>
        <v>Linear</v>
      </c>
      <c r="F44" s="1793">
        <f>'3.Cropland'!S60</f>
        <v>0</v>
      </c>
      <c r="G44" s="2179" t="str">
        <f>VLOOKUP('3.Cropland'!U60,List!$D$35:$E$37,2,)</f>
        <v>Linear</v>
      </c>
      <c r="H44" s="1488">
        <f>-(MIN(C44,D44)*time_tot+ABS(D44-C44)*IF(D44&gt;C44,time2+time*(VLOOKUP(E44,List!$E$35:$F$37,2,)),time*(1-(VLOOKUP(E44,List!$E$35:$F$37,2,)))))*(IF($H22&gt;0,$H22,$G22)+IF($J22&gt;0,$J22,$I22))*(44/12)</f>
        <v>0</v>
      </c>
      <c r="I44" s="1452">
        <f>-(MIN(C44,F44)*time_tot+ABS(F44-C44)*IF(F44&gt;C44,time2+time*(VLOOKUP(G44,List!$E$35:$F$37,2,)),time*(1-(VLOOKUP(G44,List!$E$35:$F$37,2,)))))*(IF($H22&gt;0,$H22,$G22)+IF($J22&gt;0,$J22,$I22))*44/12</f>
        <v>0</v>
      </c>
      <c r="J44" s="1479">
        <f>-IF(L22="yes",$M22,$K22)*((MIN($C44,D44)*MIN(20,time_tot))+IF(E44="immediate",IF(D44&gt;$C44,D44*MIN(20,time_tot),0),IF($C44&gt;D44,($C44-D44)*IF(time&gt;20,IF(E44="linear",time-((time-20)^2)/(2*time),(0.215*time)-(time/4.6)*(EXP(-92.1/time)-0.01)),time*(1-VLOOKUP(E44,List!$E$35:$F$37,2,))),(D44-$C44)*IF(time_tot&gt;time+20,20,IF(time_tot&lt;20,(time*VLOOKUP(E44,List!$E$35:$F$37,2,))+(time_tot-time),((MIN(20,time)*VLOOKUP(E44,List!$E$35:$F$37,2,))+(time_tot-MIN(20,time))-IF(E44="exponential",time_tot-20+0.217*time*(EXP(4.606*(20-time_tot)/time)-1),((time_tot-20)^2)*(0.5/time))))))))</f>
        <v>0</v>
      </c>
      <c r="K44" s="2858">
        <f>-IF(L22="yes",$M22,$K22)*((MIN($C44,F44)*MIN(20,time_tot))+IF(G44="immediate",IF(F44&gt;$C44,F44*MIN(20,time_tot),0),IF($C44&gt;F44,($C44-F44)*IF(time&gt;20,IF(G44="linear",time-((time-20)^2)/(2*time),(0.215*time)-(time/4.6)*(EXP(-92.1/time)-0.01)),time*(1-VLOOKUP(G44,List!$E$35:$F$37,2,))),(F44-$C44)*IF(time_tot&gt;time+20,20,IF(time_tot&lt;20,(time*VLOOKUP(G44,List!$E$35:$F$37,2,))+(time_tot-time),((MIN(20,time)*VLOOKUP(G44,List!$E$35:$F$37,2,))+(time_tot-MIN(20,time))-IF(G44="exponential",time_tot-20+0.217*time*(EXP(4.606*(20-time_tot)/time)-1),((time_tot-20)^2)*(0.5/time))))))))</f>
        <v>0</v>
      </c>
      <c r="L44" s="1455">
        <f>(MIN(C44,D44)*time_tot+ABS(D44-C44)*IF(D44&gt;C44,time2+time*(VLOOKUP(E44,List!$E$35:$F$37,2,)),time*(1-(VLOOKUP(E44,List!$E$35:$F$37,2,)))))*$P22</f>
        <v>0</v>
      </c>
      <c r="M44" s="1452">
        <f>(MIN(C44,F44)*time_tot+ABS(F44-C44)*IF(F44&gt;C44,time2+time*(VLOOKUP(G44,List!$E$35:$F$37,2,)),time*(1-(VLOOKUP(G44,List!$E$35:$F$37,2,)))))*$P22</f>
        <v>0</v>
      </c>
      <c r="N44" s="1454">
        <f t="shared" si="12"/>
        <v>0</v>
      </c>
      <c r="O44" s="1451">
        <f t="shared" si="13"/>
        <v>0</v>
      </c>
      <c r="P44" s="284">
        <f t="shared" si="14"/>
        <v>0</v>
      </c>
      <c r="Q44" s="233"/>
      <c r="R44" s="2043">
        <f>$Q22*(time*((ABS(D44-C44)*(IF(C44&lt;=D44,VLOOKUP(E44,List!$E$35:$F$37,2,),1-VLOOKUP(E44,List!$E$35:$F$37,2,))))+MIN(D44,C44))+(D44*time2))</f>
        <v>0</v>
      </c>
      <c r="S44" s="2043">
        <f>$Q22*(time*((ABS(F44-C44)*(IF(C44&lt;=F44,VLOOKUP(G44,List!$E$35:$F$37,2,),1-VLOOKUP(G44,List!$E$35:$F$37,2,))))+MIN(F44,C44))+(F44*time2))</f>
        <v>0</v>
      </c>
      <c r="T44" s="2034">
        <f t="shared" si="15"/>
        <v>0</v>
      </c>
      <c r="Z44" s="2410"/>
      <c r="AA44" s="2403">
        <f t="shared" si="16"/>
        <v>0</v>
      </c>
      <c r="AB44" s="2403">
        <f t="shared" si="17"/>
        <v>0</v>
      </c>
    </row>
    <row r="45" spans="2:28">
      <c r="B45" s="755" t="str">
        <f t="shared" si="11"/>
        <v>Perennial Syst 10</v>
      </c>
      <c r="C45" s="1847">
        <f>'3.Cropland'!P61</f>
        <v>0</v>
      </c>
      <c r="D45" s="1847">
        <f>'3.Cropland'!Q61</f>
        <v>0</v>
      </c>
      <c r="E45" s="2179" t="str">
        <f>VLOOKUP('3.Cropland'!R61,List!$D$35:$E$37,2,)</f>
        <v>Linear</v>
      </c>
      <c r="F45" s="1793">
        <f>'3.Cropland'!S61</f>
        <v>0</v>
      </c>
      <c r="G45" s="2179" t="str">
        <f>VLOOKUP('3.Cropland'!U61,List!$D$35:$E$37,2,)</f>
        <v>Linear</v>
      </c>
      <c r="H45" s="1488">
        <f>-(MIN(C45,D45)*time_tot+ABS(D45-C45)*IF(D45&gt;C45,time2+time*(VLOOKUP(E45,List!$E$35:$F$37,2,)),time*(1-(VLOOKUP(E45,List!$E$35:$F$37,2,)))))*(IF($H23&gt;0,$H23,$G23)+IF($J23&gt;0,$J23,$I23))*(44/12)</f>
        <v>0</v>
      </c>
      <c r="I45" s="1452">
        <f>-(MIN(C45,F45)*time_tot+ABS(F45-C45)*IF(F45&gt;C45,time2+time*(VLOOKUP(G45,List!$E$35:$F$37,2,)),time*(1-(VLOOKUP(G45,List!$E$35:$F$37,2,)))))*(IF($H23&gt;0,$H23,$G23)+IF($J23&gt;0,$J23,$I23))*44/12</f>
        <v>0</v>
      </c>
      <c r="J45" s="1479">
        <f>-IF(L23="yes",$M23,$K23)*((MIN($C45,D45)*MIN(20,time_tot))+IF(E45="immediate",IF(D45&gt;$C45,D45*MIN(20,time_tot),0),IF($C45&gt;D45,($C45-D45)*IF(time&gt;20,IF(E45="linear",time-((time-20)^2)/(2*time),(0.215*time)-(time/4.6)*(EXP(-92.1/time)-0.01)),time*(1-VLOOKUP(E45,List!$E$35:$F$37,2,))),(D45-$C45)*IF(time_tot&gt;time+20,20,IF(time_tot&lt;20,(time*VLOOKUP(E45,List!$E$35:$F$37,2,))+(time_tot-time),((MIN(20,time)*VLOOKUP(E45,List!$E$35:$F$37,2,))+(time_tot-MIN(20,time))-IF(E45="exponential",time_tot-20+0.217*time*(EXP(4.606*(20-time_tot)/time)-1),((time_tot-20)^2)*(0.5/time))))))))</f>
        <v>0</v>
      </c>
      <c r="K45" s="2858">
        <f>-IF(L23="yes",$M23,$K23)*((MIN($C45,F45)*MIN(20,time_tot))+IF(G45="immediate",IF(F45&gt;$C45,F45*MIN(20,time_tot),0),IF($C45&gt;F45,($C45-F45)*IF(time&gt;20,IF(G45="linear",time-((time-20)^2)/(2*time),(0.215*time)-(time/4.6)*(EXP(-92.1/time)-0.01)),time*(1-VLOOKUP(G45,List!$E$35:$F$37,2,))),(F45-$C45)*IF(time_tot&gt;time+20,20,IF(time_tot&lt;20,(time*VLOOKUP(G45,List!$E$35:$F$37,2,))+(time_tot-time),((MIN(20,time)*VLOOKUP(G45,List!$E$35:$F$37,2,))+(time_tot-MIN(20,time))-IF(G45="exponential",time_tot-20+0.217*time*(EXP(4.606*(20-time_tot)/time)-1),((time_tot-20)^2)*(0.5/time))))))))</f>
        <v>0</v>
      </c>
      <c r="L45" s="1455">
        <f>(MIN(C45,D45)*time_tot+ABS(D45-C45)*IF(D45&gt;C45,time2+time*(VLOOKUP(E45,List!$E$35:$F$37,2,)),time*(1-(VLOOKUP(E45,List!$E$35:$F$37,2,)))))*$P23</f>
        <v>0</v>
      </c>
      <c r="M45" s="1452">
        <f>(MIN(C45,F45)*time_tot+ABS(F45-C45)*IF(F45&gt;C45,time2+time*(VLOOKUP(G45,List!$E$35:$F$37,2,)),time*(1-(VLOOKUP(G45,List!$E$35:$F$37,2,)))))*$P23</f>
        <v>0</v>
      </c>
      <c r="N45" s="1454">
        <f t="shared" si="12"/>
        <v>0</v>
      </c>
      <c r="O45" s="1451">
        <f t="shared" si="13"/>
        <v>0</v>
      </c>
      <c r="P45" s="284">
        <f t="shared" si="14"/>
        <v>0</v>
      </c>
      <c r="Q45" s="233"/>
      <c r="R45" s="2043">
        <f>$Q23*(time*((ABS(D45-C45)*(IF(C45&lt;=D45,VLOOKUP(E45,List!$E$35:$F$37,2,),1-VLOOKUP(E45,List!$E$35:$F$37,2,))))+MIN(D45,C45))+(D45*time2))</f>
        <v>0</v>
      </c>
      <c r="S45" s="2043">
        <f>$Q23*(time*((ABS(F45-C45)*(IF(C45&lt;=F45,VLOOKUP(G45,List!$E$35:$F$37,2,),1-VLOOKUP(G45,List!$E$35:$F$37,2,))))+MIN(F45,C45))+(F45*time2))</f>
        <v>0</v>
      </c>
      <c r="T45" s="2034">
        <f t="shared" si="15"/>
        <v>0</v>
      </c>
      <c r="Z45" s="2410"/>
      <c r="AA45" s="2403">
        <f t="shared" si="16"/>
        <v>0</v>
      </c>
      <c r="AB45" s="2403">
        <f t="shared" si="17"/>
        <v>0</v>
      </c>
    </row>
    <row r="46" spans="2:28" ht="13.5" thickBot="1">
      <c r="B46" s="756" t="s">
        <v>1272</v>
      </c>
      <c r="C46" s="645">
        <f>SUM(C36:C45)</f>
        <v>0</v>
      </c>
      <c r="D46" s="646">
        <f>SUM(D36:D45)</f>
        <v>0</v>
      </c>
      <c r="E46" s="903"/>
      <c r="F46" s="646">
        <f>SUM(F36:F45)</f>
        <v>0</v>
      </c>
      <c r="G46" s="904" t="str">
        <f>IF(C46=D46,IF(D46=F46,"","Check areas !"),"Check areas !")</f>
        <v/>
      </c>
      <c r="H46" s="528"/>
      <c r="P46" s="1217"/>
      <c r="Q46" s="233"/>
      <c r="U46" s="233"/>
      <c r="V46" s="1501"/>
      <c r="W46" s="2403"/>
      <c r="Z46" s="2410"/>
      <c r="AA46" s="2410"/>
      <c r="AB46" s="2410"/>
    </row>
    <row r="47" spans="2:28" ht="13.5" thickBot="1">
      <c r="K47" s="649" t="s">
        <v>607</v>
      </c>
      <c r="L47" s="650"/>
      <c r="M47" s="651"/>
      <c r="N47" s="652">
        <f>SUM(N32:N45)</f>
        <v>0</v>
      </c>
      <c r="O47" s="653">
        <f>SUM(O32:O45)</f>
        <v>0</v>
      </c>
      <c r="P47" s="909">
        <f>SUM(P32:P45)</f>
        <v>0</v>
      </c>
      <c r="Q47" s="233"/>
      <c r="R47" s="2042">
        <f>SUM(R32:R45)</f>
        <v>0</v>
      </c>
      <c r="S47" s="2042">
        <f>SUM(S32:S45)</f>
        <v>0</v>
      </c>
      <c r="T47" s="2042">
        <f>SUM(T32:T45)</f>
        <v>0</v>
      </c>
      <c r="U47" s="1497"/>
      <c r="V47" s="1501"/>
      <c r="W47" s="2403"/>
      <c r="Z47" s="2410" t="s">
        <v>516</v>
      </c>
      <c r="AA47" s="2413">
        <f>SUM(AA32:AA45)</f>
        <v>0</v>
      </c>
      <c r="AB47" s="2413">
        <f>SUM(AB32:AB45)</f>
        <v>0</v>
      </c>
    </row>
    <row r="48" spans="2:28">
      <c r="I48" s="233"/>
      <c r="K48" s="234"/>
      <c r="Q48" s="233"/>
      <c r="R48" s="233"/>
      <c r="S48" s="233"/>
      <c r="U48" s="1497"/>
      <c r="V48" s="1501"/>
      <c r="Z48" s="2410"/>
      <c r="AA48" s="2410"/>
    </row>
    <row r="49" spans="8:26">
      <c r="H49" s="1354"/>
      <c r="I49" s="233"/>
      <c r="K49" s="234"/>
      <c r="Q49" s="233"/>
      <c r="R49" s="233"/>
      <c r="S49" s="233"/>
      <c r="U49" s="1497"/>
      <c r="V49" s="1501"/>
      <c r="Z49" s="2410"/>
    </row>
    <row r="50" spans="8:26">
      <c r="H50" s="234"/>
      <c r="J50" s="913"/>
      <c r="T50" s="234"/>
      <c r="U50" s="1497"/>
    </row>
    <row r="51" spans="8:26">
      <c r="H51" s="234"/>
      <c r="J51" s="913"/>
      <c r="T51" s="234"/>
    </row>
    <row r="52" spans="8:26">
      <c r="J52" s="913"/>
    </row>
  </sheetData>
  <sheetProtection formatCells="0" formatColumns="0" formatRows="0"/>
  <mergeCells count="8">
    <mergeCell ref="N29:O29"/>
    <mergeCell ref="E5:F5"/>
    <mergeCell ref="D7:F7"/>
    <mergeCell ref="G7:H7"/>
    <mergeCell ref="I7:J7"/>
    <mergeCell ref="G8:H8"/>
    <mergeCell ref="I8:J8"/>
    <mergeCell ref="L7:M7"/>
  </mergeCells>
  <phoneticPr fontId="11" type="noConversion"/>
  <dataValidations count="3">
    <dataValidation type="list" allowBlank="1" showInputMessage="1" showErrorMessage="1" sqref="E32:E45 G32:G45">
      <formula1>Rate</formula1>
    </dataValidation>
    <dataValidation type="list" allowBlank="1" showInputMessage="1" showErrorMessage="1" sqref="L10:L23">
      <formula1>YES_NO</formula1>
    </dataValidation>
    <dataValidation type="decimal" operator="greaterThanOrEqual" allowBlank="1" showInputMessage="1" showErrorMessage="1" sqref="C36:D45 J10:J23 M10:M23 E10:F23 H10:H23 F36:F45">
      <formula1>0</formula1>
    </dataValidation>
  </dataValidations>
  <hyperlinks>
    <hyperlink ref="E5" location="Description!A1" display="Back to Description"/>
  </hyperlinks>
  <pageMargins left="0.31" right="0.38" top="0.984251969" bottom="0.984251969" header="0.4921259845" footer="0.4921259845"/>
  <pageSetup paperSize="9" scale="60" orientation="landscape" horizontalDpi="1200" verticalDpi="1200" r:id="rId1"/>
  <headerFooter alignWithMargins="0">
    <oddHeader>Page &amp;P&amp;R&amp;A</oddHeader>
    <oddFooter>&amp;F</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120</vt:i4>
      </vt:variant>
    </vt:vector>
  </HeadingPairs>
  <TitlesOfParts>
    <vt:vector size="160" baseType="lpstr">
      <vt:lpstr>0.Start</vt:lpstr>
      <vt:lpstr>1.Description</vt:lpstr>
      <vt:lpstr>2.LUC</vt:lpstr>
      <vt:lpstr>3.Cropland</vt:lpstr>
      <vt:lpstr>A-R</vt:lpstr>
      <vt:lpstr>non Forest LUC</vt:lpstr>
      <vt:lpstr>Deforestation</vt:lpstr>
      <vt:lpstr>Annual</vt:lpstr>
      <vt:lpstr>Perennial</vt:lpstr>
      <vt:lpstr>Irrigated Rice</vt:lpstr>
      <vt:lpstr>Matrix</vt:lpstr>
      <vt:lpstr>Grass</vt:lpstr>
      <vt:lpstr>4.Grassland</vt:lpstr>
      <vt:lpstr>Forest Degradation</vt:lpstr>
      <vt:lpstr>Organic Soils NEW</vt:lpstr>
      <vt:lpstr>Organic Soils</vt:lpstr>
      <vt:lpstr>Livestock</vt:lpstr>
      <vt:lpstr>5. Management</vt:lpstr>
      <vt:lpstr>Inputs</vt:lpstr>
      <vt:lpstr>Other investments</vt:lpstr>
      <vt:lpstr>6. Coastal</vt:lpstr>
      <vt:lpstr>Wetlands</vt:lpstr>
      <vt:lpstr>7. Inputs</vt:lpstr>
      <vt:lpstr>8. Fish</vt:lpstr>
      <vt:lpstr>Fishery</vt:lpstr>
      <vt:lpstr>9. Results</vt:lpstr>
      <vt:lpstr>Gross Results</vt:lpstr>
      <vt:lpstr>BALANCE</vt:lpstr>
      <vt:lpstr>Help</vt:lpstr>
      <vt:lpstr>Yield</vt:lpstr>
      <vt:lpstr>Calculations</vt:lpstr>
      <vt:lpstr>Stats_yield</vt:lpstr>
      <vt:lpstr>List_Yield</vt:lpstr>
      <vt:lpstr>List</vt:lpstr>
      <vt:lpstr> IPCC</vt:lpstr>
      <vt:lpstr>Elec_EF</vt:lpstr>
      <vt:lpstr>translations</vt:lpstr>
      <vt:lpstr>Name translation</vt:lpstr>
      <vt:lpstr>Other Translations</vt:lpstr>
      <vt:lpstr>Other translations2</vt:lpstr>
      <vt:lpstr>c_type</vt:lpstr>
      <vt:lpstr>clim_full</vt:lpstr>
      <vt:lpstr>clim_simple</vt:lpstr>
      <vt:lpstr>clim_zone</vt:lpstr>
      <vt:lpstr>climate</vt:lpstr>
      <vt:lpstr>construct</vt:lpstr>
      <vt:lpstr>cont_fish</vt:lpstr>
      <vt:lpstr>continent</vt:lpstr>
      <vt:lpstr>continent_selected</vt:lpstr>
      <vt:lpstr>country</vt:lpstr>
      <vt:lpstr>country_type</vt:lpstr>
      <vt:lpstr>crop_major</vt:lpstr>
      <vt:lpstr>crop_minor</vt:lpstr>
      <vt:lpstr>deg_evol</vt:lpstr>
      <vt:lpstr>deg_list</vt:lpstr>
      <vt:lpstr>dyn_simple</vt:lpstr>
      <vt:lpstr>finaluse</vt:lpstr>
      <vt:lpstr>fishCategory</vt:lpstr>
      <vt:lpstr>'A-R'!forest1</vt:lpstr>
      <vt:lpstr>'Forest Degradation'!forest1</vt:lpstr>
      <vt:lpstr>'non Forest LUC'!forest1</vt:lpstr>
      <vt:lpstr>forest1</vt:lpstr>
      <vt:lpstr>'A-R'!forest2</vt:lpstr>
      <vt:lpstr>'Forest Degradation'!forest2</vt:lpstr>
      <vt:lpstr>'non Forest LUC'!forest2</vt:lpstr>
      <vt:lpstr>forest2</vt:lpstr>
      <vt:lpstr>'A-R'!forest3</vt:lpstr>
      <vt:lpstr>'Forest Degradation'!forest3</vt:lpstr>
      <vt:lpstr>'non Forest LUC'!forest3</vt:lpstr>
      <vt:lpstr>forest3</vt:lpstr>
      <vt:lpstr>'A-R'!forest4</vt:lpstr>
      <vt:lpstr>'Forest Degradation'!forest4</vt:lpstr>
      <vt:lpstr>'non Forest LUC'!forest4</vt:lpstr>
      <vt:lpstr>forest4</vt:lpstr>
      <vt:lpstr>gearlist</vt:lpstr>
      <vt:lpstr>grassland_type</vt:lpstr>
      <vt:lpstr>GWP</vt:lpstr>
      <vt:lpstr>input</vt:lpstr>
      <vt:lpstr>irrig_sys</vt:lpstr>
      <vt:lpstr>Item</vt:lpstr>
      <vt:lpstr>Langs</vt:lpstr>
      <vt:lpstr>Livestocks</vt:lpstr>
      <vt:lpstr>LUC_fin</vt:lpstr>
      <vt:lpstr>LUC_ini</vt:lpstr>
      <vt:lpstr>mangrove</vt:lpstr>
      <vt:lpstr>MAT</vt:lpstr>
      <vt:lpstr>methane</vt:lpstr>
      <vt:lpstr>moist_type</vt:lpstr>
      <vt:lpstr>moisture</vt:lpstr>
      <vt:lpstr>N2O_N_conversion</vt:lpstr>
      <vt:lpstr>Nitrous</vt:lpstr>
      <vt:lpstr>Nlang</vt:lpstr>
      <vt:lpstr>Non_UN</vt:lpstr>
      <vt:lpstr>'A-R'!plantation1</vt:lpstr>
      <vt:lpstr>'Forest Degradation'!plantation1</vt:lpstr>
      <vt:lpstr>'non Forest LUC'!plantation1</vt:lpstr>
      <vt:lpstr>plantation1</vt:lpstr>
      <vt:lpstr>'A-R'!plantation2</vt:lpstr>
      <vt:lpstr>'Forest Degradation'!plantation2</vt:lpstr>
      <vt:lpstr>'non Forest LUC'!plantation2</vt:lpstr>
      <vt:lpstr>plantation2</vt:lpstr>
      <vt:lpstr>'A-R'!plantation3</vt:lpstr>
      <vt:lpstr>'Forest Degradation'!plantation3</vt:lpstr>
      <vt:lpstr>'non Forest LUC'!plantation3</vt:lpstr>
      <vt:lpstr>plantation3</vt:lpstr>
      <vt:lpstr>'A-R'!plantation4</vt:lpstr>
      <vt:lpstr>'Forest Degradation'!plantation4</vt:lpstr>
      <vt:lpstr>'non Forest LUC'!plantation4</vt:lpstr>
      <vt:lpstr>plantation4</vt:lpstr>
      <vt:lpstr>precedent</vt:lpstr>
      <vt:lpstr>prevuse</vt:lpstr>
      <vt:lpstr>'1.Description'!Print_Area</vt:lpstr>
      <vt:lpstr>'2.LUC'!Print_Area</vt:lpstr>
      <vt:lpstr>'3.Cropland'!Print_Area</vt:lpstr>
      <vt:lpstr>'4.Grassland'!Print_Area</vt:lpstr>
      <vt:lpstr>'5. Management'!Print_Area</vt:lpstr>
      <vt:lpstr>'7. Inputs'!Print_Area</vt:lpstr>
      <vt:lpstr>Annual!Print_Area</vt:lpstr>
      <vt:lpstr>'A-R'!Print_Area</vt:lpstr>
      <vt:lpstr>Grass!Print_Area</vt:lpstr>
      <vt:lpstr>Help!Print_Area</vt:lpstr>
      <vt:lpstr>Inputs!Print_Area</vt:lpstr>
      <vt:lpstr>'Irrigated Rice'!Print_Area</vt:lpstr>
      <vt:lpstr>Livestock!Print_Area</vt:lpstr>
      <vt:lpstr>Matrix!Print_Area</vt:lpstr>
      <vt:lpstr>'non Forest LUC'!Print_Area</vt:lpstr>
      <vt:lpstr>'Other investments'!Print_Area</vt:lpstr>
      <vt:lpstr>Perennial!Print_Area</vt:lpstr>
      <vt:lpstr>Rate</vt:lpstr>
      <vt:lpstr>region</vt:lpstr>
      <vt:lpstr>Region_y</vt:lpstr>
      <vt:lpstr>Residue_mgmt</vt:lpstr>
      <vt:lpstr>Rice_org</vt:lpstr>
      <vt:lpstr>Rice_pre</vt:lpstr>
      <vt:lpstr>rice_type</vt:lpstr>
      <vt:lpstr>Rice_water</vt:lpstr>
      <vt:lpstr>select</vt:lpstr>
      <vt:lpstr>Select_c</vt:lpstr>
      <vt:lpstr>Select_lang</vt:lpstr>
      <vt:lpstr>Select_p</vt:lpstr>
      <vt:lpstr>select_t</vt:lpstr>
      <vt:lpstr>soil</vt:lpstr>
      <vt:lpstr>Soil_Native</vt:lpstr>
      <vt:lpstr>soil_type</vt:lpstr>
      <vt:lpstr>Tech_methane</vt:lpstr>
      <vt:lpstr>till_?</vt:lpstr>
      <vt:lpstr>till_conv</vt:lpstr>
      <vt:lpstr>till_impr</vt:lpstr>
      <vt:lpstr>tillage</vt:lpstr>
      <vt:lpstr>time</vt:lpstr>
      <vt:lpstr>time_tot</vt:lpstr>
      <vt:lpstr>time2</vt:lpstr>
      <vt:lpstr>title</vt:lpstr>
      <vt:lpstr>'A-R'!veg_type</vt:lpstr>
      <vt:lpstr>'non Forest LUC'!veg_type</vt:lpstr>
      <vt:lpstr>veg_type</vt:lpstr>
      <vt:lpstr>veg_type2</vt:lpstr>
      <vt:lpstr>water</vt:lpstr>
      <vt:lpstr>YES_NO</vt:lpstr>
      <vt:lpstr>Yes_No_Annual</vt:lpstr>
    </vt:vector>
  </TitlesOfParts>
  <Company>IRD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Martial Bernoux</dc:creator>
  <cp:lastModifiedBy>LaureSophie Schiettecatte (ESA)</cp:lastModifiedBy>
  <cp:lastPrinted>2014-09-10T19:48:36Z</cp:lastPrinted>
  <dcterms:created xsi:type="dcterms:W3CDTF">2009-05-21T16:53:20Z</dcterms:created>
  <dcterms:modified xsi:type="dcterms:W3CDTF">2017-11-08T21:22:22Z</dcterms:modified>
</cp:coreProperties>
</file>